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Scholengroep Spinoza/Schoonmaak 2023/Aanbestedingsleidraad/"/>
    </mc:Choice>
  </mc:AlternateContent>
  <xr:revisionPtr revIDLastSave="1392" documentId="8_{B720F3D8-E847-4F94-83F0-3CED317F4D25}" xr6:coauthVersionLast="47" xr6:coauthVersionMax="47" xr10:uidLastSave="{ABBB0644-F366-4175-BBE3-882B491FFEFF}"/>
  <bookViews>
    <workbookView minimized="1" xWindow="5190" yWindow="3240" windowWidth="21600" windowHeight="11295" tabRatio="848" xr2:uid="{00000000-000D-0000-FFFF-FFFF00000000}"/>
  </bookViews>
  <sheets>
    <sheet name="Overnamegegevens" sheetId="28" r:id="rId1"/>
    <sheet name="Legenda Handelingen" sheetId="29" r:id="rId2"/>
    <sheet name="Werkprogramma dieptereiniging"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9">'Extra werkzaamheden'!$A$1:$I$31</definedName>
    <definedName name="_xlnm.Print_Area" localSheetId="8">Glasbewassing!$A$1:$I$75</definedName>
    <definedName name="_xlnm.Print_Area" localSheetId="5">Prestatiefactoren!$A$1:$F$60</definedName>
    <definedName name="_xlnm.Print_Area" localSheetId="10">'Regie en afroep'!$A$1:$I$79</definedName>
    <definedName name="_xlnm.Print_Area" localSheetId="6">'Ruimtestaat'!$A$1:$BW$1009</definedName>
    <definedName name="_xlnm.Print_Area" localSheetId="4">Tariefsopbouw!$A$1:$Q$42</definedName>
    <definedName name="_xlnm.Print_Area" localSheetId="11">Totalisatie!$A$1:$I$42</definedName>
    <definedName name="_xlnm.Print_Area" localSheetId="7">Vloeronderhoud!$A$1:$J$90</definedName>
    <definedName name="_xlnm.Print_Area" localSheetId="2">'Werkprogramma dieptereiniging'!$A$1:$A$15</definedName>
    <definedName name="_xlnm.Print_Titles" localSheetId="6">'Ruimtestaat'!$2:$4</definedName>
    <definedName name="Glas" hidden="1">[1]Psychiatrie!#REF!</definedName>
    <definedName name="Invulglas1">Glasbewassing!$A$9:$I$21</definedName>
    <definedName name="Invulvloer1" localSheetId="7">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1" i="32" l="1"/>
  <c r="H21" i="32" s="1"/>
  <c r="D21" i="32"/>
  <c r="B21" i="32"/>
  <c r="D19" i="32" l="1"/>
  <c r="B19" i="32"/>
  <c r="C13" i="32"/>
  <c r="G19" i="32" s="1"/>
  <c r="H19" i="32" s="1"/>
  <c r="C12" i="32"/>
  <c r="E12" i="32" s="1"/>
  <c r="F12" i="32" s="1"/>
  <c r="G12" i="32" s="1"/>
  <c r="H12" i="32" s="1"/>
  <c r="I12" i="32" s="1"/>
  <c r="C11" i="32"/>
  <c r="D22" i="32"/>
  <c r="B22" i="32"/>
  <c r="D20" i="32"/>
  <c r="D23" i="32"/>
  <c r="D17" i="32"/>
  <c r="D18" i="32"/>
  <c r="B20" i="32" l="1"/>
  <c r="G23" i="32"/>
  <c r="H23" i="32" s="1"/>
  <c r="B23" i="32"/>
  <c r="G17" i="32" l="1"/>
  <c r="H17" i="32" s="1"/>
  <c r="B17" i="32"/>
  <c r="G62" i="22"/>
  <c r="H62" i="22" s="1"/>
  <c r="D62" i="22"/>
  <c r="G56" i="22"/>
  <c r="H56" i="22" s="1"/>
  <c r="D56" i="22"/>
  <c r="G55" i="22"/>
  <c r="H55" i="22" s="1"/>
  <c r="D55" i="22"/>
  <c r="G54" i="22"/>
  <c r="H54" i="22" s="1"/>
  <c r="D54" i="22"/>
  <c r="G43" i="22"/>
  <c r="H43" i="22" s="1"/>
  <c r="D43" i="22"/>
  <c r="G37" i="22"/>
  <c r="H37" i="22" s="1"/>
  <c r="D37" i="22"/>
  <c r="G74" i="22"/>
  <c r="H74" i="22" s="1"/>
  <c r="D74" i="22"/>
  <c r="G73" i="22"/>
  <c r="H73" i="22" s="1"/>
  <c r="D73" i="22"/>
  <c r="G72" i="22"/>
  <c r="H72" i="22" s="1"/>
  <c r="D72" i="22"/>
  <c r="G71" i="22"/>
  <c r="H71" i="22" s="1"/>
  <c r="D71" i="22"/>
  <c r="G70" i="22"/>
  <c r="H70" i="22" s="1"/>
  <c r="D70" i="22"/>
  <c r="G69" i="22"/>
  <c r="H69" i="22" s="1"/>
  <c r="D69" i="22"/>
  <c r="G68" i="22"/>
  <c r="H68" i="22" s="1"/>
  <c r="D68" i="22"/>
  <c r="G67" i="22"/>
  <c r="H67" i="22" s="1"/>
  <c r="D67" i="22"/>
  <c r="G66" i="22"/>
  <c r="H66" i="22" s="1"/>
  <c r="D66" i="22"/>
  <c r="G65" i="22"/>
  <c r="H65" i="22" s="1"/>
  <c r="D65" i="22"/>
  <c r="G64" i="22"/>
  <c r="H64" i="22" s="1"/>
  <c r="D64" i="22"/>
  <c r="G63" i="22"/>
  <c r="H63" i="22" s="1"/>
  <c r="D63" i="22"/>
  <c r="G61" i="22"/>
  <c r="H61" i="22" s="1"/>
  <c r="D61" i="22"/>
  <c r="G60" i="22"/>
  <c r="H60" i="22" s="1"/>
  <c r="D60" i="22"/>
  <c r="G59" i="22"/>
  <c r="H59" i="22" s="1"/>
  <c r="D59" i="22"/>
  <c r="G58" i="22"/>
  <c r="H58" i="22" s="1"/>
  <c r="D58" i="22"/>
  <c r="G57" i="22"/>
  <c r="H57" i="22" s="1"/>
  <c r="D57" i="22"/>
  <c r="G53" i="22"/>
  <c r="H53" i="22" s="1"/>
  <c r="D53" i="22"/>
  <c r="G52" i="22"/>
  <c r="H52" i="22" s="1"/>
  <c r="D52" i="22"/>
  <c r="G51" i="22"/>
  <c r="H51" i="22" s="1"/>
  <c r="D51" i="22"/>
  <c r="G50" i="22"/>
  <c r="H50" i="22" s="1"/>
  <c r="D50" i="22"/>
  <c r="G49" i="22"/>
  <c r="H49" i="22" s="1"/>
  <c r="D49" i="22"/>
  <c r="G48" i="22"/>
  <c r="H48" i="22" s="1"/>
  <c r="D48" i="22"/>
  <c r="G47" i="22"/>
  <c r="H47" i="22" s="1"/>
  <c r="D47" i="22"/>
  <c r="G46" i="22"/>
  <c r="H46" i="22" s="1"/>
  <c r="D46" i="22"/>
  <c r="G45" i="22"/>
  <c r="H45" i="22" s="1"/>
  <c r="D45" i="22"/>
  <c r="G44" i="22"/>
  <c r="H44" i="22" s="1"/>
  <c r="D44" i="22"/>
  <c r="G42" i="22"/>
  <c r="H42" i="22" s="1"/>
  <c r="D42" i="22"/>
  <c r="G41" i="22"/>
  <c r="H41" i="22" s="1"/>
  <c r="D41" i="22"/>
  <c r="G40" i="22"/>
  <c r="H40" i="22" s="1"/>
  <c r="D40" i="22"/>
  <c r="G39" i="22"/>
  <c r="H39" i="22" s="1"/>
  <c r="D39" i="22"/>
  <c r="G38" i="22"/>
  <c r="H38" i="22" s="1"/>
  <c r="D38" i="22"/>
  <c r="G36" i="22"/>
  <c r="H36" i="22" s="1"/>
  <c r="D36" i="22"/>
  <c r="G35" i="22"/>
  <c r="H35" i="22" s="1"/>
  <c r="D35" i="22"/>
  <c r="G34" i="22"/>
  <c r="H34" i="22" s="1"/>
  <c r="D34" i="22"/>
  <c r="G33" i="22"/>
  <c r="H33" i="22" s="1"/>
  <c r="D33" i="22"/>
  <c r="G32" i="22"/>
  <c r="H32" i="22" s="1"/>
  <c r="D32" i="22"/>
  <c r="G31" i="22"/>
  <c r="H31" i="22" s="1"/>
  <c r="D31" i="22"/>
  <c r="G30" i="22"/>
  <c r="H30" i="22" s="1"/>
  <c r="D30" i="22"/>
  <c r="G29" i="22"/>
  <c r="H29" i="22" s="1"/>
  <c r="D29" i="22"/>
  <c r="G28" i="22"/>
  <c r="H28" i="22" s="1"/>
  <c r="D28" i="22"/>
  <c r="G27" i="22"/>
  <c r="H27" i="22" s="1"/>
  <c r="D27" i="22"/>
  <c r="G26" i="22"/>
  <c r="H26" i="22" s="1"/>
  <c r="D26" i="22"/>
  <c r="G25" i="22"/>
  <c r="H25" i="22" s="1"/>
  <c r="D25" i="22"/>
  <c r="G24" i="22"/>
  <c r="H24" i="22" s="1"/>
  <c r="D24" i="22"/>
  <c r="F82" i="38"/>
  <c r="H82" i="38" s="1"/>
  <c r="I82" i="38" s="1"/>
  <c r="D82" i="38"/>
  <c r="B82" i="38"/>
  <c r="F81" i="38"/>
  <c r="H81" i="38" s="1"/>
  <c r="I81" i="38" s="1"/>
  <c r="D81" i="38"/>
  <c r="B81" i="38"/>
  <c r="F80" i="38"/>
  <c r="H80" i="38" s="1"/>
  <c r="I80" i="38" s="1"/>
  <c r="D80" i="38"/>
  <c r="B80" i="38"/>
  <c r="F79" i="38"/>
  <c r="H79" i="38" s="1"/>
  <c r="I79" i="38" s="1"/>
  <c r="D79" i="38"/>
  <c r="B79" i="38"/>
  <c r="F78" i="38"/>
  <c r="H78" i="38" s="1"/>
  <c r="I78" i="38" s="1"/>
  <c r="D78" i="38"/>
  <c r="B78" i="38"/>
  <c r="F77" i="38"/>
  <c r="H77" i="38" s="1"/>
  <c r="I77" i="38" s="1"/>
  <c r="D77" i="38"/>
  <c r="B77" i="38"/>
  <c r="F76" i="38"/>
  <c r="H76" i="38" s="1"/>
  <c r="I76" i="38" s="1"/>
  <c r="D76" i="38"/>
  <c r="B76" i="38"/>
  <c r="B83" i="38"/>
  <c r="D83" i="38"/>
  <c r="F83" i="38"/>
  <c r="H83" i="38" s="1"/>
  <c r="I83" i="38" s="1"/>
  <c r="F75" i="38"/>
  <c r="H75" i="38" s="1"/>
  <c r="I75" i="38" s="1"/>
  <c r="D75" i="38"/>
  <c r="B75" i="38"/>
  <c r="F74" i="38"/>
  <c r="H74" i="38" s="1"/>
  <c r="I74" i="38" s="1"/>
  <c r="D74" i="38"/>
  <c r="B74" i="38"/>
  <c r="F73" i="38"/>
  <c r="H73" i="38" s="1"/>
  <c r="I73" i="38" s="1"/>
  <c r="D73" i="38"/>
  <c r="B73" i="38"/>
  <c r="F72" i="38"/>
  <c r="H72" i="38" s="1"/>
  <c r="I72" i="38" s="1"/>
  <c r="D72" i="38"/>
  <c r="B72" i="38"/>
  <c r="F71" i="38"/>
  <c r="H71" i="38" s="1"/>
  <c r="I71" i="38" s="1"/>
  <c r="D71" i="38"/>
  <c r="B71" i="38"/>
  <c r="F70" i="38"/>
  <c r="H70" i="38" s="1"/>
  <c r="I70" i="38" s="1"/>
  <c r="D70" i="38"/>
  <c r="B70" i="38"/>
  <c r="F69" i="38"/>
  <c r="H69" i="38" s="1"/>
  <c r="I69" i="38" s="1"/>
  <c r="D69" i="38"/>
  <c r="B69" i="38"/>
  <c r="F68" i="38"/>
  <c r="H68" i="38" s="1"/>
  <c r="I68" i="38" s="1"/>
  <c r="D68" i="38"/>
  <c r="B68" i="38"/>
  <c r="F67" i="38"/>
  <c r="H67" i="38" s="1"/>
  <c r="I67" i="38" s="1"/>
  <c r="D67" i="38"/>
  <c r="B67" i="38"/>
  <c r="F66" i="38"/>
  <c r="H66" i="38" s="1"/>
  <c r="I66" i="38" s="1"/>
  <c r="D66" i="38"/>
  <c r="B66" i="38"/>
  <c r="F65" i="38"/>
  <c r="H65" i="38" s="1"/>
  <c r="I65" i="38" s="1"/>
  <c r="D65" i="38"/>
  <c r="B65" i="38"/>
  <c r="F64" i="38"/>
  <c r="H64" i="38" s="1"/>
  <c r="I64" i="38" s="1"/>
  <c r="D64" i="38"/>
  <c r="B64" i="38"/>
  <c r="F63" i="38"/>
  <c r="H63" i="38" s="1"/>
  <c r="I63" i="38" s="1"/>
  <c r="D63" i="38"/>
  <c r="B63" i="38"/>
  <c r="F62" i="38"/>
  <c r="H62" i="38" s="1"/>
  <c r="I62" i="38" s="1"/>
  <c r="D62" i="38"/>
  <c r="B62" i="38"/>
  <c r="F61" i="38"/>
  <c r="H61" i="38" s="1"/>
  <c r="I61" i="38" s="1"/>
  <c r="D61" i="38"/>
  <c r="B61" i="38"/>
  <c r="F60" i="38"/>
  <c r="H60" i="38" s="1"/>
  <c r="I60" i="38" s="1"/>
  <c r="D60" i="38"/>
  <c r="B60" i="38"/>
  <c r="F59" i="38"/>
  <c r="H59" i="38" s="1"/>
  <c r="I59" i="38" s="1"/>
  <c r="D59" i="38"/>
  <c r="B59" i="38"/>
  <c r="F58" i="38"/>
  <c r="H58" i="38" s="1"/>
  <c r="I58" i="38" s="1"/>
  <c r="D58" i="38"/>
  <c r="B58" i="38"/>
  <c r="F57" i="38"/>
  <c r="H57" i="38" s="1"/>
  <c r="I57" i="38" s="1"/>
  <c r="D57" i="38"/>
  <c r="B57" i="38"/>
  <c r="F56" i="38"/>
  <c r="H56" i="38" s="1"/>
  <c r="I56" i="38" s="1"/>
  <c r="D56" i="38"/>
  <c r="B56" i="38"/>
  <c r="F55" i="38"/>
  <c r="H55" i="38" s="1"/>
  <c r="I55" i="38" s="1"/>
  <c r="D55" i="38"/>
  <c r="B55" i="38"/>
  <c r="F54" i="38"/>
  <c r="H54" i="38" s="1"/>
  <c r="I54" i="38" s="1"/>
  <c r="D54" i="38"/>
  <c r="B54" i="38"/>
  <c r="F53" i="38"/>
  <c r="H53" i="38" s="1"/>
  <c r="I53" i="38" s="1"/>
  <c r="D53" i="38"/>
  <c r="B53" i="38"/>
  <c r="F52" i="38"/>
  <c r="H52" i="38" s="1"/>
  <c r="I52" i="38" s="1"/>
  <c r="D52" i="38"/>
  <c r="B52" i="38"/>
  <c r="F51" i="38"/>
  <c r="H51" i="38" s="1"/>
  <c r="I51" i="38" s="1"/>
  <c r="D51" i="38"/>
  <c r="B51" i="38"/>
  <c r="F50" i="38"/>
  <c r="H50" i="38" s="1"/>
  <c r="I50" i="38" s="1"/>
  <c r="D50" i="38"/>
  <c r="B50" i="38"/>
  <c r="F49" i="38"/>
  <c r="H49" i="38" s="1"/>
  <c r="I49" i="38" s="1"/>
  <c r="D49" i="38"/>
  <c r="B49" i="38"/>
  <c r="F48" i="38"/>
  <c r="H48" i="38" s="1"/>
  <c r="I48" i="38" s="1"/>
  <c r="D48" i="38"/>
  <c r="B48" i="38"/>
  <c r="B26" i="19"/>
  <c r="B25" i="19"/>
  <c r="B24" i="19"/>
  <c r="B23" i="19"/>
  <c r="B22" i="19"/>
  <c r="C12" i="19"/>
  <c r="B12" i="19"/>
  <c r="B50" i="22" s="1"/>
  <c r="C11" i="19"/>
  <c r="B11" i="19"/>
  <c r="B41" i="22" s="1"/>
  <c r="C10" i="19"/>
  <c r="B10" i="19"/>
  <c r="B37" i="22" s="1"/>
  <c r="C9" i="19"/>
  <c r="B9" i="19"/>
  <c r="B32" i="22" s="1"/>
  <c r="C8" i="19"/>
  <c r="B8" i="19"/>
  <c r="B24" i="22" s="1"/>
  <c r="C7" i="19"/>
  <c r="B7" i="19"/>
  <c r="BD997" i="13"/>
  <c r="BT997" i="13" s="1"/>
  <c r="AI997" i="13"/>
  <c r="AX997" i="13" s="1"/>
  <c r="Z997" i="13"/>
  <c r="AB997" i="13" s="1"/>
  <c r="T997" i="13"/>
  <c r="U997" i="13" s="1"/>
  <c r="W997" i="13" s="1"/>
  <c r="P997" i="13"/>
  <c r="K997" i="13"/>
  <c r="E997" i="13"/>
  <c r="D997" i="13"/>
  <c r="C997" i="13"/>
  <c r="B997" i="13"/>
  <c r="BD996" i="13"/>
  <c r="BW996" i="13" s="1"/>
  <c r="AI996" i="13"/>
  <c r="AZ996" i="13" s="1"/>
  <c r="Z996" i="13"/>
  <c r="AB996" i="13" s="1"/>
  <c r="T996" i="13"/>
  <c r="V996" i="13" s="1"/>
  <c r="P996" i="13"/>
  <c r="K996" i="13"/>
  <c r="E996" i="13"/>
  <c r="D996" i="13"/>
  <c r="C996" i="13"/>
  <c r="B996" i="13"/>
  <c r="BD995" i="13"/>
  <c r="AI995" i="13"/>
  <c r="BA995" i="13" s="1"/>
  <c r="Z995" i="13"/>
  <c r="T995" i="13"/>
  <c r="V995" i="13" s="1"/>
  <c r="P995" i="13"/>
  <c r="K995" i="13"/>
  <c r="E995" i="13"/>
  <c r="D995" i="13"/>
  <c r="C995" i="13"/>
  <c r="B995" i="13"/>
  <c r="BD994" i="13"/>
  <c r="BP994" i="13" s="1"/>
  <c r="AI994" i="13"/>
  <c r="AR994" i="13" s="1"/>
  <c r="Z994" i="13"/>
  <c r="AB994" i="13" s="1"/>
  <c r="T994" i="13"/>
  <c r="V994" i="13" s="1"/>
  <c r="P994" i="13"/>
  <c r="K994" i="13"/>
  <c r="E994" i="13"/>
  <c r="D994" i="13"/>
  <c r="C994" i="13"/>
  <c r="B994" i="13"/>
  <c r="BD993" i="13"/>
  <c r="BS993" i="13" s="1"/>
  <c r="AI993" i="13"/>
  <c r="AY993" i="13" s="1"/>
  <c r="Z993" i="13"/>
  <c r="AA993" i="13" s="1"/>
  <c r="AC993" i="13" s="1"/>
  <c r="T993" i="13"/>
  <c r="V993" i="13" s="1"/>
  <c r="P993" i="13"/>
  <c r="K993" i="13"/>
  <c r="E993" i="13"/>
  <c r="D993" i="13"/>
  <c r="C993" i="13"/>
  <c r="B993" i="13"/>
  <c r="BD992" i="13"/>
  <c r="AI992" i="13"/>
  <c r="AV992" i="13" s="1"/>
  <c r="Z992" i="13"/>
  <c r="AA992" i="13" s="1"/>
  <c r="AC992" i="13" s="1"/>
  <c r="T992" i="13"/>
  <c r="U992" i="13" s="1"/>
  <c r="W992" i="13" s="1"/>
  <c r="P992" i="13"/>
  <c r="K992" i="13"/>
  <c r="E992" i="13"/>
  <c r="D992" i="13"/>
  <c r="C992" i="13"/>
  <c r="B992" i="13"/>
  <c r="BD991" i="13"/>
  <c r="BO991" i="13" s="1"/>
  <c r="AI991" i="13"/>
  <c r="AX991" i="13" s="1"/>
  <c r="Z991" i="13"/>
  <c r="AB991" i="13" s="1"/>
  <c r="T991" i="13"/>
  <c r="U991" i="13" s="1"/>
  <c r="W991" i="13" s="1"/>
  <c r="P991" i="13"/>
  <c r="K991" i="13"/>
  <c r="E991" i="13"/>
  <c r="D991" i="13"/>
  <c r="C991" i="13"/>
  <c r="B991" i="13"/>
  <c r="BD990" i="13"/>
  <c r="AI990" i="13"/>
  <c r="Z990" i="13"/>
  <c r="AA990" i="13" s="1"/>
  <c r="AC990" i="13" s="1"/>
  <c r="T990" i="13"/>
  <c r="V990" i="13" s="1"/>
  <c r="P990" i="13"/>
  <c r="K990" i="13"/>
  <c r="E990" i="13"/>
  <c r="D990" i="13"/>
  <c r="C990" i="13"/>
  <c r="B990" i="13"/>
  <c r="BD989" i="13"/>
  <c r="AI989" i="13"/>
  <c r="AU989" i="13" s="1"/>
  <c r="Z989" i="13"/>
  <c r="AB989" i="13" s="1"/>
  <c r="T989" i="13"/>
  <c r="P989" i="13"/>
  <c r="K989" i="13"/>
  <c r="E989" i="13"/>
  <c r="D989" i="13"/>
  <c r="C989" i="13"/>
  <c r="B989" i="13"/>
  <c r="BD988" i="13"/>
  <c r="BW988" i="13" s="1"/>
  <c r="AI988" i="13"/>
  <c r="AK988" i="13" s="1"/>
  <c r="Z988" i="13"/>
  <c r="AB988" i="13" s="1"/>
  <c r="T988" i="13"/>
  <c r="V988" i="13" s="1"/>
  <c r="P988" i="13"/>
  <c r="K988" i="13"/>
  <c r="E988" i="13"/>
  <c r="D988" i="13"/>
  <c r="C988" i="13"/>
  <c r="B988" i="13"/>
  <c r="BD1009" i="13"/>
  <c r="BJ1009" i="13" s="1"/>
  <c r="AI1009" i="13"/>
  <c r="BA1009" i="13" s="1"/>
  <c r="Z1009" i="13"/>
  <c r="AA1009" i="13" s="1"/>
  <c r="AC1009" i="13" s="1"/>
  <c r="T1009" i="13"/>
  <c r="P1009" i="13"/>
  <c r="K1009" i="13"/>
  <c r="E1009" i="13"/>
  <c r="D1009" i="13"/>
  <c r="C1009" i="13"/>
  <c r="B1009" i="13"/>
  <c r="BD1008" i="13"/>
  <c r="BS1008" i="13" s="1"/>
  <c r="AI1008" i="13"/>
  <c r="AN1008" i="13" s="1"/>
  <c r="Z1008" i="13"/>
  <c r="AB1008" i="13" s="1"/>
  <c r="T1008" i="13"/>
  <c r="U1008" i="13" s="1"/>
  <c r="W1008" i="13" s="1"/>
  <c r="P1008" i="13"/>
  <c r="K1008" i="13"/>
  <c r="E1008" i="13"/>
  <c r="D1008" i="13"/>
  <c r="C1008" i="13"/>
  <c r="B1008" i="13"/>
  <c r="BD1007" i="13"/>
  <c r="AI1007" i="13"/>
  <c r="AQ1007" i="13" s="1"/>
  <c r="Z1007" i="13"/>
  <c r="AA1007" i="13" s="1"/>
  <c r="AC1007" i="13" s="1"/>
  <c r="T1007" i="13"/>
  <c r="P1007" i="13"/>
  <c r="K1007" i="13"/>
  <c r="E1007" i="13"/>
  <c r="D1007" i="13"/>
  <c r="C1007" i="13"/>
  <c r="B1007" i="13"/>
  <c r="BD1006" i="13"/>
  <c r="BT1006" i="13" s="1"/>
  <c r="AI1006" i="13"/>
  <c r="AN1006" i="13" s="1"/>
  <c r="Z1006" i="13"/>
  <c r="T1006" i="13"/>
  <c r="U1006" i="13" s="1"/>
  <c r="W1006" i="13" s="1"/>
  <c r="P1006" i="13"/>
  <c r="K1006" i="13"/>
  <c r="E1006" i="13"/>
  <c r="D1006" i="13"/>
  <c r="C1006" i="13"/>
  <c r="B1006" i="13"/>
  <c r="BD1005" i="13"/>
  <c r="AI1005" i="13"/>
  <c r="AK1005" i="13" s="1"/>
  <c r="Z1005" i="13"/>
  <c r="AA1005" i="13" s="1"/>
  <c r="AC1005" i="13" s="1"/>
  <c r="T1005" i="13"/>
  <c r="V1005" i="13" s="1"/>
  <c r="P1005" i="13"/>
  <c r="K1005" i="13"/>
  <c r="E1005" i="13"/>
  <c r="D1005" i="13"/>
  <c r="C1005" i="13"/>
  <c r="B1005" i="13"/>
  <c r="BD1004" i="13"/>
  <c r="AI1004" i="13"/>
  <c r="Z1004" i="13"/>
  <c r="T1004" i="13"/>
  <c r="P1004" i="13"/>
  <c r="K1004" i="13"/>
  <c r="E1004" i="13"/>
  <c r="D1004" i="13"/>
  <c r="C1004" i="13"/>
  <c r="B1004" i="13"/>
  <c r="BD1003" i="13"/>
  <c r="BS1003" i="13" s="1"/>
  <c r="AI1003" i="13"/>
  <c r="Z1003" i="13"/>
  <c r="T1003" i="13"/>
  <c r="P1003" i="13"/>
  <c r="K1003" i="13"/>
  <c r="E1003" i="13"/>
  <c r="D1003" i="13"/>
  <c r="C1003" i="13"/>
  <c r="B1003" i="13"/>
  <c r="BD1002" i="13"/>
  <c r="BR1002" i="13" s="1"/>
  <c r="AI1002" i="13"/>
  <c r="BB1002" i="13" s="1"/>
  <c r="Z1002" i="13"/>
  <c r="AA1002" i="13" s="1"/>
  <c r="AC1002" i="13" s="1"/>
  <c r="T1002" i="13"/>
  <c r="P1002" i="13"/>
  <c r="K1002" i="13"/>
  <c r="E1002" i="13"/>
  <c r="D1002" i="13"/>
  <c r="C1002" i="13"/>
  <c r="B1002" i="13"/>
  <c r="BD1001" i="13"/>
  <c r="BV1001" i="13" s="1"/>
  <c r="AI1001" i="13"/>
  <c r="Z1001" i="13"/>
  <c r="T1001" i="13"/>
  <c r="V1001" i="13" s="1"/>
  <c r="P1001" i="13"/>
  <c r="K1001" i="13"/>
  <c r="E1001" i="13"/>
  <c r="D1001" i="13"/>
  <c r="C1001" i="13"/>
  <c r="B1001" i="13"/>
  <c r="BD1000" i="13"/>
  <c r="BP1000" i="13" s="1"/>
  <c r="AI1000" i="13"/>
  <c r="AM1000" i="13" s="1"/>
  <c r="Z1000" i="13"/>
  <c r="T1000" i="13"/>
  <c r="U1000" i="13" s="1"/>
  <c r="W1000" i="13" s="1"/>
  <c r="P1000" i="13"/>
  <c r="K1000" i="13"/>
  <c r="E1000" i="13"/>
  <c r="D1000" i="13"/>
  <c r="C1000" i="13"/>
  <c r="B1000" i="13"/>
  <c r="BD999" i="13"/>
  <c r="BN999" i="13" s="1"/>
  <c r="AI999" i="13"/>
  <c r="BB999" i="13" s="1"/>
  <c r="Z999" i="13"/>
  <c r="T999" i="13"/>
  <c r="P999" i="13"/>
  <c r="K999" i="13"/>
  <c r="E999" i="13"/>
  <c r="D999" i="13"/>
  <c r="C999" i="13"/>
  <c r="B999" i="13"/>
  <c r="BD998" i="13"/>
  <c r="AI998" i="13"/>
  <c r="AS998" i="13" s="1"/>
  <c r="Z998" i="13"/>
  <c r="AB998" i="13" s="1"/>
  <c r="T998" i="13"/>
  <c r="U998" i="13" s="1"/>
  <c r="W998" i="13" s="1"/>
  <c r="P998" i="13"/>
  <c r="K998" i="13"/>
  <c r="E998" i="13"/>
  <c r="D998" i="13"/>
  <c r="C998" i="13"/>
  <c r="B998" i="13"/>
  <c r="BD987" i="13"/>
  <c r="BV987" i="13" s="1"/>
  <c r="AI987" i="13"/>
  <c r="Z987" i="13"/>
  <c r="AB987" i="13" s="1"/>
  <c r="T987" i="13"/>
  <c r="P987" i="13"/>
  <c r="K987" i="13"/>
  <c r="E987" i="13"/>
  <c r="D987" i="13"/>
  <c r="C987" i="13"/>
  <c r="B987" i="13"/>
  <c r="BD986" i="13"/>
  <c r="AI986" i="13"/>
  <c r="AN986" i="13" s="1"/>
  <c r="Z986" i="13"/>
  <c r="T986" i="13"/>
  <c r="P986" i="13"/>
  <c r="K986" i="13"/>
  <c r="E986" i="13"/>
  <c r="D986" i="13"/>
  <c r="C986" i="13"/>
  <c r="B986" i="13"/>
  <c r="BD985" i="13"/>
  <c r="BI985" i="13" s="1"/>
  <c r="AI985" i="13"/>
  <c r="Z985" i="13"/>
  <c r="T985" i="13"/>
  <c r="V985" i="13" s="1"/>
  <c r="P985" i="13"/>
  <c r="K985" i="13"/>
  <c r="E985" i="13"/>
  <c r="D985" i="13"/>
  <c r="C985" i="13"/>
  <c r="B985" i="13"/>
  <c r="BD984" i="13"/>
  <c r="BW984" i="13" s="1"/>
  <c r="AI984" i="13"/>
  <c r="Z984" i="13"/>
  <c r="AB984" i="13" s="1"/>
  <c r="T984" i="13"/>
  <c r="U984" i="13" s="1"/>
  <c r="W984" i="13" s="1"/>
  <c r="P984" i="13"/>
  <c r="K984" i="13"/>
  <c r="E984" i="13"/>
  <c r="D984" i="13"/>
  <c r="C984" i="13"/>
  <c r="B984" i="13"/>
  <c r="BD983" i="13"/>
  <c r="BP983" i="13" s="1"/>
  <c r="AI983" i="13"/>
  <c r="AS983" i="13" s="1"/>
  <c r="Z983" i="13"/>
  <c r="AA983" i="13" s="1"/>
  <c r="AC983" i="13" s="1"/>
  <c r="T983" i="13"/>
  <c r="U983" i="13" s="1"/>
  <c r="W983" i="13" s="1"/>
  <c r="P983" i="13"/>
  <c r="K983" i="13"/>
  <c r="E983" i="13"/>
  <c r="D983" i="13"/>
  <c r="C983" i="13"/>
  <c r="B983" i="13"/>
  <c r="BD982" i="13"/>
  <c r="AI982" i="13"/>
  <c r="Z982" i="13"/>
  <c r="AB982" i="13" s="1"/>
  <c r="T982" i="13"/>
  <c r="U982" i="13" s="1"/>
  <c r="W982" i="13" s="1"/>
  <c r="P982" i="13"/>
  <c r="K982" i="13"/>
  <c r="E982" i="13"/>
  <c r="D982" i="13"/>
  <c r="C982" i="13"/>
  <c r="B982" i="13"/>
  <c r="BD981" i="13"/>
  <c r="BE981" i="13" s="1"/>
  <c r="AI981" i="13"/>
  <c r="AK981" i="13" s="1"/>
  <c r="Z981" i="13"/>
  <c r="AA981" i="13" s="1"/>
  <c r="AC981" i="13" s="1"/>
  <c r="T981" i="13"/>
  <c r="P981" i="13"/>
  <c r="K981" i="13"/>
  <c r="E981" i="13"/>
  <c r="D981" i="13"/>
  <c r="C981" i="13"/>
  <c r="B981" i="13"/>
  <c r="BD980" i="13"/>
  <c r="BH980" i="13" s="1"/>
  <c r="AI980" i="13"/>
  <c r="Z980" i="13"/>
  <c r="AA980" i="13" s="1"/>
  <c r="AC980" i="13" s="1"/>
  <c r="T980" i="13"/>
  <c r="V980" i="13" s="1"/>
  <c r="P980" i="13"/>
  <c r="K980" i="13"/>
  <c r="E980" i="13"/>
  <c r="D980" i="13"/>
  <c r="C980" i="13"/>
  <c r="B980" i="13"/>
  <c r="BD979" i="13"/>
  <c r="BM979" i="13" s="1"/>
  <c r="AI979" i="13"/>
  <c r="Z979" i="13"/>
  <c r="T979" i="13"/>
  <c r="P979" i="13"/>
  <c r="K979" i="13"/>
  <c r="E979" i="13"/>
  <c r="D979" i="13"/>
  <c r="C979" i="13"/>
  <c r="B979" i="13"/>
  <c r="BD978" i="13"/>
  <c r="AI978" i="13"/>
  <c r="AW978" i="13" s="1"/>
  <c r="Z978" i="13"/>
  <c r="AA978" i="13" s="1"/>
  <c r="AC978" i="13" s="1"/>
  <c r="T978" i="13"/>
  <c r="U978" i="13" s="1"/>
  <c r="W978" i="13" s="1"/>
  <c r="P978" i="13"/>
  <c r="K978" i="13"/>
  <c r="E978" i="13"/>
  <c r="D978" i="13"/>
  <c r="C978" i="13"/>
  <c r="B978" i="13"/>
  <c r="BD977" i="13"/>
  <c r="AI977" i="13"/>
  <c r="AJ977" i="13" s="1"/>
  <c r="Z977" i="13"/>
  <c r="T977" i="13"/>
  <c r="V977" i="13" s="1"/>
  <c r="P977" i="13"/>
  <c r="K977" i="13"/>
  <c r="E977" i="13"/>
  <c r="D977" i="13"/>
  <c r="C977" i="13"/>
  <c r="B977" i="13"/>
  <c r="BD976" i="13"/>
  <c r="BP976" i="13" s="1"/>
  <c r="AI976" i="13"/>
  <c r="Z976" i="13"/>
  <c r="T976" i="13"/>
  <c r="V976" i="13" s="1"/>
  <c r="P976" i="13"/>
  <c r="K976" i="13"/>
  <c r="E976" i="13"/>
  <c r="D976" i="13"/>
  <c r="C976" i="13"/>
  <c r="B976" i="13"/>
  <c r="BD975" i="13"/>
  <c r="BF975" i="13" s="1"/>
  <c r="AI975" i="13"/>
  <c r="AU975" i="13" s="1"/>
  <c r="Z975" i="13"/>
  <c r="T975" i="13"/>
  <c r="V975" i="13" s="1"/>
  <c r="P975" i="13"/>
  <c r="K975" i="13"/>
  <c r="E975" i="13"/>
  <c r="D975" i="13"/>
  <c r="C975" i="13"/>
  <c r="B975" i="13"/>
  <c r="BD974" i="13"/>
  <c r="AI974" i="13"/>
  <c r="Z974" i="13"/>
  <c r="T974" i="13"/>
  <c r="U974" i="13" s="1"/>
  <c r="W974" i="13" s="1"/>
  <c r="P974" i="13"/>
  <c r="K974" i="13"/>
  <c r="E974" i="13"/>
  <c r="D974" i="13"/>
  <c r="C974" i="13"/>
  <c r="B974" i="13"/>
  <c r="BD973" i="13"/>
  <c r="AI973" i="13"/>
  <c r="AX973" i="13" s="1"/>
  <c r="Z973" i="13"/>
  <c r="T973" i="13"/>
  <c r="U973" i="13" s="1"/>
  <c r="W973" i="13" s="1"/>
  <c r="P973" i="13"/>
  <c r="K973" i="13"/>
  <c r="E973" i="13"/>
  <c r="D973" i="13"/>
  <c r="C973" i="13"/>
  <c r="B973" i="13"/>
  <c r="BD972" i="13"/>
  <c r="BP972" i="13" s="1"/>
  <c r="AI972" i="13"/>
  <c r="BA972" i="13" s="1"/>
  <c r="Z972" i="13"/>
  <c r="T972" i="13"/>
  <c r="U972" i="13" s="1"/>
  <c r="W972" i="13" s="1"/>
  <c r="P972" i="13"/>
  <c r="K972" i="13"/>
  <c r="E972" i="13"/>
  <c r="D972" i="13"/>
  <c r="C972" i="13"/>
  <c r="B972" i="13"/>
  <c r="BD971" i="13"/>
  <c r="AI971" i="13"/>
  <c r="AN971" i="13" s="1"/>
  <c r="Z971" i="13"/>
  <c r="T971" i="13"/>
  <c r="U971" i="13" s="1"/>
  <c r="W971" i="13" s="1"/>
  <c r="P971" i="13"/>
  <c r="K971" i="13"/>
  <c r="E971" i="13"/>
  <c r="D971" i="13"/>
  <c r="C971" i="13"/>
  <c r="B971" i="13"/>
  <c r="BD970" i="13"/>
  <c r="BS970" i="13" s="1"/>
  <c r="AI970" i="13"/>
  <c r="AR970" i="13" s="1"/>
  <c r="Z970" i="13"/>
  <c r="AB970" i="13" s="1"/>
  <c r="T970" i="13"/>
  <c r="U970" i="13" s="1"/>
  <c r="W970" i="13" s="1"/>
  <c r="P970" i="13"/>
  <c r="K970" i="13"/>
  <c r="E970" i="13"/>
  <c r="D970" i="13"/>
  <c r="C970" i="13"/>
  <c r="B970" i="13"/>
  <c r="BD969" i="13"/>
  <c r="BG969" i="13" s="1"/>
  <c r="AI969" i="13"/>
  <c r="Z969" i="13"/>
  <c r="AB969" i="13" s="1"/>
  <c r="T969" i="13"/>
  <c r="P969" i="13"/>
  <c r="K969" i="13"/>
  <c r="E969" i="13"/>
  <c r="D969" i="13"/>
  <c r="C969" i="13"/>
  <c r="B969" i="13"/>
  <c r="BD968" i="13"/>
  <c r="AI968" i="13"/>
  <c r="Z968" i="13"/>
  <c r="T968" i="13"/>
  <c r="U968" i="13" s="1"/>
  <c r="W968" i="13" s="1"/>
  <c r="P968" i="13"/>
  <c r="K968" i="13"/>
  <c r="E968" i="13"/>
  <c r="D968" i="13"/>
  <c r="C968" i="13"/>
  <c r="B968" i="13"/>
  <c r="BD967" i="13"/>
  <c r="BU967" i="13" s="1"/>
  <c r="AI967" i="13"/>
  <c r="AX967" i="13" s="1"/>
  <c r="Z967" i="13"/>
  <c r="AA967" i="13" s="1"/>
  <c r="AC967" i="13" s="1"/>
  <c r="T967" i="13"/>
  <c r="U967" i="13" s="1"/>
  <c r="W967" i="13" s="1"/>
  <c r="P967" i="13"/>
  <c r="K967" i="13"/>
  <c r="E967" i="13"/>
  <c r="D967" i="13"/>
  <c r="C967" i="13"/>
  <c r="B967" i="13"/>
  <c r="BD966" i="13"/>
  <c r="AI966" i="13"/>
  <c r="Z966" i="13"/>
  <c r="AB966" i="13" s="1"/>
  <c r="T966" i="13"/>
  <c r="P966" i="13"/>
  <c r="K966" i="13"/>
  <c r="E966" i="13"/>
  <c r="D966" i="13"/>
  <c r="C966" i="13"/>
  <c r="B966" i="13"/>
  <c r="BD965" i="13"/>
  <c r="BU965" i="13" s="1"/>
  <c r="AI965" i="13"/>
  <c r="AT965" i="13" s="1"/>
  <c r="Z965" i="13"/>
  <c r="T965" i="13"/>
  <c r="P965" i="13"/>
  <c r="K965" i="13"/>
  <c r="E965" i="13"/>
  <c r="D965" i="13"/>
  <c r="C965" i="13"/>
  <c r="B965" i="13"/>
  <c r="BD964" i="13"/>
  <c r="BL964" i="13" s="1"/>
  <c r="AI964" i="13"/>
  <c r="Z964" i="13"/>
  <c r="AB964" i="13" s="1"/>
  <c r="T964" i="13"/>
  <c r="U964" i="13" s="1"/>
  <c r="W964" i="13" s="1"/>
  <c r="P964" i="13"/>
  <c r="K964" i="13"/>
  <c r="E964" i="13"/>
  <c r="D964" i="13"/>
  <c r="C964" i="13"/>
  <c r="B964" i="13"/>
  <c r="BD963" i="13"/>
  <c r="AI963" i="13"/>
  <c r="AK963" i="13" s="1"/>
  <c r="Z963" i="13"/>
  <c r="T963" i="13"/>
  <c r="V963" i="13" s="1"/>
  <c r="P963" i="13"/>
  <c r="K963" i="13"/>
  <c r="E963" i="13"/>
  <c r="D963" i="13"/>
  <c r="C963" i="13"/>
  <c r="B963" i="13"/>
  <c r="BD962" i="13"/>
  <c r="AI962" i="13"/>
  <c r="Z962" i="13"/>
  <c r="AB962" i="13" s="1"/>
  <c r="T962" i="13"/>
  <c r="P962" i="13"/>
  <c r="K962" i="13"/>
  <c r="E962" i="13"/>
  <c r="D962" i="13"/>
  <c r="C962" i="13"/>
  <c r="B962" i="13"/>
  <c r="BD961" i="13"/>
  <c r="BN961" i="13" s="1"/>
  <c r="AI961" i="13"/>
  <c r="AZ961" i="13" s="1"/>
  <c r="Z961" i="13"/>
  <c r="AB961" i="13" s="1"/>
  <c r="T961" i="13"/>
  <c r="V961" i="13" s="1"/>
  <c r="P961" i="13"/>
  <c r="K961" i="13"/>
  <c r="E961" i="13"/>
  <c r="D961" i="13"/>
  <c r="C961" i="13"/>
  <c r="B961" i="13"/>
  <c r="BD960" i="13"/>
  <c r="AI960" i="13"/>
  <c r="AL960" i="13" s="1"/>
  <c r="Z960" i="13"/>
  <c r="AA960" i="13" s="1"/>
  <c r="AC960" i="13" s="1"/>
  <c r="T960" i="13"/>
  <c r="P960" i="13"/>
  <c r="K960" i="13"/>
  <c r="E960" i="13"/>
  <c r="D960" i="13"/>
  <c r="C960" i="13"/>
  <c r="B960" i="13"/>
  <c r="BD959" i="13"/>
  <c r="AI959" i="13"/>
  <c r="AT959" i="13" s="1"/>
  <c r="Z959" i="13"/>
  <c r="T959" i="13"/>
  <c r="P959" i="13"/>
  <c r="K959" i="13"/>
  <c r="E959" i="13"/>
  <c r="D959" i="13"/>
  <c r="C959" i="13"/>
  <c r="B959" i="13"/>
  <c r="BD958" i="13"/>
  <c r="AI958" i="13"/>
  <c r="AY958" i="13" s="1"/>
  <c r="Z958" i="13"/>
  <c r="T958" i="13"/>
  <c r="V958" i="13" s="1"/>
  <c r="P958" i="13"/>
  <c r="K958" i="13"/>
  <c r="E958" i="13"/>
  <c r="D958" i="13"/>
  <c r="C958" i="13"/>
  <c r="B958" i="13"/>
  <c r="BD957" i="13"/>
  <c r="BW957" i="13" s="1"/>
  <c r="AI957" i="13"/>
  <c r="Z957" i="13"/>
  <c r="AB957" i="13" s="1"/>
  <c r="T957" i="13"/>
  <c r="P957" i="13"/>
  <c r="K957" i="13"/>
  <c r="E957" i="13"/>
  <c r="D957" i="13"/>
  <c r="C957" i="13"/>
  <c r="B957" i="13"/>
  <c r="BD956" i="13"/>
  <c r="AI956" i="13"/>
  <c r="AX956" i="13" s="1"/>
  <c r="Z956" i="13"/>
  <c r="AA956" i="13" s="1"/>
  <c r="AC956" i="13" s="1"/>
  <c r="T956" i="13"/>
  <c r="U956" i="13" s="1"/>
  <c r="W956" i="13" s="1"/>
  <c r="P956" i="13"/>
  <c r="K956" i="13"/>
  <c r="E956" i="13"/>
  <c r="D956" i="13"/>
  <c r="C956" i="13"/>
  <c r="B956" i="13"/>
  <c r="BD955" i="13"/>
  <c r="BV955" i="13" s="1"/>
  <c r="AI955" i="13"/>
  <c r="Z955" i="13"/>
  <c r="T955" i="13"/>
  <c r="V955" i="13" s="1"/>
  <c r="P955" i="13"/>
  <c r="K955" i="13"/>
  <c r="E955" i="13"/>
  <c r="D955" i="13"/>
  <c r="C955" i="13"/>
  <c r="B955" i="13"/>
  <c r="BD954" i="13"/>
  <c r="AI954" i="13"/>
  <c r="AR954" i="13" s="1"/>
  <c r="Z954" i="13"/>
  <c r="AB954" i="13" s="1"/>
  <c r="T954" i="13"/>
  <c r="V954" i="13" s="1"/>
  <c r="P954" i="13"/>
  <c r="K954" i="13"/>
  <c r="E954" i="13"/>
  <c r="D954" i="13"/>
  <c r="C954" i="13"/>
  <c r="B954" i="13"/>
  <c r="BD953" i="13"/>
  <c r="AI953" i="13"/>
  <c r="AL953" i="13" s="1"/>
  <c r="Z953" i="13"/>
  <c r="T953" i="13"/>
  <c r="P953" i="13"/>
  <c r="K953" i="13"/>
  <c r="E953" i="13"/>
  <c r="D953" i="13"/>
  <c r="C953" i="13"/>
  <c r="B953" i="13"/>
  <c r="BD952" i="13"/>
  <c r="BS952" i="13" s="1"/>
  <c r="AI952" i="13"/>
  <c r="Z952" i="13"/>
  <c r="T952" i="13"/>
  <c r="U952" i="13" s="1"/>
  <c r="W952" i="13" s="1"/>
  <c r="P952" i="13"/>
  <c r="K952" i="13"/>
  <c r="E952" i="13"/>
  <c r="D952" i="13"/>
  <c r="C952" i="13"/>
  <c r="B952" i="13"/>
  <c r="BD951" i="13"/>
  <c r="AI951" i="13"/>
  <c r="Z951" i="13"/>
  <c r="AB951" i="13" s="1"/>
  <c r="T951" i="13"/>
  <c r="U951" i="13" s="1"/>
  <c r="W951" i="13" s="1"/>
  <c r="P951" i="13"/>
  <c r="K951" i="13"/>
  <c r="E951" i="13"/>
  <c r="D951" i="13"/>
  <c r="C951" i="13"/>
  <c r="B951" i="13"/>
  <c r="BD950" i="13"/>
  <c r="BM950" i="13" s="1"/>
  <c r="AI950" i="13"/>
  <c r="AQ950" i="13" s="1"/>
  <c r="Z950" i="13"/>
  <c r="T950" i="13"/>
  <c r="P950" i="13"/>
  <c r="K950" i="13"/>
  <c r="E950" i="13"/>
  <c r="D950" i="13"/>
  <c r="C950" i="13"/>
  <c r="B950" i="13"/>
  <c r="BD949" i="13"/>
  <c r="BN949" i="13" s="1"/>
  <c r="AI949" i="13"/>
  <c r="Z949" i="13"/>
  <c r="AB949" i="13" s="1"/>
  <c r="T949" i="13"/>
  <c r="P949" i="13"/>
  <c r="K949" i="13"/>
  <c r="E949" i="13"/>
  <c r="D949" i="13"/>
  <c r="C949" i="13"/>
  <c r="B949" i="13"/>
  <c r="BD948" i="13"/>
  <c r="BU948" i="13" s="1"/>
  <c r="AI948" i="13"/>
  <c r="AK948" i="13" s="1"/>
  <c r="Z948" i="13"/>
  <c r="T948" i="13"/>
  <c r="P948" i="13"/>
  <c r="K948" i="13"/>
  <c r="E948" i="13"/>
  <c r="D948" i="13"/>
  <c r="C948" i="13"/>
  <c r="B948" i="13"/>
  <c r="BD947" i="13"/>
  <c r="BO947" i="13" s="1"/>
  <c r="AI947" i="13"/>
  <c r="AX947" i="13" s="1"/>
  <c r="Z947" i="13"/>
  <c r="AB947" i="13" s="1"/>
  <c r="T947" i="13"/>
  <c r="P947" i="13"/>
  <c r="K947" i="13"/>
  <c r="E947" i="13"/>
  <c r="D947" i="13"/>
  <c r="C947" i="13"/>
  <c r="B947" i="13"/>
  <c r="BD946" i="13"/>
  <c r="BJ946" i="13" s="1"/>
  <c r="AI946" i="13"/>
  <c r="AY946" i="13" s="1"/>
  <c r="Z946" i="13"/>
  <c r="AB946" i="13" s="1"/>
  <c r="T946" i="13"/>
  <c r="P946" i="13"/>
  <c r="K946" i="13"/>
  <c r="E946" i="13"/>
  <c r="D946" i="13"/>
  <c r="C946" i="13"/>
  <c r="B946" i="13"/>
  <c r="BD945" i="13"/>
  <c r="BU945" i="13" s="1"/>
  <c r="AI945" i="13"/>
  <c r="AN945" i="13" s="1"/>
  <c r="Z945" i="13"/>
  <c r="AA945" i="13" s="1"/>
  <c r="AC945" i="13" s="1"/>
  <c r="T945" i="13"/>
  <c r="P945" i="13"/>
  <c r="K945" i="13"/>
  <c r="E945" i="13"/>
  <c r="D945" i="13"/>
  <c r="C945" i="13"/>
  <c r="B945" i="13"/>
  <c r="BD944" i="13"/>
  <c r="BM944" i="13" s="1"/>
  <c r="AI944" i="13"/>
  <c r="AP944" i="13" s="1"/>
  <c r="Z944" i="13"/>
  <c r="AB944" i="13" s="1"/>
  <c r="T944" i="13"/>
  <c r="P944" i="13"/>
  <c r="K944" i="13"/>
  <c r="E944" i="13"/>
  <c r="D944" i="13"/>
  <c r="C944" i="13"/>
  <c r="B944" i="13"/>
  <c r="BD943" i="13"/>
  <c r="AI943" i="13"/>
  <c r="Z943" i="13"/>
  <c r="AB943" i="13" s="1"/>
  <c r="T943" i="13"/>
  <c r="P943" i="13"/>
  <c r="K943" i="13"/>
  <c r="E943" i="13"/>
  <c r="D943" i="13"/>
  <c r="C943" i="13"/>
  <c r="B943" i="13"/>
  <c r="BD942" i="13"/>
  <c r="BT942" i="13" s="1"/>
  <c r="AI942" i="13"/>
  <c r="AL942" i="13" s="1"/>
  <c r="Z942" i="13"/>
  <c r="T942" i="13"/>
  <c r="U942" i="13" s="1"/>
  <c r="W942" i="13" s="1"/>
  <c r="P942" i="13"/>
  <c r="K942" i="13"/>
  <c r="E942" i="13"/>
  <c r="D942" i="13"/>
  <c r="C942" i="13"/>
  <c r="B942" i="13"/>
  <c r="BD941" i="13"/>
  <c r="AI941" i="13"/>
  <c r="AT941" i="13" s="1"/>
  <c r="Z941" i="13"/>
  <c r="T941" i="13"/>
  <c r="P941" i="13"/>
  <c r="K941" i="13"/>
  <c r="E941" i="13"/>
  <c r="D941" i="13"/>
  <c r="C941" i="13"/>
  <c r="B941" i="13"/>
  <c r="BD940" i="13"/>
  <c r="AI940" i="13"/>
  <c r="Z940" i="13"/>
  <c r="AB940" i="13" s="1"/>
  <c r="T940" i="13"/>
  <c r="U940" i="13" s="1"/>
  <c r="W940" i="13" s="1"/>
  <c r="P940" i="13"/>
  <c r="K940" i="13"/>
  <c r="E940" i="13"/>
  <c r="D940" i="13"/>
  <c r="C940" i="13"/>
  <c r="B940" i="13"/>
  <c r="BD939" i="13"/>
  <c r="BT939" i="13" s="1"/>
  <c r="AI939" i="13"/>
  <c r="Z939" i="13"/>
  <c r="AB939" i="13" s="1"/>
  <c r="T939" i="13"/>
  <c r="V939" i="13" s="1"/>
  <c r="P939" i="13"/>
  <c r="K939" i="13"/>
  <c r="E939" i="13"/>
  <c r="D939" i="13"/>
  <c r="C939" i="13"/>
  <c r="B939" i="13"/>
  <c r="BD938" i="13"/>
  <c r="BO938" i="13" s="1"/>
  <c r="AI938" i="13"/>
  <c r="BB938" i="13" s="1"/>
  <c r="Z938" i="13"/>
  <c r="AB938" i="13" s="1"/>
  <c r="T938" i="13"/>
  <c r="P938" i="13"/>
  <c r="K938" i="13"/>
  <c r="E938" i="13"/>
  <c r="D938" i="13"/>
  <c r="C938" i="13"/>
  <c r="B938" i="13"/>
  <c r="BD937" i="13"/>
  <c r="AI937" i="13"/>
  <c r="Z937" i="13"/>
  <c r="AB937" i="13" s="1"/>
  <c r="T937" i="13"/>
  <c r="V937" i="13" s="1"/>
  <c r="P937" i="13"/>
  <c r="K937" i="13"/>
  <c r="E937" i="13"/>
  <c r="D937" i="13"/>
  <c r="C937" i="13"/>
  <c r="B937" i="13"/>
  <c r="BD936" i="13"/>
  <c r="AI936" i="13"/>
  <c r="Z936" i="13"/>
  <c r="AB936" i="13" s="1"/>
  <c r="T936" i="13"/>
  <c r="V936" i="13" s="1"/>
  <c r="P936" i="13"/>
  <c r="K936" i="13"/>
  <c r="E936" i="13"/>
  <c r="D936" i="13"/>
  <c r="C936" i="13"/>
  <c r="B936" i="13"/>
  <c r="BD935" i="13"/>
  <c r="AI935" i="13"/>
  <c r="AM935" i="13" s="1"/>
  <c r="Z935" i="13"/>
  <c r="T935" i="13"/>
  <c r="V935" i="13" s="1"/>
  <c r="P935" i="13"/>
  <c r="K935" i="13"/>
  <c r="E935" i="13"/>
  <c r="D935" i="13"/>
  <c r="C935" i="13"/>
  <c r="B935" i="13"/>
  <c r="BD934" i="13"/>
  <c r="BW934" i="13" s="1"/>
  <c r="AI934" i="13"/>
  <c r="AY934" i="13" s="1"/>
  <c r="Z934" i="13"/>
  <c r="T934" i="13"/>
  <c r="V934" i="13" s="1"/>
  <c r="P934" i="13"/>
  <c r="K934" i="13"/>
  <c r="E934" i="13"/>
  <c r="D934" i="13"/>
  <c r="C934" i="13"/>
  <c r="B934" i="13"/>
  <c r="BD933" i="13"/>
  <c r="AI933" i="13"/>
  <c r="AJ933" i="13" s="1"/>
  <c r="Z933" i="13"/>
  <c r="AB933" i="13" s="1"/>
  <c r="T933" i="13"/>
  <c r="P933" i="13"/>
  <c r="K933" i="13"/>
  <c r="E933" i="13"/>
  <c r="D933" i="13"/>
  <c r="C933" i="13"/>
  <c r="B933" i="13"/>
  <c r="BD932" i="13"/>
  <c r="AI932" i="13"/>
  <c r="Z932" i="13"/>
  <c r="T932" i="13"/>
  <c r="P932" i="13"/>
  <c r="K932" i="13"/>
  <c r="E932" i="13"/>
  <c r="D932" i="13"/>
  <c r="C932" i="13"/>
  <c r="B932" i="13"/>
  <c r="BD931" i="13"/>
  <c r="AI931" i="13"/>
  <c r="AY931" i="13" s="1"/>
  <c r="Z931" i="13"/>
  <c r="AB931" i="13" s="1"/>
  <c r="T931" i="13"/>
  <c r="U931" i="13" s="1"/>
  <c r="W931" i="13" s="1"/>
  <c r="P931" i="13"/>
  <c r="K931" i="13"/>
  <c r="E931" i="13"/>
  <c r="D931" i="13"/>
  <c r="C931" i="13"/>
  <c r="B931" i="13"/>
  <c r="BD930" i="13"/>
  <c r="AI930" i="13"/>
  <c r="AT930" i="13" s="1"/>
  <c r="Z930" i="13"/>
  <c r="AB930" i="13" s="1"/>
  <c r="T930" i="13"/>
  <c r="P930" i="13"/>
  <c r="K930" i="13"/>
  <c r="E930" i="13"/>
  <c r="D930" i="13"/>
  <c r="C930" i="13"/>
  <c r="B930" i="13"/>
  <c r="BD929" i="13"/>
  <c r="BF929" i="13" s="1"/>
  <c r="AI929" i="13"/>
  <c r="Z929" i="13"/>
  <c r="AB929" i="13" s="1"/>
  <c r="T929" i="13"/>
  <c r="P929" i="13"/>
  <c r="K929" i="13"/>
  <c r="E929" i="13"/>
  <c r="D929" i="13"/>
  <c r="C929" i="13"/>
  <c r="B929" i="13"/>
  <c r="BD928" i="13"/>
  <c r="AI928" i="13"/>
  <c r="Z928" i="13"/>
  <c r="T928" i="13"/>
  <c r="V928" i="13" s="1"/>
  <c r="P928" i="13"/>
  <c r="K928" i="13"/>
  <c r="E928" i="13"/>
  <c r="D928" i="13"/>
  <c r="C928" i="13"/>
  <c r="B928" i="13"/>
  <c r="BD927" i="13"/>
  <c r="AI927" i="13"/>
  <c r="Z927" i="13"/>
  <c r="T927" i="13"/>
  <c r="P927" i="13"/>
  <c r="K927" i="13"/>
  <c r="E927" i="13"/>
  <c r="D927" i="13"/>
  <c r="C927" i="13"/>
  <c r="B927" i="13"/>
  <c r="BD926" i="13"/>
  <c r="AI926" i="13"/>
  <c r="Z926" i="13"/>
  <c r="T926" i="13"/>
  <c r="P926" i="13"/>
  <c r="K926" i="13"/>
  <c r="E926" i="13"/>
  <c r="D926" i="13"/>
  <c r="C926" i="13"/>
  <c r="B926" i="13"/>
  <c r="BD925" i="13"/>
  <c r="AI925" i="13"/>
  <c r="Z925" i="13"/>
  <c r="AB925" i="13" s="1"/>
  <c r="T925" i="13"/>
  <c r="P925" i="13"/>
  <c r="K925" i="13"/>
  <c r="E925" i="13"/>
  <c r="D925" i="13"/>
  <c r="C925" i="13"/>
  <c r="B925" i="13"/>
  <c r="BD924" i="13"/>
  <c r="AI924" i="13"/>
  <c r="BA924" i="13" s="1"/>
  <c r="Z924" i="13"/>
  <c r="AB924" i="13" s="1"/>
  <c r="T924" i="13"/>
  <c r="P924" i="13"/>
  <c r="K924" i="13"/>
  <c r="E924" i="13"/>
  <c r="D924" i="13"/>
  <c r="C924" i="13"/>
  <c r="B924" i="13"/>
  <c r="BD923" i="13"/>
  <c r="BM923" i="13" s="1"/>
  <c r="AI923" i="13"/>
  <c r="AQ923" i="13" s="1"/>
  <c r="Z923" i="13"/>
  <c r="AA923" i="13" s="1"/>
  <c r="AC923" i="13" s="1"/>
  <c r="T923" i="13"/>
  <c r="P923" i="13"/>
  <c r="K923" i="13"/>
  <c r="E923" i="13"/>
  <c r="D923" i="13"/>
  <c r="C923" i="13"/>
  <c r="B923" i="13"/>
  <c r="BD922" i="13"/>
  <c r="BK922" i="13" s="1"/>
  <c r="AI922" i="13"/>
  <c r="BB922" i="13" s="1"/>
  <c r="Z922" i="13"/>
  <c r="AA922" i="13" s="1"/>
  <c r="AC922" i="13" s="1"/>
  <c r="T922" i="13"/>
  <c r="P922" i="13"/>
  <c r="K922" i="13"/>
  <c r="E922" i="13"/>
  <c r="D922" i="13"/>
  <c r="C922" i="13"/>
  <c r="B922" i="13"/>
  <c r="BD921" i="13"/>
  <c r="AI921" i="13"/>
  <c r="AY921" i="13" s="1"/>
  <c r="Z921" i="13"/>
  <c r="T921" i="13"/>
  <c r="V921" i="13" s="1"/>
  <c r="P921" i="13"/>
  <c r="K921" i="13"/>
  <c r="E921" i="13"/>
  <c r="D921" i="13"/>
  <c r="C921" i="13"/>
  <c r="B921" i="13"/>
  <c r="BD920" i="13"/>
  <c r="BJ920" i="13" s="1"/>
  <c r="AI920" i="13"/>
  <c r="AX920" i="13" s="1"/>
  <c r="Z920" i="13"/>
  <c r="AB920" i="13" s="1"/>
  <c r="T920" i="13"/>
  <c r="P920" i="13"/>
  <c r="K920" i="13"/>
  <c r="E920" i="13"/>
  <c r="D920" i="13"/>
  <c r="C920" i="13"/>
  <c r="B920" i="13"/>
  <c r="BD919" i="13"/>
  <c r="AI919" i="13"/>
  <c r="AJ919" i="13" s="1"/>
  <c r="Z919" i="13"/>
  <c r="T919" i="13"/>
  <c r="U919" i="13" s="1"/>
  <c r="W919" i="13" s="1"/>
  <c r="P919" i="13"/>
  <c r="K919" i="13"/>
  <c r="E919" i="13"/>
  <c r="D919" i="13"/>
  <c r="C919" i="13"/>
  <c r="B919" i="13"/>
  <c r="BD918" i="13"/>
  <c r="AI918" i="13"/>
  <c r="Z918" i="13"/>
  <c r="AB918" i="13" s="1"/>
  <c r="T918" i="13"/>
  <c r="U918" i="13" s="1"/>
  <c r="W918" i="13" s="1"/>
  <c r="P918" i="13"/>
  <c r="K918" i="13"/>
  <c r="E918" i="13"/>
  <c r="D918" i="13"/>
  <c r="C918" i="13"/>
  <c r="B918" i="13"/>
  <c r="BD917" i="13"/>
  <c r="AI917" i="13"/>
  <c r="Z917" i="13"/>
  <c r="T917" i="13"/>
  <c r="V917" i="13" s="1"/>
  <c r="P917" i="13"/>
  <c r="K917" i="13"/>
  <c r="E917" i="13"/>
  <c r="D917" i="13"/>
  <c r="C917" i="13"/>
  <c r="B917" i="13"/>
  <c r="BD916" i="13"/>
  <c r="BL916" i="13" s="1"/>
  <c r="AI916" i="13"/>
  <c r="Z916" i="13"/>
  <c r="AB916" i="13" s="1"/>
  <c r="T916" i="13"/>
  <c r="P916" i="13"/>
  <c r="K916" i="13"/>
  <c r="E916" i="13"/>
  <c r="D916" i="13"/>
  <c r="C916" i="13"/>
  <c r="B916" i="13"/>
  <c r="BD915" i="13"/>
  <c r="BH915" i="13" s="1"/>
  <c r="AI915" i="13"/>
  <c r="Z915" i="13"/>
  <c r="AB915" i="13" s="1"/>
  <c r="T915" i="13"/>
  <c r="U915" i="13" s="1"/>
  <c r="W915" i="13" s="1"/>
  <c r="P915" i="13"/>
  <c r="K915" i="13"/>
  <c r="E915" i="13"/>
  <c r="D915" i="13"/>
  <c r="C915" i="13"/>
  <c r="B915" i="13"/>
  <c r="BD914" i="13"/>
  <c r="BM914" i="13" s="1"/>
  <c r="AI914" i="13"/>
  <c r="Z914" i="13"/>
  <c r="AB914" i="13" s="1"/>
  <c r="T914" i="13"/>
  <c r="P914" i="13"/>
  <c r="K914" i="13"/>
  <c r="E914" i="13"/>
  <c r="D914" i="13"/>
  <c r="C914" i="13"/>
  <c r="B914" i="13"/>
  <c r="BD913" i="13"/>
  <c r="AI913" i="13"/>
  <c r="AP913" i="13" s="1"/>
  <c r="Z913" i="13"/>
  <c r="AA913" i="13" s="1"/>
  <c r="AC913" i="13" s="1"/>
  <c r="T913" i="13"/>
  <c r="U913" i="13" s="1"/>
  <c r="W913" i="13" s="1"/>
  <c r="P913" i="13"/>
  <c r="K913" i="13"/>
  <c r="E913" i="13"/>
  <c r="D913" i="13"/>
  <c r="C913" i="13"/>
  <c r="B913" i="13"/>
  <c r="BD912" i="13"/>
  <c r="BT912" i="13" s="1"/>
  <c r="AI912" i="13"/>
  <c r="AY912" i="13" s="1"/>
  <c r="Z912" i="13"/>
  <c r="T912" i="13"/>
  <c r="U912" i="13" s="1"/>
  <c r="W912" i="13" s="1"/>
  <c r="P912" i="13"/>
  <c r="K912" i="13"/>
  <c r="E912" i="13"/>
  <c r="D912" i="13"/>
  <c r="C912" i="13"/>
  <c r="B912" i="13"/>
  <c r="BD911" i="13"/>
  <c r="AI911" i="13"/>
  <c r="AN911" i="13" s="1"/>
  <c r="Z911" i="13"/>
  <c r="AB911" i="13" s="1"/>
  <c r="T911" i="13"/>
  <c r="P911" i="13"/>
  <c r="K911" i="13"/>
  <c r="E911" i="13"/>
  <c r="D911" i="13"/>
  <c r="C911" i="13"/>
  <c r="B911" i="13"/>
  <c r="BD910" i="13"/>
  <c r="AI910" i="13"/>
  <c r="Z910" i="13"/>
  <c r="T910" i="13"/>
  <c r="U910" i="13" s="1"/>
  <c r="W910" i="13" s="1"/>
  <c r="P910" i="13"/>
  <c r="K910" i="13"/>
  <c r="E910" i="13"/>
  <c r="D910" i="13"/>
  <c r="C910" i="13"/>
  <c r="B910" i="13"/>
  <c r="BD909" i="13"/>
  <c r="BV909" i="13" s="1"/>
  <c r="AI909" i="13"/>
  <c r="Z909" i="13"/>
  <c r="AA909" i="13" s="1"/>
  <c r="AC909" i="13" s="1"/>
  <c r="T909" i="13"/>
  <c r="U909" i="13" s="1"/>
  <c r="W909" i="13" s="1"/>
  <c r="P909" i="13"/>
  <c r="K909" i="13"/>
  <c r="E909" i="13"/>
  <c r="D909" i="13"/>
  <c r="C909" i="13"/>
  <c r="B909" i="13"/>
  <c r="BD908" i="13"/>
  <c r="BM908" i="13" s="1"/>
  <c r="AI908" i="13"/>
  <c r="AN908" i="13" s="1"/>
  <c r="Z908" i="13"/>
  <c r="T908" i="13"/>
  <c r="P908" i="13"/>
  <c r="K908" i="13"/>
  <c r="E908" i="13"/>
  <c r="D908" i="13"/>
  <c r="C908" i="13"/>
  <c r="B908" i="13"/>
  <c r="BD907" i="13"/>
  <c r="BS907" i="13" s="1"/>
  <c r="AI907" i="13"/>
  <c r="Z907" i="13"/>
  <c r="T907" i="13"/>
  <c r="P907" i="13"/>
  <c r="K907" i="13"/>
  <c r="E907" i="13"/>
  <c r="D907" i="13"/>
  <c r="C907" i="13"/>
  <c r="B907" i="13"/>
  <c r="BD906" i="13"/>
  <c r="AI906" i="13"/>
  <c r="Z906" i="13"/>
  <c r="T906" i="13"/>
  <c r="P906" i="13"/>
  <c r="K906" i="13"/>
  <c r="E906" i="13"/>
  <c r="D906" i="13"/>
  <c r="C906" i="13"/>
  <c r="B906" i="13"/>
  <c r="BD905" i="13"/>
  <c r="BP905" i="13" s="1"/>
  <c r="AI905" i="13"/>
  <c r="AX905" i="13" s="1"/>
  <c r="Z905" i="13"/>
  <c r="T905" i="13"/>
  <c r="V905" i="13" s="1"/>
  <c r="P905" i="13"/>
  <c r="K905" i="13"/>
  <c r="E905" i="13"/>
  <c r="D905" i="13"/>
  <c r="C905" i="13"/>
  <c r="B905" i="13"/>
  <c r="BD904" i="13"/>
  <c r="BH904" i="13" s="1"/>
  <c r="AI904" i="13"/>
  <c r="Z904" i="13"/>
  <c r="T904" i="13"/>
  <c r="P904" i="13"/>
  <c r="K904" i="13"/>
  <c r="E904" i="13"/>
  <c r="D904" i="13"/>
  <c r="C904" i="13"/>
  <c r="B904" i="13"/>
  <c r="BD903" i="13"/>
  <c r="BE903" i="13" s="1"/>
  <c r="AI903" i="13"/>
  <c r="AS903" i="13" s="1"/>
  <c r="Z903" i="13"/>
  <c r="T903" i="13"/>
  <c r="P903" i="13"/>
  <c r="K903" i="13"/>
  <c r="E903" i="13"/>
  <c r="D903" i="13"/>
  <c r="C903" i="13"/>
  <c r="B903" i="13"/>
  <c r="BD902" i="13"/>
  <c r="AI902" i="13"/>
  <c r="BA902" i="13" s="1"/>
  <c r="Z902" i="13"/>
  <c r="T902" i="13"/>
  <c r="P902" i="13"/>
  <c r="K902" i="13"/>
  <c r="E902" i="13"/>
  <c r="D902" i="13"/>
  <c r="C902" i="13"/>
  <c r="B902" i="13"/>
  <c r="BD901" i="13"/>
  <c r="AI901" i="13"/>
  <c r="AT901" i="13" s="1"/>
  <c r="Z901" i="13"/>
  <c r="T901" i="13"/>
  <c r="P901" i="13"/>
  <c r="K901" i="13"/>
  <c r="E901" i="13"/>
  <c r="D901" i="13"/>
  <c r="C901" i="13"/>
  <c r="B901" i="13"/>
  <c r="BD900" i="13"/>
  <c r="AI900" i="13"/>
  <c r="AL900" i="13" s="1"/>
  <c r="Z900" i="13"/>
  <c r="T900" i="13"/>
  <c r="V900" i="13" s="1"/>
  <c r="P900" i="13"/>
  <c r="K900" i="13"/>
  <c r="E900" i="13"/>
  <c r="D900" i="13"/>
  <c r="C900" i="13"/>
  <c r="B900" i="13"/>
  <c r="BD899" i="13"/>
  <c r="BQ899" i="13" s="1"/>
  <c r="AI899" i="13"/>
  <c r="BB899" i="13" s="1"/>
  <c r="Z899" i="13"/>
  <c r="AA899" i="13" s="1"/>
  <c r="AC899" i="13" s="1"/>
  <c r="T899" i="13"/>
  <c r="P899" i="13"/>
  <c r="K899" i="13"/>
  <c r="E899" i="13"/>
  <c r="D899" i="13"/>
  <c r="C899" i="13"/>
  <c r="B899" i="13"/>
  <c r="BD898" i="13"/>
  <c r="AI898" i="13"/>
  <c r="Z898" i="13"/>
  <c r="T898" i="13"/>
  <c r="P898" i="13"/>
  <c r="K898" i="13"/>
  <c r="E898" i="13"/>
  <c r="D898" i="13"/>
  <c r="C898" i="13"/>
  <c r="B898" i="13"/>
  <c r="BD897" i="13"/>
  <c r="BG897" i="13" s="1"/>
  <c r="AI897" i="13"/>
  <c r="AV897" i="13" s="1"/>
  <c r="Z897" i="13"/>
  <c r="T897" i="13"/>
  <c r="U897" i="13" s="1"/>
  <c r="W897" i="13" s="1"/>
  <c r="P897" i="13"/>
  <c r="K897" i="13"/>
  <c r="E897" i="13"/>
  <c r="D897" i="13"/>
  <c r="C897" i="13"/>
  <c r="B897" i="13"/>
  <c r="BD896" i="13"/>
  <c r="AI896" i="13"/>
  <c r="Z896" i="13"/>
  <c r="T896" i="13"/>
  <c r="P896" i="13"/>
  <c r="K896" i="13"/>
  <c r="E896" i="13"/>
  <c r="D896" i="13"/>
  <c r="C896" i="13"/>
  <c r="B896" i="13"/>
  <c r="BD895" i="13"/>
  <c r="AI895" i="13"/>
  <c r="Z895" i="13"/>
  <c r="AB895" i="13" s="1"/>
  <c r="T895" i="13"/>
  <c r="P895" i="13"/>
  <c r="K895" i="13"/>
  <c r="E895" i="13"/>
  <c r="D895" i="13"/>
  <c r="C895" i="13"/>
  <c r="B895" i="13"/>
  <c r="BD894" i="13"/>
  <c r="AI894" i="13"/>
  <c r="Z894" i="13"/>
  <c r="AB894" i="13" s="1"/>
  <c r="T894" i="13"/>
  <c r="V894" i="13" s="1"/>
  <c r="P894" i="13"/>
  <c r="K894" i="13"/>
  <c r="E894" i="13"/>
  <c r="D894" i="13"/>
  <c r="C894" i="13"/>
  <c r="B894" i="13"/>
  <c r="BD893" i="13"/>
  <c r="AI893" i="13"/>
  <c r="Z893" i="13"/>
  <c r="T893" i="13"/>
  <c r="P893" i="13"/>
  <c r="K893" i="13"/>
  <c r="E893" i="13"/>
  <c r="D893" i="13"/>
  <c r="C893" i="13"/>
  <c r="B893" i="13"/>
  <c r="BD892" i="13"/>
  <c r="BR892" i="13" s="1"/>
  <c r="AI892" i="13"/>
  <c r="Z892" i="13"/>
  <c r="T892" i="13"/>
  <c r="V892" i="13" s="1"/>
  <c r="P892" i="13"/>
  <c r="K892" i="13"/>
  <c r="E892" i="13"/>
  <c r="D892" i="13"/>
  <c r="C892" i="13"/>
  <c r="B892" i="13"/>
  <c r="BD891" i="13"/>
  <c r="AI891" i="13"/>
  <c r="Z891" i="13"/>
  <c r="AB891" i="13" s="1"/>
  <c r="T891" i="13"/>
  <c r="P891" i="13"/>
  <c r="K891" i="13"/>
  <c r="E891" i="13"/>
  <c r="D891" i="13"/>
  <c r="C891" i="13"/>
  <c r="B891" i="13"/>
  <c r="BD890" i="13"/>
  <c r="BO890" i="13" s="1"/>
  <c r="AI890" i="13"/>
  <c r="AX890" i="13" s="1"/>
  <c r="Z890" i="13"/>
  <c r="AA890" i="13" s="1"/>
  <c r="AC890" i="13" s="1"/>
  <c r="T890" i="13"/>
  <c r="P890" i="13"/>
  <c r="K890" i="13"/>
  <c r="E890" i="13"/>
  <c r="D890" i="13"/>
  <c r="C890" i="13"/>
  <c r="B890" i="13"/>
  <c r="BD889" i="13"/>
  <c r="AI889" i="13"/>
  <c r="AV889" i="13" s="1"/>
  <c r="Z889" i="13"/>
  <c r="T889" i="13"/>
  <c r="P889" i="13"/>
  <c r="K889" i="13"/>
  <c r="E889" i="13"/>
  <c r="D889" i="13"/>
  <c r="C889" i="13"/>
  <c r="B889" i="13"/>
  <c r="BD888" i="13"/>
  <c r="BH888" i="13" s="1"/>
  <c r="AI888" i="13"/>
  <c r="Z888" i="13"/>
  <c r="T888" i="13"/>
  <c r="P888" i="13"/>
  <c r="K888" i="13"/>
  <c r="E888" i="13"/>
  <c r="D888" i="13"/>
  <c r="C888" i="13"/>
  <c r="B888" i="13"/>
  <c r="BD887" i="13"/>
  <c r="AI887" i="13"/>
  <c r="BB887" i="13" s="1"/>
  <c r="Z887" i="13"/>
  <c r="T887" i="13"/>
  <c r="P887" i="13"/>
  <c r="K887" i="13"/>
  <c r="E887" i="13"/>
  <c r="D887" i="13"/>
  <c r="C887" i="13"/>
  <c r="B887" i="13"/>
  <c r="BD886" i="13"/>
  <c r="AI886" i="13"/>
  <c r="Z886" i="13"/>
  <c r="AB886" i="13" s="1"/>
  <c r="T886" i="13"/>
  <c r="U886" i="13" s="1"/>
  <c r="W886" i="13" s="1"/>
  <c r="P886" i="13"/>
  <c r="K886" i="13"/>
  <c r="E886" i="13"/>
  <c r="D886" i="13"/>
  <c r="C886" i="13"/>
  <c r="B886" i="13"/>
  <c r="BD885" i="13"/>
  <c r="BG885" i="13" s="1"/>
  <c r="AI885" i="13"/>
  <c r="AR885" i="13" s="1"/>
  <c r="Z885" i="13"/>
  <c r="T885" i="13"/>
  <c r="P885" i="13"/>
  <c r="K885" i="13"/>
  <c r="E885" i="13"/>
  <c r="D885" i="13"/>
  <c r="C885" i="13"/>
  <c r="B885" i="13"/>
  <c r="BD884" i="13"/>
  <c r="AI884" i="13"/>
  <c r="Z884" i="13"/>
  <c r="AB884" i="13" s="1"/>
  <c r="T884" i="13"/>
  <c r="V884" i="13" s="1"/>
  <c r="P884" i="13"/>
  <c r="K884" i="13"/>
  <c r="E884" i="13"/>
  <c r="D884" i="13"/>
  <c r="C884" i="13"/>
  <c r="B884" i="13"/>
  <c r="BD883" i="13"/>
  <c r="BO883" i="13" s="1"/>
  <c r="AI883" i="13"/>
  <c r="AJ883" i="13" s="1"/>
  <c r="Z883" i="13"/>
  <c r="AA883" i="13" s="1"/>
  <c r="AC883" i="13" s="1"/>
  <c r="T883" i="13"/>
  <c r="V883" i="13" s="1"/>
  <c r="P883" i="13"/>
  <c r="K883" i="13"/>
  <c r="E883" i="13"/>
  <c r="D883" i="13"/>
  <c r="C883" i="13"/>
  <c r="B883" i="13"/>
  <c r="BD882" i="13"/>
  <c r="BQ882" i="13" s="1"/>
  <c r="AI882" i="13"/>
  <c r="Z882" i="13"/>
  <c r="AB882" i="13" s="1"/>
  <c r="T882" i="13"/>
  <c r="V882" i="13" s="1"/>
  <c r="P882" i="13"/>
  <c r="K882" i="13"/>
  <c r="E882" i="13"/>
  <c r="D882" i="13"/>
  <c r="C882" i="13"/>
  <c r="B882" i="13"/>
  <c r="BD881" i="13"/>
  <c r="AI881" i="13"/>
  <c r="Z881" i="13"/>
  <c r="AA881" i="13" s="1"/>
  <c r="AC881" i="13" s="1"/>
  <c r="T881" i="13"/>
  <c r="P881" i="13"/>
  <c r="K881" i="13"/>
  <c r="E881" i="13"/>
  <c r="D881" i="13"/>
  <c r="C881" i="13"/>
  <c r="B881" i="13"/>
  <c r="BD880" i="13"/>
  <c r="BS880" i="13" s="1"/>
  <c r="AI880" i="13"/>
  <c r="Z880" i="13"/>
  <c r="AA880" i="13" s="1"/>
  <c r="AC880" i="13" s="1"/>
  <c r="T880" i="13"/>
  <c r="P880" i="13"/>
  <c r="K880" i="13"/>
  <c r="E880" i="13"/>
  <c r="D880" i="13"/>
  <c r="C880" i="13"/>
  <c r="B880" i="13"/>
  <c r="BD879" i="13"/>
  <c r="AI879" i="13"/>
  <c r="Z879" i="13"/>
  <c r="T879" i="13"/>
  <c r="P879" i="13"/>
  <c r="K879" i="13"/>
  <c r="E879" i="13"/>
  <c r="D879" i="13"/>
  <c r="C879" i="13"/>
  <c r="B879" i="13"/>
  <c r="BD878" i="13"/>
  <c r="BU878" i="13" s="1"/>
  <c r="AI878" i="13"/>
  <c r="AW878" i="13" s="1"/>
  <c r="Z878" i="13"/>
  <c r="AB878" i="13" s="1"/>
  <c r="T878" i="13"/>
  <c r="V878" i="13" s="1"/>
  <c r="P878" i="13"/>
  <c r="K878" i="13"/>
  <c r="E878" i="13"/>
  <c r="D878" i="13"/>
  <c r="C878" i="13"/>
  <c r="B878" i="13"/>
  <c r="BD877" i="13"/>
  <c r="BQ877" i="13" s="1"/>
  <c r="AI877" i="13"/>
  <c r="Z877" i="13"/>
  <c r="AB877" i="13" s="1"/>
  <c r="T877" i="13"/>
  <c r="P877" i="13"/>
  <c r="K877" i="13"/>
  <c r="E877" i="13"/>
  <c r="D877" i="13"/>
  <c r="C877" i="13"/>
  <c r="B877" i="13"/>
  <c r="BD876" i="13"/>
  <c r="AI876" i="13"/>
  <c r="Z876" i="13"/>
  <c r="T876" i="13"/>
  <c r="V876" i="13" s="1"/>
  <c r="P876" i="13"/>
  <c r="K876" i="13"/>
  <c r="E876" i="13"/>
  <c r="D876" i="13"/>
  <c r="C876" i="13"/>
  <c r="B876" i="13"/>
  <c r="BD875" i="13"/>
  <c r="BL875" i="13" s="1"/>
  <c r="AI875" i="13"/>
  <c r="Z875" i="13"/>
  <c r="AB875" i="13" s="1"/>
  <c r="T875" i="13"/>
  <c r="V875" i="13" s="1"/>
  <c r="P875" i="13"/>
  <c r="K875" i="13"/>
  <c r="E875" i="13"/>
  <c r="D875" i="13"/>
  <c r="C875" i="13"/>
  <c r="B875" i="13"/>
  <c r="BD874" i="13"/>
  <c r="AI874" i="13"/>
  <c r="AR874" i="13" s="1"/>
  <c r="Z874" i="13"/>
  <c r="T874" i="13"/>
  <c r="U874" i="13" s="1"/>
  <c r="W874" i="13" s="1"/>
  <c r="P874" i="13"/>
  <c r="K874" i="13"/>
  <c r="E874" i="13"/>
  <c r="D874" i="13"/>
  <c r="C874" i="13"/>
  <c r="B874" i="13"/>
  <c r="BD873" i="13"/>
  <c r="AI873" i="13"/>
  <c r="AZ873" i="13" s="1"/>
  <c r="Z873" i="13"/>
  <c r="AA873" i="13" s="1"/>
  <c r="AC873" i="13" s="1"/>
  <c r="T873" i="13"/>
  <c r="U873" i="13" s="1"/>
  <c r="W873" i="13" s="1"/>
  <c r="P873" i="13"/>
  <c r="K873" i="13"/>
  <c r="E873" i="13"/>
  <c r="D873" i="13"/>
  <c r="C873" i="13"/>
  <c r="B873" i="13"/>
  <c r="BD872" i="13"/>
  <c r="AI872" i="13"/>
  <c r="AT872" i="13" s="1"/>
  <c r="Z872" i="13"/>
  <c r="T872" i="13"/>
  <c r="V872" i="13" s="1"/>
  <c r="P872" i="13"/>
  <c r="K872" i="13"/>
  <c r="E872" i="13"/>
  <c r="D872" i="13"/>
  <c r="C872" i="13"/>
  <c r="B872" i="13"/>
  <c r="BD871" i="13"/>
  <c r="BJ871" i="13" s="1"/>
  <c r="AI871" i="13"/>
  <c r="Z871" i="13"/>
  <c r="T871" i="13"/>
  <c r="P871" i="13"/>
  <c r="K871" i="13"/>
  <c r="E871" i="13"/>
  <c r="D871" i="13"/>
  <c r="C871" i="13"/>
  <c r="B871" i="13"/>
  <c r="BD870" i="13"/>
  <c r="BH870" i="13" s="1"/>
  <c r="AI870" i="13"/>
  <c r="AS870" i="13" s="1"/>
  <c r="Z870" i="13"/>
  <c r="AA870" i="13" s="1"/>
  <c r="AC870" i="13" s="1"/>
  <c r="T870" i="13"/>
  <c r="P870" i="13"/>
  <c r="K870" i="13"/>
  <c r="E870" i="13"/>
  <c r="D870" i="13"/>
  <c r="C870" i="13"/>
  <c r="B870" i="13"/>
  <c r="BD869" i="13"/>
  <c r="BF869" i="13" s="1"/>
  <c r="AI869" i="13"/>
  <c r="BA869" i="13" s="1"/>
  <c r="Z869" i="13"/>
  <c r="AB869" i="13" s="1"/>
  <c r="T869" i="13"/>
  <c r="P869" i="13"/>
  <c r="K869" i="13"/>
  <c r="E869" i="13"/>
  <c r="D869" i="13"/>
  <c r="C869" i="13"/>
  <c r="B869" i="13"/>
  <c r="BD868" i="13"/>
  <c r="BU868" i="13" s="1"/>
  <c r="AI868" i="13"/>
  <c r="AQ868" i="13" s="1"/>
  <c r="Z868" i="13"/>
  <c r="AB868" i="13" s="1"/>
  <c r="T868" i="13"/>
  <c r="V868" i="13" s="1"/>
  <c r="P868" i="13"/>
  <c r="K868" i="13"/>
  <c r="E868" i="13"/>
  <c r="D868" i="13"/>
  <c r="C868" i="13"/>
  <c r="B868" i="13"/>
  <c r="BD867" i="13"/>
  <c r="AI867" i="13"/>
  <c r="AZ867" i="13" s="1"/>
  <c r="Z867" i="13"/>
  <c r="AA867" i="13" s="1"/>
  <c r="AC867" i="13" s="1"/>
  <c r="T867" i="13"/>
  <c r="P867" i="13"/>
  <c r="K867" i="13"/>
  <c r="E867" i="13"/>
  <c r="D867" i="13"/>
  <c r="C867" i="13"/>
  <c r="B867" i="13"/>
  <c r="BD866" i="13"/>
  <c r="AI866" i="13"/>
  <c r="Z866" i="13"/>
  <c r="AB866" i="13" s="1"/>
  <c r="T866" i="13"/>
  <c r="P866" i="13"/>
  <c r="K866" i="13"/>
  <c r="E866" i="13"/>
  <c r="D866" i="13"/>
  <c r="C866" i="13"/>
  <c r="B866" i="13"/>
  <c r="BD865" i="13"/>
  <c r="AI865" i="13"/>
  <c r="AJ865" i="13" s="1"/>
  <c r="Z865" i="13"/>
  <c r="AA865" i="13" s="1"/>
  <c r="AC865" i="13" s="1"/>
  <c r="T865" i="13"/>
  <c r="U865" i="13" s="1"/>
  <c r="W865" i="13" s="1"/>
  <c r="P865" i="13"/>
  <c r="K865" i="13"/>
  <c r="E865" i="13"/>
  <c r="D865" i="13"/>
  <c r="C865" i="13"/>
  <c r="B865" i="13"/>
  <c r="BD864" i="13"/>
  <c r="BU864" i="13" s="1"/>
  <c r="AI864" i="13"/>
  <c r="BB864" i="13" s="1"/>
  <c r="Z864" i="13"/>
  <c r="T864" i="13"/>
  <c r="V864" i="13" s="1"/>
  <c r="P864" i="13"/>
  <c r="K864" i="13"/>
  <c r="E864" i="13"/>
  <c r="D864" i="13"/>
  <c r="C864" i="13"/>
  <c r="B864" i="13"/>
  <c r="BD863" i="13"/>
  <c r="BR863" i="13" s="1"/>
  <c r="AI863" i="13"/>
  <c r="Z863" i="13"/>
  <c r="AA863" i="13" s="1"/>
  <c r="AC863" i="13" s="1"/>
  <c r="T863" i="13"/>
  <c r="P863" i="13"/>
  <c r="K863" i="13"/>
  <c r="E863" i="13"/>
  <c r="D863" i="13"/>
  <c r="C863" i="13"/>
  <c r="B863" i="13"/>
  <c r="BD862" i="13"/>
  <c r="AI862" i="13"/>
  <c r="Z862" i="13"/>
  <c r="T862" i="13"/>
  <c r="U862" i="13" s="1"/>
  <c r="W862" i="13" s="1"/>
  <c r="P862" i="13"/>
  <c r="K862" i="13"/>
  <c r="E862" i="13"/>
  <c r="D862" i="13"/>
  <c r="C862" i="13"/>
  <c r="B862" i="13"/>
  <c r="BD861" i="13"/>
  <c r="AI861" i="13"/>
  <c r="Z861" i="13"/>
  <c r="T861" i="13"/>
  <c r="P861" i="13"/>
  <c r="K861" i="13"/>
  <c r="E861" i="13"/>
  <c r="D861" i="13"/>
  <c r="C861" i="13"/>
  <c r="B861" i="13"/>
  <c r="BD860" i="13"/>
  <c r="AI860" i="13"/>
  <c r="AP860" i="13" s="1"/>
  <c r="Z860" i="13"/>
  <c r="AB860" i="13" s="1"/>
  <c r="T860" i="13"/>
  <c r="P860" i="13"/>
  <c r="K860" i="13"/>
  <c r="E860" i="13"/>
  <c r="D860" i="13"/>
  <c r="C860" i="13"/>
  <c r="B860" i="13"/>
  <c r="BD859" i="13"/>
  <c r="AI859" i="13"/>
  <c r="Z859" i="13"/>
  <c r="AA859" i="13" s="1"/>
  <c r="AC859" i="13" s="1"/>
  <c r="T859" i="13"/>
  <c r="P859" i="13"/>
  <c r="K859" i="13"/>
  <c r="E859" i="13"/>
  <c r="D859" i="13"/>
  <c r="C859" i="13"/>
  <c r="B859" i="13"/>
  <c r="BD858" i="13"/>
  <c r="BL858" i="13" s="1"/>
  <c r="AI858" i="13"/>
  <c r="AK858" i="13" s="1"/>
  <c r="Z858" i="13"/>
  <c r="AA858" i="13" s="1"/>
  <c r="AC858" i="13" s="1"/>
  <c r="T858" i="13"/>
  <c r="V858" i="13" s="1"/>
  <c r="P858" i="13"/>
  <c r="K858" i="13"/>
  <c r="E858" i="13"/>
  <c r="D858" i="13"/>
  <c r="C858" i="13"/>
  <c r="B858" i="13"/>
  <c r="BD857" i="13"/>
  <c r="BU857" i="13" s="1"/>
  <c r="AI857" i="13"/>
  <c r="Z857" i="13"/>
  <c r="AA857" i="13" s="1"/>
  <c r="AC857" i="13" s="1"/>
  <c r="T857" i="13"/>
  <c r="P857" i="13"/>
  <c r="K857" i="13"/>
  <c r="E857" i="13"/>
  <c r="D857" i="13"/>
  <c r="C857" i="13"/>
  <c r="B857" i="13"/>
  <c r="BD856" i="13"/>
  <c r="AI856" i="13"/>
  <c r="Z856" i="13"/>
  <c r="T856" i="13"/>
  <c r="P856" i="13"/>
  <c r="K856" i="13"/>
  <c r="E856" i="13"/>
  <c r="D856" i="13"/>
  <c r="C856" i="13"/>
  <c r="B856" i="13"/>
  <c r="BD855" i="13"/>
  <c r="BO855" i="13" s="1"/>
  <c r="AI855" i="13"/>
  <c r="AV855" i="13" s="1"/>
  <c r="Z855" i="13"/>
  <c r="T855" i="13"/>
  <c r="P855" i="13"/>
  <c r="K855" i="13"/>
  <c r="E855" i="13"/>
  <c r="D855" i="13"/>
  <c r="C855" i="13"/>
  <c r="B855" i="13"/>
  <c r="BD854" i="13"/>
  <c r="BI854" i="13" s="1"/>
  <c r="AI854" i="13"/>
  <c r="AJ854" i="13" s="1"/>
  <c r="Z854" i="13"/>
  <c r="AB854" i="13" s="1"/>
  <c r="T854" i="13"/>
  <c r="P854" i="13"/>
  <c r="K854" i="13"/>
  <c r="E854" i="13"/>
  <c r="D854" i="13"/>
  <c r="C854" i="13"/>
  <c r="B854" i="13"/>
  <c r="BD853" i="13"/>
  <c r="AI853" i="13"/>
  <c r="Z853" i="13"/>
  <c r="T853" i="13"/>
  <c r="V853" i="13" s="1"/>
  <c r="P853" i="13"/>
  <c r="K853" i="13"/>
  <c r="E853" i="13"/>
  <c r="D853" i="13"/>
  <c r="C853" i="13"/>
  <c r="B853" i="13"/>
  <c r="BD852" i="13"/>
  <c r="BT852" i="13" s="1"/>
  <c r="AI852" i="13"/>
  <c r="AM852" i="13" s="1"/>
  <c r="Z852" i="13"/>
  <c r="T852" i="13"/>
  <c r="P852" i="13"/>
  <c r="K852" i="13"/>
  <c r="E852" i="13"/>
  <c r="D852" i="13"/>
  <c r="C852" i="13"/>
  <c r="B852" i="13"/>
  <c r="BD851" i="13"/>
  <c r="AI851" i="13"/>
  <c r="AJ851" i="13" s="1"/>
  <c r="Z851" i="13"/>
  <c r="T851" i="13"/>
  <c r="P851" i="13"/>
  <c r="K851" i="13"/>
  <c r="E851" i="13"/>
  <c r="D851" i="13"/>
  <c r="C851" i="13"/>
  <c r="B851" i="13"/>
  <c r="BD850" i="13"/>
  <c r="AI850" i="13"/>
  <c r="AJ850" i="13" s="1"/>
  <c r="Z850" i="13"/>
  <c r="T850" i="13"/>
  <c r="U850" i="13" s="1"/>
  <c r="W850" i="13" s="1"/>
  <c r="P850" i="13"/>
  <c r="K850" i="13"/>
  <c r="E850" i="13"/>
  <c r="D850" i="13"/>
  <c r="C850" i="13"/>
  <c r="B850" i="13"/>
  <c r="BD849" i="13"/>
  <c r="AI849" i="13"/>
  <c r="Z849" i="13"/>
  <c r="T849" i="13"/>
  <c r="U849" i="13" s="1"/>
  <c r="W849" i="13" s="1"/>
  <c r="P849" i="13"/>
  <c r="K849" i="13"/>
  <c r="E849" i="13"/>
  <c r="D849" i="13"/>
  <c r="C849" i="13"/>
  <c r="B849" i="13"/>
  <c r="BD848" i="13"/>
  <c r="AI848" i="13"/>
  <c r="BA848" i="13" s="1"/>
  <c r="Z848" i="13"/>
  <c r="AA848" i="13" s="1"/>
  <c r="AC848" i="13" s="1"/>
  <c r="T848" i="13"/>
  <c r="V848" i="13" s="1"/>
  <c r="P848" i="13"/>
  <c r="K848" i="13"/>
  <c r="E848" i="13"/>
  <c r="D848" i="13"/>
  <c r="C848" i="13"/>
  <c r="B848" i="13"/>
  <c r="BD847" i="13"/>
  <c r="AI847" i="13"/>
  <c r="Z847" i="13"/>
  <c r="AA847" i="13" s="1"/>
  <c r="AC847" i="13" s="1"/>
  <c r="T847" i="13"/>
  <c r="U847" i="13" s="1"/>
  <c r="W847" i="13" s="1"/>
  <c r="P847" i="13"/>
  <c r="K847" i="13"/>
  <c r="E847" i="13"/>
  <c r="D847" i="13"/>
  <c r="C847" i="13"/>
  <c r="B847" i="13"/>
  <c r="BD846" i="13"/>
  <c r="AI846" i="13"/>
  <c r="Z846" i="13"/>
  <c r="AB846" i="13" s="1"/>
  <c r="T846" i="13"/>
  <c r="P846" i="13"/>
  <c r="K846" i="13"/>
  <c r="E846" i="13"/>
  <c r="D846" i="13"/>
  <c r="C846" i="13"/>
  <c r="B846" i="13"/>
  <c r="BD845" i="13"/>
  <c r="AI845" i="13"/>
  <c r="Z845" i="13"/>
  <c r="T845" i="13"/>
  <c r="P845" i="13"/>
  <c r="K845" i="13"/>
  <c r="E845" i="13"/>
  <c r="D845" i="13"/>
  <c r="C845" i="13"/>
  <c r="B845" i="13"/>
  <c r="BD844" i="13"/>
  <c r="AI844" i="13"/>
  <c r="Z844" i="13"/>
  <c r="T844" i="13"/>
  <c r="P844" i="13"/>
  <c r="K844" i="13"/>
  <c r="E844" i="13"/>
  <c r="D844" i="13"/>
  <c r="C844" i="13"/>
  <c r="B844" i="13"/>
  <c r="BD843" i="13"/>
  <c r="AI843" i="13"/>
  <c r="Z843" i="13"/>
  <c r="AA843" i="13" s="1"/>
  <c r="AC843" i="13" s="1"/>
  <c r="T843" i="13"/>
  <c r="P843" i="13"/>
  <c r="K843" i="13"/>
  <c r="E843" i="13"/>
  <c r="D843" i="13"/>
  <c r="C843" i="13"/>
  <c r="B843" i="13"/>
  <c r="BD842" i="13"/>
  <c r="BF842" i="13" s="1"/>
  <c r="AI842" i="13"/>
  <c r="Z842" i="13"/>
  <c r="T842" i="13"/>
  <c r="P842" i="13"/>
  <c r="K842" i="13"/>
  <c r="E842" i="13"/>
  <c r="D842" i="13"/>
  <c r="C842" i="13"/>
  <c r="B842" i="13"/>
  <c r="BD841" i="13"/>
  <c r="BQ841" i="13" s="1"/>
  <c r="AI841" i="13"/>
  <c r="AJ841" i="13" s="1"/>
  <c r="Z841" i="13"/>
  <c r="AB841" i="13" s="1"/>
  <c r="T841" i="13"/>
  <c r="P841" i="13"/>
  <c r="K841" i="13"/>
  <c r="E841" i="13"/>
  <c r="D841" i="13"/>
  <c r="C841" i="13"/>
  <c r="B841" i="13"/>
  <c r="BD840" i="13"/>
  <c r="AI840" i="13"/>
  <c r="Z840" i="13"/>
  <c r="AB840" i="13" s="1"/>
  <c r="T840" i="13"/>
  <c r="P840" i="13"/>
  <c r="K840" i="13"/>
  <c r="E840" i="13"/>
  <c r="D840" i="13"/>
  <c r="C840" i="13"/>
  <c r="B840" i="13"/>
  <c r="BD839" i="13"/>
  <c r="BF839" i="13" s="1"/>
  <c r="AI839" i="13"/>
  <c r="BB839" i="13" s="1"/>
  <c r="Z839" i="13"/>
  <c r="AA839" i="13" s="1"/>
  <c r="AC839" i="13" s="1"/>
  <c r="T839" i="13"/>
  <c r="U839" i="13" s="1"/>
  <c r="W839" i="13" s="1"/>
  <c r="P839" i="13"/>
  <c r="K839" i="13"/>
  <c r="E839" i="13"/>
  <c r="D839" i="13"/>
  <c r="C839" i="13"/>
  <c r="B839" i="13"/>
  <c r="BD838" i="13"/>
  <c r="AI838" i="13"/>
  <c r="AK838" i="13" s="1"/>
  <c r="Z838" i="13"/>
  <c r="AA838" i="13" s="1"/>
  <c r="AC838" i="13" s="1"/>
  <c r="T838" i="13"/>
  <c r="U838" i="13" s="1"/>
  <c r="W838" i="13" s="1"/>
  <c r="P838" i="13"/>
  <c r="K838" i="13"/>
  <c r="E838" i="13"/>
  <c r="D838" i="13"/>
  <c r="C838" i="13"/>
  <c r="B838" i="13"/>
  <c r="BD837" i="13"/>
  <c r="AI837" i="13"/>
  <c r="Z837" i="13"/>
  <c r="AA837" i="13" s="1"/>
  <c r="AC837" i="13" s="1"/>
  <c r="T837" i="13"/>
  <c r="V837" i="13" s="1"/>
  <c r="P837" i="13"/>
  <c r="K837" i="13"/>
  <c r="E837" i="13"/>
  <c r="D837" i="13"/>
  <c r="C837" i="13"/>
  <c r="B837" i="13"/>
  <c r="BD836" i="13"/>
  <c r="BE836" i="13" s="1"/>
  <c r="AI836" i="13"/>
  <c r="Z836" i="13"/>
  <c r="T836" i="13"/>
  <c r="V836" i="13" s="1"/>
  <c r="P836" i="13"/>
  <c r="K836" i="13"/>
  <c r="E836" i="13"/>
  <c r="D836" i="13"/>
  <c r="C836" i="13"/>
  <c r="B836" i="13"/>
  <c r="BD835" i="13"/>
  <c r="BG835" i="13" s="1"/>
  <c r="AI835" i="13"/>
  <c r="AO835" i="13" s="1"/>
  <c r="Z835" i="13"/>
  <c r="AB835" i="13" s="1"/>
  <c r="T835" i="13"/>
  <c r="P835" i="13"/>
  <c r="K835" i="13"/>
  <c r="E835" i="13"/>
  <c r="D835" i="13"/>
  <c r="C835" i="13"/>
  <c r="B835" i="13"/>
  <c r="BD834" i="13"/>
  <c r="BG834" i="13" s="1"/>
  <c r="AI834" i="13"/>
  <c r="Z834" i="13"/>
  <c r="T834" i="13"/>
  <c r="U834" i="13" s="1"/>
  <c r="W834" i="13" s="1"/>
  <c r="P834" i="13"/>
  <c r="K834" i="13"/>
  <c r="E834" i="13"/>
  <c r="D834" i="13"/>
  <c r="C834" i="13"/>
  <c r="B834" i="13"/>
  <c r="BD833" i="13"/>
  <c r="AI833" i="13"/>
  <c r="Z833" i="13"/>
  <c r="AA833" i="13" s="1"/>
  <c r="AC833" i="13" s="1"/>
  <c r="T833" i="13"/>
  <c r="V833" i="13" s="1"/>
  <c r="P833" i="13"/>
  <c r="K833" i="13"/>
  <c r="E833" i="13"/>
  <c r="D833" i="13"/>
  <c r="C833" i="13"/>
  <c r="B833" i="13"/>
  <c r="BD832" i="13"/>
  <c r="BM832" i="13" s="1"/>
  <c r="AI832" i="13"/>
  <c r="AP832" i="13" s="1"/>
  <c r="Z832" i="13"/>
  <c r="T832" i="13"/>
  <c r="V832" i="13" s="1"/>
  <c r="P832" i="13"/>
  <c r="K832" i="13"/>
  <c r="E832" i="13"/>
  <c r="D832" i="13"/>
  <c r="C832" i="13"/>
  <c r="B832" i="13"/>
  <c r="BD831" i="13"/>
  <c r="BF831" i="13" s="1"/>
  <c r="AI831" i="13"/>
  <c r="Z831" i="13"/>
  <c r="T831" i="13"/>
  <c r="P831" i="13"/>
  <c r="K831" i="13"/>
  <c r="E831" i="13"/>
  <c r="D831" i="13"/>
  <c r="C831" i="13"/>
  <c r="B831" i="13"/>
  <c r="BD830" i="13"/>
  <c r="AI830" i="13"/>
  <c r="Z830" i="13"/>
  <c r="AA830" i="13" s="1"/>
  <c r="AC830" i="13" s="1"/>
  <c r="T830" i="13"/>
  <c r="P830" i="13"/>
  <c r="K830" i="13"/>
  <c r="E830" i="13"/>
  <c r="D830" i="13"/>
  <c r="C830" i="13"/>
  <c r="B830" i="13"/>
  <c r="BD829" i="13"/>
  <c r="BF829" i="13" s="1"/>
  <c r="AI829" i="13"/>
  <c r="Z829" i="13"/>
  <c r="AB829" i="13" s="1"/>
  <c r="T829" i="13"/>
  <c r="P829" i="13"/>
  <c r="K829" i="13"/>
  <c r="E829" i="13"/>
  <c r="D829" i="13"/>
  <c r="C829" i="13"/>
  <c r="B829" i="13"/>
  <c r="BD828" i="13"/>
  <c r="AI828" i="13"/>
  <c r="Z828" i="13"/>
  <c r="AB828" i="13" s="1"/>
  <c r="T828" i="13"/>
  <c r="V828" i="13" s="1"/>
  <c r="P828" i="13"/>
  <c r="K828" i="13"/>
  <c r="E828" i="13"/>
  <c r="D828" i="13"/>
  <c r="C828" i="13"/>
  <c r="B828" i="13"/>
  <c r="BD827" i="13"/>
  <c r="AI827" i="13"/>
  <c r="Z827" i="13"/>
  <c r="AA827" i="13" s="1"/>
  <c r="AC827" i="13" s="1"/>
  <c r="T827" i="13"/>
  <c r="P827" i="13"/>
  <c r="K827" i="13"/>
  <c r="E827" i="13"/>
  <c r="D827" i="13"/>
  <c r="C827" i="13"/>
  <c r="B827" i="13"/>
  <c r="BD826" i="13"/>
  <c r="BW826" i="13" s="1"/>
  <c r="AI826" i="13"/>
  <c r="AV826" i="13" s="1"/>
  <c r="Z826" i="13"/>
  <c r="T826" i="13"/>
  <c r="P826" i="13"/>
  <c r="K826" i="13"/>
  <c r="E826" i="13"/>
  <c r="D826" i="13"/>
  <c r="C826" i="13"/>
  <c r="B826" i="13"/>
  <c r="BD825" i="13"/>
  <c r="BQ825" i="13" s="1"/>
  <c r="AI825" i="13"/>
  <c r="Z825" i="13"/>
  <c r="T825" i="13"/>
  <c r="P825" i="13"/>
  <c r="K825" i="13"/>
  <c r="E825" i="13"/>
  <c r="D825" i="13"/>
  <c r="C825" i="13"/>
  <c r="B825" i="13"/>
  <c r="BD824" i="13"/>
  <c r="AI824" i="13"/>
  <c r="AZ824" i="13" s="1"/>
  <c r="Z824" i="13"/>
  <c r="AA824" i="13" s="1"/>
  <c r="AC824" i="13" s="1"/>
  <c r="T824" i="13"/>
  <c r="V824" i="13" s="1"/>
  <c r="P824" i="13"/>
  <c r="K824" i="13"/>
  <c r="E824" i="13"/>
  <c r="D824" i="13"/>
  <c r="C824" i="13"/>
  <c r="B824" i="13"/>
  <c r="BD823" i="13"/>
  <c r="BW823" i="13" s="1"/>
  <c r="AI823" i="13"/>
  <c r="AN823" i="13" s="1"/>
  <c r="Z823" i="13"/>
  <c r="T823" i="13"/>
  <c r="U823" i="13" s="1"/>
  <c r="W823" i="13" s="1"/>
  <c r="P823" i="13"/>
  <c r="K823" i="13"/>
  <c r="E823" i="13"/>
  <c r="D823" i="13"/>
  <c r="C823" i="13"/>
  <c r="B823" i="13"/>
  <c r="BD822" i="13"/>
  <c r="AI822" i="13"/>
  <c r="Z822" i="13"/>
  <c r="AA822" i="13" s="1"/>
  <c r="AC822" i="13" s="1"/>
  <c r="T822" i="13"/>
  <c r="P822" i="13"/>
  <c r="K822" i="13"/>
  <c r="E822" i="13"/>
  <c r="D822" i="13"/>
  <c r="C822" i="13"/>
  <c r="B822" i="13"/>
  <c r="BD821" i="13"/>
  <c r="BE821" i="13" s="1"/>
  <c r="AI821" i="13"/>
  <c r="Z821" i="13"/>
  <c r="AB821" i="13" s="1"/>
  <c r="T821" i="13"/>
  <c r="U821" i="13" s="1"/>
  <c r="W821" i="13" s="1"/>
  <c r="P821" i="13"/>
  <c r="K821" i="13"/>
  <c r="E821" i="13"/>
  <c r="D821" i="13"/>
  <c r="C821" i="13"/>
  <c r="B821" i="13"/>
  <c r="BD820" i="13"/>
  <c r="BO820" i="13" s="1"/>
  <c r="AI820" i="13"/>
  <c r="Z820" i="13"/>
  <c r="AB820" i="13" s="1"/>
  <c r="T820" i="13"/>
  <c r="V820" i="13" s="1"/>
  <c r="P820" i="13"/>
  <c r="K820" i="13"/>
  <c r="E820" i="13"/>
  <c r="D820" i="13"/>
  <c r="C820" i="13"/>
  <c r="B820" i="13"/>
  <c r="BD819" i="13"/>
  <c r="AI819" i="13"/>
  <c r="AS819" i="13" s="1"/>
  <c r="Z819" i="13"/>
  <c r="T819" i="13"/>
  <c r="V819" i="13" s="1"/>
  <c r="P819" i="13"/>
  <c r="K819" i="13"/>
  <c r="E819" i="13"/>
  <c r="D819" i="13"/>
  <c r="C819" i="13"/>
  <c r="B819" i="13"/>
  <c r="BD818" i="13"/>
  <c r="AI818" i="13"/>
  <c r="AM818" i="13" s="1"/>
  <c r="Z818" i="13"/>
  <c r="T818" i="13"/>
  <c r="V818" i="13" s="1"/>
  <c r="P818" i="13"/>
  <c r="K818" i="13"/>
  <c r="E818" i="13"/>
  <c r="D818" i="13"/>
  <c r="C818" i="13"/>
  <c r="B818" i="13"/>
  <c r="BD817" i="13"/>
  <c r="AI817" i="13"/>
  <c r="AS817" i="13" s="1"/>
  <c r="Z817" i="13"/>
  <c r="AA817" i="13" s="1"/>
  <c r="AC817" i="13" s="1"/>
  <c r="T817" i="13"/>
  <c r="V817" i="13" s="1"/>
  <c r="P817" i="13"/>
  <c r="K817" i="13"/>
  <c r="E817" i="13"/>
  <c r="D817" i="13"/>
  <c r="C817" i="13"/>
  <c r="B817" i="13"/>
  <c r="BD816" i="13"/>
  <c r="BE816" i="13" s="1"/>
  <c r="AI816" i="13"/>
  <c r="AM816" i="13" s="1"/>
  <c r="Z816" i="13"/>
  <c r="T816" i="13"/>
  <c r="U816" i="13" s="1"/>
  <c r="W816" i="13" s="1"/>
  <c r="P816" i="13"/>
  <c r="K816" i="13"/>
  <c r="E816" i="13"/>
  <c r="D816" i="13"/>
  <c r="C816" i="13"/>
  <c r="B816" i="13"/>
  <c r="BD815" i="13"/>
  <c r="BE815" i="13" s="1"/>
  <c r="AI815" i="13"/>
  <c r="AX815" i="13" s="1"/>
  <c r="Z815" i="13"/>
  <c r="T815" i="13"/>
  <c r="U815" i="13" s="1"/>
  <c r="W815" i="13" s="1"/>
  <c r="P815" i="13"/>
  <c r="K815" i="13"/>
  <c r="E815" i="13"/>
  <c r="D815" i="13"/>
  <c r="C815" i="13"/>
  <c r="B815" i="13"/>
  <c r="BD814" i="13"/>
  <c r="AI814" i="13"/>
  <c r="Z814" i="13"/>
  <c r="AA814" i="13" s="1"/>
  <c r="AC814" i="13" s="1"/>
  <c r="T814" i="13"/>
  <c r="U814" i="13" s="1"/>
  <c r="W814" i="13" s="1"/>
  <c r="P814" i="13"/>
  <c r="K814" i="13"/>
  <c r="E814" i="13"/>
  <c r="D814" i="13"/>
  <c r="C814" i="13"/>
  <c r="B814" i="13"/>
  <c r="BD813" i="13"/>
  <c r="BM813" i="13" s="1"/>
  <c r="AI813" i="13"/>
  <c r="AL813" i="13" s="1"/>
  <c r="Z813" i="13"/>
  <c r="T813" i="13"/>
  <c r="U813" i="13" s="1"/>
  <c r="W813" i="13" s="1"/>
  <c r="P813" i="13"/>
  <c r="K813" i="13"/>
  <c r="E813" i="13"/>
  <c r="D813" i="13"/>
  <c r="C813" i="13"/>
  <c r="B813" i="13"/>
  <c r="BD812" i="13"/>
  <c r="AI812" i="13"/>
  <c r="AZ812" i="13" s="1"/>
  <c r="Z812" i="13"/>
  <c r="AB812" i="13" s="1"/>
  <c r="T812" i="13"/>
  <c r="P812" i="13"/>
  <c r="K812" i="13"/>
  <c r="E812" i="13"/>
  <c r="D812" i="13"/>
  <c r="C812" i="13"/>
  <c r="B812" i="13"/>
  <c r="BD811" i="13"/>
  <c r="AI811" i="13"/>
  <c r="Z811" i="13"/>
  <c r="AB811" i="13" s="1"/>
  <c r="T811" i="13"/>
  <c r="V811" i="13" s="1"/>
  <c r="P811" i="13"/>
  <c r="K811" i="13"/>
  <c r="E811" i="13"/>
  <c r="D811" i="13"/>
  <c r="C811" i="13"/>
  <c r="B811" i="13"/>
  <c r="BD810" i="13"/>
  <c r="BQ810" i="13" s="1"/>
  <c r="AI810" i="13"/>
  <c r="AO810" i="13" s="1"/>
  <c r="Z810" i="13"/>
  <c r="T810" i="13"/>
  <c r="P810" i="13"/>
  <c r="K810" i="13"/>
  <c r="E810" i="13"/>
  <c r="D810" i="13"/>
  <c r="C810" i="13"/>
  <c r="B810" i="13"/>
  <c r="BD809" i="13"/>
  <c r="AI809" i="13"/>
  <c r="AJ809" i="13" s="1"/>
  <c r="Z809" i="13"/>
  <c r="T809" i="13"/>
  <c r="V809" i="13" s="1"/>
  <c r="P809" i="13"/>
  <c r="K809" i="13"/>
  <c r="E809" i="13"/>
  <c r="D809" i="13"/>
  <c r="C809" i="13"/>
  <c r="B809" i="13"/>
  <c r="BD808" i="13"/>
  <c r="BE808" i="13" s="1"/>
  <c r="AI808" i="13"/>
  <c r="AM808" i="13" s="1"/>
  <c r="Z808" i="13"/>
  <c r="AA808" i="13" s="1"/>
  <c r="AC808" i="13" s="1"/>
  <c r="T808" i="13"/>
  <c r="P808" i="13"/>
  <c r="K808" i="13"/>
  <c r="E808" i="13"/>
  <c r="D808" i="13"/>
  <c r="C808" i="13"/>
  <c r="B808" i="13"/>
  <c r="BD807" i="13"/>
  <c r="BJ807" i="13" s="1"/>
  <c r="AI807" i="13"/>
  <c r="AV807" i="13" s="1"/>
  <c r="Z807" i="13"/>
  <c r="AA807" i="13" s="1"/>
  <c r="AC807" i="13" s="1"/>
  <c r="T807" i="13"/>
  <c r="U807" i="13" s="1"/>
  <c r="W807" i="13" s="1"/>
  <c r="P807" i="13"/>
  <c r="K807" i="13"/>
  <c r="E807" i="13"/>
  <c r="D807" i="13"/>
  <c r="C807" i="13"/>
  <c r="B807" i="13"/>
  <c r="BD806" i="13"/>
  <c r="AI806" i="13"/>
  <c r="Z806" i="13"/>
  <c r="T806" i="13"/>
  <c r="U806" i="13" s="1"/>
  <c r="W806" i="13" s="1"/>
  <c r="P806" i="13"/>
  <c r="K806" i="13"/>
  <c r="E806" i="13"/>
  <c r="D806" i="13"/>
  <c r="C806" i="13"/>
  <c r="B806" i="13"/>
  <c r="BD805" i="13"/>
  <c r="AI805" i="13"/>
  <c r="Z805" i="13"/>
  <c r="T805" i="13"/>
  <c r="V805" i="13" s="1"/>
  <c r="P805" i="13"/>
  <c r="K805" i="13"/>
  <c r="E805" i="13"/>
  <c r="D805" i="13"/>
  <c r="C805" i="13"/>
  <c r="B805" i="13"/>
  <c r="BD804" i="13"/>
  <c r="BQ804" i="13" s="1"/>
  <c r="AI804" i="13"/>
  <c r="Z804" i="13"/>
  <c r="AB804" i="13" s="1"/>
  <c r="T804" i="13"/>
  <c r="P804" i="13"/>
  <c r="K804" i="13"/>
  <c r="E804" i="13"/>
  <c r="D804" i="13"/>
  <c r="C804" i="13"/>
  <c r="B804" i="13"/>
  <c r="BD803" i="13"/>
  <c r="AI803" i="13"/>
  <c r="Z803" i="13"/>
  <c r="T803" i="13"/>
  <c r="P803" i="13"/>
  <c r="K803" i="13"/>
  <c r="E803" i="13"/>
  <c r="D803" i="13"/>
  <c r="C803" i="13"/>
  <c r="B803" i="13"/>
  <c r="BD802" i="13"/>
  <c r="AI802" i="13"/>
  <c r="AR802" i="13" s="1"/>
  <c r="Z802" i="13"/>
  <c r="AB802" i="13" s="1"/>
  <c r="T802" i="13"/>
  <c r="V802" i="13" s="1"/>
  <c r="P802" i="13"/>
  <c r="K802" i="13"/>
  <c r="E802" i="13"/>
  <c r="D802" i="13"/>
  <c r="C802" i="13"/>
  <c r="B802" i="13"/>
  <c r="BD801" i="13"/>
  <c r="BW801" i="13" s="1"/>
  <c r="AI801" i="13"/>
  <c r="AZ801" i="13" s="1"/>
  <c r="Z801" i="13"/>
  <c r="T801" i="13"/>
  <c r="P801" i="13"/>
  <c r="K801" i="13"/>
  <c r="E801" i="13"/>
  <c r="D801" i="13"/>
  <c r="C801" i="13"/>
  <c r="B801" i="13"/>
  <c r="BD800" i="13"/>
  <c r="AI800" i="13"/>
  <c r="AS800" i="13" s="1"/>
  <c r="Z800" i="13"/>
  <c r="AA800" i="13" s="1"/>
  <c r="AC800" i="13" s="1"/>
  <c r="T800" i="13"/>
  <c r="U800" i="13" s="1"/>
  <c r="W800" i="13" s="1"/>
  <c r="P800" i="13"/>
  <c r="K800" i="13"/>
  <c r="E800" i="13"/>
  <c r="D800" i="13"/>
  <c r="C800" i="13"/>
  <c r="B800" i="13"/>
  <c r="BD799" i="13"/>
  <c r="AI799" i="13"/>
  <c r="AJ799" i="13" s="1"/>
  <c r="Z799" i="13"/>
  <c r="T799" i="13"/>
  <c r="P799" i="13"/>
  <c r="K799" i="13"/>
  <c r="E799" i="13"/>
  <c r="D799" i="13"/>
  <c r="C799" i="13"/>
  <c r="B799" i="13"/>
  <c r="BD798" i="13"/>
  <c r="BQ798" i="13" s="1"/>
  <c r="AI798" i="13"/>
  <c r="AK798" i="13" s="1"/>
  <c r="Z798" i="13"/>
  <c r="AA798" i="13" s="1"/>
  <c r="AC798" i="13" s="1"/>
  <c r="T798" i="13"/>
  <c r="U798" i="13" s="1"/>
  <c r="W798" i="13" s="1"/>
  <c r="P798" i="13"/>
  <c r="K798" i="13"/>
  <c r="E798" i="13"/>
  <c r="D798" i="13"/>
  <c r="C798" i="13"/>
  <c r="B798" i="13"/>
  <c r="BD797" i="13"/>
  <c r="BO797" i="13" s="1"/>
  <c r="AI797" i="13"/>
  <c r="AL797" i="13" s="1"/>
  <c r="Z797" i="13"/>
  <c r="T797" i="13"/>
  <c r="U797" i="13" s="1"/>
  <c r="W797" i="13" s="1"/>
  <c r="P797" i="13"/>
  <c r="K797" i="13"/>
  <c r="E797" i="13"/>
  <c r="D797" i="13"/>
  <c r="C797" i="13"/>
  <c r="B797" i="13"/>
  <c r="BD796" i="13"/>
  <c r="AI796" i="13"/>
  <c r="Z796" i="13"/>
  <c r="AA796" i="13" s="1"/>
  <c r="AC796" i="13" s="1"/>
  <c r="T796" i="13"/>
  <c r="P796" i="13"/>
  <c r="K796" i="13"/>
  <c r="E796" i="13"/>
  <c r="D796" i="13"/>
  <c r="C796" i="13"/>
  <c r="B796" i="13"/>
  <c r="BD795" i="13"/>
  <c r="AI795" i="13"/>
  <c r="Z795" i="13"/>
  <c r="T795" i="13"/>
  <c r="P795" i="13"/>
  <c r="K795" i="13"/>
  <c r="E795" i="13"/>
  <c r="D795" i="13"/>
  <c r="C795" i="13"/>
  <c r="B795" i="13"/>
  <c r="BD794" i="13"/>
  <c r="AI794" i="13"/>
  <c r="Z794" i="13"/>
  <c r="AA794" i="13" s="1"/>
  <c r="AC794" i="13" s="1"/>
  <c r="T794" i="13"/>
  <c r="V794" i="13" s="1"/>
  <c r="P794" i="13"/>
  <c r="K794" i="13"/>
  <c r="E794" i="13"/>
  <c r="D794" i="13"/>
  <c r="C794" i="13"/>
  <c r="B794" i="13"/>
  <c r="BD793" i="13"/>
  <c r="AI793" i="13"/>
  <c r="BB793" i="13" s="1"/>
  <c r="Z793" i="13"/>
  <c r="AB793" i="13" s="1"/>
  <c r="T793" i="13"/>
  <c r="P793" i="13"/>
  <c r="K793" i="13"/>
  <c r="E793" i="13"/>
  <c r="D793" i="13"/>
  <c r="C793" i="13"/>
  <c r="B793" i="13"/>
  <c r="BD792" i="13"/>
  <c r="BT792" i="13" s="1"/>
  <c r="AI792" i="13"/>
  <c r="AL792" i="13" s="1"/>
  <c r="Z792" i="13"/>
  <c r="T792" i="13"/>
  <c r="P792" i="13"/>
  <c r="K792" i="13"/>
  <c r="E792" i="13"/>
  <c r="D792" i="13"/>
  <c r="C792" i="13"/>
  <c r="B792" i="13"/>
  <c r="BD791" i="13"/>
  <c r="AI791" i="13"/>
  <c r="Z791" i="13"/>
  <c r="T791" i="13"/>
  <c r="P791" i="13"/>
  <c r="K791" i="13"/>
  <c r="E791" i="13"/>
  <c r="D791" i="13"/>
  <c r="C791" i="13"/>
  <c r="B791" i="13"/>
  <c r="BD790" i="13"/>
  <c r="BK790" i="13" s="1"/>
  <c r="AI790" i="13"/>
  <c r="Z790" i="13"/>
  <c r="T790" i="13"/>
  <c r="P790" i="13"/>
  <c r="K790" i="13"/>
  <c r="E790" i="13"/>
  <c r="D790" i="13"/>
  <c r="C790" i="13"/>
  <c r="B790" i="13"/>
  <c r="BD789" i="13"/>
  <c r="AI789" i="13"/>
  <c r="AV789" i="13" s="1"/>
  <c r="Z789" i="13"/>
  <c r="AB789" i="13" s="1"/>
  <c r="T789" i="13"/>
  <c r="P789" i="13"/>
  <c r="K789" i="13"/>
  <c r="E789" i="13"/>
  <c r="D789" i="13"/>
  <c r="C789" i="13"/>
  <c r="B789" i="13"/>
  <c r="BD788" i="13"/>
  <c r="BU788" i="13" s="1"/>
  <c r="AI788" i="13"/>
  <c r="AL788" i="13" s="1"/>
  <c r="Z788" i="13"/>
  <c r="T788" i="13"/>
  <c r="P788" i="13"/>
  <c r="K788" i="13"/>
  <c r="E788" i="13"/>
  <c r="D788" i="13"/>
  <c r="C788" i="13"/>
  <c r="B788" i="13"/>
  <c r="BD787" i="13"/>
  <c r="AI787" i="13"/>
  <c r="Z787" i="13"/>
  <c r="AB787" i="13" s="1"/>
  <c r="T787" i="13"/>
  <c r="P787" i="13"/>
  <c r="K787" i="13"/>
  <c r="E787" i="13"/>
  <c r="D787" i="13"/>
  <c r="C787" i="13"/>
  <c r="B787" i="13"/>
  <c r="BD786" i="13"/>
  <c r="BV786" i="13" s="1"/>
  <c r="AI786" i="13"/>
  <c r="AV786" i="13" s="1"/>
  <c r="Z786" i="13"/>
  <c r="AB786" i="13" s="1"/>
  <c r="T786" i="13"/>
  <c r="P786" i="13"/>
  <c r="K786" i="13"/>
  <c r="E786" i="13"/>
  <c r="D786" i="13"/>
  <c r="C786" i="13"/>
  <c r="B786" i="13"/>
  <c r="BD785" i="13"/>
  <c r="AI785" i="13"/>
  <c r="Z785" i="13"/>
  <c r="T785" i="13"/>
  <c r="U785" i="13" s="1"/>
  <c r="W785" i="13" s="1"/>
  <c r="P785" i="13"/>
  <c r="K785" i="13"/>
  <c r="E785" i="13"/>
  <c r="D785" i="13"/>
  <c r="C785" i="13"/>
  <c r="B785" i="13"/>
  <c r="BD784" i="13"/>
  <c r="BO784" i="13" s="1"/>
  <c r="AI784" i="13"/>
  <c r="Z784" i="13"/>
  <c r="AB784" i="13" s="1"/>
  <c r="T784" i="13"/>
  <c r="V784" i="13" s="1"/>
  <c r="P784" i="13"/>
  <c r="K784" i="13"/>
  <c r="E784" i="13"/>
  <c r="D784" i="13"/>
  <c r="C784" i="13"/>
  <c r="B784" i="13"/>
  <c r="BD783" i="13"/>
  <c r="AI783" i="13"/>
  <c r="AV783" i="13" s="1"/>
  <c r="Z783" i="13"/>
  <c r="T783" i="13"/>
  <c r="P783" i="13"/>
  <c r="K783" i="13"/>
  <c r="E783" i="13"/>
  <c r="D783" i="13"/>
  <c r="C783" i="13"/>
  <c r="B783" i="13"/>
  <c r="BD782" i="13"/>
  <c r="BJ782" i="13" s="1"/>
  <c r="AI782" i="13"/>
  <c r="Z782" i="13"/>
  <c r="T782" i="13"/>
  <c r="P782" i="13"/>
  <c r="K782" i="13"/>
  <c r="E782" i="13"/>
  <c r="D782" i="13"/>
  <c r="C782" i="13"/>
  <c r="B782" i="13"/>
  <c r="BD781" i="13"/>
  <c r="AI781" i="13"/>
  <c r="Z781" i="13"/>
  <c r="AA781" i="13" s="1"/>
  <c r="AC781" i="13" s="1"/>
  <c r="T781" i="13"/>
  <c r="U781" i="13" s="1"/>
  <c r="W781" i="13" s="1"/>
  <c r="P781" i="13"/>
  <c r="K781" i="13"/>
  <c r="E781" i="13"/>
  <c r="D781" i="13"/>
  <c r="C781" i="13"/>
  <c r="B781" i="13"/>
  <c r="BD780" i="13"/>
  <c r="BT780" i="13" s="1"/>
  <c r="AI780" i="13"/>
  <c r="AO780" i="13" s="1"/>
  <c r="Z780" i="13"/>
  <c r="AB780" i="13" s="1"/>
  <c r="T780" i="13"/>
  <c r="P780" i="13"/>
  <c r="K780" i="13"/>
  <c r="E780" i="13"/>
  <c r="D780" i="13"/>
  <c r="C780" i="13"/>
  <c r="B780" i="13"/>
  <c r="BD779" i="13"/>
  <c r="AI779" i="13"/>
  <c r="AO779" i="13" s="1"/>
  <c r="Z779" i="13"/>
  <c r="AA779" i="13" s="1"/>
  <c r="AC779" i="13" s="1"/>
  <c r="T779" i="13"/>
  <c r="U779" i="13" s="1"/>
  <c r="W779" i="13" s="1"/>
  <c r="P779" i="13"/>
  <c r="K779" i="13"/>
  <c r="E779" i="13"/>
  <c r="D779" i="13"/>
  <c r="C779" i="13"/>
  <c r="B779" i="13"/>
  <c r="BD778" i="13"/>
  <c r="AI778" i="13"/>
  <c r="AY778" i="13" s="1"/>
  <c r="Z778" i="13"/>
  <c r="T778" i="13"/>
  <c r="P778" i="13"/>
  <c r="K778" i="13"/>
  <c r="E778" i="13"/>
  <c r="D778" i="13"/>
  <c r="C778" i="13"/>
  <c r="B778" i="13"/>
  <c r="BD777" i="13"/>
  <c r="BU777" i="13" s="1"/>
  <c r="AI777" i="13"/>
  <c r="AP777" i="13" s="1"/>
  <c r="Z777" i="13"/>
  <c r="AB777" i="13" s="1"/>
  <c r="T777" i="13"/>
  <c r="P777" i="13"/>
  <c r="K777" i="13"/>
  <c r="E777" i="13"/>
  <c r="D777" i="13"/>
  <c r="C777" i="13"/>
  <c r="B777" i="13"/>
  <c r="BD776" i="13"/>
  <c r="AI776" i="13"/>
  <c r="Z776" i="13"/>
  <c r="T776" i="13"/>
  <c r="P776" i="13"/>
  <c r="K776" i="13"/>
  <c r="E776" i="13"/>
  <c r="D776" i="13"/>
  <c r="C776" i="13"/>
  <c r="B776" i="13"/>
  <c r="BD775" i="13"/>
  <c r="BN775" i="13" s="1"/>
  <c r="AI775" i="13"/>
  <c r="Z775" i="13"/>
  <c r="AB775" i="13" s="1"/>
  <c r="T775" i="13"/>
  <c r="P775" i="13"/>
  <c r="K775" i="13"/>
  <c r="E775" i="13"/>
  <c r="D775" i="13"/>
  <c r="C775" i="13"/>
  <c r="B775" i="13"/>
  <c r="BD774" i="13"/>
  <c r="BH774" i="13" s="1"/>
  <c r="AI774" i="13"/>
  <c r="Z774" i="13"/>
  <c r="T774" i="13"/>
  <c r="P774" i="13"/>
  <c r="K774" i="13"/>
  <c r="E774" i="13"/>
  <c r="D774" i="13"/>
  <c r="C774" i="13"/>
  <c r="B774" i="13"/>
  <c r="BD773" i="13"/>
  <c r="BE773" i="13" s="1"/>
  <c r="AI773" i="13"/>
  <c r="Z773" i="13"/>
  <c r="AB773" i="13" s="1"/>
  <c r="T773" i="13"/>
  <c r="U773" i="13" s="1"/>
  <c r="W773" i="13" s="1"/>
  <c r="P773" i="13"/>
  <c r="K773" i="13"/>
  <c r="E773" i="13"/>
  <c r="D773" i="13"/>
  <c r="C773" i="13"/>
  <c r="B773" i="13"/>
  <c r="BD772" i="13"/>
  <c r="BG772" i="13" s="1"/>
  <c r="AI772" i="13"/>
  <c r="Z772" i="13"/>
  <c r="AA772" i="13" s="1"/>
  <c r="AC772" i="13" s="1"/>
  <c r="T772" i="13"/>
  <c r="P772" i="13"/>
  <c r="K772" i="13"/>
  <c r="E772" i="13"/>
  <c r="D772" i="13"/>
  <c r="C772" i="13"/>
  <c r="B772" i="13"/>
  <c r="BD771" i="13"/>
  <c r="AI771" i="13"/>
  <c r="AR771" i="13" s="1"/>
  <c r="Z771" i="13"/>
  <c r="T771" i="13"/>
  <c r="U771" i="13" s="1"/>
  <c r="W771" i="13" s="1"/>
  <c r="P771" i="13"/>
  <c r="K771" i="13"/>
  <c r="E771" i="13"/>
  <c r="D771" i="13"/>
  <c r="C771" i="13"/>
  <c r="B771" i="13"/>
  <c r="BD770" i="13"/>
  <c r="AI770" i="13"/>
  <c r="Z770" i="13"/>
  <c r="AA770" i="13" s="1"/>
  <c r="AC770" i="13" s="1"/>
  <c r="T770" i="13"/>
  <c r="P770" i="13"/>
  <c r="K770" i="13"/>
  <c r="E770" i="13"/>
  <c r="D770" i="13"/>
  <c r="C770" i="13"/>
  <c r="B770" i="13"/>
  <c r="BD769" i="13"/>
  <c r="BW769" i="13" s="1"/>
  <c r="AI769" i="13"/>
  <c r="Z769" i="13"/>
  <c r="T769" i="13"/>
  <c r="U769" i="13" s="1"/>
  <c r="W769" i="13" s="1"/>
  <c r="P769" i="13"/>
  <c r="K769" i="13"/>
  <c r="E769" i="13"/>
  <c r="D769" i="13"/>
  <c r="C769" i="13"/>
  <c r="B769" i="13"/>
  <c r="BD768" i="13"/>
  <c r="AI768" i="13"/>
  <c r="Z768" i="13"/>
  <c r="AA768" i="13" s="1"/>
  <c r="AC768" i="13" s="1"/>
  <c r="T768" i="13"/>
  <c r="V768" i="13" s="1"/>
  <c r="P768" i="13"/>
  <c r="K768" i="13"/>
  <c r="E768" i="13"/>
  <c r="D768" i="13"/>
  <c r="C768" i="13"/>
  <c r="B768" i="13"/>
  <c r="BD767" i="13"/>
  <c r="BR767" i="13" s="1"/>
  <c r="AI767" i="13"/>
  <c r="Z767" i="13"/>
  <c r="T767" i="13"/>
  <c r="U767" i="13" s="1"/>
  <c r="W767" i="13" s="1"/>
  <c r="P767" i="13"/>
  <c r="K767" i="13"/>
  <c r="E767" i="13"/>
  <c r="D767" i="13"/>
  <c r="C767" i="13"/>
  <c r="B767" i="13"/>
  <c r="BD766" i="13"/>
  <c r="BF766" i="13" s="1"/>
  <c r="AI766" i="13"/>
  <c r="Z766" i="13"/>
  <c r="AB766" i="13" s="1"/>
  <c r="T766" i="13"/>
  <c r="P766" i="13"/>
  <c r="K766" i="13"/>
  <c r="E766" i="13"/>
  <c r="D766" i="13"/>
  <c r="C766" i="13"/>
  <c r="B766" i="13"/>
  <c r="BD765" i="13"/>
  <c r="AI765" i="13"/>
  <c r="Z765" i="13"/>
  <c r="T765" i="13"/>
  <c r="V765" i="13" s="1"/>
  <c r="P765" i="13"/>
  <c r="K765" i="13"/>
  <c r="E765" i="13"/>
  <c r="D765" i="13"/>
  <c r="C765" i="13"/>
  <c r="B765" i="13"/>
  <c r="BD764" i="13"/>
  <c r="BP764" i="13" s="1"/>
  <c r="AI764" i="13"/>
  <c r="AU764" i="13" s="1"/>
  <c r="Z764" i="13"/>
  <c r="T764" i="13"/>
  <c r="P764" i="13"/>
  <c r="K764" i="13"/>
  <c r="E764" i="13"/>
  <c r="D764" i="13"/>
  <c r="C764" i="13"/>
  <c r="B764" i="13"/>
  <c r="BD763" i="13"/>
  <c r="AI763" i="13"/>
  <c r="BB763" i="13" s="1"/>
  <c r="Z763" i="13"/>
  <c r="AB763" i="13" s="1"/>
  <c r="T763" i="13"/>
  <c r="U763" i="13" s="1"/>
  <c r="W763" i="13" s="1"/>
  <c r="P763" i="13"/>
  <c r="K763" i="13"/>
  <c r="E763" i="13"/>
  <c r="D763" i="13"/>
  <c r="C763" i="13"/>
  <c r="B763" i="13"/>
  <c r="BD762" i="13"/>
  <c r="BH762" i="13" s="1"/>
  <c r="AI762" i="13"/>
  <c r="Z762" i="13"/>
  <c r="T762" i="13"/>
  <c r="P762" i="13"/>
  <c r="K762" i="13"/>
  <c r="E762" i="13"/>
  <c r="D762" i="13"/>
  <c r="C762" i="13"/>
  <c r="B762" i="13"/>
  <c r="BD761" i="13"/>
  <c r="BI761" i="13" s="1"/>
  <c r="AI761" i="13"/>
  <c r="Z761" i="13"/>
  <c r="AB761" i="13" s="1"/>
  <c r="T761" i="13"/>
  <c r="P761" i="13"/>
  <c r="K761" i="13"/>
  <c r="E761" i="13"/>
  <c r="D761" i="13"/>
  <c r="C761" i="13"/>
  <c r="B761" i="13"/>
  <c r="BD760" i="13"/>
  <c r="BG760" i="13" s="1"/>
  <c r="AI760" i="13"/>
  <c r="Z760" i="13"/>
  <c r="T760" i="13"/>
  <c r="V760" i="13" s="1"/>
  <c r="P760" i="13"/>
  <c r="K760" i="13"/>
  <c r="E760" i="13"/>
  <c r="D760" i="13"/>
  <c r="C760" i="13"/>
  <c r="B760" i="13"/>
  <c r="BD759" i="13"/>
  <c r="AI759" i="13"/>
  <c r="Z759" i="13"/>
  <c r="AB759" i="13" s="1"/>
  <c r="T759" i="13"/>
  <c r="P759" i="13"/>
  <c r="K759" i="13"/>
  <c r="E759" i="13"/>
  <c r="D759" i="13"/>
  <c r="C759" i="13"/>
  <c r="B759" i="13"/>
  <c r="BD758" i="13"/>
  <c r="AI758" i="13"/>
  <c r="Z758" i="13"/>
  <c r="T758" i="13"/>
  <c r="V758" i="13" s="1"/>
  <c r="P758" i="13"/>
  <c r="K758" i="13"/>
  <c r="E758" i="13"/>
  <c r="D758" i="13"/>
  <c r="C758" i="13"/>
  <c r="B758" i="13"/>
  <c r="BD757" i="13"/>
  <c r="BU757" i="13" s="1"/>
  <c r="AI757" i="13"/>
  <c r="AW757" i="13" s="1"/>
  <c r="Z757" i="13"/>
  <c r="T757" i="13"/>
  <c r="P757" i="13"/>
  <c r="K757" i="13"/>
  <c r="E757" i="13"/>
  <c r="D757" i="13"/>
  <c r="C757" i="13"/>
  <c r="B757" i="13"/>
  <c r="BD756" i="13"/>
  <c r="BP756" i="13" s="1"/>
  <c r="AI756" i="13"/>
  <c r="Z756" i="13"/>
  <c r="T756" i="13"/>
  <c r="V756" i="13" s="1"/>
  <c r="P756" i="13"/>
  <c r="K756" i="13"/>
  <c r="E756" i="13"/>
  <c r="D756" i="13"/>
  <c r="C756" i="13"/>
  <c r="B756" i="13"/>
  <c r="BD755" i="13"/>
  <c r="AI755" i="13"/>
  <c r="Z755" i="13"/>
  <c r="T755" i="13"/>
  <c r="P755" i="13"/>
  <c r="K755" i="13"/>
  <c r="E755" i="13"/>
  <c r="D755" i="13"/>
  <c r="C755" i="13"/>
  <c r="B755" i="13"/>
  <c r="BD754" i="13"/>
  <c r="BF754" i="13" s="1"/>
  <c r="AI754" i="13"/>
  <c r="Z754" i="13"/>
  <c r="T754" i="13"/>
  <c r="P754" i="13"/>
  <c r="K754" i="13"/>
  <c r="E754" i="13"/>
  <c r="D754" i="13"/>
  <c r="C754" i="13"/>
  <c r="B754" i="13"/>
  <c r="BD753" i="13"/>
  <c r="AI753" i="13"/>
  <c r="Z753" i="13"/>
  <c r="AB753" i="13" s="1"/>
  <c r="T753" i="13"/>
  <c r="V753" i="13" s="1"/>
  <c r="P753" i="13"/>
  <c r="K753" i="13"/>
  <c r="E753" i="13"/>
  <c r="D753" i="13"/>
  <c r="C753" i="13"/>
  <c r="B753" i="13"/>
  <c r="BD752" i="13"/>
  <c r="AI752" i="13"/>
  <c r="Z752" i="13"/>
  <c r="AB752" i="13" s="1"/>
  <c r="T752" i="13"/>
  <c r="V752" i="13" s="1"/>
  <c r="P752" i="13"/>
  <c r="K752" i="13"/>
  <c r="E752" i="13"/>
  <c r="D752" i="13"/>
  <c r="C752" i="13"/>
  <c r="B752" i="13"/>
  <c r="BD751" i="13"/>
  <c r="AI751" i="13"/>
  <c r="Z751" i="13"/>
  <c r="AB751" i="13" s="1"/>
  <c r="T751" i="13"/>
  <c r="P751" i="13"/>
  <c r="K751" i="13"/>
  <c r="E751" i="13"/>
  <c r="D751" i="13"/>
  <c r="C751" i="13"/>
  <c r="B751" i="13"/>
  <c r="BD750" i="13"/>
  <c r="AI750" i="13"/>
  <c r="Z750" i="13"/>
  <c r="AB750" i="13" s="1"/>
  <c r="T750" i="13"/>
  <c r="V750" i="13" s="1"/>
  <c r="P750" i="13"/>
  <c r="K750" i="13"/>
  <c r="E750" i="13"/>
  <c r="D750" i="13"/>
  <c r="C750" i="13"/>
  <c r="B750" i="13"/>
  <c r="BD749" i="13"/>
  <c r="AI749" i="13"/>
  <c r="Z749" i="13"/>
  <c r="T749" i="13"/>
  <c r="U749" i="13" s="1"/>
  <c r="W749" i="13" s="1"/>
  <c r="P749" i="13"/>
  <c r="K749" i="13"/>
  <c r="E749" i="13"/>
  <c r="D749" i="13"/>
  <c r="C749" i="13"/>
  <c r="B749" i="13"/>
  <c r="BD748" i="13"/>
  <c r="AI748" i="13"/>
  <c r="Z748" i="13"/>
  <c r="T748" i="13"/>
  <c r="P748" i="13"/>
  <c r="K748" i="13"/>
  <c r="E748" i="13"/>
  <c r="D748" i="13"/>
  <c r="C748" i="13"/>
  <c r="B748" i="13"/>
  <c r="BD747" i="13"/>
  <c r="AI747" i="13"/>
  <c r="AS747" i="13" s="1"/>
  <c r="Z747" i="13"/>
  <c r="T747" i="13"/>
  <c r="P747" i="13"/>
  <c r="K747" i="13"/>
  <c r="E747" i="13"/>
  <c r="D747" i="13"/>
  <c r="C747" i="13"/>
  <c r="B747" i="13"/>
  <c r="BD746" i="13"/>
  <c r="BR746" i="13" s="1"/>
  <c r="AI746" i="13"/>
  <c r="AU746" i="13" s="1"/>
  <c r="Z746" i="13"/>
  <c r="AA746" i="13" s="1"/>
  <c r="AC746" i="13" s="1"/>
  <c r="T746" i="13"/>
  <c r="P746" i="13"/>
  <c r="K746" i="13"/>
  <c r="E746" i="13"/>
  <c r="D746" i="13"/>
  <c r="C746" i="13"/>
  <c r="B746" i="13"/>
  <c r="BD745" i="13"/>
  <c r="AI745" i="13"/>
  <c r="AJ745" i="13" s="1"/>
  <c r="Z745" i="13"/>
  <c r="T745" i="13"/>
  <c r="U745" i="13" s="1"/>
  <c r="W745" i="13" s="1"/>
  <c r="P745" i="13"/>
  <c r="K745" i="13"/>
  <c r="E745" i="13"/>
  <c r="D745" i="13"/>
  <c r="C745" i="13"/>
  <c r="B745" i="13"/>
  <c r="BD744" i="13"/>
  <c r="BT744" i="13" s="1"/>
  <c r="AI744" i="13"/>
  <c r="Z744" i="13"/>
  <c r="T744" i="13"/>
  <c r="V744" i="13" s="1"/>
  <c r="P744" i="13"/>
  <c r="K744" i="13"/>
  <c r="E744" i="13"/>
  <c r="D744" i="13"/>
  <c r="C744" i="13"/>
  <c r="B744" i="13"/>
  <c r="BD743" i="13"/>
  <c r="AI743" i="13"/>
  <c r="AW743" i="13" s="1"/>
  <c r="Z743" i="13"/>
  <c r="AB743" i="13" s="1"/>
  <c r="T743" i="13"/>
  <c r="U743" i="13" s="1"/>
  <c r="W743" i="13" s="1"/>
  <c r="P743" i="13"/>
  <c r="K743" i="13"/>
  <c r="E743" i="13"/>
  <c r="D743" i="13"/>
  <c r="C743" i="13"/>
  <c r="B743" i="13"/>
  <c r="BD742" i="13"/>
  <c r="AI742" i="13"/>
  <c r="Z742" i="13"/>
  <c r="AB742" i="13" s="1"/>
  <c r="T742" i="13"/>
  <c r="V742" i="13" s="1"/>
  <c r="P742" i="13"/>
  <c r="K742" i="13"/>
  <c r="E742" i="13"/>
  <c r="D742" i="13"/>
  <c r="C742" i="13"/>
  <c r="B742" i="13"/>
  <c r="BD741" i="13"/>
  <c r="AI741" i="13"/>
  <c r="Z741" i="13"/>
  <c r="T741" i="13"/>
  <c r="V741" i="13" s="1"/>
  <c r="P741" i="13"/>
  <c r="K741" i="13"/>
  <c r="E741" i="13"/>
  <c r="D741" i="13"/>
  <c r="C741" i="13"/>
  <c r="B741" i="13"/>
  <c r="BD740" i="13"/>
  <c r="BP740" i="13" s="1"/>
  <c r="AI740" i="13"/>
  <c r="Z740" i="13"/>
  <c r="T740" i="13"/>
  <c r="P740" i="13"/>
  <c r="K740" i="13"/>
  <c r="E740" i="13"/>
  <c r="D740" i="13"/>
  <c r="C740" i="13"/>
  <c r="B740" i="13"/>
  <c r="BD739" i="13"/>
  <c r="BG739" i="13" s="1"/>
  <c r="AI739" i="13"/>
  <c r="Z739" i="13"/>
  <c r="AA739" i="13" s="1"/>
  <c r="AC739" i="13" s="1"/>
  <c r="T739" i="13"/>
  <c r="P739" i="13"/>
  <c r="K739" i="13"/>
  <c r="E739" i="13"/>
  <c r="D739" i="13"/>
  <c r="C739" i="13"/>
  <c r="B739" i="13"/>
  <c r="BD738" i="13"/>
  <c r="BM738" i="13" s="1"/>
  <c r="AI738" i="13"/>
  <c r="AL738" i="13" s="1"/>
  <c r="Z738" i="13"/>
  <c r="T738" i="13"/>
  <c r="P738" i="13"/>
  <c r="K738" i="13"/>
  <c r="E738" i="13"/>
  <c r="D738" i="13"/>
  <c r="C738" i="13"/>
  <c r="B738" i="13"/>
  <c r="BD737" i="13"/>
  <c r="BT737" i="13" s="1"/>
  <c r="AI737" i="13"/>
  <c r="AX737" i="13" s="1"/>
  <c r="Z737" i="13"/>
  <c r="T737" i="13"/>
  <c r="P737" i="13"/>
  <c r="K737" i="13"/>
  <c r="E737" i="13"/>
  <c r="D737" i="13"/>
  <c r="C737" i="13"/>
  <c r="B737" i="13"/>
  <c r="BD736" i="13"/>
  <c r="AI736" i="13"/>
  <c r="Z736" i="13"/>
  <c r="T736" i="13"/>
  <c r="V736" i="13" s="1"/>
  <c r="P736" i="13"/>
  <c r="K736" i="13"/>
  <c r="E736" i="13"/>
  <c r="D736" i="13"/>
  <c r="C736" i="13"/>
  <c r="B736" i="13"/>
  <c r="BD735" i="13"/>
  <c r="BE735" i="13" s="1"/>
  <c r="AI735" i="13"/>
  <c r="BB735" i="13" s="1"/>
  <c r="Z735" i="13"/>
  <c r="AB735" i="13" s="1"/>
  <c r="T735" i="13"/>
  <c r="P735" i="13"/>
  <c r="K735" i="13"/>
  <c r="E735" i="13"/>
  <c r="D735" i="13"/>
  <c r="C735" i="13"/>
  <c r="B735" i="13"/>
  <c r="BD734" i="13"/>
  <c r="AI734" i="13"/>
  <c r="AP734" i="13" s="1"/>
  <c r="Z734" i="13"/>
  <c r="AB734" i="13" s="1"/>
  <c r="T734" i="13"/>
  <c r="V734" i="13" s="1"/>
  <c r="P734" i="13"/>
  <c r="K734" i="13"/>
  <c r="E734" i="13"/>
  <c r="D734" i="13"/>
  <c r="C734" i="13"/>
  <c r="B734" i="13"/>
  <c r="BD733" i="13"/>
  <c r="AI733" i="13"/>
  <c r="Z733" i="13"/>
  <c r="T733" i="13"/>
  <c r="P733" i="13"/>
  <c r="K733" i="13"/>
  <c r="E733" i="13"/>
  <c r="D733" i="13"/>
  <c r="C733" i="13"/>
  <c r="B733" i="13"/>
  <c r="BD732" i="13"/>
  <c r="BW732" i="13" s="1"/>
  <c r="AI732" i="13"/>
  <c r="Z732" i="13"/>
  <c r="T732" i="13"/>
  <c r="V732" i="13" s="1"/>
  <c r="P732" i="13"/>
  <c r="K732" i="13"/>
  <c r="E732" i="13"/>
  <c r="D732" i="13"/>
  <c r="C732" i="13"/>
  <c r="B732" i="13"/>
  <c r="BD731" i="13"/>
  <c r="AI731" i="13"/>
  <c r="AY731" i="13" s="1"/>
  <c r="Z731" i="13"/>
  <c r="AB731" i="13" s="1"/>
  <c r="T731" i="13"/>
  <c r="P731" i="13"/>
  <c r="K731" i="13"/>
  <c r="E731" i="13"/>
  <c r="D731" i="13"/>
  <c r="C731" i="13"/>
  <c r="B731" i="13"/>
  <c r="BD730" i="13"/>
  <c r="AI730" i="13"/>
  <c r="AV730" i="13" s="1"/>
  <c r="Z730" i="13"/>
  <c r="AA730" i="13" s="1"/>
  <c r="AC730" i="13" s="1"/>
  <c r="T730" i="13"/>
  <c r="P730" i="13"/>
  <c r="K730" i="13"/>
  <c r="E730" i="13"/>
  <c r="D730" i="13"/>
  <c r="C730" i="13"/>
  <c r="B730" i="13"/>
  <c r="BD729" i="13"/>
  <c r="AI729" i="13"/>
  <c r="AV729" i="13" s="1"/>
  <c r="Z729" i="13"/>
  <c r="AB729" i="13" s="1"/>
  <c r="T729" i="13"/>
  <c r="P729" i="13"/>
  <c r="K729" i="13"/>
  <c r="E729" i="13"/>
  <c r="D729" i="13"/>
  <c r="C729" i="13"/>
  <c r="B729" i="13"/>
  <c r="BD728" i="13"/>
  <c r="BH728" i="13" s="1"/>
  <c r="AI728" i="13"/>
  <c r="Z728" i="13"/>
  <c r="T728" i="13"/>
  <c r="P728" i="13"/>
  <c r="K728" i="13"/>
  <c r="E728" i="13"/>
  <c r="D728" i="13"/>
  <c r="C728" i="13"/>
  <c r="B728" i="13"/>
  <c r="BD727" i="13"/>
  <c r="BF727" i="13" s="1"/>
  <c r="AI727" i="13"/>
  <c r="Z727" i="13"/>
  <c r="AB727" i="13" s="1"/>
  <c r="T727" i="13"/>
  <c r="U727" i="13" s="1"/>
  <c r="W727" i="13" s="1"/>
  <c r="P727" i="13"/>
  <c r="K727" i="13"/>
  <c r="E727" i="13"/>
  <c r="D727" i="13"/>
  <c r="C727" i="13"/>
  <c r="B727" i="13"/>
  <c r="BD726" i="13"/>
  <c r="AI726" i="13"/>
  <c r="Z726" i="13"/>
  <c r="AB726" i="13" s="1"/>
  <c r="T726" i="13"/>
  <c r="V726" i="13" s="1"/>
  <c r="P726" i="13"/>
  <c r="K726" i="13"/>
  <c r="E726" i="13"/>
  <c r="D726" i="13"/>
  <c r="C726" i="13"/>
  <c r="B726" i="13"/>
  <c r="BD725" i="13"/>
  <c r="AI725" i="13"/>
  <c r="AR725" i="13" s="1"/>
  <c r="Z725" i="13"/>
  <c r="AB725" i="13" s="1"/>
  <c r="T725" i="13"/>
  <c r="P725" i="13"/>
  <c r="K725" i="13"/>
  <c r="E725" i="13"/>
  <c r="D725" i="13"/>
  <c r="C725" i="13"/>
  <c r="B725" i="13"/>
  <c r="BD724" i="13"/>
  <c r="AI724" i="13"/>
  <c r="AU724" i="13" s="1"/>
  <c r="Z724" i="13"/>
  <c r="AB724" i="13" s="1"/>
  <c r="T724" i="13"/>
  <c r="V724" i="13" s="1"/>
  <c r="P724" i="13"/>
  <c r="K724" i="13"/>
  <c r="E724" i="13"/>
  <c r="D724" i="13"/>
  <c r="C724" i="13"/>
  <c r="B724" i="13"/>
  <c r="BD723" i="13"/>
  <c r="AI723" i="13"/>
  <c r="AT723" i="13" s="1"/>
  <c r="Z723" i="13"/>
  <c r="T723" i="13"/>
  <c r="P723" i="13"/>
  <c r="K723" i="13"/>
  <c r="E723" i="13"/>
  <c r="D723" i="13"/>
  <c r="C723" i="13"/>
  <c r="B723" i="13"/>
  <c r="BD722" i="13"/>
  <c r="BU722" i="13" s="1"/>
  <c r="AI722" i="13"/>
  <c r="Z722" i="13"/>
  <c r="AA722" i="13" s="1"/>
  <c r="AC722" i="13" s="1"/>
  <c r="T722" i="13"/>
  <c r="P722" i="13"/>
  <c r="K722" i="13"/>
  <c r="E722" i="13"/>
  <c r="D722" i="13"/>
  <c r="C722" i="13"/>
  <c r="B722" i="13"/>
  <c r="BD721" i="13"/>
  <c r="AI721" i="13"/>
  <c r="Z721" i="13"/>
  <c r="T721" i="13"/>
  <c r="P721" i="13"/>
  <c r="K721" i="13"/>
  <c r="E721" i="13"/>
  <c r="D721" i="13"/>
  <c r="C721" i="13"/>
  <c r="B721" i="13"/>
  <c r="BD720" i="13"/>
  <c r="AI720" i="13"/>
  <c r="BB720" i="13" s="1"/>
  <c r="Z720" i="13"/>
  <c r="T720" i="13"/>
  <c r="V720" i="13" s="1"/>
  <c r="P720" i="13"/>
  <c r="K720" i="13"/>
  <c r="E720" i="13"/>
  <c r="D720" i="13"/>
  <c r="C720" i="13"/>
  <c r="B720" i="13"/>
  <c r="BD719" i="13"/>
  <c r="BM719" i="13" s="1"/>
  <c r="AI719" i="13"/>
  <c r="Z719" i="13"/>
  <c r="T719" i="13"/>
  <c r="P719" i="13"/>
  <c r="K719" i="13"/>
  <c r="E719" i="13"/>
  <c r="D719" i="13"/>
  <c r="C719" i="13"/>
  <c r="B719" i="13"/>
  <c r="BD718" i="13"/>
  <c r="AI718" i="13"/>
  <c r="AK718" i="13" s="1"/>
  <c r="Z718" i="13"/>
  <c r="T718" i="13"/>
  <c r="P718" i="13"/>
  <c r="K718" i="13"/>
  <c r="E718" i="13"/>
  <c r="D718" i="13"/>
  <c r="C718" i="13"/>
  <c r="B718" i="13"/>
  <c r="BD717" i="13"/>
  <c r="BM717" i="13" s="1"/>
  <c r="AI717" i="13"/>
  <c r="Z717" i="13"/>
  <c r="T717" i="13"/>
  <c r="U717" i="13" s="1"/>
  <c r="W717" i="13" s="1"/>
  <c r="P717" i="13"/>
  <c r="K717" i="13"/>
  <c r="E717" i="13"/>
  <c r="D717" i="13"/>
  <c r="C717" i="13"/>
  <c r="B717" i="13"/>
  <c r="BD716" i="13"/>
  <c r="AI716" i="13"/>
  <c r="AO716" i="13" s="1"/>
  <c r="Z716" i="13"/>
  <c r="AB716" i="13" s="1"/>
  <c r="T716" i="13"/>
  <c r="V716" i="13" s="1"/>
  <c r="P716" i="13"/>
  <c r="K716" i="13"/>
  <c r="E716" i="13"/>
  <c r="D716" i="13"/>
  <c r="C716" i="13"/>
  <c r="B716" i="13"/>
  <c r="BD715" i="13"/>
  <c r="BI715" i="13" s="1"/>
  <c r="AI715" i="13"/>
  <c r="AL715" i="13" s="1"/>
  <c r="Z715" i="13"/>
  <c r="AA715" i="13" s="1"/>
  <c r="AC715" i="13" s="1"/>
  <c r="T715" i="13"/>
  <c r="P715" i="13"/>
  <c r="K715" i="13"/>
  <c r="E715" i="13"/>
  <c r="D715" i="13"/>
  <c r="C715" i="13"/>
  <c r="B715" i="13"/>
  <c r="BD714" i="13"/>
  <c r="AI714" i="13"/>
  <c r="AL714" i="13" s="1"/>
  <c r="Z714" i="13"/>
  <c r="T714" i="13"/>
  <c r="P714" i="13"/>
  <c r="K714" i="13"/>
  <c r="E714" i="13"/>
  <c r="D714" i="13"/>
  <c r="C714" i="13"/>
  <c r="B714" i="13"/>
  <c r="BD713" i="13"/>
  <c r="AI713" i="13"/>
  <c r="Z713" i="13"/>
  <c r="AA713" i="13" s="1"/>
  <c r="AC713" i="13" s="1"/>
  <c r="T713" i="13"/>
  <c r="U713" i="13" s="1"/>
  <c r="W713" i="13" s="1"/>
  <c r="P713" i="13"/>
  <c r="K713" i="13"/>
  <c r="E713" i="13"/>
  <c r="D713" i="13"/>
  <c r="C713" i="13"/>
  <c r="B713" i="13"/>
  <c r="BD712" i="13"/>
  <c r="BJ712" i="13" s="1"/>
  <c r="AI712" i="13"/>
  <c r="AJ712" i="13" s="1"/>
  <c r="Z712" i="13"/>
  <c r="T712" i="13"/>
  <c r="P712" i="13"/>
  <c r="K712" i="13"/>
  <c r="E712" i="13"/>
  <c r="D712" i="13"/>
  <c r="C712" i="13"/>
  <c r="B712" i="13"/>
  <c r="BD711" i="13"/>
  <c r="AI711" i="13"/>
  <c r="Z711" i="13"/>
  <c r="AB711" i="13" s="1"/>
  <c r="T711" i="13"/>
  <c r="P711" i="13"/>
  <c r="K711" i="13"/>
  <c r="E711" i="13"/>
  <c r="D711" i="13"/>
  <c r="C711" i="13"/>
  <c r="B711" i="13"/>
  <c r="BD710" i="13"/>
  <c r="BW710" i="13" s="1"/>
  <c r="AI710" i="13"/>
  <c r="AJ710" i="13" s="1"/>
  <c r="Z710" i="13"/>
  <c r="T710" i="13"/>
  <c r="U710" i="13" s="1"/>
  <c r="W710" i="13" s="1"/>
  <c r="P710" i="13"/>
  <c r="K710" i="13"/>
  <c r="E710" i="13"/>
  <c r="D710" i="13"/>
  <c r="C710" i="13"/>
  <c r="B710" i="13"/>
  <c r="BD709" i="13"/>
  <c r="AI709" i="13"/>
  <c r="AS709" i="13" s="1"/>
  <c r="Z709" i="13"/>
  <c r="T709" i="13"/>
  <c r="P709" i="13"/>
  <c r="K709" i="13"/>
  <c r="E709" i="13"/>
  <c r="D709" i="13"/>
  <c r="C709" i="13"/>
  <c r="B709" i="13"/>
  <c r="BD708" i="13"/>
  <c r="AI708" i="13"/>
  <c r="BB708" i="13" s="1"/>
  <c r="Z708" i="13"/>
  <c r="T708" i="13"/>
  <c r="P708" i="13"/>
  <c r="K708" i="13"/>
  <c r="E708" i="13"/>
  <c r="D708" i="13"/>
  <c r="C708" i="13"/>
  <c r="B708" i="13"/>
  <c r="BD707" i="13"/>
  <c r="AI707" i="13"/>
  <c r="Z707" i="13"/>
  <c r="T707" i="13"/>
  <c r="P707" i="13"/>
  <c r="K707" i="13"/>
  <c r="E707" i="13"/>
  <c r="D707" i="13"/>
  <c r="C707" i="13"/>
  <c r="B707" i="13"/>
  <c r="BD706" i="13"/>
  <c r="BS706" i="13" s="1"/>
  <c r="AI706" i="13"/>
  <c r="Z706" i="13"/>
  <c r="AA706" i="13" s="1"/>
  <c r="AC706" i="13" s="1"/>
  <c r="T706" i="13"/>
  <c r="U706" i="13" s="1"/>
  <c r="W706" i="13" s="1"/>
  <c r="P706" i="13"/>
  <c r="K706" i="13"/>
  <c r="E706" i="13"/>
  <c r="D706" i="13"/>
  <c r="C706" i="13"/>
  <c r="B706" i="13"/>
  <c r="BD705" i="13"/>
  <c r="AI705" i="13"/>
  <c r="AW705" i="13" s="1"/>
  <c r="Z705" i="13"/>
  <c r="T705" i="13"/>
  <c r="P705" i="13"/>
  <c r="K705" i="13"/>
  <c r="E705" i="13"/>
  <c r="D705" i="13"/>
  <c r="C705" i="13"/>
  <c r="B705" i="13"/>
  <c r="BD704" i="13"/>
  <c r="BW704" i="13" s="1"/>
  <c r="AI704" i="13"/>
  <c r="Z704" i="13"/>
  <c r="T704" i="13"/>
  <c r="P704" i="13"/>
  <c r="K704" i="13"/>
  <c r="E704" i="13"/>
  <c r="D704" i="13"/>
  <c r="C704" i="13"/>
  <c r="B704" i="13"/>
  <c r="BD703" i="13"/>
  <c r="AI703" i="13"/>
  <c r="Z703" i="13"/>
  <c r="T703" i="13"/>
  <c r="V703" i="13" s="1"/>
  <c r="P703" i="13"/>
  <c r="K703" i="13"/>
  <c r="E703" i="13"/>
  <c r="D703" i="13"/>
  <c r="C703" i="13"/>
  <c r="B703" i="13"/>
  <c r="BD702" i="13"/>
  <c r="AI702" i="13"/>
  <c r="AO702" i="13" s="1"/>
  <c r="Z702" i="13"/>
  <c r="AB702" i="13" s="1"/>
  <c r="T702" i="13"/>
  <c r="U702" i="13" s="1"/>
  <c r="W702" i="13" s="1"/>
  <c r="P702" i="13"/>
  <c r="K702" i="13"/>
  <c r="E702" i="13"/>
  <c r="D702" i="13"/>
  <c r="C702" i="13"/>
  <c r="B702" i="13"/>
  <c r="BD701" i="13"/>
  <c r="AI701" i="13"/>
  <c r="BA701" i="13" s="1"/>
  <c r="Z701" i="13"/>
  <c r="T701" i="13"/>
  <c r="P701" i="13"/>
  <c r="K701" i="13"/>
  <c r="E701" i="13"/>
  <c r="D701" i="13"/>
  <c r="C701" i="13"/>
  <c r="B701" i="13"/>
  <c r="BD700" i="13"/>
  <c r="AI700" i="13"/>
  <c r="AX700" i="13" s="1"/>
  <c r="Z700" i="13"/>
  <c r="AA700" i="13" s="1"/>
  <c r="AC700" i="13" s="1"/>
  <c r="T700" i="13"/>
  <c r="P700" i="13"/>
  <c r="K700" i="13"/>
  <c r="E700" i="13"/>
  <c r="D700" i="13"/>
  <c r="C700" i="13"/>
  <c r="B700" i="13"/>
  <c r="BD699" i="13"/>
  <c r="BG699" i="13" s="1"/>
  <c r="AI699" i="13"/>
  <c r="Z699" i="13"/>
  <c r="AA699" i="13" s="1"/>
  <c r="AC699" i="13" s="1"/>
  <c r="T699" i="13"/>
  <c r="P699" i="13"/>
  <c r="K699" i="13"/>
  <c r="E699" i="13"/>
  <c r="D699" i="13"/>
  <c r="C699" i="13"/>
  <c r="B699" i="13"/>
  <c r="BD698" i="13"/>
  <c r="AI698" i="13"/>
  <c r="Z698" i="13"/>
  <c r="AA698" i="13" s="1"/>
  <c r="AC698" i="13" s="1"/>
  <c r="T698" i="13"/>
  <c r="P698" i="13"/>
  <c r="K698" i="13"/>
  <c r="E698" i="13"/>
  <c r="D698" i="13"/>
  <c r="C698" i="13"/>
  <c r="B698" i="13"/>
  <c r="BD697" i="13"/>
  <c r="BN697" i="13" s="1"/>
  <c r="AI697" i="13"/>
  <c r="AO697" i="13" s="1"/>
  <c r="Z697" i="13"/>
  <c r="T697" i="13"/>
  <c r="U697" i="13" s="1"/>
  <c r="W697" i="13" s="1"/>
  <c r="P697" i="13"/>
  <c r="K697" i="13"/>
  <c r="E697" i="13"/>
  <c r="D697" i="13"/>
  <c r="C697" i="13"/>
  <c r="B697" i="13"/>
  <c r="BD696" i="13"/>
  <c r="BQ696" i="13" s="1"/>
  <c r="AI696" i="13"/>
  <c r="Z696" i="13"/>
  <c r="T696" i="13"/>
  <c r="P696" i="13"/>
  <c r="K696" i="13"/>
  <c r="E696" i="13"/>
  <c r="D696" i="13"/>
  <c r="C696" i="13"/>
  <c r="B696" i="13"/>
  <c r="BD695" i="13"/>
  <c r="BV695" i="13" s="1"/>
  <c r="AI695" i="13"/>
  <c r="AT695" i="13" s="1"/>
  <c r="Z695" i="13"/>
  <c r="AB695" i="13" s="1"/>
  <c r="T695" i="13"/>
  <c r="V695" i="13" s="1"/>
  <c r="P695" i="13"/>
  <c r="K695" i="13"/>
  <c r="E695" i="13"/>
  <c r="D695" i="13"/>
  <c r="C695" i="13"/>
  <c r="B695" i="13"/>
  <c r="BD694" i="13"/>
  <c r="BT694" i="13" s="1"/>
  <c r="AI694" i="13"/>
  <c r="AW694" i="13" s="1"/>
  <c r="Z694" i="13"/>
  <c r="T694" i="13"/>
  <c r="P694" i="13"/>
  <c r="K694" i="13"/>
  <c r="E694" i="13"/>
  <c r="D694" i="13"/>
  <c r="C694" i="13"/>
  <c r="B694" i="13"/>
  <c r="BD693" i="13"/>
  <c r="AI693" i="13"/>
  <c r="AU693" i="13" s="1"/>
  <c r="Z693" i="13"/>
  <c r="AA693" i="13" s="1"/>
  <c r="AC693" i="13" s="1"/>
  <c r="T693" i="13"/>
  <c r="V693" i="13" s="1"/>
  <c r="P693" i="13"/>
  <c r="K693" i="13"/>
  <c r="E693" i="13"/>
  <c r="D693" i="13"/>
  <c r="C693" i="13"/>
  <c r="B693" i="13"/>
  <c r="BD692" i="13"/>
  <c r="BU692" i="13" s="1"/>
  <c r="AI692" i="13"/>
  <c r="Z692" i="13"/>
  <c r="T692" i="13"/>
  <c r="V692" i="13" s="1"/>
  <c r="P692" i="13"/>
  <c r="K692" i="13"/>
  <c r="E692" i="13"/>
  <c r="D692" i="13"/>
  <c r="C692" i="13"/>
  <c r="B692" i="13"/>
  <c r="BD691" i="13"/>
  <c r="AI691" i="13"/>
  <c r="Z691" i="13"/>
  <c r="AB691" i="13" s="1"/>
  <c r="T691" i="13"/>
  <c r="U691" i="13" s="1"/>
  <c r="W691" i="13" s="1"/>
  <c r="P691" i="13"/>
  <c r="K691" i="13"/>
  <c r="E691" i="13"/>
  <c r="D691" i="13"/>
  <c r="C691" i="13"/>
  <c r="B691" i="13"/>
  <c r="BD690" i="13"/>
  <c r="BL690" i="13" s="1"/>
  <c r="AI690" i="13"/>
  <c r="Z690" i="13"/>
  <c r="T690" i="13"/>
  <c r="P690" i="13"/>
  <c r="K690" i="13"/>
  <c r="E690" i="13"/>
  <c r="D690" i="13"/>
  <c r="C690" i="13"/>
  <c r="B690" i="13"/>
  <c r="BD689" i="13"/>
  <c r="AI689" i="13"/>
  <c r="AL689" i="13" s="1"/>
  <c r="Z689" i="13"/>
  <c r="T689" i="13"/>
  <c r="U689" i="13" s="1"/>
  <c r="W689" i="13" s="1"/>
  <c r="P689" i="13"/>
  <c r="K689" i="13"/>
  <c r="E689" i="13"/>
  <c r="D689" i="13"/>
  <c r="C689" i="13"/>
  <c r="B689" i="13"/>
  <c r="BD688" i="13"/>
  <c r="BQ688" i="13" s="1"/>
  <c r="AI688" i="13"/>
  <c r="Z688" i="13"/>
  <c r="T688" i="13"/>
  <c r="P688" i="13"/>
  <c r="K688" i="13"/>
  <c r="E688" i="13"/>
  <c r="D688" i="13"/>
  <c r="C688" i="13"/>
  <c r="B688" i="13"/>
  <c r="BD687" i="13"/>
  <c r="AI687" i="13"/>
  <c r="AP687" i="13" s="1"/>
  <c r="Z687" i="13"/>
  <c r="AB687" i="13" s="1"/>
  <c r="T687" i="13"/>
  <c r="U687" i="13" s="1"/>
  <c r="W687" i="13" s="1"/>
  <c r="P687" i="13"/>
  <c r="K687" i="13"/>
  <c r="E687" i="13"/>
  <c r="D687" i="13"/>
  <c r="C687" i="13"/>
  <c r="B687" i="13"/>
  <c r="BD686" i="13"/>
  <c r="BW686" i="13" s="1"/>
  <c r="AI686" i="13"/>
  <c r="Z686" i="13"/>
  <c r="AB686" i="13" s="1"/>
  <c r="T686" i="13"/>
  <c r="V686" i="13" s="1"/>
  <c r="P686" i="13"/>
  <c r="K686" i="13"/>
  <c r="E686" i="13"/>
  <c r="D686" i="13"/>
  <c r="C686" i="13"/>
  <c r="B686" i="13"/>
  <c r="BD685" i="13"/>
  <c r="AI685" i="13"/>
  <c r="Z685" i="13"/>
  <c r="T685" i="13"/>
  <c r="V685" i="13" s="1"/>
  <c r="P685" i="13"/>
  <c r="K685" i="13"/>
  <c r="E685" i="13"/>
  <c r="D685" i="13"/>
  <c r="C685" i="13"/>
  <c r="B685" i="13"/>
  <c r="BD684" i="13"/>
  <c r="AI684" i="13"/>
  <c r="AZ684" i="13" s="1"/>
  <c r="Z684" i="13"/>
  <c r="AA684" i="13" s="1"/>
  <c r="AC684" i="13" s="1"/>
  <c r="T684" i="13"/>
  <c r="V684" i="13" s="1"/>
  <c r="P684" i="13"/>
  <c r="K684" i="13"/>
  <c r="E684" i="13"/>
  <c r="D684" i="13"/>
  <c r="C684" i="13"/>
  <c r="B684" i="13"/>
  <c r="BD683" i="13"/>
  <c r="BR683" i="13" s="1"/>
  <c r="AI683" i="13"/>
  <c r="AJ683" i="13" s="1"/>
  <c r="Z683" i="13"/>
  <c r="AB683" i="13" s="1"/>
  <c r="T683" i="13"/>
  <c r="P683" i="13"/>
  <c r="K683" i="13"/>
  <c r="E683" i="13"/>
  <c r="D683" i="13"/>
  <c r="C683" i="13"/>
  <c r="B683" i="13"/>
  <c r="BD682" i="13"/>
  <c r="BR682" i="13" s="1"/>
  <c r="AI682" i="13"/>
  <c r="Z682" i="13"/>
  <c r="AB682" i="13" s="1"/>
  <c r="T682" i="13"/>
  <c r="V682" i="13" s="1"/>
  <c r="P682" i="13"/>
  <c r="K682" i="13"/>
  <c r="E682" i="13"/>
  <c r="D682" i="13"/>
  <c r="C682" i="13"/>
  <c r="B682" i="13"/>
  <c r="BD681" i="13"/>
  <c r="AI681" i="13"/>
  <c r="Z681" i="13"/>
  <c r="AB681" i="13" s="1"/>
  <c r="T681" i="13"/>
  <c r="P681" i="13"/>
  <c r="K681" i="13"/>
  <c r="E681" i="13"/>
  <c r="D681" i="13"/>
  <c r="C681" i="13"/>
  <c r="B681" i="13"/>
  <c r="BD680" i="13"/>
  <c r="AI680" i="13"/>
  <c r="AZ680" i="13" s="1"/>
  <c r="Z680" i="13"/>
  <c r="T680" i="13"/>
  <c r="P680" i="13"/>
  <c r="K680" i="13"/>
  <c r="E680" i="13"/>
  <c r="D680" i="13"/>
  <c r="C680" i="13"/>
  <c r="B680" i="13"/>
  <c r="BD679" i="13"/>
  <c r="BG679" i="13" s="1"/>
  <c r="AI679" i="13"/>
  <c r="Z679" i="13"/>
  <c r="T679" i="13"/>
  <c r="V679" i="13" s="1"/>
  <c r="P679" i="13"/>
  <c r="K679" i="13"/>
  <c r="E679" i="13"/>
  <c r="D679" i="13"/>
  <c r="C679" i="13"/>
  <c r="B679" i="13"/>
  <c r="BD678" i="13"/>
  <c r="BO678" i="13" s="1"/>
  <c r="AI678" i="13"/>
  <c r="AU678" i="13" s="1"/>
  <c r="Z678" i="13"/>
  <c r="T678" i="13"/>
  <c r="V678" i="13" s="1"/>
  <c r="P678" i="13"/>
  <c r="K678" i="13"/>
  <c r="E678" i="13"/>
  <c r="D678" i="13"/>
  <c r="C678" i="13"/>
  <c r="B678" i="13"/>
  <c r="BD677" i="13"/>
  <c r="BS677" i="13" s="1"/>
  <c r="AI677" i="13"/>
  <c r="AP677" i="13" s="1"/>
  <c r="Z677" i="13"/>
  <c r="T677" i="13"/>
  <c r="P677" i="13"/>
  <c r="K677" i="13"/>
  <c r="E677" i="13"/>
  <c r="D677" i="13"/>
  <c r="C677" i="13"/>
  <c r="B677" i="13"/>
  <c r="BD676" i="13"/>
  <c r="AI676" i="13"/>
  <c r="AY676" i="13" s="1"/>
  <c r="Z676" i="13"/>
  <c r="AA676" i="13" s="1"/>
  <c r="AC676" i="13" s="1"/>
  <c r="T676" i="13"/>
  <c r="P676" i="13"/>
  <c r="K676" i="13"/>
  <c r="E676" i="13"/>
  <c r="D676" i="13"/>
  <c r="C676" i="13"/>
  <c r="B676" i="13"/>
  <c r="BD675" i="13"/>
  <c r="BS675" i="13" s="1"/>
  <c r="AI675" i="13"/>
  <c r="AR675" i="13" s="1"/>
  <c r="Z675" i="13"/>
  <c r="T675" i="13"/>
  <c r="P675" i="13"/>
  <c r="K675" i="13"/>
  <c r="E675" i="13"/>
  <c r="D675" i="13"/>
  <c r="C675" i="13"/>
  <c r="B675" i="13"/>
  <c r="BD674" i="13"/>
  <c r="BJ674" i="13" s="1"/>
  <c r="AI674" i="13"/>
  <c r="AN674" i="13" s="1"/>
  <c r="Z674" i="13"/>
  <c r="AA674" i="13" s="1"/>
  <c r="AC674" i="13" s="1"/>
  <c r="T674" i="13"/>
  <c r="P674" i="13"/>
  <c r="K674" i="13"/>
  <c r="E674" i="13"/>
  <c r="D674" i="13"/>
  <c r="C674" i="13"/>
  <c r="B674" i="13"/>
  <c r="BD673" i="13"/>
  <c r="AI673" i="13"/>
  <c r="Z673" i="13"/>
  <c r="AA673" i="13" s="1"/>
  <c r="AC673" i="13" s="1"/>
  <c r="T673" i="13"/>
  <c r="P673" i="13"/>
  <c r="K673" i="13"/>
  <c r="E673" i="13"/>
  <c r="D673" i="13"/>
  <c r="C673" i="13"/>
  <c r="B673" i="13"/>
  <c r="BD672" i="13"/>
  <c r="AI672" i="13"/>
  <c r="AO672" i="13" s="1"/>
  <c r="Z672" i="13"/>
  <c r="T672" i="13"/>
  <c r="P672" i="13"/>
  <c r="K672" i="13"/>
  <c r="E672" i="13"/>
  <c r="D672" i="13"/>
  <c r="C672" i="13"/>
  <c r="B672" i="13"/>
  <c r="BD671" i="13"/>
  <c r="AI671" i="13"/>
  <c r="Z671" i="13"/>
  <c r="AB671" i="13" s="1"/>
  <c r="T671" i="13"/>
  <c r="P671" i="13"/>
  <c r="K671" i="13"/>
  <c r="E671" i="13"/>
  <c r="D671" i="13"/>
  <c r="C671" i="13"/>
  <c r="B671" i="13"/>
  <c r="BD670" i="13"/>
  <c r="AI670" i="13"/>
  <c r="BB670" i="13" s="1"/>
  <c r="Z670" i="13"/>
  <c r="AB670" i="13" s="1"/>
  <c r="T670" i="13"/>
  <c r="V670" i="13" s="1"/>
  <c r="P670" i="13"/>
  <c r="K670" i="13"/>
  <c r="E670" i="13"/>
  <c r="D670" i="13"/>
  <c r="C670" i="13"/>
  <c r="B670" i="13"/>
  <c r="BD669" i="13"/>
  <c r="BF669" i="13" s="1"/>
  <c r="AI669" i="13"/>
  <c r="AU669" i="13" s="1"/>
  <c r="Z669" i="13"/>
  <c r="AB669" i="13" s="1"/>
  <c r="T669" i="13"/>
  <c r="P669" i="13"/>
  <c r="K669" i="13"/>
  <c r="E669" i="13"/>
  <c r="D669" i="13"/>
  <c r="C669" i="13"/>
  <c r="B669" i="13"/>
  <c r="BD668" i="13"/>
  <c r="AI668" i="13"/>
  <c r="AS668" i="13" s="1"/>
  <c r="Z668" i="13"/>
  <c r="T668" i="13"/>
  <c r="P668" i="13"/>
  <c r="K668" i="13"/>
  <c r="E668" i="13"/>
  <c r="D668" i="13"/>
  <c r="C668" i="13"/>
  <c r="B668" i="13"/>
  <c r="BD667" i="13"/>
  <c r="AI667" i="13"/>
  <c r="Z667" i="13"/>
  <c r="AA667" i="13" s="1"/>
  <c r="AC667" i="13" s="1"/>
  <c r="T667" i="13"/>
  <c r="P667" i="13"/>
  <c r="K667" i="13"/>
  <c r="E667" i="13"/>
  <c r="D667" i="13"/>
  <c r="C667" i="13"/>
  <c r="B667" i="13"/>
  <c r="BD666" i="13"/>
  <c r="BU666" i="13" s="1"/>
  <c r="AI666" i="13"/>
  <c r="Z666" i="13"/>
  <c r="T666" i="13"/>
  <c r="P666" i="13"/>
  <c r="K666" i="13"/>
  <c r="E666" i="13"/>
  <c r="D666" i="13"/>
  <c r="C666" i="13"/>
  <c r="B666" i="13"/>
  <c r="BD665" i="13"/>
  <c r="AI665" i="13"/>
  <c r="AT665" i="13" s="1"/>
  <c r="Z665" i="13"/>
  <c r="AB665" i="13" s="1"/>
  <c r="T665" i="13"/>
  <c r="P665" i="13"/>
  <c r="K665" i="13"/>
  <c r="E665" i="13"/>
  <c r="D665" i="13"/>
  <c r="C665" i="13"/>
  <c r="B665" i="13"/>
  <c r="BD664" i="13"/>
  <c r="BT664" i="13" s="1"/>
  <c r="AI664" i="13"/>
  <c r="Z664" i="13"/>
  <c r="T664" i="13"/>
  <c r="U664" i="13" s="1"/>
  <c r="W664" i="13" s="1"/>
  <c r="P664" i="13"/>
  <c r="K664" i="13"/>
  <c r="E664" i="13"/>
  <c r="D664" i="13"/>
  <c r="C664" i="13"/>
  <c r="B664" i="13"/>
  <c r="BD663" i="13"/>
  <c r="AI663" i="13"/>
  <c r="AN663" i="13" s="1"/>
  <c r="Z663" i="13"/>
  <c r="T663" i="13"/>
  <c r="P663" i="13"/>
  <c r="K663" i="13"/>
  <c r="E663" i="13"/>
  <c r="D663" i="13"/>
  <c r="C663" i="13"/>
  <c r="B663" i="13"/>
  <c r="BD662" i="13"/>
  <c r="BT662" i="13" s="1"/>
  <c r="AI662" i="13"/>
  <c r="Z662" i="13"/>
  <c r="AA662" i="13" s="1"/>
  <c r="AC662" i="13" s="1"/>
  <c r="T662" i="13"/>
  <c r="V662" i="13" s="1"/>
  <c r="P662" i="13"/>
  <c r="K662" i="13"/>
  <c r="E662" i="13"/>
  <c r="D662" i="13"/>
  <c r="C662" i="13"/>
  <c r="B662" i="13"/>
  <c r="BD661" i="13"/>
  <c r="BE661" i="13" s="1"/>
  <c r="AI661" i="13"/>
  <c r="Z661" i="13"/>
  <c r="T661" i="13"/>
  <c r="P661" i="13"/>
  <c r="K661" i="13"/>
  <c r="E661" i="13"/>
  <c r="D661" i="13"/>
  <c r="C661" i="13"/>
  <c r="B661" i="13"/>
  <c r="BD660" i="13"/>
  <c r="AI660" i="13"/>
  <c r="AK660" i="13" s="1"/>
  <c r="Z660" i="13"/>
  <c r="AA660" i="13" s="1"/>
  <c r="AC660" i="13" s="1"/>
  <c r="T660" i="13"/>
  <c r="P660" i="13"/>
  <c r="K660" i="13"/>
  <c r="E660" i="13"/>
  <c r="D660" i="13"/>
  <c r="C660" i="13"/>
  <c r="B660" i="13"/>
  <c r="BD659" i="13"/>
  <c r="AI659" i="13"/>
  <c r="Z659" i="13"/>
  <c r="T659" i="13"/>
  <c r="U659" i="13" s="1"/>
  <c r="W659" i="13" s="1"/>
  <c r="P659" i="13"/>
  <c r="K659" i="13"/>
  <c r="E659" i="13"/>
  <c r="D659" i="13"/>
  <c r="C659" i="13"/>
  <c r="B659" i="13"/>
  <c r="BD658" i="13"/>
  <c r="BW658" i="13" s="1"/>
  <c r="AI658" i="13"/>
  <c r="Z658" i="13"/>
  <c r="T658" i="13"/>
  <c r="U658" i="13" s="1"/>
  <c r="W658" i="13" s="1"/>
  <c r="P658" i="13"/>
  <c r="K658" i="13"/>
  <c r="E658" i="13"/>
  <c r="D658" i="13"/>
  <c r="C658" i="13"/>
  <c r="B658" i="13"/>
  <c r="BD657" i="13"/>
  <c r="BS657" i="13" s="1"/>
  <c r="AI657" i="13"/>
  <c r="Z657" i="13"/>
  <c r="T657" i="13"/>
  <c r="P657" i="13"/>
  <c r="K657" i="13"/>
  <c r="E657" i="13"/>
  <c r="D657" i="13"/>
  <c r="C657" i="13"/>
  <c r="B657" i="13"/>
  <c r="BD656" i="13"/>
  <c r="AI656" i="13"/>
  <c r="AO656" i="13" s="1"/>
  <c r="Z656" i="13"/>
  <c r="AB656" i="13" s="1"/>
  <c r="T656" i="13"/>
  <c r="P656" i="13"/>
  <c r="K656" i="13"/>
  <c r="E656" i="13"/>
  <c r="D656" i="13"/>
  <c r="C656" i="13"/>
  <c r="B656" i="13"/>
  <c r="BD655" i="13"/>
  <c r="BV655" i="13" s="1"/>
  <c r="AI655" i="13"/>
  <c r="Z655" i="13"/>
  <c r="AB655" i="13" s="1"/>
  <c r="T655" i="13"/>
  <c r="V655" i="13" s="1"/>
  <c r="P655" i="13"/>
  <c r="K655" i="13"/>
  <c r="E655" i="13"/>
  <c r="D655" i="13"/>
  <c r="C655" i="13"/>
  <c r="B655" i="13"/>
  <c r="BD654" i="13"/>
  <c r="BL654" i="13" s="1"/>
  <c r="AI654" i="13"/>
  <c r="AO654" i="13" s="1"/>
  <c r="Z654" i="13"/>
  <c r="T654" i="13"/>
  <c r="U654" i="13" s="1"/>
  <c r="W654" i="13" s="1"/>
  <c r="P654" i="13"/>
  <c r="K654" i="13"/>
  <c r="E654" i="13"/>
  <c r="D654" i="13"/>
  <c r="C654" i="13"/>
  <c r="B654" i="13"/>
  <c r="BD653" i="13"/>
  <c r="BE653" i="13" s="1"/>
  <c r="AI653" i="13"/>
  <c r="AX653" i="13" s="1"/>
  <c r="Z653" i="13"/>
  <c r="AB653" i="13" s="1"/>
  <c r="T653" i="13"/>
  <c r="P653" i="13"/>
  <c r="K653" i="13"/>
  <c r="E653" i="13"/>
  <c r="D653" i="13"/>
  <c r="C653" i="13"/>
  <c r="B653" i="13"/>
  <c r="BD652" i="13"/>
  <c r="AI652" i="13"/>
  <c r="Z652" i="13"/>
  <c r="AA652" i="13" s="1"/>
  <c r="AC652" i="13" s="1"/>
  <c r="T652" i="13"/>
  <c r="P652" i="13"/>
  <c r="K652" i="13"/>
  <c r="E652" i="13"/>
  <c r="D652" i="13"/>
  <c r="C652" i="13"/>
  <c r="B652" i="13"/>
  <c r="BD651" i="13"/>
  <c r="BJ651" i="13" s="1"/>
  <c r="AI651" i="13"/>
  <c r="BB651" i="13" s="1"/>
  <c r="Z651" i="13"/>
  <c r="AA651" i="13" s="1"/>
  <c r="AC651" i="13" s="1"/>
  <c r="T651" i="13"/>
  <c r="U651" i="13" s="1"/>
  <c r="W651" i="13" s="1"/>
  <c r="P651" i="13"/>
  <c r="K651" i="13"/>
  <c r="E651" i="13"/>
  <c r="D651" i="13"/>
  <c r="C651" i="13"/>
  <c r="B651" i="13"/>
  <c r="BD650" i="13"/>
  <c r="BP650" i="13" s="1"/>
  <c r="AI650" i="13"/>
  <c r="Z650" i="13"/>
  <c r="T650" i="13"/>
  <c r="U650" i="13" s="1"/>
  <c r="W650" i="13" s="1"/>
  <c r="P650" i="13"/>
  <c r="K650" i="13"/>
  <c r="E650" i="13"/>
  <c r="D650" i="13"/>
  <c r="C650" i="13"/>
  <c r="B650" i="13"/>
  <c r="BD649" i="13"/>
  <c r="BU649" i="13" s="1"/>
  <c r="AI649" i="13"/>
  <c r="Z649" i="13"/>
  <c r="T649" i="13"/>
  <c r="P649" i="13"/>
  <c r="K649" i="13"/>
  <c r="E649" i="13"/>
  <c r="D649" i="13"/>
  <c r="C649" i="13"/>
  <c r="B649" i="13"/>
  <c r="BD648" i="13"/>
  <c r="BT648" i="13" s="1"/>
  <c r="AI648" i="13"/>
  <c r="Z648" i="13"/>
  <c r="AB648" i="13" s="1"/>
  <c r="T648" i="13"/>
  <c r="V648" i="13" s="1"/>
  <c r="P648" i="13"/>
  <c r="K648" i="13"/>
  <c r="E648" i="13"/>
  <c r="D648" i="13"/>
  <c r="C648" i="13"/>
  <c r="B648" i="13"/>
  <c r="BD647" i="13"/>
  <c r="BQ647" i="13" s="1"/>
  <c r="AI647" i="13"/>
  <c r="Z647" i="13"/>
  <c r="AA647" i="13" s="1"/>
  <c r="AC647" i="13" s="1"/>
  <c r="T647" i="13"/>
  <c r="V647" i="13" s="1"/>
  <c r="P647" i="13"/>
  <c r="K647" i="13"/>
  <c r="E647" i="13"/>
  <c r="D647" i="13"/>
  <c r="C647" i="13"/>
  <c r="B647" i="13"/>
  <c r="BD646" i="13"/>
  <c r="BJ646" i="13" s="1"/>
  <c r="AI646" i="13"/>
  <c r="AM646" i="13" s="1"/>
  <c r="Z646" i="13"/>
  <c r="AA646" i="13" s="1"/>
  <c r="AC646" i="13" s="1"/>
  <c r="T646" i="13"/>
  <c r="P646" i="13"/>
  <c r="K646" i="13"/>
  <c r="E646" i="13"/>
  <c r="D646" i="13"/>
  <c r="C646" i="13"/>
  <c r="B646" i="13"/>
  <c r="BD645" i="13"/>
  <c r="BI645" i="13" s="1"/>
  <c r="AI645" i="13"/>
  <c r="AS645" i="13" s="1"/>
  <c r="Z645" i="13"/>
  <c r="AA645" i="13" s="1"/>
  <c r="AC645" i="13" s="1"/>
  <c r="T645" i="13"/>
  <c r="V645" i="13" s="1"/>
  <c r="P645" i="13"/>
  <c r="K645" i="13"/>
  <c r="E645" i="13"/>
  <c r="D645" i="13"/>
  <c r="C645" i="13"/>
  <c r="B645" i="13"/>
  <c r="BD644" i="13"/>
  <c r="BW644" i="13" s="1"/>
  <c r="AI644" i="13"/>
  <c r="Z644" i="13"/>
  <c r="T644" i="13"/>
  <c r="V644" i="13" s="1"/>
  <c r="P644" i="13"/>
  <c r="K644" i="13"/>
  <c r="E644" i="13"/>
  <c r="D644" i="13"/>
  <c r="C644" i="13"/>
  <c r="B644" i="13"/>
  <c r="BD643" i="13"/>
  <c r="AI643" i="13"/>
  <c r="Z643" i="13"/>
  <c r="AA643" i="13" s="1"/>
  <c r="AC643" i="13" s="1"/>
  <c r="T643" i="13"/>
  <c r="U643" i="13" s="1"/>
  <c r="W643" i="13" s="1"/>
  <c r="P643" i="13"/>
  <c r="K643" i="13"/>
  <c r="E643" i="13"/>
  <c r="D643" i="13"/>
  <c r="C643" i="13"/>
  <c r="B643" i="13"/>
  <c r="BD642" i="13"/>
  <c r="BV642" i="13" s="1"/>
  <c r="AI642" i="13"/>
  <c r="BA642" i="13" s="1"/>
  <c r="Z642" i="13"/>
  <c r="T642" i="13"/>
  <c r="P642" i="13"/>
  <c r="K642" i="13"/>
  <c r="E642" i="13"/>
  <c r="D642" i="13"/>
  <c r="C642" i="13"/>
  <c r="B642" i="13"/>
  <c r="BD641" i="13"/>
  <c r="BU641" i="13" s="1"/>
  <c r="AI641" i="13"/>
  <c r="AR641" i="13" s="1"/>
  <c r="Z641" i="13"/>
  <c r="T641" i="13"/>
  <c r="U641" i="13" s="1"/>
  <c r="W641" i="13" s="1"/>
  <c r="P641" i="13"/>
  <c r="K641" i="13"/>
  <c r="E641" i="13"/>
  <c r="D641" i="13"/>
  <c r="C641" i="13"/>
  <c r="B641" i="13"/>
  <c r="BD640" i="13"/>
  <c r="BL640" i="13" s="1"/>
  <c r="AI640" i="13"/>
  <c r="Z640" i="13"/>
  <c r="T640" i="13"/>
  <c r="V640" i="13" s="1"/>
  <c r="P640" i="13"/>
  <c r="K640" i="13"/>
  <c r="E640" i="13"/>
  <c r="D640" i="13"/>
  <c r="C640" i="13"/>
  <c r="B640" i="13"/>
  <c r="BD639" i="13"/>
  <c r="BG639" i="13" s="1"/>
  <c r="AI639" i="13"/>
  <c r="Z639" i="13"/>
  <c r="T639" i="13"/>
  <c r="P639" i="13"/>
  <c r="K639" i="13"/>
  <c r="E639" i="13"/>
  <c r="D639" i="13"/>
  <c r="C639" i="13"/>
  <c r="B639" i="13"/>
  <c r="BD638" i="13"/>
  <c r="BN638" i="13" s="1"/>
  <c r="AI638" i="13"/>
  <c r="BA638" i="13" s="1"/>
  <c r="Z638" i="13"/>
  <c r="AB638" i="13" s="1"/>
  <c r="T638" i="13"/>
  <c r="P638" i="13"/>
  <c r="K638" i="13"/>
  <c r="E638" i="13"/>
  <c r="D638" i="13"/>
  <c r="C638" i="13"/>
  <c r="B638" i="13"/>
  <c r="BD637" i="13"/>
  <c r="AI637" i="13"/>
  <c r="Z637" i="13"/>
  <c r="T637" i="13"/>
  <c r="U637" i="13" s="1"/>
  <c r="W637" i="13" s="1"/>
  <c r="P637" i="13"/>
  <c r="K637" i="13"/>
  <c r="E637" i="13"/>
  <c r="D637" i="13"/>
  <c r="C637" i="13"/>
  <c r="B637" i="13"/>
  <c r="BD636" i="13"/>
  <c r="AI636" i="13"/>
  <c r="Z636" i="13"/>
  <c r="AA636" i="13" s="1"/>
  <c r="AC636" i="13" s="1"/>
  <c r="T636" i="13"/>
  <c r="P636" i="13"/>
  <c r="K636" i="13"/>
  <c r="E636" i="13"/>
  <c r="D636" i="13"/>
  <c r="C636" i="13"/>
  <c r="B636" i="13"/>
  <c r="BD635" i="13"/>
  <c r="AI635" i="13"/>
  <c r="Z635" i="13"/>
  <c r="AA635" i="13" s="1"/>
  <c r="AC635" i="13" s="1"/>
  <c r="T635" i="13"/>
  <c r="P635" i="13"/>
  <c r="K635" i="13"/>
  <c r="E635" i="13"/>
  <c r="D635" i="13"/>
  <c r="C635" i="13"/>
  <c r="B635" i="13"/>
  <c r="BD634" i="13"/>
  <c r="BF634" i="13" s="1"/>
  <c r="AI634" i="13"/>
  <c r="Z634" i="13"/>
  <c r="AA634" i="13" s="1"/>
  <c r="AC634" i="13" s="1"/>
  <c r="T634" i="13"/>
  <c r="P634" i="13"/>
  <c r="K634" i="13"/>
  <c r="E634" i="13"/>
  <c r="D634" i="13"/>
  <c r="C634" i="13"/>
  <c r="B634" i="13"/>
  <c r="BD633" i="13"/>
  <c r="BE633" i="13" s="1"/>
  <c r="AI633" i="13"/>
  <c r="Z633" i="13"/>
  <c r="AB633" i="13" s="1"/>
  <c r="T633" i="13"/>
  <c r="U633" i="13" s="1"/>
  <c r="W633" i="13" s="1"/>
  <c r="P633" i="13"/>
  <c r="K633" i="13"/>
  <c r="E633" i="13"/>
  <c r="D633" i="13"/>
  <c r="C633" i="13"/>
  <c r="B633" i="13"/>
  <c r="BD632" i="13"/>
  <c r="AI632" i="13"/>
  <c r="Z632" i="13"/>
  <c r="T632" i="13"/>
  <c r="V632" i="13" s="1"/>
  <c r="P632" i="13"/>
  <c r="K632" i="13"/>
  <c r="E632" i="13"/>
  <c r="D632" i="13"/>
  <c r="C632" i="13"/>
  <c r="B632" i="13"/>
  <c r="BD631" i="13"/>
  <c r="BI631" i="13" s="1"/>
  <c r="AI631" i="13"/>
  <c r="Z631" i="13"/>
  <c r="AA631" i="13" s="1"/>
  <c r="AC631" i="13" s="1"/>
  <c r="T631" i="13"/>
  <c r="P631" i="13"/>
  <c r="K631" i="13"/>
  <c r="E631" i="13"/>
  <c r="D631" i="13"/>
  <c r="C631" i="13"/>
  <c r="B631" i="13"/>
  <c r="BD630" i="13"/>
  <c r="AI630" i="13"/>
  <c r="AM630" i="13" s="1"/>
  <c r="Z630" i="13"/>
  <c r="T630" i="13"/>
  <c r="U630" i="13" s="1"/>
  <c r="W630" i="13" s="1"/>
  <c r="P630" i="13"/>
  <c r="K630" i="13"/>
  <c r="E630" i="13"/>
  <c r="D630" i="13"/>
  <c r="C630" i="13"/>
  <c r="B630" i="13"/>
  <c r="BD629" i="13"/>
  <c r="BE629" i="13" s="1"/>
  <c r="AI629" i="13"/>
  <c r="AM629" i="13" s="1"/>
  <c r="Z629" i="13"/>
  <c r="AB629" i="13" s="1"/>
  <c r="T629" i="13"/>
  <c r="V629" i="13" s="1"/>
  <c r="P629" i="13"/>
  <c r="K629" i="13"/>
  <c r="E629" i="13"/>
  <c r="D629" i="13"/>
  <c r="C629" i="13"/>
  <c r="B629" i="13"/>
  <c r="BD628" i="13"/>
  <c r="BW628" i="13" s="1"/>
  <c r="AI628" i="13"/>
  <c r="Z628" i="13"/>
  <c r="T628" i="13"/>
  <c r="P628" i="13"/>
  <c r="K628" i="13"/>
  <c r="E628" i="13"/>
  <c r="D628" i="13"/>
  <c r="C628" i="13"/>
  <c r="B628" i="13"/>
  <c r="BD627" i="13"/>
  <c r="BF627" i="13" s="1"/>
  <c r="AI627" i="13"/>
  <c r="Z627" i="13"/>
  <c r="AA627" i="13" s="1"/>
  <c r="AC627" i="13" s="1"/>
  <c r="T627" i="13"/>
  <c r="U627" i="13" s="1"/>
  <c r="W627" i="13" s="1"/>
  <c r="P627" i="13"/>
  <c r="K627" i="13"/>
  <c r="E627" i="13"/>
  <c r="D627" i="13"/>
  <c r="C627" i="13"/>
  <c r="B627" i="13"/>
  <c r="BD626" i="13"/>
  <c r="BN626" i="13" s="1"/>
  <c r="AI626" i="13"/>
  <c r="AY626" i="13" s="1"/>
  <c r="Z626" i="13"/>
  <c r="T626" i="13"/>
  <c r="P626" i="13"/>
  <c r="K626" i="13"/>
  <c r="E626" i="13"/>
  <c r="D626" i="13"/>
  <c r="C626" i="13"/>
  <c r="B626" i="13"/>
  <c r="BD625" i="13"/>
  <c r="AI625" i="13"/>
  <c r="Z625" i="13"/>
  <c r="AB625" i="13" s="1"/>
  <c r="T625" i="13"/>
  <c r="U625" i="13" s="1"/>
  <c r="W625" i="13" s="1"/>
  <c r="P625" i="13"/>
  <c r="K625" i="13"/>
  <c r="E625" i="13"/>
  <c r="D625" i="13"/>
  <c r="C625" i="13"/>
  <c r="B625" i="13"/>
  <c r="BD624" i="13"/>
  <c r="BV624" i="13" s="1"/>
  <c r="AI624" i="13"/>
  <c r="AW624" i="13" s="1"/>
  <c r="Z624" i="13"/>
  <c r="T624" i="13"/>
  <c r="P624" i="13"/>
  <c r="K624" i="13"/>
  <c r="E624" i="13"/>
  <c r="D624" i="13"/>
  <c r="C624" i="13"/>
  <c r="B624" i="13"/>
  <c r="BD623" i="13"/>
  <c r="BI623" i="13" s="1"/>
  <c r="AI623" i="13"/>
  <c r="AV623" i="13" s="1"/>
  <c r="Z623" i="13"/>
  <c r="T623" i="13"/>
  <c r="P623" i="13"/>
  <c r="K623" i="13"/>
  <c r="E623" i="13"/>
  <c r="D623" i="13"/>
  <c r="C623" i="13"/>
  <c r="B623" i="13"/>
  <c r="BD622" i="13"/>
  <c r="BN622" i="13" s="1"/>
  <c r="AI622" i="13"/>
  <c r="AP622" i="13" s="1"/>
  <c r="Z622" i="13"/>
  <c r="T622" i="13"/>
  <c r="P622" i="13"/>
  <c r="K622" i="13"/>
  <c r="E622" i="13"/>
  <c r="D622" i="13"/>
  <c r="C622" i="13"/>
  <c r="B622" i="13"/>
  <c r="BD621" i="13"/>
  <c r="AI621" i="13"/>
  <c r="AK621" i="13" s="1"/>
  <c r="Z621" i="13"/>
  <c r="T621" i="13"/>
  <c r="V621" i="13" s="1"/>
  <c r="P621" i="13"/>
  <c r="K621" i="13"/>
  <c r="E621" i="13"/>
  <c r="D621" i="13"/>
  <c r="C621" i="13"/>
  <c r="B621" i="13"/>
  <c r="BD620" i="13"/>
  <c r="BM620" i="13" s="1"/>
  <c r="AI620" i="13"/>
  <c r="Z620" i="13"/>
  <c r="T620" i="13"/>
  <c r="P620" i="13"/>
  <c r="K620" i="13"/>
  <c r="E620" i="13"/>
  <c r="D620" i="13"/>
  <c r="C620" i="13"/>
  <c r="B620" i="13"/>
  <c r="BD619" i="13"/>
  <c r="BU619" i="13" s="1"/>
  <c r="AI619" i="13"/>
  <c r="AV619" i="13" s="1"/>
  <c r="Z619" i="13"/>
  <c r="AA619" i="13" s="1"/>
  <c r="AC619" i="13" s="1"/>
  <c r="T619" i="13"/>
  <c r="P619" i="13"/>
  <c r="K619" i="13"/>
  <c r="E619" i="13"/>
  <c r="D619" i="13"/>
  <c r="C619" i="13"/>
  <c r="B619" i="13"/>
  <c r="BD618" i="13"/>
  <c r="BG618" i="13" s="1"/>
  <c r="AI618" i="13"/>
  <c r="Z618" i="13"/>
  <c r="T618" i="13"/>
  <c r="U618" i="13" s="1"/>
  <c r="W618" i="13" s="1"/>
  <c r="P618" i="13"/>
  <c r="K618" i="13"/>
  <c r="E618" i="13"/>
  <c r="D618" i="13"/>
  <c r="C618" i="13"/>
  <c r="B618" i="13"/>
  <c r="BD617" i="13"/>
  <c r="BI617" i="13" s="1"/>
  <c r="AI617" i="13"/>
  <c r="AN617" i="13" s="1"/>
  <c r="Z617" i="13"/>
  <c r="T617" i="13"/>
  <c r="U617" i="13" s="1"/>
  <c r="W617" i="13" s="1"/>
  <c r="P617" i="13"/>
  <c r="K617" i="13"/>
  <c r="E617" i="13"/>
  <c r="D617" i="13"/>
  <c r="C617" i="13"/>
  <c r="B617" i="13"/>
  <c r="BD616" i="13"/>
  <c r="AI616" i="13"/>
  <c r="Z616" i="13"/>
  <c r="T616" i="13"/>
  <c r="V616" i="13" s="1"/>
  <c r="P616" i="13"/>
  <c r="K616" i="13"/>
  <c r="E616" i="13"/>
  <c r="D616" i="13"/>
  <c r="C616" i="13"/>
  <c r="B616" i="13"/>
  <c r="BD615" i="13"/>
  <c r="AI615" i="13"/>
  <c r="AW615" i="13" s="1"/>
  <c r="Z615" i="13"/>
  <c r="AB615" i="13" s="1"/>
  <c r="T615" i="13"/>
  <c r="V615" i="13" s="1"/>
  <c r="P615" i="13"/>
  <c r="K615" i="13"/>
  <c r="E615" i="13"/>
  <c r="D615" i="13"/>
  <c r="C615" i="13"/>
  <c r="B615" i="13"/>
  <c r="BD614" i="13"/>
  <c r="AI614" i="13"/>
  <c r="AT614" i="13" s="1"/>
  <c r="Z614" i="13"/>
  <c r="T614" i="13"/>
  <c r="V614" i="13" s="1"/>
  <c r="P614" i="13"/>
  <c r="K614" i="13"/>
  <c r="E614" i="13"/>
  <c r="D614" i="13"/>
  <c r="C614" i="13"/>
  <c r="B614" i="13"/>
  <c r="BD613" i="13"/>
  <c r="BT613" i="13" s="1"/>
  <c r="AI613" i="13"/>
  <c r="Z613" i="13"/>
  <c r="T613" i="13"/>
  <c r="V613" i="13" s="1"/>
  <c r="P613" i="13"/>
  <c r="K613" i="13"/>
  <c r="E613" i="13"/>
  <c r="D613" i="13"/>
  <c r="C613" i="13"/>
  <c r="B613" i="13"/>
  <c r="BD612" i="13"/>
  <c r="AI612" i="13"/>
  <c r="AK612" i="13" s="1"/>
  <c r="Z612" i="13"/>
  <c r="T612" i="13"/>
  <c r="V612" i="13" s="1"/>
  <c r="P612" i="13"/>
  <c r="K612" i="13"/>
  <c r="E612" i="13"/>
  <c r="D612" i="13"/>
  <c r="C612" i="13"/>
  <c r="B612" i="13"/>
  <c r="BD611" i="13"/>
  <c r="AI611" i="13"/>
  <c r="AK611" i="13" s="1"/>
  <c r="Z611" i="13"/>
  <c r="AA611" i="13" s="1"/>
  <c r="AC611" i="13" s="1"/>
  <c r="T611" i="13"/>
  <c r="P611" i="13"/>
  <c r="K611" i="13"/>
  <c r="E611" i="13"/>
  <c r="D611" i="13"/>
  <c r="C611" i="13"/>
  <c r="B611" i="13"/>
  <c r="BD610" i="13"/>
  <c r="BP610" i="13" s="1"/>
  <c r="AI610" i="13"/>
  <c r="Z610" i="13"/>
  <c r="AB610" i="13" s="1"/>
  <c r="T610" i="13"/>
  <c r="U610" i="13" s="1"/>
  <c r="W610" i="13" s="1"/>
  <c r="P610" i="13"/>
  <c r="K610" i="13"/>
  <c r="E610" i="13"/>
  <c r="D610" i="13"/>
  <c r="C610" i="13"/>
  <c r="B610" i="13"/>
  <c r="BD609" i="13"/>
  <c r="AI609" i="13"/>
  <c r="AT609" i="13" s="1"/>
  <c r="Z609" i="13"/>
  <c r="T609" i="13"/>
  <c r="P609" i="13"/>
  <c r="K609" i="13"/>
  <c r="E609" i="13"/>
  <c r="D609" i="13"/>
  <c r="C609" i="13"/>
  <c r="B609" i="13"/>
  <c r="BD608" i="13"/>
  <c r="BF608" i="13" s="1"/>
  <c r="AI608" i="13"/>
  <c r="Z608" i="13"/>
  <c r="AB608" i="13" s="1"/>
  <c r="T608" i="13"/>
  <c r="P608" i="13"/>
  <c r="K608" i="13"/>
  <c r="E608" i="13"/>
  <c r="D608" i="13"/>
  <c r="C608" i="13"/>
  <c r="B608" i="13"/>
  <c r="BD607" i="13"/>
  <c r="BT607" i="13" s="1"/>
  <c r="AI607" i="13"/>
  <c r="Z607" i="13"/>
  <c r="AB607" i="13" s="1"/>
  <c r="T607" i="13"/>
  <c r="P607" i="13"/>
  <c r="K607" i="13"/>
  <c r="E607" i="13"/>
  <c r="D607" i="13"/>
  <c r="C607" i="13"/>
  <c r="B607" i="13"/>
  <c r="BD606" i="13"/>
  <c r="AI606" i="13"/>
  <c r="AZ606" i="13" s="1"/>
  <c r="Z606" i="13"/>
  <c r="T606" i="13"/>
  <c r="V606" i="13" s="1"/>
  <c r="P606" i="13"/>
  <c r="K606" i="13"/>
  <c r="E606" i="13"/>
  <c r="D606" i="13"/>
  <c r="C606" i="13"/>
  <c r="B606" i="13"/>
  <c r="BD605" i="13"/>
  <c r="BM605" i="13" s="1"/>
  <c r="AI605" i="13"/>
  <c r="Z605" i="13"/>
  <c r="T605" i="13"/>
  <c r="P605" i="13"/>
  <c r="K605" i="13"/>
  <c r="E605" i="13"/>
  <c r="D605" i="13"/>
  <c r="C605" i="13"/>
  <c r="B605" i="13"/>
  <c r="BD604" i="13"/>
  <c r="BM604" i="13" s="1"/>
  <c r="AI604" i="13"/>
  <c r="BB604" i="13" s="1"/>
  <c r="Z604" i="13"/>
  <c r="AA604" i="13" s="1"/>
  <c r="AC604" i="13" s="1"/>
  <c r="T604" i="13"/>
  <c r="U604" i="13" s="1"/>
  <c r="W604" i="13" s="1"/>
  <c r="P604" i="13"/>
  <c r="K604" i="13"/>
  <c r="E604" i="13"/>
  <c r="D604" i="13"/>
  <c r="C604" i="13"/>
  <c r="B604" i="13"/>
  <c r="BD603" i="13"/>
  <c r="BS603" i="13" s="1"/>
  <c r="AI603" i="13"/>
  <c r="Z603" i="13"/>
  <c r="AA603" i="13" s="1"/>
  <c r="AC603" i="13" s="1"/>
  <c r="T603" i="13"/>
  <c r="U603" i="13" s="1"/>
  <c r="W603" i="13" s="1"/>
  <c r="P603" i="13"/>
  <c r="K603" i="13"/>
  <c r="E603" i="13"/>
  <c r="D603" i="13"/>
  <c r="C603" i="13"/>
  <c r="B603" i="13"/>
  <c r="BD602" i="13"/>
  <c r="BT602" i="13" s="1"/>
  <c r="AI602" i="13"/>
  <c r="Z602" i="13"/>
  <c r="T602" i="13"/>
  <c r="U602" i="13" s="1"/>
  <c r="W602" i="13" s="1"/>
  <c r="P602" i="13"/>
  <c r="K602" i="13"/>
  <c r="E602" i="13"/>
  <c r="D602" i="13"/>
  <c r="C602" i="13"/>
  <c r="B602" i="13"/>
  <c r="BD601" i="13"/>
  <c r="AI601" i="13"/>
  <c r="Z601" i="13"/>
  <c r="AB601" i="13" s="1"/>
  <c r="T601" i="13"/>
  <c r="P601" i="13"/>
  <c r="K601" i="13"/>
  <c r="E601" i="13"/>
  <c r="D601" i="13"/>
  <c r="C601" i="13"/>
  <c r="B601" i="13"/>
  <c r="BD600" i="13"/>
  <c r="AI600" i="13"/>
  <c r="Z600" i="13"/>
  <c r="T600" i="13"/>
  <c r="P600" i="13"/>
  <c r="K600" i="13"/>
  <c r="E600" i="13"/>
  <c r="D600" i="13"/>
  <c r="C600" i="13"/>
  <c r="B600" i="13"/>
  <c r="BD599" i="13"/>
  <c r="AI599" i="13"/>
  <c r="Z599" i="13"/>
  <c r="T599" i="13"/>
  <c r="V599" i="13" s="1"/>
  <c r="P599" i="13"/>
  <c r="K599" i="13"/>
  <c r="E599" i="13"/>
  <c r="D599" i="13"/>
  <c r="C599" i="13"/>
  <c r="B599" i="13"/>
  <c r="BD598" i="13"/>
  <c r="AI598" i="13"/>
  <c r="AN598" i="13" s="1"/>
  <c r="Z598" i="13"/>
  <c r="AB598" i="13" s="1"/>
  <c r="T598" i="13"/>
  <c r="V598" i="13" s="1"/>
  <c r="P598" i="13"/>
  <c r="K598" i="13"/>
  <c r="E598" i="13"/>
  <c r="D598" i="13"/>
  <c r="C598" i="13"/>
  <c r="B598" i="13"/>
  <c r="BD597" i="13"/>
  <c r="AI597" i="13"/>
  <c r="Z597" i="13"/>
  <c r="T597" i="13"/>
  <c r="P597" i="13"/>
  <c r="K597" i="13"/>
  <c r="E597" i="13"/>
  <c r="D597" i="13"/>
  <c r="C597" i="13"/>
  <c r="B597" i="13"/>
  <c r="BD596" i="13"/>
  <c r="BU596" i="13" s="1"/>
  <c r="AI596" i="13"/>
  <c r="Z596" i="13"/>
  <c r="AB596" i="13" s="1"/>
  <c r="T596" i="13"/>
  <c r="P596" i="13"/>
  <c r="K596" i="13"/>
  <c r="E596" i="13"/>
  <c r="D596" i="13"/>
  <c r="C596" i="13"/>
  <c r="B596" i="13"/>
  <c r="BD595" i="13"/>
  <c r="BU595" i="13" s="1"/>
  <c r="AI595" i="13"/>
  <c r="AW595" i="13" s="1"/>
  <c r="Z595" i="13"/>
  <c r="AA595" i="13" s="1"/>
  <c r="AC595" i="13" s="1"/>
  <c r="T595" i="13"/>
  <c r="P595" i="13"/>
  <c r="K595" i="13"/>
  <c r="E595" i="13"/>
  <c r="D595" i="13"/>
  <c r="C595" i="13"/>
  <c r="B595" i="13"/>
  <c r="BD594" i="13"/>
  <c r="AI594" i="13"/>
  <c r="Z594" i="13"/>
  <c r="AB594" i="13" s="1"/>
  <c r="T594" i="13"/>
  <c r="U594" i="13" s="1"/>
  <c r="W594" i="13" s="1"/>
  <c r="P594" i="13"/>
  <c r="K594" i="13"/>
  <c r="E594" i="13"/>
  <c r="D594" i="13"/>
  <c r="C594" i="13"/>
  <c r="B594" i="13"/>
  <c r="BD593" i="13"/>
  <c r="AI593" i="13"/>
  <c r="AY593" i="13" s="1"/>
  <c r="Z593" i="13"/>
  <c r="T593" i="13"/>
  <c r="P593" i="13"/>
  <c r="K593" i="13"/>
  <c r="E593" i="13"/>
  <c r="D593" i="13"/>
  <c r="C593" i="13"/>
  <c r="B593" i="13"/>
  <c r="BD592" i="13"/>
  <c r="BV592" i="13" s="1"/>
  <c r="AI592" i="13"/>
  <c r="AU592" i="13" s="1"/>
  <c r="Z592" i="13"/>
  <c r="T592" i="13"/>
  <c r="V592" i="13" s="1"/>
  <c r="P592" i="13"/>
  <c r="K592" i="13"/>
  <c r="E592" i="13"/>
  <c r="D592" i="13"/>
  <c r="C592" i="13"/>
  <c r="B592" i="13"/>
  <c r="BD591" i="13"/>
  <c r="AI591" i="13"/>
  <c r="Z591" i="13"/>
  <c r="AB591" i="13" s="1"/>
  <c r="T591" i="13"/>
  <c r="V591" i="13" s="1"/>
  <c r="P591" i="13"/>
  <c r="K591" i="13"/>
  <c r="E591" i="13"/>
  <c r="D591" i="13"/>
  <c r="C591" i="13"/>
  <c r="B591" i="13"/>
  <c r="BD590" i="13"/>
  <c r="BW590" i="13" s="1"/>
  <c r="AI590" i="13"/>
  <c r="Z590" i="13"/>
  <c r="T590" i="13"/>
  <c r="V590" i="13" s="1"/>
  <c r="P590" i="13"/>
  <c r="K590" i="13"/>
  <c r="E590" i="13"/>
  <c r="D590" i="13"/>
  <c r="C590" i="13"/>
  <c r="B590" i="13"/>
  <c r="BD589" i="13"/>
  <c r="BV589" i="13" s="1"/>
  <c r="AI589" i="13"/>
  <c r="Z589" i="13"/>
  <c r="T589" i="13"/>
  <c r="V589" i="13" s="1"/>
  <c r="P589" i="13"/>
  <c r="K589" i="13"/>
  <c r="E589" i="13"/>
  <c r="D589" i="13"/>
  <c r="C589" i="13"/>
  <c r="B589" i="13"/>
  <c r="BD588" i="13"/>
  <c r="AI588" i="13"/>
  <c r="Z588" i="13"/>
  <c r="AB588" i="13" s="1"/>
  <c r="T588" i="13"/>
  <c r="U588" i="13" s="1"/>
  <c r="W588" i="13" s="1"/>
  <c r="P588" i="13"/>
  <c r="K588" i="13"/>
  <c r="E588" i="13"/>
  <c r="D588" i="13"/>
  <c r="C588" i="13"/>
  <c r="B588" i="13"/>
  <c r="BD587" i="13"/>
  <c r="BV587" i="13" s="1"/>
  <c r="AI587" i="13"/>
  <c r="AM587" i="13" s="1"/>
  <c r="Z587" i="13"/>
  <c r="T587" i="13"/>
  <c r="V587" i="13" s="1"/>
  <c r="P587" i="13"/>
  <c r="K587" i="13"/>
  <c r="E587" i="13"/>
  <c r="D587" i="13"/>
  <c r="C587" i="13"/>
  <c r="B587" i="13"/>
  <c r="BD586" i="13"/>
  <c r="AI586" i="13"/>
  <c r="Z586" i="13"/>
  <c r="T586" i="13"/>
  <c r="P586" i="13"/>
  <c r="K586" i="13"/>
  <c r="E586" i="13"/>
  <c r="D586" i="13"/>
  <c r="C586" i="13"/>
  <c r="B586" i="13"/>
  <c r="BD585" i="13"/>
  <c r="BK585" i="13" s="1"/>
  <c r="AI585" i="13"/>
  <c r="AX585" i="13" s="1"/>
  <c r="Z585" i="13"/>
  <c r="T585" i="13"/>
  <c r="U585" i="13" s="1"/>
  <c r="W585" i="13" s="1"/>
  <c r="P585" i="13"/>
  <c r="K585" i="13"/>
  <c r="E585" i="13"/>
  <c r="D585" i="13"/>
  <c r="C585" i="13"/>
  <c r="B585" i="13"/>
  <c r="BD584" i="13"/>
  <c r="BH584" i="13" s="1"/>
  <c r="AI584" i="13"/>
  <c r="Z584" i="13"/>
  <c r="AA584" i="13" s="1"/>
  <c r="AC584" i="13" s="1"/>
  <c r="T584" i="13"/>
  <c r="P584" i="13"/>
  <c r="K584" i="13"/>
  <c r="E584" i="13"/>
  <c r="D584" i="13"/>
  <c r="C584" i="13"/>
  <c r="B584" i="13"/>
  <c r="BD583" i="13"/>
  <c r="AI583" i="13"/>
  <c r="Z583" i="13"/>
  <c r="AB583" i="13" s="1"/>
  <c r="T583" i="13"/>
  <c r="U583" i="13" s="1"/>
  <c r="W583" i="13" s="1"/>
  <c r="P583" i="13"/>
  <c r="K583" i="13"/>
  <c r="E583" i="13"/>
  <c r="D583" i="13"/>
  <c r="C583" i="13"/>
  <c r="B583" i="13"/>
  <c r="BD582" i="13"/>
  <c r="AI582" i="13"/>
  <c r="Z582" i="13"/>
  <c r="AB582" i="13" s="1"/>
  <c r="T582" i="13"/>
  <c r="V582" i="13" s="1"/>
  <c r="P582" i="13"/>
  <c r="K582" i="13"/>
  <c r="E582" i="13"/>
  <c r="D582" i="13"/>
  <c r="C582" i="13"/>
  <c r="B582" i="13"/>
  <c r="BD581" i="13"/>
  <c r="BS581" i="13" s="1"/>
  <c r="AI581" i="13"/>
  <c r="AV581" i="13" s="1"/>
  <c r="Z581" i="13"/>
  <c r="AA581" i="13" s="1"/>
  <c r="AC581" i="13" s="1"/>
  <c r="T581" i="13"/>
  <c r="P581" i="13"/>
  <c r="K581" i="13"/>
  <c r="E581" i="13"/>
  <c r="D581" i="13"/>
  <c r="C581" i="13"/>
  <c r="B581" i="13"/>
  <c r="BD580" i="13"/>
  <c r="BF580" i="13" s="1"/>
  <c r="AI580" i="13"/>
  <c r="BB580" i="13" s="1"/>
  <c r="Z580" i="13"/>
  <c r="AB580" i="13" s="1"/>
  <c r="T580" i="13"/>
  <c r="P580" i="13"/>
  <c r="K580" i="13"/>
  <c r="E580" i="13"/>
  <c r="D580" i="13"/>
  <c r="C580" i="13"/>
  <c r="B580" i="13"/>
  <c r="BD579" i="13"/>
  <c r="AI579" i="13"/>
  <c r="Z579" i="13"/>
  <c r="AA579" i="13" s="1"/>
  <c r="AC579" i="13" s="1"/>
  <c r="T579" i="13"/>
  <c r="V579" i="13" s="1"/>
  <c r="P579" i="13"/>
  <c r="K579" i="13"/>
  <c r="E579" i="13"/>
  <c r="D579" i="13"/>
  <c r="C579" i="13"/>
  <c r="B579" i="13"/>
  <c r="BD578" i="13"/>
  <c r="BK578" i="13" s="1"/>
  <c r="AI578" i="13"/>
  <c r="Z578" i="13"/>
  <c r="T578" i="13"/>
  <c r="P578" i="13"/>
  <c r="K578" i="13"/>
  <c r="E578" i="13"/>
  <c r="D578" i="13"/>
  <c r="C578" i="13"/>
  <c r="B578" i="13"/>
  <c r="BD577" i="13"/>
  <c r="BV577" i="13" s="1"/>
  <c r="AI577" i="13"/>
  <c r="AY577" i="13" s="1"/>
  <c r="Z577" i="13"/>
  <c r="T577" i="13"/>
  <c r="U577" i="13" s="1"/>
  <c r="W577" i="13" s="1"/>
  <c r="P577" i="13"/>
  <c r="K577" i="13"/>
  <c r="E577" i="13"/>
  <c r="D577" i="13"/>
  <c r="C577" i="13"/>
  <c r="B577" i="13"/>
  <c r="BD576" i="13"/>
  <c r="BP576" i="13" s="1"/>
  <c r="AI576" i="13"/>
  <c r="Z576" i="13"/>
  <c r="AB576" i="13" s="1"/>
  <c r="T576" i="13"/>
  <c r="P576" i="13"/>
  <c r="K576" i="13"/>
  <c r="E576" i="13"/>
  <c r="D576" i="13"/>
  <c r="C576" i="13"/>
  <c r="B576" i="13"/>
  <c r="BD575" i="13"/>
  <c r="BU575" i="13" s="1"/>
  <c r="AI575" i="13"/>
  <c r="Z575" i="13"/>
  <c r="AB575" i="13" s="1"/>
  <c r="T575" i="13"/>
  <c r="U575" i="13" s="1"/>
  <c r="W575" i="13" s="1"/>
  <c r="P575" i="13"/>
  <c r="K575" i="13"/>
  <c r="E575" i="13"/>
  <c r="D575" i="13"/>
  <c r="C575" i="13"/>
  <c r="B575" i="13"/>
  <c r="BD574" i="13"/>
  <c r="AI574" i="13"/>
  <c r="AY574" i="13" s="1"/>
  <c r="Z574" i="13"/>
  <c r="AB574" i="13" s="1"/>
  <c r="T574" i="13"/>
  <c r="V574" i="13" s="1"/>
  <c r="P574" i="13"/>
  <c r="K574" i="13"/>
  <c r="E574" i="13"/>
  <c r="D574" i="13"/>
  <c r="C574" i="13"/>
  <c r="B574" i="13"/>
  <c r="BD573" i="13"/>
  <c r="BJ573" i="13" s="1"/>
  <c r="AI573" i="13"/>
  <c r="Z573" i="13"/>
  <c r="T573" i="13"/>
  <c r="V573" i="13" s="1"/>
  <c r="P573" i="13"/>
  <c r="K573" i="13"/>
  <c r="E573" i="13"/>
  <c r="D573" i="13"/>
  <c r="C573" i="13"/>
  <c r="B573" i="13"/>
  <c r="BD572" i="13"/>
  <c r="AI572" i="13"/>
  <c r="Z572" i="13"/>
  <c r="T572" i="13"/>
  <c r="V572" i="13" s="1"/>
  <c r="P572" i="13"/>
  <c r="K572" i="13"/>
  <c r="E572" i="13"/>
  <c r="D572" i="13"/>
  <c r="C572" i="13"/>
  <c r="B572" i="13"/>
  <c r="BD571" i="13"/>
  <c r="AI571" i="13"/>
  <c r="Z571" i="13"/>
  <c r="T571" i="13"/>
  <c r="P571" i="13"/>
  <c r="K571" i="13"/>
  <c r="E571" i="13"/>
  <c r="D571" i="13"/>
  <c r="C571" i="13"/>
  <c r="B571" i="13"/>
  <c r="BD570" i="13"/>
  <c r="AI570" i="13"/>
  <c r="AZ570" i="13" s="1"/>
  <c r="Z570" i="13"/>
  <c r="AA570" i="13" s="1"/>
  <c r="AC570" i="13" s="1"/>
  <c r="T570" i="13"/>
  <c r="U570" i="13" s="1"/>
  <c r="W570" i="13" s="1"/>
  <c r="P570" i="13"/>
  <c r="K570" i="13"/>
  <c r="E570" i="13"/>
  <c r="D570" i="13"/>
  <c r="C570" i="13"/>
  <c r="B570" i="13"/>
  <c r="BD569" i="13"/>
  <c r="BR569" i="13" s="1"/>
  <c r="AI569" i="13"/>
  <c r="Z569" i="13"/>
  <c r="T569" i="13"/>
  <c r="U569" i="13" s="1"/>
  <c r="W569" i="13" s="1"/>
  <c r="P569" i="13"/>
  <c r="K569" i="13"/>
  <c r="E569" i="13"/>
  <c r="D569" i="13"/>
  <c r="C569" i="13"/>
  <c r="B569" i="13"/>
  <c r="BD568" i="13"/>
  <c r="AI568" i="13"/>
  <c r="AR568" i="13" s="1"/>
  <c r="Z568" i="13"/>
  <c r="AA568" i="13" s="1"/>
  <c r="AC568" i="13" s="1"/>
  <c r="T568" i="13"/>
  <c r="P568" i="13"/>
  <c r="K568" i="13"/>
  <c r="E568" i="13"/>
  <c r="D568" i="13"/>
  <c r="C568" i="13"/>
  <c r="B568" i="13"/>
  <c r="BD567" i="13"/>
  <c r="AI567" i="13"/>
  <c r="AM567" i="13" s="1"/>
  <c r="Z567" i="13"/>
  <c r="AB567" i="13" s="1"/>
  <c r="T567" i="13"/>
  <c r="P567" i="13"/>
  <c r="K567" i="13"/>
  <c r="E567" i="13"/>
  <c r="D567" i="13"/>
  <c r="C567" i="13"/>
  <c r="B567" i="13"/>
  <c r="BD566" i="13"/>
  <c r="BU566" i="13" s="1"/>
  <c r="AI566" i="13"/>
  <c r="Z566" i="13"/>
  <c r="T566" i="13"/>
  <c r="V566" i="13" s="1"/>
  <c r="P566" i="13"/>
  <c r="K566" i="13"/>
  <c r="E566" i="13"/>
  <c r="D566" i="13"/>
  <c r="C566" i="13"/>
  <c r="B566" i="13"/>
  <c r="BD565" i="13"/>
  <c r="BK565" i="13" s="1"/>
  <c r="AI565" i="13"/>
  <c r="AM565" i="13" s="1"/>
  <c r="Z565" i="13"/>
  <c r="T565" i="13"/>
  <c r="P565" i="13"/>
  <c r="K565" i="13"/>
  <c r="E565" i="13"/>
  <c r="D565" i="13"/>
  <c r="C565" i="13"/>
  <c r="B565" i="13"/>
  <c r="BD564" i="13"/>
  <c r="AI564" i="13"/>
  <c r="Z564" i="13"/>
  <c r="AB564" i="13" s="1"/>
  <c r="T564" i="13"/>
  <c r="P564" i="13"/>
  <c r="K564" i="13"/>
  <c r="E564" i="13"/>
  <c r="D564" i="13"/>
  <c r="C564" i="13"/>
  <c r="B564" i="13"/>
  <c r="BD563" i="13"/>
  <c r="BO563" i="13" s="1"/>
  <c r="AI563" i="13"/>
  <c r="AJ563" i="13" s="1"/>
  <c r="Z563" i="13"/>
  <c r="AA563" i="13" s="1"/>
  <c r="AC563" i="13" s="1"/>
  <c r="T563" i="13"/>
  <c r="V563" i="13" s="1"/>
  <c r="P563" i="13"/>
  <c r="K563" i="13"/>
  <c r="E563" i="13"/>
  <c r="D563" i="13"/>
  <c r="C563" i="13"/>
  <c r="B563" i="13"/>
  <c r="BD562" i="13"/>
  <c r="AI562" i="13"/>
  <c r="AU562" i="13" s="1"/>
  <c r="Z562" i="13"/>
  <c r="AA562" i="13" s="1"/>
  <c r="AC562" i="13" s="1"/>
  <c r="T562" i="13"/>
  <c r="V562" i="13" s="1"/>
  <c r="P562" i="13"/>
  <c r="K562" i="13"/>
  <c r="E562" i="13"/>
  <c r="D562" i="13"/>
  <c r="C562" i="13"/>
  <c r="B562" i="13"/>
  <c r="BD561" i="13"/>
  <c r="BT561" i="13" s="1"/>
  <c r="AI561" i="13"/>
  <c r="Z561" i="13"/>
  <c r="T561" i="13"/>
  <c r="U561" i="13" s="1"/>
  <c r="W561" i="13" s="1"/>
  <c r="P561" i="13"/>
  <c r="K561" i="13"/>
  <c r="E561" i="13"/>
  <c r="D561" i="13"/>
  <c r="C561" i="13"/>
  <c r="B561" i="13"/>
  <c r="BD560" i="13"/>
  <c r="AI560" i="13"/>
  <c r="BA560" i="13" s="1"/>
  <c r="Z560" i="13"/>
  <c r="AA560" i="13" s="1"/>
  <c r="AC560" i="13" s="1"/>
  <c r="T560" i="13"/>
  <c r="P560" i="13"/>
  <c r="K560" i="13"/>
  <c r="E560" i="13"/>
  <c r="D560" i="13"/>
  <c r="C560" i="13"/>
  <c r="B560" i="13"/>
  <c r="BD559" i="13"/>
  <c r="BF559" i="13" s="1"/>
  <c r="AI559" i="13"/>
  <c r="AW559" i="13" s="1"/>
  <c r="Z559" i="13"/>
  <c r="AB559" i="13" s="1"/>
  <c r="T559" i="13"/>
  <c r="U559" i="13" s="1"/>
  <c r="W559" i="13" s="1"/>
  <c r="P559" i="13"/>
  <c r="K559" i="13"/>
  <c r="E559" i="13"/>
  <c r="D559" i="13"/>
  <c r="C559" i="13"/>
  <c r="B559" i="13"/>
  <c r="BD558" i="13"/>
  <c r="BO558" i="13" s="1"/>
  <c r="AI558" i="13"/>
  <c r="Z558" i="13"/>
  <c r="AB558" i="13" s="1"/>
  <c r="T558" i="13"/>
  <c r="V558" i="13" s="1"/>
  <c r="P558" i="13"/>
  <c r="K558" i="13"/>
  <c r="E558" i="13"/>
  <c r="D558" i="13"/>
  <c r="C558" i="13"/>
  <c r="B558" i="13"/>
  <c r="BD557" i="13"/>
  <c r="BL557" i="13" s="1"/>
  <c r="AI557" i="13"/>
  <c r="Z557" i="13"/>
  <c r="AA557" i="13" s="1"/>
  <c r="AC557" i="13" s="1"/>
  <c r="T557" i="13"/>
  <c r="V557" i="13" s="1"/>
  <c r="P557" i="13"/>
  <c r="K557" i="13"/>
  <c r="E557" i="13"/>
  <c r="D557" i="13"/>
  <c r="C557" i="13"/>
  <c r="B557" i="13"/>
  <c r="BD556" i="13"/>
  <c r="BW556" i="13" s="1"/>
  <c r="AI556" i="13"/>
  <c r="AM556" i="13" s="1"/>
  <c r="Z556" i="13"/>
  <c r="T556" i="13"/>
  <c r="U556" i="13" s="1"/>
  <c r="W556" i="13" s="1"/>
  <c r="P556" i="13"/>
  <c r="K556" i="13"/>
  <c r="E556" i="13"/>
  <c r="D556" i="13"/>
  <c r="C556" i="13"/>
  <c r="B556" i="13"/>
  <c r="BD555" i="13"/>
  <c r="BV555" i="13" s="1"/>
  <c r="AI555" i="13"/>
  <c r="Z555" i="13"/>
  <c r="T555" i="13"/>
  <c r="V555" i="13" s="1"/>
  <c r="P555" i="13"/>
  <c r="K555" i="13"/>
  <c r="E555" i="13"/>
  <c r="D555" i="13"/>
  <c r="C555" i="13"/>
  <c r="B555" i="13"/>
  <c r="BD554" i="13"/>
  <c r="BM554" i="13" s="1"/>
  <c r="AI554" i="13"/>
  <c r="AV554" i="13" s="1"/>
  <c r="Z554" i="13"/>
  <c r="T554" i="13"/>
  <c r="V554" i="13" s="1"/>
  <c r="P554" i="13"/>
  <c r="K554" i="13"/>
  <c r="E554" i="13"/>
  <c r="D554" i="13"/>
  <c r="C554" i="13"/>
  <c r="B554" i="13"/>
  <c r="BD553" i="13"/>
  <c r="AI553" i="13"/>
  <c r="Z553" i="13"/>
  <c r="T553" i="13"/>
  <c r="P553" i="13"/>
  <c r="K553" i="13"/>
  <c r="E553" i="13"/>
  <c r="D553" i="13"/>
  <c r="C553" i="13"/>
  <c r="B553" i="13"/>
  <c r="BD552" i="13"/>
  <c r="BU552" i="13" s="1"/>
  <c r="AI552" i="13"/>
  <c r="Z552" i="13"/>
  <c r="AB552" i="13" s="1"/>
  <c r="T552" i="13"/>
  <c r="P552" i="13"/>
  <c r="K552" i="13"/>
  <c r="E552" i="13"/>
  <c r="D552" i="13"/>
  <c r="C552" i="13"/>
  <c r="B552" i="13"/>
  <c r="BD551" i="13"/>
  <c r="AI551" i="13"/>
  <c r="AW551" i="13" s="1"/>
  <c r="Z551" i="13"/>
  <c r="AB551" i="13" s="1"/>
  <c r="T551" i="13"/>
  <c r="V551" i="13" s="1"/>
  <c r="P551" i="13"/>
  <c r="K551" i="13"/>
  <c r="E551" i="13"/>
  <c r="D551" i="13"/>
  <c r="C551" i="13"/>
  <c r="B551" i="13"/>
  <c r="BD550" i="13"/>
  <c r="AI550" i="13"/>
  <c r="Z550" i="13"/>
  <c r="T550" i="13"/>
  <c r="V550" i="13" s="1"/>
  <c r="P550" i="13"/>
  <c r="K550" i="13"/>
  <c r="E550" i="13"/>
  <c r="D550" i="13"/>
  <c r="C550" i="13"/>
  <c r="B550" i="13"/>
  <c r="BD549" i="13"/>
  <c r="BK549" i="13" s="1"/>
  <c r="AI549" i="13"/>
  <c r="Z549" i="13"/>
  <c r="T549" i="13"/>
  <c r="P549" i="13"/>
  <c r="K549" i="13"/>
  <c r="E549" i="13"/>
  <c r="D549" i="13"/>
  <c r="C549" i="13"/>
  <c r="B549" i="13"/>
  <c r="BD548" i="13"/>
  <c r="BO548" i="13" s="1"/>
  <c r="AI548" i="13"/>
  <c r="Z548" i="13"/>
  <c r="T548" i="13"/>
  <c r="V548" i="13" s="1"/>
  <c r="P548" i="13"/>
  <c r="K548" i="13"/>
  <c r="E548" i="13"/>
  <c r="D548" i="13"/>
  <c r="C548" i="13"/>
  <c r="B548" i="13"/>
  <c r="BD547" i="13"/>
  <c r="BV547" i="13" s="1"/>
  <c r="AI547" i="13"/>
  <c r="AX547" i="13" s="1"/>
  <c r="Z547" i="13"/>
  <c r="AB547" i="13" s="1"/>
  <c r="T547" i="13"/>
  <c r="P547" i="13"/>
  <c r="K547" i="13"/>
  <c r="E547" i="13"/>
  <c r="D547" i="13"/>
  <c r="C547" i="13"/>
  <c r="B547" i="13"/>
  <c r="BD546" i="13"/>
  <c r="AI546" i="13"/>
  <c r="AZ546" i="13" s="1"/>
  <c r="Z546" i="13"/>
  <c r="T546" i="13"/>
  <c r="V546" i="13" s="1"/>
  <c r="P546" i="13"/>
  <c r="K546" i="13"/>
  <c r="E546" i="13"/>
  <c r="D546" i="13"/>
  <c r="C546" i="13"/>
  <c r="B546" i="13"/>
  <c r="BD545" i="13"/>
  <c r="BW545" i="13" s="1"/>
  <c r="AI545" i="13"/>
  <c r="AN545" i="13" s="1"/>
  <c r="Z545" i="13"/>
  <c r="T545" i="13"/>
  <c r="U545" i="13" s="1"/>
  <c r="W545" i="13" s="1"/>
  <c r="P545" i="13"/>
  <c r="K545" i="13"/>
  <c r="E545" i="13"/>
  <c r="D545" i="13"/>
  <c r="C545" i="13"/>
  <c r="B545" i="13"/>
  <c r="BD544" i="13"/>
  <c r="AI544" i="13"/>
  <c r="AR544" i="13" s="1"/>
  <c r="Z544" i="13"/>
  <c r="AB544" i="13" s="1"/>
  <c r="T544" i="13"/>
  <c r="U544" i="13" s="1"/>
  <c r="W544" i="13" s="1"/>
  <c r="P544" i="13"/>
  <c r="K544" i="13"/>
  <c r="E544" i="13"/>
  <c r="D544" i="13"/>
  <c r="C544" i="13"/>
  <c r="B544" i="13"/>
  <c r="BD543" i="13"/>
  <c r="BM543" i="13" s="1"/>
  <c r="AI543" i="13"/>
  <c r="Z543" i="13"/>
  <c r="T543" i="13"/>
  <c r="V543" i="13" s="1"/>
  <c r="P543" i="13"/>
  <c r="K543" i="13"/>
  <c r="E543" i="13"/>
  <c r="D543" i="13"/>
  <c r="C543" i="13"/>
  <c r="B543" i="13"/>
  <c r="BD542" i="13"/>
  <c r="AI542" i="13"/>
  <c r="Z542" i="13"/>
  <c r="AB542" i="13" s="1"/>
  <c r="T542" i="13"/>
  <c r="P542" i="13"/>
  <c r="K542" i="13"/>
  <c r="E542" i="13"/>
  <c r="D542" i="13"/>
  <c r="C542" i="13"/>
  <c r="B542" i="13"/>
  <c r="BD541" i="13"/>
  <c r="BT541" i="13" s="1"/>
  <c r="AI541" i="13"/>
  <c r="Z541" i="13"/>
  <c r="AA541" i="13" s="1"/>
  <c r="AC541" i="13" s="1"/>
  <c r="T541" i="13"/>
  <c r="P541" i="13"/>
  <c r="K541" i="13"/>
  <c r="E541" i="13"/>
  <c r="D541" i="13"/>
  <c r="C541" i="13"/>
  <c r="B541" i="13"/>
  <c r="BD540" i="13"/>
  <c r="AI540" i="13"/>
  <c r="Z540" i="13"/>
  <c r="AB540" i="13" s="1"/>
  <c r="T540" i="13"/>
  <c r="P540" i="13"/>
  <c r="K540" i="13"/>
  <c r="E540" i="13"/>
  <c r="D540" i="13"/>
  <c r="C540" i="13"/>
  <c r="B540" i="13"/>
  <c r="BD539" i="13"/>
  <c r="BG539" i="13" s="1"/>
  <c r="AI539" i="13"/>
  <c r="AJ539" i="13" s="1"/>
  <c r="Z539" i="13"/>
  <c r="AB539" i="13" s="1"/>
  <c r="T539" i="13"/>
  <c r="V539" i="13" s="1"/>
  <c r="P539" i="13"/>
  <c r="K539" i="13"/>
  <c r="E539" i="13"/>
  <c r="D539" i="13"/>
  <c r="C539" i="13"/>
  <c r="B539" i="13"/>
  <c r="BD538" i="13"/>
  <c r="AI538" i="13"/>
  <c r="Z538" i="13"/>
  <c r="AA538" i="13" s="1"/>
  <c r="AC538" i="13" s="1"/>
  <c r="T538" i="13"/>
  <c r="U538" i="13" s="1"/>
  <c r="W538" i="13" s="1"/>
  <c r="P538" i="13"/>
  <c r="K538" i="13"/>
  <c r="E538" i="13"/>
  <c r="D538" i="13"/>
  <c r="C538" i="13"/>
  <c r="B538" i="13"/>
  <c r="BD537" i="13"/>
  <c r="AI537" i="13"/>
  <c r="Z537" i="13"/>
  <c r="AA537" i="13" s="1"/>
  <c r="AC537" i="13" s="1"/>
  <c r="T537" i="13"/>
  <c r="U537" i="13" s="1"/>
  <c r="W537" i="13" s="1"/>
  <c r="P537" i="13"/>
  <c r="K537" i="13"/>
  <c r="E537" i="13"/>
  <c r="D537" i="13"/>
  <c r="C537" i="13"/>
  <c r="B537" i="13"/>
  <c r="BD536" i="13"/>
  <c r="AI536" i="13"/>
  <c r="AS536" i="13" s="1"/>
  <c r="Z536" i="13"/>
  <c r="AA536" i="13" s="1"/>
  <c r="AC536" i="13" s="1"/>
  <c r="T536" i="13"/>
  <c r="U536" i="13" s="1"/>
  <c r="W536" i="13" s="1"/>
  <c r="P536" i="13"/>
  <c r="K536" i="13"/>
  <c r="E536" i="13"/>
  <c r="D536" i="13"/>
  <c r="C536" i="13"/>
  <c r="B536" i="13"/>
  <c r="BD535" i="13"/>
  <c r="BT535" i="13" s="1"/>
  <c r="AI535" i="13"/>
  <c r="Z535" i="13"/>
  <c r="T535" i="13"/>
  <c r="P535" i="13"/>
  <c r="K535" i="13"/>
  <c r="E535" i="13"/>
  <c r="D535" i="13"/>
  <c r="C535" i="13"/>
  <c r="B535" i="13"/>
  <c r="BD534" i="13"/>
  <c r="BN534" i="13" s="1"/>
  <c r="AI534" i="13"/>
  <c r="AR534" i="13" s="1"/>
  <c r="Z534" i="13"/>
  <c r="AB534" i="13" s="1"/>
  <c r="T534" i="13"/>
  <c r="P534" i="13"/>
  <c r="K534" i="13"/>
  <c r="E534" i="13"/>
  <c r="D534" i="13"/>
  <c r="C534" i="13"/>
  <c r="B534" i="13"/>
  <c r="BD533" i="13"/>
  <c r="AI533" i="13"/>
  <c r="Z533" i="13"/>
  <c r="T533" i="13"/>
  <c r="V533" i="13" s="1"/>
  <c r="P533" i="13"/>
  <c r="K533" i="13"/>
  <c r="E533" i="13"/>
  <c r="D533" i="13"/>
  <c r="C533" i="13"/>
  <c r="B533" i="13"/>
  <c r="BD532" i="13"/>
  <c r="AI532" i="13"/>
  <c r="AJ532" i="13" s="1"/>
  <c r="Z532" i="13"/>
  <c r="AB532" i="13" s="1"/>
  <c r="T532" i="13"/>
  <c r="P532" i="13"/>
  <c r="K532" i="13"/>
  <c r="E532" i="13"/>
  <c r="D532" i="13"/>
  <c r="C532" i="13"/>
  <c r="B532" i="13"/>
  <c r="BD531" i="13"/>
  <c r="BW531" i="13" s="1"/>
  <c r="AI531" i="13"/>
  <c r="Z531" i="13"/>
  <c r="T531" i="13"/>
  <c r="P531" i="13"/>
  <c r="K531" i="13"/>
  <c r="E531" i="13"/>
  <c r="D531" i="13"/>
  <c r="C531" i="13"/>
  <c r="B531" i="13"/>
  <c r="BD530" i="13"/>
  <c r="BR530" i="13" s="1"/>
  <c r="AI530" i="13"/>
  <c r="Z530" i="13"/>
  <c r="T530" i="13"/>
  <c r="U530" i="13" s="1"/>
  <c r="W530" i="13" s="1"/>
  <c r="P530" i="13"/>
  <c r="K530" i="13"/>
  <c r="E530" i="13"/>
  <c r="D530" i="13"/>
  <c r="C530" i="13"/>
  <c r="B530" i="13"/>
  <c r="BD529" i="13"/>
  <c r="BH529" i="13" s="1"/>
  <c r="AI529" i="13"/>
  <c r="AV529" i="13" s="1"/>
  <c r="Z529" i="13"/>
  <c r="T529" i="13"/>
  <c r="U529" i="13" s="1"/>
  <c r="W529" i="13" s="1"/>
  <c r="P529" i="13"/>
  <c r="K529" i="13"/>
  <c r="E529" i="13"/>
  <c r="D529" i="13"/>
  <c r="C529" i="13"/>
  <c r="B529" i="13"/>
  <c r="BD528" i="13"/>
  <c r="BH528" i="13" s="1"/>
  <c r="AI528" i="13"/>
  <c r="AV528" i="13" s="1"/>
  <c r="Z528" i="13"/>
  <c r="AB528" i="13" s="1"/>
  <c r="T528" i="13"/>
  <c r="P528" i="13"/>
  <c r="K528" i="13"/>
  <c r="E528" i="13"/>
  <c r="D528" i="13"/>
  <c r="C528" i="13"/>
  <c r="B528" i="13"/>
  <c r="BD527" i="13"/>
  <c r="BP527" i="13" s="1"/>
  <c r="AI527" i="13"/>
  <c r="AT527" i="13" s="1"/>
  <c r="Z527" i="13"/>
  <c r="T527" i="13"/>
  <c r="P527" i="13"/>
  <c r="K527" i="13"/>
  <c r="E527" i="13"/>
  <c r="D527" i="13"/>
  <c r="C527" i="13"/>
  <c r="B527" i="13"/>
  <c r="BD526" i="13"/>
  <c r="BR526" i="13" s="1"/>
  <c r="AI526" i="13"/>
  <c r="Z526" i="13"/>
  <c r="AB526" i="13" s="1"/>
  <c r="T526" i="13"/>
  <c r="P526" i="13"/>
  <c r="K526" i="13"/>
  <c r="E526" i="13"/>
  <c r="D526" i="13"/>
  <c r="C526" i="13"/>
  <c r="B526" i="13"/>
  <c r="BD525" i="13"/>
  <c r="AI525" i="13"/>
  <c r="AZ525" i="13" s="1"/>
  <c r="Z525" i="13"/>
  <c r="T525" i="13"/>
  <c r="P525" i="13"/>
  <c r="K525" i="13"/>
  <c r="E525" i="13"/>
  <c r="D525" i="13"/>
  <c r="C525" i="13"/>
  <c r="B525" i="13"/>
  <c r="BD524" i="13"/>
  <c r="AI524" i="13"/>
  <c r="AX524" i="13" s="1"/>
  <c r="Z524" i="13"/>
  <c r="AB524" i="13" s="1"/>
  <c r="T524" i="13"/>
  <c r="P524" i="13"/>
  <c r="K524" i="13"/>
  <c r="E524" i="13"/>
  <c r="D524" i="13"/>
  <c r="C524" i="13"/>
  <c r="B524" i="13"/>
  <c r="BD523" i="13"/>
  <c r="AI523" i="13"/>
  <c r="Z523" i="13"/>
  <c r="AB523" i="13" s="1"/>
  <c r="T523" i="13"/>
  <c r="P523" i="13"/>
  <c r="K523" i="13"/>
  <c r="E523" i="13"/>
  <c r="D523" i="13"/>
  <c r="C523" i="13"/>
  <c r="B523" i="13"/>
  <c r="BD522" i="13"/>
  <c r="BV522" i="13" s="1"/>
  <c r="AI522" i="13"/>
  <c r="Z522" i="13"/>
  <c r="T522" i="13"/>
  <c r="P522" i="13"/>
  <c r="K522" i="13"/>
  <c r="E522" i="13"/>
  <c r="D522" i="13"/>
  <c r="C522" i="13"/>
  <c r="B522" i="13"/>
  <c r="BD521" i="13"/>
  <c r="BN521" i="13" s="1"/>
  <c r="AI521" i="13"/>
  <c r="Z521" i="13"/>
  <c r="T521" i="13"/>
  <c r="U521" i="13" s="1"/>
  <c r="W521" i="13" s="1"/>
  <c r="P521" i="13"/>
  <c r="K521" i="13"/>
  <c r="E521" i="13"/>
  <c r="D521" i="13"/>
  <c r="C521" i="13"/>
  <c r="B521" i="13"/>
  <c r="BD520" i="13"/>
  <c r="BJ520" i="13" s="1"/>
  <c r="AI520" i="13"/>
  <c r="Z520" i="13"/>
  <c r="AA520" i="13" s="1"/>
  <c r="AC520" i="13" s="1"/>
  <c r="T520" i="13"/>
  <c r="V520" i="13" s="1"/>
  <c r="P520" i="13"/>
  <c r="K520" i="13"/>
  <c r="E520" i="13"/>
  <c r="D520" i="13"/>
  <c r="C520" i="13"/>
  <c r="B520" i="13"/>
  <c r="BD519" i="13"/>
  <c r="BU519" i="13" s="1"/>
  <c r="AI519" i="13"/>
  <c r="Z519" i="13"/>
  <c r="T519" i="13"/>
  <c r="U519" i="13" s="1"/>
  <c r="W519" i="13" s="1"/>
  <c r="P519" i="13"/>
  <c r="K519" i="13"/>
  <c r="E519" i="13"/>
  <c r="D519" i="13"/>
  <c r="C519" i="13"/>
  <c r="B519" i="13"/>
  <c r="BD518" i="13"/>
  <c r="BO518" i="13" s="1"/>
  <c r="AI518" i="13"/>
  <c r="AJ518" i="13" s="1"/>
  <c r="Z518" i="13"/>
  <c r="T518" i="13"/>
  <c r="P518" i="13"/>
  <c r="K518" i="13"/>
  <c r="E518" i="13"/>
  <c r="D518" i="13"/>
  <c r="C518" i="13"/>
  <c r="B518" i="13"/>
  <c r="BD517" i="13"/>
  <c r="AI517" i="13"/>
  <c r="AY517" i="13" s="1"/>
  <c r="Z517" i="13"/>
  <c r="T517" i="13"/>
  <c r="U517" i="13" s="1"/>
  <c r="W517" i="13" s="1"/>
  <c r="P517" i="13"/>
  <c r="K517" i="13"/>
  <c r="E517" i="13"/>
  <c r="D517" i="13"/>
  <c r="C517" i="13"/>
  <c r="B517" i="13"/>
  <c r="BD516" i="13"/>
  <c r="AI516" i="13"/>
  <c r="AX516" i="13" s="1"/>
  <c r="Z516" i="13"/>
  <c r="AA516" i="13" s="1"/>
  <c r="AC516" i="13" s="1"/>
  <c r="T516" i="13"/>
  <c r="P516" i="13"/>
  <c r="K516" i="13"/>
  <c r="E516" i="13"/>
  <c r="D516" i="13"/>
  <c r="C516" i="13"/>
  <c r="B516" i="13"/>
  <c r="BD515" i="13"/>
  <c r="BE515" i="13" s="1"/>
  <c r="AI515" i="13"/>
  <c r="AJ515" i="13" s="1"/>
  <c r="Z515" i="13"/>
  <c r="T515" i="13"/>
  <c r="V515" i="13" s="1"/>
  <c r="P515" i="13"/>
  <c r="K515" i="13"/>
  <c r="E515" i="13"/>
  <c r="D515" i="13"/>
  <c r="C515" i="13"/>
  <c r="B515" i="13"/>
  <c r="BD514" i="13"/>
  <c r="BT514" i="13" s="1"/>
  <c r="AI514" i="13"/>
  <c r="Z514" i="13"/>
  <c r="AA514" i="13" s="1"/>
  <c r="AC514" i="13" s="1"/>
  <c r="T514" i="13"/>
  <c r="V514" i="13" s="1"/>
  <c r="P514" i="13"/>
  <c r="K514" i="13"/>
  <c r="E514" i="13"/>
  <c r="D514" i="13"/>
  <c r="C514" i="13"/>
  <c r="B514" i="13"/>
  <c r="BD513" i="13"/>
  <c r="BU513" i="13" s="1"/>
  <c r="AI513" i="13"/>
  <c r="AK513" i="13" s="1"/>
  <c r="Z513" i="13"/>
  <c r="AB513" i="13" s="1"/>
  <c r="T513" i="13"/>
  <c r="U513" i="13" s="1"/>
  <c r="W513" i="13" s="1"/>
  <c r="P513" i="13"/>
  <c r="K513" i="13"/>
  <c r="E513" i="13"/>
  <c r="D513" i="13"/>
  <c r="C513" i="13"/>
  <c r="B513" i="13"/>
  <c r="BD512" i="13"/>
  <c r="BR512" i="13" s="1"/>
  <c r="AI512" i="13"/>
  <c r="Z512" i="13"/>
  <c r="AB512" i="13" s="1"/>
  <c r="T512" i="13"/>
  <c r="V512" i="13" s="1"/>
  <c r="P512" i="13"/>
  <c r="K512" i="13"/>
  <c r="E512" i="13"/>
  <c r="D512" i="13"/>
  <c r="C512" i="13"/>
  <c r="B512" i="13"/>
  <c r="BD511" i="13"/>
  <c r="BW511" i="13" s="1"/>
  <c r="AI511" i="13"/>
  <c r="AM511" i="13" s="1"/>
  <c r="Z511" i="13"/>
  <c r="T511" i="13"/>
  <c r="P511" i="13"/>
  <c r="K511" i="13"/>
  <c r="E511" i="13"/>
  <c r="D511" i="13"/>
  <c r="C511" i="13"/>
  <c r="B511" i="13"/>
  <c r="BD510" i="13"/>
  <c r="AI510" i="13"/>
  <c r="BA510" i="13" s="1"/>
  <c r="Z510" i="13"/>
  <c r="T510" i="13"/>
  <c r="P510" i="13"/>
  <c r="K510" i="13"/>
  <c r="E510" i="13"/>
  <c r="D510" i="13"/>
  <c r="C510" i="13"/>
  <c r="B510" i="13"/>
  <c r="BD509" i="13"/>
  <c r="AI509" i="13"/>
  <c r="AY509" i="13" s="1"/>
  <c r="Z509" i="13"/>
  <c r="T509" i="13"/>
  <c r="U509" i="13" s="1"/>
  <c r="W509" i="13" s="1"/>
  <c r="P509" i="13"/>
  <c r="K509" i="13"/>
  <c r="E509" i="13"/>
  <c r="D509" i="13"/>
  <c r="C509" i="13"/>
  <c r="B509" i="13"/>
  <c r="BD508" i="13"/>
  <c r="AI508" i="13"/>
  <c r="Z508" i="13"/>
  <c r="T508" i="13"/>
  <c r="P508" i="13"/>
  <c r="K508" i="13"/>
  <c r="E508" i="13"/>
  <c r="D508" i="13"/>
  <c r="C508" i="13"/>
  <c r="B508" i="13"/>
  <c r="BD507" i="13"/>
  <c r="AI507" i="13"/>
  <c r="AR507" i="13" s="1"/>
  <c r="Z507" i="13"/>
  <c r="T507" i="13"/>
  <c r="U507" i="13" s="1"/>
  <c r="W507" i="13" s="1"/>
  <c r="P507" i="13"/>
  <c r="K507" i="13"/>
  <c r="E507" i="13"/>
  <c r="D507" i="13"/>
  <c r="C507" i="13"/>
  <c r="B507" i="13"/>
  <c r="BD506" i="13"/>
  <c r="AI506" i="13"/>
  <c r="AV506" i="13" s="1"/>
  <c r="Z506" i="13"/>
  <c r="T506" i="13"/>
  <c r="P506" i="13"/>
  <c r="K506" i="13"/>
  <c r="E506" i="13"/>
  <c r="D506" i="13"/>
  <c r="C506" i="13"/>
  <c r="B506" i="13"/>
  <c r="BD505" i="13"/>
  <c r="BO505" i="13" s="1"/>
  <c r="AI505" i="13"/>
  <c r="Z505" i="13"/>
  <c r="T505" i="13"/>
  <c r="U505" i="13" s="1"/>
  <c r="W505" i="13" s="1"/>
  <c r="P505" i="13"/>
  <c r="K505" i="13"/>
  <c r="E505" i="13"/>
  <c r="D505" i="13"/>
  <c r="C505" i="13"/>
  <c r="B505" i="13"/>
  <c r="BD504" i="13"/>
  <c r="BR504" i="13" s="1"/>
  <c r="AI504" i="13"/>
  <c r="Z504" i="13"/>
  <c r="T504" i="13"/>
  <c r="P504" i="13"/>
  <c r="K504" i="13"/>
  <c r="E504" i="13"/>
  <c r="D504" i="13"/>
  <c r="C504" i="13"/>
  <c r="B504" i="13"/>
  <c r="BD503" i="13"/>
  <c r="BG503" i="13" s="1"/>
  <c r="AI503" i="13"/>
  <c r="Z503" i="13"/>
  <c r="T503" i="13"/>
  <c r="P503" i="13"/>
  <c r="K503" i="13"/>
  <c r="E503" i="13"/>
  <c r="D503" i="13"/>
  <c r="C503" i="13"/>
  <c r="B503" i="13"/>
  <c r="BD502" i="13"/>
  <c r="AI502" i="13"/>
  <c r="Z502" i="13"/>
  <c r="T502" i="13"/>
  <c r="P502" i="13"/>
  <c r="K502" i="13"/>
  <c r="E502" i="13"/>
  <c r="D502" i="13"/>
  <c r="C502" i="13"/>
  <c r="B502" i="13"/>
  <c r="BD501" i="13"/>
  <c r="BU501" i="13" s="1"/>
  <c r="AI501" i="13"/>
  <c r="Z501" i="13"/>
  <c r="AA501" i="13" s="1"/>
  <c r="AC501" i="13" s="1"/>
  <c r="T501" i="13"/>
  <c r="P501" i="13"/>
  <c r="K501" i="13"/>
  <c r="E501" i="13"/>
  <c r="D501" i="13"/>
  <c r="C501" i="13"/>
  <c r="B501" i="13"/>
  <c r="BD500" i="13"/>
  <c r="BU500" i="13" s="1"/>
  <c r="AI500" i="13"/>
  <c r="Z500" i="13"/>
  <c r="T500" i="13"/>
  <c r="P500" i="13"/>
  <c r="K500" i="13"/>
  <c r="E500" i="13"/>
  <c r="D500" i="13"/>
  <c r="C500" i="13"/>
  <c r="B500" i="13"/>
  <c r="BD499" i="13"/>
  <c r="BQ499" i="13" s="1"/>
  <c r="AI499" i="13"/>
  <c r="AS499" i="13" s="1"/>
  <c r="Z499" i="13"/>
  <c r="AA499" i="13" s="1"/>
  <c r="AC499" i="13" s="1"/>
  <c r="T499" i="13"/>
  <c r="P499" i="13"/>
  <c r="K499" i="13"/>
  <c r="E499" i="13"/>
  <c r="D499" i="13"/>
  <c r="C499" i="13"/>
  <c r="B499" i="13"/>
  <c r="BD498" i="13"/>
  <c r="BK498" i="13" s="1"/>
  <c r="AI498" i="13"/>
  <c r="BB498" i="13" s="1"/>
  <c r="Z498" i="13"/>
  <c r="AB498" i="13" s="1"/>
  <c r="T498" i="13"/>
  <c r="P498" i="13"/>
  <c r="K498" i="13"/>
  <c r="E498" i="13"/>
  <c r="D498" i="13"/>
  <c r="C498" i="13"/>
  <c r="B498" i="13"/>
  <c r="BD497" i="13"/>
  <c r="AI497" i="13"/>
  <c r="AY497" i="13" s="1"/>
  <c r="Z497" i="13"/>
  <c r="T497" i="13"/>
  <c r="V497" i="13" s="1"/>
  <c r="P497" i="13"/>
  <c r="K497" i="13"/>
  <c r="E497" i="13"/>
  <c r="D497" i="13"/>
  <c r="C497" i="13"/>
  <c r="B497" i="13"/>
  <c r="BD496" i="13"/>
  <c r="BS496" i="13" s="1"/>
  <c r="AI496" i="13"/>
  <c r="AK496" i="13" s="1"/>
  <c r="Z496" i="13"/>
  <c r="T496" i="13"/>
  <c r="V496" i="13" s="1"/>
  <c r="P496" i="13"/>
  <c r="K496" i="13"/>
  <c r="E496" i="13"/>
  <c r="D496" i="13"/>
  <c r="C496" i="13"/>
  <c r="B496" i="13"/>
  <c r="BD495" i="13"/>
  <c r="AI495" i="13"/>
  <c r="AW495" i="13" s="1"/>
  <c r="Z495" i="13"/>
  <c r="AB495" i="13" s="1"/>
  <c r="T495" i="13"/>
  <c r="V495" i="13" s="1"/>
  <c r="P495" i="13"/>
  <c r="K495" i="13"/>
  <c r="E495" i="13"/>
  <c r="D495" i="13"/>
  <c r="C495" i="13"/>
  <c r="B495" i="13"/>
  <c r="BD494" i="13"/>
  <c r="BV494" i="13" s="1"/>
  <c r="AI494" i="13"/>
  <c r="AZ494" i="13" s="1"/>
  <c r="Z494" i="13"/>
  <c r="AB494" i="13" s="1"/>
  <c r="T494" i="13"/>
  <c r="V494" i="13" s="1"/>
  <c r="P494" i="13"/>
  <c r="K494" i="13"/>
  <c r="E494" i="13"/>
  <c r="D494" i="13"/>
  <c r="C494" i="13"/>
  <c r="B494" i="13"/>
  <c r="BD493" i="13"/>
  <c r="BT493" i="13" s="1"/>
  <c r="AI493" i="13"/>
  <c r="BB493" i="13" s="1"/>
  <c r="Z493" i="13"/>
  <c r="AA493" i="13" s="1"/>
  <c r="AC493" i="13" s="1"/>
  <c r="T493" i="13"/>
  <c r="P493" i="13"/>
  <c r="K493" i="13"/>
  <c r="E493" i="13"/>
  <c r="D493" i="13"/>
  <c r="C493" i="13"/>
  <c r="B493" i="13"/>
  <c r="BD492" i="13"/>
  <c r="BO492" i="13" s="1"/>
  <c r="AI492" i="13"/>
  <c r="Z492" i="13"/>
  <c r="T492" i="13"/>
  <c r="U492" i="13" s="1"/>
  <c r="W492" i="13" s="1"/>
  <c r="P492" i="13"/>
  <c r="K492" i="13"/>
  <c r="E492" i="13"/>
  <c r="D492" i="13"/>
  <c r="C492" i="13"/>
  <c r="B492" i="13"/>
  <c r="BD491" i="13"/>
  <c r="BW491" i="13" s="1"/>
  <c r="AI491" i="13"/>
  <c r="AR491" i="13" s="1"/>
  <c r="Z491" i="13"/>
  <c r="T491" i="13"/>
  <c r="P491" i="13"/>
  <c r="K491" i="13"/>
  <c r="E491" i="13"/>
  <c r="D491" i="13"/>
  <c r="C491" i="13"/>
  <c r="B491" i="13"/>
  <c r="BD490" i="13"/>
  <c r="BV490" i="13" s="1"/>
  <c r="AI490" i="13"/>
  <c r="BB490" i="13" s="1"/>
  <c r="Z490" i="13"/>
  <c r="AB490" i="13" s="1"/>
  <c r="T490" i="13"/>
  <c r="V490" i="13" s="1"/>
  <c r="P490" i="13"/>
  <c r="K490" i="13"/>
  <c r="E490" i="13"/>
  <c r="D490" i="13"/>
  <c r="C490" i="13"/>
  <c r="B490" i="13"/>
  <c r="BD489" i="13"/>
  <c r="BH489" i="13" s="1"/>
  <c r="AI489" i="13"/>
  <c r="AP489" i="13" s="1"/>
  <c r="Z489" i="13"/>
  <c r="T489" i="13"/>
  <c r="V489" i="13" s="1"/>
  <c r="P489" i="13"/>
  <c r="K489" i="13"/>
  <c r="E489" i="13"/>
  <c r="D489" i="13"/>
  <c r="C489" i="13"/>
  <c r="B489" i="13"/>
  <c r="BD488" i="13"/>
  <c r="BI488" i="13" s="1"/>
  <c r="AI488" i="13"/>
  <c r="AT488" i="13" s="1"/>
  <c r="Z488" i="13"/>
  <c r="T488" i="13"/>
  <c r="V488" i="13" s="1"/>
  <c r="P488" i="13"/>
  <c r="K488" i="13"/>
  <c r="E488" i="13"/>
  <c r="D488" i="13"/>
  <c r="C488" i="13"/>
  <c r="B488" i="13"/>
  <c r="BD487" i="13"/>
  <c r="BL487" i="13" s="1"/>
  <c r="AI487" i="13"/>
  <c r="AV487" i="13" s="1"/>
  <c r="Z487" i="13"/>
  <c r="AB487" i="13" s="1"/>
  <c r="T487" i="13"/>
  <c r="U487" i="13" s="1"/>
  <c r="W487" i="13" s="1"/>
  <c r="P487" i="13"/>
  <c r="K487" i="13"/>
  <c r="E487" i="13"/>
  <c r="D487" i="13"/>
  <c r="C487" i="13"/>
  <c r="B487" i="13"/>
  <c r="BD486" i="13"/>
  <c r="BI486" i="13" s="1"/>
  <c r="AI486" i="13"/>
  <c r="Z486" i="13"/>
  <c r="T486" i="13"/>
  <c r="V486" i="13" s="1"/>
  <c r="P486" i="13"/>
  <c r="K486" i="13"/>
  <c r="E486" i="13"/>
  <c r="D486" i="13"/>
  <c r="C486" i="13"/>
  <c r="B486" i="13"/>
  <c r="BD485" i="13"/>
  <c r="BU485" i="13" s="1"/>
  <c r="AI485" i="13"/>
  <c r="Z485" i="13"/>
  <c r="T485" i="13"/>
  <c r="U485" i="13" s="1"/>
  <c r="W485" i="13" s="1"/>
  <c r="P485" i="13"/>
  <c r="K485" i="13"/>
  <c r="E485" i="13"/>
  <c r="D485" i="13"/>
  <c r="C485" i="13"/>
  <c r="B485" i="13"/>
  <c r="BD484" i="13"/>
  <c r="AI484" i="13"/>
  <c r="AQ484" i="13" s="1"/>
  <c r="Z484" i="13"/>
  <c r="T484" i="13"/>
  <c r="U484" i="13" s="1"/>
  <c r="W484" i="13" s="1"/>
  <c r="P484" i="13"/>
  <c r="K484" i="13"/>
  <c r="E484" i="13"/>
  <c r="D484" i="13"/>
  <c r="C484" i="13"/>
  <c r="B484" i="13"/>
  <c r="BD483" i="13"/>
  <c r="BW483" i="13" s="1"/>
  <c r="AI483" i="13"/>
  <c r="AT483" i="13" s="1"/>
  <c r="Z483" i="13"/>
  <c r="AB483" i="13" s="1"/>
  <c r="T483" i="13"/>
  <c r="P483" i="13"/>
  <c r="K483" i="13"/>
  <c r="E483" i="13"/>
  <c r="D483" i="13"/>
  <c r="C483" i="13"/>
  <c r="B483" i="13"/>
  <c r="BD482" i="13"/>
  <c r="BS482" i="13" s="1"/>
  <c r="AI482" i="13"/>
  <c r="Z482" i="13"/>
  <c r="AB482" i="13" s="1"/>
  <c r="T482" i="13"/>
  <c r="V482" i="13" s="1"/>
  <c r="P482" i="13"/>
  <c r="K482" i="13"/>
  <c r="E482" i="13"/>
  <c r="D482" i="13"/>
  <c r="C482" i="13"/>
  <c r="B482" i="13"/>
  <c r="BD481" i="13"/>
  <c r="BT481" i="13" s="1"/>
  <c r="AI481" i="13"/>
  <c r="AY481" i="13" s="1"/>
  <c r="Z481" i="13"/>
  <c r="T481" i="13"/>
  <c r="V481" i="13" s="1"/>
  <c r="P481" i="13"/>
  <c r="K481" i="13"/>
  <c r="E481" i="13"/>
  <c r="D481" i="13"/>
  <c r="C481" i="13"/>
  <c r="B481" i="13"/>
  <c r="BD480" i="13"/>
  <c r="BQ480" i="13" s="1"/>
  <c r="AI480" i="13"/>
  <c r="Z480" i="13"/>
  <c r="AB480" i="13" s="1"/>
  <c r="T480" i="13"/>
  <c r="V480" i="13" s="1"/>
  <c r="P480" i="13"/>
  <c r="K480" i="13"/>
  <c r="E480" i="13"/>
  <c r="D480" i="13"/>
  <c r="C480" i="13"/>
  <c r="B480" i="13"/>
  <c r="BD479" i="13"/>
  <c r="BN479" i="13" s="1"/>
  <c r="AI479" i="13"/>
  <c r="Z479" i="13"/>
  <c r="AB479" i="13" s="1"/>
  <c r="T479" i="13"/>
  <c r="U479" i="13" s="1"/>
  <c r="W479" i="13" s="1"/>
  <c r="P479" i="13"/>
  <c r="K479" i="13"/>
  <c r="E479" i="13"/>
  <c r="D479" i="13"/>
  <c r="C479" i="13"/>
  <c r="B479" i="13"/>
  <c r="BD478" i="13"/>
  <c r="BW478" i="13" s="1"/>
  <c r="AI478" i="13"/>
  <c r="AS478" i="13" s="1"/>
  <c r="Z478" i="13"/>
  <c r="AB478" i="13" s="1"/>
  <c r="T478" i="13"/>
  <c r="V478" i="13" s="1"/>
  <c r="P478" i="13"/>
  <c r="K478" i="13"/>
  <c r="E478" i="13"/>
  <c r="D478" i="13"/>
  <c r="C478" i="13"/>
  <c r="B478" i="13"/>
  <c r="BD477" i="13"/>
  <c r="BT477" i="13" s="1"/>
  <c r="AI477" i="13"/>
  <c r="AY477" i="13" s="1"/>
  <c r="Z477" i="13"/>
  <c r="T477" i="13"/>
  <c r="U477" i="13" s="1"/>
  <c r="W477" i="13" s="1"/>
  <c r="P477" i="13"/>
  <c r="K477" i="13"/>
  <c r="E477" i="13"/>
  <c r="D477" i="13"/>
  <c r="C477" i="13"/>
  <c r="B477" i="13"/>
  <c r="BD476" i="13"/>
  <c r="AI476" i="13"/>
  <c r="Z476" i="13"/>
  <c r="T476" i="13"/>
  <c r="U476" i="13" s="1"/>
  <c r="W476" i="13" s="1"/>
  <c r="P476" i="13"/>
  <c r="K476" i="13"/>
  <c r="E476" i="13"/>
  <c r="D476" i="13"/>
  <c r="C476" i="13"/>
  <c r="B476" i="13"/>
  <c r="BD475" i="13"/>
  <c r="AI475" i="13"/>
  <c r="BA475" i="13" s="1"/>
  <c r="Z475" i="13"/>
  <c r="AB475" i="13" s="1"/>
  <c r="T475" i="13"/>
  <c r="P475" i="13"/>
  <c r="K475" i="13"/>
  <c r="E475" i="13"/>
  <c r="D475" i="13"/>
  <c r="C475" i="13"/>
  <c r="B475" i="13"/>
  <c r="BD474" i="13"/>
  <c r="BO474" i="13" s="1"/>
  <c r="AI474" i="13"/>
  <c r="AN474" i="13" s="1"/>
  <c r="Z474" i="13"/>
  <c r="T474" i="13"/>
  <c r="U474" i="13" s="1"/>
  <c r="W474" i="13" s="1"/>
  <c r="P474" i="13"/>
  <c r="K474" i="13"/>
  <c r="E474" i="13"/>
  <c r="D474" i="13"/>
  <c r="C474" i="13"/>
  <c r="B474" i="13"/>
  <c r="BD473" i="13"/>
  <c r="BT473" i="13" s="1"/>
  <c r="AI473" i="13"/>
  <c r="BA473" i="13" s="1"/>
  <c r="Z473" i="13"/>
  <c r="AB473" i="13" s="1"/>
  <c r="T473" i="13"/>
  <c r="P473" i="13"/>
  <c r="K473" i="13"/>
  <c r="E473" i="13"/>
  <c r="D473" i="13"/>
  <c r="C473" i="13"/>
  <c r="B473" i="13"/>
  <c r="BD472" i="13"/>
  <c r="BM472" i="13" s="1"/>
  <c r="AI472" i="13"/>
  <c r="AZ472" i="13" s="1"/>
  <c r="Z472" i="13"/>
  <c r="AA472" i="13" s="1"/>
  <c r="AC472" i="13" s="1"/>
  <c r="T472" i="13"/>
  <c r="P472" i="13"/>
  <c r="K472" i="13"/>
  <c r="E472" i="13"/>
  <c r="D472" i="13"/>
  <c r="C472" i="13"/>
  <c r="B472" i="13"/>
  <c r="BD471" i="13"/>
  <c r="AI471" i="13"/>
  <c r="AN471" i="13" s="1"/>
  <c r="Z471" i="13"/>
  <c r="AB471" i="13" s="1"/>
  <c r="T471" i="13"/>
  <c r="P471" i="13"/>
  <c r="K471" i="13"/>
  <c r="E471" i="13"/>
  <c r="D471" i="13"/>
  <c r="C471" i="13"/>
  <c r="B471" i="13"/>
  <c r="BD470" i="13"/>
  <c r="BO470" i="13" s="1"/>
  <c r="AI470" i="13"/>
  <c r="Z470" i="13"/>
  <c r="AB470" i="13" s="1"/>
  <c r="T470" i="13"/>
  <c r="P470" i="13"/>
  <c r="K470" i="13"/>
  <c r="E470" i="13"/>
  <c r="D470" i="13"/>
  <c r="C470" i="13"/>
  <c r="B470" i="13"/>
  <c r="BD469" i="13"/>
  <c r="BU469" i="13" s="1"/>
  <c r="AI469" i="13"/>
  <c r="BB469" i="13" s="1"/>
  <c r="Z469" i="13"/>
  <c r="AB469" i="13" s="1"/>
  <c r="T469" i="13"/>
  <c r="V469" i="13" s="1"/>
  <c r="P469" i="13"/>
  <c r="K469" i="13"/>
  <c r="E469" i="13"/>
  <c r="D469" i="13"/>
  <c r="C469" i="13"/>
  <c r="B469" i="13"/>
  <c r="BD468" i="13"/>
  <c r="AI468" i="13"/>
  <c r="Z468" i="13"/>
  <c r="AA468" i="13" s="1"/>
  <c r="AC468" i="13" s="1"/>
  <c r="T468" i="13"/>
  <c r="P468" i="13"/>
  <c r="K468" i="13"/>
  <c r="E468" i="13"/>
  <c r="D468" i="13"/>
  <c r="C468" i="13"/>
  <c r="B468" i="13"/>
  <c r="BD467" i="13"/>
  <c r="BM467" i="13" s="1"/>
  <c r="AI467" i="13"/>
  <c r="Z467" i="13"/>
  <c r="AB467" i="13" s="1"/>
  <c r="T467" i="13"/>
  <c r="V467" i="13" s="1"/>
  <c r="P467" i="13"/>
  <c r="K467" i="13"/>
  <c r="E467" i="13"/>
  <c r="D467" i="13"/>
  <c r="C467" i="13"/>
  <c r="B467" i="13"/>
  <c r="BD466" i="13"/>
  <c r="BM466" i="13" s="1"/>
  <c r="AI466" i="13"/>
  <c r="BB466" i="13" s="1"/>
  <c r="Z466" i="13"/>
  <c r="T466" i="13"/>
  <c r="V466" i="13" s="1"/>
  <c r="P466" i="13"/>
  <c r="K466" i="13"/>
  <c r="E466" i="13"/>
  <c r="D466" i="13"/>
  <c r="C466" i="13"/>
  <c r="B466" i="13"/>
  <c r="BD465" i="13"/>
  <c r="BT465" i="13" s="1"/>
  <c r="AI465" i="13"/>
  <c r="Z465" i="13"/>
  <c r="AB465" i="13" s="1"/>
  <c r="T465" i="13"/>
  <c r="P465" i="13"/>
  <c r="K465" i="13"/>
  <c r="E465" i="13"/>
  <c r="D465" i="13"/>
  <c r="C465" i="13"/>
  <c r="B465" i="13"/>
  <c r="BD464" i="13"/>
  <c r="BM464" i="13" s="1"/>
  <c r="AI464" i="13"/>
  <c r="AT464" i="13" s="1"/>
  <c r="Z464" i="13"/>
  <c r="T464" i="13"/>
  <c r="V464" i="13" s="1"/>
  <c r="P464" i="13"/>
  <c r="K464" i="13"/>
  <c r="E464" i="13"/>
  <c r="D464" i="13"/>
  <c r="C464" i="13"/>
  <c r="B464" i="13"/>
  <c r="BD463" i="13"/>
  <c r="BI463" i="13" s="1"/>
  <c r="AI463" i="13"/>
  <c r="AP463" i="13" s="1"/>
  <c r="Z463" i="13"/>
  <c r="T463" i="13"/>
  <c r="P463" i="13"/>
  <c r="K463" i="13"/>
  <c r="E463" i="13"/>
  <c r="D463" i="13"/>
  <c r="C463" i="13"/>
  <c r="B463" i="13"/>
  <c r="BD462" i="13"/>
  <c r="AI462" i="13"/>
  <c r="Z462" i="13"/>
  <c r="T462" i="13"/>
  <c r="V462" i="13" s="1"/>
  <c r="P462" i="13"/>
  <c r="K462" i="13"/>
  <c r="E462" i="13"/>
  <c r="D462" i="13"/>
  <c r="C462" i="13"/>
  <c r="B462" i="13"/>
  <c r="BD461" i="13"/>
  <c r="AI461" i="13"/>
  <c r="Z461" i="13"/>
  <c r="AB461" i="13" s="1"/>
  <c r="T461" i="13"/>
  <c r="P461" i="13"/>
  <c r="K461" i="13"/>
  <c r="E461" i="13"/>
  <c r="D461" i="13"/>
  <c r="C461" i="13"/>
  <c r="B461" i="13"/>
  <c r="BD460" i="13"/>
  <c r="BI460" i="13" s="1"/>
  <c r="AI460" i="13"/>
  <c r="AV460" i="13" s="1"/>
  <c r="Z460" i="13"/>
  <c r="AA460" i="13" s="1"/>
  <c r="AC460" i="13" s="1"/>
  <c r="T460" i="13"/>
  <c r="U460" i="13" s="1"/>
  <c r="W460" i="13" s="1"/>
  <c r="P460" i="13"/>
  <c r="K460" i="13"/>
  <c r="E460" i="13"/>
  <c r="D460" i="13"/>
  <c r="C460" i="13"/>
  <c r="B460" i="13"/>
  <c r="BD459" i="13"/>
  <c r="BK459" i="13" s="1"/>
  <c r="AI459" i="13"/>
  <c r="BB459" i="13" s="1"/>
  <c r="Z459" i="13"/>
  <c r="AB459" i="13" s="1"/>
  <c r="T459" i="13"/>
  <c r="V459" i="13" s="1"/>
  <c r="P459" i="13"/>
  <c r="K459" i="13"/>
  <c r="E459" i="13"/>
  <c r="D459" i="13"/>
  <c r="C459" i="13"/>
  <c r="B459" i="13"/>
  <c r="BD458" i="13"/>
  <c r="BH458" i="13" s="1"/>
  <c r="AI458" i="13"/>
  <c r="Z458" i="13"/>
  <c r="T458" i="13"/>
  <c r="V458" i="13" s="1"/>
  <c r="P458" i="13"/>
  <c r="K458" i="13"/>
  <c r="E458" i="13"/>
  <c r="D458" i="13"/>
  <c r="C458" i="13"/>
  <c r="B458" i="13"/>
  <c r="BD457" i="13"/>
  <c r="AI457" i="13"/>
  <c r="AR457" i="13" s="1"/>
  <c r="Z457" i="13"/>
  <c r="AA457" i="13" s="1"/>
  <c r="AC457" i="13" s="1"/>
  <c r="T457" i="13"/>
  <c r="U457" i="13" s="1"/>
  <c r="W457" i="13" s="1"/>
  <c r="P457" i="13"/>
  <c r="K457" i="13"/>
  <c r="E457" i="13"/>
  <c r="D457" i="13"/>
  <c r="C457" i="13"/>
  <c r="B457" i="13"/>
  <c r="BD456" i="13"/>
  <c r="AI456" i="13"/>
  <c r="Z456" i="13"/>
  <c r="T456" i="13"/>
  <c r="V456" i="13" s="1"/>
  <c r="P456" i="13"/>
  <c r="K456" i="13"/>
  <c r="E456" i="13"/>
  <c r="D456" i="13"/>
  <c r="C456" i="13"/>
  <c r="B456" i="13"/>
  <c r="BD455" i="13"/>
  <c r="BP455" i="13" s="1"/>
  <c r="AI455" i="13"/>
  <c r="AY455" i="13" s="1"/>
  <c r="Z455" i="13"/>
  <c r="AB455" i="13" s="1"/>
  <c r="T455" i="13"/>
  <c r="P455" i="13"/>
  <c r="K455" i="13"/>
  <c r="E455" i="13"/>
  <c r="D455" i="13"/>
  <c r="C455" i="13"/>
  <c r="B455" i="13"/>
  <c r="BD454" i="13"/>
  <c r="BR454" i="13" s="1"/>
  <c r="AI454" i="13"/>
  <c r="AJ454" i="13" s="1"/>
  <c r="Z454" i="13"/>
  <c r="AB454" i="13" s="1"/>
  <c r="T454" i="13"/>
  <c r="V454" i="13" s="1"/>
  <c r="P454" i="13"/>
  <c r="K454" i="13"/>
  <c r="E454" i="13"/>
  <c r="D454" i="13"/>
  <c r="C454" i="13"/>
  <c r="B454" i="13"/>
  <c r="BD453" i="13"/>
  <c r="AI453" i="13"/>
  <c r="AX453" i="13" s="1"/>
  <c r="Z453" i="13"/>
  <c r="AA453" i="13" s="1"/>
  <c r="AC453" i="13" s="1"/>
  <c r="T453" i="13"/>
  <c r="V453" i="13" s="1"/>
  <c r="P453" i="13"/>
  <c r="K453" i="13"/>
  <c r="E453" i="13"/>
  <c r="D453" i="13"/>
  <c r="C453" i="13"/>
  <c r="B453" i="13"/>
  <c r="BD452" i="13"/>
  <c r="AI452" i="13"/>
  <c r="AY452" i="13" s="1"/>
  <c r="Z452" i="13"/>
  <c r="AA452" i="13" s="1"/>
  <c r="AC452" i="13" s="1"/>
  <c r="T452" i="13"/>
  <c r="P452" i="13"/>
  <c r="K452" i="13"/>
  <c r="E452" i="13"/>
  <c r="D452" i="13"/>
  <c r="C452" i="13"/>
  <c r="B452" i="13"/>
  <c r="BD451" i="13"/>
  <c r="AI451" i="13"/>
  <c r="Z451" i="13"/>
  <c r="AA451" i="13" s="1"/>
  <c r="AC451" i="13" s="1"/>
  <c r="T451" i="13"/>
  <c r="V451" i="13" s="1"/>
  <c r="P451" i="13"/>
  <c r="K451" i="13"/>
  <c r="E451" i="13"/>
  <c r="D451" i="13"/>
  <c r="C451" i="13"/>
  <c r="B451" i="13"/>
  <c r="BD450" i="13"/>
  <c r="AI450" i="13"/>
  <c r="BA450" i="13" s="1"/>
  <c r="Z450" i="13"/>
  <c r="AA450" i="13" s="1"/>
  <c r="AC450" i="13" s="1"/>
  <c r="T450" i="13"/>
  <c r="U450" i="13" s="1"/>
  <c r="W450" i="13" s="1"/>
  <c r="P450" i="13"/>
  <c r="K450" i="13"/>
  <c r="E450" i="13"/>
  <c r="D450" i="13"/>
  <c r="C450" i="13"/>
  <c r="B450" i="13"/>
  <c r="BD449" i="13"/>
  <c r="BN449" i="13" s="1"/>
  <c r="AI449" i="13"/>
  <c r="BA449" i="13" s="1"/>
  <c r="Z449" i="13"/>
  <c r="AB449" i="13" s="1"/>
  <c r="T449" i="13"/>
  <c r="U449" i="13" s="1"/>
  <c r="W449" i="13" s="1"/>
  <c r="P449" i="13"/>
  <c r="K449" i="13"/>
  <c r="E449" i="13"/>
  <c r="D449" i="13"/>
  <c r="C449" i="13"/>
  <c r="B449" i="13"/>
  <c r="BD448" i="13"/>
  <c r="BS448" i="13" s="1"/>
  <c r="AI448" i="13"/>
  <c r="Z448" i="13"/>
  <c r="T448" i="13"/>
  <c r="V448" i="13" s="1"/>
  <c r="P448" i="13"/>
  <c r="K448" i="13"/>
  <c r="E448" i="13"/>
  <c r="D448" i="13"/>
  <c r="C448" i="13"/>
  <c r="B448" i="13"/>
  <c r="BD447" i="13"/>
  <c r="AI447" i="13"/>
  <c r="Z447" i="13"/>
  <c r="AB447" i="13" s="1"/>
  <c r="T447" i="13"/>
  <c r="P447" i="13"/>
  <c r="K447" i="13"/>
  <c r="E447" i="13"/>
  <c r="D447" i="13"/>
  <c r="C447" i="13"/>
  <c r="B447" i="13"/>
  <c r="BD446" i="13"/>
  <c r="AI446" i="13"/>
  <c r="AT446" i="13" s="1"/>
  <c r="Z446" i="13"/>
  <c r="AB446" i="13" s="1"/>
  <c r="T446" i="13"/>
  <c r="V446" i="13" s="1"/>
  <c r="P446" i="13"/>
  <c r="K446" i="13"/>
  <c r="E446" i="13"/>
  <c r="D446" i="13"/>
  <c r="C446" i="13"/>
  <c r="B446" i="13"/>
  <c r="BD445" i="13"/>
  <c r="BV445" i="13" s="1"/>
  <c r="AI445" i="13"/>
  <c r="Z445" i="13"/>
  <c r="AA445" i="13" s="1"/>
  <c r="AC445" i="13" s="1"/>
  <c r="T445" i="13"/>
  <c r="V445" i="13" s="1"/>
  <c r="P445" i="13"/>
  <c r="K445" i="13"/>
  <c r="E445" i="13"/>
  <c r="D445" i="13"/>
  <c r="C445" i="13"/>
  <c r="B445" i="13"/>
  <c r="BD444" i="13"/>
  <c r="BL444" i="13" s="1"/>
  <c r="AI444" i="13"/>
  <c r="Z444" i="13"/>
  <c r="AA444" i="13" s="1"/>
  <c r="AC444" i="13" s="1"/>
  <c r="T444" i="13"/>
  <c r="U444" i="13" s="1"/>
  <c r="W444" i="13" s="1"/>
  <c r="P444" i="13"/>
  <c r="K444" i="13"/>
  <c r="E444" i="13"/>
  <c r="D444" i="13"/>
  <c r="C444" i="13"/>
  <c r="B444" i="13"/>
  <c r="BD443" i="13"/>
  <c r="AI443" i="13"/>
  <c r="AU443" i="13" s="1"/>
  <c r="Z443" i="13"/>
  <c r="AA443" i="13" s="1"/>
  <c r="AC443" i="13" s="1"/>
  <c r="T443" i="13"/>
  <c r="P443" i="13"/>
  <c r="K443" i="13"/>
  <c r="E443" i="13"/>
  <c r="D443" i="13"/>
  <c r="C443" i="13"/>
  <c r="B443" i="13"/>
  <c r="BD442" i="13"/>
  <c r="BV442" i="13" s="1"/>
  <c r="AI442" i="13"/>
  <c r="Z442" i="13"/>
  <c r="AA442" i="13" s="1"/>
  <c r="AC442" i="13" s="1"/>
  <c r="T442" i="13"/>
  <c r="U442" i="13" s="1"/>
  <c r="W442" i="13" s="1"/>
  <c r="P442" i="13"/>
  <c r="K442" i="13"/>
  <c r="E442" i="13"/>
  <c r="D442" i="13"/>
  <c r="C442" i="13"/>
  <c r="B442" i="13"/>
  <c r="BD441" i="13"/>
  <c r="BQ441" i="13" s="1"/>
  <c r="AI441" i="13"/>
  <c r="BA441" i="13" s="1"/>
  <c r="Z441" i="13"/>
  <c r="AB441" i="13" s="1"/>
  <c r="T441" i="13"/>
  <c r="U441" i="13" s="1"/>
  <c r="W441" i="13" s="1"/>
  <c r="P441" i="13"/>
  <c r="K441" i="13"/>
  <c r="E441" i="13"/>
  <c r="D441" i="13"/>
  <c r="C441" i="13"/>
  <c r="B441" i="13"/>
  <c r="BD440" i="13"/>
  <c r="BT440" i="13" s="1"/>
  <c r="AI440" i="13"/>
  <c r="AQ440" i="13" s="1"/>
  <c r="Z440" i="13"/>
  <c r="T440" i="13"/>
  <c r="V440" i="13" s="1"/>
  <c r="P440" i="13"/>
  <c r="K440" i="13"/>
  <c r="E440" i="13"/>
  <c r="D440" i="13"/>
  <c r="C440" i="13"/>
  <c r="B440" i="13"/>
  <c r="BD439" i="13"/>
  <c r="BP439" i="13" s="1"/>
  <c r="AI439" i="13"/>
  <c r="AO439" i="13" s="1"/>
  <c r="Z439" i="13"/>
  <c r="AB439" i="13" s="1"/>
  <c r="T439" i="13"/>
  <c r="P439" i="13"/>
  <c r="K439" i="13"/>
  <c r="E439" i="13"/>
  <c r="D439" i="13"/>
  <c r="C439" i="13"/>
  <c r="B439" i="13"/>
  <c r="BD438" i="13"/>
  <c r="BV438" i="13" s="1"/>
  <c r="AI438" i="13"/>
  <c r="AT438" i="13" s="1"/>
  <c r="Z438" i="13"/>
  <c r="AB438" i="13" s="1"/>
  <c r="T438" i="13"/>
  <c r="V438" i="13" s="1"/>
  <c r="P438" i="13"/>
  <c r="K438" i="13"/>
  <c r="E438" i="13"/>
  <c r="D438" i="13"/>
  <c r="C438" i="13"/>
  <c r="B438" i="13"/>
  <c r="BD437" i="13"/>
  <c r="AI437" i="13"/>
  <c r="AW437" i="13" s="1"/>
  <c r="Z437" i="13"/>
  <c r="AB437" i="13" s="1"/>
  <c r="T437" i="13"/>
  <c r="V437" i="13" s="1"/>
  <c r="P437" i="13"/>
  <c r="K437" i="13"/>
  <c r="E437" i="13"/>
  <c r="D437" i="13"/>
  <c r="C437" i="13"/>
  <c r="B437" i="13"/>
  <c r="BD436" i="13"/>
  <c r="AI436" i="13"/>
  <c r="AO436" i="13" s="1"/>
  <c r="Z436" i="13"/>
  <c r="T436" i="13"/>
  <c r="U436" i="13" s="1"/>
  <c r="W436" i="13" s="1"/>
  <c r="P436" i="13"/>
  <c r="K436" i="13"/>
  <c r="E436" i="13"/>
  <c r="D436" i="13"/>
  <c r="C436" i="13"/>
  <c r="B436" i="13"/>
  <c r="BD435" i="13"/>
  <c r="AI435" i="13"/>
  <c r="AK435" i="13" s="1"/>
  <c r="Z435" i="13"/>
  <c r="AA435" i="13" s="1"/>
  <c r="AC435" i="13" s="1"/>
  <c r="T435" i="13"/>
  <c r="U435" i="13" s="1"/>
  <c r="W435" i="13" s="1"/>
  <c r="P435" i="13"/>
  <c r="K435" i="13"/>
  <c r="E435" i="13"/>
  <c r="D435" i="13"/>
  <c r="C435" i="13"/>
  <c r="B435" i="13"/>
  <c r="BD434" i="13"/>
  <c r="AI434" i="13"/>
  <c r="Z434" i="13"/>
  <c r="AA434" i="13" s="1"/>
  <c r="AC434" i="13" s="1"/>
  <c r="T434" i="13"/>
  <c r="U434" i="13" s="1"/>
  <c r="W434" i="13" s="1"/>
  <c r="P434" i="13"/>
  <c r="K434" i="13"/>
  <c r="E434" i="13"/>
  <c r="D434" i="13"/>
  <c r="C434" i="13"/>
  <c r="B434" i="13"/>
  <c r="BD433" i="13"/>
  <c r="BQ433" i="13" s="1"/>
  <c r="AI433" i="13"/>
  <c r="Z433" i="13"/>
  <c r="T433" i="13"/>
  <c r="U433" i="13" s="1"/>
  <c r="W433" i="13" s="1"/>
  <c r="P433" i="13"/>
  <c r="K433" i="13"/>
  <c r="E433" i="13"/>
  <c r="D433" i="13"/>
  <c r="C433" i="13"/>
  <c r="B433" i="13"/>
  <c r="BD432" i="13"/>
  <c r="BF432" i="13" s="1"/>
  <c r="AI432" i="13"/>
  <c r="Z432" i="13"/>
  <c r="T432" i="13"/>
  <c r="P432" i="13"/>
  <c r="K432" i="13"/>
  <c r="E432" i="13"/>
  <c r="D432" i="13"/>
  <c r="C432" i="13"/>
  <c r="B432" i="13"/>
  <c r="BD431" i="13"/>
  <c r="AI431" i="13"/>
  <c r="AW431" i="13" s="1"/>
  <c r="Z431" i="13"/>
  <c r="AB431" i="13" s="1"/>
  <c r="T431" i="13"/>
  <c r="P431" i="13"/>
  <c r="K431" i="13"/>
  <c r="E431" i="13"/>
  <c r="D431" i="13"/>
  <c r="C431" i="13"/>
  <c r="B431" i="13"/>
  <c r="BD430" i="13"/>
  <c r="BV430" i="13" s="1"/>
  <c r="AI430" i="13"/>
  <c r="AR430" i="13" s="1"/>
  <c r="Z430" i="13"/>
  <c r="AB430" i="13" s="1"/>
  <c r="T430" i="13"/>
  <c r="V430" i="13" s="1"/>
  <c r="P430" i="13"/>
  <c r="K430" i="13"/>
  <c r="E430" i="13"/>
  <c r="D430" i="13"/>
  <c r="C430" i="13"/>
  <c r="B430" i="13"/>
  <c r="BD429" i="13"/>
  <c r="BT429" i="13" s="1"/>
  <c r="AI429" i="13"/>
  <c r="Z429" i="13"/>
  <c r="AA429" i="13" s="1"/>
  <c r="AC429" i="13" s="1"/>
  <c r="T429" i="13"/>
  <c r="V429" i="13" s="1"/>
  <c r="P429" i="13"/>
  <c r="K429" i="13"/>
  <c r="E429" i="13"/>
  <c r="D429" i="13"/>
  <c r="C429" i="13"/>
  <c r="B429" i="13"/>
  <c r="BD428" i="13"/>
  <c r="BO428" i="13" s="1"/>
  <c r="AI428" i="13"/>
  <c r="BA428" i="13" s="1"/>
  <c r="Z428" i="13"/>
  <c r="T428" i="13"/>
  <c r="P428" i="13"/>
  <c r="K428" i="13"/>
  <c r="E428" i="13"/>
  <c r="D428" i="13"/>
  <c r="C428" i="13"/>
  <c r="B428" i="13"/>
  <c r="BD427" i="13"/>
  <c r="AI427" i="13"/>
  <c r="AU427" i="13" s="1"/>
  <c r="Z427" i="13"/>
  <c r="AA427" i="13" s="1"/>
  <c r="AC427" i="13" s="1"/>
  <c r="T427" i="13"/>
  <c r="V427" i="13" s="1"/>
  <c r="P427" i="13"/>
  <c r="K427" i="13"/>
  <c r="E427" i="13"/>
  <c r="D427" i="13"/>
  <c r="C427" i="13"/>
  <c r="B427" i="13"/>
  <c r="BD426" i="13"/>
  <c r="BV426" i="13" s="1"/>
  <c r="AI426" i="13"/>
  <c r="Z426" i="13"/>
  <c r="AA426" i="13" s="1"/>
  <c r="AC426" i="13" s="1"/>
  <c r="T426" i="13"/>
  <c r="U426" i="13" s="1"/>
  <c r="W426" i="13" s="1"/>
  <c r="P426" i="13"/>
  <c r="K426" i="13"/>
  <c r="E426" i="13"/>
  <c r="D426" i="13"/>
  <c r="C426" i="13"/>
  <c r="B426" i="13"/>
  <c r="BD425" i="13"/>
  <c r="BR425" i="13" s="1"/>
  <c r="AI425" i="13"/>
  <c r="Z425" i="13"/>
  <c r="T425" i="13"/>
  <c r="U425" i="13" s="1"/>
  <c r="W425" i="13" s="1"/>
  <c r="P425" i="13"/>
  <c r="K425" i="13"/>
  <c r="E425" i="13"/>
  <c r="D425" i="13"/>
  <c r="C425" i="13"/>
  <c r="B425" i="13"/>
  <c r="BD424" i="13"/>
  <c r="BT424" i="13" s="1"/>
  <c r="AI424" i="13"/>
  <c r="Z424" i="13"/>
  <c r="AB424" i="13" s="1"/>
  <c r="T424" i="13"/>
  <c r="P424" i="13"/>
  <c r="K424" i="13"/>
  <c r="E424" i="13"/>
  <c r="D424" i="13"/>
  <c r="C424" i="13"/>
  <c r="B424" i="13"/>
  <c r="BD423" i="13"/>
  <c r="BV423" i="13" s="1"/>
  <c r="AI423" i="13"/>
  <c r="Z423" i="13"/>
  <c r="AB423" i="13" s="1"/>
  <c r="T423" i="13"/>
  <c r="V423" i="13" s="1"/>
  <c r="P423" i="13"/>
  <c r="K423" i="13"/>
  <c r="E423" i="13"/>
  <c r="D423" i="13"/>
  <c r="C423" i="13"/>
  <c r="B423" i="13"/>
  <c r="BD422" i="13"/>
  <c r="BT422" i="13" s="1"/>
  <c r="AI422" i="13"/>
  <c r="AW422" i="13" s="1"/>
  <c r="Z422" i="13"/>
  <c r="AB422" i="13" s="1"/>
  <c r="T422" i="13"/>
  <c r="V422" i="13" s="1"/>
  <c r="P422" i="13"/>
  <c r="K422" i="13"/>
  <c r="E422" i="13"/>
  <c r="D422" i="13"/>
  <c r="C422" i="13"/>
  <c r="B422" i="13"/>
  <c r="BD421" i="13"/>
  <c r="BT421" i="13" s="1"/>
  <c r="AI421" i="13"/>
  <c r="BA421" i="13" s="1"/>
  <c r="Z421" i="13"/>
  <c r="T421" i="13"/>
  <c r="V421" i="13" s="1"/>
  <c r="P421" i="13"/>
  <c r="K421" i="13"/>
  <c r="E421" i="13"/>
  <c r="D421" i="13"/>
  <c r="C421" i="13"/>
  <c r="B421" i="13"/>
  <c r="BD420" i="13"/>
  <c r="BV420" i="13" s="1"/>
  <c r="AI420" i="13"/>
  <c r="Z420" i="13"/>
  <c r="AA420" i="13" s="1"/>
  <c r="AC420" i="13" s="1"/>
  <c r="T420" i="13"/>
  <c r="P420" i="13"/>
  <c r="K420" i="13"/>
  <c r="E420" i="13"/>
  <c r="D420" i="13"/>
  <c r="C420" i="13"/>
  <c r="B420" i="13"/>
  <c r="BD419" i="13"/>
  <c r="BP419" i="13" s="1"/>
  <c r="AI419" i="13"/>
  <c r="AO419" i="13" s="1"/>
  <c r="Z419" i="13"/>
  <c r="T419" i="13"/>
  <c r="U419" i="13" s="1"/>
  <c r="W419" i="13" s="1"/>
  <c r="P419" i="13"/>
  <c r="K419" i="13"/>
  <c r="E419" i="13"/>
  <c r="D419" i="13"/>
  <c r="C419" i="13"/>
  <c r="B419" i="13"/>
  <c r="BD418" i="13"/>
  <c r="BW418" i="13" s="1"/>
  <c r="AI418" i="13"/>
  <c r="Z418" i="13"/>
  <c r="T418" i="13"/>
  <c r="P418" i="13"/>
  <c r="K418" i="13"/>
  <c r="E418" i="13"/>
  <c r="D418" i="13"/>
  <c r="C418" i="13"/>
  <c r="B418" i="13"/>
  <c r="BD417" i="13"/>
  <c r="BL417" i="13" s="1"/>
  <c r="AI417" i="13"/>
  <c r="BB417" i="13" s="1"/>
  <c r="Z417" i="13"/>
  <c r="AB417" i="13" s="1"/>
  <c r="T417" i="13"/>
  <c r="V417" i="13" s="1"/>
  <c r="P417" i="13"/>
  <c r="K417" i="13"/>
  <c r="E417" i="13"/>
  <c r="D417" i="13"/>
  <c r="C417" i="13"/>
  <c r="B417" i="13"/>
  <c r="BD416" i="13"/>
  <c r="BN416" i="13" s="1"/>
  <c r="AI416" i="13"/>
  <c r="AP416" i="13" s="1"/>
  <c r="Z416" i="13"/>
  <c r="T416" i="13"/>
  <c r="V416" i="13" s="1"/>
  <c r="P416" i="13"/>
  <c r="K416" i="13"/>
  <c r="E416" i="13"/>
  <c r="D416" i="13"/>
  <c r="C416" i="13"/>
  <c r="B416" i="13"/>
  <c r="BD415" i="13"/>
  <c r="BQ415" i="13" s="1"/>
  <c r="AI415" i="13"/>
  <c r="Z415" i="13"/>
  <c r="AA415" i="13" s="1"/>
  <c r="AC415" i="13" s="1"/>
  <c r="T415" i="13"/>
  <c r="P415" i="13"/>
  <c r="K415" i="13"/>
  <c r="E415" i="13"/>
  <c r="D415" i="13"/>
  <c r="C415" i="13"/>
  <c r="B415" i="13"/>
  <c r="BD414" i="13"/>
  <c r="BI414" i="13" s="1"/>
  <c r="AI414" i="13"/>
  <c r="AZ414" i="13" s="1"/>
  <c r="Z414" i="13"/>
  <c r="AA414" i="13" s="1"/>
  <c r="AC414" i="13" s="1"/>
  <c r="T414" i="13"/>
  <c r="P414" i="13"/>
  <c r="K414" i="13"/>
  <c r="E414" i="13"/>
  <c r="D414" i="13"/>
  <c r="C414" i="13"/>
  <c r="B414" i="13"/>
  <c r="BD413" i="13"/>
  <c r="AI413" i="13"/>
  <c r="AP413" i="13" s="1"/>
  <c r="Z413" i="13"/>
  <c r="AA413" i="13" s="1"/>
  <c r="AC413" i="13" s="1"/>
  <c r="T413" i="13"/>
  <c r="U413" i="13" s="1"/>
  <c r="W413" i="13" s="1"/>
  <c r="P413" i="13"/>
  <c r="K413" i="13"/>
  <c r="E413" i="13"/>
  <c r="D413" i="13"/>
  <c r="C413" i="13"/>
  <c r="B413" i="13"/>
  <c r="BD412" i="13"/>
  <c r="BV412" i="13" s="1"/>
  <c r="AI412" i="13"/>
  <c r="Z412" i="13"/>
  <c r="AA412" i="13" s="1"/>
  <c r="AC412" i="13" s="1"/>
  <c r="T412" i="13"/>
  <c r="U412" i="13" s="1"/>
  <c r="W412" i="13" s="1"/>
  <c r="P412" i="13"/>
  <c r="K412" i="13"/>
  <c r="E412" i="13"/>
  <c r="D412" i="13"/>
  <c r="C412" i="13"/>
  <c r="B412" i="13"/>
  <c r="BD411" i="13"/>
  <c r="BS411" i="13" s="1"/>
  <c r="AI411" i="13"/>
  <c r="AV411" i="13" s="1"/>
  <c r="Z411" i="13"/>
  <c r="AA411" i="13" s="1"/>
  <c r="AC411" i="13" s="1"/>
  <c r="T411" i="13"/>
  <c r="U411" i="13" s="1"/>
  <c r="W411" i="13" s="1"/>
  <c r="P411" i="13"/>
  <c r="K411" i="13"/>
  <c r="E411" i="13"/>
  <c r="D411" i="13"/>
  <c r="C411" i="13"/>
  <c r="B411" i="13"/>
  <c r="BD410" i="13"/>
  <c r="AI410" i="13"/>
  <c r="AJ410" i="13" s="1"/>
  <c r="Z410" i="13"/>
  <c r="AB410" i="13" s="1"/>
  <c r="T410" i="13"/>
  <c r="U410" i="13" s="1"/>
  <c r="W410" i="13" s="1"/>
  <c r="P410" i="13"/>
  <c r="K410" i="13"/>
  <c r="E410" i="13"/>
  <c r="D410" i="13"/>
  <c r="C410" i="13"/>
  <c r="B410" i="13"/>
  <c r="BD409" i="13"/>
  <c r="AI409" i="13"/>
  <c r="Z409" i="13"/>
  <c r="T409" i="13"/>
  <c r="P409" i="13"/>
  <c r="K409" i="13"/>
  <c r="E409" i="13"/>
  <c r="D409" i="13"/>
  <c r="C409" i="13"/>
  <c r="B409" i="13"/>
  <c r="BD408" i="13"/>
  <c r="BR408" i="13" s="1"/>
  <c r="AI408" i="13"/>
  <c r="Z408" i="13"/>
  <c r="AB408" i="13" s="1"/>
  <c r="T408" i="13"/>
  <c r="P408" i="13"/>
  <c r="K408" i="13"/>
  <c r="E408" i="13"/>
  <c r="D408" i="13"/>
  <c r="C408" i="13"/>
  <c r="B408" i="13"/>
  <c r="BD407" i="13"/>
  <c r="BT407" i="13" s="1"/>
  <c r="AI407" i="13"/>
  <c r="AV407" i="13" s="1"/>
  <c r="Z407" i="13"/>
  <c r="T407" i="13"/>
  <c r="V407" i="13" s="1"/>
  <c r="P407" i="13"/>
  <c r="K407" i="13"/>
  <c r="E407" i="13"/>
  <c r="D407" i="13"/>
  <c r="C407" i="13"/>
  <c r="B407" i="13"/>
  <c r="BD406" i="13"/>
  <c r="BL406" i="13" s="1"/>
  <c r="AI406" i="13"/>
  <c r="BA406" i="13" s="1"/>
  <c r="Z406" i="13"/>
  <c r="AA406" i="13" s="1"/>
  <c r="AC406" i="13" s="1"/>
  <c r="T406" i="13"/>
  <c r="P406" i="13"/>
  <c r="K406" i="13"/>
  <c r="E406" i="13"/>
  <c r="D406" i="13"/>
  <c r="C406" i="13"/>
  <c r="B406" i="13"/>
  <c r="BD405" i="13"/>
  <c r="AI405" i="13"/>
  <c r="BA405" i="13" s="1"/>
  <c r="Z405" i="13"/>
  <c r="T405" i="13"/>
  <c r="P405" i="13"/>
  <c r="K405" i="13"/>
  <c r="E405" i="13"/>
  <c r="D405" i="13"/>
  <c r="C405" i="13"/>
  <c r="B405" i="13"/>
  <c r="BD404" i="13"/>
  <c r="AI404" i="13"/>
  <c r="Z404" i="13"/>
  <c r="AA404" i="13" s="1"/>
  <c r="AC404" i="13" s="1"/>
  <c r="T404" i="13"/>
  <c r="U404" i="13" s="1"/>
  <c r="W404" i="13" s="1"/>
  <c r="P404" i="13"/>
  <c r="K404" i="13"/>
  <c r="E404" i="13"/>
  <c r="D404" i="13"/>
  <c r="C404" i="13"/>
  <c r="B404" i="13"/>
  <c r="BD403" i="13"/>
  <c r="AI403" i="13"/>
  <c r="Z403" i="13"/>
  <c r="AA403" i="13" s="1"/>
  <c r="AC403" i="13" s="1"/>
  <c r="T403" i="13"/>
  <c r="U403" i="13" s="1"/>
  <c r="W403" i="13" s="1"/>
  <c r="P403" i="13"/>
  <c r="K403" i="13"/>
  <c r="E403" i="13"/>
  <c r="D403" i="13"/>
  <c r="C403" i="13"/>
  <c r="B403" i="13"/>
  <c r="BD402" i="13"/>
  <c r="BJ402" i="13" s="1"/>
  <c r="AI402" i="13"/>
  <c r="Z402" i="13"/>
  <c r="AB402" i="13" s="1"/>
  <c r="T402" i="13"/>
  <c r="U402" i="13" s="1"/>
  <c r="W402" i="13" s="1"/>
  <c r="P402" i="13"/>
  <c r="K402" i="13"/>
  <c r="E402" i="13"/>
  <c r="D402" i="13"/>
  <c r="C402" i="13"/>
  <c r="B402" i="13"/>
  <c r="BD401" i="13"/>
  <c r="AI401" i="13"/>
  <c r="AR401" i="13" s="1"/>
  <c r="Z401" i="13"/>
  <c r="AB401" i="13" s="1"/>
  <c r="T401" i="13"/>
  <c r="V401" i="13" s="1"/>
  <c r="P401" i="13"/>
  <c r="K401" i="13"/>
  <c r="E401" i="13"/>
  <c r="D401" i="13"/>
  <c r="C401" i="13"/>
  <c r="B401" i="13"/>
  <c r="BD400" i="13"/>
  <c r="BG400" i="13" s="1"/>
  <c r="AI400" i="13"/>
  <c r="AZ400" i="13" s="1"/>
  <c r="Z400" i="13"/>
  <c r="T400" i="13"/>
  <c r="V400" i="13" s="1"/>
  <c r="P400" i="13"/>
  <c r="K400" i="13"/>
  <c r="E400" i="13"/>
  <c r="D400" i="13"/>
  <c r="C400" i="13"/>
  <c r="B400" i="13"/>
  <c r="BD399" i="13"/>
  <c r="BO399" i="13" s="1"/>
  <c r="AI399" i="13"/>
  <c r="Z399" i="13"/>
  <c r="AB399" i="13" s="1"/>
  <c r="T399" i="13"/>
  <c r="V399" i="13" s="1"/>
  <c r="P399" i="13"/>
  <c r="K399" i="13"/>
  <c r="E399" i="13"/>
  <c r="D399" i="13"/>
  <c r="C399" i="13"/>
  <c r="B399" i="13"/>
  <c r="BD398" i="13"/>
  <c r="BT398" i="13" s="1"/>
  <c r="AI398" i="13"/>
  <c r="AY398" i="13" s="1"/>
  <c r="Z398" i="13"/>
  <c r="T398" i="13"/>
  <c r="V398" i="13" s="1"/>
  <c r="P398" i="13"/>
  <c r="K398" i="13"/>
  <c r="E398" i="13"/>
  <c r="D398" i="13"/>
  <c r="C398" i="13"/>
  <c r="B398" i="13"/>
  <c r="BD397" i="13"/>
  <c r="BF397" i="13" s="1"/>
  <c r="AI397" i="13"/>
  <c r="AQ397" i="13" s="1"/>
  <c r="Z397" i="13"/>
  <c r="AA397" i="13" s="1"/>
  <c r="AC397" i="13" s="1"/>
  <c r="T397" i="13"/>
  <c r="U397" i="13" s="1"/>
  <c r="W397" i="13" s="1"/>
  <c r="P397" i="13"/>
  <c r="K397" i="13"/>
  <c r="E397" i="13"/>
  <c r="D397" i="13"/>
  <c r="C397" i="13"/>
  <c r="B397" i="13"/>
  <c r="BD396" i="13"/>
  <c r="AI396" i="13"/>
  <c r="Z396" i="13"/>
  <c r="AB396" i="13" s="1"/>
  <c r="T396" i="13"/>
  <c r="P396" i="13"/>
  <c r="K396" i="13"/>
  <c r="E396" i="13"/>
  <c r="D396" i="13"/>
  <c r="C396" i="13"/>
  <c r="B396" i="13"/>
  <c r="BD395" i="13"/>
  <c r="BT395" i="13" s="1"/>
  <c r="AI395" i="13"/>
  <c r="Z395" i="13"/>
  <c r="AA395" i="13" s="1"/>
  <c r="AC395" i="13" s="1"/>
  <c r="T395" i="13"/>
  <c r="V395" i="13" s="1"/>
  <c r="P395" i="13"/>
  <c r="K395" i="13"/>
  <c r="E395" i="13"/>
  <c r="D395" i="13"/>
  <c r="C395" i="13"/>
  <c r="B395" i="13"/>
  <c r="BD394" i="13"/>
  <c r="BM394" i="13" s="1"/>
  <c r="AI394" i="13"/>
  <c r="BB394" i="13" s="1"/>
  <c r="Z394" i="13"/>
  <c r="AB394" i="13" s="1"/>
  <c r="T394" i="13"/>
  <c r="U394" i="13" s="1"/>
  <c r="W394" i="13" s="1"/>
  <c r="P394" i="13"/>
  <c r="K394" i="13"/>
  <c r="E394" i="13"/>
  <c r="D394" i="13"/>
  <c r="C394" i="13"/>
  <c r="B394" i="13"/>
  <c r="BD393" i="13"/>
  <c r="BT393" i="13" s="1"/>
  <c r="AI393" i="13"/>
  <c r="AU393" i="13" s="1"/>
  <c r="Z393" i="13"/>
  <c r="AB393" i="13" s="1"/>
  <c r="T393" i="13"/>
  <c r="P393" i="13"/>
  <c r="K393" i="13"/>
  <c r="E393" i="13"/>
  <c r="D393" i="13"/>
  <c r="C393" i="13"/>
  <c r="B393" i="13"/>
  <c r="BD392" i="13"/>
  <c r="BU392" i="13" s="1"/>
  <c r="AI392" i="13"/>
  <c r="Z392" i="13"/>
  <c r="T392" i="13"/>
  <c r="V392" i="13" s="1"/>
  <c r="P392" i="13"/>
  <c r="K392" i="13"/>
  <c r="E392" i="13"/>
  <c r="D392" i="13"/>
  <c r="C392" i="13"/>
  <c r="B392" i="13"/>
  <c r="BD391" i="13"/>
  <c r="AI391" i="13"/>
  <c r="AK391" i="13" s="1"/>
  <c r="Z391" i="13"/>
  <c r="AB391" i="13" s="1"/>
  <c r="T391" i="13"/>
  <c r="V391" i="13" s="1"/>
  <c r="P391" i="13"/>
  <c r="K391" i="13"/>
  <c r="E391" i="13"/>
  <c r="D391" i="13"/>
  <c r="C391" i="13"/>
  <c r="B391" i="13"/>
  <c r="BD390" i="13"/>
  <c r="AI390" i="13"/>
  <c r="AW390" i="13" s="1"/>
  <c r="Z390" i="13"/>
  <c r="T390" i="13"/>
  <c r="V390" i="13" s="1"/>
  <c r="P390" i="13"/>
  <c r="K390" i="13"/>
  <c r="E390" i="13"/>
  <c r="D390" i="13"/>
  <c r="C390" i="13"/>
  <c r="B390" i="13"/>
  <c r="BD389" i="13"/>
  <c r="AI389" i="13"/>
  <c r="AM389" i="13" s="1"/>
  <c r="Z389" i="13"/>
  <c r="AA389" i="13" s="1"/>
  <c r="AC389" i="13" s="1"/>
  <c r="T389" i="13"/>
  <c r="P389" i="13"/>
  <c r="K389" i="13"/>
  <c r="E389" i="13"/>
  <c r="D389" i="13"/>
  <c r="C389" i="13"/>
  <c r="B389" i="13"/>
  <c r="BD388" i="13"/>
  <c r="BO388" i="13" s="1"/>
  <c r="AI388" i="13"/>
  <c r="Z388" i="13"/>
  <c r="AB388" i="13" s="1"/>
  <c r="T388" i="13"/>
  <c r="P388" i="13"/>
  <c r="K388" i="13"/>
  <c r="E388" i="13"/>
  <c r="D388" i="13"/>
  <c r="C388" i="13"/>
  <c r="B388" i="13"/>
  <c r="BD387" i="13"/>
  <c r="BV387" i="13" s="1"/>
  <c r="AI387" i="13"/>
  <c r="BA387" i="13" s="1"/>
  <c r="Z387" i="13"/>
  <c r="AA387" i="13" s="1"/>
  <c r="AC387" i="13" s="1"/>
  <c r="T387" i="13"/>
  <c r="P387" i="13"/>
  <c r="K387" i="13"/>
  <c r="E387" i="13"/>
  <c r="D387" i="13"/>
  <c r="C387" i="13"/>
  <c r="B387" i="13"/>
  <c r="BD386" i="13"/>
  <c r="AI386" i="13"/>
  <c r="BB386" i="13" s="1"/>
  <c r="Z386" i="13"/>
  <c r="AB386" i="13" s="1"/>
  <c r="T386" i="13"/>
  <c r="P386" i="13"/>
  <c r="K386" i="13"/>
  <c r="E386" i="13"/>
  <c r="D386" i="13"/>
  <c r="C386" i="13"/>
  <c r="B386" i="13"/>
  <c r="BD385" i="13"/>
  <c r="BT385" i="13" s="1"/>
  <c r="AI385" i="13"/>
  <c r="Z385" i="13"/>
  <c r="AB385" i="13" s="1"/>
  <c r="T385" i="13"/>
  <c r="V385" i="13" s="1"/>
  <c r="P385" i="13"/>
  <c r="K385" i="13"/>
  <c r="E385" i="13"/>
  <c r="D385" i="13"/>
  <c r="C385" i="13"/>
  <c r="B385" i="13"/>
  <c r="BD384" i="13"/>
  <c r="BS384" i="13" s="1"/>
  <c r="AI384" i="13"/>
  <c r="AJ384" i="13" s="1"/>
  <c r="Z384" i="13"/>
  <c r="T384" i="13"/>
  <c r="P384" i="13"/>
  <c r="K384" i="13"/>
  <c r="E384" i="13"/>
  <c r="D384" i="13"/>
  <c r="C384" i="13"/>
  <c r="B384" i="13"/>
  <c r="BD383" i="13"/>
  <c r="BR383" i="13" s="1"/>
  <c r="AI383" i="13"/>
  <c r="BA383" i="13" s="1"/>
  <c r="Z383" i="13"/>
  <c r="T383" i="13"/>
  <c r="V383" i="13" s="1"/>
  <c r="P383" i="13"/>
  <c r="K383" i="13"/>
  <c r="E383" i="13"/>
  <c r="D383" i="13"/>
  <c r="C383" i="13"/>
  <c r="B383" i="13"/>
  <c r="BD382" i="13"/>
  <c r="AI382" i="13"/>
  <c r="AR382" i="13" s="1"/>
  <c r="Z382" i="13"/>
  <c r="T382" i="13"/>
  <c r="P382" i="13"/>
  <c r="K382" i="13"/>
  <c r="E382" i="13"/>
  <c r="D382" i="13"/>
  <c r="C382" i="13"/>
  <c r="B382" i="13"/>
  <c r="BD381" i="13"/>
  <c r="AI381" i="13"/>
  <c r="Z381" i="13"/>
  <c r="T381" i="13"/>
  <c r="P381" i="13"/>
  <c r="K381" i="13"/>
  <c r="E381" i="13"/>
  <c r="D381" i="13"/>
  <c r="C381" i="13"/>
  <c r="B381" i="13"/>
  <c r="BD380" i="13"/>
  <c r="AI380" i="13"/>
  <c r="Z380" i="13"/>
  <c r="AA380" i="13" s="1"/>
  <c r="AC380" i="13" s="1"/>
  <c r="T380" i="13"/>
  <c r="U380" i="13" s="1"/>
  <c r="W380" i="13" s="1"/>
  <c r="P380" i="13"/>
  <c r="K380" i="13"/>
  <c r="E380" i="13"/>
  <c r="D380" i="13"/>
  <c r="C380" i="13"/>
  <c r="B380" i="13"/>
  <c r="BD379" i="13"/>
  <c r="AI379" i="13"/>
  <c r="AT379" i="13" s="1"/>
  <c r="Z379" i="13"/>
  <c r="T379" i="13"/>
  <c r="V379" i="13" s="1"/>
  <c r="P379" i="13"/>
  <c r="K379" i="13"/>
  <c r="E379" i="13"/>
  <c r="D379" i="13"/>
  <c r="C379" i="13"/>
  <c r="B379" i="13"/>
  <c r="BD378" i="13"/>
  <c r="BV378" i="13" s="1"/>
  <c r="AI378" i="13"/>
  <c r="Z378" i="13"/>
  <c r="T378" i="13"/>
  <c r="U378" i="13" s="1"/>
  <c r="W378" i="13" s="1"/>
  <c r="P378" i="13"/>
  <c r="K378" i="13"/>
  <c r="E378" i="13"/>
  <c r="D378" i="13"/>
  <c r="C378" i="13"/>
  <c r="B378" i="13"/>
  <c r="BD377" i="13"/>
  <c r="BP377" i="13" s="1"/>
  <c r="AI377" i="13"/>
  <c r="Z377" i="13"/>
  <c r="AB377" i="13" s="1"/>
  <c r="T377" i="13"/>
  <c r="V377" i="13" s="1"/>
  <c r="P377" i="13"/>
  <c r="K377" i="13"/>
  <c r="E377" i="13"/>
  <c r="D377" i="13"/>
  <c r="C377" i="13"/>
  <c r="B377" i="13"/>
  <c r="BD376" i="13"/>
  <c r="BS376" i="13" s="1"/>
  <c r="AI376" i="13"/>
  <c r="AV376" i="13" s="1"/>
  <c r="Z376" i="13"/>
  <c r="AB376" i="13" s="1"/>
  <c r="T376" i="13"/>
  <c r="U376" i="13" s="1"/>
  <c r="W376" i="13" s="1"/>
  <c r="P376" i="13"/>
  <c r="K376" i="13"/>
  <c r="E376" i="13"/>
  <c r="D376" i="13"/>
  <c r="C376" i="13"/>
  <c r="B376" i="13"/>
  <c r="BD375" i="13"/>
  <c r="BW375" i="13" s="1"/>
  <c r="AI375" i="13"/>
  <c r="Z375" i="13"/>
  <c r="AA375" i="13" s="1"/>
  <c r="AC375" i="13" s="1"/>
  <c r="T375" i="13"/>
  <c r="P375" i="13"/>
  <c r="K375" i="13"/>
  <c r="E375" i="13"/>
  <c r="D375" i="13"/>
  <c r="C375" i="13"/>
  <c r="B375" i="13"/>
  <c r="BD374" i="13"/>
  <c r="BM374" i="13" s="1"/>
  <c r="AI374" i="13"/>
  <c r="AT374" i="13" s="1"/>
  <c r="Z374" i="13"/>
  <c r="AB374" i="13" s="1"/>
  <c r="T374" i="13"/>
  <c r="P374" i="13"/>
  <c r="K374" i="13"/>
  <c r="E374" i="13"/>
  <c r="D374" i="13"/>
  <c r="C374" i="13"/>
  <c r="B374" i="13"/>
  <c r="BD373" i="13"/>
  <c r="BW373" i="13" s="1"/>
  <c r="AI373" i="13"/>
  <c r="AX373" i="13" s="1"/>
  <c r="Z373" i="13"/>
  <c r="AB373" i="13" s="1"/>
  <c r="T373" i="13"/>
  <c r="U373" i="13" s="1"/>
  <c r="W373" i="13" s="1"/>
  <c r="P373" i="13"/>
  <c r="K373" i="13"/>
  <c r="E373" i="13"/>
  <c r="D373" i="13"/>
  <c r="C373" i="13"/>
  <c r="B373" i="13"/>
  <c r="BD372" i="13"/>
  <c r="AI372" i="13"/>
  <c r="Z372" i="13"/>
  <c r="AB372" i="13" s="1"/>
  <c r="T372" i="13"/>
  <c r="P372" i="13"/>
  <c r="K372" i="13"/>
  <c r="E372" i="13"/>
  <c r="D372" i="13"/>
  <c r="C372" i="13"/>
  <c r="B372" i="13"/>
  <c r="BD371" i="13"/>
  <c r="BP371" i="13" s="1"/>
  <c r="AI371" i="13"/>
  <c r="AK371" i="13" s="1"/>
  <c r="Z371" i="13"/>
  <c r="T371" i="13"/>
  <c r="P371" i="13"/>
  <c r="K371" i="13"/>
  <c r="E371" i="13"/>
  <c r="D371" i="13"/>
  <c r="C371" i="13"/>
  <c r="B371" i="13"/>
  <c r="BD370" i="13"/>
  <c r="BQ370" i="13" s="1"/>
  <c r="AI370" i="13"/>
  <c r="Z370" i="13"/>
  <c r="AB370" i="13" s="1"/>
  <c r="T370" i="13"/>
  <c r="U370" i="13" s="1"/>
  <c r="W370" i="13" s="1"/>
  <c r="P370" i="13"/>
  <c r="K370" i="13"/>
  <c r="E370" i="13"/>
  <c r="D370" i="13"/>
  <c r="C370" i="13"/>
  <c r="B370" i="13"/>
  <c r="BD369" i="13"/>
  <c r="BT369" i="13" s="1"/>
  <c r="AI369" i="13"/>
  <c r="Z369" i="13"/>
  <c r="T369" i="13"/>
  <c r="V369" i="13" s="1"/>
  <c r="P369" i="13"/>
  <c r="K369" i="13"/>
  <c r="E369" i="13"/>
  <c r="D369" i="13"/>
  <c r="C369" i="13"/>
  <c r="B369" i="13"/>
  <c r="BD368" i="13"/>
  <c r="AI368" i="13"/>
  <c r="AL368" i="13" s="1"/>
  <c r="Z368" i="13"/>
  <c r="AB368" i="13" s="1"/>
  <c r="T368" i="13"/>
  <c r="V368" i="13" s="1"/>
  <c r="P368" i="13"/>
  <c r="K368" i="13"/>
  <c r="E368" i="13"/>
  <c r="D368" i="13"/>
  <c r="C368" i="13"/>
  <c r="B368" i="13"/>
  <c r="BD367" i="13"/>
  <c r="BQ367" i="13" s="1"/>
  <c r="AI367" i="13"/>
  <c r="BB367" i="13" s="1"/>
  <c r="Z367" i="13"/>
  <c r="AB367" i="13" s="1"/>
  <c r="T367" i="13"/>
  <c r="V367" i="13" s="1"/>
  <c r="P367" i="13"/>
  <c r="K367" i="13"/>
  <c r="E367" i="13"/>
  <c r="D367" i="13"/>
  <c r="C367" i="13"/>
  <c r="B367" i="13"/>
  <c r="BD366" i="13"/>
  <c r="BW366" i="13" s="1"/>
  <c r="AI366" i="13"/>
  <c r="Z366" i="13"/>
  <c r="AB366" i="13" s="1"/>
  <c r="T366" i="13"/>
  <c r="P366" i="13"/>
  <c r="K366" i="13"/>
  <c r="E366" i="13"/>
  <c r="D366" i="13"/>
  <c r="C366" i="13"/>
  <c r="B366" i="13"/>
  <c r="BD365" i="13"/>
  <c r="BN365" i="13" s="1"/>
  <c r="AI365" i="13"/>
  <c r="Z365" i="13"/>
  <c r="AB365" i="13" s="1"/>
  <c r="T365" i="13"/>
  <c r="U365" i="13" s="1"/>
  <c r="W365" i="13" s="1"/>
  <c r="P365" i="13"/>
  <c r="K365" i="13"/>
  <c r="E365" i="13"/>
  <c r="D365" i="13"/>
  <c r="C365" i="13"/>
  <c r="B365" i="13"/>
  <c r="BD364" i="13"/>
  <c r="BL364" i="13" s="1"/>
  <c r="AI364" i="13"/>
  <c r="BB364" i="13" s="1"/>
  <c r="Z364" i="13"/>
  <c r="AB364" i="13" s="1"/>
  <c r="T364" i="13"/>
  <c r="P364" i="13"/>
  <c r="K364" i="13"/>
  <c r="E364" i="13"/>
  <c r="D364" i="13"/>
  <c r="C364" i="13"/>
  <c r="B364" i="13"/>
  <c r="BD363" i="13"/>
  <c r="BL363" i="13" s="1"/>
  <c r="AI363" i="13"/>
  <c r="BB363" i="13" s="1"/>
  <c r="Z363" i="13"/>
  <c r="T363" i="13"/>
  <c r="U363" i="13" s="1"/>
  <c r="W363" i="13" s="1"/>
  <c r="P363" i="13"/>
  <c r="K363" i="13"/>
  <c r="E363" i="13"/>
  <c r="D363" i="13"/>
  <c r="C363" i="13"/>
  <c r="B363" i="13"/>
  <c r="BD362" i="13"/>
  <c r="BO362" i="13" s="1"/>
  <c r="AI362" i="13"/>
  <c r="AY362" i="13" s="1"/>
  <c r="Z362" i="13"/>
  <c r="T362" i="13"/>
  <c r="V362" i="13" s="1"/>
  <c r="P362" i="13"/>
  <c r="K362" i="13"/>
  <c r="E362" i="13"/>
  <c r="D362" i="13"/>
  <c r="C362" i="13"/>
  <c r="B362" i="13"/>
  <c r="BD361" i="13"/>
  <c r="BP361" i="13" s="1"/>
  <c r="AI361" i="13"/>
  <c r="Z361" i="13"/>
  <c r="AB361" i="13" s="1"/>
  <c r="T361" i="13"/>
  <c r="P361" i="13"/>
  <c r="K361" i="13"/>
  <c r="E361" i="13"/>
  <c r="D361" i="13"/>
  <c r="C361" i="13"/>
  <c r="B361" i="13"/>
  <c r="BD360" i="13"/>
  <c r="BV360" i="13" s="1"/>
  <c r="AI360" i="13"/>
  <c r="AW360" i="13" s="1"/>
  <c r="Z360" i="13"/>
  <c r="AB360" i="13" s="1"/>
  <c r="T360" i="13"/>
  <c r="U360" i="13" s="1"/>
  <c r="W360" i="13" s="1"/>
  <c r="P360" i="13"/>
  <c r="K360" i="13"/>
  <c r="E360" i="13"/>
  <c r="D360" i="13"/>
  <c r="C360" i="13"/>
  <c r="B360" i="13"/>
  <c r="BD359" i="13"/>
  <c r="BS359" i="13" s="1"/>
  <c r="AI359" i="13"/>
  <c r="AZ359" i="13" s="1"/>
  <c r="Z359" i="13"/>
  <c r="AB359" i="13" s="1"/>
  <c r="T359" i="13"/>
  <c r="V359" i="13" s="1"/>
  <c r="P359" i="13"/>
  <c r="K359" i="13"/>
  <c r="E359" i="13"/>
  <c r="D359" i="13"/>
  <c r="C359" i="13"/>
  <c r="B359" i="13"/>
  <c r="BD358" i="13"/>
  <c r="BL358" i="13" s="1"/>
  <c r="AI358" i="13"/>
  <c r="AY358" i="13" s="1"/>
  <c r="Z358" i="13"/>
  <c r="AB358" i="13" s="1"/>
  <c r="T358" i="13"/>
  <c r="V358" i="13" s="1"/>
  <c r="P358" i="13"/>
  <c r="K358" i="13"/>
  <c r="E358" i="13"/>
  <c r="D358" i="13"/>
  <c r="C358" i="13"/>
  <c r="B358" i="13"/>
  <c r="BD357" i="13"/>
  <c r="AI357" i="13"/>
  <c r="Z357" i="13"/>
  <c r="AB357" i="13" s="1"/>
  <c r="T357" i="13"/>
  <c r="V357" i="13" s="1"/>
  <c r="P357" i="13"/>
  <c r="K357" i="13"/>
  <c r="E357" i="13"/>
  <c r="D357" i="13"/>
  <c r="C357" i="13"/>
  <c r="B357" i="13"/>
  <c r="BD356" i="13"/>
  <c r="BV356" i="13" s="1"/>
  <c r="AI356" i="13"/>
  <c r="Z356" i="13"/>
  <c r="AA356" i="13" s="1"/>
  <c r="AC356" i="13" s="1"/>
  <c r="T356" i="13"/>
  <c r="V356" i="13" s="1"/>
  <c r="P356" i="13"/>
  <c r="K356" i="13"/>
  <c r="E356" i="13"/>
  <c r="D356" i="13"/>
  <c r="C356" i="13"/>
  <c r="B356" i="13"/>
  <c r="BD355" i="13"/>
  <c r="BU355" i="13" s="1"/>
  <c r="AI355" i="13"/>
  <c r="AY355" i="13" s="1"/>
  <c r="Z355" i="13"/>
  <c r="T355" i="13"/>
  <c r="V355" i="13" s="1"/>
  <c r="P355" i="13"/>
  <c r="K355" i="13"/>
  <c r="E355" i="13"/>
  <c r="D355" i="13"/>
  <c r="C355" i="13"/>
  <c r="B355" i="13"/>
  <c r="BD354" i="13"/>
  <c r="BT354" i="13" s="1"/>
  <c r="AI354" i="13"/>
  <c r="AQ354" i="13" s="1"/>
  <c r="Z354" i="13"/>
  <c r="T354" i="13"/>
  <c r="V354" i="13" s="1"/>
  <c r="P354" i="13"/>
  <c r="K354" i="13"/>
  <c r="E354" i="13"/>
  <c r="D354" i="13"/>
  <c r="C354" i="13"/>
  <c r="B354" i="13"/>
  <c r="BD353" i="13"/>
  <c r="BV353" i="13" s="1"/>
  <c r="AI353" i="13"/>
  <c r="Z353" i="13"/>
  <c r="AB353" i="13" s="1"/>
  <c r="T353" i="13"/>
  <c r="P353" i="13"/>
  <c r="K353" i="13"/>
  <c r="E353" i="13"/>
  <c r="D353" i="13"/>
  <c r="C353" i="13"/>
  <c r="B353" i="13"/>
  <c r="BD352" i="13"/>
  <c r="BR352" i="13" s="1"/>
  <c r="AI352" i="13"/>
  <c r="Z352" i="13"/>
  <c r="AB352" i="13" s="1"/>
  <c r="T352" i="13"/>
  <c r="V352" i="13" s="1"/>
  <c r="P352" i="13"/>
  <c r="K352" i="13"/>
  <c r="E352" i="13"/>
  <c r="D352" i="13"/>
  <c r="C352" i="13"/>
  <c r="B352" i="13"/>
  <c r="BD351" i="13"/>
  <c r="BT351" i="13" s="1"/>
  <c r="AI351" i="13"/>
  <c r="AQ351" i="13" s="1"/>
  <c r="Z351" i="13"/>
  <c r="AB351" i="13" s="1"/>
  <c r="T351" i="13"/>
  <c r="V351" i="13" s="1"/>
  <c r="P351" i="13"/>
  <c r="K351" i="13"/>
  <c r="E351" i="13"/>
  <c r="D351" i="13"/>
  <c r="C351" i="13"/>
  <c r="B351" i="13"/>
  <c r="BD350" i="13"/>
  <c r="BT350" i="13" s="1"/>
  <c r="AI350" i="13"/>
  <c r="AM350" i="13" s="1"/>
  <c r="Z350" i="13"/>
  <c r="AB350" i="13" s="1"/>
  <c r="T350" i="13"/>
  <c r="V350" i="13" s="1"/>
  <c r="P350" i="13"/>
  <c r="K350" i="13"/>
  <c r="E350" i="13"/>
  <c r="D350" i="13"/>
  <c r="C350" i="13"/>
  <c r="B350" i="13"/>
  <c r="BD349" i="13"/>
  <c r="BS349" i="13" s="1"/>
  <c r="AI349" i="13"/>
  <c r="BA349" i="13" s="1"/>
  <c r="Z349" i="13"/>
  <c r="AB349" i="13" s="1"/>
  <c r="T349" i="13"/>
  <c r="P349" i="13"/>
  <c r="K349" i="13"/>
  <c r="E349" i="13"/>
  <c r="D349" i="13"/>
  <c r="C349" i="13"/>
  <c r="B349" i="13"/>
  <c r="BD348" i="13"/>
  <c r="AI348" i="13"/>
  <c r="AW348" i="13" s="1"/>
  <c r="Z348" i="13"/>
  <c r="AB348" i="13" s="1"/>
  <c r="T348" i="13"/>
  <c r="V348" i="13" s="1"/>
  <c r="P348" i="13"/>
  <c r="K348" i="13"/>
  <c r="E348" i="13"/>
  <c r="D348" i="13"/>
  <c r="C348" i="13"/>
  <c r="B348" i="13"/>
  <c r="BD347" i="13"/>
  <c r="BL347" i="13" s="1"/>
  <c r="AI347" i="13"/>
  <c r="Z347" i="13"/>
  <c r="AB347" i="13" s="1"/>
  <c r="T347" i="13"/>
  <c r="V347" i="13" s="1"/>
  <c r="P347" i="13"/>
  <c r="K347" i="13"/>
  <c r="E347" i="13"/>
  <c r="D347" i="13"/>
  <c r="C347" i="13"/>
  <c r="B347" i="13"/>
  <c r="BD346" i="13"/>
  <c r="BT346" i="13" s="1"/>
  <c r="AI346" i="13"/>
  <c r="AO346" i="13" s="1"/>
  <c r="Z346" i="13"/>
  <c r="T346" i="13"/>
  <c r="V346" i="13" s="1"/>
  <c r="P346" i="13"/>
  <c r="K346" i="13"/>
  <c r="E346" i="13"/>
  <c r="D346" i="13"/>
  <c r="C346" i="13"/>
  <c r="B346" i="13"/>
  <c r="BD345" i="13"/>
  <c r="BE345" i="13" s="1"/>
  <c r="AI345" i="13"/>
  <c r="AJ345" i="13" s="1"/>
  <c r="Z345" i="13"/>
  <c r="AB345" i="13" s="1"/>
  <c r="T345" i="13"/>
  <c r="P345" i="13"/>
  <c r="K345" i="13"/>
  <c r="E345" i="13"/>
  <c r="D345" i="13"/>
  <c r="C345" i="13"/>
  <c r="B345" i="13"/>
  <c r="BD344" i="13"/>
  <c r="BU344" i="13" s="1"/>
  <c r="AI344" i="13"/>
  <c r="BA344" i="13" s="1"/>
  <c r="Z344" i="13"/>
  <c r="AB344" i="13" s="1"/>
  <c r="T344" i="13"/>
  <c r="U344" i="13" s="1"/>
  <c r="W344" i="13" s="1"/>
  <c r="P344" i="13"/>
  <c r="K344" i="13"/>
  <c r="E344" i="13"/>
  <c r="D344" i="13"/>
  <c r="C344" i="13"/>
  <c r="B344" i="13"/>
  <c r="BD343" i="13"/>
  <c r="AI343" i="13"/>
  <c r="AZ343" i="13" s="1"/>
  <c r="Z343" i="13"/>
  <c r="AB343" i="13" s="1"/>
  <c r="T343" i="13"/>
  <c r="V343" i="13" s="1"/>
  <c r="P343" i="13"/>
  <c r="K343" i="13"/>
  <c r="E343" i="13"/>
  <c r="D343" i="13"/>
  <c r="C343" i="13"/>
  <c r="B343" i="13"/>
  <c r="BD342" i="13"/>
  <c r="AI342" i="13"/>
  <c r="AY342" i="13" s="1"/>
  <c r="Z342" i="13"/>
  <c r="T342" i="13"/>
  <c r="P342" i="13"/>
  <c r="K342" i="13"/>
  <c r="E342" i="13"/>
  <c r="D342" i="13"/>
  <c r="C342" i="13"/>
  <c r="B342" i="13"/>
  <c r="BD341" i="13"/>
  <c r="BS341" i="13" s="1"/>
  <c r="AI341" i="13"/>
  <c r="AJ341" i="13" s="1"/>
  <c r="Z341" i="13"/>
  <c r="AB341" i="13" s="1"/>
  <c r="T341" i="13"/>
  <c r="P341" i="13"/>
  <c r="K341" i="13"/>
  <c r="E341" i="13"/>
  <c r="D341" i="13"/>
  <c r="C341" i="13"/>
  <c r="B341" i="13"/>
  <c r="BD340" i="13"/>
  <c r="BV340" i="13" s="1"/>
  <c r="AI340" i="13"/>
  <c r="Z340" i="13"/>
  <c r="AB340" i="13" s="1"/>
  <c r="T340" i="13"/>
  <c r="V340" i="13" s="1"/>
  <c r="P340" i="13"/>
  <c r="K340" i="13"/>
  <c r="E340" i="13"/>
  <c r="D340" i="13"/>
  <c r="C340" i="13"/>
  <c r="B340" i="13"/>
  <c r="BD339" i="13"/>
  <c r="BT339" i="13" s="1"/>
  <c r="AI339" i="13"/>
  <c r="AY339" i="13" s="1"/>
  <c r="Z339" i="13"/>
  <c r="AA339" i="13" s="1"/>
  <c r="AC339" i="13" s="1"/>
  <c r="T339" i="13"/>
  <c r="U339" i="13" s="1"/>
  <c r="W339" i="13" s="1"/>
  <c r="P339" i="13"/>
  <c r="K339" i="13"/>
  <c r="E339" i="13"/>
  <c r="D339" i="13"/>
  <c r="C339" i="13"/>
  <c r="B339" i="13"/>
  <c r="BD338" i="13"/>
  <c r="BT338" i="13" s="1"/>
  <c r="AI338" i="13"/>
  <c r="AY338" i="13" s="1"/>
  <c r="Z338" i="13"/>
  <c r="T338" i="13"/>
  <c r="V338" i="13" s="1"/>
  <c r="P338" i="13"/>
  <c r="K338" i="13"/>
  <c r="E338" i="13"/>
  <c r="D338" i="13"/>
  <c r="C338" i="13"/>
  <c r="B338" i="13"/>
  <c r="BD337" i="13"/>
  <c r="BV337" i="13" s="1"/>
  <c r="AI337" i="13"/>
  <c r="AX337" i="13" s="1"/>
  <c r="Z337" i="13"/>
  <c r="AA337" i="13" s="1"/>
  <c r="AC337" i="13" s="1"/>
  <c r="T337" i="13"/>
  <c r="P337" i="13"/>
  <c r="K337" i="13"/>
  <c r="E337" i="13"/>
  <c r="D337" i="13"/>
  <c r="C337" i="13"/>
  <c r="B337" i="13"/>
  <c r="BD336" i="13"/>
  <c r="BU336" i="13" s="1"/>
  <c r="AI336" i="13"/>
  <c r="BA336" i="13" s="1"/>
  <c r="Z336" i="13"/>
  <c r="AB336" i="13" s="1"/>
  <c r="T336" i="13"/>
  <c r="V336" i="13" s="1"/>
  <c r="P336" i="13"/>
  <c r="K336" i="13"/>
  <c r="E336" i="13"/>
  <c r="D336" i="13"/>
  <c r="C336" i="13"/>
  <c r="B336" i="13"/>
  <c r="BD335" i="13"/>
  <c r="AI335" i="13"/>
  <c r="AX335" i="13" s="1"/>
  <c r="Z335" i="13"/>
  <c r="AB335" i="13" s="1"/>
  <c r="T335" i="13"/>
  <c r="V335" i="13" s="1"/>
  <c r="P335" i="13"/>
  <c r="K335" i="13"/>
  <c r="E335" i="13"/>
  <c r="D335" i="13"/>
  <c r="C335" i="13"/>
  <c r="B335" i="13"/>
  <c r="BD334" i="13"/>
  <c r="BL334" i="13" s="1"/>
  <c r="AI334" i="13"/>
  <c r="AY334" i="13" s="1"/>
  <c r="Z334" i="13"/>
  <c r="T334" i="13"/>
  <c r="V334" i="13" s="1"/>
  <c r="P334" i="13"/>
  <c r="K334" i="13"/>
  <c r="E334" i="13"/>
  <c r="D334" i="13"/>
  <c r="C334" i="13"/>
  <c r="B334" i="13"/>
  <c r="BD333" i="13"/>
  <c r="AI333" i="13"/>
  <c r="BA333" i="13" s="1"/>
  <c r="Z333" i="13"/>
  <c r="AB333" i="13" s="1"/>
  <c r="T333" i="13"/>
  <c r="U333" i="13" s="1"/>
  <c r="W333" i="13" s="1"/>
  <c r="P333" i="13"/>
  <c r="K333" i="13"/>
  <c r="E333" i="13"/>
  <c r="D333" i="13"/>
  <c r="C333" i="13"/>
  <c r="B333" i="13"/>
  <c r="BD332" i="13"/>
  <c r="AI332" i="13"/>
  <c r="Z332" i="13"/>
  <c r="AA332" i="13" s="1"/>
  <c r="AC332" i="13" s="1"/>
  <c r="T332" i="13"/>
  <c r="V332" i="13" s="1"/>
  <c r="P332" i="13"/>
  <c r="K332" i="13"/>
  <c r="E332" i="13"/>
  <c r="D332" i="13"/>
  <c r="C332" i="13"/>
  <c r="B332" i="13"/>
  <c r="BD331" i="13"/>
  <c r="AI331" i="13"/>
  <c r="AY331" i="13" s="1"/>
  <c r="Z331" i="13"/>
  <c r="AB331" i="13" s="1"/>
  <c r="T331" i="13"/>
  <c r="V331" i="13" s="1"/>
  <c r="P331" i="13"/>
  <c r="K331" i="13"/>
  <c r="E331" i="13"/>
  <c r="D331" i="13"/>
  <c r="C331" i="13"/>
  <c r="B331" i="13"/>
  <c r="BD330" i="13"/>
  <c r="BT330" i="13" s="1"/>
  <c r="AI330" i="13"/>
  <c r="Z330" i="13"/>
  <c r="T330" i="13"/>
  <c r="V330" i="13" s="1"/>
  <c r="P330" i="13"/>
  <c r="K330" i="13"/>
  <c r="E330" i="13"/>
  <c r="D330" i="13"/>
  <c r="C330" i="13"/>
  <c r="B330" i="13"/>
  <c r="BD329" i="13"/>
  <c r="AI329" i="13"/>
  <c r="AX329" i="13" s="1"/>
  <c r="Z329" i="13"/>
  <c r="AB329" i="13" s="1"/>
  <c r="T329" i="13"/>
  <c r="P329" i="13"/>
  <c r="K329" i="13"/>
  <c r="E329" i="13"/>
  <c r="D329" i="13"/>
  <c r="C329" i="13"/>
  <c r="B329" i="13"/>
  <c r="BD328" i="13"/>
  <c r="BU328" i="13" s="1"/>
  <c r="AI328" i="13"/>
  <c r="BA328" i="13" s="1"/>
  <c r="Z328" i="13"/>
  <c r="AB328" i="13" s="1"/>
  <c r="T328" i="13"/>
  <c r="P328" i="13"/>
  <c r="K328" i="13"/>
  <c r="E328" i="13"/>
  <c r="D328" i="13"/>
  <c r="C328" i="13"/>
  <c r="B328" i="13"/>
  <c r="BD327" i="13"/>
  <c r="AI327" i="13"/>
  <c r="AP327" i="13" s="1"/>
  <c r="Z327" i="13"/>
  <c r="AB327" i="13" s="1"/>
  <c r="T327" i="13"/>
  <c r="V327" i="13" s="1"/>
  <c r="P327" i="13"/>
  <c r="K327" i="13"/>
  <c r="E327" i="13"/>
  <c r="D327" i="13"/>
  <c r="C327" i="13"/>
  <c r="B327" i="13"/>
  <c r="BD326" i="13"/>
  <c r="BT326" i="13" s="1"/>
  <c r="AI326" i="13"/>
  <c r="AY326" i="13" s="1"/>
  <c r="Z326" i="13"/>
  <c r="AB326" i="13" s="1"/>
  <c r="T326" i="13"/>
  <c r="V326" i="13" s="1"/>
  <c r="P326" i="13"/>
  <c r="K326" i="13"/>
  <c r="E326" i="13"/>
  <c r="D326" i="13"/>
  <c r="C326" i="13"/>
  <c r="B326" i="13"/>
  <c r="BD325" i="13"/>
  <c r="BS325" i="13" s="1"/>
  <c r="AI325" i="13"/>
  <c r="AJ325" i="13" s="1"/>
  <c r="Z325" i="13"/>
  <c r="AB325" i="13" s="1"/>
  <c r="T325" i="13"/>
  <c r="U325" i="13" s="1"/>
  <c r="W325" i="13" s="1"/>
  <c r="P325" i="13"/>
  <c r="K325" i="13"/>
  <c r="E325" i="13"/>
  <c r="D325" i="13"/>
  <c r="C325" i="13"/>
  <c r="B325" i="13"/>
  <c r="BD324" i="13"/>
  <c r="BV324" i="13" s="1"/>
  <c r="AI324" i="13"/>
  <c r="AK324" i="13" s="1"/>
  <c r="Z324" i="13"/>
  <c r="AB324" i="13" s="1"/>
  <c r="T324" i="13"/>
  <c r="V324" i="13" s="1"/>
  <c r="P324" i="13"/>
  <c r="K324" i="13"/>
  <c r="E324" i="13"/>
  <c r="D324" i="13"/>
  <c r="C324" i="13"/>
  <c r="B324" i="13"/>
  <c r="BD323" i="13"/>
  <c r="BS323" i="13" s="1"/>
  <c r="AI323" i="13"/>
  <c r="Z323" i="13"/>
  <c r="AA323" i="13" s="1"/>
  <c r="AC323" i="13" s="1"/>
  <c r="T323" i="13"/>
  <c r="P323" i="13"/>
  <c r="K323" i="13"/>
  <c r="E323" i="13"/>
  <c r="D323" i="13"/>
  <c r="C323" i="13"/>
  <c r="B323" i="13"/>
  <c r="BD322" i="13"/>
  <c r="AI322" i="13"/>
  <c r="AP322" i="13" s="1"/>
  <c r="Z322" i="13"/>
  <c r="T322" i="13"/>
  <c r="V322" i="13" s="1"/>
  <c r="P322" i="13"/>
  <c r="K322" i="13"/>
  <c r="E322" i="13"/>
  <c r="D322" i="13"/>
  <c r="C322" i="13"/>
  <c r="B322" i="13"/>
  <c r="BD321" i="13"/>
  <c r="BV321" i="13" s="1"/>
  <c r="AI321" i="13"/>
  <c r="AX321" i="13" s="1"/>
  <c r="Z321" i="13"/>
  <c r="T321" i="13"/>
  <c r="P321" i="13"/>
  <c r="K321" i="13"/>
  <c r="E321" i="13"/>
  <c r="D321" i="13"/>
  <c r="C321" i="13"/>
  <c r="B321" i="13"/>
  <c r="BD320" i="13"/>
  <c r="AI320" i="13"/>
  <c r="Z320" i="13"/>
  <c r="AB320" i="13" s="1"/>
  <c r="T320" i="13"/>
  <c r="U320" i="13" s="1"/>
  <c r="W320" i="13" s="1"/>
  <c r="P320" i="13"/>
  <c r="K320" i="13"/>
  <c r="E320" i="13"/>
  <c r="D320" i="13"/>
  <c r="C320" i="13"/>
  <c r="B320" i="13"/>
  <c r="BD319" i="13"/>
  <c r="BN319" i="13" s="1"/>
  <c r="AI319" i="13"/>
  <c r="BB319" i="13" s="1"/>
  <c r="Z319" i="13"/>
  <c r="AB319" i="13" s="1"/>
  <c r="T319" i="13"/>
  <c r="P319" i="13"/>
  <c r="K319" i="13"/>
  <c r="E319" i="13"/>
  <c r="D319" i="13"/>
  <c r="C319" i="13"/>
  <c r="B319" i="13"/>
  <c r="BD318" i="13"/>
  <c r="BS318" i="13" s="1"/>
  <c r="AI318" i="13"/>
  <c r="AJ318" i="13" s="1"/>
  <c r="Z318" i="13"/>
  <c r="AB318" i="13" s="1"/>
  <c r="T318" i="13"/>
  <c r="P318" i="13"/>
  <c r="K318" i="13"/>
  <c r="E318" i="13"/>
  <c r="D318" i="13"/>
  <c r="C318" i="13"/>
  <c r="B318" i="13"/>
  <c r="BD317" i="13"/>
  <c r="BS317" i="13" s="1"/>
  <c r="AI317" i="13"/>
  <c r="BA317" i="13" s="1"/>
  <c r="Z317" i="13"/>
  <c r="AB317" i="13" s="1"/>
  <c r="T317" i="13"/>
  <c r="V317" i="13" s="1"/>
  <c r="P317" i="13"/>
  <c r="K317" i="13"/>
  <c r="E317" i="13"/>
  <c r="D317" i="13"/>
  <c r="C317" i="13"/>
  <c r="B317" i="13"/>
  <c r="BD316" i="13"/>
  <c r="BH316" i="13" s="1"/>
  <c r="AI316" i="13"/>
  <c r="Z316" i="13"/>
  <c r="AA316" i="13" s="1"/>
  <c r="AC316" i="13" s="1"/>
  <c r="T316" i="13"/>
  <c r="V316" i="13" s="1"/>
  <c r="P316" i="13"/>
  <c r="K316" i="13"/>
  <c r="E316" i="13"/>
  <c r="D316" i="13"/>
  <c r="C316" i="13"/>
  <c r="B316" i="13"/>
  <c r="BD315" i="13"/>
  <c r="BT315" i="13" s="1"/>
  <c r="AI315" i="13"/>
  <c r="AN315" i="13" s="1"/>
  <c r="Z315" i="13"/>
  <c r="AB315" i="13" s="1"/>
  <c r="T315" i="13"/>
  <c r="V315" i="13" s="1"/>
  <c r="P315" i="13"/>
  <c r="K315" i="13"/>
  <c r="E315" i="13"/>
  <c r="D315" i="13"/>
  <c r="C315" i="13"/>
  <c r="B315" i="13"/>
  <c r="BD314" i="13"/>
  <c r="BT314" i="13" s="1"/>
  <c r="AI314" i="13"/>
  <c r="AS314" i="13" s="1"/>
  <c r="Z314" i="13"/>
  <c r="AA314" i="13" s="1"/>
  <c r="AC314" i="13" s="1"/>
  <c r="T314" i="13"/>
  <c r="V314" i="13" s="1"/>
  <c r="P314" i="13"/>
  <c r="K314" i="13"/>
  <c r="E314" i="13"/>
  <c r="D314" i="13"/>
  <c r="C314" i="13"/>
  <c r="B314" i="13"/>
  <c r="BD313" i="13"/>
  <c r="BV313" i="13" s="1"/>
  <c r="AI313" i="13"/>
  <c r="AN313" i="13" s="1"/>
  <c r="Z313" i="13"/>
  <c r="AB313" i="13" s="1"/>
  <c r="T313" i="13"/>
  <c r="P313" i="13"/>
  <c r="K313" i="13"/>
  <c r="E313" i="13"/>
  <c r="D313" i="13"/>
  <c r="C313" i="13"/>
  <c r="B313" i="13"/>
  <c r="BD312" i="13"/>
  <c r="BF312" i="13" s="1"/>
  <c r="AI312" i="13"/>
  <c r="AY312" i="13" s="1"/>
  <c r="Z312" i="13"/>
  <c r="T312" i="13"/>
  <c r="V312" i="13" s="1"/>
  <c r="P312" i="13"/>
  <c r="K312" i="13"/>
  <c r="E312" i="13"/>
  <c r="D312" i="13"/>
  <c r="C312" i="13"/>
  <c r="B312" i="13"/>
  <c r="BD311" i="13"/>
  <c r="BO311" i="13" s="1"/>
  <c r="AI311" i="13"/>
  <c r="AR311" i="13" s="1"/>
  <c r="Z311" i="13"/>
  <c r="AB311" i="13" s="1"/>
  <c r="T311" i="13"/>
  <c r="P311" i="13"/>
  <c r="K311" i="13"/>
  <c r="E311" i="13"/>
  <c r="D311" i="13"/>
  <c r="C311" i="13"/>
  <c r="B311" i="13"/>
  <c r="BD310" i="13"/>
  <c r="BI310" i="13" s="1"/>
  <c r="AI310" i="13"/>
  <c r="Z310" i="13"/>
  <c r="AB310" i="13" s="1"/>
  <c r="T310" i="13"/>
  <c r="V310" i="13" s="1"/>
  <c r="P310" i="13"/>
  <c r="K310" i="13"/>
  <c r="E310" i="13"/>
  <c r="D310" i="13"/>
  <c r="C310" i="13"/>
  <c r="B310" i="13"/>
  <c r="BD309" i="13"/>
  <c r="BN309" i="13" s="1"/>
  <c r="AI309" i="13"/>
  <c r="BA309" i="13" s="1"/>
  <c r="Z309" i="13"/>
  <c r="AB309" i="13" s="1"/>
  <c r="T309" i="13"/>
  <c r="U309" i="13" s="1"/>
  <c r="W309" i="13" s="1"/>
  <c r="P309" i="13"/>
  <c r="K309" i="13"/>
  <c r="E309" i="13"/>
  <c r="D309" i="13"/>
  <c r="C309" i="13"/>
  <c r="B309" i="13"/>
  <c r="BD308" i="13"/>
  <c r="BP308" i="13" s="1"/>
  <c r="AI308" i="13"/>
  <c r="Z308" i="13"/>
  <c r="AB308" i="13" s="1"/>
  <c r="T308" i="13"/>
  <c r="V308" i="13" s="1"/>
  <c r="P308" i="13"/>
  <c r="K308" i="13"/>
  <c r="E308" i="13"/>
  <c r="D308" i="13"/>
  <c r="C308" i="13"/>
  <c r="B308" i="13"/>
  <c r="BD307" i="13"/>
  <c r="BE307" i="13" s="1"/>
  <c r="AI307" i="13"/>
  <c r="AR307" i="13" s="1"/>
  <c r="Z307" i="13"/>
  <c r="AB307" i="13" s="1"/>
  <c r="T307" i="13"/>
  <c r="U307" i="13" s="1"/>
  <c r="W307" i="13" s="1"/>
  <c r="P307" i="13"/>
  <c r="K307" i="13"/>
  <c r="E307" i="13"/>
  <c r="D307" i="13"/>
  <c r="C307" i="13"/>
  <c r="B307" i="13"/>
  <c r="BD306" i="13"/>
  <c r="BU306" i="13" s="1"/>
  <c r="AI306" i="13"/>
  <c r="AY306" i="13" s="1"/>
  <c r="Z306" i="13"/>
  <c r="AA306" i="13" s="1"/>
  <c r="AC306" i="13" s="1"/>
  <c r="T306" i="13"/>
  <c r="U306" i="13" s="1"/>
  <c r="W306" i="13" s="1"/>
  <c r="P306" i="13"/>
  <c r="K306" i="13"/>
  <c r="E306" i="13"/>
  <c r="D306" i="13"/>
  <c r="C306" i="13"/>
  <c r="B306" i="13"/>
  <c r="BD305" i="13"/>
  <c r="BV305" i="13" s="1"/>
  <c r="AI305" i="13"/>
  <c r="Z305" i="13"/>
  <c r="AB305" i="13" s="1"/>
  <c r="T305" i="13"/>
  <c r="U305" i="13" s="1"/>
  <c r="W305" i="13" s="1"/>
  <c r="P305" i="13"/>
  <c r="K305" i="13"/>
  <c r="E305" i="13"/>
  <c r="D305" i="13"/>
  <c r="C305" i="13"/>
  <c r="B305" i="13"/>
  <c r="BD304" i="13"/>
  <c r="AI304" i="13"/>
  <c r="Z304" i="13"/>
  <c r="T304" i="13"/>
  <c r="P304" i="13"/>
  <c r="K304" i="13"/>
  <c r="E304" i="13"/>
  <c r="D304" i="13"/>
  <c r="C304" i="13"/>
  <c r="B304" i="13"/>
  <c r="BD303" i="13"/>
  <c r="BM303" i="13" s="1"/>
  <c r="AI303" i="13"/>
  <c r="Z303" i="13"/>
  <c r="AB303" i="13" s="1"/>
  <c r="T303" i="13"/>
  <c r="U303" i="13" s="1"/>
  <c r="W303" i="13" s="1"/>
  <c r="P303" i="13"/>
  <c r="K303" i="13"/>
  <c r="E303" i="13"/>
  <c r="D303" i="13"/>
  <c r="C303" i="13"/>
  <c r="B303" i="13"/>
  <c r="BD302" i="13"/>
  <c r="BL302" i="13" s="1"/>
  <c r="AI302" i="13"/>
  <c r="BA302" i="13" s="1"/>
  <c r="Z302" i="13"/>
  <c r="AB302" i="13" s="1"/>
  <c r="T302" i="13"/>
  <c r="V302" i="13" s="1"/>
  <c r="P302" i="13"/>
  <c r="K302" i="13"/>
  <c r="E302" i="13"/>
  <c r="D302" i="13"/>
  <c r="C302" i="13"/>
  <c r="B302" i="13"/>
  <c r="BD301" i="13"/>
  <c r="BU301" i="13" s="1"/>
  <c r="AI301" i="13"/>
  <c r="AT301" i="13" s="1"/>
  <c r="Z301" i="13"/>
  <c r="AB301" i="13" s="1"/>
  <c r="T301" i="13"/>
  <c r="V301" i="13" s="1"/>
  <c r="P301" i="13"/>
  <c r="K301" i="13"/>
  <c r="E301" i="13"/>
  <c r="D301" i="13"/>
  <c r="C301" i="13"/>
  <c r="B301" i="13"/>
  <c r="BD300" i="13"/>
  <c r="BN300" i="13" s="1"/>
  <c r="AI300" i="13"/>
  <c r="AY300" i="13" s="1"/>
  <c r="Z300" i="13"/>
  <c r="AB300" i="13" s="1"/>
  <c r="T300" i="13"/>
  <c r="V300" i="13" s="1"/>
  <c r="P300" i="13"/>
  <c r="K300" i="13"/>
  <c r="E300" i="13"/>
  <c r="D300" i="13"/>
  <c r="C300" i="13"/>
  <c r="B300" i="13"/>
  <c r="BD299" i="13"/>
  <c r="AI299" i="13"/>
  <c r="AJ299" i="13" s="1"/>
  <c r="Z299" i="13"/>
  <c r="AB299" i="13" s="1"/>
  <c r="T299" i="13"/>
  <c r="V299" i="13" s="1"/>
  <c r="P299" i="13"/>
  <c r="K299" i="13"/>
  <c r="E299" i="13"/>
  <c r="D299" i="13"/>
  <c r="C299" i="13"/>
  <c r="B299" i="13"/>
  <c r="BD298" i="13"/>
  <c r="AI298" i="13"/>
  <c r="BA298" i="13" s="1"/>
  <c r="Z298" i="13"/>
  <c r="AA298" i="13" s="1"/>
  <c r="AC298" i="13" s="1"/>
  <c r="T298" i="13"/>
  <c r="V298" i="13" s="1"/>
  <c r="P298" i="13"/>
  <c r="K298" i="13"/>
  <c r="E298" i="13"/>
  <c r="D298" i="13"/>
  <c r="C298" i="13"/>
  <c r="B298" i="13"/>
  <c r="BD297" i="13"/>
  <c r="AI297" i="13"/>
  <c r="AR297" i="13" s="1"/>
  <c r="Z297" i="13"/>
  <c r="AA297" i="13" s="1"/>
  <c r="AC297" i="13" s="1"/>
  <c r="T297" i="13"/>
  <c r="U297" i="13" s="1"/>
  <c r="W297" i="13" s="1"/>
  <c r="P297" i="13"/>
  <c r="K297" i="13"/>
  <c r="E297" i="13"/>
  <c r="D297" i="13"/>
  <c r="C297" i="13"/>
  <c r="B297" i="13"/>
  <c r="BD296" i="13"/>
  <c r="BR296" i="13" s="1"/>
  <c r="AI296" i="13"/>
  <c r="AV296" i="13" s="1"/>
  <c r="Z296" i="13"/>
  <c r="AA296" i="13" s="1"/>
  <c r="AC296" i="13" s="1"/>
  <c r="T296" i="13"/>
  <c r="P296" i="13"/>
  <c r="K296" i="13"/>
  <c r="E296" i="13"/>
  <c r="D296" i="13"/>
  <c r="C296" i="13"/>
  <c r="B296" i="13"/>
  <c r="BD295" i="13"/>
  <c r="AI295" i="13"/>
  <c r="Z295" i="13"/>
  <c r="T295" i="13"/>
  <c r="U295" i="13" s="1"/>
  <c r="W295" i="13" s="1"/>
  <c r="P295" i="13"/>
  <c r="K295" i="13"/>
  <c r="E295" i="13"/>
  <c r="D295" i="13"/>
  <c r="C295" i="13"/>
  <c r="B295" i="13"/>
  <c r="BD294" i="13"/>
  <c r="BV294" i="13" s="1"/>
  <c r="AI294" i="13"/>
  <c r="BB294" i="13" s="1"/>
  <c r="Z294" i="13"/>
  <c r="AB294" i="13" s="1"/>
  <c r="T294" i="13"/>
  <c r="V294" i="13" s="1"/>
  <c r="P294" i="13"/>
  <c r="K294" i="13"/>
  <c r="E294" i="13"/>
  <c r="D294" i="13"/>
  <c r="C294" i="13"/>
  <c r="B294" i="13"/>
  <c r="BD293" i="13"/>
  <c r="BV293" i="13" s="1"/>
  <c r="AI293" i="13"/>
  <c r="AR293" i="13" s="1"/>
  <c r="Z293" i="13"/>
  <c r="AB293" i="13" s="1"/>
  <c r="T293" i="13"/>
  <c r="V293" i="13" s="1"/>
  <c r="P293" i="13"/>
  <c r="K293" i="13"/>
  <c r="E293" i="13"/>
  <c r="D293" i="13"/>
  <c r="C293" i="13"/>
  <c r="B293" i="13"/>
  <c r="BD292" i="13"/>
  <c r="BP292" i="13" s="1"/>
  <c r="AI292" i="13"/>
  <c r="BA292" i="13" s="1"/>
  <c r="Z292" i="13"/>
  <c r="AB292" i="13" s="1"/>
  <c r="T292" i="13"/>
  <c r="V292" i="13" s="1"/>
  <c r="P292" i="13"/>
  <c r="K292" i="13"/>
  <c r="E292" i="13"/>
  <c r="D292" i="13"/>
  <c r="C292" i="13"/>
  <c r="B292" i="13"/>
  <c r="BD291" i="13"/>
  <c r="BW291" i="13" s="1"/>
  <c r="AI291" i="13"/>
  <c r="AT291" i="13" s="1"/>
  <c r="Z291" i="13"/>
  <c r="T291" i="13"/>
  <c r="U291" i="13" s="1"/>
  <c r="W291" i="13" s="1"/>
  <c r="P291" i="13"/>
  <c r="K291" i="13"/>
  <c r="E291" i="13"/>
  <c r="D291" i="13"/>
  <c r="C291" i="13"/>
  <c r="B291" i="13"/>
  <c r="BD290" i="13"/>
  <c r="AI290" i="13"/>
  <c r="AQ290" i="13" s="1"/>
  <c r="Z290" i="13"/>
  <c r="AA290" i="13" s="1"/>
  <c r="AC290" i="13" s="1"/>
  <c r="T290" i="13"/>
  <c r="V290" i="13" s="1"/>
  <c r="P290" i="13"/>
  <c r="K290" i="13"/>
  <c r="E290" i="13"/>
  <c r="D290" i="13"/>
  <c r="C290" i="13"/>
  <c r="B290" i="13"/>
  <c r="BD289" i="13"/>
  <c r="BQ289" i="13" s="1"/>
  <c r="AI289" i="13"/>
  <c r="BA289" i="13" s="1"/>
  <c r="Z289" i="13"/>
  <c r="AB289" i="13" s="1"/>
  <c r="T289" i="13"/>
  <c r="U289" i="13" s="1"/>
  <c r="W289" i="13" s="1"/>
  <c r="P289" i="13"/>
  <c r="K289" i="13"/>
  <c r="E289" i="13"/>
  <c r="D289" i="13"/>
  <c r="C289" i="13"/>
  <c r="B289" i="13"/>
  <c r="BD288" i="13"/>
  <c r="BK288" i="13" s="1"/>
  <c r="AI288" i="13"/>
  <c r="Z288" i="13"/>
  <c r="AA288" i="13" s="1"/>
  <c r="AC288" i="13" s="1"/>
  <c r="T288" i="13"/>
  <c r="P288" i="13"/>
  <c r="K288" i="13"/>
  <c r="E288" i="13"/>
  <c r="D288" i="13"/>
  <c r="C288" i="13"/>
  <c r="B288" i="13"/>
  <c r="BD287" i="13"/>
  <c r="BU287" i="13" s="1"/>
  <c r="AI287" i="13"/>
  <c r="AN287" i="13" s="1"/>
  <c r="Z287" i="13"/>
  <c r="AB287" i="13" s="1"/>
  <c r="T287" i="13"/>
  <c r="U287" i="13" s="1"/>
  <c r="W287" i="13" s="1"/>
  <c r="P287" i="13"/>
  <c r="K287" i="13"/>
  <c r="E287" i="13"/>
  <c r="D287" i="13"/>
  <c r="C287" i="13"/>
  <c r="B287" i="13"/>
  <c r="BD286" i="13"/>
  <c r="AI286" i="13"/>
  <c r="AZ286" i="13" s="1"/>
  <c r="Z286" i="13"/>
  <c r="AA286" i="13" s="1"/>
  <c r="AC286" i="13" s="1"/>
  <c r="T286" i="13"/>
  <c r="V286" i="13" s="1"/>
  <c r="P286" i="13"/>
  <c r="K286" i="13"/>
  <c r="E286" i="13"/>
  <c r="D286" i="13"/>
  <c r="C286" i="13"/>
  <c r="B286" i="13"/>
  <c r="BD285" i="13"/>
  <c r="BQ285" i="13" s="1"/>
  <c r="AI285" i="13"/>
  <c r="AN285" i="13" s="1"/>
  <c r="Z285" i="13"/>
  <c r="AB285" i="13" s="1"/>
  <c r="T285" i="13"/>
  <c r="V285" i="13" s="1"/>
  <c r="P285" i="13"/>
  <c r="K285" i="13"/>
  <c r="E285" i="13"/>
  <c r="D285" i="13"/>
  <c r="C285" i="13"/>
  <c r="B285" i="13"/>
  <c r="BD284" i="13"/>
  <c r="AI284" i="13"/>
  <c r="AR284" i="13" s="1"/>
  <c r="Z284" i="13"/>
  <c r="AB284" i="13" s="1"/>
  <c r="T284" i="13"/>
  <c r="V284" i="13" s="1"/>
  <c r="P284" i="13"/>
  <c r="K284" i="13"/>
  <c r="E284" i="13"/>
  <c r="D284" i="13"/>
  <c r="C284" i="13"/>
  <c r="B284" i="13"/>
  <c r="BD283" i="13"/>
  <c r="BS283" i="13" s="1"/>
  <c r="AI283" i="13"/>
  <c r="AY283" i="13" s="1"/>
  <c r="Z283" i="13"/>
  <c r="AA283" i="13" s="1"/>
  <c r="AC283" i="13" s="1"/>
  <c r="T283" i="13"/>
  <c r="P283" i="13"/>
  <c r="K283" i="13"/>
  <c r="E283" i="13"/>
  <c r="D283" i="13"/>
  <c r="C283" i="13"/>
  <c r="B283" i="13"/>
  <c r="BD282" i="13"/>
  <c r="BP282" i="13" s="1"/>
  <c r="AI282" i="13"/>
  <c r="AM282" i="13" s="1"/>
  <c r="Z282" i="13"/>
  <c r="AA282" i="13" s="1"/>
  <c r="AC282" i="13" s="1"/>
  <c r="T282" i="13"/>
  <c r="P282" i="13"/>
  <c r="K282" i="13"/>
  <c r="E282" i="13"/>
  <c r="D282" i="13"/>
  <c r="C282" i="13"/>
  <c r="B282" i="13"/>
  <c r="BD281" i="13"/>
  <c r="BS281" i="13" s="1"/>
  <c r="AI281" i="13"/>
  <c r="AP281" i="13" s="1"/>
  <c r="Z281" i="13"/>
  <c r="AB281" i="13" s="1"/>
  <c r="T281" i="13"/>
  <c r="U281" i="13" s="1"/>
  <c r="W281" i="13" s="1"/>
  <c r="P281" i="13"/>
  <c r="K281" i="13"/>
  <c r="E281" i="13"/>
  <c r="D281" i="13"/>
  <c r="C281" i="13"/>
  <c r="B281" i="13"/>
  <c r="BD280" i="13"/>
  <c r="BV280" i="13" s="1"/>
  <c r="AI280" i="13"/>
  <c r="AQ280" i="13" s="1"/>
  <c r="Z280" i="13"/>
  <c r="AA280" i="13" s="1"/>
  <c r="AC280" i="13" s="1"/>
  <c r="T280" i="13"/>
  <c r="V280" i="13" s="1"/>
  <c r="P280" i="13"/>
  <c r="K280" i="13"/>
  <c r="E280" i="13"/>
  <c r="D280" i="13"/>
  <c r="C280" i="13"/>
  <c r="B280" i="13"/>
  <c r="BD279" i="13"/>
  <c r="BQ279" i="13" s="1"/>
  <c r="AI279" i="13"/>
  <c r="AV279" i="13" s="1"/>
  <c r="Z279" i="13"/>
  <c r="AB279" i="13" s="1"/>
  <c r="T279" i="13"/>
  <c r="U279" i="13" s="1"/>
  <c r="W279" i="13" s="1"/>
  <c r="P279" i="13"/>
  <c r="K279" i="13"/>
  <c r="E279" i="13"/>
  <c r="D279" i="13"/>
  <c r="C279" i="13"/>
  <c r="B279" i="13"/>
  <c r="BD278" i="13"/>
  <c r="BF278" i="13" s="1"/>
  <c r="AI278" i="13"/>
  <c r="AK278" i="13" s="1"/>
  <c r="Z278" i="13"/>
  <c r="AB278" i="13" s="1"/>
  <c r="T278" i="13"/>
  <c r="V278" i="13" s="1"/>
  <c r="P278" i="13"/>
  <c r="K278" i="13"/>
  <c r="E278" i="13"/>
  <c r="D278" i="13"/>
  <c r="C278" i="13"/>
  <c r="B278" i="13"/>
  <c r="BD277" i="13"/>
  <c r="BT277" i="13" s="1"/>
  <c r="AI277" i="13"/>
  <c r="AY277" i="13" s="1"/>
  <c r="Z277" i="13"/>
  <c r="AB277" i="13" s="1"/>
  <c r="T277" i="13"/>
  <c r="U277" i="13" s="1"/>
  <c r="W277" i="13" s="1"/>
  <c r="P277" i="13"/>
  <c r="K277" i="13"/>
  <c r="E277" i="13"/>
  <c r="D277" i="13"/>
  <c r="C277" i="13"/>
  <c r="B277" i="13"/>
  <c r="BD276" i="13"/>
  <c r="BS276" i="13" s="1"/>
  <c r="AI276" i="13"/>
  <c r="Z276" i="13"/>
  <c r="AA276" i="13" s="1"/>
  <c r="AC276" i="13" s="1"/>
  <c r="T276" i="13"/>
  <c r="V276" i="13" s="1"/>
  <c r="P276" i="13"/>
  <c r="K276" i="13"/>
  <c r="E276" i="13"/>
  <c r="D276" i="13"/>
  <c r="C276" i="13"/>
  <c r="B276" i="13"/>
  <c r="BD275" i="13"/>
  <c r="BO275" i="13" s="1"/>
  <c r="AI275" i="13"/>
  <c r="AW275" i="13" s="1"/>
  <c r="Z275" i="13"/>
  <c r="AB275" i="13" s="1"/>
  <c r="T275" i="13"/>
  <c r="V275" i="13" s="1"/>
  <c r="P275" i="13"/>
  <c r="K275" i="13"/>
  <c r="E275" i="13"/>
  <c r="D275" i="13"/>
  <c r="C275" i="13"/>
  <c r="B275" i="13"/>
  <c r="BD274" i="13"/>
  <c r="AI274" i="13"/>
  <c r="AW274" i="13" s="1"/>
  <c r="Z274" i="13"/>
  <c r="AB274" i="13" s="1"/>
  <c r="T274" i="13"/>
  <c r="U274" i="13" s="1"/>
  <c r="W274" i="13" s="1"/>
  <c r="P274" i="13"/>
  <c r="K274" i="13"/>
  <c r="E274" i="13"/>
  <c r="D274" i="13"/>
  <c r="C274" i="13"/>
  <c r="B274" i="13"/>
  <c r="BD273" i="13"/>
  <c r="AI273" i="13"/>
  <c r="AU273" i="13" s="1"/>
  <c r="Z273" i="13"/>
  <c r="AA273" i="13" s="1"/>
  <c r="AC273" i="13" s="1"/>
  <c r="T273" i="13"/>
  <c r="V273" i="13" s="1"/>
  <c r="P273" i="13"/>
  <c r="K273" i="13"/>
  <c r="E273" i="13"/>
  <c r="D273" i="13"/>
  <c r="C273" i="13"/>
  <c r="B273" i="13"/>
  <c r="BD272" i="13"/>
  <c r="BT272" i="13" s="1"/>
  <c r="AI272" i="13"/>
  <c r="AU272" i="13" s="1"/>
  <c r="Z272" i="13"/>
  <c r="AA272" i="13" s="1"/>
  <c r="AC272" i="13" s="1"/>
  <c r="T272" i="13"/>
  <c r="P272" i="13"/>
  <c r="K272" i="13"/>
  <c r="E272" i="13"/>
  <c r="D272" i="13"/>
  <c r="C272" i="13"/>
  <c r="B272" i="13"/>
  <c r="BD271" i="13"/>
  <c r="AI271" i="13"/>
  <c r="AO271" i="13" s="1"/>
  <c r="Z271" i="13"/>
  <c r="AA271" i="13" s="1"/>
  <c r="AC271" i="13" s="1"/>
  <c r="T271" i="13"/>
  <c r="U271" i="13" s="1"/>
  <c r="W271" i="13" s="1"/>
  <c r="P271" i="13"/>
  <c r="K271" i="13"/>
  <c r="E271" i="13"/>
  <c r="D271" i="13"/>
  <c r="C271" i="13"/>
  <c r="B271" i="13"/>
  <c r="BD270" i="13"/>
  <c r="AI270" i="13"/>
  <c r="AV270" i="13" s="1"/>
  <c r="Z270" i="13"/>
  <c r="T270" i="13"/>
  <c r="V270" i="13" s="1"/>
  <c r="P270" i="13"/>
  <c r="K270" i="13"/>
  <c r="E270" i="13"/>
  <c r="D270" i="13"/>
  <c r="C270" i="13"/>
  <c r="B270" i="13"/>
  <c r="BD269" i="13"/>
  <c r="AI269" i="13"/>
  <c r="Z269" i="13"/>
  <c r="AB269" i="13" s="1"/>
  <c r="T269" i="13"/>
  <c r="U269" i="13" s="1"/>
  <c r="W269" i="13" s="1"/>
  <c r="P269" i="13"/>
  <c r="K269" i="13"/>
  <c r="E269" i="13"/>
  <c r="D269" i="13"/>
  <c r="C269" i="13"/>
  <c r="B269" i="13"/>
  <c r="BD268" i="13"/>
  <c r="BQ268" i="13" s="1"/>
  <c r="AI268" i="13"/>
  <c r="BA268" i="13" s="1"/>
  <c r="Z268" i="13"/>
  <c r="AA268" i="13" s="1"/>
  <c r="AC268" i="13" s="1"/>
  <c r="T268" i="13"/>
  <c r="V268" i="13" s="1"/>
  <c r="P268" i="13"/>
  <c r="K268" i="13"/>
  <c r="E268" i="13"/>
  <c r="D268" i="13"/>
  <c r="C268" i="13"/>
  <c r="B268" i="13"/>
  <c r="BD267" i="13"/>
  <c r="BU267" i="13" s="1"/>
  <c r="AI267" i="13"/>
  <c r="AV267" i="13" s="1"/>
  <c r="Z267" i="13"/>
  <c r="AB267" i="13" s="1"/>
  <c r="T267" i="13"/>
  <c r="U267" i="13" s="1"/>
  <c r="W267" i="13" s="1"/>
  <c r="P267" i="13"/>
  <c r="K267" i="13"/>
  <c r="E267" i="13"/>
  <c r="D267" i="13"/>
  <c r="C267" i="13"/>
  <c r="B267" i="13"/>
  <c r="BD266" i="13"/>
  <c r="AI266" i="13"/>
  <c r="AV266" i="13" s="1"/>
  <c r="Z266" i="13"/>
  <c r="AB266" i="13" s="1"/>
  <c r="T266" i="13"/>
  <c r="P266" i="13"/>
  <c r="K266" i="13"/>
  <c r="E266" i="13"/>
  <c r="D266" i="13"/>
  <c r="C266" i="13"/>
  <c r="B266" i="13"/>
  <c r="BD265" i="13"/>
  <c r="AI265" i="13"/>
  <c r="Z265" i="13"/>
  <c r="AB265" i="13" s="1"/>
  <c r="T265" i="13"/>
  <c r="V265" i="13" s="1"/>
  <c r="P265" i="13"/>
  <c r="K265" i="13"/>
  <c r="E265" i="13"/>
  <c r="D265" i="13"/>
  <c r="C265" i="13"/>
  <c r="B265" i="13"/>
  <c r="BD264" i="13"/>
  <c r="BV264" i="13" s="1"/>
  <c r="AI264" i="13"/>
  <c r="AV264" i="13" s="1"/>
  <c r="Z264" i="13"/>
  <c r="T264" i="13"/>
  <c r="V264" i="13" s="1"/>
  <c r="P264" i="13"/>
  <c r="K264" i="13"/>
  <c r="E264" i="13"/>
  <c r="D264" i="13"/>
  <c r="C264" i="13"/>
  <c r="B264" i="13"/>
  <c r="BD263" i="13"/>
  <c r="AI263" i="13"/>
  <c r="AX263" i="13" s="1"/>
  <c r="Z263" i="13"/>
  <c r="AB263" i="13" s="1"/>
  <c r="T263" i="13"/>
  <c r="U263" i="13" s="1"/>
  <c r="W263" i="13" s="1"/>
  <c r="P263" i="13"/>
  <c r="K263" i="13"/>
  <c r="E263" i="13"/>
  <c r="D263" i="13"/>
  <c r="C263" i="13"/>
  <c r="B263" i="13"/>
  <c r="BD262" i="13"/>
  <c r="BQ262" i="13" s="1"/>
  <c r="AI262" i="13"/>
  <c r="AV262" i="13" s="1"/>
  <c r="Z262" i="13"/>
  <c r="T262" i="13"/>
  <c r="V262" i="13" s="1"/>
  <c r="P262" i="13"/>
  <c r="K262" i="13"/>
  <c r="E262" i="13"/>
  <c r="D262" i="13"/>
  <c r="C262" i="13"/>
  <c r="B262" i="13"/>
  <c r="BD261" i="13"/>
  <c r="BT261" i="13" s="1"/>
  <c r="AI261" i="13"/>
  <c r="Z261" i="13"/>
  <c r="AB261" i="13" s="1"/>
  <c r="T261" i="13"/>
  <c r="U261" i="13" s="1"/>
  <c r="W261" i="13" s="1"/>
  <c r="P261" i="13"/>
  <c r="K261" i="13"/>
  <c r="E261" i="13"/>
  <c r="D261" i="13"/>
  <c r="C261" i="13"/>
  <c r="B261" i="13"/>
  <c r="BD260" i="13"/>
  <c r="AI260" i="13"/>
  <c r="BA260" i="13" s="1"/>
  <c r="Z260" i="13"/>
  <c r="AA260" i="13" s="1"/>
  <c r="AC260" i="13" s="1"/>
  <c r="T260" i="13"/>
  <c r="V260" i="13" s="1"/>
  <c r="P260" i="13"/>
  <c r="K260" i="13"/>
  <c r="E260" i="13"/>
  <c r="D260" i="13"/>
  <c r="C260" i="13"/>
  <c r="B260" i="13"/>
  <c r="BD259" i="13"/>
  <c r="BI259" i="13" s="1"/>
  <c r="AI259" i="13"/>
  <c r="AL259" i="13" s="1"/>
  <c r="Z259" i="13"/>
  <c r="AB259" i="13" s="1"/>
  <c r="T259" i="13"/>
  <c r="U259" i="13" s="1"/>
  <c r="W259" i="13" s="1"/>
  <c r="P259" i="13"/>
  <c r="K259" i="13"/>
  <c r="E259" i="13"/>
  <c r="D259" i="13"/>
  <c r="C259" i="13"/>
  <c r="B259" i="13"/>
  <c r="BD258" i="13"/>
  <c r="BU258" i="13" s="1"/>
  <c r="AI258" i="13"/>
  <c r="AV258" i="13" s="1"/>
  <c r="Z258" i="13"/>
  <c r="AB258" i="13" s="1"/>
  <c r="T258" i="13"/>
  <c r="P258" i="13"/>
  <c r="K258" i="13"/>
  <c r="E258" i="13"/>
  <c r="D258" i="13"/>
  <c r="C258" i="13"/>
  <c r="B258" i="13"/>
  <c r="BD257" i="13"/>
  <c r="BP257" i="13" s="1"/>
  <c r="AI257" i="13"/>
  <c r="AS257" i="13" s="1"/>
  <c r="Z257" i="13"/>
  <c r="AB257" i="13" s="1"/>
  <c r="T257" i="13"/>
  <c r="V257" i="13" s="1"/>
  <c r="P257" i="13"/>
  <c r="K257" i="13"/>
  <c r="E257" i="13"/>
  <c r="D257" i="13"/>
  <c r="C257" i="13"/>
  <c r="B257" i="13"/>
  <c r="BD256" i="13"/>
  <c r="BV256" i="13" s="1"/>
  <c r="AI256" i="13"/>
  <c r="Z256" i="13"/>
  <c r="AA256" i="13" s="1"/>
  <c r="AC256" i="13" s="1"/>
  <c r="T256" i="13"/>
  <c r="U256" i="13" s="1"/>
  <c r="W256" i="13" s="1"/>
  <c r="P256" i="13"/>
  <c r="K256" i="13"/>
  <c r="E256" i="13"/>
  <c r="D256" i="13"/>
  <c r="C256" i="13"/>
  <c r="B256" i="13"/>
  <c r="BD255" i="13"/>
  <c r="BU255" i="13" s="1"/>
  <c r="AI255" i="13"/>
  <c r="Z255" i="13"/>
  <c r="AB255" i="13" s="1"/>
  <c r="T255" i="13"/>
  <c r="U255" i="13" s="1"/>
  <c r="W255" i="13" s="1"/>
  <c r="P255" i="13"/>
  <c r="K255" i="13"/>
  <c r="E255" i="13"/>
  <c r="D255" i="13"/>
  <c r="C255" i="13"/>
  <c r="B255" i="13"/>
  <c r="BD254" i="13"/>
  <c r="BQ254" i="13" s="1"/>
  <c r="AI254" i="13"/>
  <c r="BA254" i="13" s="1"/>
  <c r="Z254" i="13"/>
  <c r="AA254" i="13" s="1"/>
  <c r="AC254" i="13" s="1"/>
  <c r="T254" i="13"/>
  <c r="V254" i="13" s="1"/>
  <c r="P254" i="13"/>
  <c r="K254" i="13"/>
  <c r="E254" i="13"/>
  <c r="D254" i="13"/>
  <c r="C254" i="13"/>
  <c r="B254" i="13"/>
  <c r="BD253" i="13"/>
  <c r="BU253" i="13" s="1"/>
  <c r="AI253" i="13"/>
  <c r="AU253" i="13" s="1"/>
  <c r="Z253" i="13"/>
  <c r="AB253" i="13" s="1"/>
  <c r="T253" i="13"/>
  <c r="U253" i="13" s="1"/>
  <c r="W253" i="13" s="1"/>
  <c r="P253" i="13"/>
  <c r="K253" i="13"/>
  <c r="E253" i="13"/>
  <c r="D253" i="13"/>
  <c r="C253" i="13"/>
  <c r="B253" i="13"/>
  <c r="BD252" i="13"/>
  <c r="BW252" i="13" s="1"/>
  <c r="AI252" i="13"/>
  <c r="Z252" i="13"/>
  <c r="AA252" i="13" s="1"/>
  <c r="AC252" i="13" s="1"/>
  <c r="T252" i="13"/>
  <c r="V252" i="13" s="1"/>
  <c r="P252" i="13"/>
  <c r="K252" i="13"/>
  <c r="E252" i="13"/>
  <c r="D252" i="13"/>
  <c r="C252" i="13"/>
  <c r="B252" i="13"/>
  <c r="BD251" i="13"/>
  <c r="BQ251" i="13" s="1"/>
  <c r="AI251" i="13"/>
  <c r="BA251" i="13" s="1"/>
  <c r="Z251" i="13"/>
  <c r="AB251" i="13" s="1"/>
  <c r="T251" i="13"/>
  <c r="U251" i="13" s="1"/>
  <c r="W251" i="13" s="1"/>
  <c r="P251" i="13"/>
  <c r="K251" i="13"/>
  <c r="E251" i="13"/>
  <c r="D251" i="13"/>
  <c r="C251" i="13"/>
  <c r="B251" i="13"/>
  <c r="BD250" i="13"/>
  <c r="BU250" i="13" s="1"/>
  <c r="AI250" i="13"/>
  <c r="AV250" i="13" s="1"/>
  <c r="Z250" i="13"/>
  <c r="AB250" i="13" s="1"/>
  <c r="T250" i="13"/>
  <c r="V250" i="13" s="1"/>
  <c r="P250" i="13"/>
  <c r="K250" i="13"/>
  <c r="E250" i="13"/>
  <c r="D250" i="13"/>
  <c r="C250" i="13"/>
  <c r="B250" i="13"/>
  <c r="BD249" i="13"/>
  <c r="BP249" i="13" s="1"/>
  <c r="AI249" i="13"/>
  <c r="AK249" i="13" s="1"/>
  <c r="Z249" i="13"/>
  <c r="AA249" i="13" s="1"/>
  <c r="AC249" i="13" s="1"/>
  <c r="T249" i="13"/>
  <c r="V249" i="13" s="1"/>
  <c r="P249" i="13"/>
  <c r="K249" i="13"/>
  <c r="E249" i="13"/>
  <c r="D249" i="13"/>
  <c r="C249" i="13"/>
  <c r="B249" i="13"/>
  <c r="BD248" i="13"/>
  <c r="AI248" i="13"/>
  <c r="Z248" i="13"/>
  <c r="AA248" i="13" s="1"/>
  <c r="AC248" i="13" s="1"/>
  <c r="T248" i="13"/>
  <c r="V248" i="13" s="1"/>
  <c r="P248" i="13"/>
  <c r="K248" i="13"/>
  <c r="E248" i="13"/>
  <c r="D248" i="13"/>
  <c r="C248" i="13"/>
  <c r="B248" i="13"/>
  <c r="BD247" i="13"/>
  <c r="BV247" i="13" s="1"/>
  <c r="AI247" i="13"/>
  <c r="AW247" i="13" s="1"/>
  <c r="Z247" i="13"/>
  <c r="AA247" i="13" s="1"/>
  <c r="AC247" i="13" s="1"/>
  <c r="T247" i="13"/>
  <c r="U247" i="13" s="1"/>
  <c r="W247" i="13" s="1"/>
  <c r="P247" i="13"/>
  <c r="K247" i="13"/>
  <c r="E247" i="13"/>
  <c r="D247" i="13"/>
  <c r="C247" i="13"/>
  <c r="B247" i="13"/>
  <c r="BD246" i="13"/>
  <c r="BQ246" i="13" s="1"/>
  <c r="AI246" i="13"/>
  <c r="AZ246" i="13" s="1"/>
  <c r="Z246" i="13"/>
  <c r="AA246" i="13" s="1"/>
  <c r="AC246" i="13" s="1"/>
  <c r="T246" i="13"/>
  <c r="P246" i="13"/>
  <c r="K246" i="13"/>
  <c r="E246" i="13"/>
  <c r="D246" i="13"/>
  <c r="C246" i="13"/>
  <c r="B246" i="13"/>
  <c r="BD245" i="13"/>
  <c r="BT245" i="13" s="1"/>
  <c r="AI245" i="13"/>
  <c r="Z245" i="13"/>
  <c r="AB245" i="13" s="1"/>
  <c r="T245" i="13"/>
  <c r="U245" i="13" s="1"/>
  <c r="W245" i="13" s="1"/>
  <c r="P245" i="13"/>
  <c r="K245" i="13"/>
  <c r="E245" i="13"/>
  <c r="D245" i="13"/>
  <c r="C245" i="13"/>
  <c r="B245" i="13"/>
  <c r="BD244" i="13"/>
  <c r="BS244" i="13" s="1"/>
  <c r="AI244" i="13"/>
  <c r="AX244" i="13" s="1"/>
  <c r="Z244" i="13"/>
  <c r="AA244" i="13" s="1"/>
  <c r="AC244" i="13" s="1"/>
  <c r="T244" i="13"/>
  <c r="V244" i="13" s="1"/>
  <c r="P244" i="13"/>
  <c r="K244" i="13"/>
  <c r="E244" i="13"/>
  <c r="D244" i="13"/>
  <c r="C244" i="13"/>
  <c r="B244" i="13"/>
  <c r="BD243" i="13"/>
  <c r="BR243" i="13" s="1"/>
  <c r="AI243" i="13"/>
  <c r="AW243" i="13" s="1"/>
  <c r="Z243" i="13"/>
  <c r="AB243" i="13" s="1"/>
  <c r="T243" i="13"/>
  <c r="U243" i="13" s="1"/>
  <c r="W243" i="13" s="1"/>
  <c r="P243" i="13"/>
  <c r="K243" i="13"/>
  <c r="E243" i="13"/>
  <c r="D243" i="13"/>
  <c r="C243" i="13"/>
  <c r="B243" i="13"/>
  <c r="BD242" i="13"/>
  <c r="BU242" i="13" s="1"/>
  <c r="AI242" i="13"/>
  <c r="AV242" i="13" s="1"/>
  <c r="Z242" i="13"/>
  <c r="AA242" i="13" s="1"/>
  <c r="AC242" i="13" s="1"/>
  <c r="T242" i="13"/>
  <c r="V242" i="13" s="1"/>
  <c r="P242" i="13"/>
  <c r="K242" i="13"/>
  <c r="E242" i="13"/>
  <c r="D242" i="13"/>
  <c r="C242" i="13"/>
  <c r="B242" i="13"/>
  <c r="BD241" i="13"/>
  <c r="BP241" i="13" s="1"/>
  <c r="AI241" i="13"/>
  <c r="BB241" i="13" s="1"/>
  <c r="Z241" i="13"/>
  <c r="AA241" i="13" s="1"/>
  <c r="AC241" i="13" s="1"/>
  <c r="T241" i="13"/>
  <c r="U241" i="13" s="1"/>
  <c r="W241" i="13" s="1"/>
  <c r="P241" i="13"/>
  <c r="K241" i="13"/>
  <c r="E241" i="13"/>
  <c r="D241" i="13"/>
  <c r="C241" i="13"/>
  <c r="B241" i="13"/>
  <c r="BD240" i="13"/>
  <c r="BS240" i="13" s="1"/>
  <c r="AI240" i="13"/>
  <c r="BB240" i="13" s="1"/>
  <c r="Z240" i="13"/>
  <c r="AA240" i="13" s="1"/>
  <c r="AC240" i="13" s="1"/>
  <c r="T240" i="13"/>
  <c r="V240" i="13" s="1"/>
  <c r="P240" i="13"/>
  <c r="K240" i="13"/>
  <c r="E240" i="13"/>
  <c r="D240" i="13"/>
  <c r="C240" i="13"/>
  <c r="B240" i="13"/>
  <c r="BD239" i="13"/>
  <c r="BV239" i="13" s="1"/>
  <c r="AI239" i="13"/>
  <c r="AZ239" i="13" s="1"/>
  <c r="Z239" i="13"/>
  <c r="AA239" i="13" s="1"/>
  <c r="AC239" i="13" s="1"/>
  <c r="T239" i="13"/>
  <c r="U239" i="13" s="1"/>
  <c r="W239" i="13" s="1"/>
  <c r="P239" i="13"/>
  <c r="K239" i="13"/>
  <c r="E239" i="13"/>
  <c r="D239" i="13"/>
  <c r="C239" i="13"/>
  <c r="B239" i="13"/>
  <c r="BD238" i="13"/>
  <c r="BQ238" i="13" s="1"/>
  <c r="AI238" i="13"/>
  <c r="AZ238" i="13" s="1"/>
  <c r="Z238" i="13"/>
  <c r="AA238" i="13" s="1"/>
  <c r="AC238" i="13" s="1"/>
  <c r="T238" i="13"/>
  <c r="U238" i="13" s="1"/>
  <c r="W238" i="13" s="1"/>
  <c r="P238" i="13"/>
  <c r="K238" i="13"/>
  <c r="E238" i="13"/>
  <c r="D238" i="13"/>
  <c r="C238" i="13"/>
  <c r="B238" i="13"/>
  <c r="BD237" i="13"/>
  <c r="BO237" i="13" s="1"/>
  <c r="AI237" i="13"/>
  <c r="AU237" i="13" s="1"/>
  <c r="Z237" i="13"/>
  <c r="AB237" i="13" s="1"/>
  <c r="T237" i="13"/>
  <c r="U237" i="13" s="1"/>
  <c r="W237" i="13" s="1"/>
  <c r="P237" i="13"/>
  <c r="K237" i="13"/>
  <c r="E237" i="13"/>
  <c r="D237" i="13"/>
  <c r="C237" i="13"/>
  <c r="B237" i="13"/>
  <c r="BD236" i="13"/>
  <c r="BV236" i="13" s="1"/>
  <c r="AI236" i="13"/>
  <c r="Z236" i="13"/>
  <c r="AA236" i="13" s="1"/>
  <c r="AC236" i="13" s="1"/>
  <c r="T236" i="13"/>
  <c r="V236" i="13" s="1"/>
  <c r="P236" i="13"/>
  <c r="K236" i="13"/>
  <c r="E236" i="13"/>
  <c r="D236" i="13"/>
  <c r="C236" i="13"/>
  <c r="B236" i="13"/>
  <c r="BD235" i="13"/>
  <c r="BV235" i="13" s="1"/>
  <c r="AI235" i="13"/>
  <c r="BA235" i="13" s="1"/>
  <c r="Z235" i="13"/>
  <c r="AB235" i="13" s="1"/>
  <c r="T235" i="13"/>
  <c r="U235" i="13" s="1"/>
  <c r="W235" i="13" s="1"/>
  <c r="P235" i="13"/>
  <c r="K235" i="13"/>
  <c r="E235" i="13"/>
  <c r="D235" i="13"/>
  <c r="C235" i="13"/>
  <c r="B235" i="13"/>
  <c r="BD234" i="13"/>
  <c r="BU234" i="13" s="1"/>
  <c r="AI234" i="13"/>
  <c r="AV234" i="13" s="1"/>
  <c r="Z234" i="13"/>
  <c r="AB234" i="13" s="1"/>
  <c r="T234" i="13"/>
  <c r="V234" i="13" s="1"/>
  <c r="P234" i="13"/>
  <c r="K234" i="13"/>
  <c r="E234" i="13"/>
  <c r="D234" i="13"/>
  <c r="C234" i="13"/>
  <c r="B234" i="13"/>
  <c r="BD233" i="13"/>
  <c r="BP233" i="13" s="1"/>
  <c r="AI233" i="13"/>
  <c r="AT233" i="13" s="1"/>
  <c r="Z233" i="13"/>
  <c r="AA233" i="13" s="1"/>
  <c r="AC233" i="13" s="1"/>
  <c r="T233" i="13"/>
  <c r="V233" i="13" s="1"/>
  <c r="P233" i="13"/>
  <c r="K233" i="13"/>
  <c r="E233" i="13"/>
  <c r="D233" i="13"/>
  <c r="C233" i="13"/>
  <c r="B233" i="13"/>
  <c r="BD232" i="13"/>
  <c r="BS232" i="13" s="1"/>
  <c r="AI232" i="13"/>
  <c r="BA232" i="13" s="1"/>
  <c r="Z232" i="13"/>
  <c r="AA232" i="13" s="1"/>
  <c r="AC232" i="13" s="1"/>
  <c r="T232" i="13"/>
  <c r="U232" i="13" s="1"/>
  <c r="W232" i="13" s="1"/>
  <c r="P232" i="13"/>
  <c r="K232" i="13"/>
  <c r="E232" i="13"/>
  <c r="D232" i="13"/>
  <c r="C232" i="13"/>
  <c r="B232" i="13"/>
  <c r="BD231" i="13"/>
  <c r="BV231" i="13" s="1"/>
  <c r="AI231" i="13"/>
  <c r="AZ231" i="13" s="1"/>
  <c r="Z231" i="13"/>
  <c r="AB231" i="13" s="1"/>
  <c r="T231" i="13"/>
  <c r="U231" i="13" s="1"/>
  <c r="W231" i="13" s="1"/>
  <c r="P231" i="13"/>
  <c r="K231" i="13"/>
  <c r="E231" i="13"/>
  <c r="D231" i="13"/>
  <c r="C231" i="13"/>
  <c r="B231" i="13"/>
  <c r="BD230" i="13"/>
  <c r="BQ230" i="13" s="1"/>
  <c r="AI230" i="13"/>
  <c r="AZ230" i="13" s="1"/>
  <c r="Z230" i="13"/>
  <c r="AA230" i="13" s="1"/>
  <c r="AC230" i="13" s="1"/>
  <c r="T230" i="13"/>
  <c r="U230" i="13" s="1"/>
  <c r="W230" i="13" s="1"/>
  <c r="P230" i="13"/>
  <c r="K230" i="13"/>
  <c r="E230" i="13"/>
  <c r="D230" i="13"/>
  <c r="C230" i="13"/>
  <c r="B230" i="13"/>
  <c r="BD229" i="13"/>
  <c r="AI229" i="13"/>
  <c r="AU229" i="13" s="1"/>
  <c r="Z229" i="13"/>
  <c r="AB229" i="13" s="1"/>
  <c r="T229" i="13"/>
  <c r="U229" i="13" s="1"/>
  <c r="W229" i="13" s="1"/>
  <c r="P229" i="13"/>
  <c r="K229" i="13"/>
  <c r="E229" i="13"/>
  <c r="D229" i="13"/>
  <c r="C229" i="13"/>
  <c r="B229" i="13"/>
  <c r="BD228" i="13"/>
  <c r="BV228" i="13" s="1"/>
  <c r="AI228" i="13"/>
  <c r="AX228" i="13" s="1"/>
  <c r="Z228" i="13"/>
  <c r="AA228" i="13" s="1"/>
  <c r="AC228" i="13" s="1"/>
  <c r="T228" i="13"/>
  <c r="V228" i="13" s="1"/>
  <c r="P228" i="13"/>
  <c r="K228" i="13"/>
  <c r="E228" i="13"/>
  <c r="D228" i="13"/>
  <c r="C228" i="13"/>
  <c r="B228" i="13"/>
  <c r="BD227" i="13"/>
  <c r="BF227" i="13" s="1"/>
  <c r="AI227" i="13"/>
  <c r="AV227" i="13" s="1"/>
  <c r="Z227" i="13"/>
  <c r="AB227" i="13" s="1"/>
  <c r="T227" i="13"/>
  <c r="U227" i="13" s="1"/>
  <c r="W227" i="13" s="1"/>
  <c r="P227" i="13"/>
  <c r="K227" i="13"/>
  <c r="E227" i="13"/>
  <c r="D227" i="13"/>
  <c r="C227" i="13"/>
  <c r="B227" i="13"/>
  <c r="BD226" i="13"/>
  <c r="BW226" i="13" s="1"/>
  <c r="AI226" i="13"/>
  <c r="AV226" i="13" s="1"/>
  <c r="Z226" i="13"/>
  <c r="AA226" i="13" s="1"/>
  <c r="AC226" i="13" s="1"/>
  <c r="T226" i="13"/>
  <c r="V226" i="13" s="1"/>
  <c r="P226" i="13"/>
  <c r="K226" i="13"/>
  <c r="E226" i="13"/>
  <c r="D226" i="13"/>
  <c r="C226" i="13"/>
  <c r="B226" i="13"/>
  <c r="BD225" i="13"/>
  <c r="BP225" i="13" s="1"/>
  <c r="AI225" i="13"/>
  <c r="AY225" i="13" s="1"/>
  <c r="Z225" i="13"/>
  <c r="AB225" i="13" s="1"/>
  <c r="T225" i="13"/>
  <c r="U225" i="13" s="1"/>
  <c r="W225" i="13" s="1"/>
  <c r="P225" i="13"/>
  <c r="K225" i="13"/>
  <c r="E225" i="13"/>
  <c r="D225" i="13"/>
  <c r="C225" i="13"/>
  <c r="B225" i="13"/>
  <c r="BD224" i="13"/>
  <c r="BS224" i="13" s="1"/>
  <c r="AI224" i="13"/>
  <c r="BB224" i="13" s="1"/>
  <c r="Z224" i="13"/>
  <c r="AA224" i="13" s="1"/>
  <c r="AC224" i="13" s="1"/>
  <c r="T224" i="13"/>
  <c r="U224" i="13" s="1"/>
  <c r="W224" i="13" s="1"/>
  <c r="P224" i="13"/>
  <c r="K224" i="13"/>
  <c r="E224" i="13"/>
  <c r="D224" i="13"/>
  <c r="C224" i="13"/>
  <c r="B224" i="13"/>
  <c r="BD223" i="13"/>
  <c r="BV223" i="13" s="1"/>
  <c r="AI223" i="13"/>
  <c r="AW223" i="13" s="1"/>
  <c r="Z223" i="13"/>
  <c r="AB223" i="13" s="1"/>
  <c r="T223" i="13"/>
  <c r="U223" i="13" s="1"/>
  <c r="W223" i="13" s="1"/>
  <c r="P223" i="13"/>
  <c r="K223" i="13"/>
  <c r="E223" i="13"/>
  <c r="D223" i="13"/>
  <c r="C223" i="13"/>
  <c r="B223" i="13"/>
  <c r="BD222" i="13"/>
  <c r="BQ222" i="13" s="1"/>
  <c r="AI222" i="13"/>
  <c r="AZ222" i="13" s="1"/>
  <c r="Z222" i="13"/>
  <c r="AA222" i="13" s="1"/>
  <c r="AC222" i="13" s="1"/>
  <c r="T222" i="13"/>
  <c r="U222" i="13" s="1"/>
  <c r="W222" i="13" s="1"/>
  <c r="P222" i="13"/>
  <c r="K222" i="13"/>
  <c r="E222" i="13"/>
  <c r="D222" i="13"/>
  <c r="C222" i="13"/>
  <c r="B222" i="13"/>
  <c r="BD221" i="13"/>
  <c r="BT221" i="13" s="1"/>
  <c r="AI221" i="13"/>
  <c r="AU221" i="13" s="1"/>
  <c r="Z221" i="13"/>
  <c r="AB221" i="13" s="1"/>
  <c r="T221" i="13"/>
  <c r="U221" i="13" s="1"/>
  <c r="W221" i="13" s="1"/>
  <c r="P221" i="13"/>
  <c r="K221" i="13"/>
  <c r="E221" i="13"/>
  <c r="D221" i="13"/>
  <c r="C221" i="13"/>
  <c r="B221" i="13"/>
  <c r="BD220" i="13"/>
  <c r="BW220" i="13" s="1"/>
  <c r="AI220" i="13"/>
  <c r="AX220" i="13" s="1"/>
  <c r="Z220" i="13"/>
  <c r="AA220" i="13" s="1"/>
  <c r="AC220" i="13" s="1"/>
  <c r="T220" i="13"/>
  <c r="V220" i="13" s="1"/>
  <c r="P220" i="13"/>
  <c r="K220" i="13"/>
  <c r="E220" i="13"/>
  <c r="D220" i="13"/>
  <c r="C220" i="13"/>
  <c r="B220" i="13"/>
  <c r="BD219" i="13"/>
  <c r="BR219" i="13" s="1"/>
  <c r="AI219" i="13"/>
  <c r="BA219" i="13" s="1"/>
  <c r="Z219" i="13"/>
  <c r="AB219" i="13" s="1"/>
  <c r="T219" i="13"/>
  <c r="U219" i="13" s="1"/>
  <c r="W219" i="13" s="1"/>
  <c r="P219" i="13"/>
  <c r="K219" i="13"/>
  <c r="E219" i="13"/>
  <c r="D219" i="13"/>
  <c r="C219" i="13"/>
  <c r="B219" i="13"/>
  <c r="BD218" i="13"/>
  <c r="BU218" i="13" s="1"/>
  <c r="AI218" i="13"/>
  <c r="AV218" i="13" s="1"/>
  <c r="Z218" i="13"/>
  <c r="AA218" i="13" s="1"/>
  <c r="AC218" i="13" s="1"/>
  <c r="T218" i="13"/>
  <c r="V218" i="13" s="1"/>
  <c r="P218" i="13"/>
  <c r="K218" i="13"/>
  <c r="E218" i="13"/>
  <c r="D218" i="13"/>
  <c r="C218" i="13"/>
  <c r="B218" i="13"/>
  <c r="B26" i="22" l="1"/>
  <c r="B33" i="22"/>
  <c r="B42" i="22"/>
  <c r="B44" i="22"/>
  <c r="B25" i="22"/>
  <c r="B27" i="22"/>
  <c r="B35" i="22"/>
  <c r="B45" i="22"/>
  <c r="B30" i="22"/>
  <c r="B39" i="22"/>
  <c r="B48" i="22"/>
  <c r="B43" i="22"/>
  <c r="B28" i="22"/>
  <c r="B36" i="22"/>
  <c r="B46" i="22"/>
  <c r="B31" i="22"/>
  <c r="B40" i="22"/>
  <c r="B49" i="22"/>
  <c r="B34" i="22"/>
  <c r="B29" i="22"/>
  <c r="B38" i="22"/>
  <c r="B47" i="22"/>
  <c r="BJ491" i="13"/>
  <c r="BO775" i="13"/>
  <c r="AA957" i="13"/>
  <c r="AC957" i="13" s="1"/>
  <c r="BP491" i="13"/>
  <c r="AM954" i="13"/>
  <c r="AO956" i="13"/>
  <c r="BW426" i="13"/>
  <c r="AA598" i="13"/>
  <c r="AC598" i="13" s="1"/>
  <c r="AU621" i="13"/>
  <c r="AX684" i="13"/>
  <c r="BG1006" i="13"/>
  <c r="AT641" i="13"/>
  <c r="BB954" i="13"/>
  <c r="BF473" i="13"/>
  <c r="AV908" i="13"/>
  <c r="BO957" i="13"/>
  <c r="AN333" i="13"/>
  <c r="AP275" i="13"/>
  <c r="BR330" i="13"/>
  <c r="BI1006" i="13"/>
  <c r="BH737" i="13"/>
  <c r="BR760" i="13"/>
  <c r="BV330" i="13"/>
  <c r="BR737" i="13"/>
  <c r="AR460" i="13"/>
  <c r="BM903" i="13"/>
  <c r="V702" i="13"/>
  <c r="BJ704" i="13"/>
  <c r="AQ723" i="13"/>
  <c r="BK682" i="13"/>
  <c r="BK704" i="13"/>
  <c r="AL899" i="13"/>
  <c r="BE354" i="13"/>
  <c r="AJ358" i="13"/>
  <c r="BJ371" i="13"/>
  <c r="U437" i="13"/>
  <c r="W437" i="13" s="1"/>
  <c r="BU603" i="13"/>
  <c r="BI610" i="13"/>
  <c r="BI613" i="13"/>
  <c r="BR658" i="13"/>
  <c r="AQ899" i="13"/>
  <c r="AW358" i="13"/>
  <c r="BW603" i="13"/>
  <c r="BR613" i="13"/>
  <c r="AP428" i="13"/>
  <c r="AA480" i="13"/>
  <c r="AC480" i="13" s="1"/>
  <c r="AV869" i="13"/>
  <c r="AZ623" i="13"/>
  <c r="BH907" i="13"/>
  <c r="BJ888" i="13"/>
  <c r="BI340" i="13"/>
  <c r="BM420" i="13"/>
  <c r="BI470" i="13"/>
  <c r="BV526" i="13"/>
  <c r="AX534" i="13"/>
  <c r="AB557" i="13"/>
  <c r="AE557" i="13" s="1"/>
  <c r="BN634" i="13"/>
  <c r="AN638" i="13"/>
  <c r="BR644" i="13"/>
  <c r="U645" i="13"/>
  <c r="W645" i="13" s="1"/>
  <c r="AW899" i="13"/>
  <c r="BJ988" i="13"/>
  <c r="BE683" i="13"/>
  <c r="U753" i="13"/>
  <c r="W753" i="13" s="1"/>
  <c r="AJ763" i="13"/>
  <c r="U934" i="13"/>
  <c r="W934" i="13" s="1"/>
  <c r="BP952" i="13"/>
  <c r="BE984" i="13"/>
  <c r="BO325" i="13"/>
  <c r="BF276" i="13"/>
  <c r="AA315" i="13"/>
  <c r="AC315" i="13" s="1"/>
  <c r="BK334" i="13"/>
  <c r="BF369" i="13"/>
  <c r="V373" i="13"/>
  <c r="AE373" i="13" s="1"/>
  <c r="V404" i="13"/>
  <c r="AP539" i="13"/>
  <c r="BF561" i="13"/>
  <c r="BW618" i="13"/>
  <c r="AB643" i="13"/>
  <c r="BN683" i="13"/>
  <c r="AA695" i="13"/>
  <c r="AC695" i="13" s="1"/>
  <c r="AL735" i="13"/>
  <c r="BG868" i="13"/>
  <c r="BM981" i="13"/>
  <c r="BG984" i="13"/>
  <c r="BM1001" i="13"/>
  <c r="AA299" i="13"/>
  <c r="AC299" i="13" s="1"/>
  <c r="BQ504" i="13"/>
  <c r="AB603" i="13"/>
  <c r="BK276" i="13"/>
  <c r="AL342" i="13"/>
  <c r="BN369" i="13"/>
  <c r="BN561" i="13"/>
  <c r="BH649" i="13"/>
  <c r="BN868" i="13"/>
  <c r="BP984" i="13"/>
  <c r="BT276" i="13"/>
  <c r="BA342" i="13"/>
  <c r="BO392" i="13"/>
  <c r="BQ442" i="13"/>
  <c r="BU465" i="13"/>
  <c r="BO555" i="13"/>
  <c r="BP561" i="13"/>
  <c r="BG603" i="13"/>
  <c r="BI633" i="13"/>
  <c r="BV649" i="13"/>
  <c r="BS738" i="13"/>
  <c r="AN329" i="13"/>
  <c r="AT331" i="13"/>
  <c r="BG330" i="13"/>
  <c r="BW674" i="13"/>
  <c r="BS746" i="13"/>
  <c r="BE888" i="13"/>
  <c r="AO899" i="13"/>
  <c r="AN901" i="13"/>
  <c r="BK279" i="13"/>
  <c r="BF301" i="13"/>
  <c r="U354" i="13"/>
  <c r="W354" i="13" s="1"/>
  <c r="AW355" i="13"/>
  <c r="U383" i="13"/>
  <c r="W383" i="13" s="1"/>
  <c r="BJ385" i="13"/>
  <c r="BJ433" i="13"/>
  <c r="BH481" i="13"/>
  <c r="AB501" i="13"/>
  <c r="BF522" i="13"/>
  <c r="BN674" i="13"/>
  <c r="BI677" i="13"/>
  <c r="BI683" i="13"/>
  <c r="BB684" i="13"/>
  <c r="BJ737" i="13"/>
  <c r="BF746" i="13"/>
  <c r="BM823" i="13"/>
  <c r="AL872" i="13"/>
  <c r="BQ923" i="13"/>
  <c r="AN961" i="13"/>
  <c r="BT1001" i="13"/>
  <c r="BU522" i="13"/>
  <c r="BI481" i="13"/>
  <c r="BF221" i="13"/>
  <c r="BB302" i="13"/>
  <c r="BM323" i="13"/>
  <c r="BE338" i="13"/>
  <c r="BG341" i="13"/>
  <c r="AE391" i="13"/>
  <c r="BR393" i="13"/>
  <c r="BO424" i="13"/>
  <c r="BS440" i="13"/>
  <c r="BQ481" i="13"/>
  <c r="BM491" i="13"/>
  <c r="BH566" i="13"/>
  <c r="BI602" i="13"/>
  <c r="BJ613" i="13"/>
  <c r="AB647" i="13"/>
  <c r="AE647" i="13" s="1"/>
  <c r="BI655" i="13"/>
  <c r="BU658" i="13"/>
  <c r="BW683" i="13"/>
  <c r="U684" i="13"/>
  <c r="W684" i="13" s="1"/>
  <c r="AF684" i="13" s="1"/>
  <c r="BF695" i="13"/>
  <c r="AR720" i="13"/>
  <c r="BL732" i="13"/>
  <c r="BU737" i="13"/>
  <c r="BU746" i="13"/>
  <c r="BJ880" i="13"/>
  <c r="AK959" i="13"/>
  <c r="AA966" i="13"/>
  <c r="AC966" i="13" s="1"/>
  <c r="BJ972" i="13"/>
  <c r="AL983" i="13"/>
  <c r="BM1008" i="13"/>
  <c r="BI341" i="13"/>
  <c r="BI566" i="13"/>
  <c r="BO602" i="13"/>
  <c r="BS695" i="13"/>
  <c r="BM732" i="13"/>
  <c r="BI221" i="13"/>
  <c r="BP566" i="13"/>
  <c r="BG221" i="13"/>
  <c r="AK232" i="13"/>
  <c r="BM235" i="13"/>
  <c r="BJ221" i="13"/>
  <c r="BH261" i="13"/>
  <c r="BF285" i="13"/>
  <c r="BE306" i="13"/>
  <c r="BB333" i="13"/>
  <c r="BW341" i="13"/>
  <c r="BF354" i="13"/>
  <c r="BS420" i="13"/>
  <c r="BL470" i="13"/>
  <c r="BO473" i="13"/>
  <c r="AN496" i="13"/>
  <c r="AU524" i="13"/>
  <c r="BW566" i="13"/>
  <c r="BM577" i="13"/>
  <c r="BF666" i="13"/>
  <c r="AN684" i="13"/>
  <c r="AA725" i="13"/>
  <c r="AC725" i="13" s="1"/>
  <c r="U732" i="13"/>
  <c r="W732" i="13" s="1"/>
  <c r="BL738" i="13"/>
  <c r="U756" i="13"/>
  <c r="W756" i="13" s="1"/>
  <c r="BI769" i="13"/>
  <c r="AP799" i="13"/>
  <c r="BL892" i="13"/>
  <c r="AQ901" i="13"/>
  <c r="AB923" i="13"/>
  <c r="BK952" i="13"/>
  <c r="AS960" i="13"/>
  <c r="BQ970" i="13"/>
  <c r="V992" i="13"/>
  <c r="BM433" i="13"/>
  <c r="BS296" i="13"/>
  <c r="BN341" i="13"/>
  <c r="BQ221" i="13"/>
  <c r="AS240" i="13"/>
  <c r="BM243" i="13"/>
  <c r="BH258" i="13"/>
  <c r="BP261" i="13"/>
  <c r="BV303" i="13"/>
  <c r="BH354" i="13"/>
  <c r="BJ464" i="13"/>
  <c r="AP487" i="13"/>
  <c r="BS518" i="13"/>
  <c r="AW524" i="13"/>
  <c r="BU559" i="13"/>
  <c r="BO650" i="13"/>
  <c r="BP666" i="13"/>
  <c r="AO684" i="13"/>
  <c r="BN738" i="13"/>
  <c r="BO769" i="13"/>
  <c r="BO952" i="13"/>
  <c r="U703" i="13"/>
  <c r="W703" i="13" s="1"/>
  <c r="AA894" i="13"/>
  <c r="AC894" i="13" s="1"/>
  <c r="V931" i="13"/>
  <c r="AE931" i="13" s="1"/>
  <c r="AA223" i="13"/>
  <c r="AC223" i="13" s="1"/>
  <c r="AF223" i="13" s="1"/>
  <c r="AB286" i="13"/>
  <c r="AE286" i="13" s="1"/>
  <c r="AA327" i="13"/>
  <c r="AC327" i="13" s="1"/>
  <c r="AA438" i="13"/>
  <c r="AC438" i="13" s="1"/>
  <c r="V460" i="13"/>
  <c r="V479" i="13"/>
  <c r="AB631" i="13"/>
  <c r="U644" i="13"/>
  <c r="W644" i="13" s="1"/>
  <c r="AB700" i="13"/>
  <c r="U724" i="13"/>
  <c r="W724" i="13" s="1"/>
  <c r="AA750" i="13"/>
  <c r="AC750" i="13" s="1"/>
  <c r="AA789" i="13"/>
  <c r="AC789" i="13" s="1"/>
  <c r="AB838" i="13"/>
  <c r="AB981" i="13"/>
  <c r="V333" i="13"/>
  <c r="AE333" i="13" s="1"/>
  <c r="U488" i="13"/>
  <c r="W488" i="13" s="1"/>
  <c r="U557" i="13"/>
  <c r="W557" i="13" s="1"/>
  <c r="U858" i="13"/>
  <c r="W858" i="13" s="1"/>
  <c r="U958" i="13"/>
  <c r="W958" i="13" s="1"/>
  <c r="V984" i="13"/>
  <c r="AB306" i="13"/>
  <c r="V339" i="13"/>
  <c r="AB779" i="13"/>
  <c r="AB899" i="13"/>
  <c r="U427" i="13"/>
  <c r="W427" i="13" s="1"/>
  <c r="AA540" i="13"/>
  <c r="AC540" i="13" s="1"/>
  <c r="V982" i="13"/>
  <c r="AE982" i="13" s="1"/>
  <c r="AA940" i="13"/>
  <c r="AC940" i="13" s="1"/>
  <c r="U262" i="13"/>
  <c r="W262" i="13" s="1"/>
  <c r="AB247" i="13"/>
  <c r="AA357" i="13"/>
  <c r="AC357" i="13" s="1"/>
  <c r="V376" i="13"/>
  <c r="AE376" i="13" s="1"/>
  <c r="AB468" i="13"/>
  <c r="U894" i="13"/>
  <c r="W894" i="13" s="1"/>
  <c r="AA760" i="13"/>
  <c r="AC760" i="13" s="1"/>
  <c r="AB760" i="13"/>
  <c r="AB818" i="13"/>
  <c r="AE818" i="13" s="1"/>
  <c r="AA818" i="13"/>
  <c r="AC818" i="13" s="1"/>
  <c r="AA973" i="13"/>
  <c r="AC973" i="13" s="1"/>
  <c r="AF973" i="13" s="1"/>
  <c r="AB973" i="13"/>
  <c r="BT1004" i="13"/>
  <c r="BN1004" i="13"/>
  <c r="BE1004" i="13"/>
  <c r="BU304" i="13"/>
  <c r="BE304" i="13"/>
  <c r="AY310" i="13"/>
  <c r="AJ310" i="13"/>
  <c r="AS364" i="13"/>
  <c r="AU364" i="13"/>
  <c r="BW386" i="13"/>
  <c r="BS386" i="13"/>
  <c r="V567" i="13"/>
  <c r="U567" i="13"/>
  <c r="W567" i="13" s="1"/>
  <c r="AY603" i="13"/>
  <c r="AX603" i="13"/>
  <c r="BJ236" i="13"/>
  <c r="AO240" i="13"/>
  <c r="AN283" i="13"/>
  <c r="BT323" i="13"/>
  <c r="AM344" i="13"/>
  <c r="AY364" i="13"/>
  <c r="AP406" i="13"/>
  <c r="AB444" i="13"/>
  <c r="BT451" i="13"/>
  <c r="BW451" i="13"/>
  <c r="BO451" i="13"/>
  <c r="BG451" i="13"/>
  <c r="BQ531" i="13"/>
  <c r="BW534" i="13"/>
  <c r="U539" i="13"/>
  <c r="W539" i="13" s="1"/>
  <c r="AY541" i="13"/>
  <c r="AU541" i="13"/>
  <c r="AY565" i="13"/>
  <c r="AV565" i="13"/>
  <c r="AU565" i="13"/>
  <c r="AA625" i="13"/>
  <c r="AC625" i="13" s="1"/>
  <c r="BU806" i="13"/>
  <c r="BH806" i="13"/>
  <c r="BH876" i="13"/>
  <c r="BV876" i="13"/>
  <c r="BV297" i="13"/>
  <c r="BP297" i="13"/>
  <c r="BE297" i="13"/>
  <c r="AJ332" i="13"/>
  <c r="AZ332" i="13"/>
  <c r="V232" i="13"/>
  <c r="AV273" i="13"/>
  <c r="BU410" i="13"/>
  <c r="BJ410" i="13"/>
  <c r="BG410" i="13"/>
  <c r="AA437" i="13"/>
  <c r="AC437" i="13" s="1"/>
  <c r="BJ441" i="13"/>
  <c r="BA247" i="13"/>
  <c r="AA264" i="13"/>
  <c r="AC264" i="13" s="1"/>
  <c r="AB264" i="13"/>
  <c r="AE264" i="13" s="1"/>
  <c r="BO273" i="13"/>
  <c r="BI273" i="13"/>
  <c r="AM276" i="13"/>
  <c r="AJ276" i="13"/>
  <c r="BR297" i="13"/>
  <c r="BG308" i="13"/>
  <c r="U372" i="13"/>
  <c r="W372" i="13" s="1"/>
  <c r="V372" i="13"/>
  <c r="AE372" i="13" s="1"/>
  <c r="BS400" i="13"/>
  <c r="V405" i="13"/>
  <c r="U405" i="13"/>
  <c r="W405" i="13" s="1"/>
  <c r="BQ410" i="13"/>
  <c r="V435" i="13"/>
  <c r="BV471" i="13"/>
  <c r="BU471" i="13"/>
  <c r="BM471" i="13"/>
  <c r="BH494" i="13"/>
  <c r="BK496" i="13"/>
  <c r="BJ523" i="13"/>
  <c r="BW523" i="13"/>
  <c r="BG548" i="13"/>
  <c r="V583" i="13"/>
  <c r="AE583" i="13" s="1"/>
  <c r="BU598" i="13"/>
  <c r="BG598" i="13"/>
  <c r="BF598" i="13"/>
  <c r="V604" i="13"/>
  <c r="AA620" i="13"/>
  <c r="AC620" i="13" s="1"/>
  <c r="AB620" i="13"/>
  <c r="V653" i="13"/>
  <c r="AE653" i="13" s="1"/>
  <c r="U653" i="13"/>
  <c r="W653" i="13" s="1"/>
  <c r="V711" i="13"/>
  <c r="AE711" i="13" s="1"/>
  <c r="U711" i="13"/>
  <c r="W711" i="13" s="1"/>
  <c r="V725" i="13"/>
  <c r="AE725" i="13" s="1"/>
  <c r="U725" i="13"/>
  <c r="W725" i="13" s="1"/>
  <c r="U748" i="13"/>
  <c r="W748" i="13" s="1"/>
  <c r="V748" i="13"/>
  <c r="BV860" i="13"/>
  <c r="BI860" i="13"/>
  <c r="V929" i="13"/>
  <c r="U929" i="13"/>
  <c r="W929" i="13" s="1"/>
  <c r="AA968" i="13"/>
  <c r="AC968" i="13" s="1"/>
  <c r="AB968" i="13"/>
  <c r="BG462" i="13"/>
  <c r="BJ462" i="13"/>
  <c r="BQ588" i="13"/>
  <c r="BR588" i="13"/>
  <c r="BK588" i="13"/>
  <c r="BH588" i="13"/>
  <c r="BG588" i="13"/>
  <c r="BG321" i="13"/>
  <c r="V325" i="13"/>
  <c r="AE325" i="13" s="1"/>
  <c r="U398" i="13"/>
  <c r="W398" i="13" s="1"/>
  <c r="BI400" i="13"/>
  <c r="AP471" i="13"/>
  <c r="AA677" i="13"/>
  <c r="AC677" i="13" s="1"/>
  <c r="AB677" i="13"/>
  <c r="BQ726" i="13"/>
  <c r="BO726" i="13"/>
  <c r="BS221" i="13"/>
  <c r="U246" i="13"/>
  <c r="W246" i="13" s="1"/>
  <c r="V246" i="13"/>
  <c r="BE273" i="13"/>
  <c r="AP276" i="13"/>
  <c r="AS288" i="13"/>
  <c r="AV288" i="13"/>
  <c r="BQ300" i="13"/>
  <c r="BT306" i="13"/>
  <c r="BW306" i="13"/>
  <c r="BL308" i="13"/>
  <c r="V320" i="13"/>
  <c r="AE320" i="13" s="1"/>
  <c r="BT322" i="13"/>
  <c r="BJ322" i="13"/>
  <c r="U350" i="13"/>
  <c r="W350" i="13" s="1"/>
  <c r="BN360" i="13"/>
  <c r="BR388" i="13"/>
  <c r="AB429" i="13"/>
  <c r="AE429" i="13" s="1"/>
  <c r="BT432" i="13"/>
  <c r="BW432" i="13"/>
  <c r="BO432" i="13"/>
  <c r="BV453" i="13"/>
  <c r="BQ453" i="13"/>
  <c r="AA470" i="13"/>
  <c r="AC470" i="13" s="1"/>
  <c r="BI471" i="13"/>
  <c r="BK489" i="13"/>
  <c r="BJ494" i="13"/>
  <c r="BT500" i="13"/>
  <c r="BQ500" i="13"/>
  <c r="BG500" i="13"/>
  <c r="BF500" i="13"/>
  <c r="BE500" i="13"/>
  <c r="BM521" i="13"/>
  <c r="BI523" i="13"/>
  <c r="BL546" i="13"/>
  <c r="BS546" i="13"/>
  <c r="BN548" i="13"/>
  <c r="V569" i="13"/>
  <c r="U580" i="13"/>
  <c r="W580" i="13" s="1"/>
  <c r="V580" i="13"/>
  <c r="AE580" i="13" s="1"/>
  <c r="BN589" i="13"/>
  <c r="BF633" i="13"/>
  <c r="BV633" i="13"/>
  <c r="BU633" i="13"/>
  <c r="U648" i="13"/>
  <c r="W648" i="13" s="1"/>
  <c r="BQ724" i="13"/>
  <c r="BP724" i="13"/>
  <c r="BS800" i="13"/>
  <c r="BT800" i="13"/>
  <c r="BO800" i="13"/>
  <c r="BP812" i="13"/>
  <c r="BH812" i="13"/>
  <c r="V840" i="13"/>
  <c r="AE840" i="13" s="1"/>
  <c r="U840" i="13"/>
  <c r="W840" i="13" s="1"/>
  <c r="BK895" i="13"/>
  <c r="BR895" i="13"/>
  <c r="BO895" i="13"/>
  <c r="BF895" i="13"/>
  <c r="AA965" i="13"/>
  <c r="AC965" i="13" s="1"/>
  <c r="AB965" i="13"/>
  <c r="BG986" i="13"/>
  <c r="BO986" i="13"/>
  <c r="BE986" i="13"/>
  <c r="AB995" i="13"/>
  <c r="AE995" i="13" s="1"/>
  <c r="AA995" i="13"/>
  <c r="AC995" i="13" s="1"/>
  <c r="BT269" i="13"/>
  <c r="BG269" i="13"/>
  <c r="AB771" i="13"/>
  <c r="AA771" i="13"/>
  <c r="AC771" i="13" s="1"/>
  <c r="AF771" i="13" s="1"/>
  <c r="AV257" i="13"/>
  <c r="BR260" i="13"/>
  <c r="BJ260" i="13"/>
  <c r="BO406" i="13"/>
  <c r="BV417" i="13"/>
  <c r="BK417" i="13"/>
  <c r="AA596" i="13"/>
  <c r="AC596" i="13" s="1"/>
  <c r="AA642" i="13"/>
  <c r="AC642" i="13" s="1"/>
  <c r="AB642" i="13"/>
  <c r="U953" i="13"/>
  <c r="W953" i="13" s="1"/>
  <c r="V953" i="13"/>
  <c r="BV255" i="13"/>
  <c r="BJ255" i="13"/>
  <c r="AO264" i="13"/>
  <c r="BM267" i="13"/>
  <c r="V272" i="13"/>
  <c r="U272" i="13"/>
  <c r="W272" i="13" s="1"/>
  <c r="BJ273" i="13"/>
  <c r="AY323" i="13"/>
  <c r="AZ323" i="13"/>
  <c r="BA361" i="13"/>
  <c r="AN361" i="13"/>
  <c r="BP489" i="13"/>
  <c r="BO494" i="13"/>
  <c r="BM546" i="13"/>
  <c r="BB556" i="13"/>
  <c r="AR556" i="13"/>
  <c r="AP556" i="13"/>
  <c r="AO556" i="13"/>
  <c r="BW589" i="13"/>
  <c r="AS659" i="13"/>
  <c r="AW659" i="13"/>
  <c r="AV659" i="13"/>
  <c r="AA708" i="13"/>
  <c r="AC708" i="13" s="1"/>
  <c r="AB708" i="13"/>
  <c r="U810" i="13"/>
  <c r="W810" i="13" s="1"/>
  <c r="V810" i="13"/>
  <c r="AX686" i="13"/>
  <c r="AV686" i="13"/>
  <c r="AN686" i="13"/>
  <c r="AM686" i="13"/>
  <c r="AM254" i="13"/>
  <c r="BU266" i="13"/>
  <c r="BP266" i="13"/>
  <c r="BU280" i="13"/>
  <c r="BG297" i="13"/>
  <c r="BR499" i="13"/>
  <c r="AW655" i="13"/>
  <c r="AJ655" i="13"/>
  <c r="AB736" i="13"/>
  <c r="AE736" i="13" s="1"/>
  <c r="AA736" i="13"/>
  <c r="AC736" i="13" s="1"/>
  <c r="AB230" i="13"/>
  <c r="AB246" i="13"/>
  <c r="BQ271" i="13"/>
  <c r="BN271" i="13"/>
  <c r="AU336" i="13"/>
  <c r="AJ361" i="13"/>
  <c r="BK519" i="13"/>
  <c r="BV519" i="13"/>
  <c r="BB544" i="13"/>
  <c r="AS544" i="13"/>
  <c r="BR546" i="13"/>
  <c r="BP627" i="13"/>
  <c r="BR627" i="13"/>
  <c r="U646" i="13"/>
  <c r="W646" i="13" s="1"/>
  <c r="V646" i="13"/>
  <c r="AK742" i="13"/>
  <c r="AY742" i="13"/>
  <c r="AQ742" i="13"/>
  <c r="AB919" i="13"/>
  <c r="AA919" i="13"/>
  <c r="AC919" i="13" s="1"/>
  <c r="AF919" i="13" s="1"/>
  <c r="BT956" i="13"/>
  <c r="BL956" i="13"/>
  <c r="BH868" i="13"/>
  <c r="AE884" i="13"/>
  <c r="BR952" i="13"/>
  <c r="AB667" i="13"/>
  <c r="AA670" i="13"/>
  <c r="AC670" i="13" s="1"/>
  <c r="AB673" i="13"/>
  <c r="AL675" i="13"/>
  <c r="BU683" i="13"/>
  <c r="AP684" i="13"/>
  <c r="U695" i="13"/>
  <c r="W695" i="13" s="1"/>
  <c r="BT695" i="13"/>
  <c r="BS704" i="13"/>
  <c r="AB730" i="13"/>
  <c r="AX734" i="13"/>
  <c r="BG777" i="13"/>
  <c r="BF786" i="13"/>
  <c r="V816" i="13"/>
  <c r="BM821" i="13"/>
  <c r="AK824" i="13"/>
  <c r="AM826" i="13"/>
  <c r="V834" i="13"/>
  <c r="AA846" i="13"/>
  <c r="AC846" i="13" s="1"/>
  <c r="BH984" i="13"/>
  <c r="BR1006" i="13"/>
  <c r="AX675" i="13"/>
  <c r="AE695" i="13"/>
  <c r="AZ734" i="13"/>
  <c r="AA763" i="13"/>
  <c r="AC763" i="13" s="1"/>
  <c r="AF763" i="13" s="1"/>
  <c r="BH780" i="13"/>
  <c r="BF792" i="13"/>
  <c r="BP804" i="13"/>
  <c r="AM824" i="13"/>
  <c r="AA840" i="13"/>
  <c r="AC840" i="13" s="1"/>
  <c r="AB843" i="13"/>
  <c r="AB859" i="13"/>
  <c r="BE864" i="13"/>
  <c r="BS868" i="13"/>
  <c r="BO912" i="13"/>
  <c r="BO939" i="13"/>
  <c r="AW942" i="13"/>
  <c r="BF952" i="13"/>
  <c r="BH955" i="13"/>
  <c r="AT971" i="13"/>
  <c r="AB1005" i="13"/>
  <c r="AE1005" i="13" s="1"/>
  <c r="BU1006" i="13"/>
  <c r="AA994" i="13"/>
  <c r="AC994" i="13" s="1"/>
  <c r="BG555" i="13"/>
  <c r="U587" i="13"/>
  <c r="W587" i="13" s="1"/>
  <c r="BI607" i="13"/>
  <c r="AA610" i="13"/>
  <c r="AC610" i="13" s="1"/>
  <c r="BH617" i="13"/>
  <c r="AZ675" i="13"/>
  <c r="BN717" i="13"/>
  <c r="AO730" i="13"/>
  <c r="BW740" i="13"/>
  <c r="U741" i="13"/>
  <c r="W741" i="13" s="1"/>
  <c r="V749" i="13"/>
  <c r="BH792" i="13"/>
  <c r="AE802" i="13"/>
  <c r="BR804" i="13"/>
  <c r="AO824" i="13"/>
  <c r="BK864" i="13"/>
  <c r="AA875" i="13"/>
  <c r="AC875" i="13" s="1"/>
  <c r="BG952" i="13"/>
  <c r="BM955" i="13"/>
  <c r="AU971" i="13"/>
  <c r="AA366" i="13"/>
  <c r="AC366" i="13" s="1"/>
  <c r="BE371" i="13"/>
  <c r="AB387" i="13"/>
  <c r="V397" i="13"/>
  <c r="BI398" i="13"/>
  <c r="AB414" i="13"/>
  <c r="AE422" i="13"/>
  <c r="AV449" i="13"/>
  <c r="AO460" i="13"/>
  <c r="BF465" i="13"/>
  <c r="BU467" i="13"/>
  <c r="AA483" i="13"/>
  <c r="AC483" i="13" s="1"/>
  <c r="V487" i="13"/>
  <c r="AE487" i="13" s="1"/>
  <c r="AR488" i="13"/>
  <c r="AP495" i="13"/>
  <c r="BF526" i="13"/>
  <c r="BE535" i="13"/>
  <c r="BH555" i="13"/>
  <c r="BE561" i="13"/>
  <c r="AB595" i="13"/>
  <c r="BF602" i="13"/>
  <c r="BE603" i="13"/>
  <c r="BL607" i="13"/>
  <c r="AA615" i="13"/>
  <c r="AC615" i="13" s="1"/>
  <c r="BK617" i="13"/>
  <c r="AP623" i="13"/>
  <c r="AB646" i="13"/>
  <c r="BF650" i="13"/>
  <c r="BG655" i="13"/>
  <c r="BK677" i="13"/>
  <c r="AB684" i="13"/>
  <c r="AE684" i="13" s="1"/>
  <c r="BT686" i="13"/>
  <c r="V687" i="13"/>
  <c r="AE687" i="13" s="1"/>
  <c r="AB693" i="13"/>
  <c r="AE693" i="13" s="1"/>
  <c r="BG696" i="13"/>
  <c r="AX824" i="13"/>
  <c r="BS864" i="13"/>
  <c r="BJ952" i="13"/>
  <c r="AA998" i="13"/>
  <c r="AC998" i="13" s="1"/>
  <c r="BI555" i="13"/>
  <c r="BN607" i="13"/>
  <c r="BL677" i="13"/>
  <c r="AV695" i="13"/>
  <c r="BI696" i="13"/>
  <c r="BG704" i="13"/>
  <c r="U716" i="13"/>
  <c r="W716" i="13" s="1"/>
  <c r="BP988" i="13"/>
  <c r="BO994" i="13"/>
  <c r="U995" i="13"/>
  <c r="W995" i="13" s="1"/>
  <c r="AE293" i="13"/>
  <c r="BO371" i="13"/>
  <c r="BG420" i="13"/>
  <c r="BJ440" i="13"/>
  <c r="BP449" i="13"/>
  <c r="AB452" i="13"/>
  <c r="BG454" i="13"/>
  <c r="BF463" i="13"/>
  <c r="BW465" i="13"/>
  <c r="BH491" i="13"/>
  <c r="AE512" i="13"/>
  <c r="BM522" i="13"/>
  <c r="BA554" i="13"/>
  <c r="BJ555" i="13"/>
  <c r="BI561" i="13"/>
  <c r="AB568" i="13"/>
  <c r="BU577" i="13"/>
  <c r="AP595" i="13"/>
  <c r="BJ602" i="13"/>
  <c r="BV607" i="13"/>
  <c r="BQ655" i="13"/>
  <c r="BI658" i="13"/>
  <c r="BE666" i="13"/>
  <c r="BU677" i="13"/>
  <c r="BF683" i="13"/>
  <c r="AK684" i="13"/>
  <c r="BN696" i="13"/>
  <c r="BE699" i="13"/>
  <c r="BI704" i="13"/>
  <c r="AB713" i="13"/>
  <c r="AB722" i="13"/>
  <c r="BI737" i="13"/>
  <c r="V745" i="13"/>
  <c r="AW763" i="13"/>
  <c r="BT788" i="13"/>
  <c r="V798" i="13"/>
  <c r="V815" i="13"/>
  <c r="BK823" i="13"/>
  <c r="BA851" i="13"/>
  <c r="BF868" i="13"/>
  <c r="AB870" i="13"/>
  <c r="BM920" i="13"/>
  <c r="AZ986" i="13"/>
  <c r="BE1001" i="13"/>
  <c r="BS988" i="13"/>
  <c r="BO245" i="13"/>
  <c r="BM219" i="13"/>
  <c r="BA222" i="13"/>
  <c r="BF232" i="13"/>
  <c r="AN235" i="13"/>
  <c r="BP237" i="13"/>
  <c r="V243" i="13"/>
  <c r="AE243" i="13" s="1"/>
  <c r="AN251" i="13"/>
  <c r="BN252" i="13"/>
  <c r="AB356" i="13"/>
  <c r="AE356" i="13" s="1"/>
  <c r="AL382" i="13"/>
  <c r="AT384" i="13"/>
  <c r="BH386" i="13"/>
  <c r="BM387" i="13"/>
  <c r="AK398" i="13"/>
  <c r="AN400" i="13"/>
  <c r="AS407" i="13"/>
  <c r="BE412" i="13"/>
  <c r="BA414" i="13"/>
  <c r="AB420" i="13"/>
  <c r="AP421" i="13"/>
  <c r="AA422" i="13"/>
  <c r="AC422" i="13" s="1"/>
  <c r="AL431" i="13"/>
  <c r="BN441" i="13"/>
  <c r="V442" i="13"/>
  <c r="V444" i="13"/>
  <c r="BU448" i="13"/>
  <c r="U459" i="13"/>
  <c r="W459" i="13" s="1"/>
  <c r="AJ460" i="13"/>
  <c r="AA461" i="13"/>
  <c r="AC461" i="13" s="1"/>
  <c r="AX463" i="13"/>
  <c r="BF481" i="13"/>
  <c r="AX487" i="13"/>
  <c r="BQ496" i="13"/>
  <c r="BJ500" i="13"/>
  <c r="V509" i="13"/>
  <c r="BN511" i="13"/>
  <c r="AN517" i="13"/>
  <c r="AA529" i="13"/>
  <c r="AC529" i="13" s="1"/>
  <c r="AB529" i="13"/>
  <c r="AB538" i="13"/>
  <c r="BV563" i="13"/>
  <c r="BJ563" i="13"/>
  <c r="BI563" i="13"/>
  <c r="BH563" i="13"/>
  <c r="BG563" i="13"/>
  <c r="BW626" i="13"/>
  <c r="BU626" i="13"/>
  <c r="BR626" i="13"/>
  <c r="BK626" i="13"/>
  <c r="AA733" i="13"/>
  <c r="AC733" i="13" s="1"/>
  <c r="AB733" i="13"/>
  <c r="BN743" i="13"/>
  <c r="BO743" i="13"/>
  <c r="BO221" i="13"/>
  <c r="AP225" i="13"/>
  <c r="BN228" i="13"/>
  <c r="AB233" i="13"/>
  <c r="AE233" i="13" s="1"/>
  <c r="BR237" i="13"/>
  <c r="AB249" i="13"/>
  <c r="AE249" i="13" s="1"/>
  <c r="BB251" i="13"/>
  <c r="BG255" i="13"/>
  <c r="AB271" i="13"/>
  <c r="AE275" i="13"/>
  <c r="AA278" i="13"/>
  <c r="AC278" i="13" s="1"/>
  <c r="BV282" i="13"/>
  <c r="AR292" i="13"/>
  <c r="V309" i="13"/>
  <c r="AE309" i="13" s="1"/>
  <c r="AB323" i="13"/>
  <c r="BV325" i="13"/>
  <c r="BH330" i="13"/>
  <c r="AO333" i="13"/>
  <c r="BS339" i="13"/>
  <c r="AM342" i="13"/>
  <c r="BI349" i="13"/>
  <c r="U352" i="13"/>
  <c r="W352" i="13" s="1"/>
  <c r="BU354" i="13"/>
  <c r="U355" i="13"/>
  <c r="W355" i="13" s="1"/>
  <c r="AT368" i="13"/>
  <c r="BO376" i="13"/>
  <c r="AT382" i="13"/>
  <c r="BK386" i="13"/>
  <c r="AM398" i="13"/>
  <c r="BM412" i="13"/>
  <c r="AX421" i="13"/>
  <c r="BV455" i="13"/>
  <c r="AK460" i="13"/>
  <c r="BO465" i="13"/>
  <c r="BM479" i="13"/>
  <c r="BG481" i="13"/>
  <c r="BF489" i="13"/>
  <c r="AE494" i="13"/>
  <c r="BO500" i="13"/>
  <c r="BO540" i="13"/>
  <c r="BQ540" i="13"/>
  <c r="BM540" i="13"/>
  <c r="AA549" i="13"/>
  <c r="AC549" i="13" s="1"/>
  <c r="AB549" i="13"/>
  <c r="BS554" i="13"/>
  <c r="BR554" i="13"/>
  <c r="BL554" i="13"/>
  <c r="BE559" i="13"/>
  <c r="AA580" i="13"/>
  <c r="AC580" i="13" s="1"/>
  <c r="BE626" i="13"/>
  <c r="BW634" i="13"/>
  <c r="BK634" i="13"/>
  <c r="BM637" i="13"/>
  <c r="BI637" i="13"/>
  <c r="V666" i="13"/>
  <c r="U666" i="13"/>
  <c r="W666" i="13" s="1"/>
  <c r="BQ679" i="13"/>
  <c r="BI679" i="13"/>
  <c r="U683" i="13"/>
  <c r="W683" i="13" s="1"/>
  <c r="V683" i="13"/>
  <c r="AE683" i="13" s="1"/>
  <c r="BV688" i="13"/>
  <c r="BG688" i="13"/>
  <c r="AS700" i="13"/>
  <c r="AN700" i="13"/>
  <c r="BF743" i="13"/>
  <c r="U766" i="13"/>
  <c r="W766" i="13" s="1"/>
  <c r="V766" i="13"/>
  <c r="AE766" i="13" s="1"/>
  <c r="BU771" i="13"/>
  <c r="BK771" i="13"/>
  <c r="BJ771" i="13"/>
  <c r="U793" i="13"/>
  <c r="W793" i="13" s="1"/>
  <c r="V793" i="13"/>
  <c r="AE793" i="13" s="1"/>
  <c r="AM264" i="13"/>
  <c r="AP273" i="13"/>
  <c r="BH279" i="13"/>
  <c r="AJ281" i="13"/>
  <c r="V291" i="13"/>
  <c r="AZ302" i="13"/>
  <c r="BS307" i="13"/>
  <c r="U308" i="13"/>
  <c r="W308" i="13" s="1"/>
  <c r="BR313" i="13"/>
  <c r="BN318" i="13"/>
  <c r="BN330" i="13"/>
  <c r="AR333" i="13"/>
  <c r="BP337" i="13"/>
  <c r="BF341" i="13"/>
  <c r="AO342" i="13"/>
  <c r="AA345" i="13"/>
  <c r="AC345" i="13" s="1"/>
  <c r="BO349" i="13"/>
  <c r="BF360" i="13"/>
  <c r="BE362" i="13"/>
  <c r="AB380" i="13"/>
  <c r="AW382" i="13"/>
  <c r="AA385" i="13"/>
  <c r="AC385" i="13" s="1"/>
  <c r="BO386" i="13"/>
  <c r="AV398" i="13"/>
  <c r="BP412" i="13"/>
  <c r="AY421" i="13"/>
  <c r="BH440" i="13"/>
  <c r="AB442" i="13"/>
  <c r="AB533" i="13"/>
  <c r="AE533" i="13" s="1"/>
  <c r="AA533" i="13"/>
  <c r="AC533" i="13" s="1"/>
  <c r="BB564" i="13"/>
  <c r="AO564" i="13"/>
  <c r="AM564" i="13"/>
  <c r="BU570" i="13"/>
  <c r="BL570" i="13"/>
  <c r="BK570" i="13"/>
  <c r="BN583" i="13"/>
  <c r="BU583" i="13"/>
  <c r="BT583" i="13"/>
  <c r="BM583" i="13"/>
  <c r="BT586" i="13"/>
  <c r="BR586" i="13"/>
  <c r="BQ586" i="13"/>
  <c r="BO586" i="13"/>
  <c r="BG586" i="13"/>
  <c r="BE586" i="13"/>
  <c r="AB590" i="13"/>
  <c r="AA590" i="13"/>
  <c r="AC590" i="13" s="1"/>
  <c r="U597" i="13"/>
  <c r="W597" i="13" s="1"/>
  <c r="V597" i="13"/>
  <c r="AA614" i="13"/>
  <c r="AC614" i="13" s="1"/>
  <c r="AB614" i="13"/>
  <c r="AE614" i="13" s="1"/>
  <c r="U635" i="13"/>
  <c r="W635" i="13" s="1"/>
  <c r="AF635" i="13" s="1"/>
  <c r="V635" i="13"/>
  <c r="BH665" i="13"/>
  <c r="BI665" i="13"/>
  <c r="V701" i="13"/>
  <c r="U701" i="13"/>
  <c r="W701" i="13" s="1"/>
  <c r="AB717" i="13"/>
  <c r="AA717" i="13"/>
  <c r="AC717" i="13" s="1"/>
  <c r="AF717" i="13" s="1"/>
  <c r="AB739" i="13"/>
  <c r="BR787" i="13"/>
  <c r="BQ787" i="13"/>
  <c r="BK787" i="13"/>
  <c r="V230" i="13"/>
  <c r="U234" i="13"/>
  <c r="W234" i="13" s="1"/>
  <c r="AU243" i="13"/>
  <c r="BF245" i="13"/>
  <c r="U250" i="13"/>
  <c r="W250" i="13" s="1"/>
  <c r="BF251" i="13"/>
  <c r="AB254" i="13"/>
  <c r="AE254" i="13" s="1"/>
  <c r="BV349" i="13"/>
  <c r="BN489" i="13"/>
  <c r="AK494" i="13"/>
  <c r="AN506" i="13"/>
  <c r="BQ518" i="13"/>
  <c r="BR518" i="13"/>
  <c r="BS520" i="13"/>
  <c r="BU520" i="13"/>
  <c r="BT520" i="13"/>
  <c r="BR520" i="13"/>
  <c r="BW552" i="13"/>
  <c r="BI552" i="13"/>
  <c r="AN564" i="13"/>
  <c r="AA578" i="13"/>
  <c r="AC578" i="13" s="1"/>
  <c r="AB578" i="13"/>
  <c r="BF586" i="13"/>
  <c r="AY590" i="13"/>
  <c r="AV590" i="13"/>
  <c r="AS590" i="13"/>
  <c r="AK590" i="13"/>
  <c r="U661" i="13"/>
  <c r="W661" i="13" s="1"/>
  <c r="V661" i="13"/>
  <c r="U669" i="13"/>
  <c r="W669" i="13" s="1"/>
  <c r="V669" i="13"/>
  <c r="BN679" i="13"/>
  <c r="BB698" i="13"/>
  <c r="AQ698" i="13"/>
  <c r="V715" i="13"/>
  <c r="U715" i="13"/>
  <c r="W715" i="13" s="1"/>
  <c r="AJ723" i="13"/>
  <c r="BA723" i="13"/>
  <c r="AR723" i="13"/>
  <c r="V727" i="13"/>
  <c r="AE727" i="13" s="1"/>
  <c r="BU221" i="13"/>
  <c r="V222" i="13"/>
  <c r="AB239" i="13"/>
  <c r="BH245" i="13"/>
  <c r="AK247" i="13"/>
  <c r="AE250" i="13"/>
  <c r="BW255" i="13"/>
  <c r="BF258" i="13"/>
  <c r="BK260" i="13"/>
  <c r="AM262" i="13"/>
  <c r="AS264" i="13"/>
  <c r="AA267" i="13"/>
  <c r="AC267" i="13" s="1"/>
  <c r="AF267" i="13" s="1"/>
  <c r="BE269" i="13"/>
  <c r="AZ275" i="13"/>
  <c r="BH276" i="13"/>
  <c r="BV279" i="13"/>
  <c r="BJ281" i="13"/>
  <c r="AZ283" i="13"/>
  <c r="BU297" i="13"/>
  <c r="AE301" i="13"/>
  <c r="BJ306" i="13"/>
  <c r="AA308" i="13"/>
  <c r="AC308" i="13" s="1"/>
  <c r="AW309" i="13"/>
  <c r="AL317" i="13"/>
  <c r="BP321" i="13"/>
  <c r="BK326" i="13"/>
  <c r="BU330" i="13"/>
  <c r="AM336" i="13"/>
  <c r="BH340" i="13"/>
  <c r="AE343" i="13"/>
  <c r="AQ359" i="13"/>
  <c r="BF392" i="13"/>
  <c r="AZ394" i="13"/>
  <c r="BE406" i="13"/>
  <c r="BF408" i="13"/>
  <c r="BJ420" i="13"/>
  <c r="BP421" i="13"/>
  <c r="AY460" i="13"/>
  <c r="BO471" i="13"/>
  <c r="BI473" i="13"/>
  <c r="V476" i="13"/>
  <c r="BN481" i="13"/>
  <c r="BO489" i="13"/>
  <c r="AN498" i="13"/>
  <c r="BV500" i="13"/>
  <c r="BF503" i="13"/>
  <c r="BQ512" i="13"/>
  <c r="V523" i="13"/>
  <c r="AE523" i="13" s="1"/>
  <c r="U523" i="13"/>
  <c r="W523" i="13" s="1"/>
  <c r="BG530" i="13"/>
  <c r="BU530" i="13"/>
  <c r="V531" i="13"/>
  <c r="U531" i="13"/>
  <c r="W531" i="13" s="1"/>
  <c r="BW584" i="13"/>
  <c r="BM584" i="13"/>
  <c r="BK584" i="13"/>
  <c r="BI584" i="13"/>
  <c r="BS586" i="13"/>
  <c r="BQ603" i="13"/>
  <c r="BR603" i="13"/>
  <c r="BM603" i="13"/>
  <c r="BJ603" i="13"/>
  <c r="BH603" i="13"/>
  <c r="BV603" i="13"/>
  <c r="BF603" i="13"/>
  <c r="BL638" i="13"/>
  <c r="BV638" i="13"/>
  <c r="BR638" i="13"/>
  <c r="BR660" i="13"/>
  <c r="BJ660" i="13"/>
  <c r="AT671" i="13"/>
  <c r="AO671" i="13"/>
  <c r="BU698" i="13"/>
  <c r="BS698" i="13"/>
  <c r="AB704" i="13"/>
  <c r="AA704" i="13"/>
  <c r="AC704" i="13" s="1"/>
  <c r="AB709" i="13"/>
  <c r="AA709" i="13"/>
  <c r="AC709" i="13" s="1"/>
  <c r="U737" i="13"/>
  <c r="W737" i="13" s="1"/>
  <c r="V737" i="13"/>
  <c r="BA759" i="13"/>
  <c r="AM759" i="13"/>
  <c r="AP759" i="13"/>
  <c r="BU550" i="13"/>
  <c r="BW550" i="13"/>
  <c r="BS550" i="13"/>
  <c r="BI550" i="13"/>
  <c r="BW568" i="13"/>
  <c r="BS568" i="13"/>
  <c r="BK568" i="13"/>
  <c r="BI568" i="13"/>
  <c r="BT612" i="13"/>
  <c r="BW612" i="13"/>
  <c r="BH612" i="13"/>
  <c r="BW625" i="13"/>
  <c r="BU625" i="13"/>
  <c r="BK625" i="13"/>
  <c r="BI625" i="13"/>
  <c r="BE625" i="13"/>
  <c r="U628" i="13"/>
  <c r="W628" i="13" s="1"/>
  <c r="V628" i="13"/>
  <c r="BS671" i="13"/>
  <c r="BK671" i="13"/>
  <c r="BI671" i="13"/>
  <c r="BE671" i="13"/>
  <c r="AA678" i="13"/>
  <c r="AC678" i="13" s="1"/>
  <c r="AB678" i="13"/>
  <c r="AE678" i="13" s="1"/>
  <c r="V735" i="13"/>
  <c r="AE735" i="13" s="1"/>
  <c r="U735" i="13"/>
  <c r="W735" i="13" s="1"/>
  <c r="AO759" i="13"/>
  <c r="BT799" i="13"/>
  <c r="BI799" i="13"/>
  <c r="BH799" i="13"/>
  <c r="AB222" i="13"/>
  <c r="AM224" i="13"/>
  <c r="AP232" i="13"/>
  <c r="U240" i="13"/>
  <c r="W240" i="13" s="1"/>
  <c r="AF240" i="13" s="1"/>
  <c r="BV243" i="13"/>
  <c r="BI252" i="13"/>
  <c r="AA259" i="13"/>
  <c r="AC259" i="13" s="1"/>
  <c r="BN264" i="13"/>
  <c r="BP269" i="13"/>
  <c r="AB276" i="13"/>
  <c r="AE276" i="13" s="1"/>
  <c r="BP278" i="13"/>
  <c r="V279" i="13"/>
  <c r="AE279" i="13" s="1"/>
  <c r="AK282" i="13"/>
  <c r="AR289" i="13"/>
  <c r="BG291" i="13"/>
  <c r="AT297" i="13"/>
  <c r="BK305" i="13"/>
  <c r="V306" i="13"/>
  <c r="V307" i="13"/>
  <c r="AE307" i="13" s="1"/>
  <c r="BQ309" i="13"/>
  <c r="BK312" i="13"/>
  <c r="BU317" i="13"/>
  <c r="BP340" i="13"/>
  <c r="BV352" i="13"/>
  <c r="AA358" i="13"/>
  <c r="AC358" i="13" s="1"/>
  <c r="BF359" i="13"/>
  <c r="BJ364" i="13"/>
  <c r="V370" i="13"/>
  <c r="AE370" i="13" s="1"/>
  <c r="BK378" i="13"/>
  <c r="BS392" i="13"/>
  <c r="U422" i="13"/>
  <c r="W422" i="13" s="1"/>
  <c r="AE423" i="13"/>
  <c r="BE425" i="13"/>
  <c r="V426" i="13"/>
  <c r="BF430" i="13"/>
  <c r="AB445" i="13"/>
  <c r="AE445" i="13" s="1"/>
  <c r="BW454" i="13"/>
  <c r="BG460" i="13"/>
  <c r="AA469" i="13"/>
  <c r="AC469" i="13" s="1"/>
  <c r="BQ473" i="13"/>
  <c r="BR481" i="13"/>
  <c r="BN498" i="13"/>
  <c r="AL513" i="13"/>
  <c r="AB517" i="13"/>
  <c r="AA517" i="13"/>
  <c r="AC517" i="13" s="1"/>
  <c r="AW519" i="13"/>
  <c r="AL519" i="13"/>
  <c r="BF521" i="13"/>
  <c r="BJ521" i="13"/>
  <c r="AM523" i="13"/>
  <c r="BA523" i="13"/>
  <c r="AP523" i="13"/>
  <c r="BG550" i="13"/>
  <c r="AB563" i="13"/>
  <c r="AE563" i="13" s="1"/>
  <c r="BW572" i="13"/>
  <c r="BV572" i="13"/>
  <c r="AY576" i="13"/>
  <c r="AJ576" i="13"/>
  <c r="BJ584" i="13"/>
  <c r="BR591" i="13"/>
  <c r="BT591" i="13"/>
  <c r="BH625" i="13"/>
  <c r="BT638" i="13"/>
  <c r="BA655" i="13"/>
  <c r="AK655" i="13"/>
  <c r="AB657" i="13"/>
  <c r="AA657" i="13"/>
  <c r="AC657" i="13" s="1"/>
  <c r="V694" i="13"/>
  <c r="U694" i="13"/>
  <c r="W694" i="13" s="1"/>
  <c r="V722" i="13"/>
  <c r="U722" i="13"/>
  <c r="W722" i="13" s="1"/>
  <c r="BU734" i="13"/>
  <c r="BJ734" i="13"/>
  <c r="V751" i="13"/>
  <c r="AE751" i="13" s="1"/>
  <c r="U751" i="13"/>
  <c r="W751" i="13" s="1"/>
  <c r="AB754" i="13"/>
  <c r="AA754" i="13"/>
  <c r="AC754" i="13" s="1"/>
  <c r="BO794" i="13"/>
  <c r="BR794" i="13"/>
  <c r="BG799" i="13"/>
  <c r="BJ252" i="13"/>
  <c r="BM280" i="13"/>
  <c r="AV282" i="13"/>
  <c r="AW284" i="13"/>
  <c r="AZ289" i="13"/>
  <c r="BT291" i="13"/>
  <c r="BL312" i="13"/>
  <c r="AA318" i="13"/>
  <c r="AC318" i="13" s="1"/>
  <c r="BG322" i="13"/>
  <c r="BU323" i="13"/>
  <c r="BF325" i="13"/>
  <c r="BF330" i="13"/>
  <c r="AJ331" i="13"/>
  <c r="BJ334" i="13"/>
  <c r="BN336" i="13"/>
  <c r="BQ340" i="13"/>
  <c r="U347" i="13"/>
  <c r="W347" i="13" s="1"/>
  <c r="AJ349" i="13"/>
  <c r="BG354" i="13"/>
  <c r="BJ359" i="13"/>
  <c r="BQ364" i="13"/>
  <c r="BJ367" i="13"/>
  <c r="BQ378" i="13"/>
  <c r="V403" i="13"/>
  <c r="AK407" i="13"/>
  <c r="AR414" i="13"/>
  <c r="AS443" i="13"/>
  <c r="BQ448" i="13"/>
  <c r="BW460" i="13"/>
  <c r="AN463" i="13"/>
  <c r="BO466" i="13"/>
  <c r="AE467" i="13"/>
  <c r="BS473" i="13"/>
  <c r="BW481" i="13"/>
  <c r="BU498" i="13"/>
  <c r="BJ550" i="13"/>
  <c r="AM606" i="13"/>
  <c r="AK606" i="13"/>
  <c r="BT618" i="13"/>
  <c r="BQ618" i="13"/>
  <c r="BK618" i="13"/>
  <c r="BJ618" i="13"/>
  <c r="BH618" i="13"/>
  <c r="BE618" i="13"/>
  <c r="AB694" i="13"/>
  <c r="AA694" i="13"/>
  <c r="AC694" i="13" s="1"/>
  <c r="BB702" i="13"/>
  <c r="AW702" i="13"/>
  <c r="AR702" i="13"/>
  <c r="AP702" i="13"/>
  <c r="AM702" i="13"/>
  <c r="AX746" i="13"/>
  <c r="AT746" i="13"/>
  <c r="BW750" i="13"/>
  <c r="BG750" i="13"/>
  <c r="BQ794" i="13"/>
  <c r="BI873" i="13"/>
  <c r="BR873" i="13"/>
  <c r="U881" i="13"/>
  <c r="W881" i="13" s="1"/>
  <c r="V881" i="13"/>
  <c r="AN811" i="13"/>
  <c r="AV811" i="13"/>
  <c r="V885" i="13"/>
  <c r="U885" i="13"/>
  <c r="W885" i="13" s="1"/>
  <c r="BA916" i="13"/>
  <c r="AU916" i="13"/>
  <c r="AO916" i="13"/>
  <c r="AN916" i="13"/>
  <c r="AL916" i="13"/>
  <c r="AX916" i="13"/>
  <c r="BP613" i="13"/>
  <c r="BV627" i="13"/>
  <c r="BS658" i="13"/>
  <c r="BM666" i="13"/>
  <c r="BH683" i="13"/>
  <c r="AA714" i="13"/>
  <c r="AC714" i="13" s="1"/>
  <c r="AB714" i="13"/>
  <c r="V772" i="13"/>
  <c r="U772" i="13"/>
  <c r="W772" i="13" s="1"/>
  <c r="AT783" i="13"/>
  <c r="AK783" i="13"/>
  <c r="BV802" i="13"/>
  <c r="BU802" i="13"/>
  <c r="AU811" i="13"/>
  <c r="BS813" i="13"/>
  <c r="BK813" i="13"/>
  <c r="AA819" i="13"/>
  <c r="AC819" i="13" s="1"/>
  <c r="AB819" i="13"/>
  <c r="AE819" i="13" s="1"/>
  <c r="U824" i="13"/>
  <c r="W824" i="13" s="1"/>
  <c r="V826" i="13"/>
  <c r="U826" i="13"/>
  <c r="W826" i="13" s="1"/>
  <c r="U854" i="13"/>
  <c r="W854" i="13" s="1"/>
  <c r="V854" i="13"/>
  <c r="AE854" i="13" s="1"/>
  <c r="BR871" i="13"/>
  <c r="BW871" i="13"/>
  <c r="BS871" i="13"/>
  <c r="BP871" i="13"/>
  <c r="BG871" i="13"/>
  <c r="BE871" i="13"/>
  <c r="BL884" i="13"/>
  <c r="BK884" i="13"/>
  <c r="AV916" i="13"/>
  <c r="BW759" i="13"/>
  <c r="BF759" i="13"/>
  <c r="BQ811" i="13"/>
  <c r="BI811" i="13"/>
  <c r="AB862" i="13"/>
  <c r="AA862" i="13"/>
  <c r="AC862" i="13" s="1"/>
  <c r="AF862" i="13" s="1"/>
  <c r="U950" i="13"/>
  <c r="W950" i="13" s="1"/>
  <c r="V950" i="13"/>
  <c r="AX987" i="13"/>
  <c r="AL987" i="13"/>
  <c r="BT588" i="13"/>
  <c r="AU595" i="13"/>
  <c r="BR602" i="13"/>
  <c r="BR610" i="13"/>
  <c r="BJ683" i="13"/>
  <c r="BU704" i="13"/>
  <c r="BF704" i="13"/>
  <c r="BA735" i="13"/>
  <c r="AM735" i="13"/>
  <c r="BN746" i="13"/>
  <c r="AA749" i="13"/>
  <c r="AC749" i="13" s="1"/>
  <c r="AB749" i="13"/>
  <c r="BM757" i="13"/>
  <c r="BG759" i="13"/>
  <c r="AP786" i="13"/>
  <c r="AB791" i="13"/>
  <c r="AA791" i="13"/>
  <c r="AC791" i="13" s="1"/>
  <c r="AA793" i="13"/>
  <c r="AC793" i="13" s="1"/>
  <c r="BK811" i="13"/>
  <c r="AV862" i="13"/>
  <c r="AR862" i="13"/>
  <c r="BS910" i="13"/>
  <c r="BP910" i="13"/>
  <c r="AA917" i="13"/>
  <c r="AC917" i="13" s="1"/>
  <c r="AB917" i="13"/>
  <c r="AZ974" i="13"/>
  <c r="AK974" i="13"/>
  <c r="BF529" i="13"/>
  <c r="BM545" i="13"/>
  <c r="BW547" i="13"/>
  <c r="BJ549" i="13"/>
  <c r="BW555" i="13"/>
  <c r="V556" i="13"/>
  <c r="BG556" i="13"/>
  <c r="V559" i="13"/>
  <c r="AE559" i="13" s="1"/>
  <c r="AB562" i="13"/>
  <c r="AE562" i="13" s="1"/>
  <c r="AA574" i="13"/>
  <c r="AC574" i="13" s="1"/>
  <c r="BE587" i="13"/>
  <c r="BU588" i="13"/>
  <c r="U598" i="13"/>
  <c r="W598" i="13" s="1"/>
  <c r="BE598" i="13"/>
  <c r="BS610" i="13"/>
  <c r="U621" i="13"/>
  <c r="W621" i="13" s="1"/>
  <c r="BL622" i="13"/>
  <c r="BK624" i="13"/>
  <c r="AA638" i="13"/>
  <c r="AC638" i="13" s="1"/>
  <c r="BQ677" i="13"/>
  <c r="BH677" i="13"/>
  <c r="BT757" i="13"/>
  <c r="AQ784" i="13"/>
  <c r="AP784" i="13"/>
  <c r="AX786" i="13"/>
  <c r="BQ819" i="13"/>
  <c r="BK819" i="13"/>
  <c r="AA986" i="13"/>
  <c r="AC986" i="13" s="1"/>
  <c r="AB986" i="13"/>
  <c r="BT1003" i="13"/>
  <c r="BJ1003" i="13"/>
  <c r="BH1003" i="13"/>
  <c r="BG1003" i="13"/>
  <c r="BF1003" i="13"/>
  <c r="BQ1003" i="13"/>
  <c r="BL1003" i="13"/>
  <c r="BK1003" i="13"/>
  <c r="BO529" i="13"/>
  <c r="BL556" i="13"/>
  <c r="BF566" i="13"/>
  <c r="AB611" i="13"/>
  <c r="AE615" i="13"/>
  <c r="AA629" i="13"/>
  <c r="AC629" i="13" s="1"/>
  <c r="AB652" i="13"/>
  <c r="BF674" i="13"/>
  <c r="BE677" i="13"/>
  <c r="BE692" i="13"/>
  <c r="V700" i="13"/>
  <c r="U700" i="13"/>
  <c r="W700" i="13" s="1"/>
  <c r="AF700" i="13" s="1"/>
  <c r="BS722" i="13"/>
  <c r="BU727" i="13"/>
  <c r="BG727" i="13"/>
  <c r="V728" i="13"/>
  <c r="U728" i="13"/>
  <c r="W728" i="13" s="1"/>
  <c r="AA747" i="13"/>
  <c r="AC747" i="13" s="1"/>
  <c r="AB747" i="13"/>
  <c r="U765" i="13"/>
  <c r="W765" i="13" s="1"/>
  <c r="BL772" i="13"/>
  <c r="AT784" i="13"/>
  <c r="U818" i="13"/>
  <c r="W818" i="13" s="1"/>
  <c r="BL819" i="13"/>
  <c r="BE829" i="13"/>
  <c r="AB836" i="13"/>
  <c r="AE836" i="13" s="1"/>
  <c r="AA836" i="13"/>
  <c r="AC836" i="13" s="1"/>
  <c r="AA855" i="13"/>
  <c r="AC855" i="13" s="1"/>
  <c r="AB855" i="13"/>
  <c r="AZ876" i="13"/>
  <c r="AR876" i="13"/>
  <c r="AR984" i="13"/>
  <c r="AV984" i="13"/>
  <c r="BS519" i="13"/>
  <c r="AA532" i="13"/>
  <c r="AC532" i="13" s="1"/>
  <c r="V538" i="13"/>
  <c r="AR539" i="13"/>
  <c r="AM541" i="13"/>
  <c r="AN544" i="13"/>
  <c r="U563" i="13"/>
  <c r="W563" i="13" s="1"/>
  <c r="AL565" i="13"/>
  <c r="BG566" i="13"/>
  <c r="BN595" i="13"/>
  <c r="BR666" i="13"/>
  <c r="BJ666" i="13"/>
  <c r="BG674" i="13"/>
  <c r="BT683" i="13"/>
  <c r="BK683" i="13"/>
  <c r="BS683" i="13"/>
  <c r="BS697" i="13"/>
  <c r="BO697" i="13"/>
  <c r="AE716" i="13"/>
  <c r="U754" i="13"/>
  <c r="W754" i="13" s="1"/>
  <c r="V754" i="13"/>
  <c r="BV772" i="13"/>
  <c r="BO823" i="13"/>
  <c r="BJ823" i="13"/>
  <c r="AB827" i="13"/>
  <c r="AB830" i="13"/>
  <c r="AB893" i="13"/>
  <c r="AA893" i="13"/>
  <c r="AC893" i="13" s="1"/>
  <c r="AX912" i="13"/>
  <c r="BB912" i="13"/>
  <c r="AS912" i="13"/>
  <c r="AJ912" i="13"/>
  <c r="AQ918" i="13"/>
  <c r="AY918" i="13"/>
  <c r="AZ964" i="13"/>
  <c r="AX964" i="13"/>
  <c r="AM964" i="13"/>
  <c r="AA924" i="13"/>
  <c r="AC924" i="13" s="1"/>
  <c r="AA930" i="13"/>
  <c r="AC930" i="13" s="1"/>
  <c r="AJ935" i="13"/>
  <c r="U939" i="13"/>
  <c r="W939" i="13" s="1"/>
  <c r="AW958" i="13"/>
  <c r="BP912" i="13"/>
  <c r="BE922" i="13"/>
  <c r="AA933" i="13"/>
  <c r="AC933" i="13" s="1"/>
  <c r="AB956" i="13"/>
  <c r="AA961" i="13"/>
  <c r="AC961" i="13" s="1"/>
  <c r="V964" i="13"/>
  <c r="AE964" i="13" s="1"/>
  <c r="AO967" i="13"/>
  <c r="BK979" i="13"/>
  <c r="BH1009" i="13"/>
  <c r="AA996" i="13"/>
  <c r="AC996" i="13" s="1"/>
  <c r="V839" i="13"/>
  <c r="AA841" i="13"/>
  <c r="AC841" i="13" s="1"/>
  <c r="AB847" i="13"/>
  <c r="AB858" i="13"/>
  <c r="AE858" i="13" s="1"/>
  <c r="BI868" i="13"/>
  <c r="BH877" i="13"/>
  <c r="BP882" i="13"/>
  <c r="AT899" i="13"/>
  <c r="BL903" i="13"/>
  <c r="AT908" i="13"/>
  <c r="BR912" i="13"/>
  <c r="AP924" i="13"/>
  <c r="AJ965" i="13"/>
  <c r="BA967" i="13"/>
  <c r="AY971" i="13"/>
  <c r="AA984" i="13"/>
  <c r="AC984" i="13" s="1"/>
  <c r="AA987" i="13"/>
  <c r="AC987" i="13" s="1"/>
  <c r="BJ1001" i="13"/>
  <c r="AE988" i="13"/>
  <c r="AB992" i="13"/>
  <c r="AR763" i="13"/>
  <c r="BG792" i="13"/>
  <c r="BO868" i="13"/>
  <c r="BM895" i="13"/>
  <c r="AY899" i="13"/>
  <c r="BO903" i="13"/>
  <c r="AY908" i="13"/>
  <c r="BN1001" i="13"/>
  <c r="AT1006" i="13"/>
  <c r="V991" i="13"/>
  <c r="AE991" i="13" s="1"/>
  <c r="U993" i="13"/>
  <c r="W993" i="13" s="1"/>
  <c r="BP1001" i="13"/>
  <c r="BF988" i="13"/>
  <c r="BS996" i="13"/>
  <c r="AR742" i="13"/>
  <c r="BP777" i="13"/>
  <c r="BL786" i="13"/>
  <c r="BW792" i="13"/>
  <c r="AX799" i="13"/>
  <c r="AL824" i="13"/>
  <c r="V849" i="13"/>
  <c r="BW868" i="13"/>
  <c r="BK878" i="13"/>
  <c r="AA884" i="13"/>
  <c r="AC884" i="13" s="1"/>
  <c r="BR899" i="13"/>
  <c r="U905" i="13"/>
  <c r="W905" i="13" s="1"/>
  <c r="BN908" i="13"/>
  <c r="V909" i="13"/>
  <c r="BG912" i="13"/>
  <c r="V915" i="13"/>
  <c r="AE915" i="13" s="1"/>
  <c r="V918" i="13"/>
  <c r="AE918" i="13" s="1"/>
  <c r="AT919" i="13"/>
  <c r="AB922" i="13"/>
  <c r="AA938" i="13"/>
  <c r="AC938" i="13" s="1"/>
  <c r="BK912" i="13"/>
  <c r="V951" i="13"/>
  <c r="AE951" i="13" s="1"/>
  <c r="V956" i="13"/>
  <c r="AO958" i="13"/>
  <c r="U961" i="13"/>
  <c r="W961" i="13" s="1"/>
  <c r="BN964" i="13"/>
  <c r="AB1002" i="13"/>
  <c r="AZ673" i="13"/>
  <c r="AL673" i="13"/>
  <c r="AJ673" i="13"/>
  <c r="AY673" i="13"/>
  <c r="AR673" i="13"/>
  <c r="AQ673" i="13"/>
  <c r="AK770" i="13"/>
  <c r="AW770" i="13"/>
  <c r="V774" i="13"/>
  <c r="U774" i="13"/>
  <c r="W774" i="13" s="1"/>
  <c r="AK776" i="13"/>
  <c r="AU776" i="13"/>
  <c r="AO776" i="13"/>
  <c r="AA782" i="13"/>
  <c r="AC782" i="13" s="1"/>
  <c r="AB782" i="13"/>
  <c r="V790" i="13"/>
  <c r="U790" i="13"/>
  <c r="W790" i="13" s="1"/>
  <c r="AQ882" i="13"/>
  <c r="AJ882" i="13"/>
  <c r="AS882" i="13"/>
  <c r="AP882" i="13"/>
  <c r="V999" i="13"/>
  <c r="U999" i="13"/>
  <c r="W999" i="13" s="1"/>
  <c r="V219" i="13"/>
  <c r="AE219" i="13" s="1"/>
  <c r="AP221" i="13"/>
  <c r="AO224" i="13"/>
  <c r="AB238" i="13"/>
  <c r="AP247" i="13"/>
  <c r="AP251" i="13"/>
  <c r="V255" i="13"/>
  <c r="AE255" i="13" s="1"/>
  <c r="V256" i="13"/>
  <c r="AB260" i="13"/>
  <c r="AE260" i="13" s="1"/>
  <c r="AA263" i="13"/>
  <c r="AC263" i="13" s="1"/>
  <c r="AF263" i="13" s="1"/>
  <c r="AK268" i="13"/>
  <c r="U270" i="13"/>
  <c r="W270" i="13" s="1"/>
  <c r="AQ273" i="13"/>
  <c r="V277" i="13"/>
  <c r="AE277" i="13" s="1"/>
  <c r="AP283" i="13"/>
  <c r="AA285" i="13"/>
  <c r="AC285" i="13" s="1"/>
  <c r="AA287" i="13"/>
  <c r="AC287" i="13" s="1"/>
  <c r="U300" i="13"/>
  <c r="W300" i="13" s="1"/>
  <c r="AR308" i="13"/>
  <c r="AQ308" i="13"/>
  <c r="AP308" i="13"/>
  <c r="U312" i="13"/>
  <c r="W312" i="13" s="1"/>
  <c r="AA313" i="13"/>
  <c r="AC313" i="13" s="1"/>
  <c r="U317" i="13"/>
  <c r="W317" i="13" s="1"/>
  <c r="BA320" i="13"/>
  <c r="AV320" i="13"/>
  <c r="U330" i="13"/>
  <c r="W330" i="13" s="1"/>
  <c r="AB332" i="13"/>
  <c r="AE332" i="13" s="1"/>
  <c r="AA376" i="13"/>
  <c r="AC376" i="13" s="1"/>
  <c r="AF376" i="13" s="1"/>
  <c r="AJ391" i="13"/>
  <c r="AK393" i="13"/>
  <c r="U395" i="13"/>
  <c r="W395" i="13" s="1"/>
  <c r="AA408" i="13"/>
  <c r="AC408" i="13" s="1"/>
  <c r="AM416" i="13"/>
  <c r="AB426" i="13"/>
  <c r="V441" i="13"/>
  <c r="AE441" i="13" s="1"/>
  <c r="AM455" i="13"/>
  <c r="U458" i="13"/>
  <c r="W458" i="13" s="1"/>
  <c r="V463" i="13"/>
  <c r="U463" i="13"/>
  <c r="W463" i="13" s="1"/>
  <c r="AK473" i="13"/>
  <c r="V477" i="13"/>
  <c r="AV484" i="13"/>
  <c r="V525" i="13"/>
  <c r="U525" i="13"/>
  <c r="W525" i="13" s="1"/>
  <c r="AN546" i="13"/>
  <c r="U548" i="13"/>
  <c r="W548" i="13" s="1"/>
  <c r="V571" i="13"/>
  <c r="U571" i="13"/>
  <c r="W571" i="13" s="1"/>
  <c r="BB594" i="13"/>
  <c r="AK594" i="13"/>
  <c r="AW610" i="13"/>
  <c r="AQ610" i="13"/>
  <c r="V636" i="13"/>
  <c r="U636" i="13"/>
  <c r="W636" i="13" s="1"/>
  <c r="V664" i="13"/>
  <c r="U670" i="13"/>
  <c r="W670" i="13" s="1"/>
  <c r="AN673" i="13"/>
  <c r="U719" i="13"/>
  <c r="W719" i="13" s="1"/>
  <c r="V719" i="13"/>
  <c r="AB765" i="13"/>
  <c r="AE765" i="13" s="1"/>
  <c r="AA765" i="13"/>
  <c r="AC765" i="13" s="1"/>
  <c r="AB774" i="13"/>
  <c r="AA774" i="13"/>
  <c r="AC774" i="13" s="1"/>
  <c r="V916" i="13"/>
  <c r="AE916" i="13" s="1"/>
  <c r="U916" i="13"/>
  <c r="W916" i="13" s="1"/>
  <c r="AB737" i="13"/>
  <c r="AA737" i="13"/>
  <c r="AC737" i="13" s="1"/>
  <c r="AZ738" i="13"/>
  <c r="AK738" i="13"/>
  <c r="AW738" i="13"/>
  <c r="AO738" i="13"/>
  <c r="AU738" i="13"/>
  <c r="BB765" i="13"/>
  <c r="AP765" i="13"/>
  <c r="AV765" i="13"/>
  <c r="AJ765" i="13"/>
  <c r="AM765" i="13"/>
  <c r="AA853" i="13"/>
  <c r="AC853" i="13" s="1"/>
  <c r="AB853" i="13"/>
  <c r="AV474" i="13"/>
  <c r="BB474" i="13"/>
  <c r="AA522" i="13"/>
  <c r="AC522" i="13" s="1"/>
  <c r="AB522" i="13"/>
  <c r="AW356" i="13"/>
  <c r="AR356" i="13"/>
  <c r="AX474" i="13"/>
  <c r="AW484" i="13"/>
  <c r="AB525" i="13"/>
  <c r="AA525" i="13"/>
  <c r="AC525" i="13" s="1"/>
  <c r="AZ538" i="13"/>
  <c r="AN538" i="13"/>
  <c r="AU546" i="13"/>
  <c r="AA571" i="13"/>
  <c r="AC571" i="13" s="1"/>
  <c r="AB571" i="13"/>
  <c r="AT602" i="13"/>
  <c r="AS602" i="13"/>
  <c r="AK223" i="13"/>
  <c r="AA231" i="13"/>
  <c r="AC231" i="13" s="1"/>
  <c r="AF231" i="13" s="1"/>
  <c r="V235" i="13"/>
  <c r="AE235" i="13" s="1"/>
  <c r="U248" i="13"/>
  <c r="W248" i="13" s="1"/>
  <c r="U254" i="13"/>
  <c r="W254" i="13" s="1"/>
  <c r="AA255" i="13"/>
  <c r="AC255" i="13" s="1"/>
  <c r="AB256" i="13"/>
  <c r="AE256" i="13" s="1"/>
  <c r="AJ263" i="13"/>
  <c r="V269" i="13"/>
  <c r="AE269" i="13" s="1"/>
  <c r="AY273" i="13"/>
  <c r="AA275" i="13"/>
  <c r="AC275" i="13" s="1"/>
  <c r="U284" i="13"/>
  <c r="W284" i="13" s="1"/>
  <c r="AE299" i="13"/>
  <c r="U310" i="13"/>
  <c r="W310" i="13" s="1"/>
  <c r="AL315" i="13"/>
  <c r="AE317" i="13"/>
  <c r="AJ335" i="13"/>
  <c r="AK356" i="13"/>
  <c r="AN360" i="13"/>
  <c r="AB375" i="13"/>
  <c r="V413" i="13"/>
  <c r="AW455" i="13"/>
  <c r="AL458" i="13"/>
  <c r="AO458" i="13"/>
  <c r="U469" i="13"/>
  <c r="W469" i="13" s="1"/>
  <c r="V485" i="13"/>
  <c r="AA504" i="13"/>
  <c r="AC504" i="13" s="1"/>
  <c r="AB504" i="13"/>
  <c r="AO509" i="13"/>
  <c r="U512" i="13"/>
  <c r="W512" i="13" s="1"/>
  <c r="BA530" i="13"/>
  <c r="AK530" i="13"/>
  <c r="V545" i="13"/>
  <c r="V577" i="13"/>
  <c r="U579" i="13"/>
  <c r="W579" i="13" s="1"/>
  <c r="AP580" i="13"/>
  <c r="AB599" i="13"/>
  <c r="AE599" i="13" s="1"/>
  <c r="AA599" i="13"/>
  <c r="AC599" i="13" s="1"/>
  <c r="AL602" i="13"/>
  <c r="V620" i="13"/>
  <c r="U620" i="13"/>
  <c r="W620" i="13" s="1"/>
  <c r="V624" i="13"/>
  <c r="U624" i="13"/>
  <c r="W624" i="13" s="1"/>
  <c r="V656" i="13"/>
  <c r="AE656" i="13" s="1"/>
  <c r="U656" i="13"/>
  <c r="W656" i="13" s="1"/>
  <c r="U712" i="13"/>
  <c r="W712" i="13" s="1"/>
  <c r="V712" i="13"/>
  <c r="U740" i="13"/>
  <c r="W740" i="13" s="1"/>
  <c r="V740" i="13"/>
  <c r="U757" i="13"/>
  <c r="W757" i="13" s="1"/>
  <c r="V757" i="13"/>
  <c r="AN853" i="13"/>
  <c r="AR853" i="13"/>
  <c r="BB393" i="13"/>
  <c r="BA393" i="13"/>
  <c r="BA416" i="13"/>
  <c r="AX416" i="13"/>
  <c r="AB418" i="13"/>
  <c r="AA418" i="13"/>
  <c r="AC418" i="13" s="1"/>
  <c r="AA428" i="13"/>
  <c r="AC428" i="13" s="1"/>
  <c r="AB428" i="13"/>
  <c r="U596" i="13"/>
  <c r="W596" i="13" s="1"/>
  <c r="V596" i="13"/>
  <c r="AE596" i="13" s="1"/>
  <c r="AP223" i="13"/>
  <c r="AK263" i="13"/>
  <c r="AE265" i="13"/>
  <c r="AU276" i="13"/>
  <c r="AE284" i="13"/>
  <c r="AP290" i="13"/>
  <c r="AA292" i="13"/>
  <c r="AC292" i="13" s="1"/>
  <c r="V295" i="13"/>
  <c r="AB297" i="13"/>
  <c r="U298" i="13"/>
  <c r="W298" i="13" s="1"/>
  <c r="AF298" i="13" s="1"/>
  <c r="U299" i="13"/>
  <c r="W299" i="13" s="1"/>
  <c r="V303" i="13"/>
  <c r="AE303" i="13" s="1"/>
  <c r="AE310" i="13"/>
  <c r="AM315" i="13"/>
  <c r="AQ335" i="13"/>
  <c r="AB337" i="13"/>
  <c r="AB339" i="13"/>
  <c r="AB342" i="13"/>
  <c r="AA342" i="13"/>
  <c r="AC342" i="13" s="1"/>
  <c r="AA355" i="13"/>
  <c r="AC355" i="13" s="1"/>
  <c r="AB355" i="13"/>
  <c r="AE355" i="13" s="1"/>
  <c r="AA373" i="13"/>
  <c r="AC373" i="13" s="1"/>
  <c r="AF373" i="13" s="1"/>
  <c r="AQ387" i="13"/>
  <c r="AB407" i="13"/>
  <c r="AE407" i="13" s="1"/>
  <c r="AA407" i="13"/>
  <c r="AC407" i="13" s="1"/>
  <c r="V415" i="13"/>
  <c r="U415" i="13"/>
  <c r="W415" i="13" s="1"/>
  <c r="U421" i="13"/>
  <c r="W421" i="13" s="1"/>
  <c r="V436" i="13"/>
  <c r="AW509" i="13"/>
  <c r="V517" i="13"/>
  <c r="AZ521" i="13"/>
  <c r="AO521" i="13"/>
  <c r="AN530" i="13"/>
  <c r="U564" i="13"/>
  <c r="W564" i="13" s="1"/>
  <c r="V564" i="13"/>
  <c r="AE564" i="13" s="1"/>
  <c r="AB572" i="13"/>
  <c r="AE572" i="13" s="1"/>
  <c r="AA572" i="13"/>
  <c r="AC572" i="13" s="1"/>
  <c r="AY598" i="13"/>
  <c r="AL598" i="13"/>
  <c r="AO598" i="13"/>
  <c r="AX598" i="13"/>
  <c r="AU598" i="13"/>
  <c r="AT598" i="13"/>
  <c r="BA599" i="13"/>
  <c r="AY599" i="13"/>
  <c r="AA607" i="13"/>
  <c r="AC607" i="13" s="1"/>
  <c r="AA622" i="13"/>
  <c r="AC622" i="13" s="1"/>
  <c r="AB622" i="13"/>
  <c r="AA655" i="13"/>
  <c r="AC655" i="13" s="1"/>
  <c r="AA682" i="13"/>
  <c r="AC682" i="13" s="1"/>
  <c r="U708" i="13"/>
  <c r="W708" i="13" s="1"/>
  <c r="V708" i="13"/>
  <c r="V710" i="13"/>
  <c r="AM738" i="13"/>
  <c r="AW808" i="13"/>
  <c r="AT808" i="13"/>
  <c r="AL808" i="13"/>
  <c r="AU601" i="13"/>
  <c r="AL601" i="13"/>
  <c r="AX639" i="13"/>
  <c r="AO639" i="13"/>
  <c r="V364" i="13"/>
  <c r="AE364" i="13" s="1"/>
  <c r="U364" i="13"/>
  <c r="W364" i="13" s="1"/>
  <c r="V224" i="13"/>
  <c r="AB241" i="13"/>
  <c r="AM243" i="13"/>
  <c r="V251" i="13"/>
  <c r="AE251" i="13" s="1"/>
  <c r="AE257" i="13"/>
  <c r="V261" i="13"/>
  <c r="AE261" i="13" s="1"/>
  <c r="BA290" i="13"/>
  <c r="AK323" i="13"/>
  <c r="U326" i="13"/>
  <c r="W326" i="13" s="1"/>
  <c r="U336" i="13"/>
  <c r="W336" i="13" s="1"/>
  <c r="AY350" i="13"/>
  <c r="AZ350" i="13"/>
  <c r="AW350" i="13"/>
  <c r="BA352" i="13"/>
  <c r="AO352" i="13"/>
  <c r="AA370" i="13"/>
  <c r="AC370" i="13" s="1"/>
  <c r="U385" i="13"/>
  <c r="W385" i="13" s="1"/>
  <c r="AY387" i="13"/>
  <c r="AB390" i="13"/>
  <c r="AE390" i="13" s="1"/>
  <c r="AA390" i="13"/>
  <c r="AC390" i="13" s="1"/>
  <c r="AM405" i="13"/>
  <c r="V412" i="13"/>
  <c r="AB413" i="13"/>
  <c r="AB436" i="13"/>
  <c r="AA436" i="13"/>
  <c r="AC436" i="13" s="1"/>
  <c r="AF436" i="13" s="1"/>
  <c r="U493" i="13"/>
  <c r="W493" i="13" s="1"/>
  <c r="V493" i="13"/>
  <c r="V502" i="13"/>
  <c r="U502" i="13"/>
  <c r="W502" i="13" s="1"/>
  <c r="AZ507" i="13"/>
  <c r="AB510" i="13"/>
  <c r="AA510" i="13"/>
  <c r="AC510" i="13" s="1"/>
  <c r="U515" i="13"/>
  <c r="W515" i="13" s="1"/>
  <c r="AU530" i="13"/>
  <c r="V535" i="13"/>
  <c r="U535" i="13"/>
  <c r="W535" i="13" s="1"/>
  <c r="AB537" i="13"/>
  <c r="AA539" i="13"/>
  <c r="AC539" i="13" s="1"/>
  <c r="V575" i="13"/>
  <c r="AE575" i="13" s="1"/>
  <c r="AB581" i="13"/>
  <c r="AK598" i="13"/>
  <c r="AV607" i="13"/>
  <c r="AW607" i="13"/>
  <c r="AZ607" i="13"/>
  <c r="AU607" i="13"/>
  <c r="AO607" i="13"/>
  <c r="AK607" i="13"/>
  <c r="U613" i="13"/>
  <c r="W613" i="13" s="1"/>
  <c r="AA628" i="13"/>
  <c r="AC628" i="13" s="1"/>
  <c r="AB628" i="13"/>
  <c r="AA653" i="13"/>
  <c r="AC653" i="13" s="1"/>
  <c r="AN682" i="13"/>
  <c r="AW682" i="13"/>
  <c r="U736" i="13"/>
  <c r="W736" i="13" s="1"/>
  <c r="AB826" i="13"/>
  <c r="AA826" i="13"/>
  <c r="AC826" i="13" s="1"/>
  <c r="AZ837" i="13"/>
  <c r="AN837" i="13"/>
  <c r="AW837" i="13"/>
  <c r="U846" i="13"/>
  <c r="W846" i="13" s="1"/>
  <c r="V846" i="13"/>
  <c r="AE846" i="13" s="1"/>
  <c r="AT455" i="13"/>
  <c r="AS516" i="13"/>
  <c r="AK516" i="13"/>
  <c r="BB536" i="13"/>
  <c r="AT536" i="13"/>
  <c r="V374" i="13"/>
  <c r="AE374" i="13" s="1"/>
  <c r="U374" i="13"/>
  <c r="W374" i="13" s="1"/>
  <c r="AE385" i="13"/>
  <c r="U388" i="13"/>
  <c r="W388" i="13" s="1"/>
  <c r="V388" i="13"/>
  <c r="AE388" i="13" s="1"/>
  <c r="AX405" i="13"/>
  <c r="U406" i="13"/>
  <c r="W406" i="13" s="1"/>
  <c r="V406" i="13"/>
  <c r="AW420" i="13"/>
  <c r="BB420" i="13"/>
  <c r="AA421" i="13"/>
  <c r="AC421" i="13" s="1"/>
  <c r="AB421" i="13"/>
  <c r="AB427" i="13"/>
  <c r="AE427" i="13" s="1"/>
  <c r="U451" i="13"/>
  <c r="W451" i="13" s="1"/>
  <c r="AA508" i="13"/>
  <c r="AC508" i="13" s="1"/>
  <c r="AB508" i="13"/>
  <c r="AA593" i="13"/>
  <c r="AC593" i="13" s="1"/>
  <c r="AB593" i="13"/>
  <c r="AM598" i="13"/>
  <c r="AY606" i="13"/>
  <c r="BB606" i="13"/>
  <c r="AL606" i="13"/>
  <c r="AP606" i="13"/>
  <c r="AW606" i="13"/>
  <c r="AV606" i="13"/>
  <c r="AT606" i="13"/>
  <c r="AO606" i="13"/>
  <c r="V680" i="13"/>
  <c r="U680" i="13"/>
  <c r="W680" i="13" s="1"/>
  <c r="AM725" i="13"/>
  <c r="AW725" i="13"/>
  <c r="AL725" i="13"/>
  <c r="BA725" i="13"/>
  <c r="AZ725" i="13"/>
  <c r="AB817" i="13"/>
  <c r="AE817" i="13" s="1"/>
  <c r="U500" i="13"/>
  <c r="W500" i="13" s="1"/>
  <c r="V500" i="13"/>
  <c r="U586" i="13"/>
  <c r="W586" i="13" s="1"/>
  <c r="V586" i="13"/>
  <c r="U634" i="13"/>
  <c r="W634" i="13" s="1"/>
  <c r="V634" i="13"/>
  <c r="AY315" i="13"/>
  <c r="AW315" i="13"/>
  <c r="AO315" i="13"/>
  <c r="AB382" i="13"/>
  <c r="AA382" i="13"/>
  <c r="AC382" i="13" s="1"/>
  <c r="AT393" i="13"/>
  <c r="BB408" i="13"/>
  <c r="AP408" i="13"/>
  <c r="AB548" i="13"/>
  <c r="AE548" i="13" s="1"/>
  <c r="AA548" i="13"/>
  <c r="AC548" i="13" s="1"/>
  <c r="V238" i="13"/>
  <c r="U242" i="13"/>
  <c r="W242" i="13" s="1"/>
  <c r="AL257" i="13"/>
  <c r="V263" i="13"/>
  <c r="AE263" i="13" s="1"/>
  <c r="AB268" i="13"/>
  <c r="AE268" i="13" s="1"/>
  <c r="AJ273" i="13"/>
  <c r="V274" i="13"/>
  <c r="AE274" i="13" s="1"/>
  <c r="AJ283" i="13"/>
  <c r="U285" i="13"/>
  <c r="W285" i="13" s="1"/>
  <c r="AB298" i="13"/>
  <c r="AE298" i="13" s="1"/>
  <c r="AA309" i="13"/>
  <c r="AC309" i="13" s="1"/>
  <c r="AF309" i="13" s="1"/>
  <c r="AB316" i="13"/>
  <c r="AE316" i="13" s="1"/>
  <c r="AA333" i="13"/>
  <c r="AC333" i="13" s="1"/>
  <c r="AU349" i="13"/>
  <c r="AS350" i="13"/>
  <c r="U367" i="13"/>
  <c r="W367" i="13" s="1"/>
  <c r="AW412" i="13"/>
  <c r="AS412" i="13"/>
  <c r="AL412" i="13"/>
  <c r="AL420" i="13"/>
  <c r="AA430" i="13"/>
  <c r="AC430" i="13" s="1"/>
  <c r="AA446" i="13"/>
  <c r="AC446" i="13" s="1"/>
  <c r="U464" i="13"/>
  <c r="W464" i="13" s="1"/>
  <c r="V468" i="13"/>
  <c r="U468" i="13"/>
  <c r="W468" i="13" s="1"/>
  <c r="U503" i="13"/>
  <c r="W503" i="13" s="1"/>
  <c r="V503" i="13"/>
  <c r="AA573" i="13"/>
  <c r="AC573" i="13" s="1"/>
  <c r="AB573" i="13"/>
  <c r="AE573" i="13" s="1"/>
  <c r="AJ606" i="13"/>
  <c r="AL611" i="13"/>
  <c r="AX611" i="13"/>
  <c r="AW611" i="13"/>
  <c r="AA639" i="13"/>
  <c r="AC639" i="13" s="1"/>
  <c r="AB639" i="13"/>
  <c r="AJ725" i="13"/>
  <c r="AZ910" i="13"/>
  <c r="AW910" i="13"/>
  <c r="AY496" i="13"/>
  <c r="AT496" i="13"/>
  <c r="V524" i="13"/>
  <c r="U524" i="13"/>
  <c r="W524" i="13" s="1"/>
  <c r="V541" i="13"/>
  <c r="U541" i="13"/>
  <c r="W541" i="13" s="1"/>
  <c r="AX553" i="13"/>
  <c r="AW553" i="13"/>
  <c r="AW575" i="13"/>
  <c r="AV575" i="13"/>
  <c r="AV653" i="13"/>
  <c r="AU653" i="13"/>
  <c r="AB710" i="13"/>
  <c r="AA710" i="13"/>
  <c r="AC710" i="13" s="1"/>
  <c r="AF710" i="13" s="1"/>
  <c r="U729" i="13"/>
  <c r="W729" i="13" s="1"/>
  <c r="V729" i="13"/>
  <c r="AE729" i="13" s="1"/>
  <c r="AY819" i="13"/>
  <c r="AJ819" i="13"/>
  <c r="AW819" i="13"/>
  <c r="AK819" i="13"/>
  <c r="AU819" i="13"/>
  <c r="AL819" i="13"/>
  <c r="AW851" i="13"/>
  <c r="AL851" i="13"/>
  <c r="AP851" i="13"/>
  <c r="U861" i="13"/>
  <c r="W861" i="13" s="1"/>
  <c r="V861" i="13"/>
  <c r="AX868" i="13"/>
  <c r="AW868" i="13"/>
  <c r="AJ868" i="13"/>
  <c r="AP868" i="13"/>
  <c r="AA325" i="13"/>
  <c r="AC325" i="13" s="1"/>
  <c r="AO328" i="13"/>
  <c r="AA331" i="13"/>
  <c r="AC331" i="13" s="1"/>
  <c r="AK332" i="13"/>
  <c r="AJ333" i="13"/>
  <c r="V344" i="13"/>
  <c r="AE344" i="13" s="1"/>
  <c r="U348" i="13"/>
  <c r="W348" i="13" s="1"/>
  <c r="U357" i="13"/>
  <c r="W357" i="13" s="1"/>
  <c r="V360" i="13"/>
  <c r="AE360" i="13" s="1"/>
  <c r="AA361" i="13"/>
  <c r="AC361" i="13" s="1"/>
  <c r="V363" i="13"/>
  <c r="AQ367" i="13"/>
  <c r="V380" i="13"/>
  <c r="AX383" i="13"/>
  <c r="U400" i="13"/>
  <c r="W400" i="13" s="1"/>
  <c r="V402" i="13"/>
  <c r="AE402" i="13" s="1"/>
  <c r="AB404" i="13"/>
  <c r="V411" i="13"/>
  <c r="AX413" i="13"/>
  <c r="U417" i="13"/>
  <c r="W417" i="13" s="1"/>
  <c r="V425" i="13"/>
  <c r="AB434" i="13"/>
  <c r="U445" i="13"/>
  <c r="W445" i="13" s="1"/>
  <c r="AB451" i="13"/>
  <c r="AE451" i="13" s="1"/>
  <c r="AP452" i="13"/>
  <c r="AB460" i="13"/>
  <c r="AJ469" i="13"/>
  <c r="AB472" i="13"/>
  <c r="AA479" i="13"/>
  <c r="AC479" i="13" s="1"/>
  <c r="AA487" i="13"/>
  <c r="AC487" i="13" s="1"/>
  <c r="AB511" i="13"/>
  <c r="AA511" i="13"/>
  <c r="AC511" i="13" s="1"/>
  <c r="V609" i="13"/>
  <c r="U609" i="13"/>
  <c r="W609" i="13" s="1"/>
  <c r="AU628" i="13"/>
  <c r="AQ628" i="13"/>
  <c r="V675" i="13"/>
  <c r="U675" i="13"/>
  <c r="W675" i="13" s="1"/>
  <c r="AW727" i="13"/>
  <c r="AU727" i="13"/>
  <c r="AQ790" i="13"/>
  <c r="AO790" i="13"/>
  <c r="AB849" i="13"/>
  <c r="AA849" i="13"/>
  <c r="AC849" i="13" s="1"/>
  <c r="AR857" i="13"/>
  <c r="AV857" i="13"/>
  <c r="U871" i="13"/>
  <c r="W871" i="13" s="1"/>
  <c r="V871" i="13"/>
  <c r="AL309" i="13"/>
  <c r="AA311" i="13"/>
  <c r="AC311" i="13" s="1"/>
  <c r="AJ317" i="13"/>
  <c r="U324" i="13"/>
  <c r="W324" i="13" s="1"/>
  <c r="BA326" i="13"/>
  <c r="AS332" i="13"/>
  <c r="AM333" i="13"/>
  <c r="AE340" i="13"/>
  <c r="AU367" i="13"/>
  <c r="AB406" i="13"/>
  <c r="AJ407" i="13"/>
  <c r="AB415" i="13"/>
  <c r="AE417" i="13"/>
  <c r="AP443" i="13"/>
  <c r="AL477" i="13"/>
  <c r="V484" i="13"/>
  <c r="AN488" i="13"/>
  <c r="AK493" i="13"/>
  <c r="U495" i="13"/>
  <c r="W495" i="13" s="1"/>
  <c r="AP515" i="13"/>
  <c r="AR524" i="13"/>
  <c r="AJ524" i="13"/>
  <c r="V530" i="13"/>
  <c r="V536" i="13"/>
  <c r="AB541" i="13"/>
  <c r="AX545" i="13"/>
  <c r="V547" i="13"/>
  <c r="AE547" i="13" s="1"/>
  <c r="U547" i="13"/>
  <c r="W547" i="13" s="1"/>
  <c r="AZ554" i="13"/>
  <c r="AX554" i="13"/>
  <c r="U555" i="13"/>
  <c r="W555" i="13" s="1"/>
  <c r="AB560" i="13"/>
  <c r="AY568" i="13"/>
  <c r="AS568" i="13"/>
  <c r="U572" i="13"/>
  <c r="W572" i="13" s="1"/>
  <c r="AA576" i="13"/>
  <c r="AC576" i="13" s="1"/>
  <c r="AE582" i="13"/>
  <c r="V585" i="13"/>
  <c r="U601" i="13"/>
  <c r="W601" i="13" s="1"/>
  <c r="V601" i="13"/>
  <c r="AE601" i="13" s="1"/>
  <c r="U606" i="13"/>
  <c r="W606" i="13" s="1"/>
  <c r="AX628" i="13"/>
  <c r="AT633" i="13"/>
  <c r="BB633" i="13"/>
  <c r="U640" i="13"/>
  <c r="W640" i="13" s="1"/>
  <c r="V654" i="13"/>
  <c r="AZ668" i="13"/>
  <c r="V674" i="13"/>
  <c r="U674" i="13"/>
  <c r="W674" i="13" s="1"/>
  <c r="AF674" i="13" s="1"/>
  <c r="AA675" i="13"/>
  <c r="AC675" i="13" s="1"/>
  <c r="AB675" i="13"/>
  <c r="AU710" i="13"/>
  <c r="AB715" i="13"/>
  <c r="AY719" i="13"/>
  <c r="AX719" i="13"/>
  <c r="AW719" i="13"/>
  <c r="AV727" i="13"/>
  <c r="U730" i="13"/>
  <c r="W730" i="13" s="1"/>
  <c r="AF730" i="13" s="1"/>
  <c r="V730" i="13"/>
  <c r="AY736" i="13"/>
  <c r="AM736" i="13"/>
  <c r="AK736" i="13"/>
  <c r="AA783" i="13"/>
  <c r="AC783" i="13" s="1"/>
  <c r="AB783" i="13"/>
  <c r="AB794" i="13"/>
  <c r="AE794" i="13" s="1"/>
  <c r="AB796" i="13"/>
  <c r="AB833" i="13"/>
  <c r="U852" i="13"/>
  <c r="W852" i="13" s="1"/>
  <c r="V852" i="13"/>
  <c r="AK865" i="13"/>
  <c r="U866" i="13"/>
  <c r="W866" i="13" s="1"/>
  <c r="V866" i="13"/>
  <c r="AE866" i="13" s="1"/>
  <c r="AB892" i="13"/>
  <c r="AE892" i="13" s="1"/>
  <c r="AA892" i="13"/>
  <c r="AC892" i="13" s="1"/>
  <c r="AB902" i="13"/>
  <c r="AA902" i="13"/>
  <c r="AC902" i="13" s="1"/>
  <c r="AQ364" i="13"/>
  <c r="AA374" i="13"/>
  <c r="AC374" i="13" s="1"/>
  <c r="AB411" i="13"/>
  <c r="AQ421" i="13"/>
  <c r="V433" i="13"/>
  <c r="AB453" i="13"/>
  <c r="AE453" i="13" s="1"/>
  <c r="U482" i="13"/>
  <c r="W482" i="13" s="1"/>
  <c r="U486" i="13"/>
  <c r="W486" i="13" s="1"/>
  <c r="AN487" i="13"/>
  <c r="AO488" i="13"/>
  <c r="U494" i="13"/>
  <c r="W494" i="13" s="1"/>
  <c r="AO496" i="13"/>
  <c r="AA509" i="13"/>
  <c r="AC509" i="13" s="1"/>
  <c r="AB509" i="13"/>
  <c r="U516" i="13"/>
  <c r="W516" i="13" s="1"/>
  <c r="V516" i="13"/>
  <c r="AN524" i="13"/>
  <c r="AA526" i="13"/>
  <c r="AC526" i="13" s="1"/>
  <c r="AR528" i="13"/>
  <c r="AA552" i="13"/>
  <c r="AC552" i="13" s="1"/>
  <c r="AL554" i="13"/>
  <c r="AB555" i="13"/>
  <c r="AE555" i="13" s="1"/>
  <c r="AA555" i="13"/>
  <c r="AC555" i="13" s="1"/>
  <c r="U562" i="13"/>
  <c r="W562" i="13" s="1"/>
  <c r="AL568" i="13"/>
  <c r="AB584" i="13"/>
  <c r="U589" i="13"/>
  <c r="W589" i="13" s="1"/>
  <c r="BA595" i="13"/>
  <c r="AM595" i="13"/>
  <c r="AU615" i="13"/>
  <c r="AX621" i="13"/>
  <c r="AS621" i="13"/>
  <c r="U629" i="13"/>
  <c r="W629" i="13" s="1"/>
  <c r="V659" i="13"/>
  <c r="BA675" i="13"/>
  <c r="AJ675" i="13"/>
  <c r="AB701" i="13"/>
  <c r="AA701" i="13"/>
  <c r="AC701" i="13" s="1"/>
  <c r="AL736" i="13"/>
  <c r="AB745" i="13"/>
  <c r="AA745" i="13"/>
  <c r="AC745" i="13" s="1"/>
  <c r="AB785" i="13"/>
  <c r="AA785" i="13"/>
  <c r="AC785" i="13" s="1"/>
  <c r="AF785" i="13" s="1"/>
  <c r="V808" i="13"/>
  <c r="U808" i="13"/>
  <c r="W808" i="13" s="1"/>
  <c r="AA825" i="13"/>
  <c r="AC825" i="13" s="1"/>
  <c r="AB825" i="13"/>
  <c r="V850" i="13"/>
  <c r="AO859" i="13"/>
  <c r="BA859" i="13"/>
  <c r="AW907" i="13"/>
  <c r="AL907" i="13"/>
  <c r="AB948" i="13"/>
  <c r="AA948" i="13"/>
  <c r="AC948" i="13" s="1"/>
  <c r="AS652" i="13"/>
  <c r="BA652" i="13"/>
  <c r="BB717" i="13"/>
  <c r="AR717" i="13"/>
  <c r="AA738" i="13"/>
  <c r="AC738" i="13" s="1"/>
  <c r="AB738" i="13"/>
  <c r="AB741" i="13"/>
  <c r="AE741" i="13" s="1"/>
  <c r="AA741" i="13"/>
  <c r="AC741" i="13" s="1"/>
  <c r="AY748" i="13"/>
  <c r="AP748" i="13"/>
  <c r="AW785" i="13"/>
  <c r="AQ785" i="13"/>
  <c r="AA803" i="13"/>
  <c r="AC803" i="13" s="1"/>
  <c r="AB803" i="13"/>
  <c r="AT900" i="13"/>
  <c r="AM900" i="13"/>
  <c r="AT565" i="13"/>
  <c r="AU590" i="13"/>
  <c r="AO655" i="13"/>
  <c r="AU686" i="13"/>
  <c r="AB703" i="13"/>
  <c r="AE703" i="13" s="1"/>
  <c r="AA703" i="13"/>
  <c r="AC703" i="13" s="1"/>
  <c r="AZ723" i="13"/>
  <c r="AM723" i="13"/>
  <c r="AE750" i="13"/>
  <c r="AA757" i="13"/>
  <c r="AC757" i="13" s="1"/>
  <c r="AB757" i="13"/>
  <c r="AT763" i="13"/>
  <c r="AR786" i="13"/>
  <c r="AL786" i="13"/>
  <c r="AZ786" i="13"/>
  <c r="AN786" i="13"/>
  <c r="U795" i="13"/>
  <c r="W795" i="13" s="1"/>
  <c r="V795" i="13"/>
  <c r="V801" i="13"/>
  <c r="U801" i="13"/>
  <c r="W801" i="13" s="1"/>
  <c r="AU805" i="13"/>
  <c r="AT805" i="13"/>
  <c r="AZ832" i="13"/>
  <c r="AL832" i="13"/>
  <c r="AO832" i="13"/>
  <c r="AB834" i="13"/>
  <c r="AE834" i="13" s="1"/>
  <c r="AA834" i="13"/>
  <c r="AC834" i="13" s="1"/>
  <c r="AM850" i="13"/>
  <c r="AS850" i="13"/>
  <c r="AV850" i="13"/>
  <c r="AA906" i="13"/>
  <c r="AC906" i="13" s="1"/>
  <c r="AB906" i="13"/>
  <c r="V947" i="13"/>
  <c r="AE947" i="13" s="1"/>
  <c r="U947" i="13"/>
  <c r="W947" i="13" s="1"/>
  <c r="AB959" i="13"/>
  <c r="AA959" i="13"/>
  <c r="AC959" i="13" s="1"/>
  <c r="AX832" i="13"/>
  <c r="U903" i="13"/>
  <c r="W903" i="13" s="1"/>
  <c r="V903" i="13"/>
  <c r="AZ990" i="13"/>
  <c r="BB990" i="13"/>
  <c r="AT990" i="13"/>
  <c r="AS990" i="13"/>
  <c r="AL990" i="13"/>
  <c r="AA953" i="13"/>
  <c r="AC953" i="13" s="1"/>
  <c r="AB953" i="13"/>
  <c r="AE495" i="13"/>
  <c r="AE648" i="13"/>
  <c r="U676" i="13"/>
  <c r="W676" i="13" s="1"/>
  <c r="V676" i="13"/>
  <c r="AE724" i="13"/>
  <c r="AU763" i="13"/>
  <c r="AL763" i="13"/>
  <c r="AO763" i="13"/>
  <c r="AA809" i="13"/>
  <c r="AC809" i="13" s="1"/>
  <c r="AB809" i="13"/>
  <c r="AE809" i="13" s="1"/>
  <c r="AK833" i="13"/>
  <c r="AS833" i="13"/>
  <c r="V844" i="13"/>
  <c r="U844" i="13"/>
  <c r="W844" i="13" s="1"/>
  <c r="AB876" i="13"/>
  <c r="AE876" i="13" s="1"/>
  <c r="AA876" i="13"/>
  <c r="AC876" i="13" s="1"/>
  <c r="AA901" i="13"/>
  <c r="AC901" i="13" s="1"/>
  <c r="AB901" i="13"/>
  <c r="AE961" i="13"/>
  <c r="AB1001" i="13"/>
  <c r="AA1001" i="13"/>
  <c r="AC1001" i="13" s="1"/>
  <c r="AB857" i="13"/>
  <c r="AZ862" i="13"/>
  <c r="AY862" i="13"/>
  <c r="AJ862" i="13"/>
  <c r="AM869" i="13"/>
  <c r="U872" i="13"/>
  <c r="W872" i="13" s="1"/>
  <c r="AB883" i="13"/>
  <c r="AE883" i="13" s="1"/>
  <c r="U891" i="13"/>
  <c r="W891" i="13" s="1"/>
  <c r="V891" i="13"/>
  <c r="AE891" i="13" s="1"/>
  <c r="AZ979" i="13"/>
  <c r="AN979" i="13"/>
  <c r="U989" i="13"/>
  <c r="W989" i="13" s="1"/>
  <c r="V989" i="13"/>
  <c r="AE989" i="13" s="1"/>
  <c r="AA773" i="13"/>
  <c r="AC773" i="13" s="1"/>
  <c r="AA775" i="13"/>
  <c r="AC775" i="13" s="1"/>
  <c r="V785" i="13"/>
  <c r="AA787" i="13"/>
  <c r="AC787" i="13" s="1"/>
  <c r="U794" i="13"/>
  <c r="W794" i="13" s="1"/>
  <c r="U802" i="13"/>
  <c r="W802" i="13" s="1"/>
  <c r="U817" i="13"/>
  <c r="W817" i="13" s="1"/>
  <c r="AS855" i="13"/>
  <c r="AB865" i="13"/>
  <c r="AB867" i="13"/>
  <c r="V873" i="13"/>
  <c r="U875" i="13"/>
  <c r="W875" i="13" s="1"/>
  <c r="AA878" i="13"/>
  <c r="AC878" i="13" s="1"/>
  <c r="V897" i="13"/>
  <c r="AK899" i="13"/>
  <c r="U900" i="13"/>
  <c r="W900" i="13" s="1"/>
  <c r="V910" i="13"/>
  <c r="V940" i="13"/>
  <c r="AE940" i="13" s="1"/>
  <c r="V942" i="13"/>
  <c r="AA944" i="13"/>
  <c r="AC944" i="13" s="1"/>
  <c r="BB945" i="13"/>
  <c r="AY963" i="13"/>
  <c r="V967" i="13"/>
  <c r="V968" i="13"/>
  <c r="V970" i="13"/>
  <c r="AL971" i="13"/>
  <c r="V973" i="13"/>
  <c r="AB978" i="13"/>
  <c r="U990" i="13"/>
  <c r="W990" i="13" s="1"/>
  <c r="AB993" i="13"/>
  <c r="AE993" i="13" s="1"/>
  <c r="AO995" i="13"/>
  <c r="AJ996" i="13"/>
  <c r="BA963" i="13"/>
  <c r="AR995" i="13"/>
  <c r="AW996" i="13"/>
  <c r="AB990" i="13"/>
  <c r="AE990" i="13" s="1"/>
  <c r="AP993" i="13"/>
  <c r="AW995" i="13"/>
  <c r="AU992" i="13"/>
  <c r="AX993" i="13"/>
  <c r="BB995" i="13"/>
  <c r="AW912" i="13"/>
  <c r="AP967" i="13"/>
  <c r="AW983" i="13"/>
  <c r="AQ991" i="13"/>
  <c r="U994" i="13"/>
  <c r="W994" i="13" s="1"/>
  <c r="V997" i="13"/>
  <c r="AE997" i="13" s="1"/>
  <c r="AO918" i="13"/>
  <c r="AB945" i="13"/>
  <c r="AQ967" i="13"/>
  <c r="V971" i="13"/>
  <c r="AK986" i="13"/>
  <c r="AQ1006" i="13"/>
  <c r="AY991" i="13"/>
  <c r="AA947" i="13"/>
  <c r="AC947" i="13" s="1"/>
  <c r="AA951" i="13"/>
  <c r="AC951" i="13" s="1"/>
  <c r="AA954" i="13"/>
  <c r="AC954" i="13" s="1"/>
  <c r="AV959" i="13"/>
  <c r="U975" i="13"/>
  <c r="W975" i="13" s="1"/>
  <c r="BB986" i="13"/>
  <c r="V998" i="13"/>
  <c r="AE998" i="13" s="1"/>
  <c r="V1000" i="13"/>
  <c r="U1005" i="13"/>
  <c r="W1005" i="13" s="1"/>
  <c r="AV989" i="13"/>
  <c r="AN995" i="13"/>
  <c r="BA220" i="13"/>
  <c r="BH221" i="13"/>
  <c r="AS225" i="13"/>
  <c r="AJ231" i="13"/>
  <c r="AE234" i="13"/>
  <c r="AO235" i="13"/>
  <c r="BQ235" i="13"/>
  <c r="BS396" i="13"/>
  <c r="BQ396" i="13"/>
  <c r="AY447" i="13"/>
  <c r="BB447" i="13"/>
  <c r="AU447" i="13"/>
  <c r="AT447" i="13"/>
  <c r="AO447" i="13"/>
  <c r="AL447" i="13"/>
  <c r="BG516" i="13"/>
  <c r="BQ516" i="13"/>
  <c r="AT225" i="13"/>
  <c r="AK231" i="13"/>
  <c r="AP235" i="13"/>
  <c r="BA248" i="13"/>
  <c r="AK248" i="13"/>
  <c r="BV263" i="13"/>
  <c r="BW263" i="13"/>
  <c r="BU263" i="13"/>
  <c r="BR263" i="13"/>
  <c r="BJ263" i="13"/>
  <c r="BH263" i="13"/>
  <c r="BG263" i="13"/>
  <c r="BE263" i="13"/>
  <c r="AS265" i="13"/>
  <c r="BB265" i="13"/>
  <c r="BA265" i="13"/>
  <c r="AR265" i="13"/>
  <c r="AP265" i="13"/>
  <c r="AN265" i="13"/>
  <c r="AM265" i="13"/>
  <c r="AL265" i="13"/>
  <c r="AZ305" i="13"/>
  <c r="AQ305" i="13"/>
  <c r="AN305" i="13"/>
  <c r="BT443" i="13"/>
  <c r="BO443" i="13"/>
  <c r="BJ443" i="13"/>
  <c r="BH443" i="13"/>
  <c r="BP443" i="13"/>
  <c r="BM475" i="13"/>
  <c r="BS475" i="13"/>
  <c r="BP475" i="13"/>
  <c r="AU531" i="13"/>
  <c r="AS531" i="13"/>
  <c r="BR533" i="13"/>
  <c r="BI533" i="13"/>
  <c r="BF219" i="13"/>
  <c r="BB225" i="13"/>
  <c r="AN231" i="13"/>
  <c r="AW235" i="13"/>
  <c r="AM248" i="13"/>
  <c r="BP265" i="13"/>
  <c r="BK265" i="13"/>
  <c r="BI265" i="13"/>
  <c r="AY295" i="13"/>
  <c r="BB295" i="13"/>
  <c r="AX295" i="13"/>
  <c r="AQ295" i="13"/>
  <c r="AP295" i="13"/>
  <c r="AO295" i="13"/>
  <c r="AL295" i="13"/>
  <c r="AJ295" i="13"/>
  <c r="BV329" i="13"/>
  <c r="BM329" i="13"/>
  <c r="BK219" i="13"/>
  <c r="AN221" i="13"/>
  <c r="AL222" i="13"/>
  <c r="BI228" i="13"/>
  <c r="BA230" i="13"/>
  <c r="AP231" i="13"/>
  <c r="AX235" i="13"/>
  <c r="BI236" i="13"/>
  <c r="BV295" i="13"/>
  <c r="BS295" i="13"/>
  <c r="BM295" i="13"/>
  <c r="BV579" i="13"/>
  <c r="BO579" i="13"/>
  <c r="BJ579" i="13"/>
  <c r="BI579" i="13"/>
  <c r="BH579" i="13"/>
  <c r="BG579" i="13"/>
  <c r="BP579" i="13"/>
  <c r="AU648" i="13"/>
  <c r="AW648" i="13"/>
  <c r="AZ235" i="13"/>
  <c r="BT427" i="13"/>
  <c r="BW427" i="13"/>
  <c r="BR427" i="13"/>
  <c r="BP427" i="13"/>
  <c r="BJ427" i="13"/>
  <c r="BG427" i="13"/>
  <c r="BF218" i="13"/>
  <c r="BN219" i="13"/>
  <c r="BR221" i="13"/>
  <c r="BB222" i="13"/>
  <c r="BE223" i="13"/>
  <c r="AL225" i="13"/>
  <c r="AL235" i="13"/>
  <c r="BB235" i="13"/>
  <c r="BK236" i="13"/>
  <c r="BM299" i="13"/>
  <c r="BJ299" i="13"/>
  <c r="BG299" i="13"/>
  <c r="BM368" i="13"/>
  <c r="BW368" i="13"/>
  <c r="BV368" i="13"/>
  <c r="BN368" i="13"/>
  <c r="BE368" i="13"/>
  <c r="BH218" i="13"/>
  <c r="BS219" i="13"/>
  <c r="BG223" i="13"/>
  <c r="AM225" i="13"/>
  <c r="AN229" i="13"/>
  <c r="AM235" i="13"/>
  <c r="BU274" i="13"/>
  <c r="BR274" i="13"/>
  <c r="AQ304" i="13"/>
  <c r="AM304" i="13"/>
  <c r="AL304" i="13"/>
  <c r="BT343" i="13"/>
  <c r="BQ343" i="13"/>
  <c r="BP343" i="13"/>
  <c r="BO343" i="13"/>
  <c r="BK343" i="13"/>
  <c r="BH343" i="13"/>
  <c r="BG343" i="13"/>
  <c r="BF343" i="13"/>
  <c r="BA372" i="13"/>
  <c r="AQ372" i="13"/>
  <c r="BF401" i="13"/>
  <c r="BV401" i="13"/>
  <c r="AV504" i="13"/>
  <c r="AY504" i="13"/>
  <c r="AW504" i="13"/>
  <c r="BQ525" i="13"/>
  <c r="BV525" i="13"/>
  <c r="BN525" i="13"/>
  <c r="BL525" i="13"/>
  <c r="BK525" i="13"/>
  <c r="BJ525" i="13"/>
  <c r="BI525" i="13"/>
  <c r="BF525" i="13"/>
  <c r="BT691" i="13"/>
  <c r="BJ691" i="13"/>
  <c r="BU691" i="13"/>
  <c r="BH691" i="13"/>
  <c r="BS691" i="13"/>
  <c r="BF691" i="13"/>
  <c r="BQ691" i="13"/>
  <c r="BN691" i="13"/>
  <c r="BK691" i="13"/>
  <c r="BI691" i="13"/>
  <c r="BE691" i="13"/>
  <c r="BW691" i="13"/>
  <c r="BA980" i="13"/>
  <c r="AU980" i="13"/>
  <c r="BT989" i="13"/>
  <c r="BS989" i="13"/>
  <c r="BM989" i="13"/>
  <c r="BK989" i="13"/>
  <c r="BH989" i="13"/>
  <c r="BF989" i="13"/>
  <c r="BW989" i="13"/>
  <c r="BV989" i="13"/>
  <c r="BQ237" i="13"/>
  <c r="AP240" i="13"/>
  <c r="AR243" i="13"/>
  <c r="BN243" i="13"/>
  <c r="AN247" i="13"/>
  <c r="AO251" i="13"/>
  <c r="BK252" i="13"/>
  <c r="AW257" i="13"/>
  <c r="BP260" i="13"/>
  <c r="BO261" i="13"/>
  <c r="AS262" i="13"/>
  <c r="BQ266" i="13"/>
  <c r="BF269" i="13"/>
  <c r="AR275" i="13"/>
  <c r="AO276" i="13"/>
  <c r="BG276" i="13"/>
  <c r="BV276" i="13"/>
  <c r="BJ279" i="13"/>
  <c r="AL283" i="13"/>
  <c r="BB283" i="13"/>
  <c r="AZ284" i="13"/>
  <c r="AS290" i="13"/>
  <c r="AE294" i="13"/>
  <c r="BT300" i="13"/>
  <c r="BT307" i="13"/>
  <c r="BS313" i="13"/>
  <c r="BW317" i="13"/>
  <c r="AU328" i="13"/>
  <c r="AK331" i="13"/>
  <c r="BQ337" i="13"/>
  <c r="AX355" i="13"/>
  <c r="AS367" i="13"/>
  <c r="BU376" i="13"/>
  <c r="BM378" i="13"/>
  <c r="AN382" i="13"/>
  <c r="AV384" i="13"/>
  <c r="AW387" i="13"/>
  <c r="BK392" i="13"/>
  <c r="AQ405" i="13"/>
  <c r="AO416" i="13"/>
  <c r="BA420" i="13"/>
  <c r="BQ420" i="13"/>
  <c r="BW424" i="13"/>
  <c r="AY431" i="13"/>
  <c r="AO431" i="13"/>
  <c r="AV453" i="13"/>
  <c r="AW453" i="13"/>
  <c r="AK453" i="13"/>
  <c r="AJ453" i="13"/>
  <c r="AW473" i="13"/>
  <c r="BT478" i="13"/>
  <c r="BI478" i="13"/>
  <c r="BP486" i="13"/>
  <c r="BO486" i="13"/>
  <c r="AO489" i="13"/>
  <c r="AZ489" i="13"/>
  <c r="AX489" i="13"/>
  <c r="BF506" i="13"/>
  <c r="BM506" i="13"/>
  <c r="BG506" i="13"/>
  <c r="BT513" i="13"/>
  <c r="BS513" i="13"/>
  <c r="BO513" i="13"/>
  <c r="BJ513" i="13"/>
  <c r="BF513" i="13"/>
  <c r="BE513" i="13"/>
  <c r="BS515" i="13"/>
  <c r="BT515" i="13"/>
  <c r="BU582" i="13"/>
  <c r="BR582" i="13"/>
  <c r="BN582" i="13"/>
  <c r="BH582" i="13"/>
  <c r="BG582" i="13"/>
  <c r="BF582" i="13"/>
  <c r="BQ635" i="13"/>
  <c r="BE635" i="13"/>
  <c r="BO635" i="13"/>
  <c r="BM635" i="13"/>
  <c r="BJ635" i="13"/>
  <c r="BF635" i="13"/>
  <c r="BN663" i="13"/>
  <c r="BI663" i="13"/>
  <c r="BH663" i="13"/>
  <c r="BS663" i="13"/>
  <c r="BR663" i="13"/>
  <c r="BO663" i="13"/>
  <c r="BK663" i="13"/>
  <c r="BG663" i="13"/>
  <c r="BW663" i="13"/>
  <c r="BA679" i="13"/>
  <c r="AV679" i="13"/>
  <c r="AT679" i="13"/>
  <c r="AM679" i="13"/>
  <c r="AK679" i="13"/>
  <c r="BR691" i="13"/>
  <c r="BN730" i="13"/>
  <c r="BK730" i="13"/>
  <c r="BJ730" i="13"/>
  <c r="BM730" i="13"/>
  <c r="BF730" i="13"/>
  <c r="BE730" i="13"/>
  <c r="BN978" i="13"/>
  <c r="BL978" i="13"/>
  <c r="BK978" i="13"/>
  <c r="BH978" i="13"/>
  <c r="BU978" i="13"/>
  <c r="BF978" i="13"/>
  <c r="BR978" i="13"/>
  <c r="BJ978" i="13"/>
  <c r="BE978" i="13"/>
  <c r="BS978" i="13"/>
  <c r="AE324" i="13"/>
  <c r="AZ355" i="13"/>
  <c r="BV376" i="13"/>
  <c r="BV434" i="13"/>
  <c r="BQ434" i="13"/>
  <c r="BK434" i="13"/>
  <c r="BH434" i="13"/>
  <c r="BV450" i="13"/>
  <c r="BU450" i="13"/>
  <c r="BK450" i="13"/>
  <c r="BJ450" i="13"/>
  <c r="BH450" i="13"/>
  <c r="AY480" i="13"/>
  <c r="BB480" i="13"/>
  <c r="AW480" i="13"/>
  <c r="AT480" i="13"/>
  <c r="AN480" i="13"/>
  <c r="AY485" i="13"/>
  <c r="AU485" i="13"/>
  <c r="AT485" i="13"/>
  <c r="AW512" i="13"/>
  <c r="AY512" i="13"/>
  <c r="AK552" i="13"/>
  <c r="AR552" i="13"/>
  <c r="AQ552" i="13"/>
  <c r="BB572" i="13"/>
  <c r="AX572" i="13"/>
  <c r="AP572" i="13"/>
  <c r="AM572" i="13"/>
  <c r="AJ572" i="13"/>
  <c r="BB584" i="13"/>
  <c r="BA584" i="13"/>
  <c r="BE663" i="13"/>
  <c r="BT729" i="13"/>
  <c r="BU729" i="13"/>
  <c r="BQ729" i="13"/>
  <c r="BJ729" i="13"/>
  <c r="BR729" i="13"/>
  <c r="BI729" i="13"/>
  <c r="BB842" i="13"/>
  <c r="AJ842" i="13"/>
  <c r="BB968" i="13"/>
  <c r="AM968" i="13"/>
  <c r="BQ978" i="13"/>
  <c r="AV243" i="13"/>
  <c r="BG245" i="13"/>
  <c r="AV247" i="13"/>
  <c r="AR251" i="13"/>
  <c r="BS252" i="13"/>
  <c r="BH255" i="13"/>
  <c r="BI257" i="13"/>
  <c r="BQ261" i="13"/>
  <c r="BI269" i="13"/>
  <c r="AK270" i="13"/>
  <c r="AM273" i="13"/>
  <c r="BH273" i="13"/>
  <c r="BA275" i="13"/>
  <c r="AS276" i="13"/>
  <c r="BJ276" i="13"/>
  <c r="BU279" i="13"/>
  <c r="AK281" i="13"/>
  <c r="AO283" i="13"/>
  <c r="AR286" i="13"/>
  <c r="BJ287" i="13"/>
  <c r="AZ294" i="13"/>
  <c r="BH308" i="13"/>
  <c r="AM309" i="13"/>
  <c r="AK310" i="13"/>
  <c r="AV315" i="13"/>
  <c r="BJ316" i="13"/>
  <c r="BE317" i="13"/>
  <c r="AK321" i="13"/>
  <c r="BH322" i="13"/>
  <c r="AL323" i="13"/>
  <c r="AK326" i="13"/>
  <c r="BR326" i="13"/>
  <c r="BM328" i="13"/>
  <c r="AE331" i="13"/>
  <c r="AU331" i="13"/>
  <c r="AP333" i="13"/>
  <c r="AK334" i="13"/>
  <c r="AP335" i="13"/>
  <c r="AN336" i="13"/>
  <c r="BF337" i="13"/>
  <c r="BR340" i="13"/>
  <c r="BV341" i="13"/>
  <c r="AR342" i="13"/>
  <c r="AN344" i="13"/>
  <c r="AE348" i="13"/>
  <c r="AL349" i="13"/>
  <c r="BW349" i="13"/>
  <c r="AU352" i="13"/>
  <c r="BR354" i="13"/>
  <c r="AJ355" i="13"/>
  <c r="AK358" i="13"/>
  <c r="BH359" i="13"/>
  <c r="AK361" i="13"/>
  <c r="BF371" i="13"/>
  <c r="BE376" i="13"/>
  <c r="BW376" i="13"/>
  <c r="BU378" i="13"/>
  <c r="AU382" i="13"/>
  <c r="BG384" i="13"/>
  <c r="BQ392" i="13"/>
  <c r="AL398" i="13"/>
  <c r="BL400" i="13"/>
  <c r="BM406" i="13"/>
  <c r="AW407" i="13"/>
  <c r="BQ408" i="13"/>
  <c r="AN412" i="13"/>
  <c r="AU416" i="13"/>
  <c r="AQ419" i="13"/>
  <c r="BW420" i="13"/>
  <c r="BG426" i="13"/>
  <c r="AU429" i="13"/>
  <c r="AS429" i="13"/>
  <c r="AU431" i="13"/>
  <c r="BE434" i="13"/>
  <c r="BP447" i="13"/>
  <c r="BN447" i="13"/>
  <c r="BP450" i="13"/>
  <c r="BT457" i="13"/>
  <c r="BU457" i="13"/>
  <c r="BK457" i="13"/>
  <c r="BE457" i="13"/>
  <c r="AV471" i="13"/>
  <c r="AZ471" i="13"/>
  <c r="AJ480" i="13"/>
  <c r="BK483" i="13"/>
  <c r="AK485" i="13"/>
  <c r="AQ489" i="13"/>
  <c r="AL511" i="13"/>
  <c r="AQ512" i="13"/>
  <c r="BJ515" i="13"/>
  <c r="AW529" i="13"/>
  <c r="BW544" i="13"/>
  <c r="BU544" i="13"/>
  <c r="BS544" i="13"/>
  <c r="BJ544" i="13"/>
  <c r="AL552" i="13"/>
  <c r="BA557" i="13"/>
  <c r="AZ557" i="13"/>
  <c r="AR557" i="13"/>
  <c r="AP557" i="13"/>
  <c r="AZ578" i="13"/>
  <c r="AW578" i="13"/>
  <c r="AU578" i="13"/>
  <c r="AL578" i="13"/>
  <c r="AY588" i="13"/>
  <c r="AX588" i="13"/>
  <c r="AV631" i="13"/>
  <c r="AM631" i="13"/>
  <c r="AL631" i="13"/>
  <c r="BA631" i="13"/>
  <c r="AZ631" i="13"/>
  <c r="AU631" i="13"/>
  <c r="BB631" i="13"/>
  <c r="AR631" i="13"/>
  <c r="AP631" i="13"/>
  <c r="AZ722" i="13"/>
  <c r="AX722" i="13"/>
  <c r="AK722" i="13"/>
  <c r="AU722" i="13"/>
  <c r="AS722" i="13"/>
  <c r="BA722" i="13"/>
  <c r="AW722" i="13"/>
  <c r="AO722" i="13"/>
  <c r="AN722" i="13"/>
  <c r="AM722" i="13"/>
  <c r="BH729" i="13"/>
  <c r="AZ836" i="13"/>
  <c r="AL836" i="13"/>
  <c r="AN836" i="13"/>
  <c r="AW836" i="13"/>
  <c r="AK244" i="13"/>
  <c r="AV251" i="13"/>
  <c r="BQ257" i="13"/>
  <c r="BR261" i="13"/>
  <c r="AM270" i="13"/>
  <c r="BB275" i="13"/>
  <c r="AT286" i="13"/>
  <c r="BK287" i="13"/>
  <c r="BL316" i="13"/>
  <c r="BF317" i="13"/>
  <c r="AN321" i="13"/>
  <c r="AL326" i="13"/>
  <c r="BT328" i="13"/>
  <c r="AL334" i="13"/>
  <c r="BG337" i="13"/>
  <c r="AE350" i="13"/>
  <c r="AK355" i="13"/>
  <c r="BG376" i="13"/>
  <c r="BL384" i="13"/>
  <c r="AW419" i="13"/>
  <c r="BI426" i="13"/>
  <c r="BS434" i="13"/>
  <c r="AY436" i="13"/>
  <c r="AK436" i="13"/>
  <c r="AZ436" i="13"/>
  <c r="AX436" i="13"/>
  <c r="AV436" i="13"/>
  <c r="BV447" i="13"/>
  <c r="BS459" i="13"/>
  <c r="BT459" i="13"/>
  <c r="BL459" i="13"/>
  <c r="BK469" i="13"/>
  <c r="BR469" i="13"/>
  <c r="BV474" i="13"/>
  <c r="BW474" i="13"/>
  <c r="BM474" i="13"/>
  <c r="BL474" i="13"/>
  <c r="BK474" i="13"/>
  <c r="AL480" i="13"/>
  <c r="AL485" i="13"/>
  <c r="BA491" i="13"/>
  <c r="AT491" i="13"/>
  <c r="BB503" i="13"/>
  <c r="AP503" i="13"/>
  <c r="AN503" i="13"/>
  <c r="AV512" i="13"/>
  <c r="AY526" i="13"/>
  <c r="AT526" i="13"/>
  <c r="AL526" i="13"/>
  <c r="AK578" i="13"/>
  <c r="BB583" i="13"/>
  <c r="AW583" i="13"/>
  <c r="AL583" i="13"/>
  <c r="AJ588" i="13"/>
  <c r="AO631" i="13"/>
  <c r="AL722" i="13"/>
  <c r="BU796" i="13"/>
  <c r="BN796" i="13"/>
  <c r="BI796" i="13"/>
  <c r="BH796" i="13"/>
  <c r="BR796" i="13"/>
  <c r="BV796" i="13"/>
  <c r="BQ796" i="13"/>
  <c r="BJ796" i="13"/>
  <c r="BG796" i="13"/>
  <c r="BU828" i="13"/>
  <c r="BF828" i="13"/>
  <c r="BV828" i="13"/>
  <c r="BS828" i="13"/>
  <c r="BH828" i="13"/>
  <c r="BJ828" i="13"/>
  <c r="BG828" i="13"/>
  <c r="BQ828" i="13"/>
  <c r="BF243" i="13"/>
  <c r="AS244" i="13"/>
  <c r="BI245" i="13"/>
  <c r="AJ251" i="13"/>
  <c r="AW251" i="13"/>
  <c r="AN253" i="13"/>
  <c r="BK255" i="13"/>
  <c r="BE261" i="13"/>
  <c r="AX264" i="13"/>
  <c r="BF266" i="13"/>
  <c r="BR269" i="13"/>
  <c r="AS270" i="13"/>
  <c r="AL275" i="13"/>
  <c r="AW276" i="13"/>
  <c r="BL276" i="13"/>
  <c r="BI277" i="13"/>
  <c r="BE281" i="13"/>
  <c r="AS283" i="13"/>
  <c r="AJ284" i="13"/>
  <c r="AU286" i="13"/>
  <c r="BE289" i="13"/>
  <c r="AZ292" i="13"/>
  <c r="BF296" i="13"/>
  <c r="AX297" i="13"/>
  <c r="AO300" i="13"/>
  <c r="BV301" i="13"/>
  <c r="BH304" i="13"/>
  <c r="BM305" i="13"/>
  <c r="BF306" i="13"/>
  <c r="BG307" i="13"/>
  <c r="BR308" i="13"/>
  <c r="AX309" i="13"/>
  <c r="BT310" i="13"/>
  <c r="BH313" i="13"/>
  <c r="AX315" i="13"/>
  <c r="BG317" i="13"/>
  <c r="BU322" i="13"/>
  <c r="BA323" i="13"/>
  <c r="BG325" i="13"/>
  <c r="AM326" i="13"/>
  <c r="AV333" i="13"/>
  <c r="BA334" i="13"/>
  <c r="AZ335" i="13"/>
  <c r="AV336" i="13"/>
  <c r="BH337" i="13"/>
  <c r="BF338" i="13"/>
  <c r="BB342" i="13"/>
  <c r="BF346" i="13"/>
  <c r="AR348" i="13"/>
  <c r="AW349" i="13"/>
  <c r="BE351" i="13"/>
  <c r="BF352" i="13"/>
  <c r="BV354" i="13"/>
  <c r="AL355" i="13"/>
  <c r="BB358" i="13"/>
  <c r="BR359" i="13"/>
  <c r="BM360" i="13"/>
  <c r="AR361" i="13"/>
  <c r="BO364" i="13"/>
  <c r="BN366" i="13"/>
  <c r="BE370" i="13"/>
  <c r="BI376" i="13"/>
  <c r="AL384" i="13"/>
  <c r="BO384" i="13"/>
  <c r="BJ395" i="13"/>
  <c r="AN398" i="13"/>
  <c r="BT400" i="13"/>
  <c r="BQ406" i="13"/>
  <c r="AM413" i="13"/>
  <c r="BT415" i="13"/>
  <c r="AZ416" i="13"/>
  <c r="BI420" i="13"/>
  <c r="BG421" i="13"/>
  <c r="BE424" i="13"/>
  <c r="BK426" i="13"/>
  <c r="AP427" i="13"/>
  <c r="BP431" i="13"/>
  <c r="BS431" i="13"/>
  <c r="AM436" i="13"/>
  <c r="BB444" i="13"/>
  <c r="AS444" i="13"/>
  <c r="AR444" i="13"/>
  <c r="BI459" i="13"/>
  <c r="AZ480" i="13"/>
  <c r="AK491" i="13"/>
  <c r="AJ526" i="13"/>
  <c r="BE532" i="13"/>
  <c r="BT532" i="13"/>
  <c r="BQ532" i="13"/>
  <c r="BN532" i="13"/>
  <c r="BF532" i="13"/>
  <c r="BA567" i="13"/>
  <c r="AO567" i="13"/>
  <c r="AQ586" i="13"/>
  <c r="BA586" i="13"/>
  <c r="AZ586" i="13"/>
  <c r="AS586" i="13"/>
  <c r="AR586" i="13"/>
  <c r="AZ627" i="13"/>
  <c r="AL627" i="13"/>
  <c r="AV627" i="13"/>
  <c r="AT627" i="13"/>
  <c r="AS627" i="13"/>
  <c r="AP627" i="13"/>
  <c r="AL705" i="13"/>
  <c r="AZ744" i="13"/>
  <c r="AJ744" i="13"/>
  <c r="AU744" i="13"/>
  <c r="AR744" i="13"/>
  <c r="AM744" i="13"/>
  <c r="AL744" i="13"/>
  <c r="BV755" i="13"/>
  <c r="BI755" i="13"/>
  <c r="BW755" i="13"/>
  <c r="BQ758" i="13"/>
  <c r="BH758" i="13"/>
  <c r="BM761" i="13"/>
  <c r="BE761" i="13"/>
  <c r="BH761" i="13"/>
  <c r="BG761" i="13"/>
  <c r="BI237" i="13"/>
  <c r="BA238" i="13"/>
  <c r="AM240" i="13"/>
  <c r="AU241" i="13"/>
  <c r="AJ243" i="13"/>
  <c r="BI243" i="13"/>
  <c r="BA244" i="13"/>
  <c r="AL251" i="13"/>
  <c r="AX251" i="13"/>
  <c r="BH252" i="13"/>
  <c r="AP253" i="13"/>
  <c r="BM255" i="13"/>
  <c r="AJ257" i="13"/>
  <c r="BF261" i="13"/>
  <c r="BH266" i="13"/>
  <c r="BK267" i="13"/>
  <c r="BS269" i="13"/>
  <c r="AS273" i="13"/>
  <c r="AM275" i="13"/>
  <c r="BB276" i="13"/>
  <c r="BP276" i="13"/>
  <c r="BU277" i="13"/>
  <c r="BH281" i="13"/>
  <c r="AU283" i="13"/>
  <c r="AP284" i="13"/>
  <c r="AO288" i="13"/>
  <c r="BG289" i="13"/>
  <c r="BR294" i="13"/>
  <c r="BP296" i="13"/>
  <c r="AP300" i="13"/>
  <c r="BK304" i="13"/>
  <c r="BW305" i="13"/>
  <c r="BG306" i="13"/>
  <c r="BL307" i="13"/>
  <c r="BI313" i="13"/>
  <c r="AZ315" i="13"/>
  <c r="BM317" i="13"/>
  <c r="AO320" i="13"/>
  <c r="BV322" i="13"/>
  <c r="BI325" i="13"/>
  <c r="AS326" i="13"/>
  <c r="AL329" i="13"/>
  <c r="AX333" i="13"/>
  <c r="BK337" i="13"/>
  <c r="BP338" i="13"/>
  <c r="BE341" i="13"/>
  <c r="BH346" i="13"/>
  <c r="AS348" i="13"/>
  <c r="AZ349" i="13"/>
  <c r="BF351" i="13"/>
  <c r="BN352" i="13"/>
  <c r="BW354" i="13"/>
  <c r="AN355" i="13"/>
  <c r="BV359" i="13"/>
  <c r="AS361" i="13"/>
  <c r="AP364" i="13"/>
  <c r="BP364" i="13"/>
  <c r="AE367" i="13"/>
  <c r="BW370" i="13"/>
  <c r="BK376" i="13"/>
  <c r="AO384" i="13"/>
  <c r="BQ384" i="13"/>
  <c r="AT398" i="13"/>
  <c r="AQ413" i="13"/>
  <c r="BJ421" i="13"/>
  <c r="BF424" i="13"/>
  <c r="BM426" i="13"/>
  <c r="AX427" i="13"/>
  <c r="BT448" i="13"/>
  <c r="BO448" i="13"/>
  <c r="BJ448" i="13"/>
  <c r="BH448" i="13"/>
  <c r="BF448" i="13"/>
  <c r="AU451" i="13"/>
  <c r="AX451" i="13"/>
  <c r="AP451" i="13"/>
  <c r="AK451" i="13"/>
  <c r="BB462" i="13"/>
  <c r="AT462" i="13"/>
  <c r="AR462" i="13"/>
  <c r="AM462" i="13"/>
  <c r="BB465" i="13"/>
  <c r="AZ465" i="13"/>
  <c r="AY468" i="13"/>
  <c r="AZ468" i="13"/>
  <c r="BK480" i="13"/>
  <c r="BS480" i="13"/>
  <c r="BR480" i="13"/>
  <c r="BN495" i="13"/>
  <c r="BV495" i="13"/>
  <c r="BU528" i="13"/>
  <c r="BS528" i="13"/>
  <c r="BR528" i="13"/>
  <c r="BM528" i="13"/>
  <c r="BK528" i="13"/>
  <c r="BW536" i="13"/>
  <c r="BM536" i="13"/>
  <c r="BK536" i="13"/>
  <c r="BJ536" i="13"/>
  <c r="BI536" i="13"/>
  <c r="BH536" i="13"/>
  <c r="AX613" i="13"/>
  <c r="BA613" i="13"/>
  <c r="AP613" i="13"/>
  <c r="AN627" i="13"/>
  <c r="BB637" i="13"/>
  <c r="AS637" i="13"/>
  <c r="BA637" i="13"/>
  <c r="AV637" i="13"/>
  <c r="AN637" i="13"/>
  <c r="AM637" i="13"/>
  <c r="AX637" i="13"/>
  <c r="AK637" i="13"/>
  <c r="AJ637" i="13"/>
  <c r="AN705" i="13"/>
  <c r="BV747" i="13"/>
  <c r="BG747" i="13"/>
  <c r="BW747" i="13"/>
  <c r="BP747" i="13"/>
  <c r="BK747" i="13"/>
  <c r="BJ747" i="13"/>
  <c r="BI747" i="13"/>
  <c r="BP753" i="13"/>
  <c r="BE753" i="13"/>
  <c r="BG755" i="13"/>
  <c r="BF758" i="13"/>
  <c r="AN240" i="13"/>
  <c r="AL243" i="13"/>
  <c r="BK243" i="13"/>
  <c r="BQ245" i="13"/>
  <c r="AJ247" i="13"/>
  <c r="AM251" i="13"/>
  <c r="AZ251" i="13"/>
  <c r="BG261" i="13"/>
  <c r="BI266" i="13"/>
  <c r="BU269" i="13"/>
  <c r="AN275" i="13"/>
  <c r="BR276" i="13"/>
  <c r="BI281" i="13"/>
  <c r="AX283" i="13"/>
  <c r="AU284" i="13"/>
  <c r="BL304" i="13"/>
  <c r="BO307" i="13"/>
  <c r="BJ313" i="13"/>
  <c r="BN317" i="13"/>
  <c r="BL318" i="13"/>
  <c r="AU320" i="13"/>
  <c r="AW326" i="13"/>
  <c r="AZ333" i="13"/>
  <c r="BO337" i="13"/>
  <c r="BR338" i="13"/>
  <c r="AZ348" i="13"/>
  <c r="BU352" i="13"/>
  <c r="AU355" i="13"/>
  <c r="BM376" i="13"/>
  <c r="AK382" i="13"/>
  <c r="AR384" i="13"/>
  <c r="AK387" i="13"/>
  <c r="BE392" i="13"/>
  <c r="AM393" i="13"/>
  <c r="AQ394" i="13"/>
  <c r="AU398" i="13"/>
  <c r="AT401" i="13"/>
  <c r="AK405" i="13"/>
  <c r="AN406" i="13"/>
  <c r="AJ408" i="13"/>
  <c r="BJ411" i="13"/>
  <c r="BG412" i="13"/>
  <c r="AS413" i="13"/>
  <c r="AJ416" i="13"/>
  <c r="BK420" i="13"/>
  <c r="BO421" i="13"/>
  <c r="BN424" i="13"/>
  <c r="BS426" i="13"/>
  <c r="BA427" i="13"/>
  <c r="AP436" i="13"/>
  <c r="BK448" i="13"/>
  <c r="BA451" i="13"/>
  <c r="BR458" i="13"/>
  <c r="BL458" i="13"/>
  <c r="BT460" i="13"/>
  <c r="BU460" i="13"/>
  <c r="BO460" i="13"/>
  <c r="BJ460" i="13"/>
  <c r="BA462" i="13"/>
  <c r="BT463" i="13"/>
  <c r="BW463" i="13"/>
  <c r="BQ463" i="13"/>
  <c r="BB470" i="13"/>
  <c r="AQ470" i="13"/>
  <c r="AM470" i="13"/>
  <c r="AR475" i="13"/>
  <c r="BL480" i="13"/>
  <c r="AZ493" i="13"/>
  <c r="AX493" i="13"/>
  <c r="AW493" i="13"/>
  <c r="AU493" i="13"/>
  <c r="AN493" i="13"/>
  <c r="AL493" i="13"/>
  <c r="BO495" i="13"/>
  <c r="BN508" i="13"/>
  <c r="BO508" i="13"/>
  <c r="AW518" i="13"/>
  <c r="BB518" i="13"/>
  <c r="AR518" i="13"/>
  <c r="AK518" i="13"/>
  <c r="BE528" i="13"/>
  <c r="BR536" i="13"/>
  <c r="BR539" i="13"/>
  <c r="AN567" i="13"/>
  <c r="BE605" i="13"/>
  <c r="AY612" i="13"/>
  <c r="AU612" i="13"/>
  <c r="AM612" i="13"/>
  <c r="BH755" i="13"/>
  <c r="BR822" i="13"/>
  <c r="BQ822" i="13"/>
  <c r="BM822" i="13"/>
  <c r="BK822" i="13"/>
  <c r="BP822" i="13"/>
  <c r="BJ824" i="13"/>
  <c r="BE824" i="13"/>
  <c r="BQ925" i="13"/>
  <c r="BK925" i="13"/>
  <c r="BP925" i="13"/>
  <c r="AW937" i="13"/>
  <c r="AV937" i="13"/>
  <c r="AP940" i="13"/>
  <c r="AX940" i="13"/>
  <c r="AT940" i="13"/>
  <c r="AZ940" i="13"/>
  <c r="BT968" i="13"/>
  <c r="BL968" i="13"/>
  <c r="AY1003" i="13"/>
  <c r="AW1003" i="13"/>
  <c r="AL1003" i="13"/>
  <c r="BW440" i="13"/>
  <c r="BB455" i="13"/>
  <c r="AP460" i="13"/>
  <c r="BW471" i="13"/>
  <c r="BU473" i="13"/>
  <c r="AS488" i="13"/>
  <c r="BS491" i="13"/>
  <c r="BP494" i="13"/>
  <c r="AV496" i="13"/>
  <c r="BH500" i="13"/>
  <c r="AW530" i="13"/>
  <c r="BQ550" i="13"/>
  <c r="AZ556" i="13"/>
  <c r="BQ561" i="13"/>
  <c r="BW563" i="13"/>
  <c r="AX564" i="13"/>
  <c r="BR566" i="13"/>
  <c r="AT568" i="13"/>
  <c r="BS584" i="13"/>
  <c r="BH586" i="13"/>
  <c r="BU586" i="13"/>
  <c r="BB590" i="13"/>
  <c r="AZ602" i="13"/>
  <c r="AK602" i="13"/>
  <c r="AJ669" i="13"/>
  <c r="BB669" i="13"/>
  <c r="AX669" i="13"/>
  <c r="AV669" i="13"/>
  <c r="AK696" i="13"/>
  <c r="AW696" i="13"/>
  <c r="AU703" i="13"/>
  <c r="AL703" i="13"/>
  <c r="BA703" i="13"/>
  <c r="AN703" i="13"/>
  <c r="BS718" i="13"/>
  <c r="BO718" i="13"/>
  <c r="BG718" i="13"/>
  <c r="AT741" i="13"/>
  <c r="AJ741" i="13"/>
  <c r="AZ741" i="13"/>
  <c r="AW741" i="13"/>
  <c r="AS741" i="13"/>
  <c r="AN741" i="13"/>
  <c r="BV768" i="13"/>
  <c r="BL768" i="13"/>
  <c r="BK768" i="13"/>
  <c r="BJ768" i="13"/>
  <c r="BE822" i="13"/>
  <c r="BT838" i="13"/>
  <c r="BF838" i="13"/>
  <c r="BS838" i="13"/>
  <c r="BH838" i="13"/>
  <c r="BR838" i="13"/>
  <c r="BQ838" i="13"/>
  <c r="BG838" i="13"/>
  <c r="BF439" i="13"/>
  <c r="BA488" i="13"/>
  <c r="BU491" i="13"/>
  <c r="BW494" i="13"/>
  <c r="AW496" i="13"/>
  <c r="BW561" i="13"/>
  <c r="BS566" i="13"/>
  <c r="AZ568" i="13"/>
  <c r="AO577" i="13"/>
  <c r="BU584" i="13"/>
  <c r="BI586" i="13"/>
  <c r="BF595" i="13"/>
  <c r="BR622" i="13"/>
  <c r="BQ622" i="13"/>
  <c r="BT645" i="13"/>
  <c r="BG645" i="13"/>
  <c r="BU645" i="13"/>
  <c r="BQ645" i="13"/>
  <c r="BO645" i="13"/>
  <c r="BM645" i="13"/>
  <c r="BB654" i="13"/>
  <c r="AX654" i="13"/>
  <c r="AZ654" i="13"/>
  <c r="AU654" i="13"/>
  <c r="BO659" i="13"/>
  <c r="BR659" i="13"/>
  <c r="BN659" i="13"/>
  <c r="BK659" i="13"/>
  <c r="BV689" i="13"/>
  <c r="BU689" i="13"/>
  <c r="BK689" i="13"/>
  <c r="AM703" i="13"/>
  <c r="BV731" i="13"/>
  <c r="BO731" i="13"/>
  <c r="AM741" i="13"/>
  <c r="BA752" i="13"/>
  <c r="AM752" i="13"/>
  <c r="AR752" i="13"/>
  <c r="AK752" i="13"/>
  <c r="BG809" i="13"/>
  <c r="BW809" i="13"/>
  <c r="BP814" i="13"/>
  <c r="BQ814" i="13"/>
  <c r="BM814" i="13"/>
  <c r="BI814" i="13"/>
  <c r="BK814" i="13"/>
  <c r="BJ814" i="13"/>
  <c r="BU900" i="13"/>
  <c r="BV900" i="13"/>
  <c r="BE900" i="13"/>
  <c r="BL900" i="13"/>
  <c r="BK900" i="13"/>
  <c r="BU913" i="13"/>
  <c r="BL913" i="13"/>
  <c r="BV913" i="13"/>
  <c r="BS439" i="13"/>
  <c r="AJ452" i="13"/>
  <c r="BV454" i="13"/>
  <c r="BK455" i="13"/>
  <c r="AE459" i="13"/>
  <c r="AX460" i="13"/>
  <c r="AR463" i="13"/>
  <c r="BE465" i="13"/>
  <c r="AS469" i="13"/>
  <c r="BG471" i="13"/>
  <c r="BH473" i="13"/>
  <c r="AL474" i="13"/>
  <c r="AP478" i="13"/>
  <c r="BB488" i="13"/>
  <c r="AN490" i="13"/>
  <c r="BE491" i="13"/>
  <c r="AQ494" i="13"/>
  <c r="AJ496" i="13"/>
  <c r="BA496" i="13"/>
  <c r="AL498" i="13"/>
  <c r="BR501" i="13"/>
  <c r="AZ510" i="13"/>
  <c r="BK512" i="13"/>
  <c r="AT519" i="13"/>
  <c r="BI520" i="13"/>
  <c r="AP521" i="13"/>
  <c r="AQ523" i="13"/>
  <c r="AM524" i="13"/>
  <c r="AJ528" i="13"/>
  <c r="BJ530" i="13"/>
  <c r="BI531" i="13"/>
  <c r="AW534" i="13"/>
  <c r="BF535" i="13"/>
  <c r="BE540" i="13"/>
  <c r="AT541" i="13"/>
  <c r="AJ544" i="13"/>
  <c r="AY547" i="13"/>
  <c r="AK554" i="13"/>
  <c r="AJ556" i="13"/>
  <c r="BV566" i="13"/>
  <c r="AV570" i="13"/>
  <c r="BE584" i="13"/>
  <c r="BJ586" i="13"/>
  <c r="AJ590" i="13"/>
  <c r="AK595" i="13"/>
  <c r="BG595" i="13"/>
  <c r="AS618" i="13"/>
  <c r="AY618" i="13"/>
  <c r="AQ618" i="13"/>
  <c r="AW630" i="13"/>
  <c r="AN630" i="13"/>
  <c r="BE645" i="13"/>
  <c r="AW651" i="13"/>
  <c r="BA651" i="13"/>
  <c r="AX651" i="13"/>
  <c r="AN651" i="13"/>
  <c r="AL651" i="13"/>
  <c r="AK651" i="13"/>
  <c r="AZ657" i="13"/>
  <c r="BB657" i="13"/>
  <c r="AR657" i="13"/>
  <c r="AN657" i="13"/>
  <c r="AL657" i="13"/>
  <c r="AJ657" i="13"/>
  <c r="BH659" i="13"/>
  <c r="AU690" i="13"/>
  <c r="AK690" i="13"/>
  <c r="BA690" i="13"/>
  <c r="AV690" i="13"/>
  <c r="AR690" i="13"/>
  <c r="AN690" i="13"/>
  <c r="AM690" i="13"/>
  <c r="AL690" i="13"/>
  <c r="AJ721" i="13"/>
  <c r="AR721" i="13"/>
  <c r="AO721" i="13"/>
  <c r="BJ731" i="13"/>
  <c r="AZ616" i="13"/>
  <c r="AY616" i="13"/>
  <c r="BS624" i="13"/>
  <c r="BF624" i="13"/>
  <c r="BQ657" i="13"/>
  <c r="BI657" i="13"/>
  <c r="BV714" i="13"/>
  <c r="BU714" i="13"/>
  <c r="BK731" i="13"/>
  <c r="BW779" i="13"/>
  <c r="BG779" i="13"/>
  <c r="AW782" i="13"/>
  <c r="AY782" i="13"/>
  <c r="AO782" i="13"/>
  <c r="AK782" i="13"/>
  <c r="BW862" i="13"/>
  <c r="BP862" i="13"/>
  <c r="BF862" i="13"/>
  <c r="BQ862" i="13"/>
  <c r="BU862" i="13"/>
  <c r="BI862" i="13"/>
  <c r="BT880" i="13"/>
  <c r="BE880" i="13"/>
  <c r="BW880" i="13"/>
  <c r="BH880" i="13"/>
  <c r="BO880" i="13"/>
  <c r="BV880" i="13"/>
  <c r="BN432" i="13"/>
  <c r="AZ452" i="13"/>
  <c r="BA460" i="13"/>
  <c r="AZ463" i="13"/>
  <c r="BN465" i="13"/>
  <c r="BL471" i="13"/>
  <c r="BJ473" i="13"/>
  <c r="AQ474" i="13"/>
  <c r="BU481" i="13"/>
  <c r="AR483" i="13"/>
  <c r="AJ487" i="13"/>
  <c r="AK488" i="13"/>
  <c r="BS490" i="13"/>
  <c r="BI491" i="13"/>
  <c r="BG492" i="13"/>
  <c r="BG494" i="13"/>
  <c r="AM496" i="13"/>
  <c r="BI496" i="13"/>
  <c r="BR500" i="13"/>
  <c r="AL509" i="13"/>
  <c r="BT512" i="13"/>
  <c r="AR515" i="13"/>
  <c r="AO516" i="13"/>
  <c r="BB517" i="13"/>
  <c r="BI518" i="13"/>
  <c r="BM520" i="13"/>
  <c r="AO525" i="13"/>
  <c r="AT528" i="13"/>
  <c r="BT530" i="13"/>
  <c r="BT531" i="13"/>
  <c r="AL538" i="13"/>
  <c r="AQ544" i="13"/>
  <c r="BG547" i="13"/>
  <c r="BM548" i="13"/>
  <c r="BR552" i="13"/>
  <c r="AO554" i="13"/>
  <c r="AN556" i="13"/>
  <c r="AJ564" i="13"/>
  <c r="BE570" i="13"/>
  <c r="BL578" i="13"/>
  <c r="AN580" i="13"/>
  <c r="BP586" i="13"/>
  <c r="AN590" i="13"/>
  <c r="BJ591" i="13"/>
  <c r="AN595" i="13"/>
  <c r="BH624" i="13"/>
  <c r="BG637" i="13"/>
  <c r="BM651" i="13"/>
  <c r="BS651" i="13"/>
  <c r="BP651" i="13"/>
  <c r="BN651" i="13"/>
  <c r="BM657" i="13"/>
  <c r="AF713" i="13"/>
  <c r="BF714" i="13"/>
  <c r="BT763" i="13"/>
  <c r="BF763" i="13"/>
  <c r="BE763" i="13"/>
  <c r="BU763" i="13"/>
  <c r="BR763" i="13"/>
  <c r="AV780" i="13"/>
  <c r="AM780" i="13"/>
  <c r="AQ780" i="13"/>
  <c r="AQ782" i="13"/>
  <c r="BI841" i="13"/>
  <c r="BV841" i="13"/>
  <c r="BL841" i="13"/>
  <c r="BG841" i="13"/>
  <c r="AY844" i="13"/>
  <c r="AO844" i="13"/>
  <c r="AX863" i="13"/>
  <c r="AW863" i="13"/>
  <c r="BE870" i="13"/>
  <c r="BP870" i="13"/>
  <c r="BI870" i="13"/>
  <c r="AY878" i="13"/>
  <c r="AU878" i="13"/>
  <c r="AQ878" i="13"/>
  <c r="BN598" i="13"/>
  <c r="BK603" i="13"/>
  <c r="BO618" i="13"/>
  <c r="AV621" i="13"/>
  <c r="BM625" i="13"/>
  <c r="BO626" i="13"/>
  <c r="AW640" i="13"/>
  <c r="AQ640" i="13"/>
  <c r="AU655" i="13"/>
  <c r="BS655" i="13"/>
  <c r="AK674" i="13"/>
  <c r="AQ674" i="13"/>
  <c r="AP674" i="13"/>
  <c r="AU680" i="13"/>
  <c r="AJ680" i="13"/>
  <c r="AR682" i="13"/>
  <c r="AZ682" i="13"/>
  <c r="AY682" i="13"/>
  <c r="BU688" i="13"/>
  <c r="BR688" i="13"/>
  <c r="BI688" i="13"/>
  <c r="BH688" i="13"/>
  <c r="BR699" i="13"/>
  <c r="BW699" i="13"/>
  <c r="BM699" i="13"/>
  <c r="BI699" i="13"/>
  <c r="AZ700" i="13"/>
  <c r="AO700" i="13"/>
  <c r="BB700" i="13"/>
  <c r="AM700" i="13"/>
  <c r="BA700" i="13"/>
  <c r="AL700" i="13"/>
  <c r="AY725" i="13"/>
  <c r="AT725" i="13"/>
  <c r="AO725" i="13"/>
  <c r="AN725" i="13"/>
  <c r="BB725" i="13"/>
  <c r="AT793" i="13"/>
  <c r="AS793" i="13"/>
  <c r="AW813" i="13"/>
  <c r="BB813" i="13"/>
  <c r="AO813" i="13"/>
  <c r="AN813" i="13"/>
  <c r="AQ813" i="13"/>
  <c r="AX835" i="13"/>
  <c r="AM835" i="13"/>
  <c r="AP835" i="13"/>
  <c r="BW891" i="13"/>
  <c r="BU891" i="13"/>
  <c r="BE891" i="13"/>
  <c r="BM891" i="13"/>
  <c r="AX948" i="13"/>
  <c r="AZ948" i="13"/>
  <c r="AT948" i="13"/>
  <c r="AJ948" i="13"/>
  <c r="BV650" i="13"/>
  <c r="BJ650" i="13"/>
  <c r="BT658" i="13"/>
  <c r="BK658" i="13"/>
  <c r="BL675" i="13"/>
  <c r="BO675" i="13"/>
  <c r="BJ675" i="13"/>
  <c r="BE675" i="13"/>
  <c r="BU745" i="13"/>
  <c r="BR745" i="13"/>
  <c r="BP748" i="13"/>
  <c r="BV748" i="13"/>
  <c r="AY754" i="13"/>
  <c r="AK754" i="13"/>
  <c r="AM754" i="13"/>
  <c r="BR762" i="13"/>
  <c r="BI762" i="13"/>
  <c r="AX767" i="13"/>
  <c r="AK767" i="13"/>
  <c r="BB773" i="13"/>
  <c r="AX773" i="13"/>
  <c r="BN776" i="13"/>
  <c r="BL776" i="13"/>
  <c r="BR776" i="13"/>
  <c r="BJ776" i="13"/>
  <c r="BK887" i="13"/>
  <c r="BQ887" i="13"/>
  <c r="BS917" i="13"/>
  <c r="BK917" i="13"/>
  <c r="BJ917" i="13"/>
  <c r="BT927" i="13"/>
  <c r="BS927" i="13"/>
  <c r="AW598" i="13"/>
  <c r="BH602" i="13"/>
  <c r="BP603" i="13"/>
  <c r="AU606" i="13"/>
  <c r="BK607" i="13"/>
  <c r="AV609" i="13"/>
  <c r="BG610" i="13"/>
  <c r="BR618" i="13"/>
  <c r="BP620" i="13"/>
  <c r="AL623" i="13"/>
  <c r="AO624" i="13"/>
  <c r="BV625" i="13"/>
  <c r="AP628" i="13"/>
  <c r="BT634" i="13"/>
  <c r="BE634" i="13"/>
  <c r="BE650" i="13"/>
  <c r="BH658" i="13"/>
  <c r="AP659" i="13"/>
  <c r="AT659" i="13"/>
  <c r="BB662" i="13"/>
  <c r="AK662" i="13"/>
  <c r="BT674" i="13"/>
  <c r="BE674" i="13"/>
  <c r="BR674" i="13"/>
  <c r="BP674" i="13"/>
  <c r="AY675" i="13"/>
  <c r="AT675" i="13"/>
  <c r="AP675" i="13"/>
  <c r="AM675" i="13"/>
  <c r="BM675" i="13"/>
  <c r="BO679" i="13"/>
  <c r="BF679" i="13"/>
  <c r="BW679" i="13"/>
  <c r="BA680" i="13"/>
  <c r="BV694" i="13"/>
  <c r="BW694" i="13"/>
  <c r="BQ694" i="13"/>
  <c r="BG694" i="13"/>
  <c r="AM698" i="13"/>
  <c r="BF699" i="13"/>
  <c r="AP700" i="13"/>
  <c r="BB701" i="13"/>
  <c r="BT703" i="13"/>
  <c r="BV703" i="13"/>
  <c r="BB710" i="13"/>
  <c r="AW710" i="13"/>
  <c r="AP710" i="13"/>
  <c r="AO710" i="13"/>
  <c r="AZ716" i="13"/>
  <c r="AJ716" i="13"/>
  <c r="BO724" i="13"/>
  <c r="BS743" i="13"/>
  <c r="BE743" i="13"/>
  <c r="BW743" i="13"/>
  <c r="BU743" i="13"/>
  <c r="BE745" i="13"/>
  <c r="BO748" i="13"/>
  <c r="BE762" i="13"/>
  <c r="BA764" i="13"/>
  <c r="AO764" i="13"/>
  <c r="AL767" i="13"/>
  <c r="AR773" i="13"/>
  <c r="BR790" i="13"/>
  <c r="BQ790" i="13"/>
  <c r="BB810" i="13"/>
  <c r="AM810" i="13"/>
  <c r="AZ810" i="13"/>
  <c r="AP810" i="13"/>
  <c r="AX810" i="13"/>
  <c r="AU810" i="13"/>
  <c r="BQ835" i="13"/>
  <c r="BL835" i="13"/>
  <c r="BK835" i="13"/>
  <c r="BR835" i="13"/>
  <c r="AU858" i="13"/>
  <c r="AR858" i="13"/>
  <c r="AP858" i="13"/>
  <c r="AW898" i="13"/>
  <c r="AK898" i="13"/>
  <c r="AU898" i="13"/>
  <c r="BU927" i="13"/>
  <c r="BW929" i="13"/>
  <c r="AP932" i="13"/>
  <c r="AN932" i="13"/>
  <c r="BN655" i="13"/>
  <c r="BJ655" i="13"/>
  <c r="BN672" i="13"/>
  <c r="BU672" i="13"/>
  <c r="AZ678" i="13"/>
  <c r="AW678" i="13"/>
  <c r="AP678" i="13"/>
  <c r="AK678" i="13"/>
  <c r="BT682" i="13"/>
  <c r="BH682" i="13"/>
  <c r="AY687" i="13"/>
  <c r="AW687" i="13"/>
  <c r="AN687" i="13"/>
  <c r="AM687" i="13"/>
  <c r="BB697" i="13"/>
  <c r="AQ697" i="13"/>
  <c r="AX709" i="13"/>
  <c r="AT709" i="13"/>
  <c r="BP726" i="13"/>
  <c r="BF726" i="13"/>
  <c r="AZ730" i="13"/>
  <c r="AU730" i="13"/>
  <c r="AM730" i="13"/>
  <c r="AL730" i="13"/>
  <c r="AK746" i="13"/>
  <c r="AO746" i="13"/>
  <c r="AN767" i="13"/>
  <c r="AY801" i="13"/>
  <c r="AL801" i="13"/>
  <c r="AP801" i="13"/>
  <c r="AM801" i="13"/>
  <c r="AK839" i="13"/>
  <c r="AP839" i="13"/>
  <c r="AL839" i="13"/>
  <c r="AW866" i="13"/>
  <c r="AS866" i="13"/>
  <c r="BA866" i="13"/>
  <c r="AO866" i="13"/>
  <c r="AM866" i="13"/>
  <c r="AP866" i="13"/>
  <c r="AK866" i="13"/>
  <c r="BN879" i="13"/>
  <c r="BR879" i="13"/>
  <c r="BP879" i="13"/>
  <c r="BV890" i="13"/>
  <c r="BI890" i="13"/>
  <c r="BG890" i="13"/>
  <c r="AY892" i="13"/>
  <c r="BA892" i="13"/>
  <c r="AT892" i="13"/>
  <c r="AR892" i="13"/>
  <c r="AL892" i="13"/>
  <c r="AK892" i="13"/>
  <c r="BB892" i="13"/>
  <c r="AX892" i="13"/>
  <c r="AM898" i="13"/>
  <c r="AZ922" i="13"/>
  <c r="AV922" i="13"/>
  <c r="AN922" i="13"/>
  <c r="AM922" i="13"/>
  <c r="AL922" i="13"/>
  <c r="BT923" i="13"/>
  <c r="BJ923" i="13"/>
  <c r="BV923" i="13"/>
  <c r="BH923" i="13"/>
  <c r="BU923" i="13"/>
  <c r="BG923" i="13"/>
  <c r="BP923" i="13"/>
  <c r="BI923" i="13"/>
  <c r="BF923" i="13"/>
  <c r="BR923" i="13"/>
  <c r="BW923" i="13"/>
  <c r="AZ928" i="13"/>
  <c r="AY928" i="13"/>
  <c r="AQ928" i="13"/>
  <c r="BR959" i="13"/>
  <c r="BU959" i="13"/>
  <c r="BS959" i="13"/>
  <c r="BK959" i="13"/>
  <c r="BM959" i="13"/>
  <c r="BJ610" i="13"/>
  <c r="AU623" i="13"/>
  <c r="BF625" i="13"/>
  <c r="BG627" i="13"/>
  <c r="AS628" i="13"/>
  <c r="BH633" i="13"/>
  <c r="BI634" i="13"/>
  <c r="BB639" i="13"/>
  <c r="BP649" i="13"/>
  <c r="BF649" i="13"/>
  <c r="BM650" i="13"/>
  <c r="AP655" i="13"/>
  <c r="AS655" i="13"/>
  <c r="BF655" i="13"/>
  <c r="BJ658" i="13"/>
  <c r="BW671" i="13"/>
  <c r="BO671" i="13"/>
  <c r="BN671" i="13"/>
  <c r="BE672" i="13"/>
  <c r="AJ678" i="13"/>
  <c r="AV681" i="13"/>
  <c r="AN681" i="13"/>
  <c r="AL681" i="13"/>
  <c r="BJ682" i="13"/>
  <c r="AK687" i="13"/>
  <c r="BU690" i="13"/>
  <c r="BK690" i="13"/>
  <c r="AN697" i="13"/>
  <c r="BA698" i="13"/>
  <c r="BV699" i="13"/>
  <c r="AW700" i="13"/>
  <c r="AR709" i="13"/>
  <c r="AM710" i="13"/>
  <c r="AZ714" i="13"/>
  <c r="AK714" i="13"/>
  <c r="BW722" i="13"/>
  <c r="BV722" i="13"/>
  <c r="BG726" i="13"/>
  <c r="AK730" i="13"/>
  <c r="BH732" i="13"/>
  <c r="BG743" i="13"/>
  <c r="AP746" i="13"/>
  <c r="BV762" i="13"/>
  <c r="AU801" i="13"/>
  <c r="BE807" i="13"/>
  <c r="BU807" i="13"/>
  <c r="BN807" i="13"/>
  <c r="BK807" i="13"/>
  <c r="BS807" i="13"/>
  <c r="AV858" i="13"/>
  <c r="BB861" i="13"/>
  <c r="AY861" i="13"/>
  <c r="AN861" i="13"/>
  <c r="BG866" i="13"/>
  <c r="BV866" i="13"/>
  <c r="AM892" i="13"/>
  <c r="AR922" i="13"/>
  <c r="BE923" i="13"/>
  <c r="AE702" i="13"/>
  <c r="BI767" i="13"/>
  <c r="BF767" i="13"/>
  <c r="BV782" i="13"/>
  <c r="BU782" i="13"/>
  <c r="BQ782" i="13"/>
  <c r="BG782" i="13"/>
  <c r="BH789" i="13"/>
  <c r="BM789" i="13"/>
  <c r="BG789" i="13"/>
  <c r="AT791" i="13"/>
  <c r="AX791" i="13"/>
  <c r="BS795" i="13"/>
  <c r="BV795" i="13"/>
  <c r="BJ795" i="13"/>
  <c r="BI795" i="13"/>
  <c r="BM798" i="13"/>
  <c r="BJ798" i="13"/>
  <c r="BH798" i="13"/>
  <c r="BE798" i="13"/>
  <c r="BS798" i="13"/>
  <c r="AX802" i="13"/>
  <c r="AJ802" i="13"/>
  <c r="AJ804" i="13"/>
  <c r="AX804" i="13"/>
  <c r="BT856" i="13"/>
  <c r="BS856" i="13"/>
  <c r="BK886" i="13"/>
  <c r="BL886" i="13"/>
  <c r="AT889" i="13"/>
  <c r="AK889" i="13"/>
  <c r="AM889" i="13"/>
  <c r="AU889" i="13"/>
  <c r="BT901" i="13"/>
  <c r="BJ901" i="13"/>
  <c r="AZ906" i="13"/>
  <c r="AS906" i="13"/>
  <c r="AJ906" i="13"/>
  <c r="AS961" i="13"/>
  <c r="AW961" i="13"/>
  <c r="AJ961" i="13"/>
  <c r="AQ961" i="13"/>
  <c r="AP961" i="13"/>
  <c r="AY961" i="13"/>
  <c r="AV961" i="13"/>
  <c r="AO961" i="13"/>
  <c r="AK961" i="13"/>
  <c r="BT669" i="13"/>
  <c r="AL671" i="13"/>
  <c r="AS673" i="13"/>
  <c r="BP677" i="13"/>
  <c r="AE682" i="13"/>
  <c r="BQ683" i="13"/>
  <c r="BE686" i="13"/>
  <c r="AX693" i="13"/>
  <c r="BR698" i="13"/>
  <c r="BN704" i="13"/>
  <c r="AK717" i="13"/>
  <c r="AN720" i="13"/>
  <c r="BI734" i="13"/>
  <c r="BV737" i="13"/>
  <c r="AV738" i="13"/>
  <c r="BS744" i="13"/>
  <c r="BE746" i="13"/>
  <c r="BL757" i="13"/>
  <c r="BE757" i="13"/>
  <c r="BG767" i="13"/>
  <c r="BW772" i="13"/>
  <c r="BN772" i="13"/>
  <c r="BJ772" i="13"/>
  <c r="BW775" i="13"/>
  <c r="BM775" i="13"/>
  <c r="BH782" i="13"/>
  <c r="BF789" i="13"/>
  <c r="AW791" i="13"/>
  <c r="BK795" i="13"/>
  <c r="BI798" i="13"/>
  <c r="AM802" i="13"/>
  <c r="AW804" i="13"/>
  <c r="BP813" i="13"/>
  <c r="BN813" i="13"/>
  <c r="BH813" i="13"/>
  <c r="BI842" i="13"/>
  <c r="BU856" i="13"/>
  <c r="BU860" i="13"/>
  <c r="BQ860" i="13"/>
  <c r="BH860" i="13"/>
  <c r="BF860" i="13"/>
  <c r="AZ872" i="13"/>
  <c r="AK872" i="13"/>
  <c r="BB872" i="13"/>
  <c r="AS872" i="13"/>
  <c r="AN872" i="13"/>
  <c r="BS875" i="13"/>
  <c r="BK875" i="13"/>
  <c r="AN889" i="13"/>
  <c r="BL901" i="13"/>
  <c r="AL906" i="13"/>
  <c r="AM961" i="13"/>
  <c r="AM966" i="13"/>
  <c r="AX966" i="13"/>
  <c r="AL966" i="13"/>
  <c r="AZ671" i="13"/>
  <c r="BB673" i="13"/>
  <c r="BT677" i="13"/>
  <c r="BV704" i="13"/>
  <c r="BK746" i="13"/>
  <c r="AQ748" i="13"/>
  <c r="AX748" i="13"/>
  <c r="BB751" i="13"/>
  <c r="AM751" i="13"/>
  <c r="BN760" i="13"/>
  <c r="BP760" i="13"/>
  <c r="AY766" i="13"/>
  <c r="AJ766" i="13"/>
  <c r="AM770" i="13"/>
  <c r="AY770" i="13"/>
  <c r="AU770" i="13"/>
  <c r="AR779" i="13"/>
  <c r="AP779" i="13"/>
  <c r="BS784" i="13"/>
  <c r="BK784" i="13"/>
  <c r="BA799" i="13"/>
  <c r="AV799" i="13"/>
  <c r="AN799" i="13"/>
  <c r="AK799" i="13"/>
  <c r="AV800" i="13"/>
  <c r="AK800" i="13"/>
  <c r="AY811" i="13"/>
  <c r="AM811" i="13"/>
  <c r="AO811" i="13"/>
  <c r="BQ812" i="13"/>
  <c r="BO812" i="13"/>
  <c r="BG812" i="13"/>
  <c r="BF812" i="13"/>
  <c r="BR812" i="13"/>
  <c r="AU817" i="13"/>
  <c r="AM817" i="13"/>
  <c r="AK817" i="13"/>
  <c r="AW833" i="13"/>
  <c r="BA833" i="13"/>
  <c r="AP833" i="13"/>
  <c r="AM833" i="13"/>
  <c r="BB853" i="13"/>
  <c r="AS853" i="13"/>
  <c r="AU853" i="13"/>
  <c r="AT853" i="13"/>
  <c r="AJ853" i="13"/>
  <c r="AK870" i="13"/>
  <c r="AT870" i="13"/>
  <c r="BR889" i="13"/>
  <c r="BM889" i="13"/>
  <c r="BE889" i="13"/>
  <c r="BS889" i="13"/>
  <c r="BK889" i="13"/>
  <c r="BR915" i="13"/>
  <c r="BF915" i="13"/>
  <c r="BU915" i="13"/>
  <c r="BQ915" i="13"/>
  <c r="AU927" i="13"/>
  <c r="AT927" i="13"/>
  <c r="AR927" i="13"/>
  <c r="AM927" i="13"/>
  <c r="AS927" i="13"/>
  <c r="AV929" i="13"/>
  <c r="AW929" i="13"/>
  <c r="AO929" i="13"/>
  <c r="AN929" i="13"/>
  <c r="AX961" i="13"/>
  <c r="AP763" i="13"/>
  <c r="BK769" i="13"/>
  <c r="AW776" i="13"/>
  <c r="AU783" i="13"/>
  <c r="BO787" i="13"/>
  <c r="BS792" i="13"/>
  <c r="BT811" i="13"/>
  <c r="BA824" i="13"/>
  <c r="AN832" i="13"/>
  <c r="AU850" i="13"/>
  <c r="BV854" i="13"/>
  <c r="BS854" i="13"/>
  <c r="AX857" i="13"/>
  <c r="AP857" i="13"/>
  <c r="AO868" i="13"/>
  <c r="AO869" i="13"/>
  <c r="BF871" i="13"/>
  <c r="BR883" i="13"/>
  <c r="BE883" i="13"/>
  <c r="BN888" i="13"/>
  <c r="BS888" i="13"/>
  <c r="BB900" i="13"/>
  <c r="AV900" i="13"/>
  <c r="AQ900" i="13"/>
  <c r="BV920" i="13"/>
  <c r="BN920" i="13"/>
  <c r="BR933" i="13"/>
  <c r="BJ933" i="13"/>
  <c r="BI955" i="13"/>
  <c r="BF955" i="13"/>
  <c r="BE955" i="13"/>
  <c r="BS777" i="13"/>
  <c r="AO786" i="13"/>
  <c r="BM905" i="13"/>
  <c r="BI905" i="13"/>
  <c r="BF905" i="13"/>
  <c r="BW920" i="13"/>
  <c r="BQ922" i="13"/>
  <c r="BM922" i="13"/>
  <c r="BM937" i="13"/>
  <c r="BH937" i="13"/>
  <c r="AR944" i="13"/>
  <c r="AQ944" i="13"/>
  <c r="BM945" i="13"/>
  <c r="BE945" i="13"/>
  <c r="BP955" i="13"/>
  <c r="BT992" i="13"/>
  <c r="BO992" i="13"/>
  <c r="BM992" i="13"/>
  <c r="BJ992" i="13"/>
  <c r="BG992" i="13"/>
  <c r="BE992" i="13"/>
  <c r="BW992" i="13"/>
  <c r="BA763" i="13"/>
  <c r="AM776" i="13"/>
  <c r="BG780" i="13"/>
  <c r="BU799" i="13"/>
  <c r="BN802" i="13"/>
  <c r="AE811" i="13"/>
  <c r="BF811" i="13"/>
  <c r="AV819" i="13"/>
  <c r="BN823" i="13"/>
  <c r="AN824" i="13"/>
  <c r="AJ826" i="13"/>
  <c r="BB832" i="13"/>
  <c r="AL855" i="13"/>
  <c r="BM857" i="13"/>
  <c r="AJ859" i="13"/>
  <c r="AP865" i="13"/>
  <c r="AX865" i="13"/>
  <c r="BB867" i="13"/>
  <c r="AZ868" i="13"/>
  <c r="AS880" i="13"/>
  <c r="AT880" i="13"/>
  <c r="BO888" i="13"/>
  <c r="AX900" i="13"/>
  <c r="BV903" i="13"/>
  <c r="BG905" i="13"/>
  <c r="BF934" i="13"/>
  <c r="BU951" i="13"/>
  <c r="BS951" i="13"/>
  <c r="BM951" i="13"/>
  <c r="BU955" i="13"/>
  <c r="BF956" i="13"/>
  <c r="BU956" i="13"/>
  <c r="BN956" i="13"/>
  <c r="BM956" i="13"/>
  <c r="BI972" i="13"/>
  <c r="BH972" i="13"/>
  <c r="BQ972" i="13"/>
  <c r="BU992" i="13"/>
  <c r="AT776" i="13"/>
  <c r="BK780" i="13"/>
  <c r="BA784" i="13"/>
  <c r="BJ811" i="13"/>
  <c r="AV824" i="13"/>
  <c r="AN826" i="13"/>
  <c r="AU837" i="13"/>
  <c r="AU855" i="13"/>
  <c r="BB859" i="13"/>
  <c r="BT871" i="13"/>
  <c r="BK871" i="13"/>
  <c r="BV871" i="13"/>
  <c r="AW903" i="13"/>
  <c r="AO903" i="13"/>
  <c r="BT905" i="13"/>
  <c r="BR907" i="13"/>
  <c r="BJ907" i="13"/>
  <c r="BT922" i="13"/>
  <c r="AR924" i="13"/>
  <c r="BS942" i="13"/>
  <c r="BK942" i="13"/>
  <c r="BV964" i="13"/>
  <c r="BO972" i="13"/>
  <c r="AV974" i="13"/>
  <c r="BT990" i="13"/>
  <c r="BS990" i="13"/>
  <c r="BJ990" i="13"/>
  <c r="AY994" i="13"/>
  <c r="AZ994" i="13"/>
  <c r="AX994" i="13"/>
  <c r="AJ994" i="13"/>
  <c r="AS1006" i="13"/>
  <c r="BH1006" i="13"/>
  <c r="BS1006" i="13"/>
  <c r="BR988" i="13"/>
  <c r="AW989" i="13"/>
  <c r="AR993" i="13"/>
  <c r="BW994" i="13"/>
  <c r="BU912" i="13"/>
  <c r="AR967" i="13"/>
  <c r="BO981" i="13"/>
  <c r="AN983" i="13"/>
  <c r="BJ984" i="13"/>
  <c r="BK986" i="13"/>
  <c r="AU987" i="13"/>
  <c r="BI1004" i="13"/>
  <c r="AW1006" i="13"/>
  <c r="BJ1006" i="13"/>
  <c r="BW1006" i="13"/>
  <c r="BH988" i="13"/>
  <c r="BV988" i="13"/>
  <c r="BA993" i="13"/>
  <c r="AT910" i="13"/>
  <c r="BF912" i="13"/>
  <c r="AS919" i="13"/>
  <c r="AJ959" i="13"/>
  <c r="AZ967" i="13"/>
  <c r="AK971" i="13"/>
  <c r="BU981" i="13"/>
  <c r="AV983" i="13"/>
  <c r="AN984" i="13"/>
  <c r="BM984" i="13"/>
  <c r="BM986" i="13"/>
  <c r="BK1004" i="13"/>
  <c r="BB1006" i="13"/>
  <c r="BK1006" i="13"/>
  <c r="BI988" i="13"/>
  <c r="BB993" i="13"/>
  <c r="BH996" i="13"/>
  <c r="BH997" i="13"/>
  <c r="BO1006" i="13"/>
  <c r="BJ996" i="13"/>
  <c r="BM997" i="13"/>
  <c r="BV868" i="13"/>
  <c r="BS877" i="13"/>
  <c r="BG895" i="13"/>
  <c r="AN912" i="13"/>
  <c r="BI912" i="13"/>
  <c r="AM916" i="13"/>
  <c r="AU959" i="13"/>
  <c r="AN964" i="13"/>
  <c r="AR965" i="13"/>
  <c r="AM971" i="13"/>
  <c r="AX984" i="13"/>
  <c r="BS984" i="13"/>
  <c r="BS986" i="13"/>
  <c r="BI1001" i="13"/>
  <c r="BR1003" i="13"/>
  <c r="BS1004" i="13"/>
  <c r="AK1006" i="13"/>
  <c r="BE1006" i="13"/>
  <c r="BP1006" i="13"/>
  <c r="BK988" i="13"/>
  <c r="AN989" i="13"/>
  <c r="AN990" i="13"/>
  <c r="AK993" i="13"/>
  <c r="BG994" i="13"/>
  <c r="AL995" i="13"/>
  <c r="AE996" i="13"/>
  <c r="BK996" i="13"/>
  <c r="BN997" i="13"/>
  <c r="BT984" i="13"/>
  <c r="BW1004" i="13"/>
  <c r="BF1006" i="13"/>
  <c r="BQ1006" i="13"/>
  <c r="BN988" i="13"/>
  <c r="AP989" i="13"/>
  <c r="AM993" i="13"/>
  <c r="BI994" i="13"/>
  <c r="BN996" i="13"/>
  <c r="BV997" i="13"/>
  <c r="BT229" i="13"/>
  <c r="BQ229" i="13"/>
  <c r="BO229" i="13"/>
  <c r="BT327" i="13"/>
  <c r="BM327" i="13"/>
  <c r="BK327" i="13"/>
  <c r="BW327" i="13"/>
  <c r="BI327" i="13"/>
  <c r="BV327" i="13"/>
  <c r="BG327" i="13"/>
  <c r="BU327" i="13"/>
  <c r="BF327" i="13"/>
  <c r="BQ327" i="13"/>
  <c r="BE327" i="13"/>
  <c r="AY347" i="13"/>
  <c r="AU347" i="13"/>
  <c r="AT347" i="13"/>
  <c r="AP347" i="13"/>
  <c r="AM347" i="13"/>
  <c r="AL347" i="13"/>
  <c r="AK347" i="13"/>
  <c r="BA357" i="13"/>
  <c r="AX357" i="13"/>
  <c r="AW357" i="13"/>
  <c r="AV357" i="13"/>
  <c r="AR357" i="13"/>
  <c r="AN357" i="13"/>
  <c r="AM357" i="13"/>
  <c r="AT366" i="13"/>
  <c r="AZ366" i="13"/>
  <c r="AS366" i="13"/>
  <c r="AR366" i="13"/>
  <c r="AP366" i="13"/>
  <c r="AK366" i="13"/>
  <c r="AJ366" i="13"/>
  <c r="AU395" i="13"/>
  <c r="BB395" i="13"/>
  <c r="AN395" i="13"/>
  <c r="AY395" i="13"/>
  <c r="AL395" i="13"/>
  <c r="AW395" i="13"/>
  <c r="AK395" i="13"/>
  <c r="AS395" i="13"/>
  <c r="BA395" i="13"/>
  <c r="AV395" i="13"/>
  <c r="AQ395" i="13"/>
  <c r="AO395" i="13"/>
  <c r="AM395" i="13"/>
  <c r="BG218" i="13"/>
  <c r="AJ219" i="13"/>
  <c r="AV219" i="13"/>
  <c r="AN224" i="13"/>
  <c r="BF224" i="13"/>
  <c r="BI225" i="13"/>
  <c r="AJ227" i="13"/>
  <c r="BK228" i="13"/>
  <c r="BF229" i="13"/>
  <c r="AN232" i="13"/>
  <c r="BN235" i="13"/>
  <c r="BF240" i="13"/>
  <c r="BB248" i="13"/>
  <c r="AP248" i="13"/>
  <c r="AO248" i="13"/>
  <c r="AN248" i="13"/>
  <c r="BR251" i="13"/>
  <c r="BV251" i="13"/>
  <c r="BN251" i="13"/>
  <c r="BM251" i="13"/>
  <c r="BK251" i="13"/>
  <c r="BI251" i="13"/>
  <c r="BE253" i="13"/>
  <c r="AM256" i="13"/>
  <c r="AX256" i="13"/>
  <c r="AY271" i="13"/>
  <c r="AX271" i="13"/>
  <c r="AQ271" i="13"/>
  <c r="AZ278" i="13"/>
  <c r="AW278" i="13"/>
  <c r="AV278" i="13"/>
  <c r="AT278" i="13"/>
  <c r="AM278" i="13"/>
  <c r="AY287" i="13"/>
  <c r="BB287" i="13"/>
  <c r="AZ287" i="13"/>
  <c r="AV287" i="13"/>
  <c r="AP287" i="13"/>
  <c r="AO287" i="13"/>
  <c r="AU293" i="13"/>
  <c r="AT293" i="13"/>
  <c r="BN320" i="13"/>
  <c r="BU320" i="13"/>
  <c r="BT320" i="13"/>
  <c r="BM320" i="13"/>
  <c r="BF320" i="13"/>
  <c r="BA325" i="13"/>
  <c r="AU325" i="13"/>
  <c r="AR325" i="13"/>
  <c r="AP325" i="13"/>
  <c r="AO325" i="13"/>
  <c r="BB325" i="13"/>
  <c r="AM325" i="13"/>
  <c r="AZ325" i="13"/>
  <c r="AL325" i="13"/>
  <c r="BO327" i="13"/>
  <c r="BV345" i="13"/>
  <c r="BQ345" i="13"/>
  <c r="BP345" i="13"/>
  <c r="BG345" i="13"/>
  <c r="AV347" i="13"/>
  <c r="AL357" i="13"/>
  <c r="BA363" i="13"/>
  <c r="AX363" i="13"/>
  <c r="AV363" i="13"/>
  <c r="AU363" i="13"/>
  <c r="AR363" i="13"/>
  <c r="AM363" i="13"/>
  <c r="AL363" i="13"/>
  <c r="AK363" i="13"/>
  <c r="AS377" i="13"/>
  <c r="AR377" i="13"/>
  <c r="BV404" i="13"/>
  <c r="BK404" i="13"/>
  <c r="BJ404" i="13"/>
  <c r="BW404" i="13"/>
  <c r="BH404" i="13"/>
  <c r="BU404" i="13"/>
  <c r="BE404" i="13"/>
  <c r="BR404" i="13"/>
  <c r="BS404" i="13"/>
  <c r="BP404" i="13"/>
  <c r="BI404" i="13"/>
  <c r="BU507" i="13"/>
  <c r="BR507" i="13"/>
  <c r="BQ507" i="13"/>
  <c r="BK507" i="13"/>
  <c r="BJ507" i="13"/>
  <c r="BI507" i="13"/>
  <c r="BS507" i="13"/>
  <c r="AT259" i="13"/>
  <c r="BB259" i="13"/>
  <c r="AV259" i="13"/>
  <c r="AP259" i="13"/>
  <c r="AN259" i="13"/>
  <c r="AM259" i="13"/>
  <c r="BK225" i="13"/>
  <c r="AZ347" i="13"/>
  <c r="BS357" i="13"/>
  <c r="BW357" i="13"/>
  <c r="BM357" i="13"/>
  <c r="BI357" i="13"/>
  <c r="AP224" i="13"/>
  <c r="BV224" i="13"/>
  <c r="AM227" i="13"/>
  <c r="BP228" i="13"/>
  <c r="BH229" i="13"/>
  <c r="AS232" i="13"/>
  <c r="AJ233" i="13"/>
  <c r="AJ239" i="13"/>
  <c r="BH244" i="13"/>
  <c r="BA246" i="13"/>
  <c r="AJ249" i="13"/>
  <c r="BN253" i="13"/>
  <c r="AX261" i="13"/>
  <c r="AV261" i="13"/>
  <c r="AP261" i="13"/>
  <c r="AP298" i="13"/>
  <c r="AY298" i="13"/>
  <c r="AV298" i="13"/>
  <c r="AS298" i="13"/>
  <c r="AQ298" i="13"/>
  <c r="AO298" i="13"/>
  <c r="AN298" i="13"/>
  <c r="AV325" i="13"/>
  <c r="AX353" i="13"/>
  <c r="BB353" i="13"/>
  <c r="BA353" i="13"/>
  <c r="AT353" i="13"/>
  <c r="AN353" i="13"/>
  <c r="AL353" i="13"/>
  <c r="AK353" i="13"/>
  <c r="BG357" i="13"/>
  <c r="AL219" i="13"/>
  <c r="BN224" i="13"/>
  <c r="BN240" i="13"/>
  <c r="BV348" i="13"/>
  <c r="BR348" i="13"/>
  <c r="BQ348" i="13"/>
  <c r="BP348" i="13"/>
  <c r="BI348" i="13"/>
  <c r="BH348" i="13"/>
  <c r="BI218" i="13"/>
  <c r="AX219" i="13"/>
  <c r="BP218" i="13"/>
  <c r="AN219" i="13"/>
  <c r="AZ219" i="13"/>
  <c r="BU219" i="13"/>
  <c r="AV221" i="13"/>
  <c r="BK221" i="13"/>
  <c r="BP223" i="13"/>
  <c r="AS224" i="13"/>
  <c r="AU225" i="13"/>
  <c r="BU226" i="13"/>
  <c r="BV226" i="13"/>
  <c r="AR227" i="13"/>
  <c r="AK228" i="13"/>
  <c r="BS228" i="13"/>
  <c r="BI229" i="13"/>
  <c r="AW232" i="13"/>
  <c r="AK233" i="13"/>
  <c r="AX236" i="13"/>
  <c r="BA236" i="13"/>
  <c r="AS236" i="13"/>
  <c r="AK236" i="13"/>
  <c r="AN237" i="13"/>
  <c r="AV239" i="13"/>
  <c r="AY241" i="13"/>
  <c r="AL241" i="13"/>
  <c r="AK241" i="13"/>
  <c r="AJ241" i="13"/>
  <c r="BN244" i="13"/>
  <c r="AS248" i="13"/>
  <c r="AX252" i="13"/>
  <c r="BA252" i="13"/>
  <c r="AS252" i="13"/>
  <c r="BO253" i="13"/>
  <c r="BW290" i="13"/>
  <c r="BU290" i="13"/>
  <c r="BP290" i="13"/>
  <c r="BO290" i="13"/>
  <c r="BJ290" i="13"/>
  <c r="BF290" i="13"/>
  <c r="BE290" i="13"/>
  <c r="AK298" i="13"/>
  <c r="AY318" i="13"/>
  <c r="AW318" i="13"/>
  <c r="AU318" i="13"/>
  <c r="AK318" i="13"/>
  <c r="AW325" i="13"/>
  <c r="BT435" i="13"/>
  <c r="BH435" i="13"/>
  <c r="BJ435" i="13"/>
  <c r="BR227" i="13"/>
  <c r="BN227" i="13"/>
  <c r="BK227" i="13"/>
  <c r="AY249" i="13"/>
  <c r="BB249" i="13"/>
  <c r="AU249" i="13"/>
  <c r="AT249" i="13"/>
  <c r="BJ253" i="13"/>
  <c r="AX259" i="13"/>
  <c r="BQ284" i="13"/>
  <c r="BG284" i="13"/>
  <c r="AM219" i="13"/>
  <c r="BV218" i="13"/>
  <c r="AO219" i="13"/>
  <c r="BB219" i="13"/>
  <c r="AX221" i="13"/>
  <c r="BQ223" i="13"/>
  <c r="AU224" i="13"/>
  <c r="AJ225" i="13"/>
  <c r="AV225" i="13"/>
  <c r="BF226" i="13"/>
  <c r="AS228" i="13"/>
  <c r="BP229" i="13"/>
  <c r="AX232" i="13"/>
  <c r="AL233" i="13"/>
  <c r="BW236" i="13"/>
  <c r="BS236" i="13"/>
  <c r="BP236" i="13"/>
  <c r="BN236" i="13"/>
  <c r="AP237" i="13"/>
  <c r="AS241" i="13"/>
  <c r="BP244" i="13"/>
  <c r="AW248" i="13"/>
  <c r="AL249" i="13"/>
  <c r="AK252" i="13"/>
  <c r="BT311" i="13"/>
  <c r="BW311" i="13"/>
  <c r="BK311" i="13"/>
  <c r="BU311" i="13"/>
  <c r="BJ311" i="13"/>
  <c r="BS311" i="13"/>
  <c r="BI311" i="13"/>
  <c r="BR311" i="13"/>
  <c r="BH311" i="13"/>
  <c r="BQ311" i="13"/>
  <c r="BG311" i="13"/>
  <c r="BP311" i="13"/>
  <c r="BF311" i="13"/>
  <c r="BS333" i="13"/>
  <c r="BW333" i="13"/>
  <c r="BV333" i="13"/>
  <c r="BO333" i="13"/>
  <c r="BI333" i="13"/>
  <c r="BG333" i="13"/>
  <c r="BR342" i="13"/>
  <c r="BT342" i="13"/>
  <c r="BM353" i="13"/>
  <c r="AZ365" i="13"/>
  <c r="AU365" i="13"/>
  <c r="AK365" i="13"/>
  <c r="AJ365" i="13"/>
  <c r="AU219" i="13"/>
  <c r="BA227" i="13"/>
  <c r="AU227" i="13"/>
  <c r="AN227" i="13"/>
  <c r="BU331" i="13"/>
  <c r="BM331" i="13"/>
  <c r="BK331" i="13"/>
  <c r="BM227" i="13"/>
  <c r="AW239" i="13"/>
  <c r="AP239" i="13"/>
  <c r="AN239" i="13"/>
  <c r="AK239" i="13"/>
  <c r="BP327" i="13"/>
  <c r="BA341" i="13"/>
  <c r="AV341" i="13"/>
  <c r="AU341" i="13"/>
  <c r="AL341" i="13"/>
  <c r="BW218" i="13"/>
  <c r="AP219" i="13"/>
  <c r="AS220" i="13"/>
  <c r="BP221" i="13"/>
  <c r="AK222" i="13"/>
  <c r="AJ223" i="13"/>
  <c r="AX224" i="13"/>
  <c r="AK225" i="13"/>
  <c r="AZ225" i="13"/>
  <c r="BG226" i="13"/>
  <c r="AW227" i="13"/>
  <c r="BA228" i="13"/>
  <c r="BR229" i="13"/>
  <c r="AW231" i="13"/>
  <c r="BA231" i="13"/>
  <c r="AV231" i="13"/>
  <c r="BH236" i="13"/>
  <c r="BT237" i="13"/>
  <c r="BH237" i="13"/>
  <c r="BG237" i="13"/>
  <c r="BF237" i="13"/>
  <c r="BA239" i="13"/>
  <c r="AT241" i="13"/>
  <c r="BA243" i="13"/>
  <c r="AP243" i="13"/>
  <c r="BB243" i="13"/>
  <c r="AO243" i="13"/>
  <c r="AZ243" i="13"/>
  <c r="AN243" i="13"/>
  <c r="AX243" i="13"/>
  <c r="AX248" i="13"/>
  <c r="AS249" i="13"/>
  <c r="AR255" i="13"/>
  <c r="AZ255" i="13"/>
  <c r="AX269" i="13"/>
  <c r="AV269" i="13"/>
  <c r="AP269" i="13"/>
  <c r="BU270" i="13"/>
  <c r="BP270" i="13"/>
  <c r="BN270" i="13"/>
  <c r="BL270" i="13"/>
  <c r="BF270" i="13"/>
  <c r="BS286" i="13"/>
  <c r="BR286" i="13"/>
  <c r="BQ286" i="13"/>
  <c r="BK286" i="13"/>
  <c r="BH286" i="13"/>
  <c r="AY291" i="13"/>
  <c r="AP291" i="13"/>
  <c r="BB291" i="13"/>
  <c r="AO291" i="13"/>
  <c r="AZ291" i="13"/>
  <c r="AN291" i="13"/>
  <c r="AX291" i="13"/>
  <c r="AL291" i="13"/>
  <c r="AW291" i="13"/>
  <c r="AK291" i="13"/>
  <c r="AU291" i="13"/>
  <c r="AJ291" i="13"/>
  <c r="BV298" i="13"/>
  <c r="BW298" i="13"/>
  <c r="BU298" i="13"/>
  <c r="BM298" i="13"/>
  <c r="BE311" i="13"/>
  <c r="BV332" i="13"/>
  <c r="BR332" i="13"/>
  <c r="BQ332" i="13"/>
  <c r="BJ332" i="13"/>
  <c r="BI332" i="13"/>
  <c r="BH332" i="13"/>
  <c r="BF333" i="13"/>
  <c r="BS342" i="13"/>
  <c r="AW426" i="13"/>
  <c r="BB426" i="13"/>
  <c r="BA426" i="13"/>
  <c r="AV426" i="13"/>
  <c r="AK426" i="13"/>
  <c r="AL426" i="13"/>
  <c r="AU245" i="13"/>
  <c r="AP245" i="13"/>
  <c r="AN245" i="13"/>
  <c r="BS248" i="13"/>
  <c r="BN248" i="13"/>
  <c r="BF248" i="13"/>
  <c r="BT253" i="13"/>
  <c r="BW253" i="13"/>
  <c r="BK253" i="13"/>
  <c r="BS253" i="13"/>
  <c r="BI253" i="13"/>
  <c r="BR253" i="13"/>
  <c r="BH253" i="13"/>
  <c r="BQ253" i="13"/>
  <c r="BG253" i="13"/>
  <c r="BP253" i="13"/>
  <c r="BF253" i="13"/>
  <c r="AW219" i="13"/>
  <c r="AL227" i="13"/>
  <c r="BG229" i="13"/>
  <c r="AY233" i="13"/>
  <c r="AU233" i="13"/>
  <c r="AS233" i="13"/>
  <c r="BW244" i="13"/>
  <c r="BK244" i="13"/>
  <c r="BJ244" i="13"/>
  <c r="BI244" i="13"/>
  <c r="BA299" i="13"/>
  <c r="AZ299" i="13"/>
  <c r="AS299" i="13"/>
  <c r="AR299" i="13"/>
  <c r="AP299" i="13"/>
  <c r="AS313" i="13"/>
  <c r="AY313" i="13"/>
  <c r="AQ313" i="13"/>
  <c r="AY461" i="13"/>
  <c r="AT461" i="13"/>
  <c r="AS461" i="13"/>
  <c r="AP461" i="13"/>
  <c r="AK461" i="13"/>
  <c r="AJ461" i="13"/>
  <c r="BB461" i="13"/>
  <c r="AZ461" i="13"/>
  <c r="BT468" i="13"/>
  <c r="BM468" i="13"/>
  <c r="BJ468" i="13"/>
  <c r="BI468" i="13"/>
  <c r="BW468" i="13"/>
  <c r="BH468" i="13"/>
  <c r="BV468" i="13"/>
  <c r="BF468" i="13"/>
  <c r="BR468" i="13"/>
  <c r="BP468" i="13"/>
  <c r="BU468" i="13"/>
  <c r="AR219" i="13"/>
  <c r="BA224" i="13"/>
  <c r="AX227" i="13"/>
  <c r="BW228" i="13"/>
  <c r="BJ228" i="13"/>
  <c r="BH228" i="13"/>
  <c r="BB232" i="13"/>
  <c r="AO232" i="13"/>
  <c r="AM232" i="13"/>
  <c r="BB233" i="13"/>
  <c r="BR235" i="13"/>
  <c r="BK235" i="13"/>
  <c r="BI235" i="13"/>
  <c r="BF235" i="13"/>
  <c r="BV244" i="13"/>
  <c r="BF286" i="13"/>
  <c r="AS291" i="13"/>
  <c r="BN311" i="13"/>
  <c r="AT337" i="13"/>
  <c r="AX345" i="13"/>
  <c r="BA345" i="13"/>
  <c r="AZ345" i="13"/>
  <c r="AS345" i="13"/>
  <c r="AR345" i="13"/>
  <c r="AN345" i="13"/>
  <c r="AK345" i="13"/>
  <c r="BU372" i="13"/>
  <c r="BJ372" i="13"/>
  <c r="BT372" i="13"/>
  <c r="BS372" i="13"/>
  <c r="BR372" i="13"/>
  <c r="BK372" i="13"/>
  <c r="BI372" i="13"/>
  <c r="AR235" i="13"/>
  <c r="AW240" i="13"/>
  <c r="BQ243" i="13"/>
  <c r="BP245" i="13"/>
  <c r="AZ247" i="13"/>
  <c r="AU251" i="13"/>
  <c r="BP252" i="13"/>
  <c r="BP255" i="13"/>
  <c r="BI258" i="13"/>
  <c r="BI261" i="13"/>
  <c r="BS261" i="13"/>
  <c r="AU262" i="13"/>
  <c r="AP263" i="13"/>
  <c r="BK263" i="13"/>
  <c r="AV265" i="13"/>
  <c r="BQ265" i="13"/>
  <c r="BV266" i="13"/>
  <c r="BQ267" i="13"/>
  <c r="BJ269" i="13"/>
  <c r="BW269" i="13"/>
  <c r="AX273" i="13"/>
  <c r="BP273" i="13"/>
  <c r="AS275" i="13"/>
  <c r="AZ276" i="13"/>
  <c r="AR281" i="13"/>
  <c r="BO281" i="13"/>
  <c r="AT283" i="13"/>
  <c r="BM287" i="13"/>
  <c r="BO289" i="13"/>
  <c r="BU291" i="13"/>
  <c r="AW295" i="13"/>
  <c r="BU295" i="13"/>
  <c r="BH297" i="13"/>
  <c r="BW297" i="13"/>
  <c r="BK299" i="13"/>
  <c r="AU300" i="13"/>
  <c r="AU304" i="13"/>
  <c r="BM304" i="13"/>
  <c r="BA305" i="13"/>
  <c r="BM306" i="13"/>
  <c r="AS308" i="13"/>
  <c r="BT308" i="13"/>
  <c r="AN309" i="13"/>
  <c r="AZ309" i="13"/>
  <c r="AU310" i="13"/>
  <c r="BM312" i="13"/>
  <c r="BU313" i="13"/>
  <c r="AP315" i="13"/>
  <c r="BB315" i="13"/>
  <c r="BP316" i="13"/>
  <c r="AU317" i="13"/>
  <c r="BO317" i="13"/>
  <c r="AR321" i="13"/>
  <c r="BQ321" i="13"/>
  <c r="BW322" i="13"/>
  <c r="AN323" i="13"/>
  <c r="BB323" i="13"/>
  <c r="BW325" i="13"/>
  <c r="AZ326" i="13"/>
  <c r="AT329" i="13"/>
  <c r="AU333" i="13"/>
  <c r="AM334" i="13"/>
  <c r="BR334" i="13"/>
  <c r="AW336" i="13"/>
  <c r="BU337" i="13"/>
  <c r="BM341" i="13"/>
  <c r="AS342" i="13"/>
  <c r="AO344" i="13"/>
  <c r="BJ346" i="13"/>
  <c r="AM349" i="13"/>
  <c r="BB349" i="13"/>
  <c r="BA350" i="13"/>
  <c r="BN351" i="13"/>
  <c r="AV352" i="13"/>
  <c r="BJ354" i="13"/>
  <c r="AO355" i="13"/>
  <c r="BB355" i="13"/>
  <c r="AZ356" i="13"/>
  <c r="AM358" i="13"/>
  <c r="BK359" i="13"/>
  <c r="AT361" i="13"/>
  <c r="BG362" i="13"/>
  <c r="BL367" i="13"/>
  <c r="BG370" i="13"/>
  <c r="AY371" i="13"/>
  <c r="AU371" i="13"/>
  <c r="BO380" i="13"/>
  <c r="BU380" i="13"/>
  <c r="BJ380" i="13"/>
  <c r="BA396" i="13"/>
  <c r="BB396" i="13"/>
  <c r="BJ398" i="13"/>
  <c r="AW400" i="13"/>
  <c r="AW403" i="13"/>
  <c r="BA403" i="13"/>
  <c r="AK403" i="13"/>
  <c r="BN410" i="13"/>
  <c r="BG414" i="13"/>
  <c r="BW414" i="13"/>
  <c r="BQ414" i="13"/>
  <c r="BM414" i="13"/>
  <c r="BL414" i="13"/>
  <c r="BE414" i="13"/>
  <c r="BR416" i="13"/>
  <c r="BQ416" i="13"/>
  <c r="BO416" i="13"/>
  <c r="BK416" i="13"/>
  <c r="BG416" i="13"/>
  <c r="AY439" i="13"/>
  <c r="BB439" i="13"/>
  <c r="AW439" i="13"/>
  <c r="AU439" i="13"/>
  <c r="AT439" i="13"/>
  <c r="AL439" i="13"/>
  <c r="AU235" i="13"/>
  <c r="AX240" i="13"/>
  <c r="BQ255" i="13"/>
  <c r="BP258" i="13"/>
  <c r="BJ261" i="13"/>
  <c r="BU261" i="13"/>
  <c r="AR263" i="13"/>
  <c r="BM263" i="13"/>
  <c r="AW265" i="13"/>
  <c r="BK269" i="13"/>
  <c r="BS273" i="13"/>
  <c r="AV275" i="13"/>
  <c r="AT281" i="13"/>
  <c r="BR281" i="13"/>
  <c r="BP287" i="13"/>
  <c r="BP289" i="13"/>
  <c r="BJ297" i="13"/>
  <c r="BT299" i="13"/>
  <c r="AZ300" i="13"/>
  <c r="AW304" i="13"/>
  <c r="BN304" i="13"/>
  <c r="BB305" i="13"/>
  <c r="BN306" i="13"/>
  <c r="AY308" i="13"/>
  <c r="AO309" i="13"/>
  <c r="BB309" i="13"/>
  <c r="AW310" i="13"/>
  <c r="BN312" i="13"/>
  <c r="AS315" i="13"/>
  <c r="BQ316" i="13"/>
  <c r="AV317" i="13"/>
  <c r="AS321" i="13"/>
  <c r="AP323" i="13"/>
  <c r="BA329" i="13"/>
  <c r="AS334" i="13"/>
  <c r="BS334" i="13"/>
  <c r="AU342" i="13"/>
  <c r="AV344" i="13"/>
  <c r="BM346" i="13"/>
  <c r="AO349" i="13"/>
  <c r="BO351" i="13"/>
  <c r="BM354" i="13"/>
  <c r="AP355" i="13"/>
  <c r="BA356" i="13"/>
  <c r="AO358" i="13"/>
  <c r="BM359" i="13"/>
  <c r="AV361" i="13"/>
  <c r="BJ362" i="13"/>
  <c r="BE364" i="13"/>
  <c r="BO367" i="13"/>
  <c r="AZ370" i="13"/>
  <c r="BB370" i="13"/>
  <c r="BH370" i="13"/>
  <c r="BV375" i="13"/>
  <c r="BT375" i="13"/>
  <c r="BJ375" i="13"/>
  <c r="AR378" i="13"/>
  <c r="AJ378" i="13"/>
  <c r="BG380" i="13"/>
  <c r="BV396" i="13"/>
  <c r="BM396" i="13"/>
  <c r="BW396" i="13"/>
  <c r="BJ396" i="13"/>
  <c r="BU396" i="13"/>
  <c r="BI396" i="13"/>
  <c r="BR396" i="13"/>
  <c r="BG396" i="13"/>
  <c r="BS403" i="13"/>
  <c r="BP403" i="13"/>
  <c r="BN403" i="13"/>
  <c r="BE403" i="13"/>
  <c r="AW425" i="13"/>
  <c r="AY425" i="13"/>
  <c r="AO425" i="13"/>
  <c r="BV437" i="13"/>
  <c r="BI437" i="13"/>
  <c r="AW445" i="13"/>
  <c r="AU445" i="13"/>
  <c r="AV514" i="13"/>
  <c r="AP514" i="13"/>
  <c r="AO514" i="13"/>
  <c r="AN514" i="13"/>
  <c r="BA514" i="13"/>
  <c r="AM514" i="13"/>
  <c r="AY514" i="13"/>
  <c r="AL514" i="13"/>
  <c r="AW514" i="13"/>
  <c r="AQ514" i="13"/>
  <c r="AY533" i="13"/>
  <c r="AW533" i="13"/>
  <c r="AK533" i="13"/>
  <c r="AV533" i="13"/>
  <c r="AJ533" i="13"/>
  <c r="AS533" i="13"/>
  <c r="AU533" i="13"/>
  <c r="AT533" i="13"/>
  <c r="AN533" i="13"/>
  <c r="AM533" i="13"/>
  <c r="AL533" i="13"/>
  <c r="BB533" i="13"/>
  <c r="AP229" i="13"/>
  <c r="BN232" i="13"/>
  <c r="AJ235" i="13"/>
  <c r="AV235" i="13"/>
  <c r="AK240" i="13"/>
  <c r="BA240" i="13"/>
  <c r="BR245" i="13"/>
  <c r="BV252" i="13"/>
  <c r="AK254" i="13"/>
  <c r="BE255" i="13"/>
  <c r="BR255" i="13"/>
  <c r="BK257" i="13"/>
  <c r="BQ258" i="13"/>
  <c r="BI260" i="13"/>
  <c r="BK261" i="13"/>
  <c r="BW261" i="13"/>
  <c r="AZ263" i="13"/>
  <c r="BP263" i="13"/>
  <c r="AN264" i="13"/>
  <c r="AJ265" i="13"/>
  <c r="AZ265" i="13"/>
  <c r="BN269" i="13"/>
  <c r="AL273" i="13"/>
  <c r="BB273" i="13"/>
  <c r="BT273" i="13"/>
  <c r="AJ275" i="13"/>
  <c r="BQ276" i="13"/>
  <c r="BL277" i="13"/>
  <c r="BG279" i="13"/>
  <c r="BK280" i="13"/>
  <c r="AV281" i="13"/>
  <c r="AK283" i="13"/>
  <c r="AW283" i="13"/>
  <c r="AK284" i="13"/>
  <c r="AM286" i="13"/>
  <c r="BS287" i="13"/>
  <c r="AP289" i="13"/>
  <c r="AZ295" i="13"/>
  <c r="BK297" i="13"/>
  <c r="BU299" i="13"/>
  <c r="BA300" i="13"/>
  <c r="AY304" i="13"/>
  <c r="BS304" i="13"/>
  <c r="AN306" i="13"/>
  <c r="BP306" i="13"/>
  <c r="BA308" i="13"/>
  <c r="AP309" i="13"/>
  <c r="AM312" i="13"/>
  <c r="BT312" i="13"/>
  <c r="AQ314" i="13"/>
  <c r="AJ315" i="13"/>
  <c r="AT315" i="13"/>
  <c r="BR316" i="13"/>
  <c r="BV317" i="13"/>
  <c r="AZ321" i="13"/>
  <c r="AR323" i="13"/>
  <c r="BE323" i="13"/>
  <c r="BN328" i="13"/>
  <c r="BB329" i="13"/>
  <c r="AL333" i="13"/>
  <c r="AW333" i="13"/>
  <c r="AW334" i="13"/>
  <c r="BT334" i="13"/>
  <c r="BF336" i="13"/>
  <c r="AP339" i="13"/>
  <c r="BO341" i="13"/>
  <c r="AJ342" i="13"/>
  <c r="AW342" i="13"/>
  <c r="BU343" i="13"/>
  <c r="AW344" i="13"/>
  <c r="BP346" i="13"/>
  <c r="AP349" i="13"/>
  <c r="BF349" i="13"/>
  <c r="AK350" i="13"/>
  <c r="BL350" i="13"/>
  <c r="BW351" i="13"/>
  <c r="BE352" i="13"/>
  <c r="BN354" i="13"/>
  <c r="AS355" i="13"/>
  <c r="AR358" i="13"/>
  <c r="AY359" i="13"/>
  <c r="BP359" i="13"/>
  <c r="AM360" i="13"/>
  <c r="BM362" i="13"/>
  <c r="AM364" i="13"/>
  <c r="BG364" i="13"/>
  <c r="AJ370" i="13"/>
  <c r="BI370" i="13"/>
  <c r="AL371" i="13"/>
  <c r="AU373" i="13"/>
  <c r="BF375" i="13"/>
  <c r="AV378" i="13"/>
  <c r="BH380" i="13"/>
  <c r="BE396" i="13"/>
  <c r="BW397" i="13"/>
  <c r="BP397" i="13"/>
  <c r="BA399" i="13"/>
  <c r="AR399" i="13"/>
  <c r="BF403" i="13"/>
  <c r="AW409" i="13"/>
  <c r="AM409" i="13"/>
  <c r="BO414" i="13"/>
  <c r="BW416" i="13"/>
  <c r="AZ418" i="13"/>
  <c r="AL418" i="13"/>
  <c r="AJ418" i="13"/>
  <c r="AV425" i="13"/>
  <c r="BQ437" i="13"/>
  <c r="AX514" i="13"/>
  <c r="BE538" i="13"/>
  <c r="BT538" i="13"/>
  <c r="BS538" i="13"/>
  <c r="BO538" i="13"/>
  <c r="BG538" i="13"/>
  <c r="BU562" i="13"/>
  <c r="BK562" i="13"/>
  <c r="BL562" i="13"/>
  <c r="BV258" i="13"/>
  <c r="BN261" i="13"/>
  <c r="BQ263" i="13"/>
  <c r="BO269" i="13"/>
  <c r="BM297" i="13"/>
  <c r="BV304" i="13"/>
  <c r="BR306" i="13"/>
  <c r="AR309" i="13"/>
  <c r="BV312" i="13"/>
  <c r="AV314" i="13"/>
  <c r="AK315" i="13"/>
  <c r="AU315" i="13"/>
  <c r="BA321" i="13"/>
  <c r="AT323" i="13"/>
  <c r="BL323" i="13"/>
  <c r="AZ334" i="13"/>
  <c r="BM336" i="13"/>
  <c r="AZ339" i="13"/>
  <c r="BU341" i="13"/>
  <c r="AK342" i="13"/>
  <c r="AZ342" i="13"/>
  <c r="BR346" i="13"/>
  <c r="AR349" i="13"/>
  <c r="BG349" i="13"/>
  <c r="AL350" i="13"/>
  <c r="BP354" i="13"/>
  <c r="AT355" i="13"/>
  <c r="AU358" i="13"/>
  <c r="BQ359" i="13"/>
  <c r="BN362" i="13"/>
  <c r="AK370" i="13"/>
  <c r="BJ370" i="13"/>
  <c r="AV371" i="13"/>
  <c r="AV373" i="13"/>
  <c r="BI375" i="13"/>
  <c r="AW378" i="13"/>
  <c r="BI380" i="13"/>
  <c r="BT386" i="13"/>
  <c r="BU386" i="13"/>
  <c r="BI386" i="13"/>
  <c r="BR386" i="13"/>
  <c r="BF386" i="13"/>
  <c r="BQ386" i="13"/>
  <c r="BE386" i="13"/>
  <c r="BN386" i="13"/>
  <c r="AK388" i="13"/>
  <c r="AJ388" i="13"/>
  <c r="AV392" i="13"/>
  <c r="AJ392" i="13"/>
  <c r="BN393" i="13"/>
  <c r="BQ393" i="13"/>
  <c r="BJ393" i="13"/>
  <c r="BI393" i="13"/>
  <c r="BF393" i="13"/>
  <c r="BH396" i="13"/>
  <c r="BR403" i="13"/>
  <c r="BM418" i="13"/>
  <c r="BE418" i="13"/>
  <c r="BV418" i="13"/>
  <c r="AX442" i="13"/>
  <c r="AV442" i="13"/>
  <c r="AU501" i="13"/>
  <c r="AT501" i="13"/>
  <c r="AS501" i="13"/>
  <c r="AP501" i="13"/>
  <c r="AQ620" i="13"/>
  <c r="AX620" i="13"/>
  <c r="AP620" i="13"/>
  <c r="AN620" i="13"/>
  <c r="AM620" i="13"/>
  <c r="AK620" i="13"/>
  <c r="BA620" i="13"/>
  <c r="AU309" i="13"/>
  <c r="AU323" i="13"/>
  <c r="BV346" i="13"/>
  <c r="BU362" i="13"/>
  <c r="BE365" i="13"/>
  <c r="AS370" i="13"/>
  <c r="BN370" i="13"/>
  <c r="AW371" i="13"/>
  <c r="BU374" i="13"/>
  <c r="BJ374" i="13"/>
  <c r="BL375" i="13"/>
  <c r="BN378" i="13"/>
  <c r="BH378" i="13"/>
  <c r="BQ380" i="13"/>
  <c r="AL392" i="13"/>
  <c r="BH393" i="13"/>
  <c r="BN394" i="13"/>
  <c r="BK396" i="13"/>
  <c r="AY417" i="13"/>
  <c r="AM417" i="13"/>
  <c r="AL417" i="13"/>
  <c r="BN418" i="13"/>
  <c r="AW434" i="13"/>
  <c r="BB434" i="13"/>
  <c r="AV434" i="13"/>
  <c r="AT434" i="13"/>
  <c r="AS434" i="13"/>
  <c r="AL434" i="13"/>
  <c r="BB479" i="13"/>
  <c r="AX479" i="13"/>
  <c r="AW479" i="13"/>
  <c r="AU479" i="13"/>
  <c r="AM479" i="13"/>
  <c r="AJ479" i="13"/>
  <c r="BW560" i="13"/>
  <c r="BU560" i="13"/>
  <c r="BE560" i="13"/>
  <c r="BR560" i="13"/>
  <c r="BM560" i="13"/>
  <c r="BK560" i="13"/>
  <c r="BJ560" i="13"/>
  <c r="BI560" i="13"/>
  <c r="BS560" i="13"/>
  <c r="BH560" i="13"/>
  <c r="BI267" i="13"/>
  <c r="AN288" i="13"/>
  <c r="BK295" i="13"/>
  <c r="BQ297" i="13"/>
  <c r="AM300" i="13"/>
  <c r="AL305" i="13"/>
  <c r="AK308" i="13"/>
  <c r="AJ309" i="13"/>
  <c r="AV309" i="13"/>
  <c r="BN314" i="13"/>
  <c r="AJ321" i="13"/>
  <c r="BE321" i="13"/>
  <c r="AJ323" i="13"/>
  <c r="AV323" i="13"/>
  <c r="AN328" i="13"/>
  <c r="AK329" i="13"/>
  <c r="BL339" i="13"/>
  <c r="BE346" i="13"/>
  <c r="BW346" i="13"/>
  <c r="AV349" i="13"/>
  <c r="AJ356" i="13"/>
  <c r="BA358" i="13"/>
  <c r="BG359" i="13"/>
  <c r="BU359" i="13"/>
  <c r="BV362" i="13"/>
  <c r="BH369" i="13"/>
  <c r="AT370" i="13"/>
  <c r="BG371" i="13"/>
  <c r="BW371" i="13"/>
  <c r="BN371" i="13"/>
  <c r="BL374" i="13"/>
  <c r="BN375" i="13"/>
  <c r="BE378" i="13"/>
  <c r="BR380" i="13"/>
  <c r="BJ386" i="13"/>
  <c r="BQ388" i="13"/>
  <c r="BB392" i="13"/>
  <c r="BL393" i="13"/>
  <c r="BQ394" i="13"/>
  <c r="BM395" i="13"/>
  <c r="BV395" i="13"/>
  <c r="BU395" i="13"/>
  <c r="BL395" i="13"/>
  <c r="BP396" i="13"/>
  <c r="BU402" i="13"/>
  <c r="BW402" i="13"/>
  <c r="BE402" i="13"/>
  <c r="BT410" i="13"/>
  <c r="BS410" i="13"/>
  <c r="BI410" i="13"/>
  <c r="BR410" i="13"/>
  <c r="BH410" i="13"/>
  <c r="BP410" i="13"/>
  <c r="BF410" i="13"/>
  <c r="BO410" i="13"/>
  <c r="BE410" i="13"/>
  <c r="BW410" i="13"/>
  <c r="BK410" i="13"/>
  <c r="AP434" i="13"/>
  <c r="AV459" i="13"/>
  <c r="AX459" i="13"/>
  <c r="AP459" i="13"/>
  <c r="AN459" i="13"/>
  <c r="AM459" i="13"/>
  <c r="AL459" i="13"/>
  <c r="AZ459" i="13"/>
  <c r="AY459" i="13"/>
  <c r="AY464" i="13"/>
  <c r="BB464" i="13"/>
  <c r="AN464" i="13"/>
  <c r="AZ464" i="13"/>
  <c r="AM464" i="13"/>
  <c r="AW464" i="13"/>
  <c r="AL464" i="13"/>
  <c r="AV464" i="13"/>
  <c r="AK464" i="13"/>
  <c r="AU464" i="13"/>
  <c r="AJ464" i="13"/>
  <c r="AR464" i="13"/>
  <c r="AO464" i="13"/>
  <c r="AY472" i="13"/>
  <c r="AR472" i="13"/>
  <c r="AO472" i="13"/>
  <c r="AN472" i="13"/>
  <c r="BB472" i="13"/>
  <c r="AM472" i="13"/>
  <c r="BA472" i="13"/>
  <c r="AK472" i="13"/>
  <c r="AW472" i="13"/>
  <c r="AU472" i="13"/>
  <c r="BB505" i="13"/>
  <c r="AZ505" i="13"/>
  <c r="AQ505" i="13"/>
  <c r="AZ522" i="13"/>
  <c r="AW522" i="13"/>
  <c r="AU522" i="13"/>
  <c r="AX522" i="13"/>
  <c r="AO522" i="13"/>
  <c r="AN522" i="13"/>
  <c r="AM522" i="13"/>
  <c r="AK522" i="13"/>
  <c r="BA522" i="13"/>
  <c r="BT601" i="13"/>
  <c r="BE601" i="13"/>
  <c r="BS601" i="13"/>
  <c r="BR601" i="13"/>
  <c r="BQ601" i="13"/>
  <c r="BI601" i="13"/>
  <c r="BH601" i="13"/>
  <c r="BU601" i="13"/>
  <c r="BF601" i="13"/>
  <c r="BT370" i="13"/>
  <c r="BS370" i="13"/>
  <c r="BP370" i="13"/>
  <c r="BR370" i="13"/>
  <c r="BE398" i="13"/>
  <c r="BW398" i="13"/>
  <c r="BU398" i="13"/>
  <c r="BS398" i="13"/>
  <c r="BA400" i="13"/>
  <c r="AV400" i="13"/>
  <c r="AO400" i="13"/>
  <c r="AM400" i="13"/>
  <c r="AL400" i="13"/>
  <c r="AX400" i="13"/>
  <c r="BQ411" i="13"/>
  <c r="BH411" i="13"/>
  <c r="BF411" i="13"/>
  <c r="BV411" i="13"/>
  <c r="BU411" i="13"/>
  <c r="BK411" i="13"/>
  <c r="AV476" i="13"/>
  <c r="BA476" i="13"/>
  <c r="AS476" i="13"/>
  <c r="AO476" i="13"/>
  <c r="BV510" i="13"/>
  <c r="BS510" i="13"/>
  <c r="BR510" i="13"/>
  <c r="BJ510" i="13"/>
  <c r="BI510" i="13"/>
  <c r="BH510" i="13"/>
  <c r="BV571" i="13"/>
  <c r="BG571" i="13"/>
  <c r="BW571" i="13"/>
  <c r="BO571" i="13"/>
  <c r="BJ571" i="13"/>
  <c r="BI571" i="13"/>
  <c r="BH571" i="13"/>
  <c r="BI442" i="13"/>
  <c r="AU509" i="13"/>
  <c r="BW514" i="13"/>
  <c r="AV516" i="13"/>
  <c r="BN516" i="13"/>
  <c r="AL517" i="13"/>
  <c r="AW517" i="13"/>
  <c r="AQ527" i="13"/>
  <c r="AO527" i="13"/>
  <c r="BP558" i="13"/>
  <c r="AY573" i="13"/>
  <c r="AJ573" i="13"/>
  <c r="BB573" i="13"/>
  <c r="AT573" i="13"/>
  <c r="AS573" i="13"/>
  <c r="AR589" i="13"/>
  <c r="AS589" i="13"/>
  <c r="BA589" i="13"/>
  <c r="AX591" i="13"/>
  <c r="AW591" i="13"/>
  <c r="AV610" i="13"/>
  <c r="AR610" i="13"/>
  <c r="AO610" i="13"/>
  <c r="BB610" i="13"/>
  <c r="AN610" i="13"/>
  <c r="BA610" i="13"/>
  <c r="AL610" i="13"/>
  <c r="AZ610" i="13"/>
  <c r="AK610" i="13"/>
  <c r="AY610" i="13"/>
  <c r="AJ610" i="13"/>
  <c r="BS615" i="13"/>
  <c r="BI615" i="13"/>
  <c r="BG615" i="13"/>
  <c r="BF615" i="13"/>
  <c r="AR647" i="13"/>
  <c r="AU647" i="13"/>
  <c r="AS647" i="13"/>
  <c r="AM647" i="13"/>
  <c r="AL647" i="13"/>
  <c r="BA647" i="13"/>
  <c r="AX647" i="13"/>
  <c r="AW647" i="13"/>
  <c r="AK647" i="13"/>
  <c r="AJ647" i="13"/>
  <c r="AL761" i="13"/>
  <c r="AX761" i="13"/>
  <c r="AV761" i="13"/>
  <c r="AM761" i="13"/>
  <c r="BL376" i="13"/>
  <c r="BA382" i="13"/>
  <c r="AU384" i="13"/>
  <c r="BW384" i="13"/>
  <c r="AP405" i="13"/>
  <c r="BU406" i="13"/>
  <c r="AX407" i="13"/>
  <c r="BG408" i="13"/>
  <c r="AP412" i="13"/>
  <c r="BQ412" i="13"/>
  <c r="BA413" i="13"/>
  <c r="AN416" i="13"/>
  <c r="BB416" i="13"/>
  <c r="BU420" i="13"/>
  <c r="AS421" i="13"/>
  <c r="BR421" i="13"/>
  <c r="BK424" i="13"/>
  <c r="BJ426" i="13"/>
  <c r="AT431" i="13"/>
  <c r="BV431" i="13"/>
  <c r="BU432" i="13"/>
  <c r="BK433" i="13"/>
  <c r="BG434" i="13"/>
  <c r="BR434" i="13"/>
  <c r="AN436" i="13"/>
  <c r="BN439" i="13"/>
  <c r="BI440" i="13"/>
  <c r="BU440" i="13"/>
  <c r="BF441" i="13"/>
  <c r="BJ442" i="13"/>
  <c r="AW447" i="13"/>
  <c r="BR448" i="13"/>
  <c r="BM450" i="13"/>
  <c r="BJ451" i="13"/>
  <c r="AK452" i="13"/>
  <c r="BS455" i="13"/>
  <c r="BF457" i="13"/>
  <c r="AM458" i="13"/>
  <c r="BK458" i="13"/>
  <c r="BR459" i="13"/>
  <c r="AN460" i="13"/>
  <c r="AZ460" i="13"/>
  <c r="BM460" i="13"/>
  <c r="AU462" i="13"/>
  <c r="BH463" i="13"/>
  <c r="BI464" i="13"/>
  <c r="BA468" i="13"/>
  <c r="AR469" i="13"/>
  <c r="BS469" i="13"/>
  <c r="BJ470" i="13"/>
  <c r="AO471" i="13"/>
  <c r="AR473" i="13"/>
  <c r="BK473" i="13"/>
  <c r="AM474" i="13"/>
  <c r="AY474" i="13"/>
  <c r="BU474" i="13"/>
  <c r="AK477" i="13"/>
  <c r="AK478" i="13"/>
  <c r="BG479" i="13"/>
  <c r="AM480" i="13"/>
  <c r="BA480" i="13"/>
  <c r="BK481" i="13"/>
  <c r="BJ483" i="13"/>
  <c r="AX484" i="13"/>
  <c r="BJ486" i="13"/>
  <c r="AO487" i="13"/>
  <c r="AM490" i="13"/>
  <c r="AS491" i="13"/>
  <c r="BK491" i="13"/>
  <c r="BF492" i="13"/>
  <c r="AM493" i="13"/>
  <c r="BA493" i="13"/>
  <c r="AU496" i="13"/>
  <c r="BL496" i="13"/>
  <c r="AM498" i="13"/>
  <c r="BS498" i="13"/>
  <c r="BU499" i="13"/>
  <c r="BI500" i="13"/>
  <c r="AO503" i="13"/>
  <c r="AK506" i="13"/>
  <c r="BA507" i="13"/>
  <c r="AK509" i="13"/>
  <c r="AV509" i="13"/>
  <c r="BG513" i="13"/>
  <c r="BW513" i="13"/>
  <c r="BI515" i="13"/>
  <c r="AJ516" i="13"/>
  <c r="AW516" i="13"/>
  <c r="BP516" i="13"/>
  <c r="AM517" i="13"/>
  <c r="AX517" i="13"/>
  <c r="AM519" i="13"/>
  <c r="BS522" i="13"/>
  <c r="BL522" i="13"/>
  <c r="BK522" i="13"/>
  <c r="BW522" i="13"/>
  <c r="BU526" i="13"/>
  <c r="BJ526" i="13"/>
  <c r="BI526" i="13"/>
  <c r="AL527" i="13"/>
  <c r="AV530" i="13"/>
  <c r="BV533" i="13"/>
  <c r="BJ533" i="13"/>
  <c r="AK573" i="13"/>
  <c r="BQ576" i="13"/>
  <c r="BT580" i="13"/>
  <c r="BE580" i="13"/>
  <c r="BW580" i="13"/>
  <c r="BU580" i="13"/>
  <c r="BG580" i="13"/>
  <c r="AU589" i="13"/>
  <c r="BU623" i="13"/>
  <c r="BG623" i="13"/>
  <c r="BW623" i="13"/>
  <c r="BQ623" i="13"/>
  <c r="BO623" i="13"/>
  <c r="BN623" i="13"/>
  <c r="BK623" i="13"/>
  <c r="BU631" i="13"/>
  <c r="BO631" i="13"/>
  <c r="BN631" i="13"/>
  <c r="BK631" i="13"/>
  <c r="BG631" i="13"/>
  <c r="BW631" i="13"/>
  <c r="BQ631" i="13"/>
  <c r="BK647" i="13"/>
  <c r="BI647" i="13"/>
  <c r="BG647" i="13"/>
  <c r="BF647" i="13"/>
  <c r="BO647" i="13"/>
  <c r="BW647" i="13"/>
  <c r="BS647" i="13"/>
  <c r="AX756" i="13"/>
  <c r="AY756" i="13"/>
  <c r="AQ756" i="13"/>
  <c r="AS405" i="13"/>
  <c r="BV408" i="13"/>
  <c r="BB412" i="13"/>
  <c r="BN433" i="13"/>
  <c r="BI434" i="13"/>
  <c r="BU434" i="13"/>
  <c r="BV439" i="13"/>
  <c r="BK440" i="13"/>
  <c r="BK441" i="13"/>
  <c r="BR442" i="13"/>
  <c r="BR450" i="13"/>
  <c r="BP451" i="13"/>
  <c r="AS452" i="13"/>
  <c r="BN457" i="13"/>
  <c r="AQ458" i="13"/>
  <c r="BN458" i="13"/>
  <c r="BU459" i="13"/>
  <c r="BQ460" i="13"/>
  <c r="BL463" i="13"/>
  <c r="BL464" i="13"/>
  <c r="BA469" i="13"/>
  <c r="BS470" i="13"/>
  <c r="AQ471" i="13"/>
  <c r="BB473" i="13"/>
  <c r="AO474" i="13"/>
  <c r="AT477" i="13"/>
  <c r="BU479" i="13"/>
  <c r="AO480" i="13"/>
  <c r="BO481" i="13"/>
  <c r="BM483" i="13"/>
  <c r="BR486" i="13"/>
  <c r="AR487" i="13"/>
  <c r="AZ491" i="13"/>
  <c r="BV492" i="13"/>
  <c r="AO493" i="13"/>
  <c r="BR496" i="13"/>
  <c r="AO498" i="13"/>
  <c r="AR503" i="13"/>
  <c r="AY506" i="13"/>
  <c r="AM509" i="13"/>
  <c r="AX509" i="13"/>
  <c r="BK513" i="13"/>
  <c r="BO515" i="13"/>
  <c r="AM516" i="13"/>
  <c r="AY516" i="13"/>
  <c r="AO517" i="13"/>
  <c r="BW519" i="13"/>
  <c r="BG519" i="13"/>
  <c r="BE519" i="13"/>
  <c r="BG522" i="13"/>
  <c r="AP525" i="13"/>
  <c r="BH526" i="13"/>
  <c r="AU527" i="13"/>
  <c r="BW537" i="13"/>
  <c r="BV537" i="13"/>
  <c r="BM537" i="13"/>
  <c r="BU542" i="13"/>
  <c r="BF542" i="13"/>
  <c r="BR542" i="13"/>
  <c r="BQ542" i="13"/>
  <c r="BP542" i="13"/>
  <c r="BN542" i="13"/>
  <c r="BH542" i="13"/>
  <c r="AW550" i="13"/>
  <c r="AR550" i="13"/>
  <c r="AQ550" i="13"/>
  <c r="AP550" i="13"/>
  <c r="AO550" i="13"/>
  <c r="AZ597" i="13"/>
  <c r="AU597" i="13"/>
  <c r="AS597" i="13"/>
  <c r="AM597" i="13"/>
  <c r="AK597" i="13"/>
  <c r="AJ597" i="13"/>
  <c r="BV599" i="13"/>
  <c r="BS599" i="13"/>
  <c r="BQ599" i="13"/>
  <c r="BK599" i="13"/>
  <c r="BJ599" i="13"/>
  <c r="BI599" i="13"/>
  <c r="BH599" i="13"/>
  <c r="BR614" i="13"/>
  <c r="BI614" i="13"/>
  <c r="BG614" i="13"/>
  <c r="BT616" i="13"/>
  <c r="BS616" i="13"/>
  <c r="BP616" i="13"/>
  <c r="BN616" i="13"/>
  <c r="BL616" i="13"/>
  <c r="AU636" i="13"/>
  <c r="AY636" i="13"/>
  <c r="AS636" i="13"/>
  <c r="AQ636" i="13"/>
  <c r="AM636" i="13"/>
  <c r="BA636" i="13"/>
  <c r="AK636" i="13"/>
  <c r="AR646" i="13"/>
  <c r="AP646" i="13"/>
  <c r="BB646" i="13"/>
  <c r="AO646" i="13"/>
  <c r="BA646" i="13"/>
  <c r="AN646" i="13"/>
  <c r="AK646" i="13"/>
  <c r="AZ646" i="13"/>
  <c r="AX646" i="13"/>
  <c r="AW646" i="13"/>
  <c r="AV646" i="13"/>
  <c r="BT376" i="13"/>
  <c r="AM382" i="13"/>
  <c r="BE384" i="13"/>
  <c r="AU387" i="13"/>
  <c r="BG392" i="13"/>
  <c r="AQ393" i="13"/>
  <c r="AW398" i="13"/>
  <c r="BF400" i="13"/>
  <c r="AU405" i="13"/>
  <c r="BW408" i="13"/>
  <c r="BR415" i="13"/>
  <c r="AR416" i="13"/>
  <c r="AN419" i="13"/>
  <c r="AK420" i="13"/>
  <c r="BU424" i="13"/>
  <c r="BQ426" i="13"/>
  <c r="AK427" i="13"/>
  <c r="BO427" i="13"/>
  <c r="BT428" i="13"/>
  <c r="BB431" i="13"/>
  <c r="BE432" i="13"/>
  <c r="BR433" i="13"/>
  <c r="BJ434" i="13"/>
  <c r="BW434" i="13"/>
  <c r="AT436" i="13"/>
  <c r="BN440" i="13"/>
  <c r="BM441" i="13"/>
  <c r="BS442" i="13"/>
  <c r="BF447" i="13"/>
  <c r="BI448" i="13"/>
  <c r="BE450" i="13"/>
  <c r="BS450" i="13"/>
  <c r="AS451" i="13"/>
  <c r="BR451" i="13"/>
  <c r="AT452" i="13"/>
  <c r="AS453" i="13"/>
  <c r="BF454" i="13"/>
  <c r="AU455" i="13"/>
  <c r="BO457" i="13"/>
  <c r="AU458" i="13"/>
  <c r="BO458" i="13"/>
  <c r="BG459" i="13"/>
  <c r="AQ460" i="13"/>
  <c r="BE460" i="13"/>
  <c r="BR460" i="13"/>
  <c r="AJ462" i="13"/>
  <c r="BH462" i="13"/>
  <c r="AW463" i="13"/>
  <c r="BM463" i="13"/>
  <c r="BS464" i="13"/>
  <c r="BK465" i="13"/>
  <c r="BT470" i="13"/>
  <c r="AR471" i="13"/>
  <c r="BR473" i="13"/>
  <c r="AP474" i="13"/>
  <c r="BG474" i="13"/>
  <c r="AK475" i="13"/>
  <c r="AU477" i="13"/>
  <c r="BH478" i="13"/>
  <c r="BV479" i="13"/>
  <c r="AR480" i="13"/>
  <c r="BI480" i="13"/>
  <c r="BE481" i="13"/>
  <c r="BP481" i="13"/>
  <c r="BP483" i="13"/>
  <c r="BF490" i="13"/>
  <c r="BR491" i="13"/>
  <c r="BW492" i="13"/>
  <c r="AP493" i="13"/>
  <c r="BI494" i="13"/>
  <c r="AO495" i="13"/>
  <c r="AL496" i="13"/>
  <c r="AZ496" i="13"/>
  <c r="AV498" i="13"/>
  <c r="BP500" i="13"/>
  <c r="AW503" i="13"/>
  <c r="AN509" i="13"/>
  <c r="AZ509" i="13"/>
  <c r="BN513" i="13"/>
  <c r="BR515" i="13"/>
  <c r="AN516" i="13"/>
  <c r="AZ516" i="13"/>
  <c r="AS517" i="13"/>
  <c r="BH519" i="13"/>
  <c r="BS521" i="13"/>
  <c r="BO521" i="13"/>
  <c r="BJ522" i="13"/>
  <c r="BB524" i="13"/>
  <c r="AP524" i="13"/>
  <c r="AO524" i="13"/>
  <c r="AZ524" i="13"/>
  <c r="BP526" i="13"/>
  <c r="AW527" i="13"/>
  <c r="BW528" i="13"/>
  <c r="BJ528" i="13"/>
  <c r="BI528" i="13"/>
  <c r="AZ530" i="13"/>
  <c r="AP530" i="13"/>
  <c r="AO530" i="13"/>
  <c r="AX530" i="13"/>
  <c r="AL530" i="13"/>
  <c r="BB530" i="13"/>
  <c r="BN537" i="13"/>
  <c r="BG542" i="13"/>
  <c r="AX550" i="13"/>
  <c r="AX574" i="13"/>
  <c r="AR574" i="13"/>
  <c r="AZ574" i="13"/>
  <c r="BT594" i="13"/>
  <c r="BF594" i="13"/>
  <c r="BQ594" i="13"/>
  <c r="BP594" i="13"/>
  <c r="BO594" i="13"/>
  <c r="BH594" i="13"/>
  <c r="BF597" i="13"/>
  <c r="BM597" i="13"/>
  <c r="BR599" i="13"/>
  <c r="AR617" i="13"/>
  <c r="AL617" i="13"/>
  <c r="AY617" i="13"/>
  <c r="AT617" i="13"/>
  <c r="AQ617" i="13"/>
  <c r="AO617" i="13"/>
  <c r="BU621" i="13"/>
  <c r="BM621" i="13"/>
  <c r="BL621" i="13"/>
  <c r="AV625" i="13"/>
  <c r="AR625" i="13"/>
  <c r="AQ625" i="13"/>
  <c r="BP632" i="13"/>
  <c r="BH632" i="13"/>
  <c r="BN632" i="13"/>
  <c r="BL632" i="13"/>
  <c r="BU433" i="13"/>
  <c r="BP440" i="13"/>
  <c r="BU442" i="13"/>
  <c r="BT458" i="13"/>
  <c r="BT464" i="13"/>
  <c r="AW471" i="13"/>
  <c r="AX503" i="13"/>
  <c r="AT517" i="13"/>
  <c r="BU524" i="13"/>
  <c r="BG524" i="13"/>
  <c r="BF524" i="13"/>
  <c r="AW540" i="13"/>
  <c r="AV540" i="13"/>
  <c r="AJ540" i="13"/>
  <c r="AM543" i="13"/>
  <c r="AN543" i="13"/>
  <c r="AQ543" i="13"/>
  <c r="BT569" i="13"/>
  <c r="BQ569" i="13"/>
  <c r="BE569" i="13"/>
  <c r="BO569" i="13"/>
  <c r="BN569" i="13"/>
  <c r="BI569" i="13"/>
  <c r="BH569" i="13"/>
  <c r="BW569" i="13"/>
  <c r="BG569" i="13"/>
  <c r="AY581" i="13"/>
  <c r="AU581" i="13"/>
  <c r="AJ581" i="13"/>
  <c r="AS581" i="13"/>
  <c r="AP581" i="13"/>
  <c r="BB581" i="13"/>
  <c r="AN581" i="13"/>
  <c r="AZ581" i="13"/>
  <c r="AM581" i="13"/>
  <c r="AW581" i="13"/>
  <c r="AL581" i="13"/>
  <c r="BG594" i="13"/>
  <c r="AZ600" i="13"/>
  <c r="AU600" i="13"/>
  <c r="AT600" i="13"/>
  <c r="AM600" i="13"/>
  <c r="AL600" i="13"/>
  <c r="AJ600" i="13"/>
  <c r="BP604" i="13"/>
  <c r="BE604" i="13"/>
  <c r="BK632" i="13"/>
  <c r="AW416" i="13"/>
  <c r="AV419" i="13"/>
  <c r="AV420" i="13"/>
  <c r="BU426" i="13"/>
  <c r="AS427" i="13"/>
  <c r="BF431" i="13"/>
  <c r="BK432" i="13"/>
  <c r="BE433" i="13"/>
  <c r="BV433" i="13"/>
  <c r="BM434" i="13"/>
  <c r="AW436" i="13"/>
  <c r="AU437" i="13"/>
  <c r="BE440" i="13"/>
  <c r="BQ440" i="13"/>
  <c r="AN441" i="13"/>
  <c r="BS441" i="13"/>
  <c r="BG442" i="13"/>
  <c r="BT444" i="13"/>
  <c r="BI445" i="13"/>
  <c r="BS447" i="13"/>
  <c r="BI450" i="13"/>
  <c r="BW450" i="13"/>
  <c r="BB452" i="13"/>
  <c r="BQ454" i="13"/>
  <c r="BA457" i="13"/>
  <c r="BW457" i="13"/>
  <c r="BE458" i="13"/>
  <c r="BU458" i="13"/>
  <c r="BJ459" i="13"/>
  <c r="AW460" i="13"/>
  <c r="BH460" i="13"/>
  <c r="BV460" i="13"/>
  <c r="AQ462" i="13"/>
  <c r="BU463" i="13"/>
  <c r="BV464" i="13"/>
  <c r="AN468" i="13"/>
  <c r="BG469" i="13"/>
  <c r="AJ471" i="13"/>
  <c r="AX471" i="13"/>
  <c r="BU472" i="13"/>
  <c r="AT474" i="13"/>
  <c r="BE477" i="13"/>
  <c r="AV480" i="13"/>
  <c r="BG486" i="13"/>
  <c r="AV493" i="13"/>
  <c r="BE498" i="13"/>
  <c r="BE499" i="13"/>
  <c r="AJ503" i="13"/>
  <c r="AZ503" i="13"/>
  <c r="AP509" i="13"/>
  <c r="BP513" i="13"/>
  <c r="BE514" i="13"/>
  <c r="BU515" i="13"/>
  <c r="AP516" i="13"/>
  <c r="BF516" i="13"/>
  <c r="AJ517" i="13"/>
  <c r="AU517" i="13"/>
  <c r="BT522" i="13"/>
  <c r="BO524" i="13"/>
  <c r="BS526" i="13"/>
  <c r="BF527" i="13"/>
  <c r="AM530" i="13"/>
  <c r="AO543" i="13"/>
  <c r="AY549" i="13"/>
  <c r="AK549" i="13"/>
  <c r="AV549" i="13"/>
  <c r="AU549" i="13"/>
  <c r="AT549" i="13"/>
  <c r="AM549" i="13"/>
  <c r="BW564" i="13"/>
  <c r="BV564" i="13"/>
  <c r="BE564" i="13"/>
  <c r="BF569" i="13"/>
  <c r="AK581" i="13"/>
  <c r="AR596" i="13"/>
  <c r="BA596" i="13"/>
  <c r="AZ596" i="13"/>
  <c r="BF600" i="13"/>
  <c r="BV600" i="13"/>
  <c r="AO622" i="13"/>
  <c r="BB622" i="13"/>
  <c r="AV622" i="13"/>
  <c r="AS622" i="13"/>
  <c r="AR622" i="13"/>
  <c r="BB629" i="13"/>
  <c r="AS629" i="13"/>
  <c r="AR629" i="13"/>
  <c r="AP629" i="13"/>
  <c r="AK629" i="13"/>
  <c r="BA629" i="13"/>
  <c r="AZ629" i="13"/>
  <c r="AX629" i="13"/>
  <c r="AN629" i="13"/>
  <c r="AN645" i="13"/>
  <c r="AM645" i="13"/>
  <c r="BA645" i="13"/>
  <c r="AK645" i="13"/>
  <c r="AZ645" i="13"/>
  <c r="AJ645" i="13"/>
  <c r="AR645" i="13"/>
  <c r="AX645" i="13"/>
  <c r="AU645" i="13"/>
  <c r="BV648" i="13"/>
  <c r="BN648" i="13"/>
  <c r="BN431" i="13"/>
  <c r="BH433" i="13"/>
  <c r="BP434" i="13"/>
  <c r="BG440" i="13"/>
  <c r="BR440" i="13"/>
  <c r="AV441" i="13"/>
  <c r="BV441" i="13"/>
  <c r="BH442" i="13"/>
  <c r="BQ445" i="13"/>
  <c r="BF458" i="13"/>
  <c r="BW458" i="13"/>
  <c r="BV463" i="13"/>
  <c r="AO468" i="13"/>
  <c r="BM469" i="13"/>
  <c r="AM471" i="13"/>
  <c r="AY471" i="13"/>
  <c r="AW474" i="13"/>
  <c r="BS477" i="13"/>
  <c r="BH486" i="13"/>
  <c r="BH499" i="13"/>
  <c r="AM503" i="13"/>
  <c r="AT509" i="13"/>
  <c r="AU516" i="13"/>
  <c r="AK517" i="13"/>
  <c r="AV517" i="13"/>
  <c r="BO523" i="13"/>
  <c r="BT523" i="13"/>
  <c r="BK523" i="13"/>
  <c r="BH527" i="13"/>
  <c r="BT529" i="13"/>
  <c r="BQ529" i="13"/>
  <c r="BP529" i="13"/>
  <c r="BG529" i="13"/>
  <c r="AL549" i="13"/>
  <c r="BP569" i="13"/>
  <c r="AT581" i="13"/>
  <c r="BA587" i="13"/>
  <c r="AL587" i="13"/>
  <c r="AT587" i="13"/>
  <c r="AY596" i="13"/>
  <c r="AT775" i="13"/>
  <c r="AS775" i="13"/>
  <c r="AR775" i="13"/>
  <c r="AJ775" i="13"/>
  <c r="BB775" i="13"/>
  <c r="BW982" i="13"/>
  <c r="BG982" i="13"/>
  <c r="BS982" i="13"/>
  <c r="BU982" i="13"/>
  <c r="BR982" i="13"/>
  <c r="BI982" i="13"/>
  <c r="BJ982" i="13"/>
  <c r="AM538" i="13"/>
  <c r="AQ539" i="13"/>
  <c r="AV541" i="13"/>
  <c r="BN545" i="13"/>
  <c r="AV546" i="13"/>
  <c r="BH547" i="13"/>
  <c r="BL548" i="13"/>
  <c r="BH550" i="13"/>
  <c r="BV550" i="13"/>
  <c r="BS552" i="13"/>
  <c r="AW554" i="13"/>
  <c r="BO561" i="13"/>
  <c r="BR568" i="13"/>
  <c r="AZ572" i="13"/>
  <c r="AR580" i="13"/>
  <c r="BS588" i="13"/>
  <c r="AT590" i="13"/>
  <c r="BV591" i="13"/>
  <c r="BP617" i="13"/>
  <c r="BA618" i="13"/>
  <c r="AW623" i="13"/>
  <c r="BQ639" i="13"/>
  <c r="BW639" i="13"/>
  <c r="BS639" i="13"/>
  <c r="BN639" i="13"/>
  <c r="BB649" i="13"/>
  <c r="AN649" i="13"/>
  <c r="AL649" i="13"/>
  <c r="BB656" i="13"/>
  <c r="AW656" i="13"/>
  <c r="BP660" i="13"/>
  <c r="BP676" i="13"/>
  <c r="BH676" i="13"/>
  <c r="BW676" i="13"/>
  <c r="BT676" i="13"/>
  <c r="BL676" i="13"/>
  <c r="BI676" i="13"/>
  <c r="BT733" i="13"/>
  <c r="BS733" i="13"/>
  <c r="AQ740" i="13"/>
  <c r="AX740" i="13"/>
  <c r="AP740" i="13"/>
  <c r="AO740" i="13"/>
  <c r="AW546" i="13"/>
  <c r="AU580" i="13"/>
  <c r="AJ601" i="13"/>
  <c r="AK603" i="13"/>
  <c r="AX607" i="13"/>
  <c r="AN613" i="13"/>
  <c r="BQ617" i="13"/>
  <c r="BN618" i="13"/>
  <c r="AS619" i="13"/>
  <c r="AK623" i="13"/>
  <c r="AX623" i="13"/>
  <c r="BF639" i="13"/>
  <c r="AM656" i="13"/>
  <c r="BR662" i="13"/>
  <c r="BO715" i="13"/>
  <c r="BW715" i="13"/>
  <c r="BL715" i="13"/>
  <c r="BK715" i="13"/>
  <c r="BO719" i="13"/>
  <c r="BL719" i="13"/>
  <c r="BW719" i="13"/>
  <c r="BK719" i="13"/>
  <c r="BV719" i="13"/>
  <c r="BH719" i="13"/>
  <c r="BU719" i="13"/>
  <c r="BG719" i="13"/>
  <c r="BT719" i="13"/>
  <c r="BF719" i="13"/>
  <c r="BS719" i="13"/>
  <c r="BE719" i="13"/>
  <c r="AN740" i="13"/>
  <c r="AV538" i="13"/>
  <c r="BF541" i="13"/>
  <c r="BE543" i="13"/>
  <c r="AQ545" i="13"/>
  <c r="AK546" i="13"/>
  <c r="AX546" i="13"/>
  <c r="BK557" i="13"/>
  <c r="AV559" i="13"/>
  <c r="AK562" i="13"/>
  <c r="BU568" i="13"/>
  <c r="AK570" i="13"/>
  <c r="AW580" i="13"/>
  <c r="AW632" i="13"/>
  <c r="BB632" i="13"/>
  <c r="AT632" i="13"/>
  <c r="AQ632" i="13"/>
  <c r="BR636" i="13"/>
  <c r="BT636" i="13"/>
  <c r="BP636" i="13"/>
  <c r="BT711" i="13"/>
  <c r="BQ711" i="13"/>
  <c r="BO711" i="13"/>
  <c r="BL711" i="13"/>
  <c r="BK711" i="13"/>
  <c r="BI711" i="13"/>
  <c r="BG711" i="13"/>
  <c r="BU711" i="13"/>
  <c r="AJ534" i="13"/>
  <c r="BS536" i="13"/>
  <c r="AW538" i="13"/>
  <c r="BH539" i="13"/>
  <c r="AK541" i="13"/>
  <c r="BI541" i="13"/>
  <c r="BH544" i="13"/>
  <c r="AV545" i="13"/>
  <c r="AL546" i="13"/>
  <c r="BA546" i="13"/>
  <c r="AR547" i="13"/>
  <c r="BW548" i="13"/>
  <c r="BK550" i="13"/>
  <c r="BE552" i="13"/>
  <c r="AQ553" i="13"/>
  <c r="AM554" i="13"/>
  <c r="AW556" i="13"/>
  <c r="AZ560" i="13"/>
  <c r="BG561" i="13"/>
  <c r="BR561" i="13"/>
  <c r="AT562" i="13"/>
  <c r="AP564" i="13"/>
  <c r="BJ565" i="13"/>
  <c r="BJ566" i="13"/>
  <c r="BE568" i="13"/>
  <c r="AL570" i="13"/>
  <c r="AN572" i="13"/>
  <c r="AK576" i="13"/>
  <c r="AM578" i="13"/>
  <c r="BQ579" i="13"/>
  <c r="AJ580" i="13"/>
  <c r="AX580" i="13"/>
  <c r="BP582" i="13"/>
  <c r="BP584" i="13"/>
  <c r="BB586" i="13"/>
  <c r="BK586" i="13"/>
  <c r="BW586" i="13"/>
  <c r="BI588" i="13"/>
  <c r="BU589" i="13"/>
  <c r="AL590" i="13"/>
  <c r="AW590" i="13"/>
  <c r="BH591" i="13"/>
  <c r="BE592" i="13"/>
  <c r="AR594" i="13"/>
  <c r="AT595" i="13"/>
  <c r="BH596" i="13"/>
  <c r="AV598" i="13"/>
  <c r="AV601" i="13"/>
  <c r="AV602" i="13"/>
  <c r="BP602" i="13"/>
  <c r="BO603" i="13"/>
  <c r="BG605" i="13"/>
  <c r="AN606" i="13"/>
  <c r="AX606" i="13"/>
  <c r="AL607" i="13"/>
  <c r="BA607" i="13"/>
  <c r="BW607" i="13"/>
  <c r="BU610" i="13"/>
  <c r="BJ612" i="13"/>
  <c r="AQ613" i="13"/>
  <c r="AN618" i="13"/>
  <c r="BF618" i="13"/>
  <c r="BP618" i="13"/>
  <c r="BS619" i="13"/>
  <c r="AP621" i="13"/>
  <c r="AM623" i="13"/>
  <c r="BA623" i="13"/>
  <c r="AL632" i="13"/>
  <c r="BJ636" i="13"/>
  <c r="BF641" i="13"/>
  <c r="AV643" i="13"/>
  <c r="AX643" i="13"/>
  <c r="AT643" i="13"/>
  <c r="AL643" i="13"/>
  <c r="AK643" i="13"/>
  <c r="AU656" i="13"/>
  <c r="BA667" i="13"/>
  <c r="AP667" i="13"/>
  <c r="BF711" i="13"/>
  <c r="BU713" i="13"/>
  <c r="BS713" i="13"/>
  <c r="BM713" i="13"/>
  <c r="BK713" i="13"/>
  <c r="BJ713" i="13"/>
  <c r="BP719" i="13"/>
  <c r="BW721" i="13"/>
  <c r="BO721" i="13"/>
  <c r="BN721" i="13"/>
  <c r="BM721" i="13"/>
  <c r="BH721" i="13"/>
  <c r="BE721" i="13"/>
  <c r="AU827" i="13"/>
  <c r="AT827" i="13"/>
  <c r="AS827" i="13"/>
  <c r="BH520" i="13"/>
  <c r="BE536" i="13"/>
  <c r="BU536" i="13"/>
  <c r="AX538" i="13"/>
  <c r="BP539" i="13"/>
  <c r="AL541" i="13"/>
  <c r="BI544" i="13"/>
  <c r="AW545" i="13"/>
  <c r="AM546" i="13"/>
  <c r="BN550" i="13"/>
  <c r="BH552" i="13"/>
  <c r="AV553" i="13"/>
  <c r="AN554" i="13"/>
  <c r="AX556" i="13"/>
  <c r="BH561" i="13"/>
  <c r="BS561" i="13"/>
  <c r="AW564" i="13"/>
  <c r="AK565" i="13"/>
  <c r="BK566" i="13"/>
  <c r="AK568" i="13"/>
  <c r="BH568" i="13"/>
  <c r="AU570" i="13"/>
  <c r="AO572" i="13"/>
  <c r="BB576" i="13"/>
  <c r="AS578" i="13"/>
  <c r="BW579" i="13"/>
  <c r="AM580" i="13"/>
  <c r="AZ580" i="13"/>
  <c r="BQ582" i="13"/>
  <c r="BR584" i="13"/>
  <c r="BN586" i="13"/>
  <c r="BJ588" i="13"/>
  <c r="AM590" i="13"/>
  <c r="AZ590" i="13"/>
  <c r="BI591" i="13"/>
  <c r="AS594" i="13"/>
  <c r="BI596" i="13"/>
  <c r="AW601" i="13"/>
  <c r="BQ602" i="13"/>
  <c r="AM607" i="13"/>
  <c r="BV610" i="13"/>
  <c r="BK612" i="13"/>
  <c r="AO618" i="13"/>
  <c r="AO623" i="13"/>
  <c r="BB623" i="13"/>
  <c r="BT626" i="13"/>
  <c r="BI626" i="13"/>
  <c r="BF626" i="13"/>
  <c r="BM629" i="13"/>
  <c r="BU629" i="13"/>
  <c r="BO629" i="13"/>
  <c r="BG629" i="13"/>
  <c r="AM632" i="13"/>
  <c r="BW633" i="13"/>
  <c r="BS633" i="13"/>
  <c r="BQ633" i="13"/>
  <c r="BN633" i="13"/>
  <c r="BA634" i="13"/>
  <c r="AQ634" i="13"/>
  <c r="AO634" i="13"/>
  <c r="AK634" i="13"/>
  <c r="BL636" i="13"/>
  <c r="BI641" i="13"/>
  <c r="BB643" i="13"/>
  <c r="BV665" i="13"/>
  <c r="BG665" i="13"/>
  <c r="BS665" i="13"/>
  <c r="BR665" i="13"/>
  <c r="BQ665" i="13"/>
  <c r="AR667" i="13"/>
  <c r="BS711" i="13"/>
  <c r="BO667" i="13"/>
  <c r="BW667" i="13"/>
  <c r="BM667" i="13"/>
  <c r="BK667" i="13"/>
  <c r="BU667" i="13"/>
  <c r="BS667" i="13"/>
  <c r="BE667" i="13"/>
  <c r="AY670" i="13"/>
  <c r="AU670" i="13"/>
  <c r="AO670" i="13"/>
  <c r="AM670" i="13"/>
  <c r="AZ670" i="13"/>
  <c r="AS670" i="13"/>
  <c r="AR670" i="13"/>
  <c r="AL670" i="13"/>
  <c r="AJ670" i="13"/>
  <c r="AY757" i="13"/>
  <c r="AT757" i="13"/>
  <c r="AR757" i="13"/>
  <c r="AN757" i="13"/>
  <c r="AM757" i="13"/>
  <c r="BB757" i="13"/>
  <c r="AL757" i="13"/>
  <c r="AZ757" i="13"/>
  <c r="AJ757" i="13"/>
  <c r="AW758" i="13"/>
  <c r="AZ758" i="13"/>
  <c r="AS758" i="13"/>
  <c r="AR758" i="13"/>
  <c r="AP758" i="13"/>
  <c r="AJ758" i="13"/>
  <c r="AO546" i="13"/>
  <c r="BR550" i="13"/>
  <c r="BP552" i="13"/>
  <c r="AU554" i="13"/>
  <c r="BJ561" i="13"/>
  <c r="AZ564" i="13"/>
  <c r="BQ566" i="13"/>
  <c r="BJ568" i="13"/>
  <c r="AW572" i="13"/>
  <c r="AV578" i="13"/>
  <c r="AO580" i="13"/>
  <c r="BP588" i="13"/>
  <c r="AP590" i="13"/>
  <c r="BS591" i="13"/>
  <c r="BG602" i="13"/>
  <c r="BS602" i="13"/>
  <c r="AS606" i="13"/>
  <c r="AP607" i="13"/>
  <c r="BJ607" i="13"/>
  <c r="BH610" i="13"/>
  <c r="AL612" i="13"/>
  <c r="AT618" i="13"/>
  <c r="BI618" i="13"/>
  <c r="BS618" i="13"/>
  <c r="AR623" i="13"/>
  <c r="BB635" i="13"/>
  <c r="AX635" i="13"/>
  <c r="AS635" i="13"/>
  <c r="BT637" i="13"/>
  <c r="BU637" i="13"/>
  <c r="BQ637" i="13"/>
  <c r="BO637" i="13"/>
  <c r="AP638" i="13"/>
  <c r="AY650" i="13"/>
  <c r="AW650" i="13"/>
  <c r="AQ650" i="13"/>
  <c r="AO650" i="13"/>
  <c r="AZ651" i="13"/>
  <c r="AT651" i="13"/>
  <c r="AS651" i="13"/>
  <c r="AP651" i="13"/>
  <c r="AO651" i="13"/>
  <c r="BA670" i="13"/>
  <c r="BT707" i="13"/>
  <c r="BO707" i="13"/>
  <c r="BK707" i="13"/>
  <c r="BI707" i="13"/>
  <c r="BH707" i="13"/>
  <c r="BU707" i="13"/>
  <c r="BG707" i="13"/>
  <c r="BR707" i="13"/>
  <c r="BF707" i="13"/>
  <c r="BQ707" i="13"/>
  <c r="BP707" i="13"/>
  <c r="BS750" i="13"/>
  <c r="BQ750" i="13"/>
  <c r="BO750" i="13"/>
  <c r="BK750" i="13"/>
  <c r="BJ750" i="13"/>
  <c r="BI750" i="13"/>
  <c r="BT753" i="13"/>
  <c r="BO753" i="13"/>
  <c r="BM753" i="13"/>
  <c r="BJ753" i="13"/>
  <c r="BW753" i="13"/>
  <c r="BI753" i="13"/>
  <c r="BV753" i="13"/>
  <c r="BG753" i="13"/>
  <c r="BU753" i="13"/>
  <c r="BF753" i="13"/>
  <c r="BQ753" i="13"/>
  <c r="BV754" i="13"/>
  <c r="BM754" i="13"/>
  <c r="BK754" i="13"/>
  <c r="AV757" i="13"/>
  <c r="BP766" i="13"/>
  <c r="BV766" i="13"/>
  <c r="BN766" i="13"/>
  <c r="BR766" i="13"/>
  <c r="BL766" i="13"/>
  <c r="BI766" i="13"/>
  <c r="BH766" i="13"/>
  <c r="AY951" i="13"/>
  <c r="AM951" i="13"/>
  <c r="BB951" i="13"/>
  <c r="AK951" i="13"/>
  <c r="AV951" i="13"/>
  <c r="BA951" i="13"/>
  <c r="AZ951" i="13"/>
  <c r="AR951" i="13"/>
  <c r="AN951" i="13"/>
  <c r="AS951" i="13"/>
  <c r="AL951" i="13"/>
  <c r="BA787" i="13"/>
  <c r="AX787" i="13"/>
  <c r="AR787" i="13"/>
  <c r="AP787" i="13"/>
  <c r="AO787" i="13"/>
  <c r="BB787" i="13"/>
  <c r="AZ787" i="13"/>
  <c r="AT787" i="13"/>
  <c r="AL787" i="13"/>
  <c r="AZ847" i="13"/>
  <c r="AV847" i="13"/>
  <c r="AP847" i="13"/>
  <c r="BB847" i="13"/>
  <c r="AN847" i="13"/>
  <c r="BA847" i="13"/>
  <c r="AM847" i="13"/>
  <c r="AX847" i="13"/>
  <c r="AW847" i="13"/>
  <c r="AS847" i="13"/>
  <c r="AO847" i="13"/>
  <c r="AR663" i="13"/>
  <c r="AV663" i="13"/>
  <c r="BA669" i="13"/>
  <c r="AW669" i="13"/>
  <c r="AL669" i="13"/>
  <c r="AR669" i="13"/>
  <c r="AP669" i="13"/>
  <c r="AZ669" i="13"/>
  <c r="BA692" i="13"/>
  <c r="AV692" i="13"/>
  <c r="AU692" i="13"/>
  <c r="AT692" i="13"/>
  <c r="AO692" i="13"/>
  <c r="AM692" i="13"/>
  <c r="BW702" i="13"/>
  <c r="BN702" i="13"/>
  <c r="BI702" i="13"/>
  <c r="BW723" i="13"/>
  <c r="BT723" i="13"/>
  <c r="BO723" i="13"/>
  <c r="BL723" i="13"/>
  <c r="BJ723" i="13"/>
  <c r="BG723" i="13"/>
  <c r="BJ770" i="13"/>
  <c r="BH770" i="13"/>
  <c r="BV770" i="13"/>
  <c r="BE770" i="13"/>
  <c r="BU770" i="13"/>
  <c r="BT770" i="13"/>
  <c r="BN770" i="13"/>
  <c r="BM770" i="13"/>
  <c r="BL770" i="13"/>
  <c r="BF770" i="13"/>
  <c r="AJ787" i="13"/>
  <c r="BB821" i="13"/>
  <c r="AW821" i="13"/>
  <c r="AV821" i="13"/>
  <c r="BI845" i="13"/>
  <c r="BL845" i="13"/>
  <c r="BJ845" i="13"/>
  <c r="BU845" i="13"/>
  <c r="BQ845" i="13"/>
  <c r="BM845" i="13"/>
  <c r="AL847" i="13"/>
  <c r="BU651" i="13"/>
  <c r="BN658" i="13"/>
  <c r="BS659" i="13"/>
  <c r="BP680" i="13"/>
  <c r="BO680" i="13"/>
  <c r="BA688" i="13"/>
  <c r="AX688" i="13"/>
  <c r="AW688" i="13"/>
  <c r="AT688" i="13"/>
  <c r="AK692" i="13"/>
  <c r="BQ693" i="13"/>
  <c r="BW693" i="13"/>
  <c r="BS693" i="13"/>
  <c r="BK693" i="13"/>
  <c r="BJ693" i="13"/>
  <c r="BG702" i="13"/>
  <c r="BA726" i="13"/>
  <c r="AR726" i="13"/>
  <c r="AQ726" i="13"/>
  <c r="AZ739" i="13"/>
  <c r="AY739" i="13"/>
  <c r="AJ739" i="13"/>
  <c r="BP742" i="13"/>
  <c r="BO742" i="13"/>
  <c r="BN742" i="13"/>
  <c r="BJ742" i="13"/>
  <c r="BI742" i="13"/>
  <c r="BF742" i="13"/>
  <c r="AW749" i="13"/>
  <c r="BA749" i="13"/>
  <c r="AS749" i="13"/>
  <c r="AN749" i="13"/>
  <c r="AM749" i="13"/>
  <c r="AK749" i="13"/>
  <c r="AY768" i="13"/>
  <c r="AW768" i="13"/>
  <c r="AT768" i="13"/>
  <c r="AL768" i="13"/>
  <c r="AK768" i="13"/>
  <c r="BV785" i="13"/>
  <c r="BL785" i="13"/>
  <c r="AY814" i="13"/>
  <c r="AK814" i="13"/>
  <c r="AL821" i="13"/>
  <c r="AT843" i="13"/>
  <c r="AS843" i="13"/>
  <c r="BK845" i="13"/>
  <c r="BQ625" i="13"/>
  <c r="BA627" i="13"/>
  <c r="AW631" i="13"/>
  <c r="BO634" i="13"/>
  <c r="BP635" i="13"/>
  <c r="BF638" i="13"/>
  <c r="AW642" i="13"/>
  <c r="BE651" i="13"/>
  <c r="BV651" i="13"/>
  <c r="BE658" i="13"/>
  <c r="BO658" i="13"/>
  <c r="BE659" i="13"/>
  <c r="BV659" i="13"/>
  <c r="AZ662" i="13"/>
  <c r="AQ662" i="13"/>
  <c r="AQ663" i="13"/>
  <c r="AM669" i="13"/>
  <c r="AK688" i="13"/>
  <c r="AY689" i="13"/>
  <c r="AX689" i="13"/>
  <c r="AQ689" i="13"/>
  <c r="AN689" i="13"/>
  <c r="AM689" i="13"/>
  <c r="BR692" i="13"/>
  <c r="BN692" i="13"/>
  <c r="BM692" i="13"/>
  <c r="BL692" i="13"/>
  <c r="BJ692" i="13"/>
  <c r="BW692" i="13"/>
  <c r="BG692" i="13"/>
  <c r="BV692" i="13"/>
  <c r="BF692" i="13"/>
  <c r="BI693" i="13"/>
  <c r="BT700" i="13"/>
  <c r="BR700" i="13"/>
  <c r="AP726" i="13"/>
  <c r="BS742" i="13"/>
  <c r="BO745" i="13"/>
  <c r="BN745" i="13"/>
  <c r="BJ745" i="13"/>
  <c r="BI745" i="13"/>
  <c r="BH745" i="13"/>
  <c r="BV745" i="13"/>
  <c r="BF745" i="13"/>
  <c r="AW760" i="13"/>
  <c r="AU760" i="13"/>
  <c r="AM760" i="13"/>
  <c r="AK772" i="13"/>
  <c r="AX772" i="13"/>
  <c r="AU772" i="13"/>
  <c r="AM772" i="13"/>
  <c r="BI893" i="13"/>
  <c r="BH893" i="13"/>
  <c r="BG893" i="13"/>
  <c r="BW893" i="13"/>
  <c r="BQ893" i="13"/>
  <c r="BP893" i="13"/>
  <c r="BN893" i="13"/>
  <c r="BS625" i="13"/>
  <c r="AK627" i="13"/>
  <c r="BB627" i="13"/>
  <c r="AK631" i="13"/>
  <c r="AX631" i="13"/>
  <c r="BR634" i="13"/>
  <c r="BU635" i="13"/>
  <c r="AZ637" i="13"/>
  <c r="BJ638" i="13"/>
  <c r="AL639" i="13"/>
  <c r="AY642" i="13"/>
  <c r="BJ644" i="13"/>
  <c r="BU650" i="13"/>
  <c r="BF651" i="13"/>
  <c r="AJ653" i="13"/>
  <c r="AK654" i="13"/>
  <c r="BW655" i="13"/>
  <c r="BE657" i="13"/>
  <c r="BF658" i="13"/>
  <c r="BP658" i="13"/>
  <c r="AN659" i="13"/>
  <c r="BF659" i="13"/>
  <c r="AX663" i="13"/>
  <c r="AN669" i="13"/>
  <c r="BO700" i="13"/>
  <c r="BA743" i="13"/>
  <c r="AT743" i="13"/>
  <c r="AP743" i="13"/>
  <c r="AO743" i="13"/>
  <c r="AN743" i="13"/>
  <c r="BB743" i="13"/>
  <c r="AM743" i="13"/>
  <c r="AX743" i="13"/>
  <c r="AL743" i="13"/>
  <c r="BT783" i="13"/>
  <c r="BR783" i="13"/>
  <c r="BJ783" i="13"/>
  <c r="BT793" i="13"/>
  <c r="BU793" i="13"/>
  <c r="BO793" i="13"/>
  <c r="BM793" i="13"/>
  <c r="BL793" i="13"/>
  <c r="BE793" i="13"/>
  <c r="BR865" i="13"/>
  <c r="BO865" i="13"/>
  <c r="BI865" i="13"/>
  <c r="BP865" i="13"/>
  <c r="BU634" i="13"/>
  <c r="BW635" i="13"/>
  <c r="BP644" i="13"/>
  <c r="BW650" i="13"/>
  <c r="BH651" i="13"/>
  <c r="AM653" i="13"/>
  <c r="AM654" i="13"/>
  <c r="BH657" i="13"/>
  <c r="BG658" i="13"/>
  <c r="BQ658" i="13"/>
  <c r="BG659" i="13"/>
  <c r="AM662" i="13"/>
  <c r="BT663" i="13"/>
  <c r="BU663" i="13"/>
  <c r="BJ663" i="13"/>
  <c r="BP663" i="13"/>
  <c r="BF663" i="13"/>
  <c r="BQ663" i="13"/>
  <c r="BT666" i="13"/>
  <c r="BN666" i="13"/>
  <c r="BW666" i="13"/>
  <c r="BH666" i="13"/>
  <c r="BV666" i="13"/>
  <c r="BG666" i="13"/>
  <c r="AM668" i="13"/>
  <c r="AO669" i="13"/>
  <c r="BT671" i="13"/>
  <c r="BU671" i="13"/>
  <c r="BJ671" i="13"/>
  <c r="BR671" i="13"/>
  <c r="BH671" i="13"/>
  <c r="BQ671" i="13"/>
  <c r="BG671" i="13"/>
  <c r="BP671" i="13"/>
  <c r="BF671" i="13"/>
  <c r="AT672" i="13"/>
  <c r="AU672" i="13"/>
  <c r="AQ672" i="13"/>
  <c r="BV686" i="13"/>
  <c r="BQ686" i="13"/>
  <c r="BO686" i="13"/>
  <c r="BM686" i="13"/>
  <c r="BI686" i="13"/>
  <c r="BH686" i="13"/>
  <c r="BF686" i="13"/>
  <c r="BT692" i="13"/>
  <c r="BB704" i="13"/>
  <c r="AZ704" i="13"/>
  <c r="BS714" i="13"/>
  <c r="BT714" i="13"/>
  <c r="BR714" i="13"/>
  <c r="BM714" i="13"/>
  <c r="BK714" i="13"/>
  <c r="BJ714" i="13"/>
  <c r="BW714" i="13"/>
  <c r="BG714" i="13"/>
  <c r="AY718" i="13"/>
  <c r="BB718" i="13"/>
  <c r="AW718" i="13"/>
  <c r="AR718" i="13"/>
  <c r="AO718" i="13"/>
  <c r="AL718" i="13"/>
  <c r="AU743" i="13"/>
  <c r="AW750" i="13"/>
  <c r="AZ750" i="13"/>
  <c r="AX750" i="13"/>
  <c r="AS750" i="13"/>
  <c r="AP750" i="13"/>
  <c r="AK750" i="13"/>
  <c r="AJ750" i="13"/>
  <c r="BF783" i="13"/>
  <c r="BN837" i="13"/>
  <c r="BJ837" i="13"/>
  <c r="BU837" i="13"/>
  <c r="BI837" i="13"/>
  <c r="BT837" i="13"/>
  <c r="BH837" i="13"/>
  <c r="BS837" i="13"/>
  <c r="BF837" i="13"/>
  <c r="BR837" i="13"/>
  <c r="BE837" i="13"/>
  <c r="BQ837" i="13"/>
  <c r="BP837" i="13"/>
  <c r="BK837" i="13"/>
  <c r="BH865" i="13"/>
  <c r="BA673" i="13"/>
  <c r="BU674" i="13"/>
  <c r="AN675" i="13"/>
  <c r="BB675" i="13"/>
  <c r="BU675" i="13"/>
  <c r="BJ677" i="13"/>
  <c r="AY678" i="13"/>
  <c r="AW679" i="13"/>
  <c r="BO683" i="13"/>
  <c r="AS684" i="13"/>
  <c r="AT687" i="13"/>
  <c r="BJ688" i="13"/>
  <c r="AY690" i="13"/>
  <c r="BO691" i="13"/>
  <c r="BU695" i="13"/>
  <c r="BP696" i="13"/>
  <c r="BP697" i="13"/>
  <c r="BN699" i="13"/>
  <c r="AU700" i="13"/>
  <c r="AR703" i="13"/>
  <c r="BP704" i="13"/>
  <c r="AQ705" i="13"/>
  <c r="AZ710" i="13"/>
  <c r="AM714" i="13"/>
  <c r="AQ716" i="13"/>
  <c r="AS717" i="13"/>
  <c r="BP718" i="13"/>
  <c r="AV720" i="13"/>
  <c r="AV722" i="13"/>
  <c r="AV725" i="13"/>
  <c r="BT727" i="13"/>
  <c r="AW730" i="13"/>
  <c r="BU730" i="13"/>
  <c r="BN732" i="13"/>
  <c r="BK734" i="13"/>
  <c r="AN735" i="13"/>
  <c r="AS736" i="13"/>
  <c r="BA738" i="13"/>
  <c r="BB741" i="13"/>
  <c r="BR747" i="13"/>
  <c r="AU752" i="13"/>
  <c r="AN754" i="13"/>
  <c r="BK755" i="13"/>
  <c r="BM758" i="13"/>
  <c r="AT759" i="13"/>
  <c r="BP761" i="13"/>
  <c r="BJ762" i="13"/>
  <c r="AV763" i="13"/>
  <c r="BG763" i="13"/>
  <c r="BV763" i="13"/>
  <c r="AZ765" i="13"/>
  <c r="AV767" i="13"/>
  <c r="BS768" i="13"/>
  <c r="BQ769" i="13"/>
  <c r="AT777" i="13"/>
  <c r="AX777" i="13"/>
  <c r="AR777" i="13"/>
  <c r="BQ784" i="13"/>
  <c r="BQ786" i="13"/>
  <c r="BE786" i="13"/>
  <c r="BU786" i="13"/>
  <c r="BR786" i="13"/>
  <c r="BM786" i="13"/>
  <c r="AU800" i="13"/>
  <c r="AQ807" i="13"/>
  <c r="AX807" i="13"/>
  <c r="AQ809" i="13"/>
  <c r="AX809" i="13"/>
  <c r="AS809" i="13"/>
  <c r="AR809" i="13"/>
  <c r="BT815" i="13"/>
  <c r="BK815" i="13"/>
  <c r="BJ815" i="13"/>
  <c r="BU815" i="13"/>
  <c r="BI815" i="13"/>
  <c r="BS815" i="13"/>
  <c r="BH815" i="13"/>
  <c r="BR815" i="13"/>
  <c r="BG815" i="13"/>
  <c r="AS816" i="13"/>
  <c r="BA816" i="13"/>
  <c r="AW816" i="13"/>
  <c r="AT816" i="13"/>
  <c r="AP816" i="13"/>
  <c r="AO816" i="13"/>
  <c r="BP849" i="13"/>
  <c r="BQ849" i="13"/>
  <c r="BM849" i="13"/>
  <c r="BF849" i="13"/>
  <c r="AW888" i="13"/>
  <c r="AO888" i="13"/>
  <c r="BP971" i="13"/>
  <c r="BU971" i="13"/>
  <c r="BH971" i="13"/>
  <c r="BM971" i="13"/>
  <c r="BR971" i="13"/>
  <c r="BL971" i="13"/>
  <c r="BJ971" i="13"/>
  <c r="BK971" i="13"/>
  <c r="BF971" i="13"/>
  <c r="BE971" i="13"/>
  <c r="BV971" i="13"/>
  <c r="BT971" i="13"/>
  <c r="BS971" i="13"/>
  <c r="AU684" i="13"/>
  <c r="AU687" i="13"/>
  <c r="BN688" i="13"/>
  <c r="AZ690" i="13"/>
  <c r="BO699" i="13"/>
  <c r="AK700" i="13"/>
  <c r="AV700" i="13"/>
  <c r="AV703" i="13"/>
  <c r="BQ704" i="13"/>
  <c r="BB705" i="13"/>
  <c r="AO714" i="13"/>
  <c r="AV716" i="13"/>
  <c r="AU717" i="13"/>
  <c r="BQ718" i="13"/>
  <c r="BA730" i="13"/>
  <c r="BV730" i="13"/>
  <c r="BT732" i="13"/>
  <c r="BS734" i="13"/>
  <c r="AO735" i="13"/>
  <c r="AZ736" i="13"/>
  <c r="AO754" i="13"/>
  <c r="BO755" i="13"/>
  <c r="BO758" i="13"/>
  <c r="AX759" i="13"/>
  <c r="BQ761" i="13"/>
  <c r="BM762" i="13"/>
  <c r="BJ763" i="13"/>
  <c r="BW763" i="13"/>
  <c r="AY803" i="13"/>
  <c r="AT803" i="13"/>
  <c r="AP803" i="13"/>
  <c r="AN803" i="13"/>
  <c r="AM803" i="13"/>
  <c r="AZ803" i="13"/>
  <c r="AL803" i="13"/>
  <c r="AX825" i="13"/>
  <c r="BA825" i="13"/>
  <c r="AZ825" i="13"/>
  <c r="AU825" i="13"/>
  <c r="AM825" i="13"/>
  <c r="AK825" i="13"/>
  <c r="BQ830" i="13"/>
  <c r="BR830" i="13"/>
  <c r="BP830" i="13"/>
  <c r="BM830" i="13"/>
  <c r="BH830" i="13"/>
  <c r="BE830" i="13"/>
  <c r="BE849" i="13"/>
  <c r="BV851" i="13"/>
  <c r="BF851" i="13"/>
  <c r="BO851" i="13"/>
  <c r="BN851" i="13"/>
  <c r="BP851" i="13"/>
  <c r="BK851" i="13"/>
  <c r="AY875" i="13"/>
  <c r="AU875" i="13"/>
  <c r="AT875" i="13"/>
  <c r="AR875" i="13"/>
  <c r="AM875" i="13"/>
  <c r="BB875" i="13"/>
  <c r="AK875" i="13"/>
  <c r="AZ875" i="13"/>
  <c r="AX875" i="13"/>
  <c r="BU941" i="13"/>
  <c r="BN941" i="13"/>
  <c r="BR941" i="13"/>
  <c r="BF941" i="13"/>
  <c r="BK941" i="13"/>
  <c r="BI941" i="13"/>
  <c r="BH941" i="13"/>
  <c r="BW941" i="13"/>
  <c r="BG941" i="13"/>
  <c r="BS941" i="13"/>
  <c r="BQ941" i="13"/>
  <c r="BV941" i="13"/>
  <c r="BP941" i="13"/>
  <c r="AV684" i="13"/>
  <c r="AV687" i="13"/>
  <c r="AX703" i="13"/>
  <c r="AU714" i="13"/>
  <c r="BA717" i="13"/>
  <c r="AL727" i="13"/>
  <c r="BV732" i="13"/>
  <c r="AQ734" i="13"/>
  <c r="BV734" i="13"/>
  <c r="AP735" i="13"/>
  <c r="BA736" i="13"/>
  <c r="BE738" i="13"/>
  <c r="AL741" i="13"/>
  <c r="AT754" i="13"/>
  <c r="BP755" i="13"/>
  <c r="BP758" i="13"/>
  <c r="BS761" i="13"/>
  <c r="BQ762" i="13"/>
  <c r="AK763" i="13"/>
  <c r="AZ763" i="13"/>
  <c r="BK763" i="13"/>
  <c r="BP767" i="13"/>
  <c r="BS767" i="13"/>
  <c r="BQ767" i="13"/>
  <c r="BV771" i="13"/>
  <c r="BW771" i="13"/>
  <c r="BM771" i="13"/>
  <c r="AY773" i="13"/>
  <c r="AP773" i="13"/>
  <c r="AN773" i="13"/>
  <c r="AL773" i="13"/>
  <c r="AQ777" i="13"/>
  <c r="BS782" i="13"/>
  <c r="BR782" i="13"/>
  <c r="BF782" i="13"/>
  <c r="BP782" i="13"/>
  <c r="BM782" i="13"/>
  <c r="BK782" i="13"/>
  <c r="BI786" i="13"/>
  <c r="BW788" i="13"/>
  <c r="BE788" i="13"/>
  <c r="AK803" i="13"/>
  <c r="BU804" i="13"/>
  <c r="BN804" i="13"/>
  <c r="BK804" i="13"/>
  <c r="BW804" i="13"/>
  <c r="BJ804" i="13"/>
  <c r="BV804" i="13"/>
  <c r="BI804" i="13"/>
  <c r="BS804" i="13"/>
  <c r="BH804" i="13"/>
  <c r="BN805" i="13"/>
  <c r="BU805" i="13"/>
  <c r="BT805" i="13"/>
  <c r="BK805" i="13"/>
  <c r="BH805" i="13"/>
  <c r="BF805" i="13"/>
  <c r="BF815" i="13"/>
  <c r="AN816" i="13"/>
  <c r="AJ818" i="13"/>
  <c r="AW820" i="13"/>
  <c r="AR820" i="13"/>
  <c r="AQ820" i="13"/>
  <c r="AO820" i="13"/>
  <c r="BA822" i="13"/>
  <c r="AS822" i="13"/>
  <c r="AL822" i="13"/>
  <c r="AJ825" i="13"/>
  <c r="BS830" i="13"/>
  <c r="AY841" i="13"/>
  <c r="AN841" i="13"/>
  <c r="BN849" i="13"/>
  <c r="BJ851" i="13"/>
  <c r="AJ875" i="13"/>
  <c r="BN902" i="13"/>
  <c r="BO902" i="13"/>
  <c r="BM902" i="13"/>
  <c r="BH902" i="13"/>
  <c r="BF902" i="13"/>
  <c r="BO928" i="13"/>
  <c r="BW928" i="13"/>
  <c r="BK928" i="13"/>
  <c r="BN928" i="13"/>
  <c r="BM928" i="13"/>
  <c r="BH928" i="13"/>
  <c r="BJ941" i="13"/>
  <c r="AV714" i="13"/>
  <c r="BW734" i="13"/>
  <c r="AU735" i="13"/>
  <c r="BB736" i="13"/>
  <c r="AV754" i="13"/>
  <c r="BR755" i="13"/>
  <c r="BT762" i="13"/>
  <c r="BM763" i="13"/>
  <c r="AY765" i="13"/>
  <c r="AT765" i="13"/>
  <c r="AN765" i="13"/>
  <c r="BT769" i="13"/>
  <c r="BE769" i="13"/>
  <c r="BU769" i="13"/>
  <c r="BT781" i="13"/>
  <c r="BR781" i="13"/>
  <c r="BJ781" i="13"/>
  <c r="BH781" i="13"/>
  <c r="AU803" i="13"/>
  <c r="BF804" i="13"/>
  <c r="BE805" i="13"/>
  <c r="BO815" i="13"/>
  <c r="BB816" i="13"/>
  <c r="AJ820" i="13"/>
  <c r="AK822" i="13"/>
  <c r="BW825" i="13"/>
  <c r="BR825" i="13"/>
  <c r="BA829" i="13"/>
  <c r="AV829" i="13"/>
  <c r="AT829" i="13"/>
  <c r="AO829" i="13"/>
  <c r="AN829" i="13"/>
  <c r="AL829" i="13"/>
  <c r="AX874" i="13"/>
  <c r="AV874" i="13"/>
  <c r="AS874" i="13"/>
  <c r="AO874" i="13"/>
  <c r="AN874" i="13"/>
  <c r="AO875" i="13"/>
  <c r="BU902" i="13"/>
  <c r="AW909" i="13"/>
  <c r="AT909" i="13"/>
  <c r="AK909" i="13"/>
  <c r="BB909" i="13"/>
  <c r="AS909" i="13"/>
  <c r="BQ962" i="13"/>
  <c r="BK962" i="13"/>
  <c r="BS962" i="13"/>
  <c r="BE962" i="13"/>
  <c r="BT962" i="13"/>
  <c r="BL962" i="13"/>
  <c r="BW962" i="13"/>
  <c r="BU962" i="13"/>
  <c r="BR962" i="13"/>
  <c r="BJ962" i="13"/>
  <c r="BI962" i="13"/>
  <c r="BM962" i="13"/>
  <c r="BG962" i="13"/>
  <c r="AQ671" i="13"/>
  <c r="BS672" i="13"/>
  <c r="AV675" i="13"/>
  <c r="BK675" i="13"/>
  <c r="BR677" i="13"/>
  <c r="AM678" i="13"/>
  <c r="AL679" i="13"/>
  <c r="AM681" i="13"/>
  <c r="AL684" i="13"/>
  <c r="BA684" i="13"/>
  <c r="AL687" i="13"/>
  <c r="AZ687" i="13"/>
  <c r="BS688" i="13"/>
  <c r="BJ690" i="13"/>
  <c r="AW714" i="13"/>
  <c r="AN719" i="13"/>
  <c r="BF732" i="13"/>
  <c r="AW735" i="13"/>
  <c r="AJ736" i="13"/>
  <c r="AW754" i="13"/>
  <c r="BS755" i="13"/>
  <c r="BU762" i="13"/>
  <c r="BO763" i="13"/>
  <c r="AW767" i="13"/>
  <c r="AS767" i="13"/>
  <c r="BP768" i="13"/>
  <c r="BF768" i="13"/>
  <c r="BH769" i="13"/>
  <c r="AS779" i="13"/>
  <c r="AK779" i="13"/>
  <c r="BB779" i="13"/>
  <c r="AX779" i="13"/>
  <c r="AY785" i="13"/>
  <c r="AO785" i="13"/>
  <c r="BN787" i="13"/>
  <c r="BH787" i="13"/>
  <c r="BG787" i="13"/>
  <c r="BS787" i="13"/>
  <c r="BF787" i="13"/>
  <c r="AV791" i="13"/>
  <c r="AS791" i="13"/>
  <c r="AN791" i="13"/>
  <c r="AL791" i="13"/>
  <c r="AK791" i="13"/>
  <c r="BB791" i="13"/>
  <c r="AJ791" i="13"/>
  <c r="BP794" i="13"/>
  <c r="BN794" i="13"/>
  <c r="BH794" i="13"/>
  <c r="BG794" i="13"/>
  <c r="BF794" i="13"/>
  <c r="BW794" i="13"/>
  <c r="BE794" i="13"/>
  <c r="AV803" i="13"/>
  <c r="BG804" i="13"/>
  <c r="BP815" i="13"/>
  <c r="BU824" i="13"/>
  <c r="BT824" i="13"/>
  <c r="BR824" i="13"/>
  <c r="BM824" i="13"/>
  <c r="BL824" i="13"/>
  <c r="BO825" i="13"/>
  <c r="BR829" i="13"/>
  <c r="BV829" i="13"/>
  <c r="BU829" i="13"/>
  <c r="BM829" i="13"/>
  <c r="BK829" i="13"/>
  <c r="BH829" i="13"/>
  <c r="BL832" i="13"/>
  <c r="BU832" i="13"/>
  <c r="BT832" i="13"/>
  <c r="BW902" i="13"/>
  <c r="AO909" i="13"/>
  <c r="AP917" i="13"/>
  <c r="BB917" i="13"/>
  <c r="AX917" i="13"/>
  <c r="AZ917" i="13"/>
  <c r="AR917" i="13"/>
  <c r="AM917" i="13"/>
  <c r="AY917" i="13"/>
  <c r="AL917" i="13"/>
  <c r="AY932" i="13"/>
  <c r="AZ932" i="13"/>
  <c r="AO932" i="13"/>
  <c r="AV932" i="13"/>
  <c r="AL932" i="13"/>
  <c r="BB932" i="13"/>
  <c r="AM932" i="13"/>
  <c r="AX932" i="13"/>
  <c r="AK932" i="13"/>
  <c r="AW932" i="13"/>
  <c r="AJ932" i="13"/>
  <c r="AT932" i="13"/>
  <c r="AS932" i="13"/>
  <c r="AU932" i="13"/>
  <c r="BA714" i="13"/>
  <c r="AX735" i="13"/>
  <c r="AX754" i="13"/>
  <c r="BQ763" i="13"/>
  <c r="BR784" i="13"/>
  <c r="BL784" i="13"/>
  <c r="BI784" i="13"/>
  <c r="BH784" i="13"/>
  <c r="BW784" i="13"/>
  <c r="BG784" i="13"/>
  <c r="AZ790" i="13"/>
  <c r="AW790" i="13"/>
  <c r="AZ800" i="13"/>
  <c r="AP800" i="13"/>
  <c r="BB800" i="13"/>
  <c r="AO800" i="13"/>
  <c r="BA800" i="13"/>
  <c r="AN800" i="13"/>
  <c r="AX800" i="13"/>
  <c r="AM800" i="13"/>
  <c r="AW800" i="13"/>
  <c r="AL800" i="13"/>
  <c r="AW803" i="13"/>
  <c r="BW806" i="13"/>
  <c r="BS806" i="13"/>
  <c r="BP806" i="13"/>
  <c r="BK806" i="13"/>
  <c r="BJ806" i="13"/>
  <c r="BI806" i="13"/>
  <c r="BO808" i="13"/>
  <c r="BU808" i="13"/>
  <c r="BT808" i="13"/>
  <c r="BK808" i="13"/>
  <c r="BJ808" i="13"/>
  <c r="BG808" i="13"/>
  <c r="BQ815" i="13"/>
  <c r="AX838" i="13"/>
  <c r="AV838" i="13"/>
  <c r="AO838" i="13"/>
  <c r="AN838" i="13"/>
  <c r="AY845" i="13"/>
  <c r="AU845" i="13"/>
  <c r="AM845" i="13"/>
  <c r="BB845" i="13"/>
  <c r="AK845" i="13"/>
  <c r="BA845" i="13"/>
  <c r="AZ845" i="13"/>
  <c r="AV845" i="13"/>
  <c r="AN845" i="13"/>
  <c r="AL845" i="13"/>
  <c r="AJ845" i="13"/>
  <c r="BV874" i="13"/>
  <c r="BN874" i="13"/>
  <c r="BW874" i="13"/>
  <c r="BF874" i="13"/>
  <c r="AY895" i="13"/>
  <c r="AL895" i="13"/>
  <c r="BB895" i="13"/>
  <c r="AZ895" i="13"/>
  <c r="AR895" i="13"/>
  <c r="AJ895" i="13"/>
  <c r="AT895" i="13"/>
  <c r="BS935" i="13"/>
  <c r="BK935" i="13"/>
  <c r="AT780" i="13"/>
  <c r="AX782" i="13"/>
  <c r="BN789" i="13"/>
  <c r="BL792" i="13"/>
  <c r="BL795" i="13"/>
  <c r="BS796" i="13"/>
  <c r="BR798" i="13"/>
  <c r="AW799" i="13"/>
  <c r="BK799" i="13"/>
  <c r="AW802" i="13"/>
  <c r="BW807" i="13"/>
  <c r="AW811" i="13"/>
  <c r="BV811" i="13"/>
  <c r="BU814" i="13"/>
  <c r="AX817" i="13"/>
  <c r="AM819" i="13"/>
  <c r="AX819" i="13"/>
  <c r="AU824" i="13"/>
  <c r="AU826" i="13"/>
  <c r="BI828" i="13"/>
  <c r="AU832" i="13"/>
  <c r="AR833" i="13"/>
  <c r="AQ835" i="13"/>
  <c r="BP835" i="13"/>
  <c r="BI838" i="13"/>
  <c r="BW838" i="13"/>
  <c r="AR905" i="13"/>
  <c r="AN905" i="13"/>
  <c r="AV905" i="13"/>
  <c r="AJ905" i="13"/>
  <c r="BR909" i="13"/>
  <c r="BP909" i="13"/>
  <c r="BQ909" i="13"/>
  <c r="BG909" i="13"/>
  <c r="BF909" i="13"/>
  <c r="BT934" i="13"/>
  <c r="BH934" i="13"/>
  <c r="BU934" i="13"/>
  <c r="BE934" i="13"/>
  <c r="BV934" i="13"/>
  <c r="BQ934" i="13"/>
  <c r="BP934" i="13"/>
  <c r="BI934" i="13"/>
  <c r="BG934" i="13"/>
  <c r="BQ944" i="13"/>
  <c r="BN944" i="13"/>
  <c r="BF944" i="13"/>
  <c r="BW944" i="13"/>
  <c r="BP944" i="13"/>
  <c r="BI944" i="13"/>
  <c r="BE944" i="13"/>
  <c r="AV950" i="13"/>
  <c r="AW950" i="13"/>
  <c r="BS974" i="13"/>
  <c r="BU974" i="13"/>
  <c r="BW974" i="13"/>
  <c r="BI974" i="13"/>
  <c r="BG974" i="13"/>
  <c r="AW780" i="13"/>
  <c r="BO789" i="13"/>
  <c r="BN792" i="13"/>
  <c r="BM795" i="13"/>
  <c r="BO799" i="13"/>
  <c r="AX811" i="13"/>
  <c r="AZ817" i="13"/>
  <c r="AN819" i="13"/>
  <c r="BB819" i="13"/>
  <c r="AW826" i="13"/>
  <c r="AV832" i="13"/>
  <c r="AY835" i="13"/>
  <c r="BJ838" i="13"/>
  <c r="BO866" i="13"/>
  <c r="BE866" i="13"/>
  <c r="BU866" i="13"/>
  <c r="BL866" i="13"/>
  <c r="BT931" i="13"/>
  <c r="BV931" i="13"/>
  <c r="BI931" i="13"/>
  <c r="BQ931" i="13"/>
  <c r="BF931" i="13"/>
  <c r="BO931" i="13"/>
  <c r="BM931" i="13"/>
  <c r="BJ931" i="13"/>
  <c r="BW931" i="13"/>
  <c r="BG931" i="13"/>
  <c r="BU931" i="13"/>
  <c r="BE931" i="13"/>
  <c r="BT953" i="13"/>
  <c r="BG953" i="13"/>
  <c r="BN953" i="13"/>
  <c r="BE953" i="13"/>
  <c r="BW953" i="13"/>
  <c r="BO953" i="13"/>
  <c r="BM953" i="13"/>
  <c r="BU995" i="13"/>
  <c r="BV995" i="13"/>
  <c r="BN995" i="13"/>
  <c r="BF995" i="13"/>
  <c r="BA782" i="13"/>
  <c r="AK784" i="13"/>
  <c r="BA786" i="13"/>
  <c r="BQ789" i="13"/>
  <c r="BH790" i="13"/>
  <c r="BP792" i="13"/>
  <c r="AK793" i="13"/>
  <c r="BR795" i="13"/>
  <c r="BP799" i="13"/>
  <c r="AK801" i="13"/>
  <c r="AN810" i="13"/>
  <c r="AL811" i="13"/>
  <c r="AO819" i="13"/>
  <c r="AW824" i="13"/>
  <c r="AX826" i="13"/>
  <c r="BP828" i="13"/>
  <c r="AK832" i="13"/>
  <c r="AW832" i="13"/>
  <c r="AU833" i="13"/>
  <c r="AZ835" i="13"/>
  <c r="AL837" i="13"/>
  <c r="BN838" i="13"/>
  <c r="BW841" i="13"/>
  <c r="BU841" i="13"/>
  <c r="AY850" i="13"/>
  <c r="AT850" i="13"/>
  <c r="AN850" i="13"/>
  <c r="BB850" i="13"/>
  <c r="AL850" i="13"/>
  <c r="AW850" i="13"/>
  <c r="AK850" i="13"/>
  <c r="BV855" i="13"/>
  <c r="BS855" i="13"/>
  <c r="BG855" i="13"/>
  <c r="BF855" i="13"/>
  <c r="BP863" i="13"/>
  <c r="BF866" i="13"/>
  <c r="AP871" i="13"/>
  <c r="AQ871" i="13"/>
  <c r="BV873" i="13"/>
  <c r="BQ873" i="13"/>
  <c r="BO873" i="13"/>
  <c r="BJ873" i="13"/>
  <c r="BH873" i="13"/>
  <c r="BG873" i="13"/>
  <c r="BA890" i="13"/>
  <c r="AP890" i="13"/>
  <c r="AK890" i="13"/>
  <c r="AZ903" i="13"/>
  <c r="AP903" i="13"/>
  <c r="AX903" i="13"/>
  <c r="AM903" i="13"/>
  <c r="AN903" i="13"/>
  <c r="BB903" i="13"/>
  <c r="AL903" i="13"/>
  <c r="BA903" i="13"/>
  <c r="AK903" i="13"/>
  <c r="AV903" i="13"/>
  <c r="AU903" i="13"/>
  <c r="BV911" i="13"/>
  <c r="BM911" i="13"/>
  <c r="BH911" i="13"/>
  <c r="BN918" i="13"/>
  <c r="BV918" i="13"/>
  <c r="BH931" i="13"/>
  <c r="BM934" i="13"/>
  <c r="BL948" i="13"/>
  <c r="BT948" i="13"/>
  <c r="BF953" i="13"/>
  <c r="AZ955" i="13"/>
  <c r="AY955" i="13"/>
  <c r="AX955" i="13"/>
  <c r="BW789" i="13"/>
  <c r="BT795" i="13"/>
  <c r="BQ799" i="13"/>
  <c r="BB835" i="13"/>
  <c r="BO838" i="13"/>
  <c r="AQ849" i="13"/>
  <c r="AX849" i="13"/>
  <c r="AR849" i="13"/>
  <c r="AX885" i="13"/>
  <c r="AQ885" i="13"/>
  <c r="AO885" i="13"/>
  <c r="BW887" i="13"/>
  <c r="BV887" i="13"/>
  <c r="BI887" i="13"/>
  <c r="BU887" i="13"/>
  <c r="BF887" i="13"/>
  <c r="BS887" i="13"/>
  <c r="BE887" i="13"/>
  <c r="BP887" i="13"/>
  <c r="BM887" i="13"/>
  <c r="BP931" i="13"/>
  <c r="AM942" i="13"/>
  <c r="AV942" i="13"/>
  <c r="AU942" i="13"/>
  <c r="AU945" i="13"/>
  <c r="AT945" i="13"/>
  <c r="AK945" i="13"/>
  <c r="BA945" i="13"/>
  <c r="AS945" i="13"/>
  <c r="BU953" i="13"/>
  <c r="BU961" i="13"/>
  <c r="BG961" i="13"/>
  <c r="BO961" i="13"/>
  <c r="BF961" i="13"/>
  <c r="BW961" i="13"/>
  <c r="BR961" i="13"/>
  <c r="BI961" i="13"/>
  <c r="BH961" i="13"/>
  <c r="AS1000" i="13"/>
  <c r="AU1000" i="13"/>
  <c r="AN1000" i="13"/>
  <c r="AJ1000" i="13"/>
  <c r="BB1000" i="13"/>
  <c r="AY1000" i="13"/>
  <c r="AZ1000" i="13"/>
  <c r="AP1000" i="13"/>
  <c r="AR784" i="13"/>
  <c r="BE789" i="13"/>
  <c r="BL790" i="13"/>
  <c r="BF795" i="13"/>
  <c r="BU795" i="13"/>
  <c r="BF799" i="13"/>
  <c r="BR799" i="13"/>
  <c r="AQ805" i="13"/>
  <c r="AJ817" i="13"/>
  <c r="AT819" i="13"/>
  <c r="BR828" i="13"/>
  <c r="AM832" i="13"/>
  <c r="BA832" i="13"/>
  <c r="AJ835" i="13"/>
  <c r="AJ836" i="13"/>
  <c r="AO837" i="13"/>
  <c r="BE838" i="13"/>
  <c r="BP838" i="13"/>
  <c r="AN844" i="13"/>
  <c r="AV849" i="13"/>
  <c r="BT878" i="13"/>
  <c r="BM878" i="13"/>
  <c r="BM882" i="13"/>
  <c r="BI882" i="13"/>
  <c r="BH882" i="13"/>
  <c r="BU882" i="13"/>
  <c r="BJ887" i="13"/>
  <c r="BR916" i="13"/>
  <c r="BM916" i="13"/>
  <c r="BW916" i="13"/>
  <c r="BS916" i="13"/>
  <c r="BK916" i="13"/>
  <c r="BG916" i="13"/>
  <c r="BR931" i="13"/>
  <c r="AJ998" i="13"/>
  <c r="AX998" i="13"/>
  <c r="AR851" i="13"/>
  <c r="BK860" i="13"/>
  <c r="BR862" i="13"/>
  <c r="BQ868" i="13"/>
  <c r="AT869" i="13"/>
  <c r="BK870" i="13"/>
  <c r="BM871" i="13"/>
  <c r="AV872" i="13"/>
  <c r="BU879" i="13"/>
  <c r="BK880" i="13"/>
  <c r="AX882" i="13"/>
  <c r="BW888" i="13"/>
  <c r="BA889" i="13"/>
  <c r="BJ890" i="13"/>
  <c r="AU892" i="13"/>
  <c r="BI895" i="13"/>
  <c r="AO898" i="13"/>
  <c r="BO900" i="13"/>
  <c r="AV901" i="13"/>
  <c r="AT906" i="13"/>
  <c r="BK907" i="13"/>
  <c r="BS908" i="13"/>
  <c r="BF908" i="13"/>
  <c r="BI915" i="13"/>
  <c r="BO917" i="13"/>
  <c r="AW924" i="13"/>
  <c r="AU929" i="13"/>
  <c r="BA930" i="13"/>
  <c r="AR930" i="13"/>
  <c r="AJ943" i="13"/>
  <c r="AY943" i="13"/>
  <c r="BP947" i="13"/>
  <c r="BU947" i="13"/>
  <c r="BN947" i="13"/>
  <c r="AN948" i="13"/>
  <c r="AY949" i="13"/>
  <c r="AX949" i="13"/>
  <c r="AY956" i="13"/>
  <c r="AV956" i="13"/>
  <c r="AM956" i="13"/>
  <c r="AR964" i="13"/>
  <c r="AY979" i="13"/>
  <c r="AS979" i="13"/>
  <c r="BB979" i="13"/>
  <c r="AL979" i="13"/>
  <c r="AX979" i="13"/>
  <c r="AW979" i="13"/>
  <c r="AO979" i="13"/>
  <c r="AT980" i="13"/>
  <c r="AV980" i="13"/>
  <c r="AL980" i="13"/>
  <c r="AM980" i="13"/>
  <c r="AK980" i="13"/>
  <c r="BA982" i="13"/>
  <c r="AY982" i="13"/>
  <c r="AP982" i="13"/>
  <c r="BA1002" i="13"/>
  <c r="AV1002" i="13"/>
  <c r="AR1002" i="13"/>
  <c r="AM1002" i="13"/>
  <c r="AL1002" i="13"/>
  <c r="AU1002" i="13"/>
  <c r="AK1002" i="13"/>
  <c r="AZ851" i="13"/>
  <c r="AK855" i="13"/>
  <c r="BL857" i="13"/>
  <c r="AJ858" i="13"/>
  <c r="BN860" i="13"/>
  <c r="AM861" i="13"/>
  <c r="BE862" i="13"/>
  <c r="BS862" i="13"/>
  <c r="AU869" i="13"/>
  <c r="BN870" i="13"/>
  <c r="BO871" i="13"/>
  <c r="AX872" i="13"/>
  <c r="BM880" i="13"/>
  <c r="AZ882" i="13"/>
  <c r="AJ887" i="13"/>
  <c r="BM890" i="13"/>
  <c r="AJ892" i="13"/>
  <c r="AW892" i="13"/>
  <c r="AJ897" i="13"/>
  <c r="AR897" i="13"/>
  <c r="AR898" i="13"/>
  <c r="BA901" i="13"/>
  <c r="AQ902" i="13"/>
  <c r="BL914" i="13"/>
  <c r="BU914" i="13"/>
  <c r="BP915" i="13"/>
  <c r="BU920" i="13"/>
  <c r="BK920" i="13"/>
  <c r="AN930" i="13"/>
  <c r="AQ943" i="13"/>
  <c r="BH947" i="13"/>
  <c r="AS948" i="13"/>
  <c r="BR949" i="13"/>
  <c r="BP949" i="13"/>
  <c r="BT950" i="13"/>
  <c r="BH950" i="13"/>
  <c r="AN956" i="13"/>
  <c r="AU964" i="13"/>
  <c r="AX968" i="13"/>
  <c r="AP968" i="13"/>
  <c r="AS968" i="13"/>
  <c r="AR968" i="13"/>
  <c r="AJ968" i="13"/>
  <c r="AY972" i="13"/>
  <c r="AJ972" i="13"/>
  <c r="BQ975" i="13"/>
  <c r="BH975" i="13"/>
  <c r="BS975" i="13"/>
  <c r="AK979" i="13"/>
  <c r="AP980" i="13"/>
  <c r="AQ982" i="13"/>
  <c r="BO983" i="13"/>
  <c r="BJ983" i="13"/>
  <c r="BF983" i="13"/>
  <c r="BW983" i="13"/>
  <c r="BK983" i="13"/>
  <c r="BG983" i="13"/>
  <c r="AU986" i="13"/>
  <c r="AJ986" i="13"/>
  <c r="AR986" i="13"/>
  <c r="BA986" i="13"/>
  <c r="AO986" i="13"/>
  <c r="AX986" i="13"/>
  <c r="AW986" i="13"/>
  <c r="AP986" i="13"/>
  <c r="BO998" i="13"/>
  <c r="BW998" i="13"/>
  <c r="AX1002" i="13"/>
  <c r="BB851" i="13"/>
  <c r="AP855" i="13"/>
  <c r="BW857" i="13"/>
  <c r="BS860" i="13"/>
  <c r="AO861" i="13"/>
  <c r="AK862" i="13"/>
  <c r="BH862" i="13"/>
  <c r="BB869" i="13"/>
  <c r="BR870" i="13"/>
  <c r="BP880" i="13"/>
  <c r="BQ890" i="13"/>
  <c r="BW900" i="13"/>
  <c r="BG900" i="13"/>
  <c r="BS900" i="13"/>
  <c r="BP904" i="13"/>
  <c r="BR904" i="13"/>
  <c r="AU906" i="13"/>
  <c r="AN906" i="13"/>
  <c r="AQ908" i="13"/>
  <c r="AP908" i="13"/>
  <c r="BW908" i="13"/>
  <c r="BV910" i="13"/>
  <c r="BM910" i="13"/>
  <c r="AZ918" i="13"/>
  <c r="AR918" i="13"/>
  <c r="AY922" i="13"/>
  <c r="BA922" i="13"/>
  <c r="AK922" i="13"/>
  <c r="AS922" i="13"/>
  <c r="BS922" i="13"/>
  <c r="BL922" i="13"/>
  <c r="BV929" i="13"/>
  <c r="BE929" i="13"/>
  <c r="AZ930" i="13"/>
  <c r="BS933" i="13"/>
  <c r="BP937" i="13"/>
  <c r="AY940" i="13"/>
  <c r="AK940" i="13"/>
  <c r="AO940" i="13"/>
  <c r="BE942" i="13"/>
  <c r="BP942" i="13"/>
  <c r="BH942" i="13"/>
  <c r="BS945" i="13"/>
  <c r="BT945" i="13"/>
  <c r="BF945" i="13"/>
  <c r="BO949" i="13"/>
  <c r="BN950" i="13"/>
  <c r="AW956" i="13"/>
  <c r="AW968" i="13"/>
  <c r="BI975" i="13"/>
  <c r="AQ979" i="13"/>
  <c r="AW980" i="13"/>
  <c r="BU983" i="13"/>
  <c r="AL986" i="13"/>
  <c r="BO1002" i="13"/>
  <c r="BL1002" i="13"/>
  <c r="BK1002" i="13"/>
  <c r="BF1002" i="13"/>
  <c r="AU1004" i="13"/>
  <c r="AT1004" i="13"/>
  <c r="AQ1004" i="13"/>
  <c r="AP1004" i="13"/>
  <c r="BU1007" i="13"/>
  <c r="BN1007" i="13"/>
  <c r="BJ1007" i="13"/>
  <c r="BW1007" i="13"/>
  <c r="BH1007" i="13"/>
  <c r="BV1007" i="13"/>
  <c r="BG1007" i="13"/>
  <c r="BS1007" i="13"/>
  <c r="BF1007" i="13"/>
  <c r="BR1007" i="13"/>
  <c r="BK1007" i="13"/>
  <c r="BV870" i="13"/>
  <c r="BR890" i="13"/>
  <c r="AY898" i="13"/>
  <c r="AT898" i="13"/>
  <c r="BB898" i="13"/>
  <c r="AN898" i="13"/>
  <c r="AZ898" i="13"/>
  <c r="BW917" i="13"/>
  <c r="BT917" i="13"/>
  <c r="BL917" i="13"/>
  <c r="AT924" i="13"/>
  <c r="AO924" i="13"/>
  <c r="BW925" i="13"/>
  <c r="BI925" i="13"/>
  <c r="BR925" i="13"/>
  <c r="BL960" i="13"/>
  <c r="BU960" i="13"/>
  <c r="BA962" i="13"/>
  <c r="AP962" i="13"/>
  <c r="BB962" i="13"/>
  <c r="BA964" i="13"/>
  <c r="AW964" i="13"/>
  <c r="AL964" i="13"/>
  <c r="AP964" i="13"/>
  <c r="AV964" i="13"/>
  <c r="AO964" i="13"/>
  <c r="BB964" i="13"/>
  <c r="BS965" i="13"/>
  <c r="BV965" i="13"/>
  <c r="BG965" i="13"/>
  <c r="BK965" i="13"/>
  <c r="BT967" i="13"/>
  <c r="BH967" i="13"/>
  <c r="BO967" i="13"/>
  <c r="BQ967" i="13"/>
  <c r="BL967" i="13"/>
  <c r="BI967" i="13"/>
  <c r="AV985" i="13"/>
  <c r="AM985" i="13"/>
  <c r="AR985" i="13"/>
  <c r="AN1004" i="13"/>
  <c r="BO1007" i="13"/>
  <c r="AK851" i="13"/>
  <c r="BJ854" i="13"/>
  <c r="AT855" i="13"/>
  <c r="AQ857" i="13"/>
  <c r="BG860" i="13"/>
  <c r="BW860" i="13"/>
  <c r="AS862" i="13"/>
  <c r="BJ862" i="13"/>
  <c r="BJ864" i="13"/>
  <c r="AZ865" i="13"/>
  <c r="AR868" i="13"/>
  <c r="BK868" i="13"/>
  <c r="AL869" i="13"/>
  <c r="BH871" i="13"/>
  <c r="BU871" i="13"/>
  <c r="AP872" i="13"/>
  <c r="BG877" i="13"/>
  <c r="BF880" i="13"/>
  <c r="BU880" i="13"/>
  <c r="AN882" i="13"/>
  <c r="BE890" i="13"/>
  <c r="BW890" i="13"/>
  <c r="AP892" i="13"/>
  <c r="BV895" i="13"/>
  <c r="BH895" i="13"/>
  <c r="BQ895" i="13"/>
  <c r="BU895" i="13"/>
  <c r="AJ898" i="13"/>
  <c r="BA898" i="13"/>
  <c r="BH900" i="13"/>
  <c r="AK901" i="13"/>
  <c r="AK906" i="13"/>
  <c r="BI907" i="13"/>
  <c r="BW907" i="13"/>
  <c r="AF909" i="13"/>
  <c r="BJ913" i="13"/>
  <c r="BT915" i="13"/>
  <c r="BM915" i="13"/>
  <c r="BW915" i="13"/>
  <c r="BG915" i="13"/>
  <c r="BI917" i="13"/>
  <c r="AN924" i="13"/>
  <c r="BJ925" i="13"/>
  <c r="BB929" i="13"/>
  <c r="AP929" i="13"/>
  <c r="AM929" i="13"/>
  <c r="BN929" i="13"/>
  <c r="BO942" i="13"/>
  <c r="BL945" i="13"/>
  <c r="AY948" i="13"/>
  <c r="AP948" i="13"/>
  <c r="AW948" i="13"/>
  <c r="AO948" i="13"/>
  <c r="BB948" i="13"/>
  <c r="BO960" i="13"/>
  <c r="AR962" i="13"/>
  <c r="AJ964" i="13"/>
  <c r="BJ965" i="13"/>
  <c r="BJ967" i="13"/>
  <c r="BK968" i="13"/>
  <c r="BM968" i="13"/>
  <c r="BU968" i="13"/>
  <c r="BS968" i="13"/>
  <c r="AW973" i="13"/>
  <c r="BQ979" i="13"/>
  <c r="BN979" i="13"/>
  <c r="BU979" i="13"/>
  <c r="AO985" i="13"/>
  <c r="AT986" i="13"/>
  <c r="AW1004" i="13"/>
  <c r="BV991" i="13"/>
  <c r="BM991" i="13"/>
  <c r="BJ991" i="13"/>
  <c r="BW991" i="13"/>
  <c r="BI991" i="13"/>
  <c r="BU991" i="13"/>
  <c r="BH991" i="13"/>
  <c r="BR991" i="13"/>
  <c r="BG991" i="13"/>
  <c r="BQ991" i="13"/>
  <c r="BE991" i="13"/>
  <c r="AY900" i="13"/>
  <c r="BQ905" i="13"/>
  <c r="BQ912" i="13"/>
  <c r="BO923" i="13"/>
  <c r="BT952" i="13"/>
  <c r="BU952" i="13"/>
  <c r="BI952" i="13"/>
  <c r="BQ952" i="13"/>
  <c r="AY954" i="13"/>
  <c r="AL954" i="13"/>
  <c r="BT955" i="13"/>
  <c r="BN955" i="13"/>
  <c r="BQ955" i="13"/>
  <c r="BU980" i="13"/>
  <c r="BS980" i="13"/>
  <c r="BF980" i="13"/>
  <c r="BP991" i="13"/>
  <c r="BT970" i="13"/>
  <c r="BO970" i="13"/>
  <c r="BT972" i="13"/>
  <c r="BR972" i="13"/>
  <c r="BG972" i="13"/>
  <c r="BK972" i="13"/>
  <c r="BS972" i="13"/>
  <c r="BJ980" i="13"/>
  <c r="AO900" i="13"/>
  <c r="AQ912" i="13"/>
  <c r="BH912" i="13"/>
  <c r="AZ916" i="13"/>
  <c r="AU937" i="13"/>
  <c r="AP937" i="13"/>
  <c r="BH952" i="13"/>
  <c r="AT954" i="13"/>
  <c r="BG955" i="13"/>
  <c r="BW955" i="13"/>
  <c r="AZ960" i="13"/>
  <c r="AT960" i="13"/>
  <c r="BF972" i="13"/>
  <c r="BU972" i="13"/>
  <c r="BK980" i="13"/>
  <c r="AU1005" i="13"/>
  <c r="AY1005" i="13"/>
  <c r="AW1005" i="13"/>
  <c r="AO1005" i="13"/>
  <c r="AN1005" i="13"/>
  <c r="BB992" i="13"/>
  <c r="AS992" i="13"/>
  <c r="AP992" i="13"/>
  <c r="AO992" i="13"/>
  <c r="BA992" i="13"/>
  <c r="AN992" i="13"/>
  <c r="AX992" i="13"/>
  <c r="AM992" i="13"/>
  <c r="AW992" i="13"/>
  <c r="AK992" i="13"/>
  <c r="AY996" i="13"/>
  <c r="AT996" i="13"/>
  <c r="AS996" i="13"/>
  <c r="AR996" i="13"/>
  <c r="AO996" i="13"/>
  <c r="BB996" i="13"/>
  <c r="AL996" i="13"/>
  <c r="BA996" i="13"/>
  <c r="AK996" i="13"/>
  <c r="BO997" i="13"/>
  <c r="BA971" i="13"/>
  <c r="BP978" i="13"/>
  <c r="AY983" i="13"/>
  <c r="BR984" i="13"/>
  <c r="BQ986" i="13"/>
  <c r="BP1003" i="13"/>
  <c r="AX989" i="13"/>
  <c r="BN989" i="13"/>
  <c r="AU990" i="13"/>
  <c r="BN992" i="13"/>
  <c r="AS993" i="13"/>
  <c r="AT995" i="13"/>
  <c r="BP996" i="13"/>
  <c r="BE997" i="13"/>
  <c r="BP997" i="13"/>
  <c r="BO989" i="13"/>
  <c r="AV990" i="13"/>
  <c r="AT993" i="13"/>
  <c r="AU995" i="13"/>
  <c r="BQ996" i="13"/>
  <c r="BF997" i="13"/>
  <c r="BS997" i="13"/>
  <c r="BE989" i="13"/>
  <c r="BP989" i="13"/>
  <c r="AK990" i="13"/>
  <c r="BA990" i="13"/>
  <c r="AP991" i="13"/>
  <c r="BR992" i="13"/>
  <c r="AJ993" i="13"/>
  <c r="AU993" i="13"/>
  <c r="AJ995" i="13"/>
  <c r="AV995" i="13"/>
  <c r="BF996" i="13"/>
  <c r="BR996" i="13"/>
  <c r="BG997" i="13"/>
  <c r="BU997" i="13"/>
  <c r="AU961" i="13"/>
  <c r="BI978" i="13"/>
  <c r="BT978" i="13"/>
  <c r="BW981" i="13"/>
  <c r="AM983" i="13"/>
  <c r="BI984" i="13"/>
  <c r="BI1003" i="13"/>
  <c r="BV1003" i="13"/>
  <c r="BN1006" i="13"/>
  <c r="BQ988" i="13"/>
  <c r="AO989" i="13"/>
  <c r="BG989" i="13"/>
  <c r="BU989" i="13"/>
  <c r="AM990" i="13"/>
  <c r="BF992" i="13"/>
  <c r="BV992" i="13"/>
  <c r="AL993" i="13"/>
  <c r="AZ993" i="13"/>
  <c r="AP994" i="13"/>
  <c r="BQ994" i="13"/>
  <c r="AM995" i="13"/>
  <c r="AZ995" i="13"/>
  <c r="BI996" i="13"/>
  <c r="BV996" i="13"/>
  <c r="BK997" i="13"/>
  <c r="BW997" i="13"/>
  <c r="AS988" i="13"/>
  <c r="AA988" i="13"/>
  <c r="AC988" i="13" s="1"/>
  <c r="AY988" i="13"/>
  <c r="AE994" i="13"/>
  <c r="AR988" i="13"/>
  <c r="AZ988" i="13"/>
  <c r="BQ990" i="13"/>
  <c r="BI990" i="13"/>
  <c r="BP990" i="13"/>
  <c r="BH990" i="13"/>
  <c r="BW990" i="13"/>
  <c r="BO990" i="13"/>
  <c r="BG990" i="13"/>
  <c r="BM990" i="13"/>
  <c r="BV990" i="13"/>
  <c r="BN990" i="13"/>
  <c r="BF990" i="13"/>
  <c r="BU990" i="13"/>
  <c r="BE990" i="13"/>
  <c r="AF992" i="13"/>
  <c r="BA988" i="13"/>
  <c r="AJ988" i="13"/>
  <c r="BK990" i="13"/>
  <c r="AA991" i="13"/>
  <c r="AC991" i="13" s="1"/>
  <c r="BL990" i="13"/>
  <c r="AX988" i="13"/>
  <c r="AP988" i="13"/>
  <c r="AW988" i="13"/>
  <c r="AO988" i="13"/>
  <c r="BB988" i="13"/>
  <c r="AT988" i="13"/>
  <c r="AL988" i="13"/>
  <c r="AV988" i="13"/>
  <c r="AN988" i="13"/>
  <c r="AU988" i="13"/>
  <c r="AM988" i="13"/>
  <c r="AQ988" i="13"/>
  <c r="BR990" i="13"/>
  <c r="AW991" i="13"/>
  <c r="AO991" i="13"/>
  <c r="AV991" i="13"/>
  <c r="AN991" i="13"/>
  <c r="AZ991" i="13"/>
  <c r="AR991" i="13"/>
  <c r="AJ991" i="13"/>
  <c r="AU991" i="13"/>
  <c r="AM991" i="13"/>
  <c r="BA991" i="13"/>
  <c r="AS991" i="13"/>
  <c r="AK991" i="13"/>
  <c r="BB991" i="13"/>
  <c r="AT991" i="13"/>
  <c r="AL991" i="13"/>
  <c r="AY989" i="13"/>
  <c r="BL993" i="13"/>
  <c r="BT993" i="13"/>
  <c r="AY997" i="13"/>
  <c r="U988" i="13"/>
  <c r="W988" i="13" s="1"/>
  <c r="BL988" i="13"/>
  <c r="BT988" i="13"/>
  <c r="AA989" i="13"/>
  <c r="AC989" i="13" s="1"/>
  <c r="AJ989" i="13"/>
  <c r="AR989" i="13"/>
  <c r="AZ989" i="13"/>
  <c r="BI989" i="13"/>
  <c r="BQ989" i="13"/>
  <c r="AO990" i="13"/>
  <c r="AW990" i="13"/>
  <c r="BK991" i="13"/>
  <c r="BS991" i="13"/>
  <c r="AQ992" i="13"/>
  <c r="AY992" i="13"/>
  <c r="BH992" i="13"/>
  <c r="BP992" i="13"/>
  <c r="AN993" i="13"/>
  <c r="AV993" i="13"/>
  <c r="BE993" i="13"/>
  <c r="BM993" i="13"/>
  <c r="BU993" i="13"/>
  <c r="AK994" i="13"/>
  <c r="AS994" i="13"/>
  <c r="BA994" i="13"/>
  <c r="BJ994" i="13"/>
  <c r="BR994" i="13"/>
  <c r="AP995" i="13"/>
  <c r="AX995" i="13"/>
  <c r="BG995" i="13"/>
  <c r="BO995" i="13"/>
  <c r="BW995" i="13"/>
  <c r="U996" i="13"/>
  <c r="W996" i="13" s="1"/>
  <c r="AM996" i="13"/>
  <c r="AU996" i="13"/>
  <c r="BL996" i="13"/>
  <c r="BT996" i="13"/>
  <c r="AA997" i="13"/>
  <c r="AC997" i="13" s="1"/>
  <c r="AJ997" i="13"/>
  <c r="AR997" i="13"/>
  <c r="AZ997" i="13"/>
  <c r="BI997" i="13"/>
  <c r="BQ997" i="13"/>
  <c r="AQ989" i="13"/>
  <c r="AQ997" i="13"/>
  <c r="BE988" i="13"/>
  <c r="BM988" i="13"/>
  <c r="BU988" i="13"/>
  <c r="AK989" i="13"/>
  <c r="AS989" i="13"/>
  <c r="BA989" i="13"/>
  <c r="BJ989" i="13"/>
  <c r="BR989" i="13"/>
  <c r="AP990" i="13"/>
  <c r="AX990" i="13"/>
  <c r="BL991" i="13"/>
  <c r="BT991" i="13"/>
  <c r="AJ992" i="13"/>
  <c r="AR992" i="13"/>
  <c r="AZ992" i="13"/>
  <c r="BI992" i="13"/>
  <c r="BQ992" i="13"/>
  <c r="AO993" i="13"/>
  <c r="AW993" i="13"/>
  <c r="BF993" i="13"/>
  <c r="BN993" i="13"/>
  <c r="BV993" i="13"/>
  <c r="AL994" i="13"/>
  <c r="AT994" i="13"/>
  <c r="BB994" i="13"/>
  <c r="BK994" i="13"/>
  <c r="BS994" i="13"/>
  <c r="AQ995" i="13"/>
  <c r="AY995" i="13"/>
  <c r="BH995" i="13"/>
  <c r="BP995" i="13"/>
  <c r="AN996" i="13"/>
  <c r="AV996" i="13"/>
  <c r="BE996" i="13"/>
  <c r="BM996" i="13"/>
  <c r="BU996" i="13"/>
  <c r="AK997" i="13"/>
  <c r="AS997" i="13"/>
  <c r="BA997" i="13"/>
  <c r="BJ997" i="13"/>
  <c r="BR997" i="13"/>
  <c r="BG993" i="13"/>
  <c r="BO993" i="13"/>
  <c r="BW993" i="13"/>
  <c r="AM994" i="13"/>
  <c r="AU994" i="13"/>
  <c r="BL994" i="13"/>
  <c r="BT994" i="13"/>
  <c r="BI995" i="13"/>
  <c r="BQ995" i="13"/>
  <c r="AL997" i="13"/>
  <c r="AT997" i="13"/>
  <c r="BB997" i="13"/>
  <c r="AL989" i="13"/>
  <c r="AT989" i="13"/>
  <c r="BB989" i="13"/>
  <c r="AQ990" i="13"/>
  <c r="AY990" i="13"/>
  <c r="BG988" i="13"/>
  <c r="BO988" i="13"/>
  <c r="AM989" i="13"/>
  <c r="BL989" i="13"/>
  <c r="AJ990" i="13"/>
  <c r="AR990" i="13"/>
  <c r="BF991" i="13"/>
  <c r="BN991" i="13"/>
  <c r="AL992" i="13"/>
  <c r="AT992" i="13"/>
  <c r="BK992" i="13"/>
  <c r="BS992" i="13"/>
  <c r="AQ993" i="13"/>
  <c r="BH993" i="13"/>
  <c r="BP993" i="13"/>
  <c r="AN994" i="13"/>
  <c r="AV994" i="13"/>
  <c r="BE994" i="13"/>
  <c r="BM994" i="13"/>
  <c r="BU994" i="13"/>
  <c r="AK995" i="13"/>
  <c r="AS995" i="13"/>
  <c r="BJ995" i="13"/>
  <c r="BR995" i="13"/>
  <c r="AP996" i="13"/>
  <c r="AX996" i="13"/>
  <c r="BG996" i="13"/>
  <c r="BO996" i="13"/>
  <c r="AM997" i="13"/>
  <c r="AU997" i="13"/>
  <c r="BL997" i="13"/>
  <c r="BL992" i="13"/>
  <c r="BI993" i="13"/>
  <c r="BQ993" i="13"/>
  <c r="AO994" i="13"/>
  <c r="AW994" i="13"/>
  <c r="BF994" i="13"/>
  <c r="BN994" i="13"/>
  <c r="BV994" i="13"/>
  <c r="BK995" i="13"/>
  <c r="BS995" i="13"/>
  <c r="AQ996" i="13"/>
  <c r="AN997" i="13"/>
  <c r="AV997" i="13"/>
  <c r="BJ993" i="13"/>
  <c r="BR993" i="13"/>
  <c r="BL995" i="13"/>
  <c r="BT995" i="13"/>
  <c r="AO997" i="13"/>
  <c r="AW997" i="13"/>
  <c r="BK993" i="13"/>
  <c r="AQ994" i="13"/>
  <c r="BH994" i="13"/>
  <c r="BE995" i="13"/>
  <c r="BM995" i="13"/>
  <c r="AP997" i="13"/>
  <c r="BR220" i="13"/>
  <c r="V231" i="13"/>
  <c r="AE231" i="13" s="1"/>
  <c r="BI233" i="13"/>
  <c r="AA235" i="13"/>
  <c r="AC235" i="13" s="1"/>
  <c r="AF235" i="13" s="1"/>
  <c r="BE239" i="13"/>
  <c r="BF242" i="13"/>
  <c r="BE259" i="13"/>
  <c r="U264" i="13"/>
  <c r="W264" i="13" s="1"/>
  <c r="AA265" i="13"/>
  <c r="AC265" i="13" s="1"/>
  <c r="BA267" i="13"/>
  <c r="AZ267" i="13"/>
  <c r="AO267" i="13"/>
  <c r="AU267" i="13"/>
  <c r="AJ267" i="13"/>
  <c r="BF268" i="13"/>
  <c r="V638" i="13"/>
  <c r="AE638" i="13" s="1"/>
  <c r="U638" i="13"/>
  <c r="W638" i="13" s="1"/>
  <c r="BN218" i="13"/>
  <c r="BV219" i="13"/>
  <c r="BH220" i="13"/>
  <c r="BS220" i="13"/>
  <c r="BM221" i="13"/>
  <c r="BV221" i="13"/>
  <c r="AM222" i="13"/>
  <c r="V223" i="13"/>
  <c r="AE223" i="13" s="1"/>
  <c r="AR223" i="13"/>
  <c r="BH223" i="13"/>
  <c r="BR223" i="13"/>
  <c r="AV224" i="13"/>
  <c r="AA225" i="13"/>
  <c r="AC225" i="13" s="1"/>
  <c r="AN225" i="13"/>
  <c r="AW225" i="13"/>
  <c r="BQ225" i="13"/>
  <c r="BH226" i="13"/>
  <c r="AO227" i="13"/>
  <c r="AZ227" i="13"/>
  <c r="BS227" i="13"/>
  <c r="BQ228" i="13"/>
  <c r="AV229" i="13"/>
  <c r="BJ229" i="13"/>
  <c r="BS229" i="13"/>
  <c r="AK230" i="13"/>
  <c r="AR231" i="13"/>
  <c r="BG231" i="13"/>
  <c r="BQ231" i="13"/>
  <c r="AB232" i="13"/>
  <c r="AU232" i="13"/>
  <c r="BV232" i="13"/>
  <c r="AM233" i="13"/>
  <c r="AV233" i="13"/>
  <c r="BK233" i="13"/>
  <c r="BH234" i="13"/>
  <c r="BS235" i="13"/>
  <c r="BQ236" i="13"/>
  <c r="AV237" i="13"/>
  <c r="BJ237" i="13"/>
  <c r="BS237" i="13"/>
  <c r="AK238" i="13"/>
  <c r="AR239" i="13"/>
  <c r="BG239" i="13"/>
  <c r="BQ239" i="13"/>
  <c r="AB240" i="13"/>
  <c r="AE240" i="13" s="1"/>
  <c r="AU240" i="13"/>
  <c r="BV240" i="13"/>
  <c r="AM241" i="13"/>
  <c r="AV241" i="13"/>
  <c r="BK241" i="13"/>
  <c r="BH242" i="13"/>
  <c r="BS243" i="13"/>
  <c r="BQ244" i="13"/>
  <c r="AV245" i="13"/>
  <c r="BJ245" i="13"/>
  <c r="BS245" i="13"/>
  <c r="AK246" i="13"/>
  <c r="AR247" i="13"/>
  <c r="BG247" i="13"/>
  <c r="BQ247" i="13"/>
  <c r="AB248" i="13"/>
  <c r="AE248" i="13" s="1"/>
  <c r="AU248" i="13"/>
  <c r="BV248" i="13"/>
  <c r="AM249" i="13"/>
  <c r="AV249" i="13"/>
  <c r="BK249" i="13"/>
  <c r="BH250" i="13"/>
  <c r="BS251" i="13"/>
  <c r="BQ252" i="13"/>
  <c r="AV253" i="13"/>
  <c r="AS254" i="13"/>
  <c r="AJ255" i="13"/>
  <c r="BS256" i="13"/>
  <c r="BF256" i="13"/>
  <c r="AM257" i="13"/>
  <c r="AZ257" i="13"/>
  <c r="AR259" i="13"/>
  <c r="AK260" i="13"/>
  <c r="BQ260" i="13"/>
  <c r="AS263" i="13"/>
  <c r="AU264" i="13"/>
  <c r="AL267" i="13"/>
  <c r="AX267" i="13"/>
  <c r="BS267" i="13"/>
  <c r="BI268" i="13"/>
  <c r="AU269" i="13"/>
  <c r="AN269" i="13"/>
  <c r="AU270" i="13"/>
  <c r="BE271" i="13"/>
  <c r="AK272" i="13"/>
  <c r="BL273" i="13"/>
  <c r="AY275" i="13"/>
  <c r="AX275" i="13"/>
  <c r="AO275" i="13"/>
  <c r="AT275" i="13"/>
  <c r="AK275" i="13"/>
  <c r="AU275" i="13"/>
  <c r="AX276" i="13"/>
  <c r="AL276" i="13"/>
  <c r="AQ276" i="13"/>
  <c r="AY276" i="13"/>
  <c r="BM279" i="13"/>
  <c r="AL280" i="13"/>
  <c r="V282" i="13"/>
  <c r="U282" i="13"/>
  <c r="W282" i="13" s="1"/>
  <c r="BE282" i="13"/>
  <c r="AB283" i="13"/>
  <c r="BT287" i="13"/>
  <c r="BR287" i="13"/>
  <c r="BI287" i="13"/>
  <c r="BQ287" i="13"/>
  <c r="BH287" i="13"/>
  <c r="BO287" i="13"/>
  <c r="BF287" i="13"/>
  <c r="BW287" i="13"/>
  <c r="BN287" i="13"/>
  <c r="BE287" i="13"/>
  <c r="BV287" i="13"/>
  <c r="AB290" i="13"/>
  <c r="AE290" i="13" s="1"/>
  <c r="U292" i="13"/>
  <c r="W292" i="13" s="1"/>
  <c r="AU294" i="13"/>
  <c r="AT294" i="13"/>
  <c r="AR294" i="13"/>
  <c r="AO294" i="13"/>
  <c r="AK294" i="13"/>
  <c r="AF306" i="13"/>
  <c r="BT335" i="13"/>
  <c r="BW335" i="13"/>
  <c r="BM335" i="13"/>
  <c r="BV335" i="13"/>
  <c r="BK335" i="13"/>
  <c r="BU335" i="13"/>
  <c r="BI335" i="13"/>
  <c r="BS335" i="13"/>
  <c r="BH335" i="13"/>
  <c r="BQ335" i="13"/>
  <c r="BG335" i="13"/>
  <c r="BP335" i="13"/>
  <c r="BF335" i="13"/>
  <c r="BO335" i="13"/>
  <c r="BE335" i="13"/>
  <c r="V341" i="13"/>
  <c r="AE341" i="13" s="1"/>
  <c r="U341" i="13"/>
  <c r="W341" i="13" s="1"/>
  <c r="V342" i="13"/>
  <c r="U342" i="13"/>
  <c r="W342" i="13" s="1"/>
  <c r="V349" i="13"/>
  <c r="AE349" i="13" s="1"/>
  <c r="U349" i="13"/>
  <c r="W349" i="13" s="1"/>
  <c r="AR375" i="13"/>
  <c r="AO375" i="13"/>
  <c r="BA375" i="13"/>
  <c r="AZ375" i="13"/>
  <c r="AY375" i="13"/>
  <c r="AQ375" i="13"/>
  <c r="AP375" i="13"/>
  <c r="BW456" i="13"/>
  <c r="BS456" i="13"/>
  <c r="BJ456" i="13"/>
  <c r="BR456" i="13"/>
  <c r="BI456" i="13"/>
  <c r="BQ456" i="13"/>
  <c r="BH456" i="13"/>
  <c r="BP456" i="13"/>
  <c r="BG456" i="13"/>
  <c r="BO456" i="13"/>
  <c r="BF456" i="13"/>
  <c r="BN456" i="13"/>
  <c r="BE456" i="13"/>
  <c r="BV456" i="13"/>
  <c r="BU456" i="13"/>
  <c r="BM456" i="13"/>
  <c r="BK456" i="13"/>
  <c r="AB505" i="13"/>
  <c r="AA505" i="13"/>
  <c r="AC505" i="13" s="1"/>
  <c r="BO231" i="13"/>
  <c r="BO247" i="13"/>
  <c r="BR259" i="13"/>
  <c r="BN259" i="13"/>
  <c r="BV259" i="13"/>
  <c r="BF259" i="13"/>
  <c r="BA285" i="13"/>
  <c r="AV285" i="13"/>
  <c r="AL285" i="13"/>
  <c r="AU285" i="13"/>
  <c r="AJ285" i="13"/>
  <c r="AR285" i="13"/>
  <c r="BB285" i="13"/>
  <c r="AP285" i="13"/>
  <c r="BU288" i="13"/>
  <c r="BH288" i="13"/>
  <c r="BT288" i="13"/>
  <c r="BE288" i="13"/>
  <c r="BS288" i="13"/>
  <c r="BP288" i="13"/>
  <c r="BM288" i="13"/>
  <c r="BA255" i="13"/>
  <c r="BB256" i="13"/>
  <c r="AP256" i="13"/>
  <c r="AW256" i="13"/>
  <c r="AK256" i="13"/>
  <c r="BT271" i="13"/>
  <c r="BU271" i="13"/>
  <c r="BK271" i="13"/>
  <c r="BP271" i="13"/>
  <c r="BG271" i="13"/>
  <c r="BJ288" i="13"/>
  <c r="BR446" i="13"/>
  <c r="BQ446" i="13"/>
  <c r="BO446" i="13"/>
  <c r="BN446" i="13"/>
  <c r="BK446" i="13"/>
  <c r="BI446" i="13"/>
  <c r="BW446" i="13"/>
  <c r="BG446" i="13"/>
  <c r="BV446" i="13"/>
  <c r="BS446" i="13"/>
  <c r="BF446" i="13"/>
  <c r="BO218" i="13"/>
  <c r="AT219" i="13"/>
  <c r="BE219" i="13"/>
  <c r="AB220" i="13"/>
  <c r="AE220" i="13" s="1"/>
  <c r="BI220" i="13"/>
  <c r="BV220" i="13"/>
  <c r="V221" i="13"/>
  <c r="AE221" i="13" s="1"/>
  <c r="BE221" i="13"/>
  <c r="BN221" i="13"/>
  <c r="BW221" i="13"/>
  <c r="AN222" i="13"/>
  <c r="AS223" i="13"/>
  <c r="BI223" i="13"/>
  <c r="BS223" i="13"/>
  <c r="AK224" i="13"/>
  <c r="AW224" i="13"/>
  <c r="AO225" i="13"/>
  <c r="AX225" i="13"/>
  <c r="BS225" i="13"/>
  <c r="U226" i="13"/>
  <c r="W226" i="13" s="1"/>
  <c r="BI226" i="13"/>
  <c r="AA227" i="13"/>
  <c r="AC227" i="13" s="1"/>
  <c r="AP227" i="13"/>
  <c r="BB227" i="13"/>
  <c r="BU227" i="13"/>
  <c r="BF228" i="13"/>
  <c r="BR228" i="13"/>
  <c r="AX229" i="13"/>
  <c r="BK229" i="13"/>
  <c r="BU229" i="13"/>
  <c r="AM230" i="13"/>
  <c r="AS231" i="13"/>
  <c r="BH231" i="13"/>
  <c r="BR231" i="13"/>
  <c r="AV232" i="13"/>
  <c r="AN233" i="13"/>
  <c r="AW233" i="13"/>
  <c r="BQ233" i="13"/>
  <c r="BI234" i="13"/>
  <c r="AT235" i="13"/>
  <c r="BE235" i="13"/>
  <c r="BU235" i="13"/>
  <c r="BF236" i="13"/>
  <c r="BR236" i="13"/>
  <c r="AX237" i="13"/>
  <c r="BK237" i="13"/>
  <c r="BU237" i="13"/>
  <c r="AM238" i="13"/>
  <c r="AS239" i="13"/>
  <c r="BH239" i="13"/>
  <c r="BR239" i="13"/>
  <c r="AV240" i="13"/>
  <c r="AN241" i="13"/>
  <c r="AW241" i="13"/>
  <c r="BQ241" i="13"/>
  <c r="BI242" i="13"/>
  <c r="AT243" i="13"/>
  <c r="BE243" i="13"/>
  <c r="BU243" i="13"/>
  <c r="BF244" i="13"/>
  <c r="BR244" i="13"/>
  <c r="AX245" i="13"/>
  <c r="BK245" i="13"/>
  <c r="BU245" i="13"/>
  <c r="AM246" i="13"/>
  <c r="AS247" i="13"/>
  <c r="BH247" i="13"/>
  <c r="BR247" i="13"/>
  <c r="AV248" i="13"/>
  <c r="AN249" i="13"/>
  <c r="AW249" i="13"/>
  <c r="BQ249" i="13"/>
  <c r="BI250" i="13"/>
  <c r="AT251" i="13"/>
  <c r="BE251" i="13"/>
  <c r="BU251" i="13"/>
  <c r="BF252" i="13"/>
  <c r="BR252" i="13"/>
  <c r="AX253" i="13"/>
  <c r="AU254" i="13"/>
  <c r="AK255" i="13"/>
  <c r="AN256" i="13"/>
  <c r="BN256" i="13"/>
  <c r="AN257" i="13"/>
  <c r="BA257" i="13"/>
  <c r="BK259" i="13"/>
  <c r="AA262" i="13"/>
  <c r="AC262" i="13" s="1"/>
  <c r="AB262" i="13"/>
  <c r="AE262" i="13" s="1"/>
  <c r="AY265" i="13"/>
  <c r="AT265" i="13"/>
  <c r="AK265" i="13"/>
  <c r="AX265" i="13"/>
  <c r="AO265" i="13"/>
  <c r="AU265" i="13"/>
  <c r="V266" i="13"/>
  <c r="AE266" i="13" s="1"/>
  <c r="U266" i="13"/>
  <c r="W266" i="13" s="1"/>
  <c r="AM267" i="13"/>
  <c r="BB267" i="13"/>
  <c r="BJ268" i="13"/>
  <c r="BF271" i="13"/>
  <c r="BR271" i="13"/>
  <c r="AL272" i="13"/>
  <c r="BP279" i="13"/>
  <c r="AO280" i="13"/>
  <c r="BV281" i="13"/>
  <c r="BQ281" i="13"/>
  <c r="BG281" i="13"/>
  <c r="BP281" i="13"/>
  <c r="BM281" i="13"/>
  <c r="BW281" i="13"/>
  <c r="BK281" i="13"/>
  <c r="BU281" i="13"/>
  <c r="BF282" i="13"/>
  <c r="AO285" i="13"/>
  <c r="BN286" i="13"/>
  <c r="BL286" i="13"/>
  <c r="BV286" i="13"/>
  <c r="BJ286" i="13"/>
  <c r="BT286" i="13"/>
  <c r="BI286" i="13"/>
  <c r="BG287" i="13"/>
  <c r="BL288" i="13"/>
  <c r="BV289" i="13"/>
  <c r="BM289" i="13"/>
  <c r="BW289" i="13"/>
  <c r="BK289" i="13"/>
  <c r="BU289" i="13"/>
  <c r="BJ289" i="13"/>
  <c r="BS289" i="13"/>
  <c r="BI289" i="13"/>
  <c r="BR289" i="13"/>
  <c r="BH289" i="13"/>
  <c r="AJ294" i="13"/>
  <c r="AY299" i="13"/>
  <c r="AX299" i="13"/>
  <c r="AO299" i="13"/>
  <c r="AW299" i="13"/>
  <c r="AN299" i="13"/>
  <c r="AV299" i="13"/>
  <c r="AM299" i="13"/>
  <c r="AU299" i="13"/>
  <c r="AL299" i="13"/>
  <c r="AT299" i="13"/>
  <c r="AK299" i="13"/>
  <c r="BB299" i="13"/>
  <c r="BA301" i="13"/>
  <c r="AR301" i="13"/>
  <c r="BB301" i="13"/>
  <c r="AP301" i="13"/>
  <c r="AZ301" i="13"/>
  <c r="AO301" i="13"/>
  <c r="AX301" i="13"/>
  <c r="AN301" i="13"/>
  <c r="AW301" i="13"/>
  <c r="AM301" i="13"/>
  <c r="AV301" i="13"/>
  <c r="AL301" i="13"/>
  <c r="AU301" i="13"/>
  <c r="AJ301" i="13"/>
  <c r="AB321" i="13"/>
  <c r="AA321" i="13"/>
  <c r="AC321" i="13" s="1"/>
  <c r="V328" i="13"/>
  <c r="AE328" i="13" s="1"/>
  <c r="U328" i="13"/>
  <c r="W328" i="13" s="1"/>
  <c r="BN335" i="13"/>
  <c r="BW389" i="13"/>
  <c r="BT389" i="13"/>
  <c r="BE389" i="13"/>
  <c r="BP389" i="13"/>
  <c r="BO389" i="13"/>
  <c r="BV389" i="13"/>
  <c r="BR389" i="13"/>
  <c r="BL389" i="13"/>
  <c r="BH389" i="13"/>
  <c r="BG389" i="13"/>
  <c r="BF389" i="13"/>
  <c r="AZ424" i="13"/>
  <c r="AT424" i="13"/>
  <c r="AQ424" i="13"/>
  <c r="AL424" i="13"/>
  <c r="AJ424" i="13"/>
  <c r="BT484" i="13"/>
  <c r="BV484" i="13"/>
  <c r="BJ484" i="13"/>
  <c r="BU484" i="13"/>
  <c r="BI484" i="13"/>
  <c r="BR484" i="13"/>
  <c r="BH484" i="13"/>
  <c r="BQ484" i="13"/>
  <c r="BG484" i="13"/>
  <c r="BP484" i="13"/>
  <c r="BF484" i="13"/>
  <c r="BO484" i="13"/>
  <c r="BE484" i="13"/>
  <c r="BW484" i="13"/>
  <c r="BN484" i="13"/>
  <c r="BM484" i="13"/>
  <c r="BV268" i="13"/>
  <c r="U313" i="13"/>
  <c r="W313" i="13" s="1"/>
  <c r="V313" i="13"/>
  <c r="AE313" i="13" s="1"/>
  <c r="U218" i="13"/>
  <c r="W218" i="13" s="1"/>
  <c r="AA219" i="13"/>
  <c r="AC219" i="13" s="1"/>
  <c r="AF219" i="13" s="1"/>
  <c r="BP231" i="13"/>
  <c r="BF234" i="13"/>
  <c r="BI249" i="13"/>
  <c r="BF250" i="13"/>
  <c r="AB273" i="13"/>
  <c r="AE273" i="13" s="1"/>
  <c r="U288" i="13"/>
  <c r="W288" i="13" s="1"/>
  <c r="V288" i="13"/>
  <c r="AB363" i="13"/>
  <c r="AE363" i="13" s="1"/>
  <c r="AA363" i="13"/>
  <c r="AC363" i="13" s="1"/>
  <c r="BB380" i="13"/>
  <c r="AN380" i="13"/>
  <c r="BA380" i="13"/>
  <c r="AK380" i="13"/>
  <c r="AY380" i="13"/>
  <c r="AJ380" i="13"/>
  <c r="AX380" i="13"/>
  <c r="AV380" i="13"/>
  <c r="AT380" i="13"/>
  <c r="AQ380" i="13"/>
  <c r="AL380" i="13"/>
  <c r="AX223" i="13"/>
  <c r="BJ223" i="13"/>
  <c r="BU223" i="13"/>
  <c r="BN226" i="13"/>
  <c r="BV227" i="13"/>
  <c r="BM229" i="13"/>
  <c r="BV229" i="13"/>
  <c r="AN230" i="13"/>
  <c r="BI231" i="13"/>
  <c r="BS231" i="13"/>
  <c r="AO233" i="13"/>
  <c r="AX233" i="13"/>
  <c r="BS233" i="13"/>
  <c r="BN234" i="13"/>
  <c r="BM237" i="13"/>
  <c r="BV237" i="13"/>
  <c r="AN238" i="13"/>
  <c r="BI239" i="13"/>
  <c r="BS239" i="13"/>
  <c r="AO241" i="13"/>
  <c r="AX241" i="13"/>
  <c r="BS241" i="13"/>
  <c r="BN242" i="13"/>
  <c r="BM245" i="13"/>
  <c r="BV245" i="13"/>
  <c r="AN246" i="13"/>
  <c r="BI247" i="13"/>
  <c r="BS247" i="13"/>
  <c r="AO249" i="13"/>
  <c r="AX249" i="13"/>
  <c r="BS249" i="13"/>
  <c r="BN250" i="13"/>
  <c r="AV254" i="13"/>
  <c r="AP255" i="13"/>
  <c r="AO256" i="13"/>
  <c r="AP257" i="13"/>
  <c r="BB257" i="13"/>
  <c r="BM259" i="13"/>
  <c r="BW260" i="13"/>
  <c r="BN260" i="13"/>
  <c r="BS260" i="13"/>
  <c r="BH260" i="13"/>
  <c r="BV260" i="13"/>
  <c r="AZ262" i="13"/>
  <c r="BA262" i="13"/>
  <c r="AN262" i="13"/>
  <c r="AN267" i="13"/>
  <c r="BR267" i="13"/>
  <c r="BN267" i="13"/>
  <c r="BV267" i="13"/>
  <c r="BF267" i="13"/>
  <c r="BK268" i="13"/>
  <c r="BS270" i="13"/>
  <c r="BJ270" i="13"/>
  <c r="BH271" i="13"/>
  <c r="BS271" i="13"/>
  <c r="AQ272" i="13"/>
  <c r="BT274" i="13"/>
  <c r="BL274" i="13"/>
  <c r="BJ282" i="13"/>
  <c r="AT285" i="13"/>
  <c r="BB286" i="13"/>
  <c r="AQ286" i="13"/>
  <c r="BA286" i="13"/>
  <c r="AO286" i="13"/>
  <c r="AY286" i="13"/>
  <c r="AL286" i="13"/>
  <c r="AW286" i="13"/>
  <c r="AK286" i="13"/>
  <c r="BV288" i="13"/>
  <c r="BA293" i="13"/>
  <c r="BB293" i="13"/>
  <c r="AP293" i="13"/>
  <c r="AZ293" i="13"/>
  <c r="AO293" i="13"/>
  <c r="AX293" i="13"/>
  <c r="AN293" i="13"/>
  <c r="AW293" i="13"/>
  <c r="AM293" i="13"/>
  <c r="AV293" i="13"/>
  <c r="AL293" i="13"/>
  <c r="BT295" i="13"/>
  <c r="BR295" i="13"/>
  <c r="BI295" i="13"/>
  <c r="BQ295" i="13"/>
  <c r="BH295" i="13"/>
  <c r="BP295" i="13"/>
  <c r="BG295" i="13"/>
  <c r="BO295" i="13"/>
  <c r="BF295" i="13"/>
  <c r="BW295" i="13"/>
  <c r="BN295" i="13"/>
  <c r="BE295" i="13"/>
  <c r="BM296" i="13"/>
  <c r="BL296" i="13"/>
  <c r="BV296" i="13"/>
  <c r="BK296" i="13"/>
  <c r="BU296" i="13"/>
  <c r="BJ296" i="13"/>
  <c r="BT296" i="13"/>
  <c r="BH296" i="13"/>
  <c r="AY307" i="13"/>
  <c r="AZ307" i="13"/>
  <c r="AP307" i="13"/>
  <c r="AX307" i="13"/>
  <c r="AO307" i="13"/>
  <c r="AW307" i="13"/>
  <c r="AN307" i="13"/>
  <c r="AV307" i="13"/>
  <c r="AM307" i="13"/>
  <c r="AU307" i="13"/>
  <c r="AL307" i="13"/>
  <c r="AT307" i="13"/>
  <c r="AK307" i="13"/>
  <c r="BB307" i="13"/>
  <c r="AS307" i="13"/>
  <c r="AJ307" i="13"/>
  <c r="BW381" i="13"/>
  <c r="BT381" i="13"/>
  <c r="BJ381" i="13"/>
  <c r="BH381" i="13"/>
  <c r="BV381" i="13"/>
  <c r="BU381" i="13"/>
  <c r="BL381" i="13"/>
  <c r="BV502" i="13"/>
  <c r="BP502" i="13"/>
  <c r="BO502" i="13"/>
  <c r="BW502" i="13"/>
  <c r="BR502" i="13"/>
  <c r="BQ502" i="13"/>
  <c r="BJ502" i="13"/>
  <c r="BI502" i="13"/>
  <c r="BH502" i="13"/>
  <c r="BG502" i="13"/>
  <c r="BF220" i="13"/>
  <c r="BE231" i="13"/>
  <c r="BP239" i="13"/>
  <c r="BE247" i="13"/>
  <c r="AN280" i="13"/>
  <c r="AY280" i="13"/>
  <c r="AV280" i="13"/>
  <c r="AM285" i="13"/>
  <c r="BJ220" i="13"/>
  <c r="AS222" i="13"/>
  <c r="BQ218" i="13"/>
  <c r="AK220" i="13"/>
  <c r="BK220" i="13"/>
  <c r="AT222" i="13"/>
  <c r="AZ223" i="13"/>
  <c r="BK223" i="13"/>
  <c r="BW223" i="13"/>
  <c r="AR225" i="13"/>
  <c r="BA225" i="13"/>
  <c r="BO226" i="13"/>
  <c r="AT227" i="13"/>
  <c r="BE227" i="13"/>
  <c r="AB228" i="13"/>
  <c r="AE228" i="13" s="1"/>
  <c r="V229" i="13"/>
  <c r="AE229" i="13" s="1"/>
  <c r="BE229" i="13"/>
  <c r="BN229" i="13"/>
  <c r="BW229" i="13"/>
  <c r="AS230" i="13"/>
  <c r="AX231" i="13"/>
  <c r="BJ231" i="13"/>
  <c r="BU231" i="13"/>
  <c r="AP233" i="13"/>
  <c r="AZ233" i="13"/>
  <c r="BP234" i="13"/>
  <c r="AB236" i="13"/>
  <c r="AE236" i="13" s="1"/>
  <c r="V237" i="13"/>
  <c r="AE237" i="13" s="1"/>
  <c r="BE237" i="13"/>
  <c r="BN237" i="13"/>
  <c r="BW237" i="13"/>
  <c r="AS238" i="13"/>
  <c r="AX239" i="13"/>
  <c r="BJ239" i="13"/>
  <c r="BU239" i="13"/>
  <c r="AP241" i="13"/>
  <c r="AZ241" i="13"/>
  <c r="BP242" i="13"/>
  <c r="AB244" i="13"/>
  <c r="AE244" i="13" s="1"/>
  <c r="V245" i="13"/>
  <c r="AE245" i="13" s="1"/>
  <c r="BE245" i="13"/>
  <c r="BN245" i="13"/>
  <c r="BW245" i="13"/>
  <c r="AS246" i="13"/>
  <c r="AX247" i="13"/>
  <c r="BJ247" i="13"/>
  <c r="BU247" i="13"/>
  <c r="AP249" i="13"/>
  <c r="AZ249" i="13"/>
  <c r="BP250" i="13"/>
  <c r="AB252" i="13"/>
  <c r="AE252" i="13" s="1"/>
  <c r="V253" i="13"/>
  <c r="AE253" i="13" s="1"/>
  <c r="AS256" i="13"/>
  <c r="AA257" i="13"/>
  <c r="AC257" i="13" s="1"/>
  <c r="AR257" i="13"/>
  <c r="BA259" i="13"/>
  <c r="AZ259" i="13"/>
  <c r="AO259" i="13"/>
  <c r="AU259" i="13"/>
  <c r="AJ259" i="13"/>
  <c r="AW259" i="13"/>
  <c r="BQ259" i="13"/>
  <c r="BF260" i="13"/>
  <c r="AK262" i="13"/>
  <c r="AW263" i="13"/>
  <c r="AN263" i="13"/>
  <c r="AV263" i="13"/>
  <c r="BA263" i="13"/>
  <c r="BB264" i="13"/>
  <c r="AP264" i="13"/>
  <c r="AW264" i="13"/>
  <c r="AK264" i="13"/>
  <c r="BA264" i="13"/>
  <c r="V267" i="13"/>
  <c r="AE267" i="13" s="1"/>
  <c r="AP267" i="13"/>
  <c r="BE267" i="13"/>
  <c r="AX268" i="13"/>
  <c r="AS268" i="13"/>
  <c r="BP268" i="13"/>
  <c r="AA270" i="13"/>
  <c r="AC270" i="13" s="1"/>
  <c r="AB270" i="13"/>
  <c r="AE270" i="13" s="1"/>
  <c r="BE270" i="13"/>
  <c r="BI271" i="13"/>
  <c r="BV271" i="13"/>
  <c r="AT272" i="13"/>
  <c r="BQ273" i="13"/>
  <c r="BG273" i="13"/>
  <c r="BU273" i="13"/>
  <c r="BK273" i="13"/>
  <c r="BR273" i="13"/>
  <c r="BI274" i="13"/>
  <c r="BT279" i="13"/>
  <c r="BR279" i="13"/>
  <c r="BI279" i="13"/>
  <c r="BO279" i="13"/>
  <c r="BF279" i="13"/>
  <c r="BW279" i="13"/>
  <c r="BN279" i="13"/>
  <c r="BE279" i="13"/>
  <c r="BS279" i="13"/>
  <c r="AS280" i="13"/>
  <c r="BA282" i="13"/>
  <c r="AW282" i="13"/>
  <c r="AS282" i="13"/>
  <c r="AP282" i="13"/>
  <c r="BO282" i="13"/>
  <c r="AW285" i="13"/>
  <c r="AJ286" i="13"/>
  <c r="AA289" i="13"/>
  <c r="AC289" i="13" s="1"/>
  <c r="AF289" i="13" s="1"/>
  <c r="AJ293" i="13"/>
  <c r="BJ295" i="13"/>
  <c r="BE296" i="13"/>
  <c r="AQ297" i="13"/>
  <c r="BB297" i="13"/>
  <c r="AP297" i="13"/>
  <c r="BA297" i="13"/>
  <c r="AN297" i="13"/>
  <c r="AZ297" i="13"/>
  <c r="AL297" i="13"/>
  <c r="AY297" i="13"/>
  <c r="AJ297" i="13"/>
  <c r="AZ340" i="13"/>
  <c r="AR340" i="13"/>
  <c r="AK340" i="13"/>
  <c r="BQ220" i="13"/>
  <c r="BO239" i="13"/>
  <c r="U304" i="13"/>
  <c r="W304" i="13" s="1"/>
  <c r="V304" i="13"/>
  <c r="V318" i="13"/>
  <c r="AE318" i="13" s="1"/>
  <c r="U318" i="13"/>
  <c r="W318" i="13" s="1"/>
  <c r="AB477" i="13"/>
  <c r="AA477" i="13"/>
  <c r="AC477" i="13" s="1"/>
  <c r="AA243" i="13"/>
  <c r="AC243" i="13" s="1"/>
  <c r="AF243" i="13" s="1"/>
  <c r="V247" i="13"/>
  <c r="AA251" i="13"/>
  <c r="AC251" i="13" s="1"/>
  <c r="AF251" i="13" s="1"/>
  <c r="AW255" i="13"/>
  <c r="AN255" i="13"/>
  <c r="AV255" i="13"/>
  <c r="BN220" i="13"/>
  <c r="AU222" i="13"/>
  <c r="BA223" i="13"/>
  <c r="BM223" i="13"/>
  <c r="BP226" i="13"/>
  <c r="AU230" i="13"/>
  <c r="BK231" i="13"/>
  <c r="BW231" i="13"/>
  <c r="AR233" i="13"/>
  <c r="BA233" i="13"/>
  <c r="BQ234" i="13"/>
  <c r="AU238" i="13"/>
  <c r="BK239" i="13"/>
  <c r="BW239" i="13"/>
  <c r="AR241" i="13"/>
  <c r="BA241" i="13"/>
  <c r="BQ242" i="13"/>
  <c r="AU246" i="13"/>
  <c r="BK247" i="13"/>
  <c r="BW247" i="13"/>
  <c r="AR249" i="13"/>
  <c r="BA249" i="13"/>
  <c r="BQ250" i="13"/>
  <c r="AS255" i="13"/>
  <c r="AU256" i="13"/>
  <c r="BS259" i="13"/>
  <c r="AU261" i="13"/>
  <c r="AN261" i="13"/>
  <c r="BS264" i="13"/>
  <c r="BF264" i="13"/>
  <c r="AR267" i="13"/>
  <c r="AX270" i="13"/>
  <c r="BB270" i="13"/>
  <c r="AN270" i="13"/>
  <c r="BJ271" i="13"/>
  <c r="BW271" i="13"/>
  <c r="BA280" i="13"/>
  <c r="AX285" i="13"/>
  <c r="BR291" i="13"/>
  <c r="BM291" i="13"/>
  <c r="BL291" i="13"/>
  <c r="BK291" i="13"/>
  <c r="BJ291" i="13"/>
  <c r="BQ294" i="13"/>
  <c r="BN294" i="13"/>
  <c r="BK294" i="13"/>
  <c r="BH294" i="13"/>
  <c r="BF294" i="13"/>
  <c r="AZ303" i="13"/>
  <c r="AW303" i="13"/>
  <c r="AV303" i="13"/>
  <c r="AR303" i="13"/>
  <c r="AP303" i="13"/>
  <c r="AL303" i="13"/>
  <c r="AJ303" i="13"/>
  <c r="BA307" i="13"/>
  <c r="BT319" i="13"/>
  <c r="BW319" i="13"/>
  <c r="BM319" i="13"/>
  <c r="BV319" i="13"/>
  <c r="BK319" i="13"/>
  <c r="BU319" i="13"/>
  <c r="BI319" i="13"/>
  <c r="BS319" i="13"/>
  <c r="BH319" i="13"/>
  <c r="BQ319" i="13"/>
  <c r="BG319" i="13"/>
  <c r="BP319" i="13"/>
  <c r="BF319" i="13"/>
  <c r="BO319" i="13"/>
  <c r="BE319" i="13"/>
  <c r="AB334" i="13"/>
  <c r="AE334" i="13" s="1"/>
  <c r="AA334" i="13"/>
  <c r="AC334" i="13" s="1"/>
  <c r="BV361" i="13"/>
  <c r="BM361" i="13"/>
  <c r="BO361" i="13"/>
  <c r="BK361" i="13"/>
  <c r="BW361" i="13"/>
  <c r="BJ361" i="13"/>
  <c r="BU361" i="13"/>
  <c r="BI361" i="13"/>
  <c r="BS361" i="13"/>
  <c r="BH361" i="13"/>
  <c r="BR361" i="13"/>
  <c r="BG361" i="13"/>
  <c r="BQ361" i="13"/>
  <c r="BE361" i="13"/>
  <c r="AW404" i="13"/>
  <c r="AS404" i="13"/>
  <c r="AP404" i="13"/>
  <c r="AN404" i="13"/>
  <c r="BB404" i="13"/>
  <c r="AL404" i="13"/>
  <c r="BA404" i="13"/>
  <c r="AX404" i="13"/>
  <c r="AV404" i="13"/>
  <c r="AT404" i="13"/>
  <c r="AK404" i="13"/>
  <c r="AA458" i="13"/>
  <c r="AC458" i="13" s="1"/>
  <c r="AB458" i="13"/>
  <c r="AE458" i="13" s="1"/>
  <c r="U461" i="13"/>
  <c r="W461" i="13" s="1"/>
  <c r="V461" i="13"/>
  <c r="AE461" i="13" s="1"/>
  <c r="BB467" i="13"/>
  <c r="AZ467" i="13"/>
  <c r="AN467" i="13"/>
  <c r="BW268" i="13"/>
  <c r="BN268" i="13"/>
  <c r="BS268" i="13"/>
  <c r="BH268" i="13"/>
  <c r="U1009" i="13"/>
  <c r="W1009" i="13" s="1"/>
  <c r="V1009" i="13"/>
  <c r="AB224" i="13"/>
  <c r="V227" i="13"/>
  <c r="AE227" i="13" s="1"/>
  <c r="V239" i="13"/>
  <c r="BI241" i="13"/>
  <c r="BP247" i="13"/>
  <c r="BA256" i="13"/>
  <c r="V259" i="13"/>
  <c r="AE259" i="13" s="1"/>
  <c r="AX260" i="13"/>
  <c r="AS260" i="13"/>
  <c r="AW267" i="13"/>
  <c r="BO271" i="13"/>
  <c r="AO272" i="13"/>
  <c r="AX272" i="13"/>
  <c r="BM282" i="13"/>
  <c r="BW282" i="13"/>
  <c r="BL282" i="13"/>
  <c r="BU282" i="13"/>
  <c r="BH282" i="13"/>
  <c r="BT282" i="13"/>
  <c r="BG282" i="13"/>
  <c r="U293" i="13"/>
  <c r="W293" i="13" s="1"/>
  <c r="AB295" i="13"/>
  <c r="AA295" i="13"/>
  <c r="AC295" i="13" s="1"/>
  <c r="U296" i="13"/>
  <c r="W296" i="13" s="1"/>
  <c r="V296" i="13"/>
  <c r="BP220" i="13"/>
  <c r="AV222" i="13"/>
  <c r="BO223" i="13"/>
  <c r="BQ226" i="13"/>
  <c r="AV230" i="13"/>
  <c r="BM231" i="13"/>
  <c r="BV234" i="13"/>
  <c r="AV238" i="13"/>
  <c r="BM239" i="13"/>
  <c r="BV242" i="13"/>
  <c r="AV246" i="13"/>
  <c r="BM247" i="13"/>
  <c r="BV250" i="13"/>
  <c r="AZ254" i="13"/>
  <c r="AN254" i="13"/>
  <c r="AX255" i="13"/>
  <c r="AV256" i="13"/>
  <c r="AY257" i="13"/>
  <c r="AT257" i="13"/>
  <c r="AK257" i="13"/>
  <c r="AX257" i="13"/>
  <c r="AO257" i="13"/>
  <c r="AU257" i="13"/>
  <c r="V258" i="13"/>
  <c r="AE258" i="13" s="1"/>
  <c r="U258" i="13"/>
  <c r="W258" i="13" s="1"/>
  <c r="BU259" i="13"/>
  <c r="AT267" i="13"/>
  <c r="BR268" i="13"/>
  <c r="BM271" i="13"/>
  <c r="BA272" i="13"/>
  <c r="BB280" i="13"/>
  <c r="BR282" i="13"/>
  <c r="V283" i="13"/>
  <c r="U283" i="13"/>
  <c r="W283" i="13" s="1"/>
  <c r="AZ285" i="13"/>
  <c r="AB291" i="13"/>
  <c r="AA291" i="13"/>
  <c r="AC291" i="13" s="1"/>
  <c r="AF291" i="13" s="1"/>
  <c r="BT303" i="13"/>
  <c r="BU303" i="13"/>
  <c r="BK303" i="13"/>
  <c r="BS303" i="13"/>
  <c r="BJ303" i="13"/>
  <c r="BR303" i="13"/>
  <c r="BI303" i="13"/>
  <c r="BQ303" i="13"/>
  <c r="BH303" i="13"/>
  <c r="BP303" i="13"/>
  <c r="BG303" i="13"/>
  <c r="BO303" i="13"/>
  <c r="BF303" i="13"/>
  <c r="BW303" i="13"/>
  <c r="BN303" i="13"/>
  <c r="BE303" i="13"/>
  <c r="U323" i="13"/>
  <c r="W323" i="13" s="1"/>
  <c r="V323" i="13"/>
  <c r="AE323" i="13" s="1"/>
  <c r="BU497" i="13"/>
  <c r="BN497" i="13"/>
  <c r="BW497" i="13"/>
  <c r="BK497" i="13"/>
  <c r="BO497" i="13"/>
  <c r="BJ497" i="13"/>
  <c r="BI497" i="13"/>
  <c r="BV497" i="13"/>
  <c r="BH497" i="13"/>
  <c r="BS497" i="13"/>
  <c r="BG497" i="13"/>
  <c r="BR497" i="13"/>
  <c r="BF497" i="13"/>
  <c r="BQ497" i="13"/>
  <c r="BP497" i="13"/>
  <c r="AU535" i="13"/>
  <c r="BB535" i="13"/>
  <c r="AT535" i="13"/>
  <c r="AQ535" i="13"/>
  <c r="AO535" i="13"/>
  <c r="AN535" i="13"/>
  <c r="V549" i="13"/>
  <c r="U549" i="13"/>
  <c r="W549" i="13" s="1"/>
  <c r="BV300" i="13"/>
  <c r="BI301" i="13"/>
  <c r="BW301" i="13"/>
  <c r="AE302" i="13"/>
  <c r="BO305" i="13"/>
  <c r="AP306" i="13"/>
  <c r="BU309" i="13"/>
  <c r="BO314" i="13"/>
  <c r="BO329" i="13"/>
  <c r="AE335" i="13"/>
  <c r="AV337" i="13"/>
  <c r="AR339" i="13"/>
  <c r="BA339" i="13"/>
  <c r="BO353" i="13"/>
  <c r="AZ369" i="13"/>
  <c r="AY369" i="13"/>
  <c r="AV369" i="13"/>
  <c r="AO369" i="13"/>
  <c r="AA371" i="13"/>
  <c r="AC371" i="13" s="1"/>
  <c r="AB371" i="13"/>
  <c r="AY374" i="13"/>
  <c r="AZ374" i="13"/>
  <c r="AP374" i="13"/>
  <c r="AW374" i="13"/>
  <c r="AN374" i="13"/>
  <c r="AV374" i="13"/>
  <c r="AM374" i="13"/>
  <c r="AU374" i="13"/>
  <c r="BA376" i="13"/>
  <c r="AR376" i="13"/>
  <c r="AZ376" i="13"/>
  <c r="AO376" i="13"/>
  <c r="AX376" i="13"/>
  <c r="AN376" i="13"/>
  <c r="AW376" i="13"/>
  <c r="AS381" i="13"/>
  <c r="AV381" i="13"/>
  <c r="AO381" i="13"/>
  <c r="AN381" i="13"/>
  <c r="BS382" i="13"/>
  <c r="BQ382" i="13"/>
  <c r="BK382" i="13"/>
  <c r="AB383" i="13"/>
  <c r="AE383" i="13" s="1"/>
  <c r="AA383" i="13"/>
  <c r="AC383" i="13" s="1"/>
  <c r="BL383" i="13"/>
  <c r="BV383" i="13"/>
  <c r="BI383" i="13"/>
  <c r="BT383" i="13"/>
  <c r="BH383" i="13"/>
  <c r="BW383" i="13"/>
  <c r="AB384" i="13"/>
  <c r="AA384" i="13"/>
  <c r="AC384" i="13" s="1"/>
  <c r="AY390" i="13"/>
  <c r="AV390" i="13"/>
  <c r="AM390" i="13"/>
  <c r="AT390" i="13"/>
  <c r="AK390" i="13"/>
  <c r="BB390" i="13"/>
  <c r="AS390" i="13"/>
  <c r="AJ390" i="13"/>
  <c r="AX390" i="13"/>
  <c r="BF391" i="13"/>
  <c r="BR391" i="13"/>
  <c r="BQ391" i="13"/>
  <c r="V414" i="13"/>
  <c r="U414" i="13"/>
  <c r="W414" i="13" s="1"/>
  <c r="AB416" i="13"/>
  <c r="AE416" i="13" s="1"/>
  <c r="AA416" i="13"/>
  <c r="AC416" i="13" s="1"/>
  <c r="BT418" i="13"/>
  <c r="BU418" i="13"/>
  <c r="BK418" i="13"/>
  <c r="BS418" i="13"/>
  <c r="BJ418" i="13"/>
  <c r="BR418" i="13"/>
  <c r="BI418" i="13"/>
  <c r="BQ418" i="13"/>
  <c r="BH418" i="13"/>
  <c r="BP418" i="13"/>
  <c r="BG418" i="13"/>
  <c r="BO418" i="13"/>
  <c r="BF418" i="13"/>
  <c r="BP425" i="13"/>
  <c r="AR428" i="13"/>
  <c r="BS430" i="13"/>
  <c r="AW450" i="13"/>
  <c r="AV450" i="13"/>
  <c r="AT450" i="13"/>
  <c r="AS450" i="13"/>
  <c r="AP450" i="13"/>
  <c r="AN450" i="13"/>
  <c r="BB450" i="13"/>
  <c r="AL450" i="13"/>
  <c r="BT452" i="13"/>
  <c r="BL452" i="13"/>
  <c r="AV492" i="13"/>
  <c r="AQ492" i="13"/>
  <c r="AX492" i="13"/>
  <c r="AW492" i="13"/>
  <c r="AP492" i="13"/>
  <c r="AN492" i="13"/>
  <c r="AB663" i="13"/>
  <c r="AA663" i="13"/>
  <c r="AC663" i="13" s="1"/>
  <c r="AU664" i="13"/>
  <c r="BB664" i="13"/>
  <c r="AW664" i="13"/>
  <c r="AT664" i="13"/>
  <c r="AO664" i="13"/>
  <c r="AN664" i="13"/>
  <c r="AL664" i="13"/>
  <c r="AB688" i="13"/>
  <c r="AA688" i="13"/>
  <c r="AC688" i="13" s="1"/>
  <c r="AA874" i="13"/>
  <c r="AC874" i="13" s="1"/>
  <c r="AB874" i="13"/>
  <c r="BM253" i="13"/>
  <c r="BV253" i="13"/>
  <c r="BI255" i="13"/>
  <c r="BS255" i="13"/>
  <c r="BS257" i="13"/>
  <c r="BN258" i="13"/>
  <c r="BM261" i="13"/>
  <c r="BV261" i="13"/>
  <c r="BI263" i="13"/>
  <c r="BS263" i="13"/>
  <c r="BS265" i="13"/>
  <c r="BN266" i="13"/>
  <c r="BM269" i="13"/>
  <c r="BV269" i="13"/>
  <c r="AN273" i="13"/>
  <c r="AZ273" i="13"/>
  <c r="BO276" i="13"/>
  <c r="AZ281" i="13"/>
  <c r="AR283" i="13"/>
  <c r="BA283" i="13"/>
  <c r="AE285" i="13"/>
  <c r="AQ287" i="13"/>
  <c r="AY288" i="13"/>
  <c r="BM290" i="13"/>
  <c r="AM291" i="13"/>
  <c r="AV291" i="13"/>
  <c r="AE292" i="13"/>
  <c r="AR295" i="13"/>
  <c r="BI297" i="13"/>
  <c r="BS297" i="13"/>
  <c r="AX298" i="13"/>
  <c r="AA300" i="13"/>
  <c r="AC300" i="13" s="1"/>
  <c r="AQ300" i="13"/>
  <c r="BG300" i="13"/>
  <c r="BW300" i="13"/>
  <c r="U301" i="13"/>
  <c r="W301" i="13" s="1"/>
  <c r="BK301" i="13"/>
  <c r="AA302" i="13"/>
  <c r="AC302" i="13" s="1"/>
  <c r="BK302" i="13"/>
  <c r="AR305" i="13"/>
  <c r="BE305" i="13"/>
  <c r="BP305" i="13"/>
  <c r="AQ306" i="13"/>
  <c r="BH306" i="13"/>
  <c r="BV306" i="13"/>
  <c r="AT309" i="13"/>
  <c r="BE309" i="13"/>
  <c r="BV309" i="13"/>
  <c r="AL310" i="13"/>
  <c r="AZ310" i="13"/>
  <c r="BM311" i="13"/>
  <c r="BV311" i="13"/>
  <c r="BA313" i="13"/>
  <c r="BK313" i="13"/>
  <c r="BW313" i="13"/>
  <c r="U314" i="13"/>
  <c r="W314" i="13" s="1"/>
  <c r="BE314" i="13"/>
  <c r="BP314" i="13"/>
  <c r="AR315" i="13"/>
  <c r="BA315" i="13"/>
  <c r="AM317" i="13"/>
  <c r="AW317" i="13"/>
  <c r="BI317" i="13"/>
  <c r="AL318" i="13"/>
  <c r="AZ318" i="13"/>
  <c r="AL319" i="13"/>
  <c r="AW320" i="13"/>
  <c r="AT321" i="13"/>
  <c r="BH321" i="13"/>
  <c r="BR321" i="13"/>
  <c r="AO322" i="13"/>
  <c r="BM322" i="13"/>
  <c r="AM323" i="13"/>
  <c r="AX323" i="13"/>
  <c r="BH324" i="13"/>
  <c r="AN325" i="13"/>
  <c r="AX325" i="13"/>
  <c r="BM325" i="13"/>
  <c r="AA326" i="13"/>
  <c r="AC326" i="13" s="1"/>
  <c r="AO326" i="13"/>
  <c r="BB326" i="13"/>
  <c r="BN327" i="13"/>
  <c r="AV328" i="13"/>
  <c r="AA329" i="13"/>
  <c r="AC329" i="13" s="1"/>
  <c r="AR329" i="13"/>
  <c r="BE329" i="13"/>
  <c r="BP329" i="13"/>
  <c r="BJ330" i="13"/>
  <c r="BW330" i="13"/>
  <c r="U331" i="13"/>
  <c r="W331" i="13" s="1"/>
  <c r="AL331" i="13"/>
  <c r="AV331" i="13"/>
  <c r="BS331" i="13"/>
  <c r="U332" i="13"/>
  <c r="W332" i="13" s="1"/>
  <c r="BM333" i="13"/>
  <c r="AO334" i="13"/>
  <c r="BB334" i="13"/>
  <c r="AE336" i="13"/>
  <c r="AJ337" i="13"/>
  <c r="AZ337" i="13"/>
  <c r="BI337" i="13"/>
  <c r="BR337" i="13"/>
  <c r="AO338" i="13"/>
  <c r="BG338" i="13"/>
  <c r="BU338" i="13"/>
  <c r="AJ339" i="13"/>
  <c r="AS339" i="13"/>
  <c r="BB339" i="13"/>
  <c r="AM341" i="13"/>
  <c r="AW341" i="13"/>
  <c r="AP343" i="13"/>
  <c r="BI343" i="13"/>
  <c r="BR343" i="13"/>
  <c r="BE344" i="13"/>
  <c r="AT345" i="13"/>
  <c r="BH345" i="13"/>
  <c r="BR345" i="13"/>
  <c r="BN346" i="13"/>
  <c r="AA347" i="13"/>
  <c r="AC347" i="13" s="1"/>
  <c r="AN347" i="13"/>
  <c r="AW347" i="13"/>
  <c r="AA348" i="13"/>
  <c r="AC348" i="13" s="1"/>
  <c r="BA348" i="13"/>
  <c r="AN349" i="13"/>
  <c r="AX349" i="13"/>
  <c r="BM349" i="13"/>
  <c r="AA350" i="13"/>
  <c r="AC350" i="13" s="1"/>
  <c r="AO350" i="13"/>
  <c r="BB350" i="13"/>
  <c r="BG351" i="13"/>
  <c r="BP351" i="13"/>
  <c r="AW352" i="13"/>
  <c r="AA353" i="13"/>
  <c r="AC353" i="13" s="1"/>
  <c r="AR353" i="13"/>
  <c r="BE353" i="13"/>
  <c r="BP353" i="13"/>
  <c r="AR355" i="13"/>
  <c r="BA355" i="13"/>
  <c r="BH356" i="13"/>
  <c r="AE357" i="13"/>
  <c r="AO357" i="13"/>
  <c r="AZ357" i="13"/>
  <c r="BN357" i="13"/>
  <c r="AS358" i="13"/>
  <c r="AE359" i="13"/>
  <c r="BI359" i="13"/>
  <c r="AO360" i="13"/>
  <c r="AO363" i="13"/>
  <c r="AZ363" i="13"/>
  <c r="AY367" i="13"/>
  <c r="BP367" i="13"/>
  <c r="AM369" i="13"/>
  <c r="BQ369" i="13"/>
  <c r="BU373" i="13"/>
  <c r="BO373" i="13"/>
  <c r="BF373" i="13"/>
  <c r="BE373" i="13"/>
  <c r="AJ374" i="13"/>
  <c r="AX374" i="13"/>
  <c r="BQ374" i="13"/>
  <c r="AJ376" i="13"/>
  <c r="BB376" i="13"/>
  <c r="BM379" i="13"/>
  <c r="BP379" i="13"/>
  <c r="BF379" i="13"/>
  <c r="AK381" i="13"/>
  <c r="BE382" i="13"/>
  <c r="AR383" i="13"/>
  <c r="AY383" i="13"/>
  <c r="AJ383" i="13"/>
  <c r="AW383" i="13"/>
  <c r="AU383" i="13"/>
  <c r="BF383" i="13"/>
  <c r="BB385" i="13"/>
  <c r="AY385" i="13"/>
  <c r="AO385" i="13"/>
  <c r="AM385" i="13"/>
  <c r="BV388" i="13"/>
  <c r="BP388" i="13"/>
  <c r="BE388" i="13"/>
  <c r="BM388" i="13"/>
  <c r="BW388" i="13"/>
  <c r="BK388" i="13"/>
  <c r="BS388" i="13"/>
  <c r="V389" i="13"/>
  <c r="U389" i="13"/>
  <c r="W389" i="13" s="1"/>
  <c r="AL390" i="13"/>
  <c r="AZ390" i="13"/>
  <c r="BG391" i="13"/>
  <c r="AM392" i="13"/>
  <c r="AA393" i="13"/>
  <c r="AC393" i="13" s="1"/>
  <c r="BT394" i="13"/>
  <c r="BR394" i="13"/>
  <c r="BI394" i="13"/>
  <c r="BP394" i="13"/>
  <c r="BG394" i="13"/>
  <c r="BO394" i="13"/>
  <c r="BF394" i="13"/>
  <c r="BS394" i="13"/>
  <c r="BK402" i="13"/>
  <c r="BG405" i="13"/>
  <c r="BW405" i="13"/>
  <c r="BO405" i="13"/>
  <c r="AR406" i="13"/>
  <c r="AT408" i="13"/>
  <c r="AZ428" i="13"/>
  <c r="AV437" i="13"/>
  <c r="AS437" i="13"/>
  <c r="AR437" i="13"/>
  <c r="AP437" i="13"/>
  <c r="BA437" i="13"/>
  <c r="AO437" i="13"/>
  <c r="AZ437" i="13"/>
  <c r="AM437" i="13"/>
  <c r="AX437" i="13"/>
  <c r="AK437" i="13"/>
  <c r="BA438" i="13"/>
  <c r="BB438" i="13"/>
  <c r="AP438" i="13"/>
  <c r="AZ438" i="13"/>
  <c r="AO438" i="13"/>
  <c r="AX438" i="13"/>
  <c r="AN438" i="13"/>
  <c r="AW438" i="13"/>
  <c r="AM438" i="13"/>
  <c r="AV438" i="13"/>
  <c r="AL438" i="13"/>
  <c r="AU438" i="13"/>
  <c r="AJ438" i="13"/>
  <c r="AY444" i="13"/>
  <c r="AZ444" i="13"/>
  <c r="AP444" i="13"/>
  <c r="AX444" i="13"/>
  <c r="AO444" i="13"/>
  <c r="AW444" i="13"/>
  <c r="AN444" i="13"/>
  <c r="AV444" i="13"/>
  <c r="AM444" i="13"/>
  <c r="AU444" i="13"/>
  <c r="AL444" i="13"/>
  <c r="AT444" i="13"/>
  <c r="AK444" i="13"/>
  <c r="AK450" i="13"/>
  <c r="AB481" i="13"/>
  <c r="AE481" i="13" s="1"/>
  <c r="AA481" i="13"/>
  <c r="AC481" i="13" s="1"/>
  <c r="BS485" i="13"/>
  <c r="BR485" i="13"/>
  <c r="BM485" i="13"/>
  <c r="BL485" i="13"/>
  <c r="BK485" i="13"/>
  <c r="BJ485" i="13"/>
  <c r="AB488" i="13"/>
  <c r="AE488" i="13" s="1"/>
  <c r="AA488" i="13"/>
  <c r="AC488" i="13" s="1"/>
  <c r="AB496" i="13"/>
  <c r="AE496" i="13" s="1"/>
  <c r="AA496" i="13"/>
  <c r="AC496" i="13" s="1"/>
  <c r="AB503" i="13"/>
  <c r="AA503" i="13"/>
  <c r="AC503" i="13" s="1"/>
  <c r="AU508" i="13"/>
  <c r="AM508" i="13"/>
  <c r="AK508" i="13"/>
  <c r="AA524" i="13"/>
  <c r="AC524" i="13" s="1"/>
  <c r="V578" i="13"/>
  <c r="U578" i="13"/>
  <c r="W578" i="13" s="1"/>
  <c r="AZ582" i="13"/>
  <c r="AY582" i="13"/>
  <c r="AX582" i="13"/>
  <c r="AR582" i="13"/>
  <c r="AQ582" i="13"/>
  <c r="BB281" i="13"/>
  <c r="AR287" i="13"/>
  <c r="BA288" i="13"/>
  <c r="AV295" i="13"/>
  <c r="AR300" i="13"/>
  <c r="BI300" i="13"/>
  <c r="BL301" i="13"/>
  <c r="BN302" i="13"/>
  <c r="AS305" i="13"/>
  <c r="BG305" i="13"/>
  <c r="BQ305" i="13"/>
  <c r="AS306" i="13"/>
  <c r="BG309" i="13"/>
  <c r="BW309" i="13"/>
  <c r="AM310" i="13"/>
  <c r="BA310" i="13"/>
  <c r="BB313" i="13"/>
  <c r="BM313" i="13"/>
  <c r="BF314" i="13"/>
  <c r="BR314" i="13"/>
  <c r="AN317" i="13"/>
  <c r="AX317" i="13"/>
  <c r="AM318" i="13"/>
  <c r="BA318" i="13"/>
  <c r="AQ319" i="13"/>
  <c r="AV321" i="13"/>
  <c r="BI321" i="13"/>
  <c r="BS321" i="13"/>
  <c r="BN322" i="13"/>
  <c r="BI324" i="13"/>
  <c r="BN325" i="13"/>
  <c r="AR326" i="13"/>
  <c r="AW328" i="13"/>
  <c r="AS329" i="13"/>
  <c r="BG329" i="13"/>
  <c r="BQ329" i="13"/>
  <c r="BM330" i="13"/>
  <c r="AM331" i="13"/>
  <c r="AX331" i="13"/>
  <c r="BN333" i="13"/>
  <c r="AR334" i="13"/>
  <c r="AK337" i="13"/>
  <c r="BA337" i="13"/>
  <c r="BJ337" i="13"/>
  <c r="BS337" i="13"/>
  <c r="AQ338" i="13"/>
  <c r="BH338" i="13"/>
  <c r="BV338" i="13"/>
  <c r="AK339" i="13"/>
  <c r="AT339" i="13"/>
  <c r="AN341" i="13"/>
  <c r="AX341" i="13"/>
  <c r="AR343" i="13"/>
  <c r="BJ343" i="13"/>
  <c r="BS343" i="13"/>
  <c r="BL344" i="13"/>
  <c r="AV345" i="13"/>
  <c r="BI345" i="13"/>
  <c r="BS345" i="13"/>
  <c r="BO346" i="13"/>
  <c r="AO347" i="13"/>
  <c r="AX347" i="13"/>
  <c r="BN349" i="13"/>
  <c r="AR350" i="13"/>
  <c r="BH351" i="13"/>
  <c r="BQ351" i="13"/>
  <c r="AE352" i="13"/>
  <c r="AS353" i="13"/>
  <c r="BG353" i="13"/>
  <c r="BQ353" i="13"/>
  <c r="BI356" i="13"/>
  <c r="AP357" i="13"/>
  <c r="BB357" i="13"/>
  <c r="BO357" i="13"/>
  <c r="AT358" i="13"/>
  <c r="AV360" i="13"/>
  <c r="BT362" i="13"/>
  <c r="BR362" i="13"/>
  <c r="BF362" i="13"/>
  <c r="BP362" i="13"/>
  <c r="AP363" i="13"/>
  <c r="AY366" i="13"/>
  <c r="AX366" i="13"/>
  <c r="AO366" i="13"/>
  <c r="AV366" i="13"/>
  <c r="AM366" i="13"/>
  <c r="AU366" i="13"/>
  <c r="AL366" i="13"/>
  <c r="AW366" i="13"/>
  <c r="AN369" i="13"/>
  <c r="BR369" i="13"/>
  <c r="BA371" i="13"/>
  <c r="AT371" i="13"/>
  <c r="AN371" i="13"/>
  <c r="AM371" i="13"/>
  <c r="BN373" i="13"/>
  <c r="AK374" i="13"/>
  <c r="BA374" i="13"/>
  <c r="BR374" i="13"/>
  <c r="V375" i="13"/>
  <c r="U375" i="13"/>
  <c r="W375" i="13" s="1"/>
  <c r="AL376" i="13"/>
  <c r="BN377" i="13"/>
  <c r="V378" i="13"/>
  <c r="BT378" i="13"/>
  <c r="BR378" i="13"/>
  <c r="BI378" i="13"/>
  <c r="BP378" i="13"/>
  <c r="BG378" i="13"/>
  <c r="BO378" i="13"/>
  <c r="BF378" i="13"/>
  <c r="BS378" i="13"/>
  <c r="BE379" i="13"/>
  <c r="AM381" i="13"/>
  <c r="BG382" i="13"/>
  <c r="AK383" i="13"/>
  <c r="BG383" i="13"/>
  <c r="BA384" i="13"/>
  <c r="BB384" i="13"/>
  <c r="AP384" i="13"/>
  <c r="AX384" i="13"/>
  <c r="AN384" i="13"/>
  <c r="AW384" i="13"/>
  <c r="AM384" i="13"/>
  <c r="AZ384" i="13"/>
  <c r="AQ385" i="13"/>
  <c r="AR386" i="13"/>
  <c r="BG388" i="13"/>
  <c r="BU388" i="13"/>
  <c r="AN390" i="13"/>
  <c r="BA390" i="13"/>
  <c r="BH391" i="13"/>
  <c r="AP392" i="13"/>
  <c r="BE394" i="13"/>
  <c r="BU394" i="13"/>
  <c r="AV402" i="13"/>
  <c r="AT402" i="13"/>
  <c r="AQ402" i="13"/>
  <c r="AN402" i="13"/>
  <c r="AL402" i="13"/>
  <c r="BM402" i="13"/>
  <c r="BH405" i="13"/>
  <c r="AW406" i="13"/>
  <c r="U407" i="13"/>
  <c r="W407" i="13" s="1"/>
  <c r="AU408" i="13"/>
  <c r="V428" i="13"/>
  <c r="U428" i="13"/>
  <c r="W428" i="13" s="1"/>
  <c r="AU435" i="13"/>
  <c r="BA435" i="13"/>
  <c r="AX435" i="13"/>
  <c r="AS435" i="13"/>
  <c r="AP435" i="13"/>
  <c r="AJ437" i="13"/>
  <c r="AR438" i="13"/>
  <c r="AW442" i="13"/>
  <c r="AT442" i="13"/>
  <c r="AS442" i="13"/>
  <c r="AP442" i="13"/>
  <c r="AN442" i="13"/>
  <c r="BB442" i="13"/>
  <c r="AL442" i="13"/>
  <c r="BA442" i="13"/>
  <c r="AK442" i="13"/>
  <c r="AJ444" i="13"/>
  <c r="AX450" i="13"/>
  <c r="BA454" i="13"/>
  <c r="AR454" i="13"/>
  <c r="BB454" i="13"/>
  <c r="AP454" i="13"/>
  <c r="AZ454" i="13"/>
  <c r="AO454" i="13"/>
  <c r="AX454" i="13"/>
  <c r="AN454" i="13"/>
  <c r="AW454" i="13"/>
  <c r="AM454" i="13"/>
  <c r="AV454" i="13"/>
  <c r="AL454" i="13"/>
  <c r="AB464" i="13"/>
  <c r="AE464" i="13" s="1"/>
  <c r="AA464" i="13"/>
  <c r="AC464" i="13" s="1"/>
  <c r="AX466" i="13"/>
  <c r="AW466" i="13"/>
  <c r="AT466" i="13"/>
  <c r="AP466" i="13"/>
  <c r="AN466" i="13"/>
  <c r="AM466" i="13"/>
  <c r="AY469" i="13"/>
  <c r="AZ469" i="13"/>
  <c r="AP469" i="13"/>
  <c r="AX469" i="13"/>
  <c r="AO469" i="13"/>
  <c r="AW469" i="13"/>
  <c r="AN469" i="13"/>
  <c r="AV469" i="13"/>
  <c r="AM469" i="13"/>
  <c r="AU469" i="13"/>
  <c r="AL469" i="13"/>
  <c r="AT469" i="13"/>
  <c r="AK469" i="13"/>
  <c r="BE485" i="13"/>
  <c r="BQ488" i="13"/>
  <c r="BK488" i="13"/>
  <c r="BS488" i="13"/>
  <c r="BJ488" i="13"/>
  <c r="BB548" i="13"/>
  <c r="AU548" i="13"/>
  <c r="AR548" i="13"/>
  <c r="AP548" i="13"/>
  <c r="AO548" i="13"/>
  <c r="AZ548" i="13"/>
  <c r="AN548" i="13"/>
  <c r="AX548" i="13"/>
  <c r="AM548" i="13"/>
  <c r="AW548" i="13"/>
  <c r="AV548" i="13"/>
  <c r="AJ548" i="13"/>
  <c r="BJ300" i="13"/>
  <c r="BM301" i="13"/>
  <c r="BV302" i="13"/>
  <c r="AV305" i="13"/>
  <c r="BH305" i="13"/>
  <c r="BR305" i="13"/>
  <c r="AV306" i="13"/>
  <c r="AE308" i="13"/>
  <c r="BI309" i="13"/>
  <c r="AO310" i="13"/>
  <c r="BB310" i="13"/>
  <c r="BO313" i="13"/>
  <c r="BG314" i="13"/>
  <c r="BU314" i="13"/>
  <c r="AO317" i="13"/>
  <c r="AZ317" i="13"/>
  <c r="AO318" i="13"/>
  <c r="BB318" i="13"/>
  <c r="AR319" i="13"/>
  <c r="BJ321" i="13"/>
  <c r="BU321" i="13"/>
  <c r="BO322" i="13"/>
  <c r="BJ324" i="13"/>
  <c r="BH329" i="13"/>
  <c r="BR329" i="13"/>
  <c r="AN331" i="13"/>
  <c r="AZ331" i="13"/>
  <c r="AL337" i="13"/>
  <c r="BB337" i="13"/>
  <c r="AW338" i="13"/>
  <c r="BJ338" i="13"/>
  <c r="BW338" i="13"/>
  <c r="AL339" i="13"/>
  <c r="AU339" i="13"/>
  <c r="AO341" i="13"/>
  <c r="AZ341" i="13"/>
  <c r="AX343" i="13"/>
  <c r="BM344" i="13"/>
  <c r="BJ345" i="13"/>
  <c r="BU345" i="13"/>
  <c r="BI351" i="13"/>
  <c r="BR351" i="13"/>
  <c r="BH353" i="13"/>
  <c r="BR353" i="13"/>
  <c r="BJ356" i="13"/>
  <c r="BQ357" i="13"/>
  <c r="AZ367" i="13"/>
  <c r="AO367" i="13"/>
  <c r="AX367" i="13"/>
  <c r="AL367" i="13"/>
  <c r="AW367" i="13"/>
  <c r="AJ367" i="13"/>
  <c r="BV367" i="13"/>
  <c r="BK367" i="13"/>
  <c r="BS367" i="13"/>
  <c r="BI367" i="13"/>
  <c r="BR367" i="13"/>
  <c r="BH367" i="13"/>
  <c r="BT367" i="13"/>
  <c r="AW369" i="13"/>
  <c r="AS373" i="13"/>
  <c r="AM373" i="13"/>
  <c r="AK373" i="13"/>
  <c r="AL374" i="13"/>
  <c r="BB374" i="13"/>
  <c r="AM376" i="13"/>
  <c r="BR379" i="13"/>
  <c r="AQ381" i="13"/>
  <c r="BI382" i="13"/>
  <c r="AM383" i="13"/>
  <c r="BJ383" i="13"/>
  <c r="BM384" i="13"/>
  <c r="BV384" i="13"/>
  <c r="BK384" i="13"/>
  <c r="BU384" i="13"/>
  <c r="BI384" i="13"/>
  <c r="BT384" i="13"/>
  <c r="AZ385" i="13"/>
  <c r="AS387" i="13"/>
  <c r="AO387" i="13"/>
  <c r="BB387" i="13"/>
  <c r="AN387" i="13"/>
  <c r="BH388" i="13"/>
  <c r="AO390" i="13"/>
  <c r="BJ391" i="13"/>
  <c r="AT392" i="13"/>
  <c r="AA394" i="13"/>
  <c r="AC394" i="13" s="1"/>
  <c r="BH394" i="13"/>
  <c r="BV394" i="13"/>
  <c r="AB398" i="13"/>
  <c r="AE398" i="13" s="1"/>
  <c r="AA398" i="13"/>
  <c r="AC398" i="13" s="1"/>
  <c r="AJ402" i="13"/>
  <c r="BN402" i="13"/>
  <c r="BJ405" i="13"/>
  <c r="AZ406" i="13"/>
  <c r="AV415" i="13"/>
  <c r="AR415" i="13"/>
  <c r="AP415" i="13"/>
  <c r="BA415" i="13"/>
  <c r="AO415" i="13"/>
  <c r="AZ415" i="13"/>
  <c r="AM415" i="13"/>
  <c r="AX415" i="13"/>
  <c r="AK415" i="13"/>
  <c r="AW415" i="13"/>
  <c r="AJ415" i="13"/>
  <c r="AV422" i="13"/>
  <c r="AS422" i="13"/>
  <c r="AR422" i="13"/>
  <c r="AP422" i="13"/>
  <c r="BA422" i="13"/>
  <c r="AO422" i="13"/>
  <c r="AZ422" i="13"/>
  <c r="AM422" i="13"/>
  <c r="AX422" i="13"/>
  <c r="AK422" i="13"/>
  <c r="AY423" i="13"/>
  <c r="AW423" i="13"/>
  <c r="AU423" i="13"/>
  <c r="AT423" i="13"/>
  <c r="AO423" i="13"/>
  <c r="AM423" i="13"/>
  <c r="AL423" i="13"/>
  <c r="BA430" i="13"/>
  <c r="BB430" i="13"/>
  <c r="AP430" i="13"/>
  <c r="AZ430" i="13"/>
  <c r="AO430" i="13"/>
  <c r="AX430" i="13"/>
  <c r="AN430" i="13"/>
  <c r="AW430" i="13"/>
  <c r="AM430" i="13"/>
  <c r="AV430" i="13"/>
  <c r="AL430" i="13"/>
  <c r="AU430" i="13"/>
  <c r="AJ430" i="13"/>
  <c r="AA462" i="13"/>
  <c r="AC462" i="13" s="1"/>
  <c r="AB462" i="13"/>
  <c r="AE462" i="13" s="1"/>
  <c r="BT476" i="13"/>
  <c r="BW476" i="13"/>
  <c r="BM476" i="13"/>
  <c r="BV476" i="13"/>
  <c r="BJ476" i="13"/>
  <c r="BU476" i="13"/>
  <c r="BI476" i="13"/>
  <c r="BR476" i="13"/>
  <c r="BH476" i="13"/>
  <c r="BQ476" i="13"/>
  <c r="BG476" i="13"/>
  <c r="BP476" i="13"/>
  <c r="BF476" i="13"/>
  <c r="BA482" i="13"/>
  <c r="AV482" i="13"/>
  <c r="AU482" i="13"/>
  <c r="AT482" i="13"/>
  <c r="AO482" i="13"/>
  <c r="AN482" i="13"/>
  <c r="AM482" i="13"/>
  <c r="AB485" i="13"/>
  <c r="AA485" i="13"/>
  <c r="AC485" i="13" s="1"/>
  <c r="AQ520" i="13"/>
  <c r="BA520" i="13"/>
  <c r="AM520" i="13"/>
  <c r="AZ520" i="13"/>
  <c r="AL520" i="13"/>
  <c r="AY520" i="13"/>
  <c r="AK520" i="13"/>
  <c r="BB520" i="13"/>
  <c r="AV520" i="13"/>
  <c r="AU520" i="13"/>
  <c r="AR520" i="13"/>
  <c r="AX287" i="13"/>
  <c r="U290" i="13"/>
  <c r="W290" i="13" s="1"/>
  <c r="AA293" i="13"/>
  <c r="AC293" i="13" s="1"/>
  <c r="AL296" i="13"/>
  <c r="AX300" i="13"/>
  <c r="BL300" i="13"/>
  <c r="AA301" i="13"/>
  <c r="AC301" i="13" s="1"/>
  <c r="BQ301" i="13"/>
  <c r="AO302" i="13"/>
  <c r="AJ305" i="13"/>
  <c r="AY305" i="13"/>
  <c r="BI305" i="13"/>
  <c r="BS305" i="13"/>
  <c r="AA307" i="13"/>
  <c r="AC307" i="13" s="1"/>
  <c r="BL309" i="13"/>
  <c r="AA310" i="13"/>
  <c r="AC310" i="13" s="1"/>
  <c r="AR310" i="13"/>
  <c r="BE313" i="13"/>
  <c r="BP313" i="13"/>
  <c r="BH314" i="13"/>
  <c r="BV314" i="13"/>
  <c r="BG315" i="13"/>
  <c r="AA317" i="13"/>
  <c r="AC317" i="13" s="1"/>
  <c r="AP317" i="13"/>
  <c r="BB317" i="13"/>
  <c r="AR318" i="13"/>
  <c r="AT319" i="13"/>
  <c r="AM320" i="13"/>
  <c r="BK321" i="13"/>
  <c r="BW321" i="13"/>
  <c r="U322" i="13"/>
  <c r="W322" i="13" s="1"/>
  <c r="BE322" i="13"/>
  <c r="BP322" i="13"/>
  <c r="BP324" i="13"/>
  <c r="BQ325" i="13"/>
  <c r="AT326" i="13"/>
  <c r="BE328" i="13"/>
  <c r="AV329" i="13"/>
  <c r="BI329" i="13"/>
  <c r="BS329" i="13"/>
  <c r="BO330" i="13"/>
  <c r="AP331" i="13"/>
  <c r="BA331" i="13"/>
  <c r="BQ333" i="13"/>
  <c r="AT334" i="13"/>
  <c r="AN337" i="13"/>
  <c r="BM337" i="13"/>
  <c r="BW337" i="13"/>
  <c r="U338" i="13"/>
  <c r="W338" i="13" s="1"/>
  <c r="AX338" i="13"/>
  <c r="BM338" i="13"/>
  <c r="AM339" i="13"/>
  <c r="AV339" i="13"/>
  <c r="AP341" i="13"/>
  <c r="BB341" i="13"/>
  <c r="BK342" i="13"/>
  <c r="BM343" i="13"/>
  <c r="BV343" i="13"/>
  <c r="BN344" i="13"/>
  <c r="BK345" i="13"/>
  <c r="BW345" i="13"/>
  <c r="U346" i="13"/>
  <c r="W346" i="13" s="1"/>
  <c r="AR347" i="13"/>
  <c r="BA347" i="13"/>
  <c r="AJ348" i="13"/>
  <c r="AA349" i="13"/>
  <c r="AC349" i="13" s="1"/>
  <c r="BQ349" i="13"/>
  <c r="AT350" i="13"/>
  <c r="AE351" i="13"/>
  <c r="BJ351" i="13"/>
  <c r="BS351" i="13"/>
  <c r="AM352" i="13"/>
  <c r="AV353" i="13"/>
  <c r="BI353" i="13"/>
  <c r="BS353" i="13"/>
  <c r="BL355" i="13"/>
  <c r="BP356" i="13"/>
  <c r="AT357" i="13"/>
  <c r="BE357" i="13"/>
  <c r="BU357" i="13"/>
  <c r="BR360" i="13"/>
  <c r="BU360" i="13"/>
  <c r="U362" i="13"/>
  <c r="W362" i="13" s="1"/>
  <c r="AY363" i="13"/>
  <c r="AW363" i="13"/>
  <c r="AN363" i="13"/>
  <c r="AS363" i="13"/>
  <c r="AA364" i="13"/>
  <c r="AC364" i="13" s="1"/>
  <c r="BA366" i="13"/>
  <c r="AM367" i="13"/>
  <c r="BF367" i="13"/>
  <c r="AZ368" i="13"/>
  <c r="AU368" i="13"/>
  <c r="U369" i="13"/>
  <c r="W369" i="13" s="1"/>
  <c r="BU369" i="13"/>
  <c r="BP369" i="13"/>
  <c r="BK369" i="13"/>
  <c r="BI369" i="13"/>
  <c r="AA372" i="13"/>
  <c r="AC372" i="13" s="1"/>
  <c r="AJ373" i="13"/>
  <c r="AO374" i="13"/>
  <c r="BW374" i="13"/>
  <c r="BK374" i="13"/>
  <c r="BT374" i="13"/>
  <c r="BI374" i="13"/>
  <c r="BS374" i="13"/>
  <c r="BG374" i="13"/>
  <c r="AP376" i="13"/>
  <c r="AW381" i="13"/>
  <c r="BR382" i="13"/>
  <c r="AO383" i="13"/>
  <c r="BN383" i="13"/>
  <c r="BA385" i="13"/>
  <c r="BI388" i="13"/>
  <c r="AS389" i="13"/>
  <c r="AW389" i="13"/>
  <c r="AV389" i="13"/>
  <c r="AP390" i="13"/>
  <c r="BP391" i="13"/>
  <c r="AU392" i="13"/>
  <c r="BJ394" i="13"/>
  <c r="BW394" i="13"/>
  <c r="U399" i="13"/>
  <c r="W399" i="13" s="1"/>
  <c r="AB400" i="13"/>
  <c r="AE400" i="13" s="1"/>
  <c r="AA400" i="13"/>
  <c r="AC400" i="13" s="1"/>
  <c r="AZ402" i="13"/>
  <c r="BS402" i="13"/>
  <c r="BQ403" i="13"/>
  <c r="BM403" i="13"/>
  <c r="BK403" i="13"/>
  <c r="BV403" i="13"/>
  <c r="BJ403" i="13"/>
  <c r="BU403" i="13"/>
  <c r="BH403" i="13"/>
  <c r="BP409" i="13"/>
  <c r="BS409" i="13"/>
  <c r="AY414" i="13"/>
  <c r="AX414" i="13"/>
  <c r="AO414" i="13"/>
  <c r="AW414" i="13"/>
  <c r="AN414" i="13"/>
  <c r="AV414" i="13"/>
  <c r="AM414" i="13"/>
  <c r="AU414" i="13"/>
  <c r="AL414" i="13"/>
  <c r="AT414" i="13"/>
  <c r="AK414" i="13"/>
  <c r="BB414" i="13"/>
  <c r="AS414" i="13"/>
  <c r="AJ414" i="13"/>
  <c r="AS415" i="13"/>
  <c r="BQ419" i="13"/>
  <c r="BM419" i="13"/>
  <c r="BK419" i="13"/>
  <c r="BV419" i="13"/>
  <c r="BJ419" i="13"/>
  <c r="BU419" i="13"/>
  <c r="BH419" i="13"/>
  <c r="BS419" i="13"/>
  <c r="BF419" i="13"/>
  <c r="BR419" i="13"/>
  <c r="BE419" i="13"/>
  <c r="AJ422" i="13"/>
  <c r="BB423" i="13"/>
  <c r="BR438" i="13"/>
  <c r="BQ438" i="13"/>
  <c r="BO438" i="13"/>
  <c r="BN438" i="13"/>
  <c r="BK438" i="13"/>
  <c r="BI438" i="13"/>
  <c r="BW438" i="13"/>
  <c r="BG438" i="13"/>
  <c r="V443" i="13"/>
  <c r="U443" i="13"/>
  <c r="W443" i="13" s="1"/>
  <c r="AV445" i="13"/>
  <c r="AS445" i="13"/>
  <c r="AR445" i="13"/>
  <c r="AP445" i="13"/>
  <c r="BA445" i="13"/>
  <c r="AO445" i="13"/>
  <c r="AZ445" i="13"/>
  <c r="AM445" i="13"/>
  <c r="AX445" i="13"/>
  <c r="AK445" i="13"/>
  <c r="BA446" i="13"/>
  <c r="BB446" i="13"/>
  <c r="AP446" i="13"/>
  <c r="AZ446" i="13"/>
  <c r="AO446" i="13"/>
  <c r="AX446" i="13"/>
  <c r="AN446" i="13"/>
  <c r="AW446" i="13"/>
  <c r="AM446" i="13"/>
  <c r="AV446" i="13"/>
  <c r="AL446" i="13"/>
  <c r="AU446" i="13"/>
  <c r="AJ446" i="13"/>
  <c r="AT454" i="13"/>
  <c r="BW466" i="13"/>
  <c r="BL466" i="13"/>
  <c r="BV466" i="13"/>
  <c r="BK466" i="13"/>
  <c r="BU466" i="13"/>
  <c r="BH466" i="13"/>
  <c r="BT466" i="13"/>
  <c r="BG466" i="13"/>
  <c r="BS466" i="13"/>
  <c r="BF466" i="13"/>
  <c r="BP466" i="13"/>
  <c r="BE466" i="13"/>
  <c r="V470" i="13"/>
  <c r="AE470" i="13" s="1"/>
  <c r="U470" i="13"/>
  <c r="W470" i="13" s="1"/>
  <c r="BE476" i="13"/>
  <c r="AL482" i="13"/>
  <c r="AB486" i="13"/>
  <c r="AE486" i="13" s="1"/>
  <c r="AA486" i="13"/>
  <c r="AC486" i="13" s="1"/>
  <c r="BT505" i="13"/>
  <c r="BR505" i="13"/>
  <c r="BI505" i="13"/>
  <c r="BQ505" i="13"/>
  <c r="BH505" i="13"/>
  <c r="BM505" i="13"/>
  <c r="BW505" i="13"/>
  <c r="BK505" i="13"/>
  <c r="BV505" i="13"/>
  <c r="BJ505" i="13"/>
  <c r="BU505" i="13"/>
  <c r="BG505" i="13"/>
  <c r="BS505" i="13"/>
  <c r="BF505" i="13"/>
  <c r="BP505" i="13"/>
  <c r="BE505" i="13"/>
  <c r="BG509" i="13"/>
  <c r="BF509" i="13"/>
  <c r="BU514" i="13"/>
  <c r="BK514" i="13"/>
  <c r="BR514" i="13"/>
  <c r="BG514" i="13"/>
  <c r="BP514" i="13"/>
  <c r="BF514" i="13"/>
  <c r="BS514" i="13"/>
  <c r="BO514" i="13"/>
  <c r="BN514" i="13"/>
  <c r="BL514" i="13"/>
  <c r="BJ514" i="13"/>
  <c r="BH514" i="13"/>
  <c r="AN520" i="13"/>
  <c r="BT553" i="13"/>
  <c r="BU553" i="13"/>
  <c r="BK553" i="13"/>
  <c r="BS553" i="13"/>
  <c r="BJ553" i="13"/>
  <c r="BR553" i="13"/>
  <c r="BI553" i="13"/>
  <c r="BQ553" i="13"/>
  <c r="BH553" i="13"/>
  <c r="BP553" i="13"/>
  <c r="BG553" i="13"/>
  <c r="BO553" i="13"/>
  <c r="BF553" i="13"/>
  <c r="BW553" i="13"/>
  <c r="BV553" i="13"/>
  <c r="BN553" i="13"/>
  <c r="BM553" i="13"/>
  <c r="BE553" i="13"/>
  <c r="BU574" i="13"/>
  <c r="BN574" i="13"/>
  <c r="BW574" i="13"/>
  <c r="BK574" i="13"/>
  <c r="BV574" i="13"/>
  <c r="BJ574" i="13"/>
  <c r="BS574" i="13"/>
  <c r="BI574" i="13"/>
  <c r="BR574" i="13"/>
  <c r="BH574" i="13"/>
  <c r="BQ574" i="13"/>
  <c r="BG574" i="13"/>
  <c r="BP574" i="13"/>
  <c r="BO574" i="13"/>
  <c r="AB592" i="13"/>
  <c r="AE592" i="13" s="1"/>
  <c r="AA592" i="13"/>
  <c r="AC592" i="13" s="1"/>
  <c r="BU593" i="13"/>
  <c r="BN593" i="13"/>
  <c r="BK593" i="13"/>
  <c r="BI593" i="13"/>
  <c r="BH593" i="13"/>
  <c r="BT593" i="13"/>
  <c r="BF593" i="13"/>
  <c r="BR593" i="13"/>
  <c r="BE593" i="13"/>
  <c r="BQ593" i="13"/>
  <c r="BP593" i="13"/>
  <c r="BO255" i="13"/>
  <c r="BO263" i="13"/>
  <c r="BH269" i="13"/>
  <c r="BQ269" i="13"/>
  <c r="AZ271" i="13"/>
  <c r="BI276" i="13"/>
  <c r="BS277" i="13"/>
  <c r="AN278" i="13"/>
  <c r="AM283" i="13"/>
  <c r="AV283" i="13"/>
  <c r="AJ287" i="13"/>
  <c r="AL288" i="13"/>
  <c r="BB289" i="13"/>
  <c r="AR291" i="13"/>
  <c r="BA291" i="13"/>
  <c r="AP292" i="13"/>
  <c r="AN295" i="13"/>
  <c r="BO297" i="13"/>
  <c r="BJ298" i="13"/>
  <c r="BR299" i="13"/>
  <c r="AJ300" i="13"/>
  <c r="BT301" i="13"/>
  <c r="AR302" i="13"/>
  <c r="AK305" i="13"/>
  <c r="BJ305" i="13"/>
  <c r="BU305" i="13"/>
  <c r="BO306" i="13"/>
  <c r="BM309" i="13"/>
  <c r="AS310" i="13"/>
  <c r="AK313" i="13"/>
  <c r="BG313" i="13"/>
  <c r="BQ313" i="13"/>
  <c r="BJ314" i="13"/>
  <c r="BW314" i="13"/>
  <c r="U316" i="13"/>
  <c r="W316" i="13" s="1"/>
  <c r="AR317" i="13"/>
  <c r="BQ317" i="13"/>
  <c r="AS318" i="13"/>
  <c r="BJ318" i="13"/>
  <c r="AX319" i="13"/>
  <c r="AN320" i="13"/>
  <c r="AL321" i="13"/>
  <c r="BB321" i="13"/>
  <c r="BM321" i="13"/>
  <c r="BF322" i="13"/>
  <c r="BR322" i="13"/>
  <c r="AS323" i="13"/>
  <c r="AA324" i="13"/>
  <c r="AC324" i="13" s="1"/>
  <c r="BQ324" i="13"/>
  <c r="AT325" i="13"/>
  <c r="BE325" i="13"/>
  <c r="BU325" i="13"/>
  <c r="AJ326" i="13"/>
  <c r="AU326" i="13"/>
  <c r="BS326" i="13"/>
  <c r="BH327" i="13"/>
  <c r="BS327" i="13"/>
  <c r="AM328" i="13"/>
  <c r="BL328" i="13"/>
  <c r="AJ329" i="13"/>
  <c r="AZ329" i="13"/>
  <c r="BJ329" i="13"/>
  <c r="BU329" i="13"/>
  <c r="BE330" i="13"/>
  <c r="BP330" i="13"/>
  <c r="AR331" i="13"/>
  <c r="BB331" i="13"/>
  <c r="BP332" i="13"/>
  <c r="AT333" i="13"/>
  <c r="BE333" i="13"/>
  <c r="BU333" i="13"/>
  <c r="AJ334" i="13"/>
  <c r="AU334" i="13"/>
  <c r="AO336" i="13"/>
  <c r="AR337" i="13"/>
  <c r="BE337" i="13"/>
  <c r="BN337" i="13"/>
  <c r="BN338" i="13"/>
  <c r="AN339" i="13"/>
  <c r="AW339" i="13"/>
  <c r="BU339" i="13"/>
  <c r="U340" i="13"/>
  <c r="W340" i="13" s="1"/>
  <c r="BJ340" i="13"/>
  <c r="AA341" i="13"/>
  <c r="AC341" i="13" s="1"/>
  <c r="AR341" i="13"/>
  <c r="BQ341" i="13"/>
  <c r="AT342" i="13"/>
  <c r="BE343" i="13"/>
  <c r="BN343" i="13"/>
  <c r="BW343" i="13"/>
  <c r="AU344" i="13"/>
  <c r="BT344" i="13"/>
  <c r="AL345" i="13"/>
  <c r="BB345" i="13"/>
  <c r="BM345" i="13"/>
  <c r="BG346" i="13"/>
  <c r="BU346" i="13"/>
  <c r="AJ347" i="13"/>
  <c r="AS347" i="13"/>
  <c r="BB347" i="13"/>
  <c r="AK348" i="13"/>
  <c r="BJ348" i="13"/>
  <c r="AT349" i="13"/>
  <c r="BE349" i="13"/>
  <c r="BU349" i="13"/>
  <c r="AJ350" i="13"/>
  <c r="AU350" i="13"/>
  <c r="BK351" i="13"/>
  <c r="BU351" i="13"/>
  <c r="AN352" i="13"/>
  <c r="BM352" i="13"/>
  <c r="AJ353" i="13"/>
  <c r="AZ353" i="13"/>
  <c r="BJ353" i="13"/>
  <c r="BU353" i="13"/>
  <c r="BO354" i="13"/>
  <c r="AM355" i="13"/>
  <c r="AV355" i="13"/>
  <c r="BT355" i="13"/>
  <c r="U356" i="13"/>
  <c r="W356" i="13" s="1"/>
  <c r="AS356" i="13"/>
  <c r="BQ356" i="13"/>
  <c r="AJ357" i="13"/>
  <c r="AU357" i="13"/>
  <c r="BF357" i="13"/>
  <c r="BV357" i="13"/>
  <c r="AL358" i="13"/>
  <c r="AZ358" i="13"/>
  <c r="BT359" i="13"/>
  <c r="BW359" i="13"/>
  <c r="BN359" i="13"/>
  <c r="BE359" i="13"/>
  <c r="BO359" i="13"/>
  <c r="BE360" i="13"/>
  <c r="AX361" i="13"/>
  <c r="BB361" i="13"/>
  <c r="AL361" i="13"/>
  <c r="AZ361" i="13"/>
  <c r="BH362" i="13"/>
  <c r="BW362" i="13"/>
  <c r="AJ363" i="13"/>
  <c r="AT363" i="13"/>
  <c r="AZ364" i="13"/>
  <c r="AN364" i="13"/>
  <c r="AX364" i="13"/>
  <c r="AL364" i="13"/>
  <c r="AV364" i="13"/>
  <c r="AJ364" i="13"/>
  <c r="BU364" i="13"/>
  <c r="BK364" i="13"/>
  <c r="BS364" i="13"/>
  <c r="BI364" i="13"/>
  <c r="BR364" i="13"/>
  <c r="BH364" i="13"/>
  <c r="BT364" i="13"/>
  <c r="V365" i="13"/>
  <c r="AE365" i="13" s="1"/>
  <c r="BV365" i="13"/>
  <c r="BW365" i="13"/>
  <c r="AN366" i="13"/>
  <c r="BB366" i="13"/>
  <c r="AP367" i="13"/>
  <c r="BG367" i="13"/>
  <c r="AJ368" i="13"/>
  <c r="AB369" i="13"/>
  <c r="AE369" i="13" s="1"/>
  <c r="AA369" i="13"/>
  <c r="AC369" i="13" s="1"/>
  <c r="BE369" i="13"/>
  <c r="AP371" i="13"/>
  <c r="AZ372" i="13"/>
  <c r="AR372" i="13"/>
  <c r="AO373" i="13"/>
  <c r="AR374" i="13"/>
  <c r="BE374" i="13"/>
  <c r="AT376" i="13"/>
  <c r="U377" i="13"/>
  <c r="W377" i="13" s="1"/>
  <c r="BJ378" i="13"/>
  <c r="BW378" i="13"/>
  <c r="U379" i="13"/>
  <c r="W379" i="13" s="1"/>
  <c r="BV380" i="13"/>
  <c r="BP380" i="13"/>
  <c r="BE380" i="13"/>
  <c r="BM380" i="13"/>
  <c r="BW380" i="13"/>
  <c r="BK380" i="13"/>
  <c r="BS380" i="13"/>
  <c r="V381" i="13"/>
  <c r="U381" i="13"/>
  <c r="W381" i="13" s="1"/>
  <c r="AX381" i="13"/>
  <c r="AY382" i="13"/>
  <c r="BB382" i="13"/>
  <c r="AS382" i="13"/>
  <c r="AJ382" i="13"/>
  <c r="AZ382" i="13"/>
  <c r="AP382" i="13"/>
  <c r="AX382" i="13"/>
  <c r="AO382" i="13"/>
  <c r="AV382" i="13"/>
  <c r="BU382" i="13"/>
  <c r="AQ383" i="13"/>
  <c r="BP383" i="13"/>
  <c r="BF384" i="13"/>
  <c r="BN385" i="13"/>
  <c r="BV385" i="13"/>
  <c r="BL385" i="13"/>
  <c r="BK385" i="13"/>
  <c r="AM387" i="13"/>
  <c r="BJ388" i="13"/>
  <c r="AK389" i="13"/>
  <c r="AR390" i="13"/>
  <c r="AR391" i="13"/>
  <c r="AW391" i="13"/>
  <c r="AU391" i="13"/>
  <c r="BV391" i="13"/>
  <c r="AB392" i="13"/>
  <c r="AE392" i="13" s="1"/>
  <c r="AA392" i="13"/>
  <c r="AC392" i="13" s="1"/>
  <c r="AR394" i="13"/>
  <c r="AY394" i="13"/>
  <c r="AP394" i="13"/>
  <c r="AO394" i="13"/>
  <c r="BK394" i="13"/>
  <c r="AS397" i="13"/>
  <c r="BQ398" i="13"/>
  <c r="BM398" i="13"/>
  <c r="BL398" i="13"/>
  <c r="BK398" i="13"/>
  <c r="BB402" i="13"/>
  <c r="AV410" i="13"/>
  <c r="BB410" i="13"/>
  <c r="AZ410" i="13"/>
  <c r="AL410" i="13"/>
  <c r="AP414" i="13"/>
  <c r="AU415" i="13"/>
  <c r="V419" i="13"/>
  <c r="BN419" i="13"/>
  <c r="AU422" i="13"/>
  <c r="BT423" i="13"/>
  <c r="BS423" i="13"/>
  <c r="BN423" i="13"/>
  <c r="BL423" i="13"/>
  <c r="BK423" i="13"/>
  <c r="BF423" i="13"/>
  <c r="AT430" i="13"/>
  <c r="BF438" i="13"/>
  <c r="BA444" i="13"/>
  <c r="AJ445" i="13"/>
  <c r="AR446" i="13"/>
  <c r="BQ449" i="13"/>
  <c r="BM449" i="13"/>
  <c r="BK449" i="13"/>
  <c r="BV449" i="13"/>
  <c r="BJ449" i="13"/>
  <c r="BU449" i="13"/>
  <c r="BH449" i="13"/>
  <c r="BS449" i="13"/>
  <c r="BF449" i="13"/>
  <c r="BR449" i="13"/>
  <c r="BE449" i="13"/>
  <c r="V452" i="13"/>
  <c r="U452" i="13"/>
  <c r="W452" i="13" s="1"/>
  <c r="AU454" i="13"/>
  <c r="AE469" i="13"/>
  <c r="BN476" i="13"/>
  <c r="BO477" i="13"/>
  <c r="BM477" i="13"/>
  <c r="BL477" i="13"/>
  <c r="BK477" i="13"/>
  <c r="BW477" i="13"/>
  <c r="BJ477" i="13"/>
  <c r="BU477" i="13"/>
  <c r="BG477" i="13"/>
  <c r="AW482" i="13"/>
  <c r="AB502" i="13"/>
  <c r="AA502" i="13"/>
  <c r="AC502" i="13" s="1"/>
  <c r="BU504" i="13"/>
  <c r="BT504" i="13"/>
  <c r="BI504" i="13"/>
  <c r="BS504" i="13"/>
  <c r="BH504" i="13"/>
  <c r="BP504" i="13"/>
  <c r="BN504" i="13"/>
  <c r="BK504" i="13"/>
  <c r="BJ504" i="13"/>
  <c r="BF504" i="13"/>
  <c r="BE504" i="13"/>
  <c r="BN505" i="13"/>
  <c r="BB532" i="13"/>
  <c r="AU532" i="13"/>
  <c r="AR532" i="13"/>
  <c r="AP532" i="13"/>
  <c r="AO532" i="13"/>
  <c r="AZ532" i="13"/>
  <c r="AN532" i="13"/>
  <c r="AX532" i="13"/>
  <c r="AW532" i="13"/>
  <c r="AV532" i="13"/>
  <c r="AM532" i="13"/>
  <c r="U553" i="13"/>
  <c r="W553" i="13" s="1"/>
  <c r="V553" i="13"/>
  <c r="AP569" i="13"/>
  <c r="AO569" i="13"/>
  <c r="BA571" i="13"/>
  <c r="AY571" i="13"/>
  <c r="U573" i="13"/>
  <c r="W573" i="13" s="1"/>
  <c r="BF574" i="13"/>
  <c r="BQ611" i="13"/>
  <c r="BU611" i="13"/>
  <c r="BJ611" i="13"/>
  <c r="BS611" i="13"/>
  <c r="BH611" i="13"/>
  <c r="BN611" i="13"/>
  <c r="BM611" i="13"/>
  <c r="BK611" i="13"/>
  <c r="BW611" i="13"/>
  <c r="BG611" i="13"/>
  <c r="BV611" i="13"/>
  <c r="BF611" i="13"/>
  <c r="BR611" i="13"/>
  <c r="BE611" i="13"/>
  <c r="BP611" i="13"/>
  <c r="AT310" i="13"/>
  <c r="BM314" i="13"/>
  <c r="AT317" i="13"/>
  <c r="AT318" i="13"/>
  <c r="BO321" i="13"/>
  <c r="BR324" i="13"/>
  <c r="BK329" i="13"/>
  <c r="BW329" i="13"/>
  <c r="AS331" i="13"/>
  <c r="AS337" i="13"/>
  <c r="BO338" i="13"/>
  <c r="AO339" i="13"/>
  <c r="AX339" i="13"/>
  <c r="AT341" i="13"/>
  <c r="BO345" i="13"/>
  <c r="AE347" i="13"/>
  <c r="BM351" i="13"/>
  <c r="BV351" i="13"/>
  <c r="BK353" i="13"/>
  <c r="BW353" i="13"/>
  <c r="BR356" i="13"/>
  <c r="BA360" i="13"/>
  <c r="AU360" i="13"/>
  <c r="V366" i="13"/>
  <c r="AE366" i="13" s="1"/>
  <c r="U366" i="13"/>
  <c r="W366" i="13" s="1"/>
  <c r="BU366" i="13"/>
  <c r="BO366" i="13"/>
  <c r="BF366" i="13"/>
  <c r="BE366" i="13"/>
  <c r="AS374" i="13"/>
  <c r="AU376" i="13"/>
  <c r="AA379" i="13"/>
  <c r="AC379" i="13" s="1"/>
  <c r="AB379" i="13"/>
  <c r="AE379" i="13" s="1"/>
  <c r="AA381" i="13"/>
  <c r="AC381" i="13" s="1"/>
  <c r="AB381" i="13"/>
  <c r="AY381" i="13"/>
  <c r="BQ383" i="13"/>
  <c r="U386" i="13"/>
  <c r="W386" i="13" s="1"/>
  <c r="V386" i="13"/>
  <c r="AE386" i="13" s="1"/>
  <c r="BB388" i="13"/>
  <c r="AV388" i="13"/>
  <c r="AT388" i="13"/>
  <c r="AU390" i="13"/>
  <c r="BA392" i="13"/>
  <c r="AR392" i="13"/>
  <c r="AZ392" i="13"/>
  <c r="AO392" i="13"/>
  <c r="AX392" i="13"/>
  <c r="AN392" i="13"/>
  <c r="AW392" i="13"/>
  <c r="V393" i="13"/>
  <c r="AE393" i="13" s="1"/>
  <c r="U393" i="13"/>
  <c r="W393" i="13" s="1"/>
  <c r="BT401" i="13"/>
  <c r="BL401" i="13"/>
  <c r="BI401" i="13"/>
  <c r="BH401" i="13"/>
  <c r="BT402" i="13"/>
  <c r="BR402" i="13"/>
  <c r="BI402" i="13"/>
  <c r="BQ402" i="13"/>
  <c r="BH402" i="13"/>
  <c r="BP402" i="13"/>
  <c r="BG402" i="13"/>
  <c r="BO402" i="13"/>
  <c r="BF402" i="13"/>
  <c r="BV402" i="13"/>
  <c r="AY406" i="13"/>
  <c r="AX406" i="13"/>
  <c r="AO406" i="13"/>
  <c r="AV406" i="13"/>
  <c r="AM406" i="13"/>
  <c r="AU406" i="13"/>
  <c r="AL406" i="13"/>
  <c r="AT406" i="13"/>
  <c r="AK406" i="13"/>
  <c r="BB406" i="13"/>
  <c r="AS406" i="13"/>
  <c r="AJ406" i="13"/>
  <c r="BA408" i="13"/>
  <c r="AR408" i="13"/>
  <c r="AZ408" i="13"/>
  <c r="AO408" i="13"/>
  <c r="AX408" i="13"/>
  <c r="AN408" i="13"/>
  <c r="AW408" i="13"/>
  <c r="AM408" i="13"/>
  <c r="AV408" i="13"/>
  <c r="AL408" i="13"/>
  <c r="BQ425" i="13"/>
  <c r="BN425" i="13"/>
  <c r="BM425" i="13"/>
  <c r="BK425" i="13"/>
  <c r="BV425" i="13"/>
  <c r="BJ425" i="13"/>
  <c r="BU425" i="13"/>
  <c r="BH425" i="13"/>
  <c r="BS425" i="13"/>
  <c r="BF425" i="13"/>
  <c r="AY428" i="13"/>
  <c r="AX428" i="13"/>
  <c r="AO428" i="13"/>
  <c r="AW428" i="13"/>
  <c r="AN428" i="13"/>
  <c r="AV428" i="13"/>
  <c r="AM428" i="13"/>
  <c r="AU428" i="13"/>
  <c r="AL428" i="13"/>
  <c r="AT428" i="13"/>
  <c r="AK428" i="13"/>
  <c r="BB428" i="13"/>
  <c r="AS428" i="13"/>
  <c r="AJ428" i="13"/>
  <c r="AV429" i="13"/>
  <c r="AR429" i="13"/>
  <c r="AP429" i="13"/>
  <c r="BA429" i="13"/>
  <c r="AO429" i="13"/>
  <c r="AZ429" i="13"/>
  <c r="AM429" i="13"/>
  <c r="AX429" i="13"/>
  <c r="AK429" i="13"/>
  <c r="AW429" i="13"/>
  <c r="AJ429" i="13"/>
  <c r="BR430" i="13"/>
  <c r="BQ430" i="13"/>
  <c r="BO430" i="13"/>
  <c r="BN430" i="13"/>
  <c r="BK430" i="13"/>
  <c r="BI430" i="13"/>
  <c r="BW430" i="13"/>
  <c r="BG430" i="13"/>
  <c r="BB432" i="13"/>
  <c r="AY432" i="13"/>
  <c r="AT432" i="13"/>
  <c r="AQ432" i="13"/>
  <c r="AL432" i="13"/>
  <c r="BS438" i="13"/>
  <c r="V471" i="13"/>
  <c r="AE471" i="13" s="1"/>
  <c r="U471" i="13"/>
  <c r="W471" i="13" s="1"/>
  <c r="BO476" i="13"/>
  <c r="BB482" i="13"/>
  <c r="AW502" i="13"/>
  <c r="AZ502" i="13"/>
  <c r="AX502" i="13"/>
  <c r="BA502" i="13"/>
  <c r="AS502" i="13"/>
  <c r="AR502" i="13"/>
  <c r="AP502" i="13"/>
  <c r="AK502" i="13"/>
  <c r="AJ502" i="13"/>
  <c r="AA564" i="13"/>
  <c r="AC564" i="13" s="1"/>
  <c r="AJ571" i="13"/>
  <c r="BT585" i="13"/>
  <c r="BJ585" i="13"/>
  <c r="BS585" i="13"/>
  <c r="BI585" i="13"/>
  <c r="BR585" i="13"/>
  <c r="BH585" i="13"/>
  <c r="BQ585" i="13"/>
  <c r="BG585" i="13"/>
  <c r="BP585" i="13"/>
  <c r="BF585" i="13"/>
  <c r="BN585" i="13"/>
  <c r="BE585" i="13"/>
  <c r="BV585" i="13"/>
  <c r="BM585" i="13"/>
  <c r="BP608" i="13"/>
  <c r="BN608" i="13"/>
  <c r="BO611" i="13"/>
  <c r="BK370" i="13"/>
  <c r="BU370" i="13"/>
  <c r="BS371" i="13"/>
  <c r="BP375" i="13"/>
  <c r="BM386" i="13"/>
  <c r="BV386" i="13"/>
  <c r="AW393" i="13"/>
  <c r="AO398" i="13"/>
  <c r="AX398" i="13"/>
  <c r="AE399" i="13"/>
  <c r="AP400" i="13"/>
  <c r="BB400" i="13"/>
  <c r="BV400" i="13"/>
  <c r="BM404" i="13"/>
  <c r="AM407" i="13"/>
  <c r="AZ407" i="13"/>
  <c r="BI408" i="13"/>
  <c r="BM411" i="13"/>
  <c r="AT412" i="13"/>
  <c r="BH412" i="13"/>
  <c r="BR412" i="13"/>
  <c r="BS416" i="13"/>
  <c r="AO417" i="13"/>
  <c r="BN417" i="13"/>
  <c r="AN420" i="13"/>
  <c r="BO420" i="13"/>
  <c r="BW421" i="13"/>
  <c r="BG424" i="13"/>
  <c r="BP424" i="13"/>
  <c r="AN426" i="13"/>
  <c r="BO426" i="13"/>
  <c r="BG432" i="13"/>
  <c r="BP432" i="13"/>
  <c r="AX434" i="13"/>
  <c r="BO435" i="13"/>
  <c r="AR436" i="13"/>
  <c r="BA436" i="13"/>
  <c r="BP441" i="13"/>
  <c r="BK442" i="13"/>
  <c r="BW442" i="13"/>
  <c r="AX443" i="13"/>
  <c r="BR443" i="13"/>
  <c r="BM448" i="13"/>
  <c r="BV448" i="13"/>
  <c r="AL452" i="13"/>
  <c r="AU452" i="13"/>
  <c r="AM453" i="13"/>
  <c r="AZ453" i="13"/>
  <c r="BI454" i="13"/>
  <c r="BG457" i="13"/>
  <c r="BP457" i="13"/>
  <c r="AV458" i="13"/>
  <c r="AQ459" i="13"/>
  <c r="BP459" i="13"/>
  <c r="AL461" i="13"/>
  <c r="AU461" i="13"/>
  <c r="BL462" i="13"/>
  <c r="BO463" i="13"/>
  <c r="BG465" i="13"/>
  <c r="BP465" i="13"/>
  <c r="AP468" i="13"/>
  <c r="BN468" i="13"/>
  <c r="BW469" i="13"/>
  <c r="AX470" i="13"/>
  <c r="BQ471" i="13"/>
  <c r="AS472" i="13"/>
  <c r="BM473" i="13"/>
  <c r="BV473" i="13"/>
  <c r="BS474" i="13"/>
  <c r="AU475" i="13"/>
  <c r="AM477" i="13"/>
  <c r="AV477" i="13"/>
  <c r="AR478" i="13"/>
  <c r="BJ478" i="13"/>
  <c r="AN479" i="13"/>
  <c r="AZ479" i="13"/>
  <c r="BQ483" i="13"/>
  <c r="AM485" i="13"/>
  <c r="AV485" i="13"/>
  <c r="AO490" i="13"/>
  <c r="BU490" i="13"/>
  <c r="BJ492" i="13"/>
  <c r="AR495" i="13"/>
  <c r="BI499" i="13"/>
  <c r="AZ501" i="13"/>
  <c r="AX501" i="13"/>
  <c r="AN501" i="13"/>
  <c r="AW501" i="13"/>
  <c r="AM501" i="13"/>
  <c r="AV501" i="13"/>
  <c r="AZ504" i="13"/>
  <c r="AU504" i="13"/>
  <c r="AO504" i="13"/>
  <c r="AO506" i="13"/>
  <c r="BP506" i="13"/>
  <c r="AB507" i="13"/>
  <c r="AA507" i="13"/>
  <c r="AC507" i="13" s="1"/>
  <c r="BS512" i="13"/>
  <c r="BH512" i="13"/>
  <c r="BP512" i="13"/>
  <c r="BL512" i="13"/>
  <c r="BU512" i="13"/>
  <c r="AQ521" i="13"/>
  <c r="AR525" i="13"/>
  <c r="BU534" i="13"/>
  <c r="BV534" i="13"/>
  <c r="BJ534" i="13"/>
  <c r="BS534" i="13"/>
  <c r="BI534" i="13"/>
  <c r="BR534" i="13"/>
  <c r="BH534" i="13"/>
  <c r="BQ534" i="13"/>
  <c r="BG534" i="13"/>
  <c r="BP534" i="13"/>
  <c r="BF534" i="13"/>
  <c r="V540" i="13"/>
  <c r="AE540" i="13" s="1"/>
  <c r="U540" i="13"/>
  <c r="W540" i="13" s="1"/>
  <c r="BV545" i="13"/>
  <c r="BA551" i="13"/>
  <c r="AU551" i="13"/>
  <c r="AT551" i="13"/>
  <c r="AO551" i="13"/>
  <c r="AN551" i="13"/>
  <c r="AM551" i="13"/>
  <c r="BB551" i="13"/>
  <c r="AL551" i="13"/>
  <c r="AP561" i="13"/>
  <c r="AQ561" i="13"/>
  <c r="BM370" i="13"/>
  <c r="BV370" i="13"/>
  <c r="BR375" i="13"/>
  <c r="U391" i="13"/>
  <c r="W391" i="13" s="1"/>
  <c r="AJ393" i="13"/>
  <c r="AY393" i="13"/>
  <c r="AB395" i="13"/>
  <c r="AE395" i="13" s="1"/>
  <c r="AR396" i="13"/>
  <c r="BE397" i="13"/>
  <c r="AP398" i="13"/>
  <c r="AZ398" i="13"/>
  <c r="AR400" i="13"/>
  <c r="AA401" i="13"/>
  <c r="AC401" i="13" s="1"/>
  <c r="BO404" i="13"/>
  <c r="AO407" i="13"/>
  <c r="BA407" i="13"/>
  <c r="BK408" i="13"/>
  <c r="AL409" i="13"/>
  <c r="AW411" i="13"/>
  <c r="BN411" i="13"/>
  <c r="AB412" i="13"/>
  <c r="AV412" i="13"/>
  <c r="BI412" i="13"/>
  <c r="BS412" i="13"/>
  <c r="AK413" i="13"/>
  <c r="BU414" i="13"/>
  <c r="AT416" i="13"/>
  <c r="BF416" i="13"/>
  <c r="BV416" i="13"/>
  <c r="AT417" i="13"/>
  <c r="BT417" i="13"/>
  <c r="AP420" i="13"/>
  <c r="BE420" i="13"/>
  <c r="BP420" i="13"/>
  <c r="BH424" i="13"/>
  <c r="BQ424" i="13"/>
  <c r="AP426" i="13"/>
  <c r="BE426" i="13"/>
  <c r="BP426" i="13"/>
  <c r="BH432" i="13"/>
  <c r="BQ432" i="13"/>
  <c r="BP433" i="13"/>
  <c r="AK434" i="13"/>
  <c r="BA434" i="13"/>
  <c r="BP435" i="13"/>
  <c r="AJ436" i="13"/>
  <c r="AS436" i="13"/>
  <c r="BB436" i="13"/>
  <c r="BM440" i="13"/>
  <c r="BV440" i="13"/>
  <c r="BE441" i="13"/>
  <c r="BR441" i="13"/>
  <c r="BM442" i="13"/>
  <c r="BA443" i="13"/>
  <c r="BW443" i="13"/>
  <c r="BE448" i="13"/>
  <c r="BN448" i="13"/>
  <c r="BW448" i="13"/>
  <c r="V449" i="13"/>
  <c r="AE449" i="13" s="1"/>
  <c r="BO450" i="13"/>
  <c r="AM452" i="13"/>
  <c r="AV452" i="13"/>
  <c r="U453" i="13"/>
  <c r="W453" i="13" s="1"/>
  <c r="AO453" i="13"/>
  <c r="BA453" i="13"/>
  <c r="BK454" i="13"/>
  <c r="AL455" i="13"/>
  <c r="BF455" i="13"/>
  <c r="AB457" i="13"/>
  <c r="BH457" i="13"/>
  <c r="BQ457" i="13"/>
  <c r="AX458" i="13"/>
  <c r="AS459" i="13"/>
  <c r="BE459" i="13"/>
  <c r="BQ459" i="13"/>
  <c r="BN460" i="13"/>
  <c r="AM461" i="13"/>
  <c r="AV461" i="13"/>
  <c r="AY462" i="13"/>
  <c r="BO462" i="13"/>
  <c r="AM463" i="13"/>
  <c r="BE463" i="13"/>
  <c r="BP463" i="13"/>
  <c r="BA464" i="13"/>
  <c r="BH465" i="13"/>
  <c r="BQ465" i="13"/>
  <c r="AQ468" i="13"/>
  <c r="BE468" i="13"/>
  <c r="BO468" i="13"/>
  <c r="BF469" i="13"/>
  <c r="AY470" i="13"/>
  <c r="BE471" i="13"/>
  <c r="BT471" i="13"/>
  <c r="AJ472" i="13"/>
  <c r="AT472" i="13"/>
  <c r="BK472" i="13"/>
  <c r="BE473" i="13"/>
  <c r="BN473" i="13"/>
  <c r="BW473" i="13"/>
  <c r="V474" i="13"/>
  <c r="BE474" i="13"/>
  <c r="BT474" i="13"/>
  <c r="BB475" i="13"/>
  <c r="AN477" i="13"/>
  <c r="AW477" i="13"/>
  <c r="U478" i="13"/>
  <c r="W478" i="13" s="1"/>
  <c r="AX478" i="13"/>
  <c r="BL478" i="13"/>
  <c r="AE479" i="13"/>
  <c r="AO479" i="13"/>
  <c r="AS480" i="13"/>
  <c r="BJ481" i="13"/>
  <c r="BS481" i="13"/>
  <c r="BK482" i="13"/>
  <c r="BE483" i="13"/>
  <c r="BR483" i="13"/>
  <c r="AN484" i="13"/>
  <c r="AN485" i="13"/>
  <c r="AW485" i="13"/>
  <c r="BB487" i="13"/>
  <c r="AU487" i="13"/>
  <c r="AW487" i="13"/>
  <c r="BU489" i="13"/>
  <c r="BV489" i="13"/>
  <c r="BJ489" i="13"/>
  <c r="BS489" i="13"/>
  <c r="BI489" i="13"/>
  <c r="BQ489" i="13"/>
  <c r="AV490" i="13"/>
  <c r="BM492" i="13"/>
  <c r="AB493" i="13"/>
  <c r="AU495" i="13"/>
  <c r="V498" i="13"/>
  <c r="AE498" i="13" s="1"/>
  <c r="U498" i="13"/>
  <c r="W498" i="13" s="1"/>
  <c r="AW498" i="13"/>
  <c r="AB499" i="13"/>
  <c r="BJ499" i="13"/>
  <c r="AK501" i="13"/>
  <c r="BA501" i="13"/>
  <c r="AL504" i="13"/>
  <c r="AT505" i="13"/>
  <c r="AS505" i="13"/>
  <c r="AT506" i="13"/>
  <c r="BF508" i="13"/>
  <c r="BW508" i="13"/>
  <c r="BU508" i="13"/>
  <c r="BE511" i="13"/>
  <c r="BU511" i="13"/>
  <c r="BO511" i="13"/>
  <c r="AS512" i="13"/>
  <c r="BB512" i="13"/>
  <c r="AN512" i="13"/>
  <c r="AZ512" i="13"/>
  <c r="AM512" i="13"/>
  <c r="BF512" i="13"/>
  <c r="AA513" i="13"/>
  <c r="AC513" i="13" s="1"/>
  <c r="AB514" i="13"/>
  <c r="AE514" i="13" s="1"/>
  <c r="BU518" i="13"/>
  <c r="BP518" i="13"/>
  <c r="BF518" i="13"/>
  <c r="BN518" i="13"/>
  <c r="BW518" i="13"/>
  <c r="BK518" i="13"/>
  <c r="BV518" i="13"/>
  <c r="BJ518" i="13"/>
  <c r="AV525" i="13"/>
  <c r="AA530" i="13"/>
  <c r="AC530" i="13" s="1"/>
  <c r="AF530" i="13" s="1"/>
  <c r="AB530" i="13"/>
  <c r="BK534" i="13"/>
  <c r="AX537" i="13"/>
  <c r="AV537" i="13"/>
  <c r="AS537" i="13"/>
  <c r="AQ537" i="13"/>
  <c r="AP537" i="13"/>
  <c r="AK537" i="13"/>
  <c r="AA544" i="13"/>
  <c r="AC544" i="13" s="1"/>
  <c r="AF544" i="13" s="1"/>
  <c r="AA546" i="13"/>
  <c r="AC546" i="13" s="1"/>
  <c r="AB546" i="13"/>
  <c r="AE546" i="13" s="1"/>
  <c r="AV551" i="13"/>
  <c r="BA559" i="13"/>
  <c r="AU559" i="13"/>
  <c r="AT559" i="13"/>
  <c r="AO559" i="13"/>
  <c r="AN559" i="13"/>
  <c r="AM559" i="13"/>
  <c r="BB559" i="13"/>
  <c r="AL559" i="13"/>
  <c r="BT564" i="13"/>
  <c r="BU564" i="13"/>
  <c r="BO564" i="13"/>
  <c r="BN564" i="13"/>
  <c r="BM564" i="13"/>
  <c r="BG564" i="13"/>
  <c r="BF564" i="13"/>
  <c r="V600" i="13"/>
  <c r="U600" i="13"/>
  <c r="W600" i="13" s="1"/>
  <c r="AA602" i="13"/>
  <c r="AC602" i="13" s="1"/>
  <c r="AB602" i="13"/>
  <c r="BT642" i="13"/>
  <c r="BW642" i="13"/>
  <c r="BN642" i="13"/>
  <c r="BE642" i="13"/>
  <c r="BP642" i="13"/>
  <c r="BF642" i="13"/>
  <c r="BM642" i="13"/>
  <c r="BU642" i="13"/>
  <c r="BJ642" i="13"/>
  <c r="BS642" i="13"/>
  <c r="BI642" i="13"/>
  <c r="BR642" i="13"/>
  <c r="BQ642" i="13"/>
  <c r="BO642" i="13"/>
  <c r="BK642" i="13"/>
  <c r="BH642" i="13"/>
  <c r="BG642" i="13"/>
  <c r="AR398" i="13"/>
  <c r="BA398" i="13"/>
  <c r="AT400" i="13"/>
  <c r="AP407" i="13"/>
  <c r="BN408" i="13"/>
  <c r="BP411" i="13"/>
  <c r="AX412" i="13"/>
  <c r="BJ412" i="13"/>
  <c r="BU412" i="13"/>
  <c r="AU417" i="13"/>
  <c r="AS420" i="13"/>
  <c r="AE421" i="13"/>
  <c r="BI424" i="13"/>
  <c r="BR424" i="13"/>
  <c r="AS426" i="13"/>
  <c r="BI432" i="13"/>
  <c r="BR432" i="13"/>
  <c r="BR435" i="13"/>
  <c r="BO442" i="13"/>
  <c r="AN452" i="13"/>
  <c r="AW452" i="13"/>
  <c r="AP453" i="13"/>
  <c r="BN454" i="13"/>
  <c r="BI457" i="13"/>
  <c r="BR457" i="13"/>
  <c r="BA458" i="13"/>
  <c r="AU459" i="13"/>
  <c r="AN461" i="13"/>
  <c r="AW461" i="13"/>
  <c r="BQ462" i="13"/>
  <c r="BI465" i="13"/>
  <c r="BR465" i="13"/>
  <c r="AR468" i="13"/>
  <c r="BA470" i="13"/>
  <c r="AO477" i="13"/>
  <c r="AX477" i="13"/>
  <c r="AE478" i="13"/>
  <c r="AY478" i="13"/>
  <c r="BO478" i="13"/>
  <c r="AP479" i="13"/>
  <c r="BL482" i="13"/>
  <c r="BH483" i="13"/>
  <c r="BS483" i="13"/>
  <c r="AP484" i="13"/>
  <c r="AO485" i="13"/>
  <c r="AX485" i="13"/>
  <c r="AX486" i="13"/>
  <c r="AR486" i="13"/>
  <c r="AY488" i="13"/>
  <c r="AW488" i="13"/>
  <c r="AM488" i="13"/>
  <c r="AV488" i="13"/>
  <c r="AL488" i="13"/>
  <c r="AU488" i="13"/>
  <c r="AW489" i="13"/>
  <c r="AR489" i="13"/>
  <c r="BR489" i="13"/>
  <c r="AW490" i="13"/>
  <c r="AQ491" i="13"/>
  <c r="AL491" i="13"/>
  <c r="BB491" i="13"/>
  <c r="BN492" i="13"/>
  <c r="AV495" i="13"/>
  <c r="BP499" i="13"/>
  <c r="AL501" i="13"/>
  <c r="BB501" i="13"/>
  <c r="AM504" i="13"/>
  <c r="AJ505" i="13"/>
  <c r="AU506" i="13"/>
  <c r="AN507" i="13"/>
  <c r="BE508" i="13"/>
  <c r="AX510" i="13"/>
  <c r="AR510" i="13"/>
  <c r="V511" i="13"/>
  <c r="U511" i="13"/>
  <c r="W511" i="13" s="1"/>
  <c r="BF511" i="13"/>
  <c r="AJ512" i="13"/>
  <c r="BI512" i="13"/>
  <c r="BG518" i="13"/>
  <c r="BT521" i="13"/>
  <c r="BU521" i="13"/>
  <c r="BK521" i="13"/>
  <c r="BR521" i="13"/>
  <c r="BI521" i="13"/>
  <c r="BQ521" i="13"/>
  <c r="BH521" i="13"/>
  <c r="BP521" i="13"/>
  <c r="BG521" i="13"/>
  <c r="BV521" i="13"/>
  <c r="AA523" i="13"/>
  <c r="AC523" i="13" s="1"/>
  <c r="AX525" i="13"/>
  <c r="BT537" i="13"/>
  <c r="BU537" i="13"/>
  <c r="BK537" i="13"/>
  <c r="BS537" i="13"/>
  <c r="BJ537" i="13"/>
  <c r="BR537" i="13"/>
  <c r="BI537" i="13"/>
  <c r="BQ537" i="13"/>
  <c r="BH537" i="13"/>
  <c r="BP537" i="13"/>
  <c r="BG537" i="13"/>
  <c r="BO537" i="13"/>
  <c r="BF537" i="13"/>
  <c r="AB556" i="13"/>
  <c r="AA556" i="13"/>
  <c r="AC556" i="13" s="1"/>
  <c r="AF556" i="13" s="1"/>
  <c r="AY560" i="13"/>
  <c r="AT560" i="13"/>
  <c r="AS560" i="13"/>
  <c r="AR560" i="13"/>
  <c r="AL560" i="13"/>
  <c r="AK560" i="13"/>
  <c r="BB560" i="13"/>
  <c r="AJ560" i="13"/>
  <c r="AZ562" i="13"/>
  <c r="AS562" i="13"/>
  <c r="BB562" i="13"/>
  <c r="AP562" i="13"/>
  <c r="BA562" i="13"/>
  <c r="AO562" i="13"/>
  <c r="AX562" i="13"/>
  <c r="AN562" i="13"/>
  <c r="AW562" i="13"/>
  <c r="AM562" i="13"/>
  <c r="AV562" i="13"/>
  <c r="AL562" i="13"/>
  <c r="AV588" i="13"/>
  <c r="AS588" i="13"/>
  <c r="AQ588" i="13"/>
  <c r="AP588" i="13"/>
  <c r="BB588" i="13"/>
  <c r="AN588" i="13"/>
  <c r="AZ588" i="13"/>
  <c r="AM588" i="13"/>
  <c r="AB597" i="13"/>
  <c r="AA597" i="13"/>
  <c r="AC597" i="13" s="1"/>
  <c r="AB623" i="13"/>
  <c r="AA623" i="13"/>
  <c r="AC623" i="13" s="1"/>
  <c r="AS365" i="13"/>
  <c r="AE368" i="13"/>
  <c r="BF370" i="13"/>
  <c r="BO370" i="13"/>
  <c r="BH375" i="13"/>
  <c r="AL378" i="13"/>
  <c r="BG386" i="13"/>
  <c r="BP386" i="13"/>
  <c r="AL393" i="13"/>
  <c r="BS393" i="13"/>
  <c r="BK395" i="13"/>
  <c r="BO396" i="13"/>
  <c r="BO397" i="13"/>
  <c r="AJ398" i="13"/>
  <c r="AS398" i="13"/>
  <c r="BB398" i="13"/>
  <c r="AJ400" i="13"/>
  <c r="AU400" i="13"/>
  <c r="AN403" i="13"/>
  <c r="BG404" i="13"/>
  <c r="BQ404" i="13"/>
  <c r="AR407" i="13"/>
  <c r="BO408" i="13"/>
  <c r="BB409" i="13"/>
  <c r="BM410" i="13"/>
  <c r="BV410" i="13"/>
  <c r="BE411" i="13"/>
  <c r="BR411" i="13"/>
  <c r="AK412" i="13"/>
  <c r="BA412" i="13"/>
  <c r="BK412" i="13"/>
  <c r="BW412" i="13"/>
  <c r="AL416" i="13"/>
  <c r="AV416" i="13"/>
  <c r="BI416" i="13"/>
  <c r="AW417" i="13"/>
  <c r="AT420" i="13"/>
  <c r="BH420" i="13"/>
  <c r="BR420" i="13"/>
  <c r="BH421" i="13"/>
  <c r="BJ424" i="13"/>
  <c r="BS424" i="13"/>
  <c r="AQ425" i="13"/>
  <c r="AT426" i="13"/>
  <c r="BH426" i="13"/>
  <c r="BR426" i="13"/>
  <c r="BH427" i="13"/>
  <c r="BW428" i="13"/>
  <c r="U429" i="13"/>
  <c r="W429" i="13" s="1"/>
  <c r="AM431" i="13"/>
  <c r="BK431" i="13"/>
  <c r="BJ432" i="13"/>
  <c r="BS432" i="13"/>
  <c r="BF433" i="13"/>
  <c r="BS433" i="13"/>
  <c r="AN434" i="13"/>
  <c r="BO434" i="13"/>
  <c r="BW435" i="13"/>
  <c r="AL436" i="13"/>
  <c r="AU436" i="13"/>
  <c r="AM439" i="13"/>
  <c r="BK439" i="13"/>
  <c r="BF440" i="13"/>
  <c r="BO440" i="13"/>
  <c r="BH441" i="13"/>
  <c r="BU441" i="13"/>
  <c r="BE442" i="13"/>
  <c r="BP442" i="13"/>
  <c r="AB443" i="13"/>
  <c r="BG443" i="13"/>
  <c r="AM447" i="13"/>
  <c r="BK447" i="13"/>
  <c r="BG448" i="13"/>
  <c r="BP448" i="13"/>
  <c r="V450" i="13"/>
  <c r="BG450" i="13"/>
  <c r="BQ450" i="13"/>
  <c r="BH451" i="13"/>
  <c r="AO452" i="13"/>
  <c r="AX452" i="13"/>
  <c r="AR453" i="13"/>
  <c r="BI453" i="13"/>
  <c r="BO454" i="13"/>
  <c r="AO455" i="13"/>
  <c r="BN455" i="13"/>
  <c r="BJ457" i="13"/>
  <c r="BS457" i="13"/>
  <c r="AJ459" i="13"/>
  <c r="BH459" i="13"/>
  <c r="BF460" i="13"/>
  <c r="BP460" i="13"/>
  <c r="AO461" i="13"/>
  <c r="AX461" i="13"/>
  <c r="AK462" i="13"/>
  <c r="BR462" i="13"/>
  <c r="BG463" i="13"/>
  <c r="AS464" i="13"/>
  <c r="AP465" i="13"/>
  <c r="BJ465" i="13"/>
  <c r="BS465" i="13"/>
  <c r="BK467" i="13"/>
  <c r="AV468" i="13"/>
  <c r="BG468" i="13"/>
  <c r="BQ468" i="13"/>
  <c r="BH471" i="13"/>
  <c r="AL472" i="13"/>
  <c r="AV472" i="13"/>
  <c r="BG473" i="13"/>
  <c r="BP473" i="13"/>
  <c r="BH474" i="13"/>
  <c r="BH475" i="13"/>
  <c r="AP476" i="13"/>
  <c r="AP477" i="13"/>
  <c r="AZ477" i="13"/>
  <c r="AA478" i="13"/>
  <c r="AC478" i="13" s="1"/>
  <c r="BA478" i="13"/>
  <c r="BP478" i="13"/>
  <c r="AR479" i="13"/>
  <c r="BI479" i="13"/>
  <c r="AK480" i="13"/>
  <c r="AU480" i="13"/>
  <c r="BM481" i="13"/>
  <c r="BV481" i="13"/>
  <c r="AE482" i="13"/>
  <c r="BN482" i="13"/>
  <c r="BI483" i="13"/>
  <c r="BU483" i="13"/>
  <c r="AP485" i="13"/>
  <c r="AZ485" i="13"/>
  <c r="BV486" i="13"/>
  <c r="BQ486" i="13"/>
  <c r="BW486" i="13"/>
  <c r="AM487" i="13"/>
  <c r="AZ487" i="13"/>
  <c r="AJ488" i="13"/>
  <c r="AZ488" i="13"/>
  <c r="AJ489" i="13"/>
  <c r="BG489" i="13"/>
  <c r="BW489" i="13"/>
  <c r="AJ491" i="13"/>
  <c r="AA495" i="13"/>
  <c r="AC495" i="13" s="1"/>
  <c r="BA498" i="13"/>
  <c r="AU498" i="13"/>
  <c r="AT498" i="13"/>
  <c r="BM498" i="13"/>
  <c r="BL498" i="13"/>
  <c r="BA499" i="13"/>
  <c r="AL499" i="13"/>
  <c r="AK499" i="13"/>
  <c r="AO501" i="13"/>
  <c r="BV503" i="13"/>
  <c r="BN503" i="13"/>
  <c r="AN504" i="13"/>
  <c r="AK505" i="13"/>
  <c r="AX507" i="13"/>
  <c r="V508" i="13"/>
  <c r="U508" i="13"/>
  <c r="W508" i="13" s="1"/>
  <c r="BL508" i="13"/>
  <c r="AQ510" i="13"/>
  <c r="BL511" i="13"/>
  <c r="AO512" i="13"/>
  <c r="BJ512" i="13"/>
  <c r="BH518" i="13"/>
  <c r="V521" i="13"/>
  <c r="BE521" i="13"/>
  <c r="BW521" i="13"/>
  <c r="BB523" i="13"/>
  <c r="AL523" i="13"/>
  <c r="AZ523" i="13"/>
  <c r="AY523" i="13"/>
  <c r="AX523" i="13"/>
  <c r="V532" i="13"/>
  <c r="AE532" i="13" s="1"/>
  <c r="U532" i="13"/>
  <c r="W532" i="13" s="1"/>
  <c r="BO534" i="13"/>
  <c r="BE537" i="13"/>
  <c r="BB540" i="13"/>
  <c r="AU540" i="13"/>
  <c r="AR540" i="13"/>
  <c r="AP540" i="13"/>
  <c r="AO540" i="13"/>
  <c r="AZ540" i="13"/>
  <c r="AN540" i="13"/>
  <c r="AX540" i="13"/>
  <c r="AM540" i="13"/>
  <c r="AA547" i="13"/>
  <c r="AC547" i="13" s="1"/>
  <c r="AY557" i="13"/>
  <c r="AX557" i="13"/>
  <c r="AO557" i="13"/>
  <c r="AW557" i="13"/>
  <c r="AN557" i="13"/>
  <c r="AV557" i="13"/>
  <c r="AM557" i="13"/>
  <c r="AU557" i="13"/>
  <c r="AL557" i="13"/>
  <c r="AT557" i="13"/>
  <c r="AK557" i="13"/>
  <c r="BB557" i="13"/>
  <c r="AS557" i="13"/>
  <c r="AJ557" i="13"/>
  <c r="AZ563" i="13"/>
  <c r="AK563" i="13"/>
  <c r="BA575" i="13"/>
  <c r="AU575" i="13"/>
  <c r="AT575" i="13"/>
  <c r="AO575" i="13"/>
  <c r="AN575" i="13"/>
  <c r="AM575" i="13"/>
  <c r="BB575" i="13"/>
  <c r="AL575" i="13"/>
  <c r="BA583" i="13"/>
  <c r="AV583" i="13"/>
  <c r="AU583" i="13"/>
  <c r="AT583" i="13"/>
  <c r="AO583" i="13"/>
  <c r="AN583" i="13"/>
  <c r="AM583" i="13"/>
  <c r="AA621" i="13"/>
  <c r="AC621" i="13" s="1"/>
  <c r="AB621" i="13"/>
  <c r="AE621" i="13" s="1"/>
  <c r="BQ643" i="13"/>
  <c r="BP643" i="13"/>
  <c r="BF643" i="13"/>
  <c r="BM643" i="13"/>
  <c r="BV643" i="13"/>
  <c r="BJ643" i="13"/>
  <c r="BS643" i="13"/>
  <c r="BG643" i="13"/>
  <c r="BR643" i="13"/>
  <c r="BE643" i="13"/>
  <c r="BW643" i="13"/>
  <c r="BU643" i="13"/>
  <c r="BO643" i="13"/>
  <c r="BN643" i="13"/>
  <c r="BK643" i="13"/>
  <c r="BH643" i="13"/>
  <c r="BS656" i="13"/>
  <c r="BV656" i="13"/>
  <c r="BN656" i="13"/>
  <c r="BT462" i="13"/>
  <c r="AX468" i="13"/>
  <c r="AR477" i="13"/>
  <c r="BA477" i="13"/>
  <c r="BR478" i="13"/>
  <c r="AR485" i="13"/>
  <c r="BA485" i="13"/>
  <c r="BO487" i="13"/>
  <c r="BW487" i="13"/>
  <c r="BN487" i="13"/>
  <c r="BA490" i="13"/>
  <c r="AU490" i="13"/>
  <c r="AT490" i="13"/>
  <c r="BM490" i="13"/>
  <c r="BK490" i="13"/>
  <c r="BT492" i="13"/>
  <c r="BU492" i="13"/>
  <c r="BI492" i="13"/>
  <c r="BR492" i="13"/>
  <c r="BH492" i="13"/>
  <c r="BP492" i="13"/>
  <c r="AX494" i="13"/>
  <c r="BA494" i="13"/>
  <c r="BB495" i="13"/>
  <c r="AZ495" i="13"/>
  <c r="AN495" i="13"/>
  <c r="AX495" i="13"/>
  <c r="AM495" i="13"/>
  <c r="V501" i="13"/>
  <c r="AE501" i="13" s="1"/>
  <c r="U501" i="13"/>
  <c r="W501" i="13" s="1"/>
  <c r="V504" i="13"/>
  <c r="U504" i="13"/>
  <c r="W504" i="13" s="1"/>
  <c r="AA521" i="13"/>
  <c r="AC521" i="13" s="1"/>
  <c r="AB521" i="13"/>
  <c r="AE524" i="13"/>
  <c r="AY525" i="13"/>
  <c r="AW525" i="13"/>
  <c r="AN525" i="13"/>
  <c r="AU525" i="13"/>
  <c r="AL525" i="13"/>
  <c r="AT525" i="13"/>
  <c r="AK525" i="13"/>
  <c r="BB525" i="13"/>
  <c r="AS525" i="13"/>
  <c r="AJ525" i="13"/>
  <c r="BA525" i="13"/>
  <c r="BT545" i="13"/>
  <c r="BU545" i="13"/>
  <c r="BK545" i="13"/>
  <c r="BS545" i="13"/>
  <c r="BJ545" i="13"/>
  <c r="BR545" i="13"/>
  <c r="BI545" i="13"/>
  <c r="BQ545" i="13"/>
  <c r="BH545" i="13"/>
  <c r="BP545" i="13"/>
  <c r="BG545" i="13"/>
  <c r="BO545" i="13"/>
  <c r="BF545" i="13"/>
  <c r="AB550" i="13"/>
  <c r="AE550" i="13" s="1"/>
  <c r="AA550" i="13"/>
  <c r="AC550" i="13" s="1"/>
  <c r="AA554" i="13"/>
  <c r="AC554" i="13" s="1"/>
  <c r="AB554" i="13"/>
  <c r="AE554" i="13" s="1"/>
  <c r="BU558" i="13"/>
  <c r="BN558" i="13"/>
  <c r="BW558" i="13"/>
  <c r="BK558" i="13"/>
  <c r="BV558" i="13"/>
  <c r="BJ558" i="13"/>
  <c r="BS558" i="13"/>
  <c r="BI558" i="13"/>
  <c r="BR558" i="13"/>
  <c r="BH558" i="13"/>
  <c r="BQ558" i="13"/>
  <c r="BG558" i="13"/>
  <c r="AB565" i="13"/>
  <c r="AA565" i="13"/>
  <c r="AC565" i="13" s="1"/>
  <c r="BT572" i="13"/>
  <c r="BU572" i="13"/>
  <c r="BO572" i="13"/>
  <c r="BN572" i="13"/>
  <c r="BM572" i="13"/>
  <c r="BG572" i="13"/>
  <c r="BF572" i="13"/>
  <c r="BT577" i="13"/>
  <c r="BS577" i="13"/>
  <c r="BJ577" i="13"/>
  <c r="BR577" i="13"/>
  <c r="BI577" i="13"/>
  <c r="BQ577" i="13"/>
  <c r="BH577" i="13"/>
  <c r="BP577" i="13"/>
  <c r="BG577" i="13"/>
  <c r="BO577" i="13"/>
  <c r="BF577" i="13"/>
  <c r="BW577" i="13"/>
  <c r="BN577" i="13"/>
  <c r="BE577" i="13"/>
  <c r="AY584" i="13"/>
  <c r="AZ584" i="13"/>
  <c r="AT584" i="13"/>
  <c r="AS584" i="13"/>
  <c r="AR584" i="13"/>
  <c r="AL584" i="13"/>
  <c r="AK584" i="13"/>
  <c r="AZ593" i="13"/>
  <c r="AW593" i="13"/>
  <c r="AV593" i="13"/>
  <c r="AU593" i="13"/>
  <c r="AO593" i="13"/>
  <c r="AN593" i="13"/>
  <c r="AM593" i="13"/>
  <c r="V605" i="13"/>
  <c r="U605" i="13"/>
  <c r="W605" i="13" s="1"/>
  <c r="BM609" i="13"/>
  <c r="BH609" i="13"/>
  <c r="BF609" i="13"/>
  <c r="BS609" i="13"/>
  <c r="BQ609" i="13"/>
  <c r="BP609" i="13"/>
  <c r="AB613" i="13"/>
  <c r="AE613" i="13" s="1"/>
  <c r="AA613" i="13"/>
  <c r="AC613" i="13" s="1"/>
  <c r="AY614" i="13"/>
  <c r="AV614" i="13"/>
  <c r="AM614" i="13"/>
  <c r="AU614" i="13"/>
  <c r="AL614" i="13"/>
  <c r="AR614" i="13"/>
  <c r="BB614" i="13"/>
  <c r="AP614" i="13"/>
  <c r="BA614" i="13"/>
  <c r="AO614" i="13"/>
  <c r="AZ614" i="13"/>
  <c r="AN614" i="13"/>
  <c r="AX614" i="13"/>
  <c r="AK614" i="13"/>
  <c r="AW614" i="13"/>
  <c r="AJ614" i="13"/>
  <c r="AV615" i="13"/>
  <c r="AZ615" i="13"/>
  <c r="AO615" i="13"/>
  <c r="AX615" i="13"/>
  <c r="AM615" i="13"/>
  <c r="AT615" i="13"/>
  <c r="AS615" i="13"/>
  <c r="AR615" i="13"/>
  <c r="AP615" i="13"/>
  <c r="BB615" i="13"/>
  <c r="AL615" i="13"/>
  <c r="BA615" i="13"/>
  <c r="AK615" i="13"/>
  <c r="BQ619" i="13"/>
  <c r="BP619" i="13"/>
  <c r="BF619" i="13"/>
  <c r="BO619" i="13"/>
  <c r="BE619" i="13"/>
  <c r="BR619" i="13"/>
  <c r="BN619" i="13"/>
  <c r="BM619" i="13"/>
  <c r="BK619" i="13"/>
  <c r="BW619" i="13"/>
  <c r="BJ619" i="13"/>
  <c r="BV619" i="13"/>
  <c r="BH619" i="13"/>
  <c r="BF656" i="13"/>
  <c r="AA659" i="13"/>
  <c r="AC659" i="13" s="1"/>
  <c r="AF659" i="13" s="1"/>
  <c r="AB659" i="13"/>
  <c r="AU407" i="13"/>
  <c r="BS408" i="13"/>
  <c r="BO412" i="13"/>
  <c r="BI415" i="13"/>
  <c r="AX420" i="13"/>
  <c r="BM424" i="13"/>
  <c r="BV424" i="13"/>
  <c r="AX426" i="13"/>
  <c r="BI429" i="13"/>
  <c r="AE430" i="13"/>
  <c r="BM432" i="13"/>
  <c r="BV432" i="13"/>
  <c r="V434" i="13"/>
  <c r="AB435" i="13"/>
  <c r="AE435" i="13" s="1"/>
  <c r="BG435" i="13"/>
  <c r="AE438" i="13"/>
  <c r="AK443" i="13"/>
  <c r="AN449" i="13"/>
  <c r="AB450" i="13"/>
  <c r="AR452" i="13"/>
  <c r="BA452" i="13"/>
  <c r="AU453" i="13"/>
  <c r="AA454" i="13"/>
  <c r="AC454" i="13" s="1"/>
  <c r="BS454" i="13"/>
  <c r="BM457" i="13"/>
  <c r="BV457" i="13"/>
  <c r="AR461" i="13"/>
  <c r="BA461" i="13"/>
  <c r="BM465" i="13"/>
  <c r="BV465" i="13"/>
  <c r="U467" i="13"/>
  <c r="W467" i="13" s="1"/>
  <c r="AJ468" i="13"/>
  <c r="AL470" i="13"/>
  <c r="AJ477" i="13"/>
  <c r="AS477" i="13"/>
  <c r="BB477" i="13"/>
  <c r="AJ478" i="13"/>
  <c r="BG478" i="13"/>
  <c r="AV479" i="13"/>
  <c r="AJ485" i="13"/>
  <c r="AS485" i="13"/>
  <c r="BB485" i="13"/>
  <c r="BG487" i="13"/>
  <c r="AL490" i="13"/>
  <c r="BE490" i="13"/>
  <c r="V492" i="13"/>
  <c r="BE492" i="13"/>
  <c r="BQ492" i="13"/>
  <c r="AJ494" i="13"/>
  <c r="AJ495" i="13"/>
  <c r="BF495" i="13"/>
  <c r="AB497" i="13"/>
  <c r="AE497" i="13" s="1"/>
  <c r="AA497" i="13"/>
  <c r="AC497" i="13" s="1"/>
  <c r="BW499" i="13"/>
  <c r="BM499" i="13"/>
  <c r="BK499" i="13"/>
  <c r="BS499" i="13"/>
  <c r="BA506" i="13"/>
  <c r="AP506" i="13"/>
  <c r="AX506" i="13"/>
  <c r="AM506" i="13"/>
  <c r="AW506" i="13"/>
  <c r="AL506" i="13"/>
  <c r="BA521" i="13"/>
  <c r="AJ521" i="13"/>
  <c r="AY521" i="13"/>
  <c r="AV521" i="13"/>
  <c r="AR521" i="13"/>
  <c r="AM525" i="13"/>
  <c r="AA531" i="13"/>
  <c r="AC531" i="13" s="1"/>
  <c r="AB531" i="13"/>
  <c r="BE545" i="13"/>
  <c r="BF558" i="13"/>
  <c r="BE572" i="13"/>
  <c r="BW576" i="13"/>
  <c r="BM576" i="13"/>
  <c r="BK576" i="13"/>
  <c r="BJ576" i="13"/>
  <c r="BU576" i="13"/>
  <c r="BI576" i="13"/>
  <c r="BS576" i="13"/>
  <c r="BH576" i="13"/>
  <c r="BR576" i="13"/>
  <c r="BE576" i="13"/>
  <c r="BK577" i="13"/>
  <c r="AJ584" i="13"/>
  <c r="AS591" i="13"/>
  <c r="AQ591" i="13"/>
  <c r="AP591" i="13"/>
  <c r="BB591" i="13"/>
  <c r="AO591" i="13"/>
  <c r="AZ591" i="13"/>
  <c r="AM591" i="13"/>
  <c r="AY591" i="13"/>
  <c r="AJ591" i="13"/>
  <c r="AL593" i="13"/>
  <c r="AV603" i="13"/>
  <c r="AS603" i="13"/>
  <c r="AQ603" i="13"/>
  <c r="AP603" i="13"/>
  <c r="BB603" i="13"/>
  <c r="AO603" i="13"/>
  <c r="BA603" i="13"/>
  <c r="AN603" i="13"/>
  <c r="AB606" i="13"/>
  <c r="AE606" i="13" s="1"/>
  <c r="AA606" i="13"/>
  <c r="AC606" i="13" s="1"/>
  <c r="BE609" i="13"/>
  <c r="U611" i="13"/>
  <c r="W611" i="13" s="1"/>
  <c r="V611" i="13"/>
  <c r="AS614" i="13"/>
  <c r="AJ615" i="13"/>
  <c r="AR616" i="13"/>
  <c r="AQ616" i="13"/>
  <c r="AW616" i="13"/>
  <c r="AT616" i="13"/>
  <c r="AO616" i="13"/>
  <c r="AM616" i="13"/>
  <c r="AL616" i="13"/>
  <c r="BB616" i="13"/>
  <c r="AJ616" i="13"/>
  <c r="BG619" i="13"/>
  <c r="AB637" i="13"/>
  <c r="AA637" i="13"/>
  <c r="AC637" i="13" s="1"/>
  <c r="BV640" i="13"/>
  <c r="BH640" i="13"/>
  <c r="BT640" i="13"/>
  <c r="BN640" i="13"/>
  <c r="AB645" i="13"/>
  <c r="AE645" i="13" s="1"/>
  <c r="V650" i="13"/>
  <c r="BQ491" i="13"/>
  <c r="AS493" i="13"/>
  <c r="BQ494" i="13"/>
  <c r="AR496" i="13"/>
  <c r="BB496" i="13"/>
  <c r="BM500" i="13"/>
  <c r="BW500" i="13"/>
  <c r="AU503" i="13"/>
  <c r="BT507" i="13"/>
  <c r="AR509" i="13"/>
  <c r="BA509" i="13"/>
  <c r="BK510" i="13"/>
  <c r="BH513" i="13"/>
  <c r="BQ513" i="13"/>
  <c r="AU514" i="13"/>
  <c r="BK515" i="13"/>
  <c r="AQ516" i="13"/>
  <c r="AP517" i="13"/>
  <c r="AZ517" i="13"/>
  <c r="AT518" i="13"/>
  <c r="AV519" i="13"/>
  <c r="BL519" i="13"/>
  <c r="BK520" i="13"/>
  <c r="AP522" i="13"/>
  <c r="BB522" i="13"/>
  <c r="BR522" i="13"/>
  <c r="BL523" i="13"/>
  <c r="AV524" i="13"/>
  <c r="BT524" i="13"/>
  <c r="BS525" i="13"/>
  <c r="AX526" i="13"/>
  <c r="BK526" i="13"/>
  <c r="BW526" i="13"/>
  <c r="BP528" i="13"/>
  <c r="BI529" i="13"/>
  <c r="BR529" i="13"/>
  <c r="AS530" i="13"/>
  <c r="AO533" i="13"/>
  <c r="AX533" i="13"/>
  <c r="BT533" i="13"/>
  <c r="BN535" i="13"/>
  <c r="BP536" i="13"/>
  <c r="AO538" i="13"/>
  <c r="BA538" i="13"/>
  <c r="AS539" i="13"/>
  <c r="BT539" i="13"/>
  <c r="AN541" i="13"/>
  <c r="AW541" i="13"/>
  <c r="BQ541" i="13"/>
  <c r="BI542" i="13"/>
  <c r="BS542" i="13"/>
  <c r="AT543" i="13"/>
  <c r="AV544" i="13"/>
  <c r="BK544" i="13"/>
  <c r="AP546" i="13"/>
  <c r="BB546" i="13"/>
  <c r="BI547" i="13"/>
  <c r="AN549" i="13"/>
  <c r="AW549" i="13"/>
  <c r="BO550" i="13"/>
  <c r="AS552" i="13"/>
  <c r="BJ552" i="13"/>
  <c r="AP554" i="13"/>
  <c r="BB554" i="13"/>
  <c r="BP555" i="13"/>
  <c r="AU556" i="13"/>
  <c r="BM556" i="13"/>
  <c r="BP560" i="13"/>
  <c r="BK561" i="13"/>
  <c r="BU561" i="13"/>
  <c r="BM562" i="13"/>
  <c r="BP563" i="13"/>
  <c r="AR564" i="13"/>
  <c r="AN565" i="13"/>
  <c r="AW565" i="13"/>
  <c r="BN566" i="13"/>
  <c r="AT567" i="13"/>
  <c r="BA568" i="13"/>
  <c r="BM568" i="13"/>
  <c r="BJ569" i="13"/>
  <c r="BS569" i="13"/>
  <c r="AM570" i="13"/>
  <c r="AW570" i="13"/>
  <c r="BM570" i="13"/>
  <c r="BP571" i="13"/>
  <c r="AR572" i="13"/>
  <c r="AL573" i="13"/>
  <c r="AU573" i="13"/>
  <c r="AE574" i="13"/>
  <c r="AL576" i="13"/>
  <c r="AN578" i="13"/>
  <c r="AX578" i="13"/>
  <c r="BR579" i="13"/>
  <c r="AV580" i="13"/>
  <c r="BM580" i="13"/>
  <c r="AO581" i="13"/>
  <c r="AX581" i="13"/>
  <c r="BI582" i="13"/>
  <c r="BS582" i="13"/>
  <c r="BQ584" i="13"/>
  <c r="BM586" i="13"/>
  <c r="BV586" i="13"/>
  <c r="AU587" i="13"/>
  <c r="BL588" i="13"/>
  <c r="AO590" i="13"/>
  <c r="AX590" i="13"/>
  <c r="BK591" i="13"/>
  <c r="AT594" i="13"/>
  <c r="BI594" i="13"/>
  <c r="BR594" i="13"/>
  <c r="AV595" i="13"/>
  <c r="BO595" i="13"/>
  <c r="BJ596" i="13"/>
  <c r="AV597" i="13"/>
  <c r="AP598" i="13"/>
  <c r="AZ598" i="13"/>
  <c r="BO598" i="13"/>
  <c r="BT599" i="13"/>
  <c r="AV600" i="13"/>
  <c r="AM601" i="13"/>
  <c r="AY601" i="13"/>
  <c r="BJ601" i="13"/>
  <c r="BB602" i="13"/>
  <c r="BK602" i="13"/>
  <c r="BU602" i="13"/>
  <c r="BH605" i="13"/>
  <c r="AR607" i="13"/>
  <c r="BB607" i="13"/>
  <c r="BQ607" i="13"/>
  <c r="BK610" i="13"/>
  <c r="AV612" i="13"/>
  <c r="BL612" i="13"/>
  <c r="BM613" i="13"/>
  <c r="BL613" i="13"/>
  <c r="BU613" i="13"/>
  <c r="BL614" i="13"/>
  <c r="BW617" i="13"/>
  <c r="BN617" i="13"/>
  <c r="BM617" i="13"/>
  <c r="BS617" i="13"/>
  <c r="AY622" i="13"/>
  <c r="AW622" i="13"/>
  <c r="AN622" i="13"/>
  <c r="AU622" i="13"/>
  <c r="AL622" i="13"/>
  <c r="AT622" i="13"/>
  <c r="AK622" i="13"/>
  <c r="AX622" i="13"/>
  <c r="BK627" i="13"/>
  <c r="AR630" i="13"/>
  <c r="AQ633" i="13"/>
  <c r="AJ633" i="13"/>
  <c r="AZ633" i="13"/>
  <c r="AV633" i="13"/>
  <c r="AZ635" i="13"/>
  <c r="AN635" i="13"/>
  <c r="BA635" i="13"/>
  <c r="AK635" i="13"/>
  <c r="AV635" i="13"/>
  <c r="AT635" i="13"/>
  <c r="AS638" i="13"/>
  <c r="AS639" i="13"/>
  <c r="BM641" i="13"/>
  <c r="BA683" i="13"/>
  <c r="AS683" i="13"/>
  <c r="AL683" i="13"/>
  <c r="AX683" i="13"/>
  <c r="AW683" i="13"/>
  <c r="AV683" i="13"/>
  <c r="AP683" i="13"/>
  <c r="AN683" i="13"/>
  <c r="AK683" i="13"/>
  <c r="AZ683" i="13"/>
  <c r="BW684" i="13"/>
  <c r="BN684" i="13"/>
  <c r="BE684" i="13"/>
  <c r="BV684" i="13"/>
  <c r="BO684" i="13"/>
  <c r="BM684" i="13"/>
  <c r="BL684" i="13"/>
  <c r="AT493" i="13"/>
  <c r="BR494" i="13"/>
  <c r="AS496" i="13"/>
  <c r="BN500" i="13"/>
  <c r="AV503" i="13"/>
  <c r="BH507" i="13"/>
  <c r="AJ509" i="13"/>
  <c r="AS509" i="13"/>
  <c r="BB509" i="13"/>
  <c r="BQ510" i="13"/>
  <c r="BI513" i="13"/>
  <c r="BR513" i="13"/>
  <c r="BL515" i="13"/>
  <c r="AR517" i="13"/>
  <c r="BA517" i="13"/>
  <c r="V519" i="13"/>
  <c r="BO519" i="13"/>
  <c r="BL520" i="13"/>
  <c r="AS522" i="13"/>
  <c r="BS523" i="13"/>
  <c r="BT525" i="13"/>
  <c r="BN526" i="13"/>
  <c r="BQ528" i="13"/>
  <c r="BJ529" i="13"/>
  <c r="BS529" i="13"/>
  <c r="AT530" i="13"/>
  <c r="AP533" i="13"/>
  <c r="AZ533" i="13"/>
  <c r="BS535" i="13"/>
  <c r="BQ536" i="13"/>
  <c r="AP538" i="13"/>
  <c r="BB538" i="13"/>
  <c r="AX539" i="13"/>
  <c r="AO541" i="13"/>
  <c r="AX541" i="13"/>
  <c r="BS541" i="13"/>
  <c r="BJ542" i="13"/>
  <c r="BV542" i="13"/>
  <c r="AU543" i="13"/>
  <c r="BA544" i="13"/>
  <c r="BM544" i="13"/>
  <c r="AS546" i="13"/>
  <c r="BJ547" i="13"/>
  <c r="AO549" i="13"/>
  <c r="AX549" i="13"/>
  <c r="BF550" i="13"/>
  <c r="BP550" i="13"/>
  <c r="AT552" i="13"/>
  <c r="BK552" i="13"/>
  <c r="AS554" i="13"/>
  <c r="BQ555" i="13"/>
  <c r="AV556" i="13"/>
  <c r="BN556" i="13"/>
  <c r="BQ560" i="13"/>
  <c r="BM561" i="13"/>
  <c r="BV561" i="13"/>
  <c r="BS562" i="13"/>
  <c r="BQ563" i="13"/>
  <c r="AU564" i="13"/>
  <c r="AO565" i="13"/>
  <c r="AX565" i="13"/>
  <c r="BO566" i="13"/>
  <c r="AU567" i="13"/>
  <c r="AJ568" i="13"/>
  <c r="BB568" i="13"/>
  <c r="BP568" i="13"/>
  <c r="BK569" i="13"/>
  <c r="BU569" i="13"/>
  <c r="AN570" i="13"/>
  <c r="AX570" i="13"/>
  <c r="BS570" i="13"/>
  <c r="BQ571" i="13"/>
  <c r="AU572" i="13"/>
  <c r="AM573" i="13"/>
  <c r="AV573" i="13"/>
  <c r="AR576" i="13"/>
  <c r="AO578" i="13"/>
  <c r="BA578" i="13"/>
  <c r="BN580" i="13"/>
  <c r="BJ582" i="13"/>
  <c r="BV582" i="13"/>
  <c r="AV587" i="13"/>
  <c r="BL591" i="13"/>
  <c r="BA594" i="13"/>
  <c r="BJ594" i="13"/>
  <c r="BS594" i="13"/>
  <c r="BP595" i="13"/>
  <c r="BK596" i="13"/>
  <c r="AR598" i="13"/>
  <c r="BA598" i="13"/>
  <c r="BQ598" i="13"/>
  <c r="AN601" i="13"/>
  <c r="AZ601" i="13"/>
  <c r="BL601" i="13"/>
  <c r="BM602" i="13"/>
  <c r="BV602" i="13"/>
  <c r="BP605" i="13"/>
  <c r="AS607" i="13"/>
  <c r="BS607" i="13"/>
  <c r="BM610" i="13"/>
  <c r="AX612" i="13"/>
  <c r="BM612" i="13"/>
  <c r="AR613" i="13"/>
  <c r="AZ613" i="13"/>
  <c r="AY613" i="13"/>
  <c r="BE613" i="13"/>
  <c r="BW613" i="13"/>
  <c r="U614" i="13"/>
  <c r="W614" i="13" s="1"/>
  <c r="BO614" i="13"/>
  <c r="BH616" i="13"/>
  <c r="BF616" i="13"/>
  <c r="BE617" i="13"/>
  <c r="BU617" i="13"/>
  <c r="BB621" i="13"/>
  <c r="AR621" i="13"/>
  <c r="BA621" i="13"/>
  <c r="AN621" i="13"/>
  <c r="AZ621" i="13"/>
  <c r="AM621" i="13"/>
  <c r="BO621" i="13"/>
  <c r="BI621" i="13"/>
  <c r="BW621" i="13"/>
  <c r="AJ622" i="13"/>
  <c r="AZ622" i="13"/>
  <c r="AU624" i="13"/>
  <c r="AT624" i="13"/>
  <c r="AQ624" i="13"/>
  <c r="V625" i="13"/>
  <c r="AE625" i="13" s="1"/>
  <c r="BN627" i="13"/>
  <c r="AT630" i="13"/>
  <c r="AL633" i="13"/>
  <c r="AL635" i="13"/>
  <c r="AB636" i="13"/>
  <c r="AU638" i="13"/>
  <c r="AT639" i="13"/>
  <c r="AY641" i="13"/>
  <c r="AV641" i="13"/>
  <c r="AN641" i="13"/>
  <c r="AJ641" i="13"/>
  <c r="BB641" i="13"/>
  <c r="AZ641" i="13"/>
  <c r="BQ641" i="13"/>
  <c r="U642" i="13"/>
  <c r="W642" i="13" s="1"/>
  <c r="V642" i="13"/>
  <c r="BW652" i="13"/>
  <c r="BR652" i="13"/>
  <c r="BP652" i="13"/>
  <c r="BJ652" i="13"/>
  <c r="AB661" i="13"/>
  <c r="AA661" i="13"/>
  <c r="AC661" i="13" s="1"/>
  <c r="V668" i="13"/>
  <c r="U668" i="13"/>
  <c r="W668" i="13" s="1"/>
  <c r="BT673" i="13"/>
  <c r="BU673" i="13"/>
  <c r="BK673" i="13"/>
  <c r="BS673" i="13"/>
  <c r="BJ673" i="13"/>
  <c r="BR673" i="13"/>
  <c r="BI673" i="13"/>
  <c r="BQ673" i="13"/>
  <c r="BH673" i="13"/>
  <c r="BP673" i="13"/>
  <c r="BG673" i="13"/>
  <c r="BO673" i="13"/>
  <c r="BF673" i="13"/>
  <c r="BW673" i="13"/>
  <c r="BV673" i="13"/>
  <c r="BN673" i="13"/>
  <c r="BM673" i="13"/>
  <c r="BE673" i="13"/>
  <c r="BP519" i="13"/>
  <c r="AT522" i="13"/>
  <c r="BO526" i="13"/>
  <c r="BK529" i="13"/>
  <c r="BU529" i="13"/>
  <c r="AR533" i="13"/>
  <c r="BA533" i="13"/>
  <c r="AS538" i="13"/>
  <c r="AE539" i="13"/>
  <c r="BA539" i="13"/>
  <c r="AP541" i="13"/>
  <c r="AZ541" i="13"/>
  <c r="BK542" i="13"/>
  <c r="BW542" i="13"/>
  <c r="AY543" i="13"/>
  <c r="BP544" i="13"/>
  <c r="AT546" i="13"/>
  <c r="BO547" i="13"/>
  <c r="AP549" i="13"/>
  <c r="AZ549" i="13"/>
  <c r="BA552" i="13"/>
  <c r="BM552" i="13"/>
  <c r="AT554" i="13"/>
  <c r="BR555" i="13"/>
  <c r="BO556" i="13"/>
  <c r="BT562" i="13"/>
  <c r="BR563" i="13"/>
  <c r="AV564" i="13"/>
  <c r="AP565" i="13"/>
  <c r="AZ565" i="13"/>
  <c r="AE567" i="13"/>
  <c r="AV567" i="13"/>
  <c r="BQ568" i="13"/>
  <c r="BM569" i="13"/>
  <c r="BV569" i="13"/>
  <c r="AO570" i="13"/>
  <c r="BA570" i="13"/>
  <c r="BT570" i="13"/>
  <c r="BR571" i="13"/>
  <c r="AV572" i="13"/>
  <c r="AN573" i="13"/>
  <c r="AW573" i="13"/>
  <c r="BV575" i="13"/>
  <c r="AS576" i="13"/>
  <c r="AP578" i="13"/>
  <c r="BB578" i="13"/>
  <c r="BO580" i="13"/>
  <c r="AR581" i="13"/>
  <c r="BA581" i="13"/>
  <c r="BK582" i="13"/>
  <c r="BW582" i="13"/>
  <c r="AR590" i="13"/>
  <c r="BA590" i="13"/>
  <c r="BP591" i="13"/>
  <c r="BK594" i="13"/>
  <c r="BU594" i="13"/>
  <c r="AL595" i="13"/>
  <c r="AY595" i="13"/>
  <c r="BW595" i="13"/>
  <c r="BQ596" i="13"/>
  <c r="AJ598" i="13"/>
  <c r="AS598" i="13"/>
  <c r="BB598" i="13"/>
  <c r="BW598" i="13"/>
  <c r="U599" i="13"/>
  <c r="W599" i="13" s="1"/>
  <c r="AO601" i="13"/>
  <c r="BB601" i="13"/>
  <c r="BN601" i="13"/>
  <c r="AJ602" i="13"/>
  <c r="BE602" i="13"/>
  <c r="BN602" i="13"/>
  <c r="BW602" i="13"/>
  <c r="V603" i="13"/>
  <c r="BN603" i="13"/>
  <c r="BQ605" i="13"/>
  <c r="AR606" i="13"/>
  <c r="BA606" i="13"/>
  <c r="AJ607" i="13"/>
  <c r="AT607" i="13"/>
  <c r="BF607" i="13"/>
  <c r="AS611" i="13"/>
  <c r="AV611" i="13"/>
  <c r="AN611" i="13"/>
  <c r="BP612" i="13"/>
  <c r="AM613" i="13"/>
  <c r="BH613" i="13"/>
  <c r="BQ614" i="13"/>
  <c r="BN615" i="13"/>
  <c r="BR615" i="13"/>
  <c r="BQ615" i="13"/>
  <c r="BK616" i="13"/>
  <c r="BF617" i="13"/>
  <c r="BV617" i="13"/>
  <c r="AJ621" i="13"/>
  <c r="BJ621" i="13"/>
  <c r="AM622" i="13"/>
  <c r="BA622" i="13"/>
  <c r="AM624" i="13"/>
  <c r="U626" i="13"/>
  <c r="W626" i="13" s="1"/>
  <c r="V626" i="13"/>
  <c r="AB627" i="13"/>
  <c r="V630" i="13"/>
  <c r="AV630" i="13"/>
  <c r="AR633" i="13"/>
  <c r="AP635" i="13"/>
  <c r="AX638" i="13"/>
  <c r="AL641" i="13"/>
  <c r="BH652" i="13"/>
  <c r="BT653" i="13"/>
  <c r="BI653" i="13"/>
  <c r="BW653" i="13"/>
  <c r="BU653" i="13"/>
  <c r="BQ653" i="13"/>
  <c r="BO653" i="13"/>
  <c r="BM653" i="13"/>
  <c r="BG653" i="13"/>
  <c r="AX660" i="13"/>
  <c r="BA660" i="13"/>
  <c r="AS660" i="13"/>
  <c r="BB661" i="13"/>
  <c r="AZ661" i="13"/>
  <c r="AJ661" i="13"/>
  <c r="AV661" i="13"/>
  <c r="AX661" i="13"/>
  <c r="AU661" i="13"/>
  <c r="AR661" i="13"/>
  <c r="AP661" i="13"/>
  <c r="AN661" i="13"/>
  <c r="AM661" i="13"/>
  <c r="AU677" i="13"/>
  <c r="BB677" i="13"/>
  <c r="AB679" i="13"/>
  <c r="AE679" i="13" s="1"/>
  <c r="AA679" i="13"/>
  <c r="AC679" i="13" s="1"/>
  <c r="BM529" i="13"/>
  <c r="BV529" i="13"/>
  <c r="AT538" i="13"/>
  <c r="AR541" i="13"/>
  <c r="BA541" i="13"/>
  <c r="BB543" i="13"/>
  <c r="BQ544" i="13"/>
  <c r="BP547" i="13"/>
  <c r="AR549" i="13"/>
  <c r="BA549" i="13"/>
  <c r="BB552" i="13"/>
  <c r="AR565" i="13"/>
  <c r="BA565" i="13"/>
  <c r="AW567" i="13"/>
  <c r="AP570" i="13"/>
  <c r="BB570" i="13"/>
  <c r="AO573" i="13"/>
  <c r="AX573" i="13"/>
  <c r="AT576" i="13"/>
  <c r="BQ591" i="13"/>
  <c r="BM594" i="13"/>
  <c r="BV594" i="13"/>
  <c r="BR596" i="13"/>
  <c r="AQ601" i="13"/>
  <c r="BP601" i="13"/>
  <c r="BR605" i="13"/>
  <c r="BT610" i="13"/>
  <c r="BO610" i="13"/>
  <c r="BF610" i="13"/>
  <c r="BW610" i="13"/>
  <c r="BN610" i="13"/>
  <c r="BE610" i="13"/>
  <c r="BQ610" i="13"/>
  <c r="AS612" i="13"/>
  <c r="AQ612" i="13"/>
  <c r="AN612" i="13"/>
  <c r="BB612" i="13"/>
  <c r="AB630" i="13"/>
  <c r="AA630" i="13"/>
  <c r="AC630" i="13" s="1"/>
  <c r="V652" i="13"/>
  <c r="U652" i="13"/>
  <c r="W652" i="13" s="1"/>
  <c r="BT661" i="13"/>
  <c r="BU661" i="13"/>
  <c r="BO661" i="13"/>
  <c r="BW661" i="13"/>
  <c r="BQ661" i="13"/>
  <c r="BM661" i="13"/>
  <c r="BI661" i="13"/>
  <c r="BG661" i="13"/>
  <c r="BT510" i="13"/>
  <c r="BM513" i="13"/>
  <c r="BV513" i="13"/>
  <c r="BF519" i="13"/>
  <c r="BT519" i="13"/>
  <c r="AL522" i="13"/>
  <c r="AV522" i="13"/>
  <c r="BG526" i="13"/>
  <c r="BQ526" i="13"/>
  <c r="V529" i="13"/>
  <c r="BE529" i="13"/>
  <c r="BN529" i="13"/>
  <c r="BW529" i="13"/>
  <c r="AB536" i="13"/>
  <c r="V537" i="13"/>
  <c r="AK538" i="13"/>
  <c r="AU538" i="13"/>
  <c r="AJ541" i="13"/>
  <c r="AS541" i="13"/>
  <c r="BB541" i="13"/>
  <c r="BO542" i="13"/>
  <c r="BE544" i="13"/>
  <c r="BR544" i="13"/>
  <c r="BQ547" i="13"/>
  <c r="AJ549" i="13"/>
  <c r="AS549" i="13"/>
  <c r="BB549" i="13"/>
  <c r="BQ552" i="13"/>
  <c r="AA558" i="13"/>
  <c r="AC558" i="13" s="1"/>
  <c r="V561" i="13"/>
  <c r="AJ565" i="13"/>
  <c r="AS565" i="13"/>
  <c r="BB565" i="13"/>
  <c r="AL567" i="13"/>
  <c r="BB567" i="13"/>
  <c r="AB570" i="13"/>
  <c r="AS570" i="13"/>
  <c r="AP573" i="13"/>
  <c r="AZ573" i="13"/>
  <c r="AZ576" i="13"/>
  <c r="AT578" i="13"/>
  <c r="BV580" i="13"/>
  <c r="BO582" i="13"/>
  <c r="AK587" i="13"/>
  <c r="V588" i="13"/>
  <c r="AE588" i="13" s="1"/>
  <c r="U590" i="13"/>
  <c r="W590" i="13" s="1"/>
  <c r="U591" i="13"/>
  <c r="W591" i="13" s="1"/>
  <c r="BG591" i="13"/>
  <c r="BE594" i="13"/>
  <c r="BN594" i="13"/>
  <c r="BW594" i="13"/>
  <c r="BE595" i="13"/>
  <c r="BS596" i="13"/>
  <c r="AE598" i="13"/>
  <c r="AS601" i="13"/>
  <c r="BS612" i="13"/>
  <c r="BG612" i="13"/>
  <c r="BR612" i="13"/>
  <c r="BE612" i="13"/>
  <c r="BU612" i="13"/>
  <c r="V622" i="13"/>
  <c r="U622" i="13"/>
  <c r="W622" i="13" s="1"/>
  <c r="AT625" i="13"/>
  <c r="AL625" i="13"/>
  <c r="BB625" i="13"/>
  <c r="AA626" i="13"/>
  <c r="AC626" i="13" s="1"/>
  <c r="AB626" i="13"/>
  <c r="BR628" i="13"/>
  <c r="BJ628" i="13"/>
  <c r="BH628" i="13"/>
  <c r="AY630" i="13"/>
  <c r="AU630" i="13"/>
  <c r="AL630" i="13"/>
  <c r="BB630" i="13"/>
  <c r="AS630" i="13"/>
  <c r="AJ630" i="13"/>
  <c r="AZ630" i="13"/>
  <c r="AP630" i="13"/>
  <c r="AX630" i="13"/>
  <c r="AO630" i="13"/>
  <c r="BA630" i="13"/>
  <c r="AY638" i="13"/>
  <c r="AT638" i="13"/>
  <c r="AK638" i="13"/>
  <c r="BB638" i="13"/>
  <c r="AR638" i="13"/>
  <c r="AZ638" i="13"/>
  <c r="AO638" i="13"/>
  <c r="AW638" i="13"/>
  <c r="AM638" i="13"/>
  <c r="AV638" i="13"/>
  <c r="AL638" i="13"/>
  <c r="AA654" i="13"/>
  <c r="AC654" i="13" s="1"/>
  <c r="AB654" i="13"/>
  <c r="AA720" i="13"/>
  <c r="AC720" i="13" s="1"/>
  <c r="AB720" i="13"/>
  <c r="AE720" i="13" s="1"/>
  <c r="BQ736" i="13"/>
  <c r="BS736" i="13"/>
  <c r="BR736" i="13"/>
  <c r="BL736" i="13"/>
  <c r="BI736" i="13"/>
  <c r="BR547" i="13"/>
  <c r="AT570" i="13"/>
  <c r="AR573" i="13"/>
  <c r="BA573" i="13"/>
  <c r="BA576" i="13"/>
  <c r="BT596" i="13"/>
  <c r="BW614" i="13"/>
  <c r="BV614" i="13"/>
  <c r="BF614" i="13"/>
  <c r="BT614" i="13"/>
  <c r="BE614" i="13"/>
  <c r="AN625" i="13"/>
  <c r="BQ627" i="13"/>
  <c r="BO627" i="13"/>
  <c r="BE627" i="13"/>
  <c r="BW627" i="13"/>
  <c r="BM627" i="13"/>
  <c r="BU627" i="13"/>
  <c r="BJ627" i="13"/>
  <c r="BS627" i="13"/>
  <c r="BH627" i="13"/>
  <c r="BG628" i="13"/>
  <c r="AK630" i="13"/>
  <c r="V637" i="13"/>
  <c r="AJ638" i="13"/>
  <c r="AV639" i="13"/>
  <c r="BA639" i="13"/>
  <c r="AP639" i="13"/>
  <c r="AR639" i="13"/>
  <c r="AZ639" i="13"/>
  <c r="AM639" i="13"/>
  <c r="AW639" i="13"/>
  <c r="AK639" i="13"/>
  <c r="AU639" i="13"/>
  <c r="AJ639" i="13"/>
  <c r="BW641" i="13"/>
  <c r="BK641" i="13"/>
  <c r="BV641" i="13"/>
  <c r="BH641" i="13"/>
  <c r="BS641" i="13"/>
  <c r="BE641" i="13"/>
  <c r="BP641" i="13"/>
  <c r="BN641" i="13"/>
  <c r="AZ769" i="13"/>
  <c r="AY769" i="13"/>
  <c r="AN769" i="13"/>
  <c r="BA796" i="13"/>
  <c r="AT796" i="13"/>
  <c r="BB796" i="13"/>
  <c r="AS796" i="13"/>
  <c r="AR796" i="13"/>
  <c r="AT610" i="13"/>
  <c r="AZ617" i="13"/>
  <c r="BB618" i="13"/>
  <c r="BU618" i="13"/>
  <c r="AS620" i="13"/>
  <c r="AS623" i="13"/>
  <c r="BS623" i="13"/>
  <c r="BN625" i="13"/>
  <c r="BG626" i="13"/>
  <c r="BP626" i="13"/>
  <c r="AU629" i="13"/>
  <c r="BI629" i="13"/>
  <c r="AS631" i="13"/>
  <c r="BS631" i="13"/>
  <c r="AU632" i="13"/>
  <c r="BS632" i="13"/>
  <c r="BK633" i="13"/>
  <c r="BG634" i="13"/>
  <c r="BP634" i="13"/>
  <c r="BG635" i="13"/>
  <c r="BR635" i="13"/>
  <c r="AP637" i="13"/>
  <c r="BW637" i="13"/>
  <c r="BI639" i="13"/>
  <c r="AY640" i="13"/>
  <c r="AO640" i="13"/>
  <c r="AB641" i="13"/>
  <c r="AA641" i="13"/>
  <c r="AC641" i="13" s="1"/>
  <c r="AF641" i="13" s="1"/>
  <c r="AN643" i="13"/>
  <c r="AY646" i="13"/>
  <c r="AU646" i="13"/>
  <c r="AL646" i="13"/>
  <c r="AS646" i="13"/>
  <c r="AP647" i="13"/>
  <c r="BB647" i="13"/>
  <c r="AR649" i="13"/>
  <c r="BI649" i="13"/>
  <c r="BG650" i="13"/>
  <c r="BR650" i="13"/>
  <c r="BK651" i="13"/>
  <c r="BW651" i="13"/>
  <c r="AN653" i="13"/>
  <c r="AP654" i="13"/>
  <c r="BA654" i="13"/>
  <c r="AL655" i="13"/>
  <c r="AX655" i="13"/>
  <c r="BK655" i="13"/>
  <c r="AV657" i="13"/>
  <c r="BP657" i="13"/>
  <c r="AZ659" i="13"/>
  <c r="BB659" i="13"/>
  <c r="AO659" i="13"/>
  <c r="AX659" i="13"/>
  <c r="AL659" i="13"/>
  <c r="BA659" i="13"/>
  <c r="U665" i="13"/>
  <c r="W665" i="13" s="1"/>
  <c r="V665" i="13"/>
  <c r="AE665" i="13" s="1"/>
  <c r="AZ667" i="13"/>
  <c r="BR705" i="13"/>
  <c r="BM705" i="13"/>
  <c r="BW705" i="13"/>
  <c r="BK705" i="13"/>
  <c r="BV705" i="13"/>
  <c r="BH705" i="13"/>
  <c r="BS705" i="13"/>
  <c r="BF705" i="13"/>
  <c r="BU705" i="13"/>
  <c r="BP705" i="13"/>
  <c r="BO705" i="13"/>
  <c r="BN705" i="13"/>
  <c r="BG705" i="13"/>
  <c r="BE705" i="13"/>
  <c r="AL769" i="13"/>
  <c r="BB617" i="13"/>
  <c r="AL618" i="13"/>
  <c r="BM618" i="13"/>
  <c r="BV618" i="13"/>
  <c r="AU620" i="13"/>
  <c r="BJ622" i="13"/>
  <c r="AJ623" i="13"/>
  <c r="AT623" i="13"/>
  <c r="BF623" i="13"/>
  <c r="BV623" i="13"/>
  <c r="BP625" i="13"/>
  <c r="BH626" i="13"/>
  <c r="BQ626" i="13"/>
  <c r="AX627" i="13"/>
  <c r="AM628" i="13"/>
  <c r="AJ629" i="13"/>
  <c r="AV629" i="13"/>
  <c r="BL629" i="13"/>
  <c r="AJ631" i="13"/>
  <c r="AT631" i="13"/>
  <c r="BF631" i="13"/>
  <c r="BV631" i="13"/>
  <c r="AA633" i="13"/>
  <c r="AC633" i="13" s="1"/>
  <c r="AF633" i="13" s="1"/>
  <c r="BM633" i="13"/>
  <c r="BH634" i="13"/>
  <c r="BQ634" i="13"/>
  <c r="AB635" i="13"/>
  <c r="BH635" i="13"/>
  <c r="BS635" i="13"/>
  <c r="BH636" i="13"/>
  <c r="AR637" i="13"/>
  <c r="BE637" i="13"/>
  <c r="BK639" i="13"/>
  <c r="AM640" i="13"/>
  <c r="AS642" i="13"/>
  <c r="AP643" i="13"/>
  <c r="BH644" i="13"/>
  <c r="BB645" i="13"/>
  <c r="AP645" i="13"/>
  <c r="AV645" i="13"/>
  <c r="AJ646" i="13"/>
  <c r="AT646" i="13"/>
  <c r="BU647" i="13"/>
  <c r="BN647" i="13"/>
  <c r="BV647" i="13"/>
  <c r="BL648" i="13"/>
  <c r="AT649" i="13"/>
  <c r="BK649" i="13"/>
  <c r="BI650" i="13"/>
  <c r="BS650" i="13"/>
  <c r="AP653" i="13"/>
  <c r="AR654" i="13"/>
  <c r="AM655" i="13"/>
  <c r="AZ655" i="13"/>
  <c r="AK659" i="13"/>
  <c r="BQ659" i="13"/>
  <c r="BW659" i="13"/>
  <c r="BM659" i="13"/>
  <c r="BU659" i="13"/>
  <c r="BJ659" i="13"/>
  <c r="BP659" i="13"/>
  <c r="BW660" i="13"/>
  <c r="BH660" i="13"/>
  <c r="BF664" i="13"/>
  <c r="V667" i="13"/>
  <c r="U667" i="13"/>
  <c r="W667" i="13" s="1"/>
  <c r="AW701" i="13"/>
  <c r="AX701" i="13"/>
  <c r="AK701" i="13"/>
  <c r="AU701" i="13"/>
  <c r="AJ701" i="13"/>
  <c r="AS701" i="13"/>
  <c r="AZ701" i="13"/>
  <c r="AT701" i="13"/>
  <c r="AR701" i="13"/>
  <c r="AP701" i="13"/>
  <c r="AM701" i="13"/>
  <c r="AL701" i="13"/>
  <c r="U705" i="13"/>
  <c r="W705" i="13" s="1"/>
  <c r="V705" i="13"/>
  <c r="AS712" i="13"/>
  <c r="AQ712" i="13"/>
  <c r="AM712" i="13"/>
  <c r="AZ712" i="13"/>
  <c r="AK712" i="13"/>
  <c r="BB712" i="13"/>
  <c r="AV712" i="13"/>
  <c r="AU712" i="13"/>
  <c r="AT712" i="13"/>
  <c r="AL712" i="13"/>
  <c r="BO735" i="13"/>
  <c r="BN735" i="13"/>
  <c r="BM735" i="13"/>
  <c r="BL735" i="13"/>
  <c r="BG735" i="13"/>
  <c r="BF735" i="13"/>
  <c r="BW735" i="13"/>
  <c r="BV735" i="13"/>
  <c r="BU735" i="13"/>
  <c r="AQ792" i="13"/>
  <c r="AY792" i="13"/>
  <c r="AN792" i="13"/>
  <c r="AV792" i="13"/>
  <c r="AU792" i="13"/>
  <c r="AP792" i="13"/>
  <c r="AO792" i="13"/>
  <c r="AM792" i="13"/>
  <c r="BA792" i="13"/>
  <c r="AX792" i="13"/>
  <c r="AW792" i="13"/>
  <c r="AV649" i="13"/>
  <c r="BN649" i="13"/>
  <c r="AY654" i="13"/>
  <c r="AW654" i="13"/>
  <c r="AN654" i="13"/>
  <c r="AS654" i="13"/>
  <c r="AQ691" i="13"/>
  <c r="AJ691" i="13"/>
  <c r="BA691" i="13"/>
  <c r="AV691" i="13"/>
  <c r="AS691" i="13"/>
  <c r="AY706" i="13"/>
  <c r="AV706" i="13"/>
  <c r="AT706" i="13"/>
  <c r="AY620" i="13"/>
  <c r="BJ626" i="13"/>
  <c r="BS626" i="13"/>
  <c r="AE629" i="13"/>
  <c r="BQ629" i="13"/>
  <c r="BP633" i="13"/>
  <c r="BJ634" i="13"/>
  <c r="BS634" i="13"/>
  <c r="BK635" i="13"/>
  <c r="BV635" i="13"/>
  <c r="AU637" i="13"/>
  <c r="AV647" i="13"/>
  <c r="AZ647" i="13"/>
  <c r="AO647" i="13"/>
  <c r="AT647" i="13"/>
  <c r="AB649" i="13"/>
  <c r="AA649" i="13"/>
  <c r="AC649" i="13" s="1"/>
  <c r="BK650" i="13"/>
  <c r="BQ651" i="13"/>
  <c r="BR651" i="13"/>
  <c r="BG651" i="13"/>
  <c r="BO651" i="13"/>
  <c r="AX652" i="13"/>
  <c r="AK652" i="13"/>
  <c r="AJ654" i="13"/>
  <c r="AT654" i="13"/>
  <c r="BU655" i="13"/>
  <c r="BO655" i="13"/>
  <c r="BR655" i="13"/>
  <c r="AY657" i="13"/>
  <c r="AT657" i="13"/>
  <c r="BW657" i="13"/>
  <c r="BK657" i="13"/>
  <c r="BU657" i="13"/>
  <c r="V658" i="13"/>
  <c r="V660" i="13"/>
  <c r="U660" i="13"/>
  <c r="W660" i="13" s="1"/>
  <c r="V677" i="13"/>
  <c r="U677" i="13"/>
  <c r="W677" i="13" s="1"/>
  <c r="U678" i="13"/>
  <c r="W678" i="13" s="1"/>
  <c r="AB690" i="13"/>
  <c r="AA690" i="13"/>
  <c r="AC690" i="13" s="1"/>
  <c r="AR691" i="13"/>
  <c r="BB648" i="13"/>
  <c r="AM648" i="13"/>
  <c r="AY649" i="13"/>
  <c r="AZ649" i="13"/>
  <c r="BW649" i="13"/>
  <c r="BM649" i="13"/>
  <c r="BQ649" i="13"/>
  <c r="AV666" i="13"/>
  <c r="BA666" i="13"/>
  <c r="AX666" i="13"/>
  <c r="AO666" i="13"/>
  <c r="BP668" i="13"/>
  <c r="BW668" i="13"/>
  <c r="BR668" i="13"/>
  <c r="BO668" i="13"/>
  <c r="BJ668" i="13"/>
  <c r="BI668" i="13"/>
  <c r="BG668" i="13"/>
  <c r="BP681" i="13"/>
  <c r="BG681" i="13"/>
  <c r="BW681" i="13"/>
  <c r="BO681" i="13"/>
  <c r="U699" i="13"/>
  <c r="W699" i="13" s="1"/>
  <c r="V699" i="13"/>
  <c r="BM720" i="13"/>
  <c r="BL720" i="13"/>
  <c r="BK720" i="13"/>
  <c r="BU720" i="13"/>
  <c r="BI720" i="13"/>
  <c r="BT720" i="13"/>
  <c r="BS720" i="13"/>
  <c r="BR720" i="13"/>
  <c r="BJ720" i="13"/>
  <c r="BH720" i="13"/>
  <c r="AB728" i="13"/>
  <c r="AA728" i="13"/>
  <c r="AC728" i="13" s="1"/>
  <c r="BM626" i="13"/>
  <c r="BV626" i="13"/>
  <c r="BW629" i="13"/>
  <c r="BM634" i="13"/>
  <c r="BV634" i="13"/>
  <c r="BN635" i="13"/>
  <c r="BU639" i="13"/>
  <c r="BO639" i="13"/>
  <c r="BV639" i="13"/>
  <c r="AZ643" i="13"/>
  <c r="AS643" i="13"/>
  <c r="BA643" i="13"/>
  <c r="AO648" i="13"/>
  <c r="AJ649" i="13"/>
  <c r="BE649" i="13"/>
  <c r="BS649" i="13"/>
  <c r="BT650" i="13"/>
  <c r="BQ650" i="13"/>
  <c r="BH650" i="13"/>
  <c r="BN650" i="13"/>
  <c r="AB651" i="13"/>
  <c r="BB653" i="13"/>
  <c r="AR653" i="13"/>
  <c r="AZ653" i="13"/>
  <c r="AL654" i="13"/>
  <c r="AV654" i="13"/>
  <c r="AV655" i="13"/>
  <c r="BB655" i="13"/>
  <c r="AR655" i="13"/>
  <c r="AT655" i="13"/>
  <c r="AB660" i="13"/>
  <c r="BV662" i="13"/>
  <c r="BQ662" i="13"/>
  <c r="BN662" i="13"/>
  <c r="BL662" i="13"/>
  <c r="BJ662" i="13"/>
  <c r="BH662" i="13"/>
  <c r="BF662" i="13"/>
  <c r="AK666" i="13"/>
  <c r="AY667" i="13"/>
  <c r="AX667" i="13"/>
  <c r="AO667" i="13"/>
  <c r="AW667" i="13"/>
  <c r="AN667" i="13"/>
  <c r="AV667" i="13"/>
  <c r="AM667" i="13"/>
  <c r="AU667" i="13"/>
  <c r="AL667" i="13"/>
  <c r="AT667" i="13"/>
  <c r="AK667" i="13"/>
  <c r="BB667" i="13"/>
  <c r="AS667" i="13"/>
  <c r="AJ667" i="13"/>
  <c r="BN670" i="13"/>
  <c r="BT670" i="13"/>
  <c r="BQ670" i="13"/>
  <c r="BL670" i="13"/>
  <c r="BK670" i="13"/>
  <c r="BI670" i="13"/>
  <c r="AB676" i="13"/>
  <c r="BS680" i="13"/>
  <c r="BI680" i="13"/>
  <c r="BL680" i="13"/>
  <c r="BK680" i="13"/>
  <c r="BV680" i="13"/>
  <c r="BJ680" i="13"/>
  <c r="BT680" i="13"/>
  <c r="BH680" i="13"/>
  <c r="BR680" i="13"/>
  <c r="BG680" i="13"/>
  <c r="BQ680" i="13"/>
  <c r="BF680" i="13"/>
  <c r="BE681" i="13"/>
  <c r="AY695" i="13"/>
  <c r="AX695" i="13"/>
  <c r="AO695" i="13"/>
  <c r="AW695" i="13"/>
  <c r="AN695" i="13"/>
  <c r="AU695" i="13"/>
  <c r="AL695" i="13"/>
  <c r="AS695" i="13"/>
  <c r="AR695" i="13"/>
  <c r="AP695" i="13"/>
  <c r="BB695" i="13"/>
  <c r="AM695" i="13"/>
  <c r="BA695" i="13"/>
  <c r="AK695" i="13"/>
  <c r="AZ695" i="13"/>
  <c r="AJ695" i="13"/>
  <c r="AX707" i="13"/>
  <c r="AS707" i="13"/>
  <c r="AV707" i="13"/>
  <c r="AQ707" i="13"/>
  <c r="AN707" i="13"/>
  <c r="BU708" i="13"/>
  <c r="BT708" i="13"/>
  <c r="BM708" i="13"/>
  <c r="BR708" i="13"/>
  <c r="BJ708" i="13"/>
  <c r="AZ711" i="13"/>
  <c r="AP711" i="13"/>
  <c r="AO711" i="13"/>
  <c r="AM711" i="13"/>
  <c r="AY711" i="13"/>
  <c r="AX711" i="13"/>
  <c r="AV711" i="13"/>
  <c r="BB715" i="13"/>
  <c r="BA715" i="13"/>
  <c r="AZ715" i="13"/>
  <c r="AQ715" i="13"/>
  <c r="AX715" i="13"/>
  <c r="AP715" i="13"/>
  <c r="BV739" i="13"/>
  <c r="BP739" i="13"/>
  <c r="BW739" i="13"/>
  <c r="BO739" i="13"/>
  <c r="BK739" i="13"/>
  <c r="BJ739" i="13"/>
  <c r="BI739" i="13"/>
  <c r="BH739" i="13"/>
  <c r="BS739" i="13"/>
  <c r="BR739" i="13"/>
  <c r="BQ739" i="13"/>
  <c r="AA786" i="13"/>
  <c r="AC786" i="13" s="1"/>
  <c r="AE669" i="13"/>
  <c r="AA692" i="13"/>
  <c r="AC692" i="13" s="1"/>
  <c r="AB692" i="13"/>
  <c r="AE692" i="13" s="1"/>
  <c r="AW693" i="13"/>
  <c r="AS693" i="13"/>
  <c r="AR693" i="13"/>
  <c r="BA693" i="13"/>
  <c r="AM693" i="13"/>
  <c r="AZ693" i="13"/>
  <c r="AB696" i="13"/>
  <c r="AA696" i="13"/>
  <c r="AC696" i="13" s="1"/>
  <c r="BT701" i="13"/>
  <c r="BW701" i="13"/>
  <c r="BR701" i="13"/>
  <c r="BG701" i="13"/>
  <c r="AZ708" i="13"/>
  <c r="BA708" i="13"/>
  <c r="AO708" i="13"/>
  <c r="AX708" i="13"/>
  <c r="AN708" i="13"/>
  <c r="AW708" i="13"/>
  <c r="AM708" i="13"/>
  <c r="AU708" i="13"/>
  <c r="AK708" i="13"/>
  <c r="V709" i="13"/>
  <c r="U709" i="13"/>
  <c r="W709" i="13" s="1"/>
  <c r="AZ713" i="13"/>
  <c r="AV713" i="13"/>
  <c r="AR713" i="13"/>
  <c r="AQ713" i="13"/>
  <c r="AJ713" i="13"/>
  <c r="AY733" i="13"/>
  <c r="BA733" i="13"/>
  <c r="AO733" i="13"/>
  <c r="AZ733" i="13"/>
  <c r="AN733" i="13"/>
  <c r="AW733" i="13"/>
  <c r="AM733" i="13"/>
  <c r="AV733" i="13"/>
  <c r="AL733" i="13"/>
  <c r="AU733" i="13"/>
  <c r="AK733" i="13"/>
  <c r="BU741" i="13"/>
  <c r="BS741" i="13"/>
  <c r="BT741" i="13"/>
  <c r="BL741" i="13"/>
  <c r="AB744" i="13"/>
  <c r="AE744" i="13" s="1"/>
  <c r="AA744" i="13"/>
  <c r="AC744" i="13" s="1"/>
  <c r="BM749" i="13"/>
  <c r="BE749" i="13"/>
  <c r="BT749" i="13"/>
  <c r="BS751" i="13"/>
  <c r="BV751" i="13"/>
  <c r="BN751" i="13"/>
  <c r="BF751" i="13"/>
  <c r="BW751" i="13"/>
  <c r="BO751" i="13"/>
  <c r="AA755" i="13"/>
  <c r="AC755" i="13" s="1"/>
  <c r="AB755" i="13"/>
  <c r="U759" i="13"/>
  <c r="W759" i="13" s="1"/>
  <c r="V759" i="13"/>
  <c r="AE759" i="13" s="1"/>
  <c r="V762" i="13"/>
  <c r="U762" i="13"/>
  <c r="W762" i="13" s="1"/>
  <c r="BL765" i="13"/>
  <c r="BW765" i="13"/>
  <c r="BI765" i="13"/>
  <c r="BU765" i="13"/>
  <c r="BG765" i="13"/>
  <c r="BT765" i="13"/>
  <c r="BE765" i="13"/>
  <c r="BS765" i="13"/>
  <c r="BO765" i="13"/>
  <c r="AB767" i="13"/>
  <c r="AA767" i="13"/>
  <c r="AC767" i="13" s="1"/>
  <c r="V770" i="13"/>
  <c r="U770" i="13"/>
  <c r="W770" i="13" s="1"/>
  <c r="AF770" i="13" s="1"/>
  <c r="BV850" i="13"/>
  <c r="BJ850" i="13"/>
  <c r="BF850" i="13"/>
  <c r="V948" i="13"/>
  <c r="U948" i="13"/>
  <c r="W948" i="13" s="1"/>
  <c r="AR662" i="13"/>
  <c r="AY663" i="13"/>
  <c r="BJ665" i="13"/>
  <c r="BU665" i="13"/>
  <c r="AA669" i="13"/>
  <c r="AC669" i="13" s="1"/>
  <c r="AT670" i="13"/>
  <c r="AY671" i="13"/>
  <c r="AV673" i="13"/>
  <c r="AS674" i="13"/>
  <c r="BH674" i="13"/>
  <c r="BV674" i="13"/>
  <c r="AS675" i="13"/>
  <c r="BT675" i="13"/>
  <c r="AK676" i="13"/>
  <c r="BO677" i="13"/>
  <c r="AN678" i="13"/>
  <c r="BF678" i="13"/>
  <c r="AN679" i="13"/>
  <c r="AX679" i="13"/>
  <c r="BK679" i="13"/>
  <c r="AS680" i="13"/>
  <c r="AQ680" i="13"/>
  <c r="AT681" i="13"/>
  <c r="U682" i="13"/>
  <c r="W682" i="13" s="1"/>
  <c r="BQ682" i="13"/>
  <c r="AA687" i="13"/>
  <c r="AC687" i="13" s="1"/>
  <c r="AF687" i="13" s="1"/>
  <c r="BB688" i="13"/>
  <c r="AO688" i="13"/>
  <c r="AL688" i="13"/>
  <c r="AY688" i="13"/>
  <c r="AJ688" i="13"/>
  <c r="V689" i="13"/>
  <c r="BQ690" i="13"/>
  <c r="AZ692" i="13"/>
  <c r="AS692" i="13"/>
  <c r="BB692" i="13"/>
  <c r="AP692" i="13"/>
  <c r="AX692" i="13"/>
  <c r="AN692" i="13"/>
  <c r="AW692" i="13"/>
  <c r="AJ693" i="13"/>
  <c r="BB693" i="13"/>
  <c r="BO696" i="13"/>
  <c r="U698" i="13"/>
  <c r="W698" i="13" s="1"/>
  <c r="V698" i="13"/>
  <c r="BQ701" i="13"/>
  <c r="BV702" i="13"/>
  <c r="AO703" i="13"/>
  <c r="AL708" i="13"/>
  <c r="AO713" i="13"/>
  <c r="BO713" i="13"/>
  <c r="AY717" i="13"/>
  <c r="AZ717" i="13"/>
  <c r="AN717" i="13"/>
  <c r="AW717" i="13"/>
  <c r="AM717" i="13"/>
  <c r="AV717" i="13"/>
  <c r="AL717" i="13"/>
  <c r="AT717" i="13"/>
  <c r="AJ717" i="13"/>
  <c r="BA720" i="13"/>
  <c r="AM720" i="13"/>
  <c r="AZ720" i="13"/>
  <c r="AL720" i="13"/>
  <c r="AY720" i="13"/>
  <c r="AK720" i="13"/>
  <c r="AU720" i="13"/>
  <c r="BT721" i="13"/>
  <c r="BV721" i="13"/>
  <c r="BK721" i="13"/>
  <c r="BU721" i="13"/>
  <c r="BJ721" i="13"/>
  <c r="BR721" i="13"/>
  <c r="BI721" i="13"/>
  <c r="BQ721" i="13"/>
  <c r="BP721" i="13"/>
  <c r="BG721" i="13"/>
  <c r="BT728" i="13"/>
  <c r="BS728" i="13"/>
  <c r="BQ728" i="13"/>
  <c r="BK728" i="13"/>
  <c r="BJ728" i="13"/>
  <c r="AA731" i="13"/>
  <c r="AC731" i="13" s="1"/>
  <c r="AJ733" i="13"/>
  <c r="BT740" i="13"/>
  <c r="BV740" i="13"/>
  <c r="BF740" i="13"/>
  <c r="BN740" i="13"/>
  <c r="BO740" i="13"/>
  <c r="BM740" i="13"/>
  <c r="BH740" i="13"/>
  <c r="BG740" i="13"/>
  <c r="BE740" i="13"/>
  <c r="AB746" i="13"/>
  <c r="BL749" i="13"/>
  <c r="BG751" i="13"/>
  <c r="AX755" i="13"/>
  <c r="BA755" i="13"/>
  <c r="AT755" i="13"/>
  <c r="AS755" i="13"/>
  <c r="BB755" i="13"/>
  <c r="AL755" i="13"/>
  <c r="AK755" i="13"/>
  <c r="AA762" i="13"/>
  <c r="AC762" i="13" s="1"/>
  <c r="AB762" i="13"/>
  <c r="BK765" i="13"/>
  <c r="BO773" i="13"/>
  <c r="BT773" i="13"/>
  <c r="BS773" i="13"/>
  <c r="BK773" i="13"/>
  <c r="BI773" i="13"/>
  <c r="BG773" i="13"/>
  <c r="BW773" i="13"/>
  <c r="BU773" i="13"/>
  <c r="AY795" i="13"/>
  <c r="AW795" i="13"/>
  <c r="AN795" i="13"/>
  <c r="AV795" i="13"/>
  <c r="AM795" i="13"/>
  <c r="AT795" i="13"/>
  <c r="AK795" i="13"/>
  <c r="AR795" i="13"/>
  <c r="AP795" i="13"/>
  <c r="BB795" i="13"/>
  <c r="AO795" i="13"/>
  <c r="BA795" i="13"/>
  <c r="AL795" i="13"/>
  <c r="AZ795" i="13"/>
  <c r="AJ795" i="13"/>
  <c r="AX795" i="13"/>
  <c r="AU795" i="13"/>
  <c r="AS795" i="13"/>
  <c r="AT662" i="13"/>
  <c r="BB663" i="13"/>
  <c r="BK665" i="13"/>
  <c r="BW665" i="13"/>
  <c r="AV674" i="13"/>
  <c r="BG678" i="13"/>
  <c r="AO679" i="13"/>
  <c r="AZ679" i="13"/>
  <c r="AU681" i="13"/>
  <c r="BW689" i="13"/>
  <c r="BS689" i="13"/>
  <c r="BL689" i="13"/>
  <c r="BH689" i="13"/>
  <c r="BT690" i="13"/>
  <c r="AK693" i="13"/>
  <c r="BR697" i="13"/>
  <c r="BM697" i="13"/>
  <c r="BW697" i="13"/>
  <c r="BK697" i="13"/>
  <c r="BU697" i="13"/>
  <c r="BG697" i="13"/>
  <c r="BV697" i="13"/>
  <c r="BW698" i="13"/>
  <c r="BM698" i="13"/>
  <c r="BK698" i="13"/>
  <c r="BH698" i="13"/>
  <c r="AY699" i="13"/>
  <c r="AK699" i="13"/>
  <c r="BW706" i="13"/>
  <c r="BJ706" i="13"/>
  <c r="BH706" i="13"/>
  <c r="BU706" i="13"/>
  <c r="BE706" i="13"/>
  <c r="BR706" i="13"/>
  <c r="AP708" i="13"/>
  <c r="BV709" i="13"/>
  <c r="BW709" i="13"/>
  <c r="BR709" i="13"/>
  <c r="BQ709" i="13"/>
  <c r="BJ709" i="13"/>
  <c r="AY713" i="13"/>
  <c r="BU718" i="13"/>
  <c r="BN718" i="13"/>
  <c r="BW718" i="13"/>
  <c r="BK718" i="13"/>
  <c r="BV718" i="13"/>
  <c r="BJ718" i="13"/>
  <c r="BR718" i="13"/>
  <c r="BH718" i="13"/>
  <c r="AA723" i="13"/>
  <c r="AC723" i="13" s="1"/>
  <c r="AB723" i="13"/>
  <c r="AS731" i="13"/>
  <c r="AP731" i="13"/>
  <c r="AL731" i="13"/>
  <c r="AK731" i="13"/>
  <c r="BA731" i="13"/>
  <c r="AJ731" i="13"/>
  <c r="AR733" i="13"/>
  <c r="AX747" i="13"/>
  <c r="AK747" i="13"/>
  <c r="BA747" i="13"/>
  <c r="BB747" i="13"/>
  <c r="AT747" i="13"/>
  <c r="AR762" i="13"/>
  <c r="AU762" i="13"/>
  <c r="AO762" i="13"/>
  <c r="BA762" i="13"/>
  <c r="AN762" i="13"/>
  <c r="AZ762" i="13"/>
  <c r="AM762" i="13"/>
  <c r="AW762" i="13"/>
  <c r="AV762" i="13"/>
  <c r="AQ762" i="13"/>
  <c r="AK762" i="13"/>
  <c r="AJ762" i="13"/>
  <c r="BM765" i="13"/>
  <c r="V778" i="13"/>
  <c r="U778" i="13"/>
  <c r="W778" i="13" s="1"/>
  <c r="AM789" i="13"/>
  <c r="AU789" i="13"/>
  <c r="AT789" i="13"/>
  <c r="AO789" i="13"/>
  <c r="AN789" i="13"/>
  <c r="AL789" i="13"/>
  <c r="AX789" i="13"/>
  <c r="AW789" i="13"/>
  <c r="AQ794" i="13"/>
  <c r="AZ794" i="13"/>
  <c r="AP794" i="13"/>
  <c r="AX794" i="13"/>
  <c r="AN794" i="13"/>
  <c r="AS794" i="13"/>
  <c r="AO794" i="13"/>
  <c r="AM794" i="13"/>
  <c r="AK794" i="13"/>
  <c r="AY794" i="13"/>
  <c r="AJ794" i="13"/>
  <c r="AW794" i="13"/>
  <c r="AV794" i="13"/>
  <c r="BT846" i="13"/>
  <c r="BU846" i="13"/>
  <c r="BK846" i="13"/>
  <c r="BS846" i="13"/>
  <c r="BJ846" i="13"/>
  <c r="BR846" i="13"/>
  <c r="BI846" i="13"/>
  <c r="BO846" i="13"/>
  <c r="BN846" i="13"/>
  <c r="BM846" i="13"/>
  <c r="BH846" i="13"/>
  <c r="BW846" i="13"/>
  <c r="BV846" i="13"/>
  <c r="BQ846" i="13"/>
  <c r="BP846" i="13"/>
  <c r="BG846" i="13"/>
  <c r="BF846" i="13"/>
  <c r="BE846" i="13"/>
  <c r="BW645" i="13"/>
  <c r="AV651" i="13"/>
  <c r="BM658" i="13"/>
  <c r="BV658" i="13"/>
  <c r="AB662" i="13"/>
  <c r="AE662" i="13" s="1"/>
  <c r="AU662" i="13"/>
  <c r="AJ663" i="13"/>
  <c r="BM663" i="13"/>
  <c r="BV663" i="13"/>
  <c r="BM665" i="13"/>
  <c r="BO666" i="13"/>
  <c r="BJ667" i="13"/>
  <c r="AJ668" i="13"/>
  <c r="AT669" i="13"/>
  <c r="AK670" i="13"/>
  <c r="AW670" i="13"/>
  <c r="BM671" i="13"/>
  <c r="BV671" i="13"/>
  <c r="BH672" i="13"/>
  <c r="AK673" i="13"/>
  <c r="AB674" i="13"/>
  <c r="AX674" i="13"/>
  <c r="BM674" i="13"/>
  <c r="AK675" i="13"/>
  <c r="AU675" i="13"/>
  <c r="BG675" i="13"/>
  <c r="BW675" i="13"/>
  <c r="BG677" i="13"/>
  <c r="AS678" i="13"/>
  <c r="BM678" i="13"/>
  <c r="AP679" i="13"/>
  <c r="AL680" i="13"/>
  <c r="AQ688" i="13"/>
  <c r="AT689" i="13"/>
  <c r="AW689" i="13"/>
  <c r="AV689" i="13"/>
  <c r="AO689" i="13"/>
  <c r="BG689" i="13"/>
  <c r="V691" i="13"/>
  <c r="AE691" i="13" s="1"/>
  <c r="AL692" i="13"/>
  <c r="AL693" i="13"/>
  <c r="BN695" i="13"/>
  <c r="BK695" i="13"/>
  <c r="BI695" i="13"/>
  <c r="BE695" i="13"/>
  <c r="BE697" i="13"/>
  <c r="BE698" i="13"/>
  <c r="BT699" i="13"/>
  <c r="BU699" i="13"/>
  <c r="BK699" i="13"/>
  <c r="BS699" i="13"/>
  <c r="BJ699" i="13"/>
  <c r="BQ699" i="13"/>
  <c r="BH699" i="13"/>
  <c r="BP699" i="13"/>
  <c r="AA702" i="13"/>
  <c r="AC702" i="13" s="1"/>
  <c r="BK706" i="13"/>
  <c r="AS708" i="13"/>
  <c r="BG709" i="13"/>
  <c r="BA713" i="13"/>
  <c r="AO717" i="13"/>
  <c r="BF718" i="13"/>
  <c r="AQ720" i="13"/>
  <c r="U721" i="13"/>
  <c r="W721" i="13" s="1"/>
  <c r="V721" i="13"/>
  <c r="BF721" i="13"/>
  <c r="BM724" i="13"/>
  <c r="BH724" i="13"/>
  <c r="BG724" i="13"/>
  <c r="BW724" i="13"/>
  <c r="BF724" i="13"/>
  <c r="BT724" i="13"/>
  <c r="BE724" i="13"/>
  <c r="BI728" i="13"/>
  <c r="AX731" i="13"/>
  <c r="AS733" i="13"/>
  <c r="BU740" i="13"/>
  <c r="AL747" i="13"/>
  <c r="AZ753" i="13"/>
  <c r="AJ753" i="13"/>
  <c r="AY753" i="13"/>
  <c r="AY762" i="13"/>
  <c r="AA764" i="13"/>
  <c r="AC764" i="13" s="1"/>
  <c r="AB764" i="13"/>
  <c r="BB781" i="13"/>
  <c r="AM781" i="13"/>
  <c r="AY781" i="13"/>
  <c r="AU781" i="13"/>
  <c r="AT781" i="13"/>
  <c r="AK781" i="13"/>
  <c r="AJ781" i="13"/>
  <c r="AJ789" i="13"/>
  <c r="AU794" i="13"/>
  <c r="AY662" i="13"/>
  <c r="BO665" i="13"/>
  <c r="AY674" i="13"/>
  <c r="BV678" i="13"/>
  <c r="AY679" i="13"/>
  <c r="AU679" i="13"/>
  <c r="AR679" i="13"/>
  <c r="BB679" i="13"/>
  <c r="AZ681" i="13"/>
  <c r="AP681" i="13"/>
  <c r="AW681" i="13"/>
  <c r="BS690" i="13"/>
  <c r="BH690" i="13"/>
  <c r="BR690" i="13"/>
  <c r="BE690" i="13"/>
  <c r="BM690" i="13"/>
  <c r="AP693" i="13"/>
  <c r="BU696" i="13"/>
  <c r="BW696" i="13"/>
  <c r="BK696" i="13"/>
  <c r="BV696" i="13"/>
  <c r="BJ696" i="13"/>
  <c r="BR696" i="13"/>
  <c r="BH696" i="13"/>
  <c r="BS696" i="13"/>
  <c r="BF697" i="13"/>
  <c r="AT698" i="13"/>
  <c r="AY698" i="13"/>
  <c r="AS698" i="13"/>
  <c r="AN698" i="13"/>
  <c r="BJ698" i="13"/>
  <c r="BQ702" i="13"/>
  <c r="BO702" i="13"/>
  <c r="BL702" i="13"/>
  <c r="BM706" i="13"/>
  <c r="AT708" i="13"/>
  <c r="AW709" i="13"/>
  <c r="BB709" i="13"/>
  <c r="AP709" i="13"/>
  <c r="BA709" i="13"/>
  <c r="AM709" i="13"/>
  <c r="AZ709" i="13"/>
  <c r="AL709" i="13"/>
  <c r="AU709" i="13"/>
  <c r="AJ709" i="13"/>
  <c r="BI709" i="13"/>
  <c r="BT713" i="13"/>
  <c r="BR713" i="13"/>
  <c r="BI713" i="13"/>
  <c r="BQ713" i="13"/>
  <c r="BH713" i="13"/>
  <c r="BP713" i="13"/>
  <c r="BG713" i="13"/>
  <c r="BW713" i="13"/>
  <c r="BN713" i="13"/>
  <c r="BE713" i="13"/>
  <c r="BV713" i="13"/>
  <c r="AV719" i="13"/>
  <c r="AT719" i="13"/>
  <c r="AO719" i="13"/>
  <c r="AM719" i="13"/>
  <c r="AA721" i="13"/>
  <c r="AC721" i="13" s="1"/>
  <c r="AB721" i="13"/>
  <c r="AT733" i="13"/>
  <c r="V761" i="13"/>
  <c r="AE761" i="13" s="1"/>
  <c r="U761" i="13"/>
  <c r="W761" i="13" s="1"/>
  <c r="AU771" i="13"/>
  <c r="AZ771" i="13"/>
  <c r="AO771" i="13"/>
  <c r="AX771" i="13"/>
  <c r="AN771" i="13"/>
  <c r="AW771" i="13"/>
  <c r="AL771" i="13"/>
  <c r="AV771" i="13"/>
  <c r="AK771" i="13"/>
  <c r="AT771" i="13"/>
  <c r="AJ771" i="13"/>
  <c r="BB771" i="13"/>
  <c r="BA771" i="13"/>
  <c r="AS771" i="13"/>
  <c r="BV817" i="13"/>
  <c r="BI817" i="13"/>
  <c r="BG817" i="13"/>
  <c r="BW817" i="13"/>
  <c r="BR817" i="13"/>
  <c r="BQ817" i="13"/>
  <c r="BO817" i="13"/>
  <c r="BB834" i="13"/>
  <c r="AZ834" i="13"/>
  <c r="AN834" i="13"/>
  <c r="AX834" i="13"/>
  <c r="AM834" i="13"/>
  <c r="AW834" i="13"/>
  <c r="AJ834" i="13"/>
  <c r="AU834" i="13"/>
  <c r="AR834" i="13"/>
  <c r="AP834" i="13"/>
  <c r="AO834" i="13"/>
  <c r="AV834" i="13"/>
  <c r="AJ662" i="13"/>
  <c r="BA662" i="13"/>
  <c r="AO663" i="13"/>
  <c r="BE665" i="13"/>
  <c r="BP665" i="13"/>
  <c r="AX668" i="13"/>
  <c r="BO674" i="13"/>
  <c r="AV678" i="13"/>
  <c r="BW678" i="13"/>
  <c r="U679" i="13"/>
  <c r="W679" i="13" s="1"/>
  <c r="AJ679" i="13"/>
  <c r="AS679" i="13"/>
  <c r="BU679" i="13"/>
  <c r="BR679" i="13"/>
  <c r="BE679" i="13"/>
  <c r="BT679" i="13"/>
  <c r="AJ681" i="13"/>
  <c r="AY681" i="13"/>
  <c r="BU682" i="13"/>
  <c r="BI682" i="13"/>
  <c r="BS682" i="13"/>
  <c r="U686" i="13"/>
  <c r="W686" i="13" s="1"/>
  <c r="BT689" i="13"/>
  <c r="BI690" i="13"/>
  <c r="AA691" i="13"/>
  <c r="AC691" i="13" s="1"/>
  <c r="AT693" i="13"/>
  <c r="BO694" i="13"/>
  <c r="BI694" i="13"/>
  <c r="BH694" i="13"/>
  <c r="BF694" i="13"/>
  <c r="BF696" i="13"/>
  <c r="AV697" i="13"/>
  <c r="AY697" i="13"/>
  <c r="AT697" i="13"/>
  <c r="AP697" i="13"/>
  <c r="BH697" i="13"/>
  <c r="AL698" i="13"/>
  <c r="BP698" i="13"/>
  <c r="BF702" i="13"/>
  <c r="AY703" i="13"/>
  <c r="AT703" i="13"/>
  <c r="AK703" i="13"/>
  <c r="BB703" i="13"/>
  <c r="AS703" i="13"/>
  <c r="AJ703" i="13"/>
  <c r="AZ703" i="13"/>
  <c r="AP703" i="13"/>
  <c r="AW703" i="13"/>
  <c r="BP706" i="13"/>
  <c r="U707" i="13"/>
  <c r="W707" i="13" s="1"/>
  <c r="V707" i="13"/>
  <c r="AV708" i="13"/>
  <c r="AK709" i="13"/>
  <c r="BO709" i="13"/>
  <c r="BF713" i="13"/>
  <c r="BI718" i="13"/>
  <c r="AL719" i="13"/>
  <c r="AZ721" i="13"/>
  <c r="BA721" i="13"/>
  <c r="AY721" i="13"/>
  <c r="AV721" i="13"/>
  <c r="AQ721" i="13"/>
  <c r="BU726" i="13"/>
  <c r="BN726" i="13"/>
  <c r="BW726" i="13"/>
  <c r="BK726" i="13"/>
  <c r="BV726" i="13"/>
  <c r="BJ726" i="13"/>
  <c r="BS726" i="13"/>
  <c r="BI726" i="13"/>
  <c r="BR726" i="13"/>
  <c r="BH726" i="13"/>
  <c r="BA727" i="13"/>
  <c r="AT727" i="13"/>
  <c r="AP727" i="13"/>
  <c r="AO727" i="13"/>
  <c r="BB727" i="13"/>
  <c r="AN727" i="13"/>
  <c r="AX727" i="13"/>
  <c r="AM727" i="13"/>
  <c r="AA729" i="13"/>
  <c r="AC729" i="13" s="1"/>
  <c r="AZ731" i="13"/>
  <c r="BB733" i="13"/>
  <c r="BA751" i="13"/>
  <c r="AW751" i="13"/>
  <c r="AL751" i="13"/>
  <c r="AU751" i="13"/>
  <c r="AP751" i="13"/>
  <c r="AX751" i="13"/>
  <c r="AV751" i="13"/>
  <c r="AT751" i="13"/>
  <c r="AO751" i="13"/>
  <c r="AN751" i="13"/>
  <c r="V763" i="13"/>
  <c r="AE763" i="13" s="1"/>
  <c r="AP771" i="13"/>
  <c r="AA776" i="13"/>
  <c r="AC776" i="13" s="1"/>
  <c r="AB776" i="13"/>
  <c r="V789" i="13"/>
  <c r="AE789" i="13" s="1"/>
  <c r="U789" i="13"/>
  <c r="W789" i="13" s="1"/>
  <c r="AA806" i="13"/>
  <c r="AC806" i="13" s="1"/>
  <c r="AF806" i="13" s="1"/>
  <c r="AB806" i="13"/>
  <c r="AV815" i="13"/>
  <c r="AY815" i="13"/>
  <c r="BJ817" i="13"/>
  <c r="V825" i="13"/>
  <c r="AE825" i="13" s="1"/>
  <c r="U825" i="13"/>
  <c r="W825" i="13" s="1"/>
  <c r="BM683" i="13"/>
  <c r="BV683" i="13"/>
  <c r="AT684" i="13"/>
  <c r="BP686" i="13"/>
  <c r="AO687" i="13"/>
  <c r="AX687" i="13"/>
  <c r="BK688" i="13"/>
  <c r="BW688" i="13"/>
  <c r="AQ690" i="13"/>
  <c r="BB690" i="13"/>
  <c r="BM691" i="13"/>
  <c r="BV691" i="13"/>
  <c r="BT693" i="13"/>
  <c r="AU702" i="13"/>
  <c r="BO704" i="13"/>
  <c r="BJ707" i="13"/>
  <c r="BS707" i="13"/>
  <c r="AR710" i="13"/>
  <c r="BP711" i="13"/>
  <c r="AN714" i="13"/>
  <c r="AX714" i="13"/>
  <c r="BL714" i="13"/>
  <c r="BS715" i="13"/>
  <c r="AR716" i="13"/>
  <c r="AT718" i="13"/>
  <c r="AP722" i="13"/>
  <c r="BB722" i="13"/>
  <c r="AY723" i="13"/>
  <c r="BQ723" i="13"/>
  <c r="AS725" i="13"/>
  <c r="AE726" i="13"/>
  <c r="AS726" i="13"/>
  <c r="BK729" i="13"/>
  <c r="BV729" i="13"/>
  <c r="AN730" i="13"/>
  <c r="AX730" i="13"/>
  <c r="BL730" i="13"/>
  <c r="BP731" i="13"/>
  <c r="BU732" i="13"/>
  <c r="AE734" i="13"/>
  <c r="BA734" i="13"/>
  <c r="BN734" i="13"/>
  <c r="AT735" i="13"/>
  <c r="AR736" i="13"/>
  <c r="BM737" i="13"/>
  <c r="BW737" i="13"/>
  <c r="AN738" i="13"/>
  <c r="AX738" i="13"/>
  <c r="BU738" i="13"/>
  <c r="AR741" i="13"/>
  <c r="BU742" i="13"/>
  <c r="BW742" i="13"/>
  <c r="BK742" i="13"/>
  <c r="BQ742" i="13"/>
  <c r="BG742" i="13"/>
  <c r="BR742" i="13"/>
  <c r="AT744" i="13"/>
  <c r="AZ745" i="13"/>
  <c r="AY745" i="13"/>
  <c r="AZ746" i="13"/>
  <c r="AW746" i="13"/>
  <c r="AM746" i="13"/>
  <c r="AS746" i="13"/>
  <c r="AV746" i="13"/>
  <c r="AO749" i="13"/>
  <c r="AS752" i="13"/>
  <c r="BT758" i="13"/>
  <c r="BW758" i="13"/>
  <c r="BN758" i="13"/>
  <c r="BE758" i="13"/>
  <c r="BU758" i="13"/>
  <c r="BK758" i="13"/>
  <c r="BS758" i="13"/>
  <c r="BJ758" i="13"/>
  <c r="BR758" i="13"/>
  <c r="BI758" i="13"/>
  <c r="BV758" i="13"/>
  <c r="AZ760" i="13"/>
  <c r="AS760" i="13"/>
  <c r="AL760" i="13"/>
  <c r="AK760" i="13"/>
  <c r="BB760" i="13"/>
  <c r="AJ760" i="13"/>
  <c r="AP764" i="13"/>
  <c r="AY764" i="13"/>
  <c r="AM764" i="13"/>
  <c r="AX764" i="13"/>
  <c r="AL764" i="13"/>
  <c r="AW764" i="13"/>
  <c r="AK764" i="13"/>
  <c r="AY767" i="13"/>
  <c r="AT767" i="13"/>
  <c r="AJ767" i="13"/>
  <c r="BB767" i="13"/>
  <c r="AR767" i="13"/>
  <c r="BA767" i="13"/>
  <c r="AP767" i="13"/>
  <c r="AZ767" i="13"/>
  <c r="AO767" i="13"/>
  <c r="BV774" i="13"/>
  <c r="BT774" i="13"/>
  <c r="BI774" i="13"/>
  <c r="AQ788" i="13"/>
  <c r="AV788" i="13"/>
  <c r="AY788" i="13"/>
  <c r="AX788" i="13"/>
  <c r="AT788" i="13"/>
  <c r="AP788" i="13"/>
  <c r="AO788" i="13"/>
  <c r="BB798" i="13"/>
  <c r="AM798" i="13"/>
  <c r="AL798" i="13"/>
  <c r="AJ798" i="13"/>
  <c r="AY798" i="13"/>
  <c r="AV798" i="13"/>
  <c r="AU798" i="13"/>
  <c r="AT798" i="13"/>
  <c r="BU820" i="13"/>
  <c r="BR820" i="13"/>
  <c r="BH820" i="13"/>
  <c r="BQ820" i="13"/>
  <c r="BG820" i="13"/>
  <c r="BP820" i="13"/>
  <c r="BF820" i="13"/>
  <c r="BN820" i="13"/>
  <c r="BK820" i="13"/>
  <c r="BJ820" i="13"/>
  <c r="BI820" i="13"/>
  <c r="BW820" i="13"/>
  <c r="BV820" i="13"/>
  <c r="BS820" i="13"/>
  <c r="AY842" i="13"/>
  <c r="AZ842" i="13"/>
  <c r="AP842" i="13"/>
  <c r="AX842" i="13"/>
  <c r="AO842" i="13"/>
  <c r="AW842" i="13"/>
  <c r="AN842" i="13"/>
  <c r="AT842" i="13"/>
  <c r="AS842" i="13"/>
  <c r="AR842" i="13"/>
  <c r="AM842" i="13"/>
  <c r="BA842" i="13"/>
  <c r="AV842" i="13"/>
  <c r="AU842" i="13"/>
  <c r="AL842" i="13"/>
  <c r="AK842" i="13"/>
  <c r="V845" i="13"/>
  <c r="U845" i="13"/>
  <c r="W845" i="13" s="1"/>
  <c r="AX726" i="13"/>
  <c r="BM729" i="13"/>
  <c r="BW729" i="13"/>
  <c r="BQ731" i="13"/>
  <c r="BO734" i="13"/>
  <c r="BN737" i="13"/>
  <c r="BT748" i="13"/>
  <c r="BM748" i="13"/>
  <c r="BW748" i="13"/>
  <c r="BG748" i="13"/>
  <c r="BU748" i="13"/>
  <c r="BE748" i="13"/>
  <c r="BT756" i="13"/>
  <c r="BM756" i="13"/>
  <c r="BW756" i="13"/>
  <c r="BG756" i="13"/>
  <c r="BV756" i="13"/>
  <c r="BF756" i="13"/>
  <c r="BU756" i="13"/>
  <c r="BE756" i="13"/>
  <c r="AB758" i="13"/>
  <c r="AE758" i="13" s="1"/>
  <c r="AA758" i="13"/>
  <c r="AC758" i="13" s="1"/>
  <c r="BT791" i="13"/>
  <c r="BQ791" i="13"/>
  <c r="BH791" i="13"/>
  <c r="BW791" i="13"/>
  <c r="BN791" i="13"/>
  <c r="BE791" i="13"/>
  <c r="BK791" i="13"/>
  <c r="BV791" i="13"/>
  <c r="BJ791" i="13"/>
  <c r="BU791" i="13"/>
  <c r="BI791" i="13"/>
  <c r="BS791" i="13"/>
  <c r="BG791" i="13"/>
  <c r="BR791" i="13"/>
  <c r="BF791" i="13"/>
  <c r="AB810" i="13"/>
  <c r="AA810" i="13"/>
  <c r="AC810" i="13" s="1"/>
  <c r="AU840" i="13"/>
  <c r="AL840" i="13"/>
  <c r="AK840" i="13"/>
  <c r="BU843" i="13"/>
  <c r="BS843" i="13"/>
  <c r="BI843" i="13"/>
  <c r="BR843" i="13"/>
  <c r="BH843" i="13"/>
  <c r="BQ843" i="13"/>
  <c r="BG843" i="13"/>
  <c r="BN843" i="13"/>
  <c r="BK843" i="13"/>
  <c r="BJ843" i="13"/>
  <c r="BF843" i="13"/>
  <c r="BW843" i="13"/>
  <c r="BV843" i="13"/>
  <c r="BB856" i="13"/>
  <c r="AP856" i="13"/>
  <c r="BA856" i="13"/>
  <c r="AN856" i="13"/>
  <c r="AY856" i="13"/>
  <c r="AM856" i="13"/>
  <c r="AV856" i="13"/>
  <c r="AU856" i="13"/>
  <c r="AT856" i="13"/>
  <c r="AQ856" i="13"/>
  <c r="AL856" i="13"/>
  <c r="AX856" i="13"/>
  <c r="AK856" i="13"/>
  <c r="AJ856" i="13"/>
  <c r="AE686" i="13"/>
  <c r="AR687" i="13"/>
  <c r="BA687" i="13"/>
  <c r="BO688" i="13"/>
  <c r="AT690" i="13"/>
  <c r="AX702" i="13"/>
  <c r="BM707" i="13"/>
  <c r="BV707" i="13"/>
  <c r="AP714" i="13"/>
  <c r="BB714" i="13"/>
  <c r="AY716" i="13"/>
  <c r="AX718" i="13"/>
  <c r="AT722" i="13"/>
  <c r="BG722" i="13"/>
  <c r="BB723" i="13"/>
  <c r="AK725" i="13"/>
  <c r="AU725" i="13"/>
  <c r="AJ726" i="13"/>
  <c r="AY726" i="13"/>
  <c r="BE729" i="13"/>
  <c r="BN729" i="13"/>
  <c r="AP730" i="13"/>
  <c r="BB730" i="13"/>
  <c r="BS730" i="13"/>
  <c r="BG731" i="13"/>
  <c r="BR731" i="13"/>
  <c r="BG732" i="13"/>
  <c r="AJ734" i="13"/>
  <c r="BF734" i="13"/>
  <c r="BP734" i="13"/>
  <c r="AV735" i="13"/>
  <c r="AT736" i="13"/>
  <c r="BE737" i="13"/>
  <c r="BO737" i="13"/>
  <c r="AP738" i="13"/>
  <c r="BB738" i="13"/>
  <c r="AA742" i="13"/>
  <c r="AC742" i="13" s="1"/>
  <c r="BH742" i="13"/>
  <c r="BV742" i="13"/>
  <c r="V743" i="13"/>
  <c r="AE743" i="13" s="1"/>
  <c r="BT745" i="13"/>
  <c r="BW745" i="13"/>
  <c r="BM745" i="13"/>
  <c r="BQ745" i="13"/>
  <c r="BG745" i="13"/>
  <c r="BP745" i="13"/>
  <c r="AL746" i="13"/>
  <c r="BA746" i="13"/>
  <c r="BF748" i="13"/>
  <c r="AU749" i="13"/>
  <c r="BU750" i="13"/>
  <c r="BR750" i="13"/>
  <c r="BH750" i="13"/>
  <c r="BP750" i="13"/>
  <c r="BF750" i="13"/>
  <c r="BN750" i="13"/>
  <c r="BV750" i="13"/>
  <c r="AA752" i="13"/>
  <c r="AC752" i="13" s="1"/>
  <c r="BR754" i="13"/>
  <c r="BE754" i="13"/>
  <c r="BU754" i="13"/>
  <c r="BS754" i="13"/>
  <c r="BN754" i="13"/>
  <c r="BH756" i="13"/>
  <c r="BG758" i="13"/>
  <c r="BS759" i="13"/>
  <c r="BV759" i="13"/>
  <c r="BO759" i="13"/>
  <c r="BN759" i="13"/>
  <c r="AT760" i="13"/>
  <c r="AQ764" i="13"/>
  <c r="BP775" i="13"/>
  <c r="BV775" i="13"/>
  <c r="BK775" i="13"/>
  <c r="BU775" i="13"/>
  <c r="BJ775" i="13"/>
  <c r="BS775" i="13"/>
  <c r="BI775" i="13"/>
  <c r="BR775" i="13"/>
  <c r="BG775" i="13"/>
  <c r="BQ775" i="13"/>
  <c r="BF775" i="13"/>
  <c r="AN788" i="13"/>
  <c r="BM791" i="13"/>
  <c r="BB797" i="13"/>
  <c r="AV797" i="13"/>
  <c r="AT797" i="13"/>
  <c r="AQ797" i="13"/>
  <c r="BQ801" i="13"/>
  <c r="BK801" i="13"/>
  <c r="BJ801" i="13"/>
  <c r="BI801" i="13"/>
  <c r="BT801" i="13"/>
  <c r="BS801" i="13"/>
  <c r="BR801" i="13"/>
  <c r="BH801" i="13"/>
  <c r="BG801" i="13"/>
  <c r="BB818" i="13"/>
  <c r="AR818" i="13"/>
  <c r="AP818" i="13"/>
  <c r="AV818" i="13"/>
  <c r="AU818" i="13"/>
  <c r="AO818" i="13"/>
  <c r="AN818" i="13"/>
  <c r="AZ818" i="13"/>
  <c r="AX818" i="13"/>
  <c r="AW818" i="13"/>
  <c r="AX840" i="13"/>
  <c r="BO843" i="13"/>
  <c r="BL848" i="13"/>
  <c r="BS848" i="13"/>
  <c r="BR848" i="13"/>
  <c r="BP848" i="13"/>
  <c r="BK848" i="13"/>
  <c r="AB850" i="13"/>
  <c r="AA850" i="13"/>
  <c r="AC850" i="13" s="1"/>
  <c r="BG683" i="13"/>
  <c r="BP683" i="13"/>
  <c r="AM684" i="13"/>
  <c r="AW684" i="13"/>
  <c r="BG686" i="13"/>
  <c r="BU686" i="13"/>
  <c r="AJ687" i="13"/>
  <c r="AS687" i="13"/>
  <c r="BB687" i="13"/>
  <c r="BF688" i="13"/>
  <c r="BP688" i="13"/>
  <c r="AJ690" i="13"/>
  <c r="BG691" i="13"/>
  <c r="BP691" i="13"/>
  <c r="BG693" i="13"/>
  <c r="V697" i="13"/>
  <c r="AT700" i="13"/>
  <c r="BM700" i="13"/>
  <c r="AJ702" i="13"/>
  <c r="AZ702" i="13"/>
  <c r="BH704" i="13"/>
  <c r="BR704" i="13"/>
  <c r="AO705" i="13"/>
  <c r="BE707" i="13"/>
  <c r="BN707" i="13"/>
  <c r="BW707" i="13"/>
  <c r="AX710" i="13"/>
  <c r="BH711" i="13"/>
  <c r="V713" i="13"/>
  <c r="AS714" i="13"/>
  <c r="V717" i="13"/>
  <c r="AJ718" i="13"/>
  <c r="BK722" i="13"/>
  <c r="AK726" i="13"/>
  <c r="AZ726" i="13"/>
  <c r="BF729" i="13"/>
  <c r="BO729" i="13"/>
  <c r="AE730" i="13"/>
  <c r="AS730" i="13"/>
  <c r="BT730" i="13"/>
  <c r="BH731" i="13"/>
  <c r="BS731" i="13"/>
  <c r="AK734" i="13"/>
  <c r="BG734" i="13"/>
  <c r="BQ734" i="13"/>
  <c r="AU736" i="13"/>
  <c r="BF737" i="13"/>
  <c r="BP737" i="13"/>
  <c r="AS738" i="13"/>
  <c r="AY741" i="13"/>
  <c r="AU741" i="13"/>
  <c r="AK741" i="13"/>
  <c r="BA741" i="13"/>
  <c r="AO741" i="13"/>
  <c r="AV741" i="13"/>
  <c r="AZ742" i="13"/>
  <c r="AS742" i="13"/>
  <c r="AJ742" i="13"/>
  <c r="AY744" i="13"/>
  <c r="BA744" i="13"/>
  <c r="AK744" i="13"/>
  <c r="AS744" i="13"/>
  <c r="BB744" i="13"/>
  <c r="AN746" i="13"/>
  <c r="BB746" i="13"/>
  <c r="BH748" i="13"/>
  <c r="BN756" i="13"/>
  <c r="AS764" i="13"/>
  <c r="AW766" i="13"/>
  <c r="AS766" i="13"/>
  <c r="AK766" i="13"/>
  <c r="BT771" i="13"/>
  <c r="BS771" i="13"/>
  <c r="BI771" i="13"/>
  <c r="BR771" i="13"/>
  <c r="BH771" i="13"/>
  <c r="BQ771" i="13"/>
  <c r="BG771" i="13"/>
  <c r="BO771" i="13"/>
  <c r="BF771" i="13"/>
  <c r="BN771" i="13"/>
  <c r="BE771" i="13"/>
  <c r="BE775" i="13"/>
  <c r="BT777" i="13"/>
  <c r="BQ777" i="13"/>
  <c r="BE777" i="13"/>
  <c r="BO777" i="13"/>
  <c r="BM777" i="13"/>
  <c r="BK777" i="13"/>
  <c r="BI777" i="13"/>
  <c r="BW777" i="13"/>
  <c r="BH777" i="13"/>
  <c r="V780" i="13"/>
  <c r="AE780" i="13" s="1"/>
  <c r="U780" i="13"/>
  <c r="W780" i="13" s="1"/>
  <c r="AZ783" i="13"/>
  <c r="AW783" i="13"/>
  <c r="AM783" i="13"/>
  <c r="AS783" i="13"/>
  <c r="AP783" i="13"/>
  <c r="BB783" i="13"/>
  <c r="AO783" i="13"/>
  <c r="BA783" i="13"/>
  <c r="AN783" i="13"/>
  <c r="AX783" i="13"/>
  <c r="AL783" i="13"/>
  <c r="BB788" i="13"/>
  <c r="BO791" i="13"/>
  <c r="BT803" i="13"/>
  <c r="BS803" i="13"/>
  <c r="BL803" i="13"/>
  <c r="BK803" i="13"/>
  <c r="BV803" i="13"/>
  <c r="BJ803" i="13"/>
  <c r="BI803" i="13"/>
  <c r="BF803" i="13"/>
  <c r="BT831" i="13"/>
  <c r="BS831" i="13"/>
  <c r="BJ831" i="13"/>
  <c r="BR831" i="13"/>
  <c r="BI831" i="13"/>
  <c r="BQ831" i="13"/>
  <c r="BH831" i="13"/>
  <c r="BO831" i="13"/>
  <c r="BN831" i="13"/>
  <c r="BM831" i="13"/>
  <c r="BK831" i="13"/>
  <c r="BW831" i="13"/>
  <c r="BV831" i="13"/>
  <c r="BU831" i="13"/>
  <c r="BP831" i="13"/>
  <c r="BG831" i="13"/>
  <c r="BP843" i="13"/>
  <c r="AT714" i="13"/>
  <c r="BL722" i="13"/>
  <c r="AO726" i="13"/>
  <c r="BG729" i="13"/>
  <c r="BP729" i="13"/>
  <c r="AT730" i="13"/>
  <c r="BI731" i="13"/>
  <c r="BW731" i="13"/>
  <c r="BH734" i="13"/>
  <c r="BR734" i="13"/>
  <c r="BG737" i="13"/>
  <c r="BQ737" i="13"/>
  <c r="AT738" i="13"/>
  <c r="U746" i="13"/>
  <c r="W746" i="13" s="1"/>
  <c r="V746" i="13"/>
  <c r="BN748" i="13"/>
  <c r="AY749" i="13"/>
  <c r="AV749" i="13"/>
  <c r="AL749" i="13"/>
  <c r="AT749" i="13"/>
  <c r="AJ749" i="13"/>
  <c r="BB749" i="13"/>
  <c r="AR749" i="13"/>
  <c r="AZ749" i="13"/>
  <c r="AY752" i="13"/>
  <c r="BB752" i="13"/>
  <c r="AL752" i="13"/>
  <c r="AZ752" i="13"/>
  <c r="AJ752" i="13"/>
  <c r="AT752" i="13"/>
  <c r="BO756" i="13"/>
  <c r="AY775" i="13"/>
  <c r="BA775" i="13"/>
  <c r="AP775" i="13"/>
  <c r="AZ775" i="13"/>
  <c r="AO775" i="13"/>
  <c r="AX775" i="13"/>
  <c r="AN775" i="13"/>
  <c r="AW775" i="13"/>
  <c r="AL775" i="13"/>
  <c r="AV775" i="13"/>
  <c r="AK775" i="13"/>
  <c r="U782" i="13"/>
  <c r="W782" i="13" s="1"/>
  <c r="V782" i="13"/>
  <c r="AE782" i="13" s="1"/>
  <c r="BV788" i="13"/>
  <c r="BL788" i="13"/>
  <c r="BP788" i="13"/>
  <c r="BN788" i="13"/>
  <c r="BM788" i="13"/>
  <c r="BG788" i="13"/>
  <c r="BF788" i="13"/>
  <c r="BP791" i="13"/>
  <c r="BE831" i="13"/>
  <c r="V857" i="13"/>
  <c r="U857" i="13"/>
  <c r="W857" i="13" s="1"/>
  <c r="BU858" i="13"/>
  <c r="BW858" i="13"/>
  <c r="BV858" i="13"/>
  <c r="BM858" i="13"/>
  <c r="V859" i="13"/>
  <c r="U859" i="13"/>
  <c r="W859" i="13" s="1"/>
  <c r="AV743" i="13"/>
  <c r="BM743" i="13"/>
  <c r="BV746" i="13"/>
  <c r="BO747" i="13"/>
  <c r="BA750" i="13"/>
  <c r="AE753" i="13"/>
  <c r="BH753" i="13"/>
  <c r="BR753" i="13"/>
  <c r="AP754" i="13"/>
  <c r="AZ754" i="13"/>
  <c r="BJ755" i="13"/>
  <c r="AO757" i="13"/>
  <c r="BA757" i="13"/>
  <c r="AX758" i="13"/>
  <c r="AU759" i="13"/>
  <c r="BT761" i="13"/>
  <c r="BL762" i="13"/>
  <c r="AN763" i="13"/>
  <c r="AX763" i="13"/>
  <c r="BI763" i="13"/>
  <c r="BS763" i="13"/>
  <c r="AR765" i="13"/>
  <c r="BJ766" i="13"/>
  <c r="BJ767" i="13"/>
  <c r="BU767" i="13"/>
  <c r="BN768" i="13"/>
  <c r="BM769" i="13"/>
  <c r="BR770" i="13"/>
  <c r="AY772" i="13"/>
  <c r="BO772" i="13"/>
  <c r="AT773" i="13"/>
  <c r="AY776" i="13"/>
  <c r="BB776" i="13"/>
  <c r="AL776" i="13"/>
  <c r="BA776" i="13"/>
  <c r="BO780" i="13"/>
  <c r="BI782" i="13"/>
  <c r="AE784" i="13"/>
  <c r="AU784" i="13"/>
  <c r="AX785" i="13"/>
  <c r="BS786" i="13"/>
  <c r="BU787" i="13"/>
  <c r="BV787" i="13"/>
  <c r="BJ787" i="13"/>
  <c r="BP787" i="13"/>
  <c r="BO792" i="13"/>
  <c r="BE792" i="13"/>
  <c r="BU792" i="13"/>
  <c r="BK792" i="13"/>
  <c r="BR792" i="13"/>
  <c r="AR793" i="13"/>
  <c r="AL793" i="13"/>
  <c r="AJ793" i="13"/>
  <c r="AQ802" i="13"/>
  <c r="AP802" i="13"/>
  <c r="AZ802" i="13"/>
  <c r="AO802" i="13"/>
  <c r="AY802" i="13"/>
  <c r="AN802" i="13"/>
  <c r="BT807" i="13"/>
  <c r="BR807" i="13"/>
  <c r="BI807" i="13"/>
  <c r="BQ807" i="13"/>
  <c r="BH807" i="13"/>
  <c r="BP807" i="13"/>
  <c r="BG807" i="13"/>
  <c r="BO807" i="13"/>
  <c r="BF807" i="13"/>
  <c r="BV807" i="13"/>
  <c r="AU808" i="13"/>
  <c r="AA816" i="13"/>
  <c r="AC816" i="13" s="1"/>
  <c r="AB816" i="13"/>
  <c r="BR821" i="13"/>
  <c r="BK821" i="13"/>
  <c r="BH821" i="13"/>
  <c r="BV821" i="13"/>
  <c r="BF821" i="13"/>
  <c r="BU821" i="13"/>
  <c r="BS821" i="13"/>
  <c r="BP821" i="13"/>
  <c r="BN821" i="13"/>
  <c r="BS840" i="13"/>
  <c r="BR840" i="13"/>
  <c r="BI840" i="13"/>
  <c r="BH840" i="13"/>
  <c r="BU854" i="13"/>
  <c r="U855" i="13"/>
  <c r="W855" i="13" s="1"/>
  <c r="V855" i="13"/>
  <c r="U880" i="13"/>
  <c r="W880" i="13" s="1"/>
  <c r="V880" i="13"/>
  <c r="AR754" i="13"/>
  <c r="BA754" i="13"/>
  <c r="AV759" i="13"/>
  <c r="BK767" i="13"/>
  <c r="BV767" i="13"/>
  <c r="BR772" i="13"/>
  <c r="AU773" i="13"/>
  <c r="BS776" i="13"/>
  <c r="BV776" i="13"/>
  <c r="AV779" i="13"/>
  <c r="AY779" i="13"/>
  <c r="AN779" i="13"/>
  <c r="AT779" i="13"/>
  <c r="BQ780" i="13"/>
  <c r="V783" i="13"/>
  <c r="U783" i="13"/>
  <c r="W783" i="13" s="1"/>
  <c r="AX784" i="13"/>
  <c r="AY786" i="13"/>
  <c r="BB786" i="13"/>
  <c r="AS786" i="13"/>
  <c r="AJ786" i="13"/>
  <c r="AT786" i="13"/>
  <c r="BP790" i="13"/>
  <c r="BU790" i="13"/>
  <c r="BJ790" i="13"/>
  <c r="BS790" i="13"/>
  <c r="AV808" i="13"/>
  <c r="AZ828" i="13"/>
  <c r="AY828" i="13"/>
  <c r="AW828" i="13"/>
  <c r="BV833" i="13"/>
  <c r="BW833" i="13"/>
  <c r="BR833" i="13"/>
  <c r="BQ833" i="13"/>
  <c r="BO833" i="13"/>
  <c r="BJ833" i="13"/>
  <c r="BI833" i="13"/>
  <c r="BP834" i="13"/>
  <c r="BW834" i="13"/>
  <c r="BO834" i="13"/>
  <c r="BN834" i="13"/>
  <c r="BR839" i="13"/>
  <c r="BO839" i="13"/>
  <c r="BM839" i="13"/>
  <c r="BW839" i="13"/>
  <c r="BT839" i="13"/>
  <c r="BJ839" i="13"/>
  <c r="BL859" i="13"/>
  <c r="BK859" i="13"/>
  <c r="BJ859" i="13"/>
  <c r="BV859" i="13"/>
  <c r="BT859" i="13"/>
  <c r="BQ859" i="13"/>
  <c r="BN859" i="13"/>
  <c r="BI859" i="13"/>
  <c r="BL861" i="13"/>
  <c r="BN861" i="13"/>
  <c r="BM861" i="13"/>
  <c r="BU869" i="13"/>
  <c r="BT869" i="13"/>
  <c r="BL869" i="13"/>
  <c r="BE869" i="13"/>
  <c r="BN869" i="13"/>
  <c r="AZ896" i="13"/>
  <c r="AP896" i="13"/>
  <c r="AQ896" i="13"/>
  <c r="AJ896" i="13"/>
  <c r="BA896" i="13"/>
  <c r="AS896" i="13"/>
  <c r="AF913" i="13"/>
  <c r="BQ747" i="13"/>
  <c r="AJ754" i="13"/>
  <c r="AS754" i="13"/>
  <c r="BB754" i="13"/>
  <c r="AS757" i="13"/>
  <c r="BA758" i="13"/>
  <c r="AL759" i="13"/>
  <c r="AW759" i="13"/>
  <c r="BF760" i="13"/>
  <c r="AA761" i="13"/>
  <c r="AC761" i="13" s="1"/>
  <c r="BP762" i="13"/>
  <c r="AU765" i="13"/>
  <c r="BM767" i="13"/>
  <c r="BW767" i="13"/>
  <c r="U768" i="13"/>
  <c r="W768" i="13" s="1"/>
  <c r="BT768" i="13"/>
  <c r="BP769" i="13"/>
  <c r="BF772" i="13"/>
  <c r="BT772" i="13"/>
  <c r="AJ773" i="13"/>
  <c r="AV773" i="13"/>
  <c r="BF776" i="13"/>
  <c r="AJ779" i="13"/>
  <c r="AW779" i="13"/>
  <c r="AY780" i="13"/>
  <c r="AX780" i="13"/>
  <c r="AJ780" i="13"/>
  <c r="AZ780" i="13"/>
  <c r="V781" i="13"/>
  <c r="AJ784" i="13"/>
  <c r="AZ784" i="13"/>
  <c r="BW785" i="13"/>
  <c r="BI785" i="13"/>
  <c r="AK786" i="13"/>
  <c r="AU786" i="13"/>
  <c r="BF790" i="13"/>
  <c r="BT790" i="13"/>
  <c r="U792" i="13"/>
  <c r="W792" i="13" s="1"/>
  <c r="V792" i="13"/>
  <c r="BS797" i="13"/>
  <c r="BN797" i="13"/>
  <c r="BG797" i="13"/>
  <c r="U799" i="13"/>
  <c r="W799" i="13" s="1"/>
  <c r="V799" i="13"/>
  <c r="AB800" i="13"/>
  <c r="BW800" i="13"/>
  <c r="BJ800" i="13"/>
  <c r="BG800" i="13"/>
  <c r="BF800" i="13"/>
  <c r="BE800" i="13"/>
  <c r="AT806" i="13"/>
  <c r="AS806" i="13"/>
  <c r="V807" i="13"/>
  <c r="BP809" i="13"/>
  <c r="BT809" i="13"/>
  <c r="BR809" i="13"/>
  <c r="BJ809" i="13"/>
  <c r="BI809" i="13"/>
  <c r="AA811" i="13"/>
  <c r="AC811" i="13" s="1"/>
  <c r="BG833" i="13"/>
  <c r="BF834" i="13"/>
  <c r="BE839" i="13"/>
  <c r="AQ841" i="13"/>
  <c r="AP841" i="13"/>
  <c r="AZ841" i="13"/>
  <c r="AO841" i="13"/>
  <c r="AX841" i="13"/>
  <c r="AW841" i="13"/>
  <c r="AV841" i="13"/>
  <c r="AR841" i="13"/>
  <c r="AB851" i="13"/>
  <c r="AA851" i="13"/>
  <c r="AC851" i="13" s="1"/>
  <c r="AT860" i="13"/>
  <c r="AO860" i="13"/>
  <c r="AL860" i="13"/>
  <c r="BB860" i="13"/>
  <c r="AJ860" i="13"/>
  <c r="AZ860" i="13"/>
  <c r="AY860" i="13"/>
  <c r="AX860" i="13"/>
  <c r="AA889" i="13"/>
  <c r="AC889" i="13" s="1"/>
  <c r="AB889" i="13"/>
  <c r="BA894" i="13"/>
  <c r="AV894" i="13"/>
  <c r="AJ894" i="13"/>
  <c r="AR894" i="13"/>
  <c r="AO894" i="13"/>
  <c r="AN894" i="13"/>
  <c r="BB894" i="13"/>
  <c r="AL894" i="13"/>
  <c r="AW894" i="13"/>
  <c r="AZ894" i="13"/>
  <c r="AU894" i="13"/>
  <c r="U902" i="13"/>
  <c r="W902" i="13" s="1"/>
  <c r="V902" i="13"/>
  <c r="AE902" i="13" s="1"/>
  <c r="BN767" i="13"/>
  <c r="BU780" i="13"/>
  <c r="BP780" i="13"/>
  <c r="BM781" i="13"/>
  <c r="BQ781" i="13"/>
  <c r="BW783" i="13"/>
  <c r="BO783" i="13"/>
  <c r="AR785" i="13"/>
  <c r="AM785" i="13"/>
  <c r="AS790" i="13"/>
  <c r="BB790" i="13"/>
  <c r="AR790" i="13"/>
  <c r="AB799" i="13"/>
  <c r="AA799" i="13"/>
  <c r="AC799" i="13" s="1"/>
  <c r="AF807" i="13"/>
  <c r="AZ808" i="13"/>
  <c r="AS808" i="13"/>
  <c r="BB808" i="13"/>
  <c r="AP808" i="13"/>
  <c r="BA808" i="13"/>
  <c r="AO808" i="13"/>
  <c r="AX808" i="13"/>
  <c r="AN808" i="13"/>
  <c r="BL818" i="13"/>
  <c r="BG818" i="13"/>
  <c r="BV818" i="13"/>
  <c r="BT818" i="13"/>
  <c r="BO818" i="13"/>
  <c r="BN818" i="13"/>
  <c r="AY827" i="13"/>
  <c r="AX827" i="13"/>
  <c r="AO827" i="13"/>
  <c r="AW827" i="13"/>
  <c r="AN827" i="13"/>
  <c r="AV827" i="13"/>
  <c r="AM827" i="13"/>
  <c r="AP827" i="13"/>
  <c r="BB827" i="13"/>
  <c r="AL827" i="13"/>
  <c r="BA827" i="13"/>
  <c r="AK827" i="13"/>
  <c r="AZ827" i="13"/>
  <c r="AJ827" i="13"/>
  <c r="U829" i="13"/>
  <c r="W829" i="13" s="1"/>
  <c r="V829" i="13"/>
  <c r="AE829" i="13" s="1"/>
  <c r="BR847" i="13"/>
  <c r="BW847" i="13"/>
  <c r="BG847" i="13"/>
  <c r="BV847" i="13"/>
  <c r="BF847" i="13"/>
  <c r="BU847" i="13"/>
  <c r="BE847" i="13"/>
  <c r="BO847" i="13"/>
  <c r="BN847" i="13"/>
  <c r="BM847" i="13"/>
  <c r="BK847" i="13"/>
  <c r="BT854" i="13"/>
  <c r="BP854" i="13"/>
  <c r="BG854" i="13"/>
  <c r="BO854" i="13"/>
  <c r="BF854" i="13"/>
  <c r="BW854" i="13"/>
  <c r="BN854" i="13"/>
  <c r="BE854" i="13"/>
  <c r="BR854" i="13"/>
  <c r="BQ854" i="13"/>
  <c r="BM854" i="13"/>
  <c r="BK854" i="13"/>
  <c r="BM856" i="13"/>
  <c r="BL856" i="13"/>
  <c r="BW856" i="13"/>
  <c r="BK856" i="13"/>
  <c r="BR856" i="13"/>
  <c r="BP856" i="13"/>
  <c r="BJ856" i="13"/>
  <c r="BH856" i="13"/>
  <c r="BG856" i="13"/>
  <c r="BM869" i="13"/>
  <c r="AV877" i="13"/>
  <c r="AN877" i="13"/>
  <c r="AW877" i="13"/>
  <c r="AX877" i="13"/>
  <c r="AT877" i="13"/>
  <c r="AO877" i="13"/>
  <c r="AA879" i="13"/>
  <c r="AC879" i="13" s="1"/>
  <c r="AB879" i="13"/>
  <c r="BB891" i="13"/>
  <c r="AU891" i="13"/>
  <c r="AJ891" i="13"/>
  <c r="BA891" i="13"/>
  <c r="AP891" i="13"/>
  <c r="AS891" i="13"/>
  <c r="AR891" i="13"/>
  <c r="AN891" i="13"/>
  <c r="AX891" i="13"/>
  <c r="AK891" i="13"/>
  <c r="AW891" i="13"/>
  <c r="AV891" i="13"/>
  <c r="AO891" i="13"/>
  <c r="AM891" i="13"/>
  <c r="AM894" i="13"/>
  <c r="BV743" i="13"/>
  <c r="BM746" i="13"/>
  <c r="BH747" i="13"/>
  <c r="BS747" i="13"/>
  <c r="AR750" i="13"/>
  <c r="BN753" i="13"/>
  <c r="AL754" i="13"/>
  <c r="AU754" i="13"/>
  <c r="BQ755" i="13"/>
  <c r="AK757" i="13"/>
  <c r="AU757" i="13"/>
  <c r="AK758" i="13"/>
  <c r="AN759" i="13"/>
  <c r="BB759" i="13"/>
  <c r="BF762" i="13"/>
  <c r="AS763" i="13"/>
  <c r="BN763" i="13"/>
  <c r="AL765" i="13"/>
  <c r="AX765" i="13"/>
  <c r="BT766" i="13"/>
  <c r="BE767" i="13"/>
  <c r="BO767" i="13"/>
  <c r="BH768" i="13"/>
  <c r="BG769" i="13"/>
  <c r="BS769" i="13"/>
  <c r="BH772" i="13"/>
  <c r="V773" i="13"/>
  <c r="AE773" i="13" s="1"/>
  <c r="AM773" i="13"/>
  <c r="AZ773" i="13"/>
  <c r="AS776" i="13"/>
  <c r="BK776" i="13"/>
  <c r="AL779" i="13"/>
  <c r="BA779" i="13"/>
  <c r="AN780" i="13"/>
  <c r="BF780" i="13"/>
  <c r="AB781" i="13"/>
  <c r="BE781" i="13"/>
  <c r="AR782" i="13"/>
  <c r="AN782" i="13"/>
  <c r="BT782" i="13"/>
  <c r="BW782" i="13"/>
  <c r="BN782" i="13"/>
  <c r="BE782" i="13"/>
  <c r="BO782" i="13"/>
  <c r="BE783" i="13"/>
  <c r="AL784" i="13"/>
  <c r="BB784" i="13"/>
  <c r="AN785" i="13"/>
  <c r="BU785" i="13"/>
  <c r="AM786" i="13"/>
  <c r="AW786" i="13"/>
  <c r="BK786" i="13"/>
  <c r="BI787" i="13"/>
  <c r="BW787" i="13"/>
  <c r="AJ790" i="13"/>
  <c r="BI790" i="13"/>
  <c r="AA792" i="13"/>
  <c r="AC792" i="13" s="1"/>
  <c r="AB792" i="13"/>
  <c r="BJ792" i="13"/>
  <c r="AU793" i="13"/>
  <c r="AB795" i="13"/>
  <c r="AA795" i="13"/>
  <c r="AC795" i="13" s="1"/>
  <c r="V797" i="13"/>
  <c r="AR799" i="13"/>
  <c r="AQ799" i="13"/>
  <c r="AZ799" i="13"/>
  <c r="AO799" i="13"/>
  <c r="AY799" i="13"/>
  <c r="BR800" i="13"/>
  <c r="AV802" i="13"/>
  <c r="U805" i="13"/>
  <c r="W805" i="13" s="1"/>
  <c r="AB807" i="13"/>
  <c r="BM807" i="13"/>
  <c r="AK808" i="13"/>
  <c r="BH809" i="13"/>
  <c r="BU812" i="13"/>
  <c r="BW812" i="13"/>
  <c r="BN812" i="13"/>
  <c r="BK812" i="13"/>
  <c r="BV812" i="13"/>
  <c r="BJ812" i="13"/>
  <c r="BS812" i="13"/>
  <c r="BI812" i="13"/>
  <c r="BT819" i="13"/>
  <c r="BS819" i="13"/>
  <c r="AR827" i="13"/>
  <c r="AX830" i="13"/>
  <c r="AT830" i="13"/>
  <c r="AS830" i="13"/>
  <c r="AL830" i="13"/>
  <c r="BB830" i="13"/>
  <c r="BA830" i="13"/>
  <c r="AK830" i="13"/>
  <c r="U832" i="13"/>
  <c r="W832" i="13" s="1"/>
  <c r="V838" i="13"/>
  <c r="AE838" i="13" s="1"/>
  <c r="AZ839" i="13"/>
  <c r="BA839" i="13"/>
  <c r="AO839" i="13"/>
  <c r="AX839" i="13"/>
  <c r="AN839" i="13"/>
  <c r="AW839" i="13"/>
  <c r="AM839" i="13"/>
  <c r="AV839" i="13"/>
  <c r="AU839" i="13"/>
  <c r="AT839" i="13"/>
  <c r="AS839" i="13"/>
  <c r="AM841" i="13"/>
  <c r="BA846" i="13"/>
  <c r="AW846" i="13"/>
  <c r="AS846" i="13"/>
  <c r="AR846" i="13"/>
  <c r="AQ846" i="13"/>
  <c r="AO846" i="13"/>
  <c r="AK846" i="13"/>
  <c r="V847" i="13"/>
  <c r="BS847" i="13"/>
  <c r="BH854" i="13"/>
  <c r="BE856" i="13"/>
  <c r="AY859" i="13"/>
  <c r="AX859" i="13"/>
  <c r="AM859" i="13"/>
  <c r="AW859" i="13"/>
  <c r="AL859" i="13"/>
  <c r="AU859" i="13"/>
  <c r="AK859" i="13"/>
  <c r="AZ859" i="13"/>
  <c r="AT859" i="13"/>
  <c r="AS859" i="13"/>
  <c r="AR859" i="13"/>
  <c r="AP859" i="13"/>
  <c r="AQ860" i="13"/>
  <c r="BJ867" i="13"/>
  <c r="BL867" i="13"/>
  <c r="BK867" i="13"/>
  <c r="AL877" i="13"/>
  <c r="BB879" i="13"/>
  <c r="AO879" i="13"/>
  <c r="AY879" i="13"/>
  <c r="AJ879" i="13"/>
  <c r="AT879" i="13"/>
  <c r="AR879" i="13"/>
  <c r="AQ879" i="13"/>
  <c r="AN879" i="13"/>
  <c r="AK879" i="13"/>
  <c r="BA879" i="13"/>
  <c r="AZ879" i="13"/>
  <c r="AV879" i="13"/>
  <c r="BB883" i="13"/>
  <c r="AR883" i="13"/>
  <c r="AX883" i="13"/>
  <c r="AN883" i="13"/>
  <c r="AV883" i="13"/>
  <c r="AK883" i="13"/>
  <c r="AS883" i="13"/>
  <c r="AP883" i="13"/>
  <c r="AO883" i="13"/>
  <c r="AM883" i="13"/>
  <c r="BA883" i="13"/>
  <c r="AZ883" i="13"/>
  <c r="AW883" i="13"/>
  <c r="AU883" i="13"/>
  <c r="BQ884" i="13"/>
  <c r="BJ884" i="13"/>
  <c r="BI884" i="13"/>
  <c r="BR884" i="13"/>
  <c r="BS884" i="13"/>
  <c r="BU885" i="13"/>
  <c r="BO885" i="13"/>
  <c r="BI885" i="13"/>
  <c r="BH885" i="13"/>
  <c r="BW885" i="13"/>
  <c r="BF885" i="13"/>
  <c r="BQ885" i="13"/>
  <c r="BV885" i="13"/>
  <c r="BP885" i="13"/>
  <c r="BN885" i="13"/>
  <c r="AZ891" i="13"/>
  <c r="AT894" i="13"/>
  <c r="BT863" i="13"/>
  <c r="BU863" i="13"/>
  <c r="BJ863" i="13"/>
  <c r="BN863" i="13"/>
  <c r="BW863" i="13"/>
  <c r="BH863" i="13"/>
  <c r="BV863" i="13"/>
  <c r="BG863" i="13"/>
  <c r="BS863" i="13"/>
  <c r="BF863" i="13"/>
  <c r="AZ864" i="13"/>
  <c r="AX864" i="13"/>
  <c r="AL864" i="13"/>
  <c r="AT864" i="13"/>
  <c r="AP864" i="13"/>
  <c r="AV864" i="13"/>
  <c r="AU864" i="13"/>
  <c r="AS864" i="13"/>
  <c r="AY867" i="13"/>
  <c r="AT867" i="13"/>
  <c r="AJ867" i="13"/>
  <c r="BA867" i="13"/>
  <c r="AP867" i="13"/>
  <c r="AX867" i="13"/>
  <c r="AM867" i="13"/>
  <c r="AU867" i="13"/>
  <c r="AS867" i="13"/>
  <c r="AR867" i="13"/>
  <c r="BA886" i="13"/>
  <c r="AR886" i="13"/>
  <c r="AZ886" i="13"/>
  <c r="AT886" i="13"/>
  <c r="AO886" i="13"/>
  <c r="AM886" i="13"/>
  <c r="AW886" i="13"/>
  <c r="AJ886" i="13"/>
  <c r="BB886" i="13"/>
  <c r="AV886" i="13"/>
  <c r="AU886" i="13"/>
  <c r="AB905" i="13"/>
  <c r="AE905" i="13" s="1"/>
  <c r="AA905" i="13"/>
  <c r="AC905" i="13" s="1"/>
  <c r="BN906" i="13"/>
  <c r="BV906" i="13"/>
  <c r="BU906" i="13"/>
  <c r="BL906" i="13"/>
  <c r="BK906" i="13"/>
  <c r="BI906" i="13"/>
  <c r="BF906" i="13"/>
  <c r="AY787" i="13"/>
  <c r="BV789" i="13"/>
  <c r="AO791" i="13"/>
  <c r="BI794" i="13"/>
  <c r="BK796" i="13"/>
  <c r="BW796" i="13"/>
  <c r="BT798" i="13"/>
  <c r="BJ799" i="13"/>
  <c r="BS799" i="13"/>
  <c r="AT800" i="13"/>
  <c r="AT801" i="13"/>
  <c r="AO803" i="13"/>
  <c r="AX803" i="13"/>
  <c r="BO804" i="13"/>
  <c r="BS805" i="13"/>
  <c r="BM806" i="13"/>
  <c r="BS808" i="13"/>
  <c r="AR810" i="13"/>
  <c r="AP811" i="13"/>
  <c r="AZ811" i="13"/>
  <c r="BS811" i="13"/>
  <c r="BR813" i="13"/>
  <c r="BV813" i="13"/>
  <c r="BF813" i="13"/>
  <c r="BU813" i="13"/>
  <c r="BE813" i="13"/>
  <c r="BA821" i="13"/>
  <c r="AT821" i="13"/>
  <c r="AO821" i="13"/>
  <c r="AN821" i="13"/>
  <c r="BW822" i="13"/>
  <c r="BJ822" i="13"/>
  <c r="BU822" i="13"/>
  <c r="BI822" i="13"/>
  <c r="BS822" i="13"/>
  <c r="BH822" i="13"/>
  <c r="V835" i="13"/>
  <c r="AE835" i="13" s="1"/>
  <c r="U835" i="13"/>
  <c r="W835" i="13" s="1"/>
  <c r="AW838" i="13"/>
  <c r="BT842" i="13"/>
  <c r="BS842" i="13"/>
  <c r="BO849" i="13"/>
  <c r="BU855" i="13"/>
  <c r="AS858" i="13"/>
  <c r="BE863" i="13"/>
  <c r="AK864" i="13"/>
  <c r="AK867" i="13"/>
  <c r="AB873" i="13"/>
  <c r="AE873" i="13" s="1"/>
  <c r="BU876" i="13"/>
  <c r="BQ876" i="13"/>
  <c r="BF876" i="13"/>
  <c r="BN876" i="13"/>
  <c r="BW876" i="13"/>
  <c r="BI876" i="13"/>
  <c r="BS876" i="13"/>
  <c r="BP876" i="13"/>
  <c r="BO876" i="13"/>
  <c r="BK876" i="13"/>
  <c r="BM881" i="13"/>
  <c r="BE881" i="13"/>
  <c r="AY884" i="13"/>
  <c r="AU884" i="13"/>
  <c r="AK884" i="13"/>
  <c r="AT884" i="13"/>
  <c r="AJ884" i="13"/>
  <c r="BB884" i="13"/>
  <c r="AR884" i="13"/>
  <c r="AZ884" i="13"/>
  <c r="AO884" i="13"/>
  <c r="AX884" i="13"/>
  <c r="AW884" i="13"/>
  <c r="AS884" i="13"/>
  <c r="AP884" i="13"/>
  <c r="AL886" i="13"/>
  <c r="AV893" i="13"/>
  <c r="AJ893" i="13"/>
  <c r="AX893" i="13"/>
  <c r="AZ893" i="13"/>
  <c r="AR893" i="13"/>
  <c r="AO893" i="13"/>
  <c r="AW893" i="13"/>
  <c r="AP893" i="13"/>
  <c r="V904" i="13"/>
  <c r="U904" i="13"/>
  <c r="W904" i="13" s="1"/>
  <c r="BT906" i="13"/>
  <c r="AA916" i="13"/>
  <c r="AC916" i="13" s="1"/>
  <c r="BT926" i="13"/>
  <c r="BN926" i="13"/>
  <c r="BM926" i="13"/>
  <c r="BV926" i="13"/>
  <c r="BH926" i="13"/>
  <c r="BO926" i="13"/>
  <c r="BI926" i="13"/>
  <c r="BG926" i="13"/>
  <c r="BF926" i="13"/>
  <c r="BW926" i="13"/>
  <c r="BU926" i="13"/>
  <c r="BQ926" i="13"/>
  <c r="BP926" i="13"/>
  <c r="BE926" i="13"/>
  <c r="AR811" i="13"/>
  <c r="BA811" i="13"/>
  <c r="BT823" i="13"/>
  <c r="BR823" i="13"/>
  <c r="BI823" i="13"/>
  <c r="BQ823" i="13"/>
  <c r="BH823" i="13"/>
  <c r="BP823" i="13"/>
  <c r="BG823" i="13"/>
  <c r="BS823" i="13"/>
  <c r="U831" i="13"/>
  <c r="W831" i="13" s="1"/>
  <c r="V831" i="13"/>
  <c r="AA832" i="13"/>
  <c r="AC832" i="13" s="1"/>
  <c r="AB832" i="13"/>
  <c r="AE832" i="13" s="1"/>
  <c r="V841" i="13"/>
  <c r="AE841" i="13" s="1"/>
  <c r="U841" i="13"/>
  <c r="W841" i="13" s="1"/>
  <c r="BU851" i="13"/>
  <c r="BS851" i="13"/>
  <c r="BI851" i="13"/>
  <c r="BR851" i="13"/>
  <c r="BH851" i="13"/>
  <c r="BQ851" i="13"/>
  <c r="BG851" i="13"/>
  <c r="BW851" i="13"/>
  <c r="AY853" i="13"/>
  <c r="BA853" i="13"/>
  <c r="AM853" i="13"/>
  <c r="AZ853" i="13"/>
  <c r="AL853" i="13"/>
  <c r="AV853" i="13"/>
  <c r="AK853" i="13"/>
  <c r="AZ855" i="13"/>
  <c r="BA855" i="13"/>
  <c r="AO855" i="13"/>
  <c r="AX855" i="13"/>
  <c r="AN855" i="13"/>
  <c r="AW855" i="13"/>
  <c r="AM855" i="13"/>
  <c r="BB855" i="13"/>
  <c r="AQ862" i="13"/>
  <c r="BB862" i="13"/>
  <c r="AN862" i="13"/>
  <c r="BA862" i="13"/>
  <c r="AL862" i="13"/>
  <c r="BK863" i="13"/>
  <c r="AM864" i="13"/>
  <c r="AL867" i="13"/>
  <c r="AX870" i="13"/>
  <c r="AR870" i="13"/>
  <c r="BB870" i="13"/>
  <c r="AJ870" i="13"/>
  <c r="AZ870" i="13"/>
  <c r="BA870" i="13"/>
  <c r="AW873" i="13"/>
  <c r="AX873" i="13"/>
  <c r="AP873" i="13"/>
  <c r="AJ873" i="13"/>
  <c r="AS873" i="13"/>
  <c r="AR873" i="13"/>
  <c r="AK873" i="13"/>
  <c r="BG876" i="13"/>
  <c r="BG881" i="13"/>
  <c r="AL884" i="13"/>
  <c r="AN886" i="13"/>
  <c r="BV919" i="13"/>
  <c r="BM919" i="13"/>
  <c r="BU919" i="13"/>
  <c r="BK919" i="13"/>
  <c r="BO796" i="13"/>
  <c r="BM799" i="13"/>
  <c r="BV799" i="13"/>
  <c r="AX801" i="13"/>
  <c r="AA802" i="13"/>
  <c r="AC802" i="13" s="1"/>
  <c r="AR803" i="13"/>
  <c r="BA803" i="13"/>
  <c r="BQ806" i="13"/>
  <c r="AK807" i="13"/>
  <c r="AV810" i="13"/>
  <c r="AJ811" i="13"/>
  <c r="AS811" i="13"/>
  <c r="BB811" i="13"/>
  <c r="BE823" i="13"/>
  <c r="BU823" i="13"/>
  <c r="U833" i="13"/>
  <c r="W833" i="13" s="1"/>
  <c r="AR838" i="13"/>
  <c r="AQ838" i="13"/>
  <c r="BA838" i="13"/>
  <c r="AP838" i="13"/>
  <c r="AY838" i="13"/>
  <c r="AB845" i="13"/>
  <c r="AA845" i="13"/>
  <c r="AC845" i="13" s="1"/>
  <c r="BR855" i="13"/>
  <c r="BN855" i="13"/>
  <c r="BM855" i="13"/>
  <c r="BK855" i="13"/>
  <c r="BW855" i="13"/>
  <c r="AB856" i="13"/>
  <c r="AA856" i="13"/>
  <c r="AC856" i="13" s="1"/>
  <c r="U863" i="13"/>
  <c r="W863" i="13" s="1"/>
  <c r="AF863" i="13" s="1"/>
  <c r="V863" i="13"/>
  <c r="BM863" i="13"/>
  <c r="AN864" i="13"/>
  <c r="AO867" i="13"/>
  <c r="BW879" i="13"/>
  <c r="BM879" i="13"/>
  <c r="BS879" i="13"/>
  <c r="BI879" i="13"/>
  <c r="BQ879" i="13"/>
  <c r="BF879" i="13"/>
  <c r="BK879" i="13"/>
  <c r="BJ879" i="13"/>
  <c r="BH879" i="13"/>
  <c r="BV879" i="13"/>
  <c r="BE879" i="13"/>
  <c r="BP881" i="13"/>
  <c r="AM884" i="13"/>
  <c r="BF796" i="13"/>
  <c r="BP796" i="13"/>
  <c r="BE799" i="13"/>
  <c r="BN799" i="13"/>
  <c r="BW799" i="13"/>
  <c r="V800" i="13"/>
  <c r="AJ801" i="13"/>
  <c r="BL802" i="13"/>
  <c r="AJ803" i="13"/>
  <c r="AS803" i="13"/>
  <c r="BB803" i="13"/>
  <c r="BV805" i="13"/>
  <c r="V806" i="13"/>
  <c r="BE806" i="13"/>
  <c r="BR806" i="13"/>
  <c r="AS807" i="13"/>
  <c r="AB808" i="13"/>
  <c r="BW808" i="13"/>
  <c r="U809" i="13"/>
  <c r="W809" i="13" s="1"/>
  <c r="AJ810" i="13"/>
  <c r="AW810" i="13"/>
  <c r="AK811" i="13"/>
  <c r="AT811" i="13"/>
  <c r="BW814" i="13"/>
  <c r="BS814" i="13"/>
  <c r="BH814" i="13"/>
  <c r="BR814" i="13"/>
  <c r="BE814" i="13"/>
  <c r="AZ816" i="13"/>
  <c r="AV816" i="13"/>
  <c r="AL816" i="13"/>
  <c r="AU816" i="13"/>
  <c r="AK816" i="13"/>
  <c r="AX816" i="13"/>
  <c r="AW817" i="13"/>
  <c r="AR817" i="13"/>
  <c r="AP817" i="13"/>
  <c r="BA817" i="13"/>
  <c r="BF823" i="13"/>
  <c r="BV823" i="13"/>
  <c r="AW825" i="13"/>
  <c r="AS825" i="13"/>
  <c r="AR825" i="13"/>
  <c r="AP825" i="13"/>
  <c r="BV825" i="13"/>
  <c r="BJ825" i="13"/>
  <c r="BI825" i="13"/>
  <c r="BG825" i="13"/>
  <c r="BB826" i="13"/>
  <c r="AR826" i="13"/>
  <c r="AP826" i="13"/>
  <c r="AO826" i="13"/>
  <c r="AZ826" i="13"/>
  <c r="V827" i="13"/>
  <c r="U827" i="13"/>
  <c r="W827" i="13" s="1"/>
  <c r="AE828" i="13"/>
  <c r="BW830" i="13"/>
  <c r="BK830" i="13"/>
  <c r="BJ830" i="13"/>
  <c r="BU830" i="13"/>
  <c r="BI830" i="13"/>
  <c r="BV835" i="13"/>
  <c r="BJ835" i="13"/>
  <c r="BT835" i="13"/>
  <c r="BI835" i="13"/>
  <c r="BS835" i="13"/>
  <c r="BH835" i="13"/>
  <c r="AU836" i="13"/>
  <c r="AT836" i="13"/>
  <c r="AQ836" i="13"/>
  <c r="AB837" i="13"/>
  <c r="AE837" i="13" s="1"/>
  <c r="AJ838" i="13"/>
  <c r="AZ838" i="13"/>
  <c r="AB839" i="13"/>
  <c r="AB842" i="13"/>
  <c r="AA842" i="13"/>
  <c r="AC842" i="13" s="1"/>
  <c r="BT849" i="13"/>
  <c r="BW849" i="13"/>
  <c r="BI849" i="13"/>
  <c r="BV849" i="13"/>
  <c r="BH849" i="13"/>
  <c r="BU849" i="13"/>
  <c r="BG849" i="13"/>
  <c r="BE855" i="13"/>
  <c r="BA857" i="13"/>
  <c r="AN857" i="13"/>
  <c r="AZ857" i="13"/>
  <c r="AM857" i="13"/>
  <c r="AY857" i="13"/>
  <c r="AK857" i="13"/>
  <c r="BB858" i="13"/>
  <c r="AZ858" i="13"/>
  <c r="AO858" i="13"/>
  <c r="AX858" i="13"/>
  <c r="AN858" i="13"/>
  <c r="AW858" i="13"/>
  <c r="AM858" i="13"/>
  <c r="BA858" i="13"/>
  <c r="BO863" i="13"/>
  <c r="BA864" i="13"/>
  <c r="AW867" i="13"/>
  <c r="AL870" i="13"/>
  <c r="AW871" i="13"/>
  <c r="AA872" i="13"/>
  <c r="AC872" i="13" s="1"/>
  <c r="AB872" i="13"/>
  <c r="AE872" i="13" s="1"/>
  <c r="BA873" i="13"/>
  <c r="V874" i="13"/>
  <c r="BR881" i="13"/>
  <c r="U882" i="13"/>
  <c r="W882" i="13" s="1"/>
  <c r="BA884" i="13"/>
  <c r="AB887" i="13"/>
  <c r="AA887" i="13"/>
  <c r="AC887" i="13" s="1"/>
  <c r="AZ878" i="13"/>
  <c r="AN878" i="13"/>
  <c r="AV878" i="13"/>
  <c r="AJ878" i="13"/>
  <c r="AR878" i="13"/>
  <c r="BB878" i="13"/>
  <c r="U898" i="13"/>
  <c r="W898" i="13" s="1"/>
  <c r="V898" i="13"/>
  <c r="BM815" i="13"/>
  <c r="BV815" i="13"/>
  <c r="AP819" i="13"/>
  <c r="AZ819" i="13"/>
  <c r="AP824" i="13"/>
  <c r="BB824" i="13"/>
  <c r="BK828" i="13"/>
  <c r="BW828" i="13"/>
  <c r="AW829" i="13"/>
  <c r="BN829" i="13"/>
  <c r="AS832" i="13"/>
  <c r="AX833" i="13"/>
  <c r="AS835" i="13"/>
  <c r="AY837" i="13"/>
  <c r="BL837" i="13"/>
  <c r="BK838" i="13"/>
  <c r="BU838" i="13"/>
  <c r="AR845" i="13"/>
  <c r="AT847" i="13"/>
  <c r="AO850" i="13"/>
  <c r="AX850" i="13"/>
  <c r="AS851" i="13"/>
  <c r="AE853" i="13"/>
  <c r="BO860" i="13"/>
  <c r="BK862" i="13"/>
  <c r="BV862" i="13"/>
  <c r="AV866" i="13"/>
  <c r="AE868" i="13"/>
  <c r="BB874" i="13"/>
  <c r="BA874" i="13"/>
  <c r="AP874" i="13"/>
  <c r="AW874" i="13"/>
  <c r="AM874" i="13"/>
  <c r="AU874" i="13"/>
  <c r="AJ874" i="13"/>
  <c r="AZ874" i="13"/>
  <c r="AL878" i="13"/>
  <c r="BV878" i="13"/>
  <c r="BQ878" i="13"/>
  <c r="BI878" i="13"/>
  <c r="BF878" i="13"/>
  <c r="AE882" i="13"/>
  <c r="BV882" i="13"/>
  <c r="BR882" i="13"/>
  <c r="BG882" i="13"/>
  <c r="BO882" i="13"/>
  <c r="BJ882" i="13"/>
  <c r="BW882" i="13"/>
  <c r="U883" i="13"/>
  <c r="W883" i="13" s="1"/>
  <c r="AF883" i="13" s="1"/>
  <c r="AB885" i="13"/>
  <c r="AA885" i="13"/>
  <c r="AC885" i="13" s="1"/>
  <c r="U888" i="13"/>
  <c r="W888" i="13" s="1"/>
  <c r="V888" i="13"/>
  <c r="U892" i="13"/>
  <c r="W892" i="13" s="1"/>
  <c r="AB898" i="13"/>
  <c r="AA898" i="13"/>
  <c r="AC898" i="13" s="1"/>
  <c r="V814" i="13"/>
  <c r="BN815" i="13"/>
  <c r="BW815" i="13"/>
  <c r="AR819" i="13"/>
  <c r="BA819" i="13"/>
  <c r="V823" i="13"/>
  <c r="AB824" i="13"/>
  <c r="AE824" i="13" s="1"/>
  <c r="AS824" i="13"/>
  <c r="BN828" i="13"/>
  <c r="BB829" i="13"/>
  <c r="BP829" i="13"/>
  <c r="AT832" i="13"/>
  <c r="AJ833" i="13"/>
  <c r="AZ833" i="13"/>
  <c r="AW835" i="13"/>
  <c r="BM838" i="13"/>
  <c r="BV838" i="13"/>
  <c r="AS845" i="13"/>
  <c r="AK847" i="13"/>
  <c r="AU847" i="13"/>
  <c r="AP849" i="13"/>
  <c r="AP850" i="13"/>
  <c r="AZ850" i="13"/>
  <c r="AT851" i="13"/>
  <c r="U853" i="13"/>
  <c r="W853" i="13" s="1"/>
  <c r="BP860" i="13"/>
  <c r="V862" i="13"/>
  <c r="BM862" i="13"/>
  <c r="V865" i="13"/>
  <c r="AE865" i="13" s="1"/>
  <c r="BV865" i="13"/>
  <c r="BJ865" i="13"/>
  <c r="BW865" i="13"/>
  <c r="BG865" i="13"/>
  <c r="BQ865" i="13"/>
  <c r="AA866" i="13"/>
  <c r="AC866" i="13" s="1"/>
  <c r="V867" i="13"/>
  <c r="U867" i="13"/>
  <c r="W867" i="13" s="1"/>
  <c r="BW870" i="13"/>
  <c r="BQ870" i="13"/>
  <c r="BF870" i="13"/>
  <c r="BM870" i="13"/>
  <c r="BU870" i="13"/>
  <c r="BJ870" i="13"/>
  <c r="BS870" i="13"/>
  <c r="AK874" i="13"/>
  <c r="BS874" i="13"/>
  <c r="BO874" i="13"/>
  <c r="BG874" i="13"/>
  <c r="AQ876" i="13"/>
  <c r="AY876" i="13"/>
  <c r="AJ876" i="13"/>
  <c r="AM878" i="13"/>
  <c r="BH878" i="13"/>
  <c r="AB881" i="13"/>
  <c r="BE882" i="13"/>
  <c r="V886" i="13"/>
  <c r="AE886" i="13" s="1"/>
  <c r="BL894" i="13"/>
  <c r="BN894" i="13"/>
  <c r="BU899" i="13"/>
  <c r="BS899" i="13"/>
  <c r="BI899" i="13"/>
  <c r="BP899" i="13"/>
  <c r="BF899" i="13"/>
  <c r="BO899" i="13"/>
  <c r="BN899" i="13"/>
  <c r="BJ899" i="13"/>
  <c r="BW899" i="13"/>
  <c r="BH899" i="13"/>
  <c r="BV899" i="13"/>
  <c r="BG899" i="13"/>
  <c r="BK901" i="13"/>
  <c r="BS901" i="13"/>
  <c r="BH901" i="13"/>
  <c r="BI901" i="13"/>
  <c r="BU901" i="13"/>
  <c r="BE901" i="13"/>
  <c r="BR901" i="13"/>
  <c r="BQ901" i="13"/>
  <c r="BM901" i="13"/>
  <c r="BA914" i="13"/>
  <c r="AZ914" i="13"/>
  <c r="BB914" i="13"/>
  <c r="AR914" i="13"/>
  <c r="AN914" i="13"/>
  <c r="U924" i="13"/>
  <c r="W924" i="13" s="1"/>
  <c r="V924" i="13"/>
  <c r="AE924" i="13" s="1"/>
  <c r="AT824" i="13"/>
  <c r="BO828" i="13"/>
  <c r="BS829" i="13"/>
  <c r="AT845" i="13"/>
  <c r="AR850" i="13"/>
  <c r="BA850" i="13"/>
  <c r="AX851" i="13"/>
  <c r="BN862" i="13"/>
  <c r="AA864" i="13"/>
  <c r="AC864" i="13" s="1"/>
  <c r="AB864" i="13"/>
  <c r="AE864" i="13" s="1"/>
  <c r="BB866" i="13"/>
  <c r="AX866" i="13"/>
  <c r="AN866" i="13"/>
  <c r="AU866" i="13"/>
  <c r="AJ866" i="13"/>
  <c r="AR866" i="13"/>
  <c r="AZ866" i="13"/>
  <c r="U877" i="13"/>
  <c r="W877" i="13" s="1"/>
  <c r="V877" i="13"/>
  <c r="AE877" i="13" s="1"/>
  <c r="AO878" i="13"/>
  <c r="U890" i="13"/>
  <c r="W890" i="13" s="1"/>
  <c r="V890" i="13"/>
  <c r="V893" i="13"/>
  <c r="U893" i="13"/>
  <c r="W893" i="13" s="1"/>
  <c r="BK899" i="13"/>
  <c r="V932" i="13"/>
  <c r="U932" i="13"/>
  <c r="W932" i="13" s="1"/>
  <c r="AB935" i="13"/>
  <c r="AE935" i="13" s="1"/>
  <c r="AA935" i="13"/>
  <c r="AC935" i="13" s="1"/>
  <c r="BT936" i="13"/>
  <c r="BU936" i="13"/>
  <c r="BK936" i="13"/>
  <c r="BS936" i="13"/>
  <c r="BJ936" i="13"/>
  <c r="BR936" i="13"/>
  <c r="BI936" i="13"/>
  <c r="BP936" i="13"/>
  <c r="BG936" i="13"/>
  <c r="BO936" i="13"/>
  <c r="BF936" i="13"/>
  <c r="BN936" i="13"/>
  <c r="BM936" i="13"/>
  <c r="BH936" i="13"/>
  <c r="BE936" i="13"/>
  <c r="BW936" i="13"/>
  <c r="BV936" i="13"/>
  <c r="BQ936" i="13"/>
  <c r="BA865" i="13"/>
  <c r="BW866" i="13"/>
  <c r="BP868" i="13"/>
  <c r="AN869" i="13"/>
  <c r="BN871" i="13"/>
  <c r="AM872" i="13"/>
  <c r="BA872" i="13"/>
  <c r="BW873" i="13"/>
  <c r="AP875" i="13"/>
  <c r="BA875" i="13"/>
  <c r="AY882" i="13"/>
  <c r="BT888" i="13"/>
  <c r="BV888" i="13"/>
  <c r="BK888" i="13"/>
  <c r="BR888" i="13"/>
  <c r="BG888" i="13"/>
  <c r="BP888" i="13"/>
  <c r="U896" i="13"/>
  <c r="W896" i="13" s="1"/>
  <c r="V896" i="13"/>
  <c r="BW897" i="13"/>
  <c r="BQ897" i="13"/>
  <c r="BE897" i="13"/>
  <c r="AZ901" i="13"/>
  <c r="AM901" i="13"/>
  <c r="AU901" i="13"/>
  <c r="AJ901" i="13"/>
  <c r="AY901" i="13"/>
  <c r="AV902" i="13"/>
  <c r="AJ902" i="13"/>
  <c r="BI902" i="13"/>
  <c r="BU907" i="13"/>
  <c r="BQ907" i="13"/>
  <c r="BG907" i="13"/>
  <c r="BP907" i="13"/>
  <c r="BF907" i="13"/>
  <c r="BN907" i="13"/>
  <c r="BV907" i="13"/>
  <c r="BR908" i="13"/>
  <c r="BV908" i="13"/>
  <c r="BH908" i="13"/>
  <c r="BU908" i="13"/>
  <c r="BG908" i="13"/>
  <c r="BP908" i="13"/>
  <c r="BE908" i="13"/>
  <c r="AY919" i="13"/>
  <c r="AU919" i="13"/>
  <c r="AK919" i="13"/>
  <c r="BB919" i="13"/>
  <c r="AO919" i="13"/>
  <c r="BA919" i="13"/>
  <c r="AN919" i="13"/>
  <c r="AZ919" i="13"/>
  <c r="AM919" i="13"/>
  <c r="AW919" i="13"/>
  <c r="AL919" i="13"/>
  <c r="AR923" i="13"/>
  <c r="AS923" i="13"/>
  <c r="AB932" i="13"/>
  <c r="AA932" i="13"/>
  <c r="AC932" i="13" s="1"/>
  <c r="AY935" i="13"/>
  <c r="BB935" i="13"/>
  <c r="AR935" i="13"/>
  <c r="BA935" i="13"/>
  <c r="AO935" i="13"/>
  <c r="AZ935" i="13"/>
  <c r="AN935" i="13"/>
  <c r="AV935" i="13"/>
  <c r="AL935" i="13"/>
  <c r="AU935" i="13"/>
  <c r="AK935" i="13"/>
  <c r="AW935" i="13"/>
  <c r="AT935" i="13"/>
  <c r="AS935" i="13"/>
  <c r="BQ937" i="13"/>
  <c r="BG937" i="13"/>
  <c r="BW937" i="13"/>
  <c r="BF937" i="13"/>
  <c r="BV937" i="13"/>
  <c r="BE937" i="13"/>
  <c r="BO937" i="13"/>
  <c r="BN937" i="13"/>
  <c r="AW920" i="13"/>
  <c r="AR920" i="13"/>
  <c r="AL920" i="13"/>
  <c r="AK920" i="13"/>
  <c r="AJ920" i="13"/>
  <c r="BM943" i="13"/>
  <c r="BQ943" i="13"/>
  <c r="BL943" i="13"/>
  <c r="BR943" i="13"/>
  <c r="BK943" i="13"/>
  <c r="BJ943" i="13"/>
  <c r="BH943" i="13"/>
  <c r="BU943" i="13"/>
  <c r="BE943" i="13"/>
  <c r="BT943" i="13"/>
  <c r="BS943" i="13"/>
  <c r="BI943" i="13"/>
  <c r="BT958" i="13"/>
  <c r="BN958" i="13"/>
  <c r="BM958" i="13"/>
  <c r="BH958" i="13"/>
  <c r="BW958" i="13"/>
  <c r="BG958" i="13"/>
  <c r="BV958" i="13"/>
  <c r="BF958" i="13"/>
  <c r="BP958" i="13"/>
  <c r="BO958" i="13"/>
  <c r="AS875" i="13"/>
  <c r="BN880" i="13"/>
  <c r="AK882" i="13"/>
  <c r="BA882" i="13"/>
  <c r="BF888" i="13"/>
  <c r="BU888" i="13"/>
  <c r="BT891" i="13"/>
  <c r="BG891" i="13"/>
  <c r="AB897" i="13"/>
  <c r="AA897" i="13"/>
  <c r="AC897" i="13" s="1"/>
  <c r="BO897" i="13"/>
  <c r="AL901" i="13"/>
  <c r="BB901" i="13"/>
  <c r="AR902" i="13"/>
  <c r="AA903" i="13"/>
  <c r="AC903" i="13" s="1"/>
  <c r="AB903" i="13"/>
  <c r="BK908" i="13"/>
  <c r="AZ909" i="13"/>
  <c r="AY909" i="13"/>
  <c r="AM909" i="13"/>
  <c r="AX909" i="13"/>
  <c r="AL909" i="13"/>
  <c r="AU909" i="13"/>
  <c r="AJ909" i="13"/>
  <c r="BO909" i="13"/>
  <c r="BL909" i="13"/>
  <c r="BH909" i="13"/>
  <c r="V912" i="13"/>
  <c r="AR919" i="13"/>
  <c r="AT920" i="13"/>
  <c r="BN924" i="13"/>
  <c r="BS924" i="13"/>
  <c r="BM924" i="13"/>
  <c r="U937" i="13"/>
  <c r="W937" i="13" s="1"/>
  <c r="BE958" i="13"/>
  <c r="AX910" i="13"/>
  <c r="AN910" i="13"/>
  <c r="AJ910" i="13"/>
  <c r="AY910" i="13"/>
  <c r="AZ925" i="13"/>
  <c r="BA925" i="13"/>
  <c r="AT925" i="13"/>
  <c r="AK925" i="13"/>
  <c r="AB927" i="13"/>
  <c r="AA927" i="13"/>
  <c r="AC927" i="13" s="1"/>
  <c r="AY933" i="13"/>
  <c r="AZ933" i="13"/>
  <c r="AT933" i="13"/>
  <c r="AR933" i="13"/>
  <c r="AL933" i="13"/>
  <c r="BB933" i="13"/>
  <c r="BA933" i="13"/>
  <c r="AS933" i="13"/>
  <c r="AE937" i="13"/>
  <c r="BU958" i="13"/>
  <c r="AZ969" i="13"/>
  <c r="AU969" i="13"/>
  <c r="AT969" i="13"/>
  <c r="AX969" i="13"/>
  <c r="AW969" i="13"/>
  <c r="AO969" i="13"/>
  <c r="AM969" i="13"/>
  <c r="AL969" i="13"/>
  <c r="AK969" i="13"/>
  <c r="BT902" i="13"/>
  <c r="BV902" i="13"/>
  <c r="BJ902" i="13"/>
  <c r="BQ902" i="13"/>
  <c r="BG902" i="13"/>
  <c r="BP902" i="13"/>
  <c r="AS907" i="13"/>
  <c r="AZ907" i="13"/>
  <c r="AP910" i="13"/>
  <c r="BB920" i="13"/>
  <c r="U921" i="13"/>
  <c r="W921" i="13" s="1"/>
  <c r="AJ925" i="13"/>
  <c r="AX926" i="13"/>
  <c r="AW926" i="13"/>
  <c r="AV926" i="13"/>
  <c r="AP926" i="13"/>
  <c r="BM866" i="13"/>
  <c r="AW869" i="13"/>
  <c r="AU872" i="13"/>
  <c r="AL875" i="13"/>
  <c r="AW875" i="13"/>
  <c r="BG880" i="13"/>
  <c r="BR880" i="13"/>
  <c r="AR882" i="13"/>
  <c r="AA886" i="13"/>
  <c r="AC886" i="13" s="1"/>
  <c r="AY888" i="13"/>
  <c r="AV888" i="13"/>
  <c r="BM888" i="13"/>
  <c r="AZ889" i="13"/>
  <c r="AS889" i="13"/>
  <c r="BB889" i="13"/>
  <c r="AL889" i="13"/>
  <c r="BQ889" i="13"/>
  <c r="BJ889" i="13"/>
  <c r="BU889" i="13"/>
  <c r="AA891" i="13"/>
  <c r="AC891" i="13" s="1"/>
  <c r="BO891" i="13"/>
  <c r="BU893" i="13"/>
  <c r="BV893" i="13"/>
  <c r="BF893" i="13"/>
  <c r="BO893" i="13"/>
  <c r="AA895" i="13"/>
  <c r="AC895" i="13" s="1"/>
  <c r="BT895" i="13"/>
  <c r="BW895" i="13"/>
  <c r="BN895" i="13"/>
  <c r="BE895" i="13"/>
  <c r="BS895" i="13"/>
  <c r="BJ895" i="13"/>
  <c r="BP895" i="13"/>
  <c r="AQ897" i="13"/>
  <c r="AZ899" i="13"/>
  <c r="AX899" i="13"/>
  <c r="AJ899" i="13"/>
  <c r="AR899" i="13"/>
  <c r="BA899" i="13"/>
  <c r="AR901" i="13"/>
  <c r="BE902" i="13"/>
  <c r="BR902" i="13"/>
  <c r="AY906" i="13"/>
  <c r="BB906" i="13"/>
  <c r="AR906" i="13"/>
  <c r="BA906" i="13"/>
  <c r="AO906" i="13"/>
  <c r="AW906" i="13"/>
  <c r="AM906" i="13"/>
  <c r="AV906" i="13"/>
  <c r="AJ907" i="13"/>
  <c r="BO907" i="13"/>
  <c r="BO908" i="13"/>
  <c r="AP909" i="13"/>
  <c r="BI909" i="13"/>
  <c r="AQ910" i="13"/>
  <c r="AA911" i="13"/>
  <c r="AC911" i="13" s="1"/>
  <c r="AV919" i="13"/>
  <c r="BT920" i="13"/>
  <c r="BR920" i="13"/>
  <c r="BI920" i="13"/>
  <c r="BS920" i="13"/>
  <c r="BH920" i="13"/>
  <c r="BQ920" i="13"/>
  <c r="BG920" i="13"/>
  <c r="BP920" i="13"/>
  <c r="BF920" i="13"/>
  <c r="BO920" i="13"/>
  <c r="BE920" i="13"/>
  <c r="AQ926" i="13"/>
  <c r="AK933" i="13"/>
  <c r="BT954" i="13"/>
  <c r="BS954" i="13"/>
  <c r="BR954" i="13"/>
  <c r="BL954" i="13"/>
  <c r="BK954" i="13"/>
  <c r="BJ954" i="13"/>
  <c r="BN887" i="13"/>
  <c r="BP890" i="13"/>
  <c r="AO892" i="13"/>
  <c r="AZ892" i="13"/>
  <c r="AS898" i="13"/>
  <c r="AW900" i="13"/>
  <c r="BW903" i="13"/>
  <c r="BV905" i="13"/>
  <c r="AZ912" i="13"/>
  <c r="BJ912" i="13"/>
  <c r="BS912" i="13"/>
  <c r="BJ915" i="13"/>
  <c r="BV915" i="13"/>
  <c r="AP916" i="13"/>
  <c r="BA917" i="13"/>
  <c r="V926" i="13"/>
  <c r="U926" i="13"/>
  <c r="W926" i="13" s="1"/>
  <c r="BT929" i="13"/>
  <c r="BU929" i="13"/>
  <c r="BO929" i="13"/>
  <c r="BM929" i="13"/>
  <c r="AY916" i="13"/>
  <c r="AW916" i="13"/>
  <c r="AR916" i="13"/>
  <c r="BB916" i="13"/>
  <c r="BB921" i="13"/>
  <c r="AO921" i="13"/>
  <c r="V923" i="13"/>
  <c r="AE923" i="13" s="1"/>
  <c r="U923" i="13"/>
  <c r="W923" i="13" s="1"/>
  <c r="AY927" i="13"/>
  <c r="BA927" i="13"/>
  <c r="AO927" i="13"/>
  <c r="AZ927" i="13"/>
  <c r="AN927" i="13"/>
  <c r="AV927" i="13"/>
  <c r="AL927" i="13"/>
  <c r="AW927" i="13"/>
  <c r="BT928" i="13"/>
  <c r="BS928" i="13"/>
  <c r="BJ928" i="13"/>
  <c r="BR928" i="13"/>
  <c r="BI928" i="13"/>
  <c r="BP928" i="13"/>
  <c r="BG928" i="13"/>
  <c r="BQ928" i="13"/>
  <c r="AY930" i="13"/>
  <c r="AV930" i="13"/>
  <c r="AK930" i="13"/>
  <c r="AU930" i="13"/>
  <c r="AJ930" i="13"/>
  <c r="AS930" i="13"/>
  <c r="BB930" i="13"/>
  <c r="BN940" i="13"/>
  <c r="BM940" i="13"/>
  <c r="BL940" i="13"/>
  <c r="V943" i="13"/>
  <c r="AE943" i="13" s="1"/>
  <c r="U943" i="13"/>
  <c r="W943" i="13" s="1"/>
  <c r="U944" i="13"/>
  <c r="W944" i="13" s="1"/>
  <c r="V944" i="13"/>
  <c r="AE944" i="13" s="1"/>
  <c r="BM912" i="13"/>
  <c r="BV912" i="13"/>
  <c r="BN915" i="13"/>
  <c r="AJ916" i="13"/>
  <c r="AS916" i="13"/>
  <c r="BV916" i="13"/>
  <c r="BJ916" i="13"/>
  <c r="BT916" i="13"/>
  <c r="V919" i="13"/>
  <c r="AE919" i="13" s="1"/>
  <c r="AQ921" i="13"/>
  <c r="AY924" i="13"/>
  <c r="AV924" i="13"/>
  <c r="AM924" i="13"/>
  <c r="AU924" i="13"/>
  <c r="AL924" i="13"/>
  <c r="BB924" i="13"/>
  <c r="AS924" i="13"/>
  <c r="AJ924" i="13"/>
  <c r="AX924" i="13"/>
  <c r="AJ927" i="13"/>
  <c r="BB927" i="13"/>
  <c r="BE928" i="13"/>
  <c r="BU928" i="13"/>
  <c r="AL930" i="13"/>
  <c r="BT930" i="13"/>
  <c r="BS930" i="13"/>
  <c r="BL930" i="13"/>
  <c r="BU932" i="13"/>
  <c r="BT932" i="13"/>
  <c r="BN932" i="13"/>
  <c r="BW939" i="13"/>
  <c r="BG939" i="13"/>
  <c r="BF939" i="13"/>
  <c r="BE939" i="13"/>
  <c r="BQ939" i="13"/>
  <c r="BP939" i="13"/>
  <c r="BV940" i="13"/>
  <c r="AY957" i="13"/>
  <c r="AZ957" i="13"/>
  <c r="AT957" i="13"/>
  <c r="AS957" i="13"/>
  <c r="AR957" i="13"/>
  <c r="AL957" i="13"/>
  <c r="BA957" i="13"/>
  <c r="AK957" i="13"/>
  <c r="BH887" i="13"/>
  <c r="BR887" i="13"/>
  <c r="BH890" i="13"/>
  <c r="BU890" i="13"/>
  <c r="AS892" i="13"/>
  <c r="AL898" i="13"/>
  <c r="AV898" i="13"/>
  <c r="AN900" i="13"/>
  <c r="BT900" i="13"/>
  <c r="AT903" i="13"/>
  <c r="BH905" i="13"/>
  <c r="BI910" i="13"/>
  <c r="AP912" i="13"/>
  <c r="BE912" i="13"/>
  <c r="BN912" i="13"/>
  <c r="BW912" i="13"/>
  <c r="V913" i="13"/>
  <c r="BT913" i="13"/>
  <c r="BK914" i="13"/>
  <c r="BE915" i="13"/>
  <c r="BO915" i="13"/>
  <c r="AK916" i="13"/>
  <c r="AT916" i="13"/>
  <c r="BF916" i="13"/>
  <c r="BU916" i="13"/>
  <c r="AQ917" i="13"/>
  <c r="AT921" i="13"/>
  <c r="BJ922" i="13"/>
  <c r="BU922" i="13"/>
  <c r="BI922" i="13"/>
  <c r="AK924" i="13"/>
  <c r="AZ924" i="13"/>
  <c r="AK927" i="13"/>
  <c r="BF928" i="13"/>
  <c r="BV928" i="13"/>
  <c r="BG929" i="13"/>
  <c r="AM930" i="13"/>
  <c r="BR930" i="13"/>
  <c r="BL932" i="13"/>
  <c r="BW933" i="13"/>
  <c r="BQ933" i="13"/>
  <c r="BP933" i="13"/>
  <c r="BK933" i="13"/>
  <c r="BI933" i="13"/>
  <c r="BH933" i="13"/>
  <c r="BU935" i="13"/>
  <c r="BT935" i="13"/>
  <c r="BM935" i="13"/>
  <c r="BL935" i="13"/>
  <c r="BH939" i="13"/>
  <c r="AW941" i="13"/>
  <c r="AS941" i="13"/>
  <c r="AK941" i="13"/>
  <c r="BB943" i="13"/>
  <c r="BA943" i="13"/>
  <c r="AM943" i="13"/>
  <c r="AZ943" i="13"/>
  <c r="AL943" i="13"/>
  <c r="AV943" i="13"/>
  <c r="AU943" i="13"/>
  <c r="AT943" i="13"/>
  <c r="AN943" i="13"/>
  <c r="AK943" i="13"/>
  <c r="AJ957" i="13"/>
  <c r="BQ946" i="13"/>
  <c r="BS946" i="13"/>
  <c r="BL946" i="13"/>
  <c r="BT946" i="13"/>
  <c r="BK946" i="13"/>
  <c r="BI946" i="13"/>
  <c r="BH946" i="13"/>
  <c r="BB957" i="13"/>
  <c r="V962" i="13"/>
  <c r="AE962" i="13" s="1"/>
  <c r="U962" i="13"/>
  <c r="W962" i="13" s="1"/>
  <c r="AE939" i="13"/>
  <c r="AR940" i="13"/>
  <c r="BA940" i="13"/>
  <c r="AZ953" i="13"/>
  <c r="AS953" i="13"/>
  <c r="BB953" i="13"/>
  <c r="AP953" i="13"/>
  <c r="BA953" i="13"/>
  <c r="AO953" i="13"/>
  <c r="AX953" i="13"/>
  <c r="AN953" i="13"/>
  <c r="AW953" i="13"/>
  <c r="AM953" i="13"/>
  <c r="AS962" i="13"/>
  <c r="BV969" i="13"/>
  <c r="BP969" i="13"/>
  <c r="BO969" i="13"/>
  <c r="BQ969" i="13"/>
  <c r="BH969" i="13"/>
  <c r="BS1000" i="13"/>
  <c r="BI1000" i="13"/>
  <c r="BK1000" i="13"/>
  <c r="BU1000" i="13"/>
  <c r="BJ1000" i="13"/>
  <c r="BT1000" i="13"/>
  <c r="BH1000" i="13"/>
  <c r="BR1000" i="13"/>
  <c r="BG1000" i="13"/>
  <c r="BQ1000" i="13"/>
  <c r="BE1000" i="13"/>
  <c r="BO1000" i="13"/>
  <c r="BL1000" i="13"/>
  <c r="AA931" i="13"/>
  <c r="AC931" i="13" s="1"/>
  <c r="AF931" i="13" s="1"/>
  <c r="AX937" i="13"/>
  <c r="AJ940" i="13"/>
  <c r="AS940" i="13"/>
  <c r="BB940" i="13"/>
  <c r="BT944" i="13"/>
  <c r="BU944" i="13"/>
  <c r="BK944" i="13"/>
  <c r="BS944" i="13"/>
  <c r="BJ944" i="13"/>
  <c r="BO944" i="13"/>
  <c r="AZ945" i="13"/>
  <c r="AW945" i="13"/>
  <c r="AM945" i="13"/>
  <c r="AV945" i="13"/>
  <c r="AL945" i="13"/>
  <c r="AX945" i="13"/>
  <c r="AW947" i="13"/>
  <c r="AV947" i="13"/>
  <c r="AK953" i="13"/>
  <c r="AR963" i="13"/>
  <c r="AQ963" i="13"/>
  <c r="AX963" i="13"/>
  <c r="AW963" i="13"/>
  <c r="AP963" i="13"/>
  <c r="AO963" i="13"/>
  <c r="AM963" i="13"/>
  <c r="BF969" i="13"/>
  <c r="AT922" i="13"/>
  <c r="BS925" i="13"/>
  <c r="AR928" i="13"/>
  <c r="AL940" i="13"/>
  <c r="AU940" i="13"/>
  <c r="BT947" i="13"/>
  <c r="BM947" i="13"/>
  <c r="BW947" i="13"/>
  <c r="BI947" i="13"/>
  <c r="BQ947" i="13"/>
  <c r="BF947" i="13"/>
  <c r="BV947" i="13"/>
  <c r="BN948" i="13"/>
  <c r="BF948" i="13"/>
  <c r="BV948" i="13"/>
  <c r="BE948" i="13"/>
  <c r="BS948" i="13"/>
  <c r="BU949" i="13"/>
  <c r="BW949" i="13"/>
  <c r="BK949" i="13"/>
  <c r="BV949" i="13"/>
  <c r="BJ949" i="13"/>
  <c r="BS949" i="13"/>
  <c r="BI949" i="13"/>
  <c r="BQ949" i="13"/>
  <c r="BG949" i="13"/>
  <c r="AT953" i="13"/>
  <c r="BU957" i="13"/>
  <c r="BV957" i="13"/>
  <c r="BJ957" i="13"/>
  <c r="BS957" i="13"/>
  <c r="BI957" i="13"/>
  <c r="BR957" i="13"/>
  <c r="BH957" i="13"/>
  <c r="BQ957" i="13"/>
  <c r="BG957" i="13"/>
  <c r="BP957" i="13"/>
  <c r="BF957" i="13"/>
  <c r="BW973" i="13"/>
  <c r="BP973" i="13"/>
  <c r="BH973" i="13"/>
  <c r="BG973" i="13"/>
  <c r="BU973" i="13"/>
  <c r="BT973" i="13"/>
  <c r="BR973" i="13"/>
  <c r="BJ973" i="13"/>
  <c r="BF973" i="13"/>
  <c r="AB974" i="13"/>
  <c r="AA974" i="13"/>
  <c r="AC974" i="13" s="1"/>
  <c r="AF974" i="13" s="1"/>
  <c r="BQ977" i="13"/>
  <c r="BO977" i="13"/>
  <c r="AJ922" i="13"/>
  <c r="AU922" i="13"/>
  <c r="BN923" i="13"/>
  <c r="BH925" i="13"/>
  <c r="AS928" i="13"/>
  <c r="AX929" i="13"/>
  <c r="BN931" i="13"/>
  <c r="AR932" i="13"/>
  <c r="BA932" i="13"/>
  <c r="BN934" i="13"/>
  <c r="AE936" i="13"/>
  <c r="AN937" i="13"/>
  <c r="BL938" i="13"/>
  <c r="AM940" i="13"/>
  <c r="AV940" i="13"/>
  <c r="BO941" i="13"/>
  <c r="BW942" i="13"/>
  <c r="BG942" i="13"/>
  <c r="BU942" i="13"/>
  <c r="BF942" i="13"/>
  <c r="AA943" i="13"/>
  <c r="AC943" i="13" s="1"/>
  <c r="BG944" i="13"/>
  <c r="BR944" i="13"/>
  <c r="AO945" i="13"/>
  <c r="BN945" i="13"/>
  <c r="BK945" i="13"/>
  <c r="BW945" i="13"/>
  <c r="BG945" i="13"/>
  <c r="BV945" i="13"/>
  <c r="BE947" i="13"/>
  <c r="BJ948" i="13"/>
  <c r="BF949" i="13"/>
  <c r="V952" i="13"/>
  <c r="AU953" i="13"/>
  <c r="BK957" i="13"/>
  <c r="AY959" i="13"/>
  <c r="AS959" i="13"/>
  <c r="AR959" i="13"/>
  <c r="BB959" i="13"/>
  <c r="AN959" i="13"/>
  <c r="BA959" i="13"/>
  <c r="AM959" i="13"/>
  <c r="AZ959" i="13"/>
  <c r="AL959" i="13"/>
  <c r="AZ963" i="13"/>
  <c r="BO934" i="13"/>
  <c r="AO937" i="13"/>
  <c r="AN940" i="13"/>
  <c r="AW940" i="13"/>
  <c r="BA944" i="13"/>
  <c r="AZ944" i="13"/>
  <c r="BH944" i="13"/>
  <c r="BV944" i="13"/>
  <c r="AP945" i="13"/>
  <c r="BG947" i="13"/>
  <c r="BK948" i="13"/>
  <c r="BH949" i="13"/>
  <c r="AP950" i="13"/>
  <c r="AO950" i="13"/>
  <c r="AN950" i="13"/>
  <c r="AX950" i="13"/>
  <c r="AB952" i="13"/>
  <c r="AA952" i="13"/>
  <c r="AC952" i="13" s="1"/>
  <c r="AV953" i="13"/>
  <c r="BN957" i="13"/>
  <c r="U960" i="13"/>
  <c r="W960" i="13" s="1"/>
  <c r="V960" i="13"/>
  <c r="AY962" i="13"/>
  <c r="AT962" i="13"/>
  <c r="AK962" i="13"/>
  <c r="AZ962" i="13"/>
  <c r="AO962" i="13"/>
  <c r="AX962" i="13"/>
  <c r="AN962" i="13"/>
  <c r="AW962" i="13"/>
  <c r="AM962" i="13"/>
  <c r="AV962" i="13"/>
  <c r="AL962" i="13"/>
  <c r="AU962" i="13"/>
  <c r="AJ962" i="13"/>
  <c r="AY981" i="13"/>
  <c r="AQ981" i="13"/>
  <c r="AU981" i="13"/>
  <c r="AT981" i="13"/>
  <c r="AS981" i="13"/>
  <c r="AN981" i="13"/>
  <c r="AL981" i="13"/>
  <c r="BB981" i="13"/>
  <c r="AZ981" i="13"/>
  <c r="AX981" i="13"/>
  <c r="AJ981" i="13"/>
  <c r="BB970" i="13"/>
  <c r="AQ970" i="13"/>
  <c r="AP970" i="13"/>
  <c r="AR972" i="13"/>
  <c r="AQ972" i="13"/>
  <c r="AZ972" i="13"/>
  <c r="AY974" i="13"/>
  <c r="AT974" i="13"/>
  <c r="AJ974" i="13"/>
  <c r="BB974" i="13"/>
  <c r="AR974" i="13"/>
  <c r="BA974" i="13"/>
  <c r="AP974" i="13"/>
  <c r="AX974" i="13"/>
  <c r="AY977" i="13"/>
  <c r="AT977" i="13"/>
  <c r="AQ977" i="13"/>
  <c r="AZ977" i="13"/>
  <c r="AN977" i="13"/>
  <c r="AX977" i="13"/>
  <c r="AM977" i="13"/>
  <c r="BW985" i="13"/>
  <c r="BF985" i="13"/>
  <c r="BV985" i="13"/>
  <c r="BU985" i="13"/>
  <c r="BT985" i="13"/>
  <c r="BQ985" i="13"/>
  <c r="BL985" i="13"/>
  <c r="AR948" i="13"/>
  <c r="BA948" i="13"/>
  <c r="BO950" i="13"/>
  <c r="AS954" i="13"/>
  <c r="AP956" i="13"/>
  <c r="AZ956" i="13"/>
  <c r="AU960" i="13"/>
  <c r="BW963" i="13"/>
  <c r="BL963" i="13"/>
  <c r="AY968" i="13"/>
  <c r="AU968" i="13"/>
  <c r="AL968" i="13"/>
  <c r="AT968" i="13"/>
  <c r="AK968" i="13"/>
  <c r="AV968" i="13"/>
  <c r="AY970" i="13"/>
  <c r="AL972" i="13"/>
  <c r="BB972" i="13"/>
  <c r="AL974" i="13"/>
  <c r="BT974" i="13"/>
  <c r="BE974" i="13"/>
  <c r="BO974" i="13"/>
  <c r="BM974" i="13"/>
  <c r="AB976" i="13"/>
  <c r="AE976" i="13" s="1"/>
  <c r="AA976" i="13"/>
  <c r="AC976" i="13" s="1"/>
  <c r="AL977" i="13"/>
  <c r="BJ985" i="13"/>
  <c r="BN987" i="13"/>
  <c r="BU987" i="13"/>
  <c r="BT987" i="13"/>
  <c r="BK987" i="13"/>
  <c r="BI987" i="13"/>
  <c r="BH987" i="13"/>
  <c r="AT999" i="13"/>
  <c r="AL999" i="13"/>
  <c r="BA999" i="13"/>
  <c r="AU999" i="13"/>
  <c r="AS999" i="13"/>
  <c r="AO999" i="13"/>
  <c r="AM999" i="13"/>
  <c r="BP950" i="13"/>
  <c r="AR956" i="13"/>
  <c r="BA956" i="13"/>
  <c r="BB960" i="13"/>
  <c r="BL970" i="13"/>
  <c r="BK970" i="13"/>
  <c r="BU970" i="13"/>
  <c r="AN972" i="13"/>
  <c r="AM974" i="13"/>
  <c r="AA975" i="13"/>
  <c r="AC975" i="13" s="1"/>
  <c r="AB975" i="13"/>
  <c r="AE975" i="13" s="1"/>
  <c r="AO977" i="13"/>
  <c r="AA985" i="13"/>
  <c r="AC985" i="13" s="1"/>
  <c r="AB985" i="13"/>
  <c r="AE985" i="13" s="1"/>
  <c r="V987" i="13"/>
  <c r="AE987" i="13" s="1"/>
  <c r="U987" i="13"/>
  <c r="W987" i="13" s="1"/>
  <c r="BT998" i="13"/>
  <c r="BQ998" i="13"/>
  <c r="BH998" i="13"/>
  <c r="BV998" i="13"/>
  <c r="BK998" i="13"/>
  <c r="BU998" i="13"/>
  <c r="BJ998" i="13"/>
  <c r="BS998" i="13"/>
  <c r="BI998" i="13"/>
  <c r="BR998" i="13"/>
  <c r="BG998" i="13"/>
  <c r="BP998" i="13"/>
  <c r="BF998" i="13"/>
  <c r="BE950" i="13"/>
  <c r="BU950" i="13"/>
  <c r="BE951" i="13"/>
  <c r="AU954" i="13"/>
  <c r="AJ956" i="13"/>
  <c r="AS956" i="13"/>
  <c r="BB956" i="13"/>
  <c r="AA962" i="13"/>
  <c r="AC962" i="13" s="1"/>
  <c r="AE970" i="13"/>
  <c r="BF970" i="13"/>
  <c r="AB971" i="13"/>
  <c r="AA971" i="13"/>
  <c r="AC971" i="13" s="1"/>
  <c r="AF971" i="13" s="1"/>
  <c r="AP972" i="13"/>
  <c r="AS973" i="13"/>
  <c r="AM973" i="13"/>
  <c r="AK973" i="13"/>
  <c r="AN974" i="13"/>
  <c r="BV976" i="13"/>
  <c r="BR976" i="13"/>
  <c r="BN976" i="13"/>
  <c r="BL976" i="13"/>
  <c r="AU977" i="13"/>
  <c r="BT979" i="13"/>
  <c r="BS979" i="13"/>
  <c r="BJ979" i="13"/>
  <c r="BR979" i="13"/>
  <c r="BI979" i="13"/>
  <c r="BP979" i="13"/>
  <c r="BG979" i="13"/>
  <c r="BO979" i="13"/>
  <c r="BF979" i="13"/>
  <c r="BV979" i="13"/>
  <c r="AA982" i="13"/>
  <c r="AC982" i="13" s="1"/>
  <c r="BE998" i="13"/>
  <c r="U1004" i="13"/>
  <c r="W1004" i="13" s="1"/>
  <c r="V1004" i="13"/>
  <c r="AB1006" i="13"/>
  <c r="AA1006" i="13"/>
  <c r="AC1006" i="13" s="1"/>
  <c r="BA1008" i="13"/>
  <c r="AT1008" i="13"/>
  <c r="BB1008" i="13"/>
  <c r="AV1008" i="13"/>
  <c r="AL1008" i="13"/>
  <c r="AL948" i="13"/>
  <c r="AU948" i="13"/>
  <c r="BF950" i="13"/>
  <c r="BV950" i="13"/>
  <c r="AT951" i="13"/>
  <c r="BK951" i="13"/>
  <c r="BM952" i="13"/>
  <c r="BV952" i="13"/>
  <c r="AJ954" i="13"/>
  <c r="AZ954" i="13"/>
  <c r="U955" i="13"/>
  <c r="W955" i="13" s="1"/>
  <c r="AK956" i="13"/>
  <c r="AT956" i="13"/>
  <c r="AP958" i="13"/>
  <c r="AJ960" i="13"/>
  <c r="BE960" i="13"/>
  <c r="BP961" i="13"/>
  <c r="U963" i="13"/>
  <c r="W963" i="13" s="1"/>
  <c r="AA964" i="13"/>
  <c r="AC964" i="13" s="1"/>
  <c r="AU966" i="13"/>
  <c r="BA966" i="13"/>
  <c r="AN968" i="13"/>
  <c r="AZ968" i="13"/>
  <c r="BH970" i="13"/>
  <c r="AQ971" i="13"/>
  <c r="BB971" i="13"/>
  <c r="AO971" i="13"/>
  <c r="AV971" i="13"/>
  <c r="AT972" i="13"/>
  <c r="AN973" i="13"/>
  <c r="AS974" i="13"/>
  <c r="BK974" i="13"/>
  <c r="BG976" i="13"/>
  <c r="AV977" i="13"/>
  <c r="BE979" i="13"/>
  <c r="BW979" i="13"/>
  <c r="U980" i="13"/>
  <c r="W980" i="13" s="1"/>
  <c r="BM998" i="13"/>
  <c r="AA1000" i="13"/>
  <c r="AC1000" i="13" s="1"/>
  <c r="AB1000" i="13"/>
  <c r="AQ1003" i="13"/>
  <c r="AU1003" i="13"/>
  <c r="AS1003" i="13"/>
  <c r="AP1003" i="13"/>
  <c r="BB1003" i="13"/>
  <c r="AO1003" i="13"/>
  <c r="AZ1003" i="13"/>
  <c r="AM1003" i="13"/>
  <c r="AX1003" i="13"/>
  <c r="AJ1003" i="13"/>
  <c r="AM948" i="13"/>
  <c r="AV948" i="13"/>
  <c r="BG950" i="13"/>
  <c r="BW950" i="13"/>
  <c r="AJ951" i="13"/>
  <c r="AU951" i="13"/>
  <c r="BL951" i="13"/>
  <c r="BE952" i="13"/>
  <c r="BN952" i="13"/>
  <c r="BW952" i="13"/>
  <c r="BV953" i="13"/>
  <c r="AK954" i="13"/>
  <c r="BA954" i="13"/>
  <c r="BO955" i="13"/>
  <c r="AL956" i="13"/>
  <c r="AU956" i="13"/>
  <c r="AQ958" i="13"/>
  <c r="BE959" i="13"/>
  <c r="AK960" i="13"/>
  <c r="BE961" i="13"/>
  <c r="BQ961" i="13"/>
  <c r="AB963" i="13"/>
  <c r="AE963" i="13" s="1"/>
  <c r="AA963" i="13"/>
  <c r="AC963" i="13" s="1"/>
  <c r="AK966" i="13"/>
  <c r="AB967" i="13"/>
  <c r="AO968" i="13"/>
  <c r="BA968" i="13"/>
  <c r="AA969" i="13"/>
  <c r="AC969" i="13" s="1"/>
  <c r="BI970" i="13"/>
  <c r="AJ971" i="13"/>
  <c r="AW971" i="13"/>
  <c r="AB972" i="13"/>
  <c r="AA972" i="13"/>
  <c r="AC972" i="13" s="1"/>
  <c r="AF972" i="13" s="1"/>
  <c r="AX972" i="13"/>
  <c r="AV973" i="13"/>
  <c r="V974" i="13"/>
  <c r="AU974" i="13"/>
  <c r="BL974" i="13"/>
  <c r="BK976" i="13"/>
  <c r="AW977" i="13"/>
  <c r="BH979" i="13"/>
  <c r="BN998" i="13"/>
  <c r="AT1007" i="13"/>
  <c r="BB1007" i="13"/>
  <c r="AP1007" i="13"/>
  <c r="BR967" i="13"/>
  <c r="BM972" i="13"/>
  <c r="BV972" i="13"/>
  <c r="BU975" i="13"/>
  <c r="AT979" i="13"/>
  <c r="AN980" i="13"/>
  <c r="AX980" i="13"/>
  <c r="BO980" i="13"/>
  <c r="AZ982" i="13"/>
  <c r="BK982" i="13"/>
  <c r="BV982" i="13"/>
  <c r="BM983" i="13"/>
  <c r="AE984" i="13"/>
  <c r="AY984" i="13"/>
  <c r="AU985" i="13"/>
  <c r="AY986" i="13"/>
  <c r="AV986" i="13"/>
  <c r="AM986" i="13"/>
  <c r="AS986" i="13"/>
  <c r="BV986" i="13"/>
  <c r="BW986" i="13"/>
  <c r="BF986" i="13"/>
  <c r="BU986" i="13"/>
  <c r="AQ1000" i="13"/>
  <c r="AO1002" i="13"/>
  <c r="AZ1002" i="13"/>
  <c r="BN1002" i="13"/>
  <c r="AX1004" i="13"/>
  <c r="AY1004" i="13"/>
  <c r="AJ1004" i="13"/>
  <c r="AZ1004" i="13"/>
  <c r="AT1005" i="13"/>
  <c r="AX1006" i="13"/>
  <c r="AP1006" i="13"/>
  <c r="AY1006" i="13"/>
  <c r="AT964" i="13"/>
  <c r="AM967" i="13"/>
  <c r="BF967" i="13"/>
  <c r="BE972" i="13"/>
  <c r="BN972" i="13"/>
  <c r="BW972" i="13"/>
  <c r="BW975" i="13"/>
  <c r="U976" i="13"/>
  <c r="W976" i="13" s="1"/>
  <c r="AJ979" i="13"/>
  <c r="AV979" i="13"/>
  <c r="AO980" i="13"/>
  <c r="AY980" i="13"/>
  <c r="BR980" i="13"/>
  <c r="BM982" i="13"/>
  <c r="AP1002" i="13"/>
  <c r="AL1004" i="13"/>
  <c r="AJ1006" i="13"/>
  <c r="AZ1006" i="13"/>
  <c r="BW1009" i="13"/>
  <c r="BR1009" i="13"/>
  <c r="U981" i="13"/>
  <c r="W981" i="13" s="1"/>
  <c r="V981" i="13"/>
  <c r="AE981" i="13" s="1"/>
  <c r="BB982" i="13"/>
  <c r="AW982" i="13"/>
  <c r="BT982" i="13"/>
  <c r="BQ982" i="13"/>
  <c r="BH982" i="13"/>
  <c r="BN982" i="13"/>
  <c r="BA985" i="13"/>
  <c r="AP985" i="13"/>
  <c r="AX985" i="13"/>
  <c r="BR1008" i="13"/>
  <c r="BU1008" i="13"/>
  <c r="AQ980" i="13"/>
  <c r="BT980" i="13"/>
  <c r="AK982" i="13"/>
  <c r="BE982" i="13"/>
  <c r="BO982" i="13"/>
  <c r="BV983" i="13"/>
  <c r="BS983" i="13"/>
  <c r="BE983" i="13"/>
  <c r="BT983" i="13"/>
  <c r="AL984" i="13"/>
  <c r="U985" i="13"/>
  <c r="W985" i="13" s="1"/>
  <c r="AJ985" i="13"/>
  <c r="AY985" i="13"/>
  <c r="AX1000" i="13"/>
  <c r="AL1000" i="13"/>
  <c r="AV1000" i="13"/>
  <c r="U1001" i="13"/>
  <c r="W1001" i="13" s="1"/>
  <c r="AY1002" i="13"/>
  <c r="AW1002" i="13"/>
  <c r="AN1002" i="13"/>
  <c r="AS1002" i="13"/>
  <c r="BS1002" i="13"/>
  <c r="BW1002" i="13"/>
  <c r="BI1002" i="13"/>
  <c r="BT1002" i="13"/>
  <c r="V1003" i="13"/>
  <c r="U1003" i="13"/>
  <c r="W1003" i="13" s="1"/>
  <c r="AB1007" i="13"/>
  <c r="BE1008" i="13"/>
  <c r="AO982" i="13"/>
  <c r="BF982" i="13"/>
  <c r="BP982" i="13"/>
  <c r="AM984" i="13"/>
  <c r="AK985" i="13"/>
  <c r="AZ985" i="13"/>
  <c r="AJ1002" i="13"/>
  <c r="AT1002" i="13"/>
  <c r="BE1002" i="13"/>
  <c r="BU1002" i="13"/>
  <c r="AZ1005" i="13"/>
  <c r="AL1005" i="13"/>
  <c r="V1006" i="13"/>
  <c r="BK1008" i="13"/>
  <c r="BP1009" i="13"/>
  <c r="BQ984" i="13"/>
  <c r="BO1003" i="13"/>
  <c r="BM1006" i="13"/>
  <c r="BV1006" i="13"/>
  <c r="BP1007" i="13"/>
  <c r="AF230" i="13"/>
  <c r="AF222" i="13"/>
  <c r="AF241" i="13"/>
  <c r="AF232" i="13"/>
  <c r="AF256" i="13"/>
  <c r="AF238" i="13"/>
  <c r="AF224" i="13"/>
  <c r="AF271" i="13"/>
  <c r="AE315" i="13"/>
  <c r="AF239" i="13"/>
  <c r="AF247" i="13"/>
  <c r="AE278" i="13"/>
  <c r="AQ218" i="13"/>
  <c r="BT230" i="13"/>
  <c r="AQ258" i="13"/>
  <c r="BT262" i="13"/>
  <c r="BM272" i="13"/>
  <c r="BB277" i="13"/>
  <c r="V311" i="13"/>
  <c r="AE311" i="13" s="1"/>
  <c r="U311" i="13"/>
  <c r="W311" i="13" s="1"/>
  <c r="AW316" i="13"/>
  <c r="AO316" i="13"/>
  <c r="AV316" i="13"/>
  <c r="AN316" i="13"/>
  <c r="BB316" i="13"/>
  <c r="AT316" i="13"/>
  <c r="AL316" i="13"/>
  <c r="AX316" i="13"/>
  <c r="AP316" i="13"/>
  <c r="AU330" i="13"/>
  <c r="AM330" i="13"/>
  <c r="BB330" i="13"/>
  <c r="AT330" i="13"/>
  <c r="AL330" i="13"/>
  <c r="BA330" i="13"/>
  <c r="AS330" i="13"/>
  <c r="AK330" i="13"/>
  <c r="AZ330" i="13"/>
  <c r="AR330" i="13"/>
  <c r="AJ330" i="13"/>
  <c r="AV330" i="13"/>
  <c r="AN330" i="13"/>
  <c r="V382" i="13"/>
  <c r="U382" i="13"/>
  <c r="W382" i="13" s="1"/>
  <c r="BR222" i="13"/>
  <c r="BL224" i="13"/>
  <c r="AO226" i="13"/>
  <c r="AW226" i="13"/>
  <c r="AY228" i="13"/>
  <c r="BJ230" i="13"/>
  <c r="BR230" i="13"/>
  <c r="BL232" i="13"/>
  <c r="BT232" i="13"/>
  <c r="AQ236" i="13"/>
  <c r="AY236" i="13"/>
  <c r="BL240" i="13"/>
  <c r="BT240" i="13"/>
  <c r="AO242" i="13"/>
  <c r="AW242" i="13"/>
  <c r="BJ246" i="13"/>
  <c r="BL248" i="13"/>
  <c r="BT248" i="13"/>
  <c r="AQ252" i="13"/>
  <c r="BJ254" i="13"/>
  <c r="BR254" i="13"/>
  <c r="BL256" i="13"/>
  <c r="BT256" i="13"/>
  <c r="AQ260" i="13"/>
  <c r="AY260" i="13"/>
  <c r="BJ262" i="13"/>
  <c r="BR262" i="13"/>
  <c r="BL264" i="13"/>
  <c r="BT264" i="13"/>
  <c r="AO266" i="13"/>
  <c r="AW266" i="13"/>
  <c r="AQ268" i="13"/>
  <c r="AY268" i="13"/>
  <c r="BK272" i="13"/>
  <c r="AP274" i="13"/>
  <c r="AY274" i="13"/>
  <c r="BK275" i="13"/>
  <c r="BT275" i="13"/>
  <c r="AP277" i="13"/>
  <c r="BW278" i="13"/>
  <c r="BO278" i="13"/>
  <c r="BG278" i="13"/>
  <c r="BM278" i="13"/>
  <c r="BV278" i="13"/>
  <c r="AP279" i="13"/>
  <c r="AZ279" i="13"/>
  <c r="BL283" i="13"/>
  <c r="BW283" i="13"/>
  <c r="BU284" i="13"/>
  <c r="BM284" i="13"/>
  <c r="BE284" i="13"/>
  <c r="BS284" i="13"/>
  <c r="BK284" i="13"/>
  <c r="BO284" i="13"/>
  <c r="BR285" i="13"/>
  <c r="BJ285" i="13"/>
  <c r="BP285" i="13"/>
  <c r="BH285" i="13"/>
  <c r="BN285" i="13"/>
  <c r="BL292" i="13"/>
  <c r="BW292" i="13"/>
  <c r="BL293" i="13"/>
  <c r="AZ296" i="13"/>
  <c r="AR296" i="13"/>
  <c r="AJ296" i="13"/>
  <c r="AX296" i="13"/>
  <c r="AP296" i="13"/>
  <c r="AT296" i="13"/>
  <c r="BP310" i="13"/>
  <c r="BH310" i="13"/>
  <c r="BW310" i="13"/>
  <c r="BO310" i="13"/>
  <c r="BG310" i="13"/>
  <c r="BU310" i="13"/>
  <c r="BM310" i="13"/>
  <c r="BE310" i="13"/>
  <c r="BR310" i="13"/>
  <c r="BA312" i="13"/>
  <c r="AS312" i="13"/>
  <c r="AK312" i="13"/>
  <c r="AZ312" i="13"/>
  <c r="AR312" i="13"/>
  <c r="AJ312" i="13"/>
  <c r="AX312" i="13"/>
  <c r="AP312" i="13"/>
  <c r="AV312" i="13"/>
  <c r="BQ315" i="13"/>
  <c r="BI315" i="13"/>
  <c r="BP315" i="13"/>
  <c r="BH315" i="13"/>
  <c r="BV315" i="13"/>
  <c r="BN315" i="13"/>
  <c r="BF315" i="13"/>
  <c r="BR315" i="13"/>
  <c r="AS316" i="13"/>
  <c r="AW324" i="13"/>
  <c r="AO324" i="13"/>
  <c r="AV324" i="13"/>
  <c r="AN324" i="13"/>
  <c r="AU324" i="13"/>
  <c r="AM324" i="13"/>
  <c r="BB324" i="13"/>
  <c r="AT324" i="13"/>
  <c r="AL324" i="13"/>
  <c r="AX324" i="13"/>
  <c r="AP324" i="13"/>
  <c r="BA324" i="13"/>
  <c r="AV327" i="13"/>
  <c r="AN327" i="13"/>
  <c r="AU327" i="13"/>
  <c r="AM327" i="13"/>
  <c r="BB327" i="13"/>
  <c r="AT327" i="13"/>
  <c r="AL327" i="13"/>
  <c r="BA327" i="13"/>
  <c r="AS327" i="13"/>
  <c r="AK327" i="13"/>
  <c r="AW327" i="13"/>
  <c r="AO327" i="13"/>
  <c r="AY330" i="13"/>
  <c r="AY346" i="13"/>
  <c r="BQ347" i="13"/>
  <c r="BI347" i="13"/>
  <c r="BP347" i="13"/>
  <c r="BH347" i="13"/>
  <c r="BW347" i="13"/>
  <c r="BO347" i="13"/>
  <c r="BG347" i="13"/>
  <c r="BV347" i="13"/>
  <c r="BN347" i="13"/>
  <c r="BF347" i="13"/>
  <c r="BS347" i="13"/>
  <c r="BK347" i="13"/>
  <c r="BR347" i="13"/>
  <c r="BJ347" i="13"/>
  <c r="AU354" i="13"/>
  <c r="AM354" i="13"/>
  <c r="BB354" i="13"/>
  <c r="AT354" i="13"/>
  <c r="AL354" i="13"/>
  <c r="BA354" i="13"/>
  <c r="AS354" i="13"/>
  <c r="AK354" i="13"/>
  <c r="AZ354" i="13"/>
  <c r="AR354" i="13"/>
  <c r="AJ354" i="13"/>
  <c r="AW354" i="13"/>
  <c r="AO354" i="13"/>
  <c r="AV354" i="13"/>
  <c r="AN354" i="13"/>
  <c r="BP358" i="13"/>
  <c r="BH358" i="13"/>
  <c r="BW358" i="13"/>
  <c r="BO358" i="13"/>
  <c r="BG358" i="13"/>
  <c r="BV358" i="13"/>
  <c r="BN358" i="13"/>
  <c r="BF358" i="13"/>
  <c r="BU358" i="13"/>
  <c r="BM358" i="13"/>
  <c r="BE358" i="13"/>
  <c r="BR358" i="13"/>
  <c r="BJ358" i="13"/>
  <c r="BQ358" i="13"/>
  <c r="BI358" i="13"/>
  <c r="BQ363" i="13"/>
  <c r="BI363" i="13"/>
  <c r="BP363" i="13"/>
  <c r="BH363" i="13"/>
  <c r="BW363" i="13"/>
  <c r="BO363" i="13"/>
  <c r="BG363" i="13"/>
  <c r="BV363" i="13"/>
  <c r="BN363" i="13"/>
  <c r="BF363" i="13"/>
  <c r="BS363" i="13"/>
  <c r="BK363" i="13"/>
  <c r="BR363" i="13"/>
  <c r="BJ363" i="13"/>
  <c r="AF370" i="13"/>
  <c r="AZ379" i="13"/>
  <c r="AR379" i="13"/>
  <c r="AJ379" i="13"/>
  <c r="AX379" i="13"/>
  <c r="AP379" i="13"/>
  <c r="BA379" i="13"/>
  <c r="AO379" i="13"/>
  <c r="AY379" i="13"/>
  <c r="AN379" i="13"/>
  <c r="AW379" i="13"/>
  <c r="AM379" i="13"/>
  <c r="AV379" i="13"/>
  <c r="AL379" i="13"/>
  <c r="AS379" i="13"/>
  <c r="BB379" i="13"/>
  <c r="AQ379" i="13"/>
  <c r="AF412" i="13"/>
  <c r="BS413" i="13"/>
  <c r="BK413" i="13"/>
  <c r="BQ413" i="13"/>
  <c r="BI413" i="13"/>
  <c r="BV413" i="13"/>
  <c r="BN413" i="13"/>
  <c r="BF413" i="13"/>
  <c r="BU413" i="13"/>
  <c r="BM413" i="13"/>
  <c r="BE413" i="13"/>
  <c r="BO413" i="13"/>
  <c r="BL413" i="13"/>
  <c r="BJ413" i="13"/>
  <c r="BH413" i="13"/>
  <c r="BW413" i="13"/>
  <c r="BG413" i="13"/>
  <c r="BR413" i="13"/>
  <c r="BP413" i="13"/>
  <c r="AF450" i="13"/>
  <c r="BL230" i="13"/>
  <c r="AQ234" i="13"/>
  <c r="BL238" i="13"/>
  <c r="AQ250" i="13"/>
  <c r="BQ272" i="13"/>
  <c r="BI272" i="13"/>
  <c r="BA277" i="13"/>
  <c r="AS277" i="13"/>
  <c r="AK277" i="13"/>
  <c r="BO283" i="13"/>
  <c r="BO292" i="13"/>
  <c r="BR293" i="13"/>
  <c r="BJ293" i="13"/>
  <c r="BP293" i="13"/>
  <c r="BH293" i="13"/>
  <c r="AV311" i="13"/>
  <c r="AN311" i="13"/>
  <c r="AU311" i="13"/>
  <c r="AM311" i="13"/>
  <c r="BA311" i="13"/>
  <c r="AS311" i="13"/>
  <c r="AK311" i="13"/>
  <c r="AO218" i="13"/>
  <c r="AW218" i="13"/>
  <c r="AQ220" i="13"/>
  <c r="AY220" i="13"/>
  <c r="BJ222" i="13"/>
  <c r="BT224" i="13"/>
  <c r="AQ228" i="13"/>
  <c r="AO234" i="13"/>
  <c r="AW234" i="13"/>
  <c r="BJ238" i="13"/>
  <c r="BR238" i="13"/>
  <c r="AQ244" i="13"/>
  <c r="AY244" i="13"/>
  <c r="BR246" i="13"/>
  <c r="AO250" i="13"/>
  <c r="AW250" i="13"/>
  <c r="AY252" i="13"/>
  <c r="AO258" i="13"/>
  <c r="AW258" i="13"/>
  <c r="AP218" i="13"/>
  <c r="AX218" i="13"/>
  <c r="BL219" i="13"/>
  <c r="BT219" i="13"/>
  <c r="AJ220" i="13"/>
  <c r="AR220" i="13"/>
  <c r="AZ220" i="13"/>
  <c r="AO221" i="13"/>
  <c r="AW221" i="13"/>
  <c r="BK222" i="13"/>
  <c r="BS222" i="13"/>
  <c r="AQ223" i="13"/>
  <c r="AY223" i="13"/>
  <c r="BE224" i="13"/>
  <c r="BM224" i="13"/>
  <c r="BU224" i="13"/>
  <c r="BJ225" i="13"/>
  <c r="BR225" i="13"/>
  <c r="AP226" i="13"/>
  <c r="AX226" i="13"/>
  <c r="BL227" i="13"/>
  <c r="BT227" i="13"/>
  <c r="AJ228" i="13"/>
  <c r="AR228" i="13"/>
  <c r="AZ228" i="13"/>
  <c r="AO229" i="13"/>
  <c r="AW229" i="13"/>
  <c r="AL230" i="13"/>
  <c r="AT230" i="13"/>
  <c r="BB230" i="13"/>
  <c r="BK230" i="13"/>
  <c r="BS230" i="13"/>
  <c r="AQ231" i="13"/>
  <c r="AY231" i="13"/>
  <c r="BE232" i="13"/>
  <c r="BM232" i="13"/>
  <c r="BU232" i="13"/>
  <c r="BJ233" i="13"/>
  <c r="BR233" i="13"/>
  <c r="AP234" i="13"/>
  <c r="AX234" i="13"/>
  <c r="BG234" i="13"/>
  <c r="BO234" i="13"/>
  <c r="BW234" i="13"/>
  <c r="BL235" i="13"/>
  <c r="BT235" i="13"/>
  <c r="AJ236" i="13"/>
  <c r="AR236" i="13"/>
  <c r="AZ236" i="13"/>
  <c r="AO237" i="13"/>
  <c r="AW237" i="13"/>
  <c r="AL238" i="13"/>
  <c r="AT238" i="13"/>
  <c r="BB238" i="13"/>
  <c r="BK238" i="13"/>
  <c r="BS238" i="13"/>
  <c r="AQ239" i="13"/>
  <c r="AY239" i="13"/>
  <c r="BE240" i="13"/>
  <c r="BM240" i="13"/>
  <c r="BU240" i="13"/>
  <c r="BJ241" i="13"/>
  <c r="BR241" i="13"/>
  <c r="AP242" i="13"/>
  <c r="AX242" i="13"/>
  <c r="BG242" i="13"/>
  <c r="BO242" i="13"/>
  <c r="BW242" i="13"/>
  <c r="BL243" i="13"/>
  <c r="BT243" i="13"/>
  <c r="AJ244" i="13"/>
  <c r="AR244" i="13"/>
  <c r="AZ244" i="13"/>
  <c r="AO245" i="13"/>
  <c r="AW245" i="13"/>
  <c r="AL246" i="13"/>
  <c r="AT246" i="13"/>
  <c r="BB246" i="13"/>
  <c r="BK246" i="13"/>
  <c r="BS246" i="13"/>
  <c r="AQ247" i="13"/>
  <c r="AY247" i="13"/>
  <c r="BE248" i="13"/>
  <c r="BM248" i="13"/>
  <c r="BU248" i="13"/>
  <c r="BJ249" i="13"/>
  <c r="BR249" i="13"/>
  <c r="AP250" i="13"/>
  <c r="AX250" i="13"/>
  <c r="BG250" i="13"/>
  <c r="BO250" i="13"/>
  <c r="BW250" i="13"/>
  <c r="BL251" i="13"/>
  <c r="BT251" i="13"/>
  <c r="AJ252" i="13"/>
  <c r="AR252" i="13"/>
  <c r="AZ252" i="13"/>
  <c r="AO253" i="13"/>
  <c r="AW253" i="13"/>
  <c r="AL254" i="13"/>
  <c r="AT254" i="13"/>
  <c r="BB254" i="13"/>
  <c r="BK254" i="13"/>
  <c r="BS254" i="13"/>
  <c r="AQ255" i="13"/>
  <c r="AY255" i="13"/>
  <c r="BE256" i="13"/>
  <c r="BM256" i="13"/>
  <c r="BU256" i="13"/>
  <c r="BJ257" i="13"/>
  <c r="BR257" i="13"/>
  <c r="AP258" i="13"/>
  <c r="AX258" i="13"/>
  <c r="BG258" i="13"/>
  <c r="BO258" i="13"/>
  <c r="BW258" i="13"/>
  <c r="BL259" i="13"/>
  <c r="BT259" i="13"/>
  <c r="AJ260" i="13"/>
  <c r="AR260" i="13"/>
  <c r="AZ260" i="13"/>
  <c r="AO261" i="13"/>
  <c r="AW261" i="13"/>
  <c r="AL262" i="13"/>
  <c r="AT262" i="13"/>
  <c r="BB262" i="13"/>
  <c r="BK262" i="13"/>
  <c r="BS262" i="13"/>
  <c r="AQ263" i="13"/>
  <c r="AY263" i="13"/>
  <c r="BE264" i="13"/>
  <c r="BM264" i="13"/>
  <c r="BU264" i="13"/>
  <c r="BJ265" i="13"/>
  <c r="BR265" i="13"/>
  <c r="AP266" i="13"/>
  <c r="AX266" i="13"/>
  <c r="BG266" i="13"/>
  <c r="BO266" i="13"/>
  <c r="BW266" i="13"/>
  <c r="BL267" i="13"/>
  <c r="BT267" i="13"/>
  <c r="AJ268" i="13"/>
  <c r="AR268" i="13"/>
  <c r="AZ268" i="13"/>
  <c r="AO269" i="13"/>
  <c r="AW269" i="13"/>
  <c r="AL270" i="13"/>
  <c r="AT270" i="13"/>
  <c r="BW270" i="13"/>
  <c r="BO270" i="13"/>
  <c r="BG270" i="13"/>
  <c r="BM270" i="13"/>
  <c r="BV270" i="13"/>
  <c r="V271" i="13"/>
  <c r="AP271" i="13"/>
  <c r="AZ272" i="13"/>
  <c r="AR272" i="13"/>
  <c r="AJ272" i="13"/>
  <c r="AS272" i="13"/>
  <c r="BB272" i="13"/>
  <c r="BL272" i="13"/>
  <c r="BU272" i="13"/>
  <c r="AQ274" i="13"/>
  <c r="AZ274" i="13"/>
  <c r="BJ274" i="13"/>
  <c r="BL275" i="13"/>
  <c r="BU275" i="13"/>
  <c r="AQ277" i="13"/>
  <c r="AZ277" i="13"/>
  <c r="BK277" i="13"/>
  <c r="AL278" i="13"/>
  <c r="AU278" i="13"/>
  <c r="BE278" i="13"/>
  <c r="BN278" i="13"/>
  <c r="AQ279" i="13"/>
  <c r="BB279" i="13"/>
  <c r="BL280" i="13"/>
  <c r="V281" i="13"/>
  <c r="AE281" i="13" s="1"/>
  <c r="AW281" i="13"/>
  <c r="AO281" i="13"/>
  <c r="AU281" i="13"/>
  <c r="AM281" i="13"/>
  <c r="AS281" i="13"/>
  <c r="BB282" i="13"/>
  <c r="AT282" i="13"/>
  <c r="AL282" i="13"/>
  <c r="AZ282" i="13"/>
  <c r="AR282" i="13"/>
  <c r="AJ282" i="13"/>
  <c r="AU282" i="13"/>
  <c r="BM283" i="13"/>
  <c r="AV284" i="13"/>
  <c r="AN284" i="13"/>
  <c r="BB284" i="13"/>
  <c r="AT284" i="13"/>
  <c r="AL284" i="13"/>
  <c r="AS284" i="13"/>
  <c r="BF284" i="13"/>
  <c r="BP284" i="13"/>
  <c r="BE285" i="13"/>
  <c r="BO285" i="13"/>
  <c r="AB288" i="13"/>
  <c r="AM288" i="13"/>
  <c r="AW288" i="13"/>
  <c r="AQ289" i="13"/>
  <c r="BS290" i="13"/>
  <c r="BK290" i="13"/>
  <c r="BQ290" i="13"/>
  <c r="BI290" i="13"/>
  <c r="BN290" i="13"/>
  <c r="AQ292" i="13"/>
  <c r="BN292" i="13"/>
  <c r="BM293" i="13"/>
  <c r="BW293" i="13"/>
  <c r="U294" i="13"/>
  <c r="W294" i="13" s="1"/>
  <c r="AX294" i="13"/>
  <c r="AP294" i="13"/>
  <c r="AV294" i="13"/>
  <c r="AN294" i="13"/>
  <c r="AS294" i="13"/>
  <c r="BW294" i="13"/>
  <c r="BO294" i="13"/>
  <c r="BG294" i="13"/>
  <c r="BU294" i="13"/>
  <c r="BM294" i="13"/>
  <c r="BE294" i="13"/>
  <c r="BP294" i="13"/>
  <c r="AK296" i="13"/>
  <c r="AU296" i="13"/>
  <c r="BL298" i="13"/>
  <c r="BI299" i="13"/>
  <c r="BS299" i="13"/>
  <c r="AE300" i="13"/>
  <c r="AQ302" i="13"/>
  <c r="AU303" i="13"/>
  <c r="AM303" i="13"/>
  <c r="BA303" i="13"/>
  <c r="AS303" i="13"/>
  <c r="AK303" i="13"/>
  <c r="AT303" i="13"/>
  <c r="BA304" i="13"/>
  <c r="AS304" i="13"/>
  <c r="AK304" i="13"/>
  <c r="AZ304" i="13"/>
  <c r="AR304" i="13"/>
  <c r="AJ304" i="13"/>
  <c r="AX304" i="13"/>
  <c r="AP304" i="13"/>
  <c r="AV304" i="13"/>
  <c r="V305" i="13"/>
  <c r="AE305" i="13" s="1"/>
  <c r="BQ307" i="13"/>
  <c r="BI307" i="13"/>
  <c r="BP307" i="13"/>
  <c r="BH307" i="13"/>
  <c r="BV307" i="13"/>
  <c r="BN307" i="13"/>
  <c r="BF307" i="13"/>
  <c r="BR307" i="13"/>
  <c r="BV308" i="13"/>
  <c r="BN308" i="13"/>
  <c r="BF308" i="13"/>
  <c r="BU308" i="13"/>
  <c r="BM308" i="13"/>
  <c r="BE308" i="13"/>
  <c r="BS308" i="13"/>
  <c r="BK308" i="13"/>
  <c r="BQ308" i="13"/>
  <c r="BF310" i="13"/>
  <c r="BS310" i="13"/>
  <c r="AT311" i="13"/>
  <c r="AL312" i="13"/>
  <c r="AW312" i="13"/>
  <c r="AL313" i="13"/>
  <c r="AZ313" i="13"/>
  <c r="BE315" i="13"/>
  <c r="BS315" i="13"/>
  <c r="AU316" i="13"/>
  <c r="BK318" i="13"/>
  <c r="AA319" i="13"/>
  <c r="AC319" i="13" s="1"/>
  <c r="AU322" i="13"/>
  <c r="AM322" i="13"/>
  <c r="BB322" i="13"/>
  <c r="AT322" i="13"/>
  <c r="AL322" i="13"/>
  <c r="BA322" i="13"/>
  <c r="AS322" i="13"/>
  <c r="AK322" i="13"/>
  <c r="AZ322" i="13"/>
  <c r="AR322" i="13"/>
  <c r="AJ322" i="13"/>
  <c r="AV322" i="13"/>
  <c r="AN322" i="13"/>
  <c r="AJ324" i="13"/>
  <c r="BL326" i="13"/>
  <c r="AJ327" i="13"/>
  <c r="BL331" i="13"/>
  <c r="AW332" i="13"/>
  <c r="AO332" i="13"/>
  <c r="AV332" i="13"/>
  <c r="AN332" i="13"/>
  <c r="AU332" i="13"/>
  <c r="AM332" i="13"/>
  <c r="BB332" i="13"/>
  <c r="AT332" i="13"/>
  <c r="AL332" i="13"/>
  <c r="AX332" i="13"/>
  <c r="AP332" i="13"/>
  <c r="BA332" i="13"/>
  <c r="AV335" i="13"/>
  <c r="AN335" i="13"/>
  <c r="AU335" i="13"/>
  <c r="AM335" i="13"/>
  <c r="BB335" i="13"/>
  <c r="AT335" i="13"/>
  <c r="AL335" i="13"/>
  <c r="BA335" i="13"/>
  <c r="AS335" i="13"/>
  <c r="AK335" i="13"/>
  <c r="AW335" i="13"/>
  <c r="AO335" i="13"/>
  <c r="BL336" i="13"/>
  <c r="AQ340" i="13"/>
  <c r="AQ343" i="13"/>
  <c r="BE347" i="13"/>
  <c r="AA351" i="13"/>
  <c r="AC351" i="13" s="1"/>
  <c r="AP354" i="13"/>
  <c r="BK358" i="13"/>
  <c r="AR359" i="13"/>
  <c r="BE363" i="13"/>
  <c r="AA368" i="13"/>
  <c r="AC368" i="13" s="1"/>
  <c r="AE377" i="13"/>
  <c r="AK379" i="13"/>
  <c r="V387" i="13"/>
  <c r="AE387" i="13" s="1"/>
  <c r="U387" i="13"/>
  <c r="W387" i="13" s="1"/>
  <c r="BU399" i="13"/>
  <c r="BM399" i="13"/>
  <c r="BE399" i="13"/>
  <c r="BS399" i="13"/>
  <c r="BK399" i="13"/>
  <c r="BV399" i="13"/>
  <c r="BJ399" i="13"/>
  <c r="BT399" i="13"/>
  <c r="BI399" i="13"/>
  <c r="BR399" i="13"/>
  <c r="BH399" i="13"/>
  <c r="BQ399" i="13"/>
  <c r="BG399" i="13"/>
  <c r="BP399" i="13"/>
  <c r="BF399" i="13"/>
  <c r="BN399" i="13"/>
  <c r="BW399" i="13"/>
  <c r="BL399" i="13"/>
  <c r="AA405" i="13"/>
  <c r="AC405" i="13" s="1"/>
  <c r="AB405" i="13"/>
  <c r="BU407" i="13"/>
  <c r="BM407" i="13"/>
  <c r="BE407" i="13"/>
  <c r="BS407" i="13"/>
  <c r="BK407" i="13"/>
  <c r="BP407" i="13"/>
  <c r="BH407" i="13"/>
  <c r="BW407" i="13"/>
  <c r="BO407" i="13"/>
  <c r="BG407" i="13"/>
  <c r="BN407" i="13"/>
  <c r="BL407" i="13"/>
  <c r="BJ407" i="13"/>
  <c r="BI407" i="13"/>
  <c r="BV407" i="13"/>
  <c r="BF407" i="13"/>
  <c r="BR407" i="13"/>
  <c r="BQ407" i="13"/>
  <c r="V408" i="13"/>
  <c r="AE408" i="13" s="1"/>
  <c r="U408" i="13"/>
  <c r="W408" i="13" s="1"/>
  <c r="BT413" i="13"/>
  <c r="AL244" i="13"/>
  <c r="AT244" i="13"/>
  <c r="BB244" i="13"/>
  <c r="BE246" i="13"/>
  <c r="BG248" i="13"/>
  <c r="BO248" i="13"/>
  <c r="BW248" i="13"/>
  <c r="U249" i="13"/>
  <c r="W249" i="13" s="1"/>
  <c r="BL249" i="13"/>
  <c r="BT249" i="13"/>
  <c r="AA250" i="13"/>
  <c r="AC250" i="13" s="1"/>
  <c r="AJ250" i="13"/>
  <c r="AR250" i="13"/>
  <c r="AZ250" i="13"/>
  <c r="AL252" i="13"/>
  <c r="AT252" i="13"/>
  <c r="BB252" i="13"/>
  <c r="AQ253" i="13"/>
  <c r="AY253" i="13"/>
  <c r="BE254" i="13"/>
  <c r="BM254" i="13"/>
  <c r="BU254" i="13"/>
  <c r="BG256" i="13"/>
  <c r="BO256" i="13"/>
  <c r="BW256" i="13"/>
  <c r="U257" i="13"/>
  <c r="W257" i="13" s="1"/>
  <c r="BL257" i="13"/>
  <c r="BT257" i="13"/>
  <c r="AA258" i="13"/>
  <c r="AC258" i="13" s="1"/>
  <c r="AJ258" i="13"/>
  <c r="AR258" i="13"/>
  <c r="AZ258" i="13"/>
  <c r="AL260" i="13"/>
  <c r="AT260" i="13"/>
  <c r="BB260" i="13"/>
  <c r="AQ261" i="13"/>
  <c r="AY261" i="13"/>
  <c r="BE262" i="13"/>
  <c r="BM262" i="13"/>
  <c r="BU262" i="13"/>
  <c r="BG264" i="13"/>
  <c r="BO264" i="13"/>
  <c r="BW264" i="13"/>
  <c r="U265" i="13"/>
  <c r="W265" i="13" s="1"/>
  <c r="BL265" i="13"/>
  <c r="BT265" i="13"/>
  <c r="AA266" i="13"/>
  <c r="AC266" i="13" s="1"/>
  <c r="AJ266" i="13"/>
  <c r="AR266" i="13"/>
  <c r="AZ266" i="13"/>
  <c r="AL268" i="13"/>
  <c r="AT268" i="13"/>
  <c r="BB268" i="13"/>
  <c r="AQ269" i="13"/>
  <c r="AY269" i="13"/>
  <c r="AU271" i="13"/>
  <c r="AM271" i="13"/>
  <c r="AR271" i="13"/>
  <c r="BA271" i="13"/>
  <c r="AB272" i="13"/>
  <c r="BE272" i="13"/>
  <c r="BN272" i="13"/>
  <c r="BW272" i="13"/>
  <c r="U273" i="13"/>
  <c r="W273" i="13" s="1"/>
  <c r="AJ274" i="13"/>
  <c r="AS274" i="13"/>
  <c r="BS274" i="13"/>
  <c r="BK274" i="13"/>
  <c r="BM274" i="13"/>
  <c r="BV274" i="13"/>
  <c r="BE275" i="13"/>
  <c r="BN275" i="13"/>
  <c r="BW275" i="13"/>
  <c r="U276" i="13"/>
  <c r="W276" i="13" s="1"/>
  <c r="AJ277" i="13"/>
  <c r="AT277" i="13"/>
  <c r="BR277" i="13"/>
  <c r="BJ277" i="13"/>
  <c r="BM277" i="13"/>
  <c r="BV277" i="13"/>
  <c r="BH278" i="13"/>
  <c r="BQ278" i="13"/>
  <c r="AJ279" i="13"/>
  <c r="AT279" i="13"/>
  <c r="U280" i="13"/>
  <c r="W280" i="13" s="1"/>
  <c r="BQ280" i="13"/>
  <c r="BI280" i="13"/>
  <c r="BW280" i="13"/>
  <c r="BO280" i="13"/>
  <c r="BG280" i="13"/>
  <c r="BN280" i="13"/>
  <c r="BE283" i="13"/>
  <c r="BQ283" i="13"/>
  <c r="BH284" i="13"/>
  <c r="BR284" i="13"/>
  <c r="BG285" i="13"/>
  <c r="BS285" i="13"/>
  <c r="V289" i="13"/>
  <c r="AE289" i="13" s="1"/>
  <c r="AW289" i="13"/>
  <c r="AO289" i="13"/>
  <c r="AU289" i="13"/>
  <c r="AM289" i="13"/>
  <c r="AS289" i="13"/>
  <c r="BB290" i="13"/>
  <c r="AT290" i="13"/>
  <c r="AL290" i="13"/>
  <c r="AZ290" i="13"/>
  <c r="AR290" i="13"/>
  <c r="AJ290" i="13"/>
  <c r="AU290" i="13"/>
  <c r="AV292" i="13"/>
  <c r="AN292" i="13"/>
  <c r="BB292" i="13"/>
  <c r="AT292" i="13"/>
  <c r="AL292" i="13"/>
  <c r="AS292" i="13"/>
  <c r="BF292" i="13"/>
  <c r="BE293" i="13"/>
  <c r="BO293" i="13"/>
  <c r="AB296" i="13"/>
  <c r="AM296" i="13"/>
  <c r="AW296" i="13"/>
  <c r="BS298" i="13"/>
  <c r="BK298" i="13"/>
  <c r="BQ298" i="13"/>
  <c r="BI298" i="13"/>
  <c r="BN298" i="13"/>
  <c r="U302" i="13"/>
  <c r="W302" i="13" s="1"/>
  <c r="AX302" i="13"/>
  <c r="AP302" i="13"/>
  <c r="AV302" i="13"/>
  <c r="AN302" i="13"/>
  <c r="AS302" i="13"/>
  <c r="BW302" i="13"/>
  <c r="BO302" i="13"/>
  <c r="BG302" i="13"/>
  <c r="BU302" i="13"/>
  <c r="BM302" i="13"/>
  <c r="BE302" i="13"/>
  <c r="BP302" i="13"/>
  <c r="AA305" i="13"/>
  <c r="AC305" i="13" s="1"/>
  <c r="BJ310" i="13"/>
  <c r="BV310" i="13"/>
  <c r="AJ311" i="13"/>
  <c r="AX311" i="13"/>
  <c r="AB312" i="13"/>
  <c r="AE312" i="13" s="1"/>
  <c r="AA312" i="13"/>
  <c r="AC312" i="13" s="1"/>
  <c r="AN312" i="13"/>
  <c r="BB312" i="13"/>
  <c r="AU314" i="13"/>
  <c r="AM314" i="13"/>
  <c r="BB314" i="13"/>
  <c r="AT314" i="13"/>
  <c r="AL314" i="13"/>
  <c r="AZ314" i="13"/>
  <c r="AR314" i="13"/>
  <c r="AJ314" i="13"/>
  <c r="AW314" i="13"/>
  <c r="BJ315" i="13"/>
  <c r="BU315" i="13"/>
  <c r="AJ316" i="13"/>
  <c r="AZ316" i="13"/>
  <c r="V321" i="13"/>
  <c r="U321" i="13"/>
  <c r="W321" i="13" s="1"/>
  <c r="AQ324" i="13"/>
  <c r="AQ327" i="13"/>
  <c r="AO330" i="13"/>
  <c r="U334" i="13"/>
  <c r="W334" i="13" s="1"/>
  <c r="BQ339" i="13"/>
  <c r="BI339" i="13"/>
  <c r="BP339" i="13"/>
  <c r="BH339" i="13"/>
  <c r="BW339" i="13"/>
  <c r="BO339" i="13"/>
  <c r="BG339" i="13"/>
  <c r="BV339" i="13"/>
  <c r="BN339" i="13"/>
  <c r="BF339" i="13"/>
  <c r="BR339" i="13"/>
  <c r="BJ339" i="13"/>
  <c r="AS340" i="13"/>
  <c r="BM347" i="13"/>
  <c r="AJ351" i="13"/>
  <c r="V353" i="13"/>
  <c r="AE353" i="13" s="1"/>
  <c r="U353" i="13"/>
  <c r="W353" i="13" s="1"/>
  <c r="AX354" i="13"/>
  <c r="BS358" i="13"/>
  <c r="BM363" i="13"/>
  <c r="AX377" i="13"/>
  <c r="AP377" i="13"/>
  <c r="AV377" i="13"/>
  <c r="AN377" i="13"/>
  <c r="AY377" i="13"/>
  <c r="AM377" i="13"/>
  <c r="AW377" i="13"/>
  <c r="AL377" i="13"/>
  <c r="AU377" i="13"/>
  <c r="AK377" i="13"/>
  <c r="AT377" i="13"/>
  <c r="AJ377" i="13"/>
  <c r="BA377" i="13"/>
  <c r="AQ377" i="13"/>
  <c r="AZ377" i="13"/>
  <c r="AO377" i="13"/>
  <c r="AU379" i="13"/>
  <c r="AF380" i="13"/>
  <c r="BP390" i="13"/>
  <c r="BH390" i="13"/>
  <c r="BV390" i="13"/>
  <c r="BN390" i="13"/>
  <c r="BF390" i="13"/>
  <c r="BU390" i="13"/>
  <c r="BK390" i="13"/>
  <c r="BT390" i="13"/>
  <c r="BJ390" i="13"/>
  <c r="BS390" i="13"/>
  <c r="BI390" i="13"/>
  <c r="BR390" i="13"/>
  <c r="BG390" i="13"/>
  <c r="BQ390" i="13"/>
  <c r="BE390" i="13"/>
  <c r="BM390" i="13"/>
  <c r="BW390" i="13"/>
  <c r="BL390" i="13"/>
  <c r="BA433" i="13"/>
  <c r="AS433" i="13"/>
  <c r="AK433" i="13"/>
  <c r="AZ433" i="13"/>
  <c r="AR433" i="13"/>
  <c r="AJ433" i="13"/>
  <c r="AX433" i="13"/>
  <c r="AP433" i="13"/>
  <c r="AW433" i="13"/>
  <c r="AO433" i="13"/>
  <c r="AU433" i="13"/>
  <c r="AM433" i="13"/>
  <c r="BB433" i="13"/>
  <c r="AT433" i="13"/>
  <c r="AL433" i="13"/>
  <c r="AY433" i="13"/>
  <c r="AV433" i="13"/>
  <c r="AQ433" i="13"/>
  <c r="AN433" i="13"/>
  <c r="V447" i="13"/>
  <c r="AE447" i="13" s="1"/>
  <c r="U447" i="13"/>
  <c r="W447" i="13" s="1"/>
  <c r="AV456" i="13"/>
  <c r="AN456" i="13"/>
  <c r="AU456" i="13"/>
  <c r="AM456" i="13"/>
  <c r="BB456" i="13"/>
  <c r="AT456" i="13"/>
  <c r="AL456" i="13"/>
  <c r="BA456" i="13"/>
  <c r="AS456" i="13"/>
  <c r="AK456" i="13"/>
  <c r="AZ456" i="13"/>
  <c r="AR456" i="13"/>
  <c r="AJ456" i="13"/>
  <c r="AX456" i="13"/>
  <c r="AP456" i="13"/>
  <c r="AW456" i="13"/>
  <c r="AO456" i="13"/>
  <c r="AY456" i="13"/>
  <c r="AQ456" i="13"/>
  <c r="AY218" i="13"/>
  <c r="AQ266" i="13"/>
  <c r="BU292" i="13"/>
  <c r="BM292" i="13"/>
  <c r="BE292" i="13"/>
  <c r="BS292" i="13"/>
  <c r="BK292" i="13"/>
  <c r="AU346" i="13"/>
  <c r="AM346" i="13"/>
  <c r="BB346" i="13"/>
  <c r="AT346" i="13"/>
  <c r="AL346" i="13"/>
  <c r="BA346" i="13"/>
  <c r="AS346" i="13"/>
  <c r="AK346" i="13"/>
  <c r="AZ346" i="13"/>
  <c r="AR346" i="13"/>
  <c r="AJ346" i="13"/>
  <c r="AV346" i="13"/>
  <c r="AN346" i="13"/>
  <c r="BB939" i="13"/>
  <c r="AT939" i="13"/>
  <c r="AL939" i="13"/>
  <c r="BA939" i="13"/>
  <c r="AS939" i="13"/>
  <c r="AK939" i="13"/>
  <c r="AQ939" i="13"/>
  <c r="AZ939" i="13"/>
  <c r="AP939" i="13"/>
  <c r="AY939" i="13"/>
  <c r="AO939" i="13"/>
  <c r="AX939" i="13"/>
  <c r="AN939" i="13"/>
  <c r="AW939" i="13"/>
  <c r="AM939" i="13"/>
  <c r="AV939" i="13"/>
  <c r="AU939" i="13"/>
  <c r="AR939" i="13"/>
  <c r="AJ939" i="13"/>
  <c r="AT228" i="13"/>
  <c r="BO232" i="13"/>
  <c r="U233" i="13"/>
  <c r="W233" i="13" s="1"/>
  <c r="BL233" i="13"/>
  <c r="BT233" i="13"/>
  <c r="AA234" i="13"/>
  <c r="AC234" i="13" s="1"/>
  <c r="AL236" i="13"/>
  <c r="AT236" i="13"/>
  <c r="BB236" i="13"/>
  <c r="BE238" i="13"/>
  <c r="BM238" i="13"/>
  <c r="BU238" i="13"/>
  <c r="BO240" i="13"/>
  <c r="AJ242" i="13"/>
  <c r="AR242" i="13"/>
  <c r="AQ245" i="13"/>
  <c r="AY245" i="13"/>
  <c r="BM246" i="13"/>
  <c r="BU246" i="13"/>
  <c r="AB218" i="13"/>
  <c r="AE218" i="13" s="1"/>
  <c r="AS218" i="13"/>
  <c r="BA218" i="13"/>
  <c r="BJ218" i="13"/>
  <c r="BR218" i="13"/>
  <c r="BG219" i="13"/>
  <c r="BW219" i="13"/>
  <c r="U220" i="13"/>
  <c r="W220" i="13" s="1"/>
  <c r="AM220" i="13"/>
  <c r="BL220" i="13"/>
  <c r="BT220" i="13"/>
  <c r="AA221" i="13"/>
  <c r="AC221" i="13" s="1"/>
  <c r="AR221" i="13"/>
  <c r="AZ221" i="13"/>
  <c r="BF222" i="13"/>
  <c r="AL223" i="13"/>
  <c r="AT223" i="13"/>
  <c r="BB223" i="13"/>
  <c r="AQ224" i="13"/>
  <c r="BH224" i="13"/>
  <c r="BP224" i="13"/>
  <c r="V225" i="13"/>
  <c r="AE225" i="13" s="1"/>
  <c r="AK226" i="13"/>
  <c r="BG227" i="13"/>
  <c r="BO227" i="13"/>
  <c r="BW227" i="13"/>
  <c r="U228" i="13"/>
  <c r="W228" i="13" s="1"/>
  <c r="AM228" i="13"/>
  <c r="BL228" i="13"/>
  <c r="BT228" i="13"/>
  <c r="AA229" i="13"/>
  <c r="AC229" i="13" s="1"/>
  <c r="AJ229" i="13"/>
  <c r="AR229" i="13"/>
  <c r="AZ229" i="13"/>
  <c r="AO230" i="13"/>
  <c r="AW230" i="13"/>
  <c r="BF230" i="13"/>
  <c r="BN230" i="13"/>
  <c r="BV230" i="13"/>
  <c r="AL231" i="13"/>
  <c r="AT231" i="13"/>
  <c r="BB231" i="13"/>
  <c r="AQ232" i="13"/>
  <c r="AY232" i="13"/>
  <c r="BH232" i="13"/>
  <c r="BP232" i="13"/>
  <c r="BE233" i="13"/>
  <c r="BM233" i="13"/>
  <c r="BU233" i="13"/>
  <c r="AK234" i="13"/>
  <c r="AS234" i="13"/>
  <c r="BA234" i="13"/>
  <c r="BJ234" i="13"/>
  <c r="BR234" i="13"/>
  <c r="BG235" i="13"/>
  <c r="BO235" i="13"/>
  <c r="BW235" i="13"/>
  <c r="U236" i="13"/>
  <c r="W236" i="13" s="1"/>
  <c r="AM236" i="13"/>
  <c r="AU236" i="13"/>
  <c r="BL236" i="13"/>
  <c r="BT236" i="13"/>
  <c r="AA237" i="13"/>
  <c r="AC237" i="13" s="1"/>
  <c r="AJ237" i="13"/>
  <c r="AR237" i="13"/>
  <c r="AZ237" i="13"/>
  <c r="AO238" i="13"/>
  <c r="AW238" i="13"/>
  <c r="BF238" i="13"/>
  <c r="BN238" i="13"/>
  <c r="BV238" i="13"/>
  <c r="AL239" i="13"/>
  <c r="AT239" i="13"/>
  <c r="BB239" i="13"/>
  <c r="AQ240" i="13"/>
  <c r="AY240" i="13"/>
  <c r="BH240" i="13"/>
  <c r="BP240" i="13"/>
  <c r="V241" i="13"/>
  <c r="BE241" i="13"/>
  <c r="BM241" i="13"/>
  <c r="BU241" i="13"/>
  <c r="AB242" i="13"/>
  <c r="AE242" i="13" s="1"/>
  <c r="AK242" i="13"/>
  <c r="AS242" i="13"/>
  <c r="BA242" i="13"/>
  <c r="BJ242" i="13"/>
  <c r="BR242" i="13"/>
  <c r="BG243" i="13"/>
  <c r="BO243" i="13"/>
  <c r="BW243" i="13"/>
  <c r="U244" i="13"/>
  <c r="W244" i="13" s="1"/>
  <c r="AM244" i="13"/>
  <c r="AU244" i="13"/>
  <c r="BL244" i="13"/>
  <c r="BT244" i="13"/>
  <c r="AA245" i="13"/>
  <c r="AC245" i="13" s="1"/>
  <c r="AJ245" i="13"/>
  <c r="AR245" i="13"/>
  <c r="AZ245" i="13"/>
  <c r="AO246" i="13"/>
  <c r="AW246" i="13"/>
  <c r="BF246" i="13"/>
  <c r="BN246" i="13"/>
  <c r="BV246" i="13"/>
  <c r="AL247" i="13"/>
  <c r="AT247" i="13"/>
  <c r="BB247" i="13"/>
  <c r="AQ248" i="13"/>
  <c r="AY248" i="13"/>
  <c r="BH248" i="13"/>
  <c r="BP248" i="13"/>
  <c r="BE249" i="13"/>
  <c r="BM249" i="13"/>
  <c r="BU249" i="13"/>
  <c r="AK250" i="13"/>
  <c r="AS250" i="13"/>
  <c r="BA250" i="13"/>
  <c r="BJ250" i="13"/>
  <c r="BR250" i="13"/>
  <c r="BG251" i="13"/>
  <c r="BO251" i="13"/>
  <c r="BW251" i="13"/>
  <c r="U252" i="13"/>
  <c r="W252" i="13" s="1"/>
  <c r="AM252" i="13"/>
  <c r="AU252" i="13"/>
  <c r="BL252" i="13"/>
  <c r="BT252" i="13"/>
  <c r="AA253" i="13"/>
  <c r="AC253" i="13" s="1"/>
  <c r="AJ253" i="13"/>
  <c r="AR253" i="13"/>
  <c r="AZ253" i="13"/>
  <c r="AO254" i="13"/>
  <c r="AW254" i="13"/>
  <c r="BF254" i="13"/>
  <c r="BN254" i="13"/>
  <c r="BV254" i="13"/>
  <c r="AL255" i="13"/>
  <c r="AT255" i="13"/>
  <c r="BB255" i="13"/>
  <c r="AQ256" i="13"/>
  <c r="AY256" i="13"/>
  <c r="BH256" i="13"/>
  <c r="BP256" i="13"/>
  <c r="BE257" i="13"/>
  <c r="BM257" i="13"/>
  <c r="BU257" i="13"/>
  <c r="AK258" i="13"/>
  <c r="AS258" i="13"/>
  <c r="BA258" i="13"/>
  <c r="BJ258" i="13"/>
  <c r="BR258" i="13"/>
  <c r="BG259" i="13"/>
  <c r="BO259" i="13"/>
  <c r="BW259" i="13"/>
  <c r="U260" i="13"/>
  <c r="W260" i="13" s="1"/>
  <c r="AM260" i="13"/>
  <c r="AU260" i="13"/>
  <c r="BL260" i="13"/>
  <c r="BT260" i="13"/>
  <c r="AA261" i="13"/>
  <c r="AC261" i="13" s="1"/>
  <c r="AJ261" i="13"/>
  <c r="AR261" i="13"/>
  <c r="AZ261" i="13"/>
  <c r="AO262" i="13"/>
  <c r="AW262" i="13"/>
  <c r="BF262" i="13"/>
  <c r="BN262" i="13"/>
  <c r="BV262" i="13"/>
  <c r="AL263" i="13"/>
  <c r="AT263" i="13"/>
  <c r="BB263" i="13"/>
  <c r="AQ264" i="13"/>
  <c r="AY264" i="13"/>
  <c r="BH264" i="13"/>
  <c r="BP264" i="13"/>
  <c r="BE265" i="13"/>
  <c r="BM265" i="13"/>
  <c r="BU265" i="13"/>
  <c r="AK266" i="13"/>
  <c r="AS266" i="13"/>
  <c r="BA266" i="13"/>
  <c r="BJ266" i="13"/>
  <c r="BR266" i="13"/>
  <c r="BG267" i="13"/>
  <c r="BO267" i="13"/>
  <c r="BW267" i="13"/>
  <c r="U268" i="13"/>
  <c r="W268" i="13" s="1"/>
  <c r="AM268" i="13"/>
  <c r="AU268" i="13"/>
  <c r="BL268" i="13"/>
  <c r="BT268" i="13"/>
  <c r="AA269" i="13"/>
  <c r="AC269" i="13" s="1"/>
  <c r="AJ269" i="13"/>
  <c r="AR269" i="13"/>
  <c r="AZ269" i="13"/>
  <c r="AO270" i="13"/>
  <c r="AW270" i="13"/>
  <c r="BH270" i="13"/>
  <c r="BQ270" i="13"/>
  <c r="AJ271" i="13"/>
  <c r="AS271" i="13"/>
  <c r="BB271" i="13"/>
  <c r="AM272" i="13"/>
  <c r="AV272" i="13"/>
  <c r="BF272" i="13"/>
  <c r="BO272" i="13"/>
  <c r="AA274" i="13"/>
  <c r="AC274" i="13" s="1"/>
  <c r="AK274" i="13"/>
  <c r="AU274" i="13"/>
  <c r="BE274" i="13"/>
  <c r="BN274" i="13"/>
  <c r="BW274" i="13"/>
  <c r="U275" i="13"/>
  <c r="W275" i="13" s="1"/>
  <c r="BF275" i="13"/>
  <c r="AA277" i="13"/>
  <c r="AC277" i="13" s="1"/>
  <c r="AL277" i="13"/>
  <c r="AU277" i="13"/>
  <c r="BE277" i="13"/>
  <c r="BN277" i="13"/>
  <c r="BW277" i="13"/>
  <c r="U278" i="13"/>
  <c r="W278" i="13" s="1"/>
  <c r="AO278" i="13"/>
  <c r="AY278" i="13"/>
  <c r="BI278" i="13"/>
  <c r="BR278" i="13"/>
  <c r="AA279" i="13"/>
  <c r="AC279" i="13" s="1"/>
  <c r="AK279" i="13"/>
  <c r="AZ280" i="13"/>
  <c r="AR280" i="13"/>
  <c r="AJ280" i="13"/>
  <c r="AX280" i="13"/>
  <c r="AP280" i="13"/>
  <c r="AT280" i="13"/>
  <c r="BE280" i="13"/>
  <c r="BP280" i="13"/>
  <c r="AA281" i="13"/>
  <c r="AC281" i="13" s="1"/>
  <c r="AL281" i="13"/>
  <c r="AX281" i="13"/>
  <c r="AB282" i="13"/>
  <c r="AN282" i="13"/>
  <c r="AX282" i="13"/>
  <c r="BG283" i="13"/>
  <c r="BR283" i="13"/>
  <c r="AA284" i="13"/>
  <c r="AC284" i="13" s="1"/>
  <c r="AM284" i="13"/>
  <c r="AX284" i="13"/>
  <c r="BI284" i="13"/>
  <c r="BT284" i="13"/>
  <c r="BI285" i="13"/>
  <c r="BT285" i="13"/>
  <c r="V287" i="13"/>
  <c r="AE287" i="13" s="1"/>
  <c r="AQ288" i="13"/>
  <c r="BB288" i="13"/>
  <c r="AJ289" i="13"/>
  <c r="AT289" i="13"/>
  <c r="AK290" i="13"/>
  <c r="AV290" i="13"/>
  <c r="BG290" i="13"/>
  <c r="BR290" i="13"/>
  <c r="BP291" i="13"/>
  <c r="BH291" i="13"/>
  <c r="BV291" i="13"/>
  <c r="BN291" i="13"/>
  <c r="BF291" i="13"/>
  <c r="BO291" i="13"/>
  <c r="AJ292" i="13"/>
  <c r="AU292" i="13"/>
  <c r="BG292" i="13"/>
  <c r="BQ292" i="13"/>
  <c r="BF293" i="13"/>
  <c r="BQ293" i="13"/>
  <c r="AA294" i="13"/>
  <c r="AC294" i="13" s="1"/>
  <c r="AL294" i="13"/>
  <c r="AW294" i="13"/>
  <c r="BI294" i="13"/>
  <c r="BS294" i="13"/>
  <c r="AN296" i="13"/>
  <c r="AY296" i="13"/>
  <c r="BE298" i="13"/>
  <c r="BO298" i="13"/>
  <c r="BL299" i="13"/>
  <c r="BW299" i="13"/>
  <c r="BU300" i="13"/>
  <c r="BM300" i="13"/>
  <c r="BE300" i="13"/>
  <c r="BS300" i="13"/>
  <c r="BK300" i="13"/>
  <c r="BO300" i="13"/>
  <c r="BR301" i="13"/>
  <c r="BJ301" i="13"/>
  <c r="BP301" i="13"/>
  <c r="BH301" i="13"/>
  <c r="BN301" i="13"/>
  <c r="AJ302" i="13"/>
  <c r="AT302" i="13"/>
  <c r="BF302" i="13"/>
  <c r="BQ302" i="13"/>
  <c r="AA303" i="13"/>
  <c r="AC303" i="13" s="1"/>
  <c r="AN303" i="13"/>
  <c r="AX303" i="13"/>
  <c r="AB304" i="13"/>
  <c r="AA304" i="13"/>
  <c r="AC304" i="13" s="1"/>
  <c r="AN304" i="13"/>
  <c r="BB304" i="13"/>
  <c r="AU306" i="13"/>
  <c r="AM306" i="13"/>
  <c r="BB306" i="13"/>
  <c r="AT306" i="13"/>
  <c r="AL306" i="13"/>
  <c r="AZ306" i="13"/>
  <c r="AR306" i="13"/>
  <c r="AJ306" i="13"/>
  <c r="AW306" i="13"/>
  <c r="BJ307" i="13"/>
  <c r="BU307" i="13"/>
  <c r="AW308" i="13"/>
  <c r="AO308" i="13"/>
  <c r="AV308" i="13"/>
  <c r="AN308" i="13"/>
  <c r="BB308" i="13"/>
  <c r="AT308" i="13"/>
  <c r="AL308" i="13"/>
  <c r="AU308" i="13"/>
  <c r="BI308" i="13"/>
  <c r="BW308" i="13"/>
  <c r="BK310" i="13"/>
  <c r="AL311" i="13"/>
  <c r="AY311" i="13"/>
  <c r="AO312" i="13"/>
  <c r="BR312" i="13"/>
  <c r="BJ312" i="13"/>
  <c r="BQ312" i="13"/>
  <c r="BI312" i="13"/>
  <c r="BW312" i="13"/>
  <c r="BO312" i="13"/>
  <c r="BG312" i="13"/>
  <c r="BP312" i="13"/>
  <c r="AR313" i="13"/>
  <c r="AK314" i="13"/>
  <c r="AX314" i="13"/>
  <c r="U315" i="13"/>
  <c r="W315" i="13" s="1"/>
  <c r="BK315" i="13"/>
  <c r="BW315" i="13"/>
  <c r="AK316" i="13"/>
  <c r="BA316" i="13"/>
  <c r="BR318" i="13"/>
  <c r="AV319" i="13"/>
  <c r="AN319" i="13"/>
  <c r="AU319" i="13"/>
  <c r="AM319" i="13"/>
  <c r="BA319" i="13"/>
  <c r="AS319" i="13"/>
  <c r="AK319" i="13"/>
  <c r="AW319" i="13"/>
  <c r="AO319" i="13"/>
  <c r="AY319" i="13"/>
  <c r="BR320" i="13"/>
  <c r="BJ320" i="13"/>
  <c r="BQ320" i="13"/>
  <c r="BI320" i="13"/>
  <c r="BP320" i="13"/>
  <c r="BH320" i="13"/>
  <c r="BW320" i="13"/>
  <c r="BO320" i="13"/>
  <c r="BG320" i="13"/>
  <c r="BS320" i="13"/>
  <c r="BK320" i="13"/>
  <c r="BV320" i="13"/>
  <c r="AQ322" i="13"/>
  <c r="AR324" i="13"/>
  <c r="AR327" i="13"/>
  <c r="V329" i="13"/>
  <c r="AE329" i="13" s="1"/>
  <c r="U329" i="13"/>
  <c r="W329" i="13" s="1"/>
  <c r="AP330" i="13"/>
  <c r="BT331" i="13"/>
  <c r="AQ332" i="13"/>
  <c r="BT336" i="13"/>
  <c r="BE339" i="13"/>
  <c r="AA340" i="13"/>
  <c r="AC340" i="13" s="1"/>
  <c r="AY340" i="13"/>
  <c r="BP342" i="13"/>
  <c r="BH342" i="13"/>
  <c r="BW342" i="13"/>
  <c r="BO342" i="13"/>
  <c r="BG342" i="13"/>
  <c r="BV342" i="13"/>
  <c r="BN342" i="13"/>
  <c r="BF342" i="13"/>
  <c r="BU342" i="13"/>
  <c r="BM342" i="13"/>
  <c r="BE342" i="13"/>
  <c r="BQ342" i="13"/>
  <c r="BI342" i="13"/>
  <c r="AA343" i="13"/>
  <c r="AC343" i="13" s="1"/>
  <c r="AY343" i="13"/>
  <c r="V345" i="13"/>
  <c r="AE345" i="13" s="1"/>
  <c r="U345" i="13"/>
  <c r="W345" i="13" s="1"/>
  <c r="AP346" i="13"/>
  <c r="BT347" i="13"/>
  <c r="BP350" i="13"/>
  <c r="BH350" i="13"/>
  <c r="BW350" i="13"/>
  <c r="BO350" i="13"/>
  <c r="BG350" i="13"/>
  <c r="BV350" i="13"/>
  <c r="BN350" i="13"/>
  <c r="BF350" i="13"/>
  <c r="BU350" i="13"/>
  <c r="BM350" i="13"/>
  <c r="BE350" i="13"/>
  <c r="BR350" i="13"/>
  <c r="BJ350" i="13"/>
  <c r="BQ350" i="13"/>
  <c r="BI350" i="13"/>
  <c r="AY354" i="13"/>
  <c r="BQ355" i="13"/>
  <c r="BI355" i="13"/>
  <c r="BP355" i="13"/>
  <c r="BH355" i="13"/>
  <c r="BW355" i="13"/>
  <c r="BO355" i="13"/>
  <c r="BG355" i="13"/>
  <c r="BV355" i="13"/>
  <c r="BN355" i="13"/>
  <c r="BF355" i="13"/>
  <c r="BS355" i="13"/>
  <c r="BK355" i="13"/>
  <c r="BR355" i="13"/>
  <c r="BJ355" i="13"/>
  <c r="U358" i="13"/>
  <c r="W358" i="13" s="1"/>
  <c r="BT358" i="13"/>
  <c r="AU362" i="13"/>
  <c r="AM362" i="13"/>
  <c r="BB362" i="13"/>
  <c r="AT362" i="13"/>
  <c r="AL362" i="13"/>
  <c r="BA362" i="13"/>
  <c r="AS362" i="13"/>
  <c r="AK362" i="13"/>
  <c r="AZ362" i="13"/>
  <c r="AR362" i="13"/>
  <c r="AJ362" i="13"/>
  <c r="AW362" i="13"/>
  <c r="AO362" i="13"/>
  <c r="AV362" i="13"/>
  <c r="AN362" i="13"/>
  <c r="BT363" i="13"/>
  <c r="AB378" i="13"/>
  <c r="AA378" i="13"/>
  <c r="AC378" i="13" s="1"/>
  <c r="BO390" i="13"/>
  <c r="U420" i="13"/>
  <c r="W420" i="13" s="1"/>
  <c r="V420" i="13"/>
  <c r="BR551" i="13"/>
  <c r="BJ551" i="13"/>
  <c r="BQ551" i="13"/>
  <c r="BI551" i="13"/>
  <c r="BP551" i="13"/>
  <c r="BH551" i="13"/>
  <c r="BW551" i="13"/>
  <c r="BO551" i="13"/>
  <c r="BG551" i="13"/>
  <c r="BS551" i="13"/>
  <c r="BN551" i="13"/>
  <c r="BM551" i="13"/>
  <c r="BL551" i="13"/>
  <c r="BU551" i="13"/>
  <c r="BE551" i="13"/>
  <c r="BV551" i="13"/>
  <c r="BT551" i="13"/>
  <c r="BK551" i="13"/>
  <c r="BF551" i="13"/>
  <c r="AW555" i="13"/>
  <c r="AO555" i="13"/>
  <c r="AV555" i="13"/>
  <c r="AN555" i="13"/>
  <c r="AU555" i="13"/>
  <c r="AM555" i="13"/>
  <c r="BB555" i="13"/>
  <c r="AT555" i="13"/>
  <c r="AL555" i="13"/>
  <c r="AQ555" i="13"/>
  <c r="AP555" i="13"/>
  <c r="BA555" i="13"/>
  <c r="AK555" i="13"/>
  <c r="AZ555" i="13"/>
  <c r="AJ555" i="13"/>
  <c r="AS555" i="13"/>
  <c r="AY555" i="13"/>
  <c r="AX555" i="13"/>
  <c r="AR555" i="13"/>
  <c r="BT238" i="13"/>
  <c r="AQ242" i="13"/>
  <c r="AY242" i="13"/>
  <c r="BT246" i="13"/>
  <c r="BT254" i="13"/>
  <c r="BV272" i="13"/>
  <c r="BP275" i="13"/>
  <c r="BH275" i="13"/>
  <c r="BV275" i="13"/>
  <c r="AU279" i="13"/>
  <c r="AM279" i="13"/>
  <c r="BA279" i="13"/>
  <c r="AS279" i="13"/>
  <c r="AR279" i="13"/>
  <c r="AF297" i="13"/>
  <c r="AW311" i="13"/>
  <c r="AY316" i="13"/>
  <c r="AV351" i="13"/>
  <c r="AN351" i="13"/>
  <c r="AU351" i="13"/>
  <c r="AM351" i="13"/>
  <c r="BB351" i="13"/>
  <c r="AT351" i="13"/>
  <c r="AL351" i="13"/>
  <c r="BA351" i="13"/>
  <c r="AS351" i="13"/>
  <c r="AK351" i="13"/>
  <c r="AX351" i="13"/>
  <c r="AP351" i="13"/>
  <c r="AW351" i="13"/>
  <c r="AO351" i="13"/>
  <c r="AJ218" i="13"/>
  <c r="AR218" i="13"/>
  <c r="AZ218" i="13"/>
  <c r="BE222" i="13"/>
  <c r="BM222" i="13"/>
  <c r="BU222" i="13"/>
  <c r="BG224" i="13"/>
  <c r="BW224" i="13"/>
  <c r="BE230" i="13"/>
  <c r="BM230" i="13"/>
  <c r="BU230" i="13"/>
  <c r="BG232" i="13"/>
  <c r="BW232" i="13"/>
  <c r="AJ234" i="13"/>
  <c r="AR234" i="13"/>
  <c r="AZ234" i="13"/>
  <c r="AQ237" i="13"/>
  <c r="AY237" i="13"/>
  <c r="BG240" i="13"/>
  <c r="BW240" i="13"/>
  <c r="BL241" i="13"/>
  <c r="BT241" i="13"/>
  <c r="AZ242" i="13"/>
  <c r="AK218" i="13"/>
  <c r="BO219" i="13"/>
  <c r="AU220" i="13"/>
  <c r="AJ221" i="13"/>
  <c r="AO222" i="13"/>
  <c r="AW222" i="13"/>
  <c r="BN222" i="13"/>
  <c r="BV222" i="13"/>
  <c r="AY224" i="13"/>
  <c r="BE225" i="13"/>
  <c r="BM225" i="13"/>
  <c r="BU225" i="13"/>
  <c r="AB226" i="13"/>
  <c r="AE226" i="13" s="1"/>
  <c r="AS226" i="13"/>
  <c r="BA226" i="13"/>
  <c r="BJ226" i="13"/>
  <c r="BR226" i="13"/>
  <c r="AU228" i="13"/>
  <c r="AL218" i="13"/>
  <c r="AT218" i="13"/>
  <c r="BB218" i="13"/>
  <c r="BK218" i="13"/>
  <c r="BS218" i="13"/>
  <c r="AQ219" i="13"/>
  <c r="AY219" i="13"/>
  <c r="BH219" i="13"/>
  <c r="BP219" i="13"/>
  <c r="AN220" i="13"/>
  <c r="AV220" i="13"/>
  <c r="BE220" i="13"/>
  <c r="BM220" i="13"/>
  <c r="BU220" i="13"/>
  <c r="AK221" i="13"/>
  <c r="AS221" i="13"/>
  <c r="BA221" i="13"/>
  <c r="AP222" i="13"/>
  <c r="AX222" i="13"/>
  <c r="BG222" i="13"/>
  <c r="BO222" i="13"/>
  <c r="BW222" i="13"/>
  <c r="AM223" i="13"/>
  <c r="AU223" i="13"/>
  <c r="BL223" i="13"/>
  <c r="BT223" i="13"/>
  <c r="AJ224" i="13"/>
  <c r="AR224" i="13"/>
  <c r="AZ224" i="13"/>
  <c r="BI224" i="13"/>
  <c r="BQ224" i="13"/>
  <c r="BF225" i="13"/>
  <c r="BN225" i="13"/>
  <c r="BV225" i="13"/>
  <c r="AL226" i="13"/>
  <c r="AT226" i="13"/>
  <c r="BB226" i="13"/>
  <c r="BK226" i="13"/>
  <c r="BS226" i="13"/>
  <c r="AQ227" i="13"/>
  <c r="AY227" i="13"/>
  <c r="BH227" i="13"/>
  <c r="BP227" i="13"/>
  <c r="AN228" i="13"/>
  <c r="AV228" i="13"/>
  <c r="BE228" i="13"/>
  <c r="BM228" i="13"/>
  <c r="BU228" i="13"/>
  <c r="AK229" i="13"/>
  <c r="AS229" i="13"/>
  <c r="BA229" i="13"/>
  <c r="AP230" i="13"/>
  <c r="AX230" i="13"/>
  <c r="BG230" i="13"/>
  <c r="BO230" i="13"/>
  <c r="BW230" i="13"/>
  <c r="AM231" i="13"/>
  <c r="AU231" i="13"/>
  <c r="BL231" i="13"/>
  <c r="BT231" i="13"/>
  <c r="AJ232" i="13"/>
  <c r="AR232" i="13"/>
  <c r="AZ232" i="13"/>
  <c r="BI232" i="13"/>
  <c r="BQ232" i="13"/>
  <c r="BF233" i="13"/>
  <c r="BN233" i="13"/>
  <c r="BV233" i="13"/>
  <c r="AL234" i="13"/>
  <c r="AT234" i="13"/>
  <c r="BB234" i="13"/>
  <c r="BK234" i="13"/>
  <c r="BS234" i="13"/>
  <c r="AQ235" i="13"/>
  <c r="AY235" i="13"/>
  <c r="BH235" i="13"/>
  <c r="BP235" i="13"/>
  <c r="AN236" i="13"/>
  <c r="AV236" i="13"/>
  <c r="BE236" i="13"/>
  <c r="BM236" i="13"/>
  <c r="BU236" i="13"/>
  <c r="AK237" i="13"/>
  <c r="AS237" i="13"/>
  <c r="BA237" i="13"/>
  <c r="AP238" i="13"/>
  <c r="AX238" i="13"/>
  <c r="BG238" i="13"/>
  <c r="BO238" i="13"/>
  <c r="BW238" i="13"/>
  <c r="AM239" i="13"/>
  <c r="AU239" i="13"/>
  <c r="BL239" i="13"/>
  <c r="BT239" i="13"/>
  <c r="AJ240" i="13"/>
  <c r="AR240" i="13"/>
  <c r="AZ240" i="13"/>
  <c r="BI240" i="13"/>
  <c r="BQ240" i="13"/>
  <c r="BF241" i="13"/>
  <c r="BN241" i="13"/>
  <c r="BV241" i="13"/>
  <c r="AL242" i="13"/>
  <c r="AT242" i="13"/>
  <c r="BB242" i="13"/>
  <c r="BK242" i="13"/>
  <c r="BS242" i="13"/>
  <c r="AQ243" i="13"/>
  <c r="AY243" i="13"/>
  <c r="BH243" i="13"/>
  <c r="BP243" i="13"/>
  <c r="AN244" i="13"/>
  <c r="AV244" i="13"/>
  <c r="BE244" i="13"/>
  <c r="BM244" i="13"/>
  <c r="BU244" i="13"/>
  <c r="AK245" i="13"/>
  <c r="AS245" i="13"/>
  <c r="BA245" i="13"/>
  <c r="AP246" i="13"/>
  <c r="AX246" i="13"/>
  <c r="BG246" i="13"/>
  <c r="BO246" i="13"/>
  <c r="BW246" i="13"/>
  <c r="AM247" i="13"/>
  <c r="AU247" i="13"/>
  <c r="BL247" i="13"/>
  <c r="BT247" i="13"/>
  <c r="AJ248" i="13"/>
  <c r="AR248" i="13"/>
  <c r="AZ248" i="13"/>
  <c r="BI248" i="13"/>
  <c r="BQ248" i="13"/>
  <c r="BF249" i="13"/>
  <c r="BN249" i="13"/>
  <c r="BV249" i="13"/>
  <c r="AL250" i="13"/>
  <c r="AT250" i="13"/>
  <c r="BB250" i="13"/>
  <c r="BK250" i="13"/>
  <c r="BS250" i="13"/>
  <c r="AQ251" i="13"/>
  <c r="AY251" i="13"/>
  <c r="BH251" i="13"/>
  <c r="BP251" i="13"/>
  <c r="AN252" i="13"/>
  <c r="AV252" i="13"/>
  <c r="BE252" i="13"/>
  <c r="BM252" i="13"/>
  <c r="BU252" i="13"/>
  <c r="AK253" i="13"/>
  <c r="AS253" i="13"/>
  <c r="BA253" i="13"/>
  <c r="AP254" i="13"/>
  <c r="AX254" i="13"/>
  <c r="BG254" i="13"/>
  <c r="BO254" i="13"/>
  <c r="BW254" i="13"/>
  <c r="AM255" i="13"/>
  <c r="AU255" i="13"/>
  <c r="BL255" i="13"/>
  <c r="BT255" i="13"/>
  <c r="AJ256" i="13"/>
  <c r="AR256" i="13"/>
  <c r="AZ256" i="13"/>
  <c r="BI256" i="13"/>
  <c r="BQ256" i="13"/>
  <c r="BF257" i="13"/>
  <c r="BN257" i="13"/>
  <c r="BV257" i="13"/>
  <c r="AL258" i="13"/>
  <c r="AT258" i="13"/>
  <c r="BB258" i="13"/>
  <c r="BK258" i="13"/>
  <c r="BS258" i="13"/>
  <c r="AQ259" i="13"/>
  <c r="AY259" i="13"/>
  <c r="BH259" i="13"/>
  <c r="BP259" i="13"/>
  <c r="AN260" i="13"/>
  <c r="AV260" i="13"/>
  <c r="BE260" i="13"/>
  <c r="BM260" i="13"/>
  <c r="BU260" i="13"/>
  <c r="AK261" i="13"/>
  <c r="AS261" i="13"/>
  <c r="BA261" i="13"/>
  <c r="AP262" i="13"/>
  <c r="AX262" i="13"/>
  <c r="BG262" i="13"/>
  <c r="BO262" i="13"/>
  <c r="BW262" i="13"/>
  <c r="AM263" i="13"/>
  <c r="AU263" i="13"/>
  <c r="BL263" i="13"/>
  <c r="BT263" i="13"/>
  <c r="AJ264" i="13"/>
  <c r="AR264" i="13"/>
  <c r="AZ264" i="13"/>
  <c r="BI264" i="13"/>
  <c r="BQ264" i="13"/>
  <c r="BF265" i="13"/>
  <c r="BN265" i="13"/>
  <c r="BV265" i="13"/>
  <c r="AL266" i="13"/>
  <c r="AT266" i="13"/>
  <c r="BB266" i="13"/>
  <c r="BK266" i="13"/>
  <c r="BS266" i="13"/>
  <c r="AQ267" i="13"/>
  <c r="AY267" i="13"/>
  <c r="BH267" i="13"/>
  <c r="BP267" i="13"/>
  <c r="AN268" i="13"/>
  <c r="AV268" i="13"/>
  <c r="BE268" i="13"/>
  <c r="BM268" i="13"/>
  <c r="BU268" i="13"/>
  <c r="AK269" i="13"/>
  <c r="AS269" i="13"/>
  <c r="BA269" i="13"/>
  <c r="AP270" i="13"/>
  <c r="AY270" i="13"/>
  <c r="BI270" i="13"/>
  <c r="BR270" i="13"/>
  <c r="AK271" i="13"/>
  <c r="AT271" i="13"/>
  <c r="AN272" i="13"/>
  <c r="AW272" i="13"/>
  <c r="BG272" i="13"/>
  <c r="BP272" i="13"/>
  <c r="AW273" i="13"/>
  <c r="AO273" i="13"/>
  <c r="AR273" i="13"/>
  <c r="BA273" i="13"/>
  <c r="AM274" i="13"/>
  <c r="AV274" i="13"/>
  <c r="BF274" i="13"/>
  <c r="BO274" i="13"/>
  <c r="BG275" i="13"/>
  <c r="BQ275" i="13"/>
  <c r="AV276" i="13"/>
  <c r="AN276" i="13"/>
  <c r="AR276" i="13"/>
  <c r="BA276" i="13"/>
  <c r="AM277" i="13"/>
  <c r="AV277" i="13"/>
  <c r="BF277" i="13"/>
  <c r="BO277" i="13"/>
  <c r="AQ278" i="13"/>
  <c r="BJ278" i="13"/>
  <c r="BS278" i="13"/>
  <c r="AL279" i="13"/>
  <c r="AW279" i="13"/>
  <c r="AK280" i="13"/>
  <c r="AU280" i="13"/>
  <c r="BF280" i="13"/>
  <c r="BR280" i="13"/>
  <c r="AN281" i="13"/>
  <c r="AY281" i="13"/>
  <c r="AO282" i="13"/>
  <c r="AY282" i="13"/>
  <c r="BI283" i="13"/>
  <c r="AO284" i="13"/>
  <c r="AY284" i="13"/>
  <c r="BJ284" i="13"/>
  <c r="BV284" i="13"/>
  <c r="BK285" i="13"/>
  <c r="BU285" i="13"/>
  <c r="AU287" i="13"/>
  <c r="AM287" i="13"/>
  <c r="BA287" i="13"/>
  <c r="AS287" i="13"/>
  <c r="AK287" i="13"/>
  <c r="AT287" i="13"/>
  <c r="BQ288" i="13"/>
  <c r="BI288" i="13"/>
  <c r="BW288" i="13"/>
  <c r="BO288" i="13"/>
  <c r="BG288" i="13"/>
  <c r="BN288" i="13"/>
  <c r="AK289" i="13"/>
  <c r="AV289" i="13"/>
  <c r="AM290" i="13"/>
  <c r="AW290" i="13"/>
  <c r="BH290" i="13"/>
  <c r="BT290" i="13"/>
  <c r="BE291" i="13"/>
  <c r="BQ291" i="13"/>
  <c r="AK292" i="13"/>
  <c r="AW292" i="13"/>
  <c r="BH292" i="13"/>
  <c r="BR292" i="13"/>
  <c r="BG293" i="13"/>
  <c r="BS293" i="13"/>
  <c r="AM294" i="13"/>
  <c r="AY294" i="13"/>
  <c r="BJ294" i="13"/>
  <c r="BT294" i="13"/>
  <c r="AO296" i="13"/>
  <c r="BA296" i="13"/>
  <c r="V297" i="13"/>
  <c r="AW297" i="13"/>
  <c r="AO297" i="13"/>
  <c r="AU297" i="13"/>
  <c r="AM297" i="13"/>
  <c r="AS297" i="13"/>
  <c r="BB298" i="13"/>
  <c r="AT298" i="13"/>
  <c r="AL298" i="13"/>
  <c r="AZ298" i="13"/>
  <c r="AR298" i="13"/>
  <c r="AJ298" i="13"/>
  <c r="AU298" i="13"/>
  <c r="BF298" i="13"/>
  <c r="BP298" i="13"/>
  <c r="AV300" i="13"/>
  <c r="AN300" i="13"/>
  <c r="BB300" i="13"/>
  <c r="AT300" i="13"/>
  <c r="AL300" i="13"/>
  <c r="AS300" i="13"/>
  <c r="BF300" i="13"/>
  <c r="BP300" i="13"/>
  <c r="BE301" i="13"/>
  <c r="BO301" i="13"/>
  <c r="AK302" i="13"/>
  <c r="AU302" i="13"/>
  <c r="BH302" i="13"/>
  <c r="BR302" i="13"/>
  <c r="AO303" i="13"/>
  <c r="AY303" i="13"/>
  <c r="AO304" i="13"/>
  <c r="BR304" i="13"/>
  <c r="BJ304" i="13"/>
  <c r="BQ304" i="13"/>
  <c r="BI304" i="13"/>
  <c r="BW304" i="13"/>
  <c r="BO304" i="13"/>
  <c r="BG304" i="13"/>
  <c r="BP304" i="13"/>
  <c r="AK306" i="13"/>
  <c r="AX306" i="13"/>
  <c r="BK307" i="13"/>
  <c r="BW307" i="13"/>
  <c r="AJ308" i="13"/>
  <c r="AX308" i="13"/>
  <c r="BJ308" i="13"/>
  <c r="BS309" i="13"/>
  <c r="BK309" i="13"/>
  <c r="BR309" i="13"/>
  <c r="BJ309" i="13"/>
  <c r="BP309" i="13"/>
  <c r="BH309" i="13"/>
  <c r="BO309" i="13"/>
  <c r="BL310" i="13"/>
  <c r="AO311" i="13"/>
  <c r="AZ311" i="13"/>
  <c r="AQ312" i="13"/>
  <c r="BE312" i="13"/>
  <c r="BS312" i="13"/>
  <c r="AN314" i="13"/>
  <c r="AY314" i="13"/>
  <c r="BL315" i="13"/>
  <c r="AM316" i="13"/>
  <c r="BV316" i="13"/>
  <c r="BN316" i="13"/>
  <c r="BF316" i="13"/>
  <c r="BU316" i="13"/>
  <c r="BM316" i="13"/>
  <c r="BE316" i="13"/>
  <c r="BS316" i="13"/>
  <c r="BK316" i="13"/>
  <c r="BW316" i="13"/>
  <c r="BO316" i="13"/>
  <c r="BG316" i="13"/>
  <c r="BT316" i="13"/>
  <c r="AJ319" i="13"/>
  <c r="AZ319" i="13"/>
  <c r="BE320" i="13"/>
  <c r="AW322" i="13"/>
  <c r="BQ323" i="13"/>
  <c r="BI323" i="13"/>
  <c r="BP323" i="13"/>
  <c r="BH323" i="13"/>
  <c r="BW323" i="13"/>
  <c r="BO323" i="13"/>
  <c r="BG323" i="13"/>
  <c r="BV323" i="13"/>
  <c r="BN323" i="13"/>
  <c r="BF323" i="13"/>
  <c r="BR323" i="13"/>
  <c r="BJ323" i="13"/>
  <c r="AS324" i="13"/>
  <c r="AE326" i="13"/>
  <c r="AE327" i="13"/>
  <c r="AX327" i="13"/>
  <c r="BR328" i="13"/>
  <c r="BJ328" i="13"/>
  <c r="BQ328" i="13"/>
  <c r="BI328" i="13"/>
  <c r="BP328" i="13"/>
  <c r="BH328" i="13"/>
  <c r="BW328" i="13"/>
  <c r="BO328" i="13"/>
  <c r="BG328" i="13"/>
  <c r="BS328" i="13"/>
  <c r="BK328" i="13"/>
  <c r="BV328" i="13"/>
  <c r="AQ330" i="13"/>
  <c r="AR332" i="13"/>
  <c r="AR335" i="13"/>
  <c r="V337" i="13"/>
  <c r="AE337" i="13" s="1"/>
  <c r="U337" i="13"/>
  <c r="W337" i="13" s="1"/>
  <c r="AU338" i="13"/>
  <c r="AM338" i="13"/>
  <c r="BB338" i="13"/>
  <c r="AT338" i="13"/>
  <c r="AL338" i="13"/>
  <c r="BA338" i="13"/>
  <c r="AS338" i="13"/>
  <c r="AK338" i="13"/>
  <c r="AZ338" i="13"/>
  <c r="AR338" i="13"/>
  <c r="AJ338" i="13"/>
  <c r="AV338" i="13"/>
  <c r="AN338" i="13"/>
  <c r="BK339" i="13"/>
  <c r="BJ342" i="13"/>
  <c r="BR344" i="13"/>
  <c r="BJ344" i="13"/>
  <c r="BQ344" i="13"/>
  <c r="BI344" i="13"/>
  <c r="BP344" i="13"/>
  <c r="BH344" i="13"/>
  <c r="BW344" i="13"/>
  <c r="BO344" i="13"/>
  <c r="BG344" i="13"/>
  <c r="BS344" i="13"/>
  <c r="BK344" i="13"/>
  <c r="BV344" i="13"/>
  <c r="AQ346" i="13"/>
  <c r="BU347" i="13"/>
  <c r="BK350" i="13"/>
  <c r="AR351" i="13"/>
  <c r="BE355" i="13"/>
  <c r="AA359" i="13"/>
  <c r="AC359" i="13" s="1"/>
  <c r="AP362" i="13"/>
  <c r="BU363" i="13"/>
  <c r="BS365" i="13"/>
  <c r="BK365" i="13"/>
  <c r="BR365" i="13"/>
  <c r="BI365" i="13"/>
  <c r="BQ365" i="13"/>
  <c r="BH365" i="13"/>
  <c r="BP365" i="13"/>
  <c r="BG365" i="13"/>
  <c r="BO365" i="13"/>
  <c r="BF365" i="13"/>
  <c r="BU365" i="13"/>
  <c r="BL365" i="13"/>
  <c r="BT365" i="13"/>
  <c r="BJ365" i="13"/>
  <c r="V409" i="13"/>
  <c r="U409" i="13"/>
  <c r="W409" i="13" s="1"/>
  <c r="BQ436" i="13"/>
  <c r="BI436" i="13"/>
  <c r="BP436" i="13"/>
  <c r="BH436" i="13"/>
  <c r="BW436" i="13"/>
  <c r="BO436" i="13"/>
  <c r="BG436" i="13"/>
  <c r="BV436" i="13"/>
  <c r="BN436" i="13"/>
  <c r="BF436" i="13"/>
  <c r="BU436" i="13"/>
  <c r="BM436" i="13"/>
  <c r="BE436" i="13"/>
  <c r="BS436" i="13"/>
  <c r="BK436" i="13"/>
  <c r="BR436" i="13"/>
  <c r="BJ436" i="13"/>
  <c r="BT436" i="13"/>
  <c r="BL436" i="13"/>
  <c r="BL222" i="13"/>
  <c r="AY226" i="13"/>
  <c r="AY258" i="13"/>
  <c r="AR274" i="13"/>
  <c r="BA274" i="13"/>
  <c r="BP283" i="13"/>
  <c r="BH283" i="13"/>
  <c r="BV283" i="13"/>
  <c r="BN283" i="13"/>
  <c r="BF283" i="13"/>
  <c r="AB362" i="13"/>
  <c r="AE362" i="13" s="1"/>
  <c r="AA362" i="13"/>
  <c r="AC362" i="13" s="1"/>
  <c r="AB448" i="13"/>
  <c r="AE448" i="13" s="1"/>
  <c r="AA448" i="13"/>
  <c r="AC448" i="13" s="1"/>
  <c r="AL220" i="13"/>
  <c r="AT220" i="13"/>
  <c r="BB220" i="13"/>
  <c r="AQ221" i="13"/>
  <c r="AY221" i="13"/>
  <c r="BO224" i="13"/>
  <c r="BT225" i="13"/>
  <c r="AJ226" i="13"/>
  <c r="AQ229" i="13"/>
  <c r="AY229" i="13"/>
  <c r="BT218" i="13"/>
  <c r="BI219" i="13"/>
  <c r="BQ219" i="13"/>
  <c r="AT221" i="13"/>
  <c r="BB221" i="13"/>
  <c r="AY222" i="13"/>
  <c r="BH222" i="13"/>
  <c r="BP222" i="13"/>
  <c r="AN223" i="13"/>
  <c r="AV223" i="13"/>
  <c r="BJ224" i="13"/>
  <c r="BR224" i="13"/>
  <c r="BG225" i="13"/>
  <c r="BW225" i="13"/>
  <c r="AM226" i="13"/>
  <c r="BI227" i="13"/>
  <c r="BQ227" i="13"/>
  <c r="BJ232" i="13"/>
  <c r="BR232" i="13"/>
  <c r="BO233" i="13"/>
  <c r="AU234" i="13"/>
  <c r="BL234" i="13"/>
  <c r="AO236" i="13"/>
  <c r="AW236" i="13"/>
  <c r="AL237" i="13"/>
  <c r="BB237" i="13"/>
  <c r="BG241" i="13"/>
  <c r="AT245" i="13"/>
  <c r="BB245" i="13"/>
  <c r="AY246" i="13"/>
  <c r="BH246" i="13"/>
  <c r="BP246" i="13"/>
  <c r="BG249" i="13"/>
  <c r="BL250" i="13"/>
  <c r="BT250" i="13"/>
  <c r="AO252" i="13"/>
  <c r="AW252" i="13"/>
  <c r="AL253" i="13"/>
  <c r="BB253" i="13"/>
  <c r="BJ256" i="13"/>
  <c r="BR256" i="13"/>
  <c r="BG257" i="13"/>
  <c r="BO257" i="13"/>
  <c r="BW257" i="13"/>
  <c r="AM258" i="13"/>
  <c r="AU258" i="13"/>
  <c r="BL258" i="13"/>
  <c r="BT258" i="13"/>
  <c r="AO260" i="13"/>
  <c r="AW260" i="13"/>
  <c r="AL261" i="13"/>
  <c r="AT261" i="13"/>
  <c r="BB261" i="13"/>
  <c r="AQ262" i="13"/>
  <c r="AY262" i="13"/>
  <c r="BH262" i="13"/>
  <c r="BP262" i="13"/>
  <c r="BJ264" i="13"/>
  <c r="BR264" i="13"/>
  <c r="BG265" i="13"/>
  <c r="BO265" i="13"/>
  <c r="BW265" i="13"/>
  <c r="AM266" i="13"/>
  <c r="AU266" i="13"/>
  <c r="BL266" i="13"/>
  <c r="BT266" i="13"/>
  <c r="AO268" i="13"/>
  <c r="AW268" i="13"/>
  <c r="AL269" i="13"/>
  <c r="AT269" i="13"/>
  <c r="BB269" i="13"/>
  <c r="AQ270" i="13"/>
  <c r="AZ270" i="13"/>
  <c r="AL271" i="13"/>
  <c r="AV271" i="13"/>
  <c r="BH272" i="13"/>
  <c r="BR272" i="13"/>
  <c r="AN274" i="13"/>
  <c r="BG274" i="13"/>
  <c r="BP274" i="13"/>
  <c r="BI275" i="13"/>
  <c r="BR275" i="13"/>
  <c r="AN277" i="13"/>
  <c r="AW277" i="13"/>
  <c r="BG277" i="13"/>
  <c r="BP277" i="13"/>
  <c r="AX278" i="13"/>
  <c r="AP278" i="13"/>
  <c r="AR278" i="13"/>
  <c r="BA278" i="13"/>
  <c r="BK278" i="13"/>
  <c r="BT278" i="13"/>
  <c r="AN279" i="13"/>
  <c r="AX279" i="13"/>
  <c r="BH280" i="13"/>
  <c r="BS280" i="13"/>
  <c r="BJ283" i="13"/>
  <c r="BT283" i="13"/>
  <c r="BL284" i="13"/>
  <c r="BW284" i="13"/>
  <c r="BL285" i="13"/>
  <c r="BV285" i="13"/>
  <c r="AZ288" i="13"/>
  <c r="AR288" i="13"/>
  <c r="AJ288" i="13"/>
  <c r="AX288" i="13"/>
  <c r="AP288" i="13"/>
  <c r="AT288" i="13"/>
  <c r="AL289" i="13"/>
  <c r="AX289" i="13"/>
  <c r="AN290" i="13"/>
  <c r="AX290" i="13"/>
  <c r="AM292" i="13"/>
  <c r="AX292" i="13"/>
  <c r="BI292" i="13"/>
  <c r="BT292" i="13"/>
  <c r="BI293" i="13"/>
  <c r="BT293" i="13"/>
  <c r="AQ296" i="13"/>
  <c r="BB296" i="13"/>
  <c r="BG298" i="13"/>
  <c r="BR298" i="13"/>
  <c r="BP299" i="13"/>
  <c r="BH299" i="13"/>
  <c r="BV299" i="13"/>
  <c r="BN299" i="13"/>
  <c r="BF299" i="13"/>
  <c r="BO299" i="13"/>
  <c r="AL302" i="13"/>
  <c r="AW302" i="13"/>
  <c r="BI302" i="13"/>
  <c r="BS302" i="13"/>
  <c r="BN310" i="13"/>
  <c r="AP311" i="13"/>
  <c r="BB311" i="13"/>
  <c r="AT312" i="13"/>
  <c r="AX313" i="13"/>
  <c r="AP313" i="13"/>
  <c r="AW313" i="13"/>
  <c r="AO313" i="13"/>
  <c r="AU313" i="13"/>
  <c r="AM313" i="13"/>
  <c r="AT313" i="13"/>
  <c r="AO314" i="13"/>
  <c r="BA314" i="13"/>
  <c r="BM315" i="13"/>
  <c r="AQ316" i="13"/>
  <c r="BP318" i="13"/>
  <c r="BH318" i="13"/>
  <c r="BW318" i="13"/>
  <c r="BO318" i="13"/>
  <c r="BG318" i="13"/>
  <c r="BU318" i="13"/>
  <c r="BM318" i="13"/>
  <c r="BE318" i="13"/>
  <c r="BQ318" i="13"/>
  <c r="BI318" i="13"/>
  <c r="BT318" i="13"/>
  <c r="V319" i="13"/>
  <c r="AE319" i="13" s="1"/>
  <c r="U319" i="13"/>
  <c r="W319" i="13" s="1"/>
  <c r="AB322" i="13"/>
  <c r="AE322" i="13" s="1"/>
  <c r="AA322" i="13"/>
  <c r="AC322" i="13" s="1"/>
  <c r="AX322" i="13"/>
  <c r="AY324" i="13"/>
  <c r="BP326" i="13"/>
  <c r="BH326" i="13"/>
  <c r="BW326" i="13"/>
  <c r="BO326" i="13"/>
  <c r="BG326" i="13"/>
  <c r="BV326" i="13"/>
  <c r="BN326" i="13"/>
  <c r="BF326" i="13"/>
  <c r="BU326" i="13"/>
  <c r="BM326" i="13"/>
  <c r="BE326" i="13"/>
  <c r="BQ326" i="13"/>
  <c r="BI326" i="13"/>
  <c r="AY327" i="13"/>
  <c r="AW330" i="13"/>
  <c r="BQ331" i="13"/>
  <c r="BI331" i="13"/>
  <c r="BP331" i="13"/>
  <c r="BH331" i="13"/>
  <c r="BW331" i="13"/>
  <c r="BO331" i="13"/>
  <c r="BG331" i="13"/>
  <c r="BV331" i="13"/>
  <c r="BN331" i="13"/>
  <c r="BF331" i="13"/>
  <c r="BR331" i="13"/>
  <c r="BJ331" i="13"/>
  <c r="BR336" i="13"/>
  <c r="BJ336" i="13"/>
  <c r="BQ336" i="13"/>
  <c r="BI336" i="13"/>
  <c r="BP336" i="13"/>
  <c r="BH336" i="13"/>
  <c r="BW336" i="13"/>
  <c r="BO336" i="13"/>
  <c r="BG336" i="13"/>
  <c r="BS336" i="13"/>
  <c r="BK336" i="13"/>
  <c r="BV336" i="13"/>
  <c r="AF339" i="13"/>
  <c r="AW340" i="13"/>
  <c r="AO340" i="13"/>
  <c r="AV340" i="13"/>
  <c r="AN340" i="13"/>
  <c r="AU340" i="13"/>
  <c r="AM340" i="13"/>
  <c r="BB340" i="13"/>
  <c r="AT340" i="13"/>
  <c r="AL340" i="13"/>
  <c r="AX340" i="13"/>
  <c r="AP340" i="13"/>
  <c r="BA340" i="13"/>
  <c r="AV343" i="13"/>
  <c r="AN343" i="13"/>
  <c r="AU343" i="13"/>
  <c r="AM343" i="13"/>
  <c r="BB343" i="13"/>
  <c r="AT343" i="13"/>
  <c r="AL343" i="13"/>
  <c r="BA343" i="13"/>
  <c r="AS343" i="13"/>
  <c r="AK343" i="13"/>
  <c r="AW343" i="13"/>
  <c r="AO343" i="13"/>
  <c r="AW346" i="13"/>
  <c r="AY351" i="13"/>
  <c r="AB354" i="13"/>
  <c r="AE354" i="13" s="1"/>
  <c r="AA354" i="13"/>
  <c r="AC354" i="13" s="1"/>
  <c r="AV359" i="13"/>
  <c r="AN359" i="13"/>
  <c r="AU359" i="13"/>
  <c r="AM359" i="13"/>
  <c r="BB359" i="13"/>
  <c r="AT359" i="13"/>
  <c r="AL359" i="13"/>
  <c r="BA359" i="13"/>
  <c r="AS359" i="13"/>
  <c r="AK359" i="13"/>
  <c r="AX359" i="13"/>
  <c r="AP359" i="13"/>
  <c r="AW359" i="13"/>
  <c r="AO359" i="13"/>
  <c r="AQ362" i="13"/>
  <c r="AW372" i="13"/>
  <c r="AO372" i="13"/>
  <c r="AV372" i="13"/>
  <c r="AM372" i="13"/>
  <c r="AU372" i="13"/>
  <c r="AL372" i="13"/>
  <c r="AT372" i="13"/>
  <c r="AK372" i="13"/>
  <c r="BB372" i="13"/>
  <c r="AS372" i="13"/>
  <c r="AJ372" i="13"/>
  <c r="AY372" i="13"/>
  <c r="AP372" i="13"/>
  <c r="AX372" i="13"/>
  <c r="AN372" i="13"/>
  <c r="BB377" i="13"/>
  <c r="AF395" i="13"/>
  <c r="AF426" i="13"/>
  <c r="BT222" i="13"/>
  <c r="AQ226" i="13"/>
  <c r="AY234" i="13"/>
  <c r="BL246" i="13"/>
  <c r="AY250" i="13"/>
  <c r="BL254" i="13"/>
  <c r="BL262" i="13"/>
  <c r="AY266" i="13"/>
  <c r="BB274" i="13"/>
  <c r="AT274" i="13"/>
  <c r="AL274" i="13"/>
  <c r="BM275" i="13"/>
  <c r="AR277" i="13"/>
  <c r="BN293" i="13"/>
  <c r="AB338" i="13"/>
  <c r="AE338" i="13" s="1"/>
  <c r="AA338" i="13"/>
  <c r="AC338" i="13" s="1"/>
  <c r="U396" i="13"/>
  <c r="W396" i="13" s="1"/>
  <c r="V396" i="13"/>
  <c r="AE396" i="13" s="1"/>
  <c r="BL225" i="13"/>
  <c r="AR226" i="13"/>
  <c r="AZ226" i="13"/>
  <c r="AL228" i="13"/>
  <c r="BB228" i="13"/>
  <c r="AM218" i="13"/>
  <c r="AU218" i="13"/>
  <c r="BL218" i="13"/>
  <c r="AO220" i="13"/>
  <c r="AW220" i="13"/>
  <c r="AL221" i="13"/>
  <c r="AQ222" i="13"/>
  <c r="BO225" i="13"/>
  <c r="AU226" i="13"/>
  <c r="BL226" i="13"/>
  <c r="BT226" i="13"/>
  <c r="AO228" i="13"/>
  <c r="AW228" i="13"/>
  <c r="AL229" i="13"/>
  <c r="AT229" i="13"/>
  <c r="BB229" i="13"/>
  <c r="AQ230" i="13"/>
  <c r="AY230" i="13"/>
  <c r="BH230" i="13"/>
  <c r="BP230" i="13"/>
  <c r="BG233" i="13"/>
  <c r="BW233" i="13"/>
  <c r="AM234" i="13"/>
  <c r="BT234" i="13"/>
  <c r="AT237" i="13"/>
  <c r="AQ238" i="13"/>
  <c r="AY238" i="13"/>
  <c r="BH238" i="13"/>
  <c r="BP238" i="13"/>
  <c r="BJ240" i="13"/>
  <c r="BR240" i="13"/>
  <c r="BO241" i="13"/>
  <c r="BW241" i="13"/>
  <c r="AM242" i="13"/>
  <c r="AU242" i="13"/>
  <c r="BL242" i="13"/>
  <c r="BT242" i="13"/>
  <c r="AO244" i="13"/>
  <c r="AW244" i="13"/>
  <c r="AL245" i="13"/>
  <c r="AQ246" i="13"/>
  <c r="BJ248" i="13"/>
  <c r="BR248" i="13"/>
  <c r="BO249" i="13"/>
  <c r="BW249" i="13"/>
  <c r="AM250" i="13"/>
  <c r="AU250" i="13"/>
  <c r="AT253" i="13"/>
  <c r="AQ254" i="13"/>
  <c r="AY254" i="13"/>
  <c r="BH254" i="13"/>
  <c r="BP254" i="13"/>
  <c r="AN218" i="13"/>
  <c r="BE218" i="13"/>
  <c r="BM218" i="13"/>
  <c r="AK219" i="13"/>
  <c r="AS219" i="13"/>
  <c r="BJ219" i="13"/>
  <c r="AP220" i="13"/>
  <c r="BG220" i="13"/>
  <c r="BO220" i="13"/>
  <c r="AM221" i="13"/>
  <c r="BL221" i="13"/>
  <c r="AJ222" i="13"/>
  <c r="AR222" i="13"/>
  <c r="BI222" i="13"/>
  <c r="AO223" i="13"/>
  <c r="BF223" i="13"/>
  <c r="BN223" i="13"/>
  <c r="AL224" i="13"/>
  <c r="AT224" i="13"/>
  <c r="BK224" i="13"/>
  <c r="AQ225" i="13"/>
  <c r="BH225" i="13"/>
  <c r="AN226" i="13"/>
  <c r="BE226" i="13"/>
  <c r="BM226" i="13"/>
  <c r="AK227" i="13"/>
  <c r="AS227" i="13"/>
  <c r="BJ227" i="13"/>
  <c r="AP228" i="13"/>
  <c r="BG228" i="13"/>
  <c r="BO228" i="13"/>
  <c r="AM229" i="13"/>
  <c r="BL229" i="13"/>
  <c r="AJ230" i="13"/>
  <c r="AR230" i="13"/>
  <c r="BI230" i="13"/>
  <c r="AO231" i="13"/>
  <c r="BF231" i="13"/>
  <c r="BN231" i="13"/>
  <c r="AL232" i="13"/>
  <c r="AT232" i="13"/>
  <c r="BK232" i="13"/>
  <c r="AQ233" i="13"/>
  <c r="BH233" i="13"/>
  <c r="AN234" i="13"/>
  <c r="BE234" i="13"/>
  <c r="BM234" i="13"/>
  <c r="AK235" i="13"/>
  <c r="AS235" i="13"/>
  <c r="BJ235" i="13"/>
  <c r="AP236" i="13"/>
  <c r="BG236" i="13"/>
  <c r="BO236" i="13"/>
  <c r="AM237" i="13"/>
  <c r="BL237" i="13"/>
  <c r="AJ238" i="13"/>
  <c r="AR238" i="13"/>
  <c r="BI238" i="13"/>
  <c r="AO239" i="13"/>
  <c r="BF239" i="13"/>
  <c r="BN239" i="13"/>
  <c r="AL240" i="13"/>
  <c r="AT240" i="13"/>
  <c r="BK240" i="13"/>
  <c r="AQ241" i="13"/>
  <c r="BH241" i="13"/>
  <c r="AN242" i="13"/>
  <c r="BE242" i="13"/>
  <c r="BM242" i="13"/>
  <c r="AK243" i="13"/>
  <c r="AS243" i="13"/>
  <c r="BJ243" i="13"/>
  <c r="AP244" i="13"/>
  <c r="BG244" i="13"/>
  <c r="BO244" i="13"/>
  <c r="AM245" i="13"/>
  <c r="BL245" i="13"/>
  <c r="AJ246" i="13"/>
  <c r="AR246" i="13"/>
  <c r="BI246" i="13"/>
  <c r="AO247" i="13"/>
  <c r="BF247" i="13"/>
  <c r="BN247" i="13"/>
  <c r="AL248" i="13"/>
  <c r="AT248" i="13"/>
  <c r="BK248" i="13"/>
  <c r="AQ249" i="13"/>
  <c r="BH249" i="13"/>
  <c r="AN250" i="13"/>
  <c r="BE250" i="13"/>
  <c r="BM250" i="13"/>
  <c r="AK251" i="13"/>
  <c r="AS251" i="13"/>
  <c r="BJ251" i="13"/>
  <c r="AP252" i="13"/>
  <c r="BG252" i="13"/>
  <c r="BO252" i="13"/>
  <c r="AM253" i="13"/>
  <c r="BL253" i="13"/>
  <c r="AJ254" i="13"/>
  <c r="AR254" i="13"/>
  <c r="BI254" i="13"/>
  <c r="AO255" i="13"/>
  <c r="BF255" i="13"/>
  <c r="BN255" i="13"/>
  <c r="AL256" i="13"/>
  <c r="AT256" i="13"/>
  <c r="BK256" i="13"/>
  <c r="AQ257" i="13"/>
  <c r="BH257" i="13"/>
  <c r="AN258" i="13"/>
  <c r="BE258" i="13"/>
  <c r="BM258" i="13"/>
  <c r="AK259" i="13"/>
  <c r="AS259" i="13"/>
  <c r="BJ259" i="13"/>
  <c r="AP260" i="13"/>
  <c r="BG260" i="13"/>
  <c r="BO260" i="13"/>
  <c r="AM261" i="13"/>
  <c r="BL261" i="13"/>
  <c r="AJ262" i="13"/>
  <c r="AR262" i="13"/>
  <c r="BI262" i="13"/>
  <c r="AO263" i="13"/>
  <c r="BF263" i="13"/>
  <c r="BN263" i="13"/>
  <c r="AL264" i="13"/>
  <c r="AT264" i="13"/>
  <c r="BK264" i="13"/>
  <c r="AQ265" i="13"/>
  <c r="BH265" i="13"/>
  <c r="AN266" i="13"/>
  <c r="BE266" i="13"/>
  <c r="BM266" i="13"/>
  <c r="AK267" i="13"/>
  <c r="AS267" i="13"/>
  <c r="BJ267" i="13"/>
  <c r="AP268" i="13"/>
  <c r="BG268" i="13"/>
  <c r="BO268" i="13"/>
  <c r="AM269" i="13"/>
  <c r="BL269" i="13"/>
  <c r="AJ270" i="13"/>
  <c r="AR270" i="13"/>
  <c r="BA270" i="13"/>
  <c r="BK270" i="13"/>
  <c r="BT270" i="13"/>
  <c r="AN271" i="13"/>
  <c r="AW271" i="13"/>
  <c r="AP272" i="13"/>
  <c r="AY272" i="13"/>
  <c r="BJ272" i="13"/>
  <c r="BS272" i="13"/>
  <c r="AK273" i="13"/>
  <c r="AT273" i="13"/>
  <c r="BV273" i="13"/>
  <c r="BN273" i="13"/>
  <c r="BF273" i="13"/>
  <c r="BM273" i="13"/>
  <c r="BW273" i="13"/>
  <c r="AO274" i="13"/>
  <c r="AX274" i="13"/>
  <c r="BH274" i="13"/>
  <c r="BQ274" i="13"/>
  <c r="BJ275" i="13"/>
  <c r="BS275" i="13"/>
  <c r="AK276" i="13"/>
  <c r="AT276" i="13"/>
  <c r="BU276" i="13"/>
  <c r="BM276" i="13"/>
  <c r="BE276" i="13"/>
  <c r="BN276" i="13"/>
  <c r="BW276" i="13"/>
  <c r="AO277" i="13"/>
  <c r="AX277" i="13"/>
  <c r="BH277" i="13"/>
  <c r="BQ277" i="13"/>
  <c r="AJ278" i="13"/>
  <c r="AS278" i="13"/>
  <c r="BB278" i="13"/>
  <c r="BL278" i="13"/>
  <c r="BU278" i="13"/>
  <c r="AO279" i="13"/>
  <c r="AY279" i="13"/>
  <c r="AB280" i="13"/>
  <c r="AE280" i="13" s="1"/>
  <c r="AM280" i="13"/>
  <c r="AW280" i="13"/>
  <c r="BJ280" i="13"/>
  <c r="BT280" i="13"/>
  <c r="AQ281" i="13"/>
  <c r="BA281" i="13"/>
  <c r="AQ282" i="13"/>
  <c r="BS282" i="13"/>
  <c r="BK282" i="13"/>
  <c r="BQ282" i="13"/>
  <c r="BI282" i="13"/>
  <c r="BN282" i="13"/>
  <c r="BK283" i="13"/>
  <c r="BU283" i="13"/>
  <c r="AQ284" i="13"/>
  <c r="BA284" i="13"/>
  <c r="BN284" i="13"/>
  <c r="BM285" i="13"/>
  <c r="BW285" i="13"/>
  <c r="U286" i="13"/>
  <c r="W286" i="13" s="1"/>
  <c r="AX286" i="13"/>
  <c r="AP286" i="13"/>
  <c r="AV286" i="13"/>
  <c r="AN286" i="13"/>
  <c r="AS286" i="13"/>
  <c r="BW286" i="13"/>
  <c r="BO286" i="13"/>
  <c r="BG286" i="13"/>
  <c r="BU286" i="13"/>
  <c r="BM286" i="13"/>
  <c r="BE286" i="13"/>
  <c r="BP286" i="13"/>
  <c r="AL287" i="13"/>
  <c r="AW287" i="13"/>
  <c r="AK288" i="13"/>
  <c r="AU288" i="13"/>
  <c r="BF288" i="13"/>
  <c r="BR288" i="13"/>
  <c r="AN289" i="13"/>
  <c r="AY289" i="13"/>
  <c r="AO290" i="13"/>
  <c r="AY290" i="13"/>
  <c r="BL290" i="13"/>
  <c r="BV290" i="13"/>
  <c r="BI291" i="13"/>
  <c r="BS291" i="13"/>
  <c r="AO292" i="13"/>
  <c r="AY292" i="13"/>
  <c r="BJ292" i="13"/>
  <c r="BV292" i="13"/>
  <c r="BK293" i="13"/>
  <c r="BU293" i="13"/>
  <c r="AQ294" i="13"/>
  <c r="BA294" i="13"/>
  <c r="BL294" i="13"/>
  <c r="AU295" i="13"/>
  <c r="AM295" i="13"/>
  <c r="BA295" i="13"/>
  <c r="AS295" i="13"/>
  <c r="AK295" i="13"/>
  <c r="AT295" i="13"/>
  <c r="AS296" i="13"/>
  <c r="BQ296" i="13"/>
  <c r="BI296" i="13"/>
  <c r="BW296" i="13"/>
  <c r="BO296" i="13"/>
  <c r="BG296" i="13"/>
  <c r="BN296" i="13"/>
  <c r="AK297" i="13"/>
  <c r="AV297" i="13"/>
  <c r="AM298" i="13"/>
  <c r="AW298" i="13"/>
  <c r="BH298" i="13"/>
  <c r="BT298" i="13"/>
  <c r="BE299" i="13"/>
  <c r="BQ299" i="13"/>
  <c r="AK300" i="13"/>
  <c r="AW300" i="13"/>
  <c r="BH300" i="13"/>
  <c r="BR300" i="13"/>
  <c r="BG301" i="13"/>
  <c r="BS301" i="13"/>
  <c r="AM302" i="13"/>
  <c r="AY302" i="13"/>
  <c r="BJ302" i="13"/>
  <c r="BT302" i="13"/>
  <c r="AQ303" i="13"/>
  <c r="BB303" i="13"/>
  <c r="AT304" i="13"/>
  <c r="BF304" i="13"/>
  <c r="BT304" i="13"/>
  <c r="AX305" i="13"/>
  <c r="AP305" i="13"/>
  <c r="AW305" i="13"/>
  <c r="AO305" i="13"/>
  <c r="AU305" i="13"/>
  <c r="AM305" i="13"/>
  <c r="AT305" i="13"/>
  <c r="AO306" i="13"/>
  <c r="BA306" i="13"/>
  <c r="BM307" i="13"/>
  <c r="AM308" i="13"/>
  <c r="AZ308" i="13"/>
  <c r="BO308" i="13"/>
  <c r="BF309" i="13"/>
  <c r="BT309" i="13"/>
  <c r="BQ310" i="13"/>
  <c r="AQ311" i="13"/>
  <c r="AU312" i="13"/>
  <c r="BH312" i="13"/>
  <c r="BU312" i="13"/>
  <c r="AJ313" i="13"/>
  <c r="AV313" i="13"/>
  <c r="AB314" i="13"/>
  <c r="AE314" i="13" s="1"/>
  <c r="AP314" i="13"/>
  <c r="BO315" i="13"/>
  <c r="AR316" i="13"/>
  <c r="BI316" i="13"/>
  <c r="BF318" i="13"/>
  <c r="BV318" i="13"/>
  <c r="AP319" i="13"/>
  <c r="BL320" i="13"/>
  <c r="AY322" i="13"/>
  <c r="BK323" i="13"/>
  <c r="AZ324" i="13"/>
  <c r="BJ326" i="13"/>
  <c r="AZ327" i="13"/>
  <c r="BF328" i="13"/>
  <c r="AB330" i="13"/>
  <c r="AE330" i="13" s="1"/>
  <c r="AA330" i="13"/>
  <c r="AC330" i="13" s="1"/>
  <c r="AX330" i="13"/>
  <c r="BE331" i="13"/>
  <c r="AY332" i="13"/>
  <c r="BP334" i="13"/>
  <c r="BH334" i="13"/>
  <c r="BW334" i="13"/>
  <c r="BO334" i="13"/>
  <c r="BG334" i="13"/>
  <c r="BV334" i="13"/>
  <c r="BN334" i="13"/>
  <c r="BF334" i="13"/>
  <c r="BU334" i="13"/>
  <c r="BM334" i="13"/>
  <c r="BE334" i="13"/>
  <c r="BQ334" i="13"/>
  <c r="BI334" i="13"/>
  <c r="AA335" i="13"/>
  <c r="AC335" i="13" s="1"/>
  <c r="AY335" i="13"/>
  <c r="BE336" i="13"/>
  <c r="AP338" i="13"/>
  <c r="BM339" i="13"/>
  <c r="AJ340" i="13"/>
  <c r="BL342" i="13"/>
  <c r="AJ343" i="13"/>
  <c r="BF344" i="13"/>
  <c r="AB346" i="13"/>
  <c r="AE346" i="13" s="1"/>
  <c r="AA346" i="13"/>
  <c r="AC346" i="13" s="1"/>
  <c r="AX346" i="13"/>
  <c r="BS350" i="13"/>
  <c r="AZ351" i="13"/>
  <c r="BM355" i="13"/>
  <c r="AE358" i="13"/>
  <c r="AJ359" i="13"/>
  <c r="V361" i="13"/>
  <c r="AE361" i="13" s="1"/>
  <c r="U361" i="13"/>
  <c r="W361" i="13" s="1"/>
  <c r="AX362" i="13"/>
  <c r="AA365" i="13"/>
  <c r="AC365" i="13" s="1"/>
  <c r="BM365" i="13"/>
  <c r="BR368" i="13"/>
  <c r="BJ368" i="13"/>
  <c r="BS368" i="13"/>
  <c r="BI368" i="13"/>
  <c r="BQ368" i="13"/>
  <c r="BH368" i="13"/>
  <c r="BP368" i="13"/>
  <c r="BG368" i="13"/>
  <c r="BO368" i="13"/>
  <c r="BF368" i="13"/>
  <c r="BU368" i="13"/>
  <c r="BL368" i="13"/>
  <c r="BT368" i="13"/>
  <c r="BK368" i="13"/>
  <c r="V371" i="13"/>
  <c r="U371" i="13"/>
  <c r="W371" i="13" s="1"/>
  <c r="BW377" i="13"/>
  <c r="BO377" i="13"/>
  <c r="BG377" i="13"/>
  <c r="BU377" i="13"/>
  <c r="BM377" i="13"/>
  <c r="BE377" i="13"/>
  <c r="BT377" i="13"/>
  <c r="BJ377" i="13"/>
  <c r="BS377" i="13"/>
  <c r="BI377" i="13"/>
  <c r="BR377" i="13"/>
  <c r="BH377" i="13"/>
  <c r="BQ377" i="13"/>
  <c r="BF377" i="13"/>
  <c r="BL377" i="13"/>
  <c r="BV377" i="13"/>
  <c r="BK377" i="13"/>
  <c r="V384" i="13"/>
  <c r="U384" i="13"/>
  <c r="W384" i="13" s="1"/>
  <c r="AF411" i="13"/>
  <c r="AF435" i="13"/>
  <c r="BL317" i="13"/>
  <c r="BT317" i="13"/>
  <c r="AL320" i="13"/>
  <c r="AT320" i="13"/>
  <c r="BB320" i="13"/>
  <c r="AQ321" i="13"/>
  <c r="AY321" i="13"/>
  <c r="BG324" i="13"/>
  <c r="BO324" i="13"/>
  <c r="BW324" i="13"/>
  <c r="BL325" i="13"/>
  <c r="BT325" i="13"/>
  <c r="AL328" i="13"/>
  <c r="AT328" i="13"/>
  <c r="BB328" i="13"/>
  <c r="AQ329" i="13"/>
  <c r="AY329" i="13"/>
  <c r="BG332" i="13"/>
  <c r="BO332" i="13"/>
  <c r="BW332" i="13"/>
  <c r="BL333" i="13"/>
  <c r="BT333" i="13"/>
  <c r="AL336" i="13"/>
  <c r="AT336" i="13"/>
  <c r="BB336" i="13"/>
  <c r="AQ337" i="13"/>
  <c r="AY337" i="13"/>
  <c r="BG340" i="13"/>
  <c r="BO340" i="13"/>
  <c r="BW340" i="13"/>
  <c r="BL341" i="13"/>
  <c r="BT341" i="13"/>
  <c r="AL344" i="13"/>
  <c r="AT344" i="13"/>
  <c r="BB344" i="13"/>
  <c r="AQ345" i="13"/>
  <c r="AY345" i="13"/>
  <c r="AP348" i="13"/>
  <c r="AX348" i="13"/>
  <c r="BG348" i="13"/>
  <c r="BO348" i="13"/>
  <c r="BW348" i="13"/>
  <c r="BL349" i="13"/>
  <c r="BT349" i="13"/>
  <c r="AL352" i="13"/>
  <c r="AT352" i="13"/>
  <c r="BB352" i="13"/>
  <c r="BK352" i="13"/>
  <c r="BS352" i="13"/>
  <c r="AQ353" i="13"/>
  <c r="AY353" i="13"/>
  <c r="AP356" i="13"/>
  <c r="AX356" i="13"/>
  <c r="BG356" i="13"/>
  <c r="BO356" i="13"/>
  <c r="BW356" i="13"/>
  <c r="BL357" i="13"/>
  <c r="BT357" i="13"/>
  <c r="AL360" i="13"/>
  <c r="AT360" i="13"/>
  <c r="BB360" i="13"/>
  <c r="BK360" i="13"/>
  <c r="BS360" i="13"/>
  <c r="AQ361" i="13"/>
  <c r="AY361" i="13"/>
  <c r="AQ365" i="13"/>
  <c r="BL366" i="13"/>
  <c r="AQ368" i="13"/>
  <c r="AL369" i="13"/>
  <c r="AU369" i="13"/>
  <c r="AQ370" i="13"/>
  <c r="BQ371" i="13"/>
  <c r="BI371" i="13"/>
  <c r="BM371" i="13"/>
  <c r="BV371" i="13"/>
  <c r="BH372" i="13"/>
  <c r="BQ372" i="13"/>
  <c r="BB373" i="13"/>
  <c r="AT373" i="13"/>
  <c r="AL373" i="13"/>
  <c r="AR373" i="13"/>
  <c r="BA373" i="13"/>
  <c r="BL373" i="13"/>
  <c r="AM375" i="13"/>
  <c r="AX375" i="13"/>
  <c r="BG381" i="13"/>
  <c r="BR381" i="13"/>
  <c r="BP382" i="13"/>
  <c r="BH382" i="13"/>
  <c r="BV382" i="13"/>
  <c r="BN382" i="13"/>
  <c r="BF382" i="13"/>
  <c r="BO382" i="13"/>
  <c r="AL385" i="13"/>
  <c r="AW385" i="13"/>
  <c r="BI385" i="13"/>
  <c r="BS385" i="13"/>
  <c r="AP386" i="13"/>
  <c r="AZ386" i="13"/>
  <c r="BK387" i="13"/>
  <c r="BU387" i="13"/>
  <c r="AR388" i="13"/>
  <c r="BU391" i="13"/>
  <c r="BM391" i="13"/>
  <c r="BE391" i="13"/>
  <c r="BS391" i="13"/>
  <c r="BK391" i="13"/>
  <c r="BO391" i="13"/>
  <c r="BR392" i="13"/>
  <c r="BJ392" i="13"/>
  <c r="BP392" i="13"/>
  <c r="BH392" i="13"/>
  <c r="BN392" i="13"/>
  <c r="AN394" i="13"/>
  <c r="AX394" i="13"/>
  <c r="BH395" i="13"/>
  <c r="BS395" i="13"/>
  <c r="AP396" i="13"/>
  <c r="AZ396" i="13"/>
  <c r="AP397" i="13"/>
  <c r="BA397" i="13"/>
  <c r="BM397" i="13"/>
  <c r="AP399" i="13"/>
  <c r="AZ399" i="13"/>
  <c r="BR400" i="13"/>
  <c r="BJ400" i="13"/>
  <c r="BP400" i="13"/>
  <c r="BH400" i="13"/>
  <c r="BU400" i="13"/>
  <c r="BM400" i="13"/>
  <c r="BE400" i="13"/>
  <c r="BQ400" i="13"/>
  <c r="AQ401" i="13"/>
  <c r="BW401" i="13"/>
  <c r="BO401" i="13"/>
  <c r="BG401" i="13"/>
  <c r="BU401" i="13"/>
  <c r="BM401" i="13"/>
  <c r="BE401" i="13"/>
  <c r="BR401" i="13"/>
  <c r="BJ401" i="13"/>
  <c r="BQ401" i="13"/>
  <c r="BS401" i="13"/>
  <c r="AF403" i="13"/>
  <c r="BS405" i="13"/>
  <c r="BK405" i="13"/>
  <c r="BQ405" i="13"/>
  <c r="BI405" i="13"/>
  <c r="BV405" i="13"/>
  <c r="BN405" i="13"/>
  <c r="BF405" i="13"/>
  <c r="BU405" i="13"/>
  <c r="BM405" i="13"/>
  <c r="BE405" i="13"/>
  <c r="BT405" i="13"/>
  <c r="BN409" i="13"/>
  <c r="AS411" i="13"/>
  <c r="BB413" i="13"/>
  <c r="AT413" i="13"/>
  <c r="AL413" i="13"/>
  <c r="AZ413" i="13"/>
  <c r="AR413" i="13"/>
  <c r="AJ413" i="13"/>
  <c r="AW413" i="13"/>
  <c r="AO413" i="13"/>
  <c r="AV413" i="13"/>
  <c r="AN413" i="13"/>
  <c r="AY413" i="13"/>
  <c r="BF417" i="13"/>
  <c r="BA419" i="13"/>
  <c r="AS419" i="13"/>
  <c r="AK419" i="13"/>
  <c r="AZ419" i="13"/>
  <c r="AR419" i="13"/>
  <c r="AJ419" i="13"/>
  <c r="AX419" i="13"/>
  <c r="AP419" i="13"/>
  <c r="AU419" i="13"/>
  <c r="AM419" i="13"/>
  <c r="BB419" i="13"/>
  <c r="AT419" i="13"/>
  <c r="AL419" i="13"/>
  <c r="AK421" i="13"/>
  <c r="BR422" i="13"/>
  <c r="U423" i="13"/>
  <c r="W423" i="13" s="1"/>
  <c r="AV424" i="13"/>
  <c r="AN424" i="13"/>
  <c r="AU424" i="13"/>
  <c r="AM424" i="13"/>
  <c r="BA424" i="13"/>
  <c r="AS424" i="13"/>
  <c r="AK424" i="13"/>
  <c r="AX424" i="13"/>
  <c r="AP424" i="13"/>
  <c r="AW424" i="13"/>
  <c r="AO424" i="13"/>
  <c r="BB424" i="13"/>
  <c r="AN425" i="13"/>
  <c r="AV432" i="13"/>
  <c r="AN432" i="13"/>
  <c r="AU432" i="13"/>
  <c r="AM432" i="13"/>
  <c r="BA432" i="13"/>
  <c r="AS432" i="13"/>
  <c r="AK432" i="13"/>
  <c r="AZ432" i="13"/>
  <c r="AR432" i="13"/>
  <c r="AJ432" i="13"/>
  <c r="AX432" i="13"/>
  <c r="AP432" i="13"/>
  <c r="AW432" i="13"/>
  <c r="AO432" i="13"/>
  <c r="AB433" i="13"/>
  <c r="AA433" i="13"/>
  <c r="AC433" i="13" s="1"/>
  <c r="BQ452" i="13"/>
  <c r="BI452" i="13"/>
  <c r="BP452" i="13"/>
  <c r="BH452" i="13"/>
  <c r="BW452" i="13"/>
  <c r="BO452" i="13"/>
  <c r="BG452" i="13"/>
  <c r="BV452" i="13"/>
  <c r="BN452" i="13"/>
  <c r="BF452" i="13"/>
  <c r="BU452" i="13"/>
  <c r="BM452" i="13"/>
  <c r="BE452" i="13"/>
  <c r="BS452" i="13"/>
  <c r="BK452" i="13"/>
  <c r="BR452" i="13"/>
  <c r="BJ452" i="13"/>
  <c r="AU457" i="13"/>
  <c r="AM457" i="13"/>
  <c r="AX457" i="13"/>
  <c r="AO457" i="13"/>
  <c r="AW457" i="13"/>
  <c r="AN457" i="13"/>
  <c r="AV457" i="13"/>
  <c r="AL457" i="13"/>
  <c r="AT457" i="13"/>
  <c r="AK457" i="13"/>
  <c r="BB457" i="13"/>
  <c r="AS457" i="13"/>
  <c r="AJ457" i="13"/>
  <c r="AZ457" i="13"/>
  <c r="AQ457" i="13"/>
  <c r="AY457" i="13"/>
  <c r="AP457" i="13"/>
  <c r="V475" i="13"/>
  <c r="AE475" i="13" s="1"/>
  <c r="U475" i="13"/>
  <c r="W475" i="13" s="1"/>
  <c r="AV481" i="13"/>
  <c r="AN481" i="13"/>
  <c r="AU481" i="13"/>
  <c r="AM481" i="13"/>
  <c r="BB481" i="13"/>
  <c r="AT481" i="13"/>
  <c r="AL481" i="13"/>
  <c r="BA481" i="13"/>
  <c r="AS481" i="13"/>
  <c r="AK481" i="13"/>
  <c r="AR481" i="13"/>
  <c r="AQ481" i="13"/>
  <c r="AP481" i="13"/>
  <c r="AO481" i="13"/>
  <c r="AZ481" i="13"/>
  <c r="AJ481" i="13"/>
  <c r="AX481" i="13"/>
  <c r="AW481" i="13"/>
  <c r="AQ348" i="13"/>
  <c r="AY348" i="13"/>
  <c r="BL352" i="13"/>
  <c r="BT352" i="13"/>
  <c r="AQ356" i="13"/>
  <c r="AY356" i="13"/>
  <c r="BL360" i="13"/>
  <c r="BT360" i="13"/>
  <c r="BB365" i="13"/>
  <c r="AT365" i="13"/>
  <c r="AL365" i="13"/>
  <c r="AR365" i="13"/>
  <c r="BA365" i="13"/>
  <c r="BP366" i="13"/>
  <c r="BH366" i="13"/>
  <c r="BM366" i="13"/>
  <c r="BV366" i="13"/>
  <c r="BA368" i="13"/>
  <c r="AS368" i="13"/>
  <c r="AK368" i="13"/>
  <c r="AR368" i="13"/>
  <c r="BB368" i="13"/>
  <c r="AU370" i="13"/>
  <c r="AM370" i="13"/>
  <c r="AR370" i="13"/>
  <c r="BA370" i="13"/>
  <c r="BS373" i="13"/>
  <c r="BK373" i="13"/>
  <c r="BM373" i="13"/>
  <c r="BV373" i="13"/>
  <c r="AU378" i="13"/>
  <c r="AM378" i="13"/>
  <c r="BA378" i="13"/>
  <c r="AS378" i="13"/>
  <c r="AK378" i="13"/>
  <c r="AT378" i="13"/>
  <c r="BQ379" i="13"/>
  <c r="BI379" i="13"/>
  <c r="BW379" i="13"/>
  <c r="BO379" i="13"/>
  <c r="BG379" i="13"/>
  <c r="BN379" i="13"/>
  <c r="AQ386" i="13"/>
  <c r="BL387" i="13"/>
  <c r="AW388" i="13"/>
  <c r="AO388" i="13"/>
  <c r="AU388" i="13"/>
  <c r="AM388" i="13"/>
  <c r="AS388" i="13"/>
  <c r="BB389" i="13"/>
  <c r="AT389" i="13"/>
  <c r="AL389" i="13"/>
  <c r="AZ389" i="13"/>
  <c r="AR389" i="13"/>
  <c r="AJ389" i="13"/>
  <c r="AU389" i="13"/>
  <c r="AV391" i="13"/>
  <c r="AN391" i="13"/>
  <c r="BB391" i="13"/>
  <c r="AT391" i="13"/>
  <c r="AL391" i="13"/>
  <c r="AS391" i="13"/>
  <c r="AQ396" i="13"/>
  <c r="AF397" i="13"/>
  <c r="BS397" i="13"/>
  <c r="BK397" i="13"/>
  <c r="BQ397" i="13"/>
  <c r="BI397" i="13"/>
  <c r="BN397" i="13"/>
  <c r="AQ399" i="13"/>
  <c r="AZ403" i="13"/>
  <c r="AR403" i="13"/>
  <c r="AJ403" i="13"/>
  <c r="AX403" i="13"/>
  <c r="AP403" i="13"/>
  <c r="AU403" i="13"/>
  <c r="AM403" i="13"/>
  <c r="BB403" i="13"/>
  <c r="AT403" i="13"/>
  <c r="AL403" i="13"/>
  <c r="AY403" i="13"/>
  <c r="AX409" i="13"/>
  <c r="AP409" i="13"/>
  <c r="AV409" i="13"/>
  <c r="AN409" i="13"/>
  <c r="BA409" i="13"/>
  <c r="AS409" i="13"/>
  <c r="AK409" i="13"/>
  <c r="AZ409" i="13"/>
  <c r="AR409" i="13"/>
  <c r="AJ409" i="13"/>
  <c r="AY409" i="13"/>
  <c r="AU410" i="13"/>
  <c r="AM410" i="13"/>
  <c r="BA410" i="13"/>
  <c r="AS410" i="13"/>
  <c r="AK410" i="13"/>
  <c r="AX410" i="13"/>
  <c r="AP410" i="13"/>
  <c r="AW410" i="13"/>
  <c r="AO410" i="13"/>
  <c r="AY410" i="13"/>
  <c r="AV418" i="13"/>
  <c r="AN418" i="13"/>
  <c r="AU418" i="13"/>
  <c r="AM418" i="13"/>
  <c r="BA418" i="13"/>
  <c r="AS418" i="13"/>
  <c r="AK418" i="13"/>
  <c r="AX418" i="13"/>
  <c r="AP418" i="13"/>
  <c r="AW418" i="13"/>
  <c r="AO418" i="13"/>
  <c r="BB418" i="13"/>
  <c r="BQ444" i="13"/>
  <c r="BI444" i="13"/>
  <c r="BP444" i="13"/>
  <c r="BH444" i="13"/>
  <c r="BW444" i="13"/>
  <c r="BO444" i="13"/>
  <c r="BG444" i="13"/>
  <c r="BV444" i="13"/>
  <c r="BN444" i="13"/>
  <c r="BF444" i="13"/>
  <c r="BU444" i="13"/>
  <c r="BM444" i="13"/>
  <c r="BE444" i="13"/>
  <c r="BS444" i="13"/>
  <c r="BK444" i="13"/>
  <c r="BR444" i="13"/>
  <c r="BJ444" i="13"/>
  <c r="V455" i="13"/>
  <c r="AE455" i="13" s="1"/>
  <c r="U455" i="13"/>
  <c r="W455" i="13" s="1"/>
  <c r="AB456" i="13"/>
  <c r="AE456" i="13" s="1"/>
  <c r="AA456" i="13"/>
  <c r="AC456" i="13" s="1"/>
  <c r="AB491" i="13"/>
  <c r="AA491" i="13"/>
  <c r="AC491" i="13" s="1"/>
  <c r="V534" i="13"/>
  <c r="AE534" i="13" s="1"/>
  <c r="U534" i="13"/>
  <c r="W534" i="13" s="1"/>
  <c r="AX579" i="13"/>
  <c r="AP579" i="13"/>
  <c r="AW579" i="13"/>
  <c r="AO579" i="13"/>
  <c r="AV579" i="13"/>
  <c r="AN579" i="13"/>
  <c r="AU579" i="13"/>
  <c r="AM579" i="13"/>
  <c r="BB579" i="13"/>
  <c r="AT579" i="13"/>
  <c r="AL579" i="13"/>
  <c r="AR579" i="13"/>
  <c r="AQ579" i="13"/>
  <c r="AK579" i="13"/>
  <c r="AJ579" i="13"/>
  <c r="AY579" i="13"/>
  <c r="BA579" i="13"/>
  <c r="AZ579" i="13"/>
  <c r="AS579" i="13"/>
  <c r="AU386" i="13"/>
  <c r="AM386" i="13"/>
  <c r="BA386" i="13"/>
  <c r="AS386" i="13"/>
  <c r="AK386" i="13"/>
  <c r="AT386" i="13"/>
  <c r="BQ387" i="13"/>
  <c r="BI387" i="13"/>
  <c r="BW387" i="13"/>
  <c r="BO387" i="13"/>
  <c r="BG387" i="13"/>
  <c r="BN387" i="13"/>
  <c r="AW396" i="13"/>
  <c r="AO396" i="13"/>
  <c r="AU396" i="13"/>
  <c r="AM396" i="13"/>
  <c r="AS396" i="13"/>
  <c r="BB397" i="13"/>
  <c r="AT397" i="13"/>
  <c r="AL397" i="13"/>
  <c r="AZ397" i="13"/>
  <c r="AR397" i="13"/>
  <c r="AJ397" i="13"/>
  <c r="AU397" i="13"/>
  <c r="AV399" i="13"/>
  <c r="AN399" i="13"/>
  <c r="BB399" i="13"/>
  <c r="AT399" i="13"/>
  <c r="AL399" i="13"/>
  <c r="AS399" i="13"/>
  <c r="AX401" i="13"/>
  <c r="AP401" i="13"/>
  <c r="AV401" i="13"/>
  <c r="AN401" i="13"/>
  <c r="BA401" i="13"/>
  <c r="AS401" i="13"/>
  <c r="AK401" i="13"/>
  <c r="AU401" i="13"/>
  <c r="AF404" i="13"/>
  <c r="BW409" i="13"/>
  <c r="BO409" i="13"/>
  <c r="BG409" i="13"/>
  <c r="BU409" i="13"/>
  <c r="BM409" i="13"/>
  <c r="BE409" i="13"/>
  <c r="BR409" i="13"/>
  <c r="BJ409" i="13"/>
  <c r="BQ409" i="13"/>
  <c r="BI409" i="13"/>
  <c r="BT409" i="13"/>
  <c r="AZ411" i="13"/>
  <c r="AR411" i="13"/>
  <c r="AJ411" i="13"/>
  <c r="AX411" i="13"/>
  <c r="AP411" i="13"/>
  <c r="AU411" i="13"/>
  <c r="AM411" i="13"/>
  <c r="BB411" i="13"/>
  <c r="AT411" i="13"/>
  <c r="AL411" i="13"/>
  <c r="AY411" i="13"/>
  <c r="BV422" i="13"/>
  <c r="BN422" i="13"/>
  <c r="BF422" i="13"/>
  <c r="BU422" i="13"/>
  <c r="BM422" i="13"/>
  <c r="BE422" i="13"/>
  <c r="BS422" i="13"/>
  <c r="BK422" i="13"/>
  <c r="BP422" i="13"/>
  <c r="BH422" i="13"/>
  <c r="BW422" i="13"/>
  <c r="BO422" i="13"/>
  <c r="BG422" i="13"/>
  <c r="V439" i="13"/>
  <c r="AE439" i="13" s="1"/>
  <c r="U439" i="13"/>
  <c r="W439" i="13" s="1"/>
  <c r="AB440" i="13"/>
  <c r="AE440" i="13" s="1"/>
  <c r="AA440" i="13"/>
  <c r="AC440" i="13" s="1"/>
  <c r="AF442" i="13"/>
  <c r="AV448" i="13"/>
  <c r="AN448" i="13"/>
  <c r="AU448" i="13"/>
  <c r="AM448" i="13"/>
  <c r="BB448" i="13"/>
  <c r="AT448" i="13"/>
  <c r="AL448" i="13"/>
  <c r="BA448" i="13"/>
  <c r="AS448" i="13"/>
  <c r="AK448" i="13"/>
  <c r="AZ448" i="13"/>
  <c r="AR448" i="13"/>
  <c r="AJ448" i="13"/>
  <c r="AX448" i="13"/>
  <c r="AP448" i="13"/>
  <c r="AW448" i="13"/>
  <c r="AO448" i="13"/>
  <c r="AF603" i="13"/>
  <c r="BL281" i="13"/>
  <c r="BT281" i="13"/>
  <c r="AQ285" i="13"/>
  <c r="AY285" i="13"/>
  <c r="BL289" i="13"/>
  <c r="BT289" i="13"/>
  <c r="AQ293" i="13"/>
  <c r="AY293" i="13"/>
  <c r="BL297" i="13"/>
  <c r="BT297" i="13"/>
  <c r="AQ301" i="13"/>
  <c r="AY301" i="13"/>
  <c r="BL305" i="13"/>
  <c r="BT305" i="13"/>
  <c r="BI306" i="13"/>
  <c r="BQ306" i="13"/>
  <c r="AQ309" i="13"/>
  <c r="AY309" i="13"/>
  <c r="AN310" i="13"/>
  <c r="AV310" i="13"/>
  <c r="BL313" i="13"/>
  <c r="BT313" i="13"/>
  <c r="BI314" i="13"/>
  <c r="BQ314" i="13"/>
  <c r="AQ317" i="13"/>
  <c r="AY317" i="13"/>
  <c r="BH317" i="13"/>
  <c r="BP317" i="13"/>
  <c r="AN318" i="13"/>
  <c r="AV318" i="13"/>
  <c r="BJ319" i="13"/>
  <c r="BR319" i="13"/>
  <c r="AP320" i="13"/>
  <c r="AX320" i="13"/>
  <c r="AM321" i="13"/>
  <c r="AU321" i="13"/>
  <c r="BL321" i="13"/>
  <c r="BT321" i="13"/>
  <c r="BI322" i="13"/>
  <c r="BQ322" i="13"/>
  <c r="AO323" i="13"/>
  <c r="AW323" i="13"/>
  <c r="BK324" i="13"/>
  <c r="BS324" i="13"/>
  <c r="AQ325" i="13"/>
  <c r="AY325" i="13"/>
  <c r="BH325" i="13"/>
  <c r="BP325" i="13"/>
  <c r="AN326" i="13"/>
  <c r="AV326" i="13"/>
  <c r="BJ327" i="13"/>
  <c r="BR327" i="13"/>
  <c r="AP328" i="13"/>
  <c r="AX328" i="13"/>
  <c r="AM329" i="13"/>
  <c r="AU329" i="13"/>
  <c r="BL329" i="13"/>
  <c r="BT329" i="13"/>
  <c r="BI330" i="13"/>
  <c r="BQ330" i="13"/>
  <c r="AO331" i="13"/>
  <c r="AW331" i="13"/>
  <c r="BK332" i="13"/>
  <c r="BS332" i="13"/>
  <c r="AQ333" i="13"/>
  <c r="AY333" i="13"/>
  <c r="BH333" i="13"/>
  <c r="BP333" i="13"/>
  <c r="AN334" i="13"/>
  <c r="AV334" i="13"/>
  <c r="BJ335" i="13"/>
  <c r="BR335" i="13"/>
  <c r="AP336" i="13"/>
  <c r="AX336" i="13"/>
  <c r="AM337" i="13"/>
  <c r="AU337" i="13"/>
  <c r="BL337" i="13"/>
  <c r="BT337" i="13"/>
  <c r="BI338" i="13"/>
  <c r="BQ338" i="13"/>
  <c r="BK340" i="13"/>
  <c r="BS340" i="13"/>
  <c r="AQ341" i="13"/>
  <c r="AY341" i="13"/>
  <c r="BH341" i="13"/>
  <c r="BP341" i="13"/>
  <c r="AN342" i="13"/>
  <c r="AV342" i="13"/>
  <c r="AP344" i="13"/>
  <c r="AX344" i="13"/>
  <c r="AM345" i="13"/>
  <c r="AU345" i="13"/>
  <c r="BL345" i="13"/>
  <c r="BT345" i="13"/>
  <c r="BI346" i="13"/>
  <c r="BQ346" i="13"/>
  <c r="AL348" i="13"/>
  <c r="AT348" i="13"/>
  <c r="BB348" i="13"/>
  <c r="BK348" i="13"/>
  <c r="BS348" i="13"/>
  <c r="AQ349" i="13"/>
  <c r="AY349" i="13"/>
  <c r="BH349" i="13"/>
  <c r="BP349" i="13"/>
  <c r="AN350" i="13"/>
  <c r="AV350" i="13"/>
  <c r="AP352" i="13"/>
  <c r="AX352" i="13"/>
  <c r="BG352" i="13"/>
  <c r="BO352" i="13"/>
  <c r="BW352" i="13"/>
  <c r="AM353" i="13"/>
  <c r="AU353" i="13"/>
  <c r="BL353" i="13"/>
  <c r="BT353" i="13"/>
  <c r="BI354" i="13"/>
  <c r="BQ354" i="13"/>
  <c r="AL356" i="13"/>
  <c r="AT356" i="13"/>
  <c r="BB356" i="13"/>
  <c r="BK356" i="13"/>
  <c r="BS356" i="13"/>
  <c r="AQ357" i="13"/>
  <c r="AY357" i="13"/>
  <c r="BH357" i="13"/>
  <c r="BP357" i="13"/>
  <c r="AN358" i="13"/>
  <c r="AV358" i="13"/>
  <c r="AP360" i="13"/>
  <c r="AX360" i="13"/>
  <c r="BG360" i="13"/>
  <c r="BO360" i="13"/>
  <c r="BW360" i="13"/>
  <c r="AM361" i="13"/>
  <c r="AU361" i="13"/>
  <c r="BL361" i="13"/>
  <c r="BT361" i="13"/>
  <c r="BI362" i="13"/>
  <c r="BQ362" i="13"/>
  <c r="AW364" i="13"/>
  <c r="AO364" i="13"/>
  <c r="AR364" i="13"/>
  <c r="BA364" i="13"/>
  <c r="AM365" i="13"/>
  <c r="AV365" i="13"/>
  <c r="BG366" i="13"/>
  <c r="BQ366" i="13"/>
  <c r="AV367" i="13"/>
  <c r="AN367" i="13"/>
  <c r="AR367" i="13"/>
  <c r="BA367" i="13"/>
  <c r="AM368" i="13"/>
  <c r="AV368" i="13"/>
  <c r="AQ369" i="13"/>
  <c r="BJ369" i="13"/>
  <c r="BS369" i="13"/>
  <c r="AL370" i="13"/>
  <c r="AV370" i="13"/>
  <c r="AO371" i="13"/>
  <c r="AX371" i="13"/>
  <c r="BH371" i="13"/>
  <c r="BR371" i="13"/>
  <c r="BL372" i="13"/>
  <c r="AN373" i="13"/>
  <c r="AW373" i="13"/>
  <c r="BG373" i="13"/>
  <c r="BP373" i="13"/>
  <c r="BU375" i="13"/>
  <c r="BM375" i="13"/>
  <c r="BE375" i="13"/>
  <c r="BS375" i="13"/>
  <c r="BK375" i="13"/>
  <c r="BO375" i="13"/>
  <c r="BR376" i="13"/>
  <c r="BJ376" i="13"/>
  <c r="BP376" i="13"/>
  <c r="BH376" i="13"/>
  <c r="BN376" i="13"/>
  <c r="AN378" i="13"/>
  <c r="AX378" i="13"/>
  <c r="BH379" i="13"/>
  <c r="BS379" i="13"/>
  <c r="AP380" i="13"/>
  <c r="AZ380" i="13"/>
  <c r="AP381" i="13"/>
  <c r="BA381" i="13"/>
  <c r="BM381" i="13"/>
  <c r="BJ382" i="13"/>
  <c r="BT382" i="13"/>
  <c r="AP383" i="13"/>
  <c r="AZ383" i="13"/>
  <c r="AR385" i="13"/>
  <c r="AJ386" i="13"/>
  <c r="AV386" i="13"/>
  <c r="AZ387" i="13"/>
  <c r="AR387" i="13"/>
  <c r="AJ387" i="13"/>
  <c r="AX387" i="13"/>
  <c r="AP387" i="13"/>
  <c r="AT387" i="13"/>
  <c r="BE387" i="13"/>
  <c r="BP387" i="13"/>
  <c r="AA388" i="13"/>
  <c r="AC388" i="13" s="1"/>
  <c r="AL388" i="13"/>
  <c r="AX388" i="13"/>
  <c r="AB389" i="13"/>
  <c r="AN389" i="13"/>
  <c r="AX389" i="13"/>
  <c r="BJ389" i="13"/>
  <c r="BU389" i="13"/>
  <c r="AA391" i="13"/>
  <c r="AC391" i="13" s="1"/>
  <c r="AM391" i="13"/>
  <c r="AX391" i="13"/>
  <c r="BI391" i="13"/>
  <c r="BT391" i="13"/>
  <c r="BI392" i="13"/>
  <c r="BT392" i="13"/>
  <c r="AO393" i="13"/>
  <c r="AZ393" i="13"/>
  <c r="BK393" i="13"/>
  <c r="BV393" i="13"/>
  <c r="V394" i="13"/>
  <c r="AE394" i="13" s="1"/>
  <c r="AJ396" i="13"/>
  <c r="AT396" i="13"/>
  <c r="AK397" i="13"/>
  <c r="AV397" i="13"/>
  <c r="BG397" i="13"/>
  <c r="BR397" i="13"/>
  <c r="BP398" i="13"/>
  <c r="BH398" i="13"/>
  <c r="BV398" i="13"/>
  <c r="BN398" i="13"/>
  <c r="BF398" i="13"/>
  <c r="BO398" i="13"/>
  <c r="AJ399" i="13"/>
  <c r="AU399" i="13"/>
  <c r="BK400" i="13"/>
  <c r="BW400" i="13"/>
  <c r="U401" i="13"/>
  <c r="W401" i="13" s="1"/>
  <c r="AJ401" i="13"/>
  <c r="AW401" i="13"/>
  <c r="BK401" i="13"/>
  <c r="AA402" i="13"/>
  <c r="AC402" i="13" s="1"/>
  <c r="AR402" i="13"/>
  <c r="AO403" i="13"/>
  <c r="BL405" i="13"/>
  <c r="BP406" i="13"/>
  <c r="BH406" i="13"/>
  <c r="BV406" i="13"/>
  <c r="BN406" i="13"/>
  <c r="BF406" i="13"/>
  <c r="BS406" i="13"/>
  <c r="BK406" i="13"/>
  <c r="BR406" i="13"/>
  <c r="BJ406" i="13"/>
  <c r="BT406" i="13"/>
  <c r="AO409" i="13"/>
  <c r="BF409" i="13"/>
  <c r="BV409" i="13"/>
  <c r="V410" i="13"/>
  <c r="AE410" i="13" s="1"/>
  <c r="AN410" i="13"/>
  <c r="AK411" i="13"/>
  <c r="BA411" i="13"/>
  <c r="AF413" i="13"/>
  <c r="BV415" i="13"/>
  <c r="BN415" i="13"/>
  <c r="BF415" i="13"/>
  <c r="BU415" i="13"/>
  <c r="BM415" i="13"/>
  <c r="BE415" i="13"/>
  <c r="BS415" i="13"/>
  <c r="BK415" i="13"/>
  <c r="BP415" i="13"/>
  <c r="BH415" i="13"/>
  <c r="BW415" i="13"/>
  <c r="BO415" i="13"/>
  <c r="BG415" i="13"/>
  <c r="BS417" i="13"/>
  <c r="AQ418" i="13"/>
  <c r="BI422" i="13"/>
  <c r="V424" i="13"/>
  <c r="AE424" i="13" s="1"/>
  <c r="U424" i="13"/>
  <c r="W424" i="13" s="1"/>
  <c r="AR424" i="13"/>
  <c r="AB425" i="13"/>
  <c r="AE425" i="13" s="1"/>
  <c r="AA425" i="13"/>
  <c r="AC425" i="13" s="1"/>
  <c r="BV429" i="13"/>
  <c r="BN429" i="13"/>
  <c r="BF429" i="13"/>
  <c r="BU429" i="13"/>
  <c r="BM429" i="13"/>
  <c r="BE429" i="13"/>
  <c r="BS429" i="13"/>
  <c r="BK429" i="13"/>
  <c r="BR429" i="13"/>
  <c r="BJ429" i="13"/>
  <c r="BP429" i="13"/>
  <c r="BH429" i="13"/>
  <c r="BW429" i="13"/>
  <c r="BO429" i="13"/>
  <c r="BG429" i="13"/>
  <c r="V431" i="13"/>
  <c r="AE431" i="13" s="1"/>
  <c r="U431" i="13"/>
  <c r="W431" i="13" s="1"/>
  <c r="AF434" i="13"/>
  <c r="AV440" i="13"/>
  <c r="AN440" i="13"/>
  <c r="AU440" i="13"/>
  <c r="AM440" i="13"/>
  <c r="BB440" i="13"/>
  <c r="AT440" i="13"/>
  <c r="AL440" i="13"/>
  <c r="BA440" i="13"/>
  <c r="AS440" i="13"/>
  <c r="AK440" i="13"/>
  <c r="AZ440" i="13"/>
  <c r="AR440" i="13"/>
  <c r="AJ440" i="13"/>
  <c r="AX440" i="13"/>
  <c r="AP440" i="13"/>
  <c r="AW440" i="13"/>
  <c r="AO440" i="13"/>
  <c r="AF444" i="13"/>
  <c r="AQ448" i="13"/>
  <c r="V473" i="13"/>
  <c r="AE473" i="13" s="1"/>
  <c r="U473" i="13"/>
  <c r="W473" i="13" s="1"/>
  <c r="BP517" i="13"/>
  <c r="BH517" i="13"/>
  <c r="BW517" i="13"/>
  <c r="BO517" i="13"/>
  <c r="BG517" i="13"/>
  <c r="BT517" i="13"/>
  <c r="BJ517" i="13"/>
  <c r="BS517" i="13"/>
  <c r="BI517" i="13"/>
  <c r="BR517" i="13"/>
  <c r="BF517" i="13"/>
  <c r="BQ517" i="13"/>
  <c r="BE517" i="13"/>
  <c r="BV517" i="13"/>
  <c r="BL517" i="13"/>
  <c r="BU517" i="13"/>
  <c r="BN517" i="13"/>
  <c r="BM517" i="13"/>
  <c r="BK517" i="13"/>
  <c r="AV542" i="13"/>
  <c r="AN542" i="13"/>
  <c r="AU542" i="13"/>
  <c r="AM542" i="13"/>
  <c r="BA542" i="13"/>
  <c r="AS542" i="13"/>
  <c r="AK542" i="13"/>
  <c r="BB542" i="13"/>
  <c r="AP542" i="13"/>
  <c r="AZ542" i="13"/>
  <c r="AO542" i="13"/>
  <c r="AY542" i="13"/>
  <c r="AL542" i="13"/>
  <c r="AX542" i="13"/>
  <c r="AJ542" i="13"/>
  <c r="AR542" i="13"/>
  <c r="AW542" i="13"/>
  <c r="AT542" i="13"/>
  <c r="AQ542" i="13"/>
  <c r="V584" i="13"/>
  <c r="U584" i="13"/>
  <c r="W584" i="13" s="1"/>
  <c r="AQ320" i="13"/>
  <c r="AY320" i="13"/>
  <c r="BL324" i="13"/>
  <c r="BT324" i="13"/>
  <c r="AQ328" i="13"/>
  <c r="AY328" i="13"/>
  <c r="BL332" i="13"/>
  <c r="BT332" i="13"/>
  <c r="AQ336" i="13"/>
  <c r="AY336" i="13"/>
  <c r="BL340" i="13"/>
  <c r="BT340" i="13"/>
  <c r="AQ344" i="13"/>
  <c r="AY344" i="13"/>
  <c r="AM348" i="13"/>
  <c r="AU348" i="13"/>
  <c r="BL348" i="13"/>
  <c r="BT348" i="13"/>
  <c r="AQ352" i="13"/>
  <c r="AY352" i="13"/>
  <c r="BH352" i="13"/>
  <c r="BP352" i="13"/>
  <c r="AM356" i="13"/>
  <c r="AU356" i="13"/>
  <c r="BL356" i="13"/>
  <c r="BT356" i="13"/>
  <c r="AQ360" i="13"/>
  <c r="AY360" i="13"/>
  <c r="BH360" i="13"/>
  <c r="BP360" i="13"/>
  <c r="AN365" i="13"/>
  <c r="AW365" i="13"/>
  <c r="BI366" i="13"/>
  <c r="BR366" i="13"/>
  <c r="AN368" i="13"/>
  <c r="AW368" i="13"/>
  <c r="AX369" i="13"/>
  <c r="AP369" i="13"/>
  <c r="AR369" i="13"/>
  <c r="BA369" i="13"/>
  <c r="AN370" i="13"/>
  <c r="AW370" i="13"/>
  <c r="BV372" i="13"/>
  <c r="BN372" i="13"/>
  <c r="BF372" i="13"/>
  <c r="BM372" i="13"/>
  <c r="BW372" i="13"/>
  <c r="BH373" i="13"/>
  <c r="BQ373" i="13"/>
  <c r="AV375" i="13"/>
  <c r="AN375" i="13"/>
  <c r="BB375" i="13"/>
  <c r="AT375" i="13"/>
  <c r="AL375" i="13"/>
  <c r="AS375" i="13"/>
  <c r="AO378" i="13"/>
  <c r="AY378" i="13"/>
  <c r="BJ379" i="13"/>
  <c r="BT379" i="13"/>
  <c r="BS381" i="13"/>
  <c r="BK381" i="13"/>
  <c r="BQ381" i="13"/>
  <c r="BI381" i="13"/>
  <c r="BN381" i="13"/>
  <c r="AX385" i="13"/>
  <c r="AP385" i="13"/>
  <c r="AV385" i="13"/>
  <c r="AN385" i="13"/>
  <c r="AS385" i="13"/>
  <c r="BW385" i="13"/>
  <c r="BO385" i="13"/>
  <c r="BG385" i="13"/>
  <c r="BU385" i="13"/>
  <c r="BM385" i="13"/>
  <c r="BE385" i="13"/>
  <c r="BP385" i="13"/>
  <c r="AL386" i="13"/>
  <c r="AW386" i="13"/>
  <c r="BF387" i="13"/>
  <c r="BR387" i="13"/>
  <c r="AN388" i="13"/>
  <c r="AY388" i="13"/>
  <c r="AO389" i="13"/>
  <c r="AY389" i="13"/>
  <c r="AO391" i="13"/>
  <c r="AY391" i="13"/>
  <c r="AU394" i="13"/>
  <c r="AM394" i="13"/>
  <c r="BA394" i="13"/>
  <c r="AS394" i="13"/>
  <c r="AK394" i="13"/>
  <c r="AT394" i="13"/>
  <c r="BQ395" i="13"/>
  <c r="BI395" i="13"/>
  <c r="BW395" i="13"/>
  <c r="BO395" i="13"/>
  <c r="BG395" i="13"/>
  <c r="BN395" i="13"/>
  <c r="AK396" i="13"/>
  <c r="AV396" i="13"/>
  <c r="AM397" i="13"/>
  <c r="AW397" i="13"/>
  <c r="BH397" i="13"/>
  <c r="BT397" i="13"/>
  <c r="AK399" i="13"/>
  <c r="AW399" i="13"/>
  <c r="AL401" i="13"/>
  <c r="AY401" i="13"/>
  <c r="AQ403" i="13"/>
  <c r="AB409" i="13"/>
  <c r="AA409" i="13"/>
  <c r="AC409" i="13" s="1"/>
  <c r="AQ409" i="13"/>
  <c r="BH409" i="13"/>
  <c r="AQ410" i="13"/>
  <c r="AN411" i="13"/>
  <c r="V418" i="13"/>
  <c r="U418" i="13"/>
  <c r="W418" i="13" s="1"/>
  <c r="AR418" i="13"/>
  <c r="AB419" i="13"/>
  <c r="AA419" i="13"/>
  <c r="AC419" i="13" s="1"/>
  <c r="BJ422" i="13"/>
  <c r="BQ428" i="13"/>
  <c r="BI428" i="13"/>
  <c r="BP428" i="13"/>
  <c r="BH428" i="13"/>
  <c r="BV428" i="13"/>
  <c r="BN428" i="13"/>
  <c r="BF428" i="13"/>
  <c r="BU428" i="13"/>
  <c r="BM428" i="13"/>
  <c r="BE428" i="13"/>
  <c r="BS428" i="13"/>
  <c r="BK428" i="13"/>
  <c r="BR428" i="13"/>
  <c r="BJ428" i="13"/>
  <c r="V432" i="13"/>
  <c r="U432" i="13"/>
  <c r="W432" i="13" s="1"/>
  <c r="AY448" i="13"/>
  <c r="BQ461" i="13"/>
  <c r="BI461" i="13"/>
  <c r="BP461" i="13"/>
  <c r="BH461" i="13"/>
  <c r="BU461" i="13"/>
  <c r="BK461" i="13"/>
  <c r="BT461" i="13"/>
  <c r="BJ461" i="13"/>
  <c r="BS461" i="13"/>
  <c r="BG461" i="13"/>
  <c r="BR461" i="13"/>
  <c r="BF461" i="13"/>
  <c r="BO461" i="13"/>
  <c r="BE461" i="13"/>
  <c r="BW461" i="13"/>
  <c r="BM461" i="13"/>
  <c r="BV461" i="13"/>
  <c r="BL461" i="13"/>
  <c r="V593" i="13"/>
  <c r="U593" i="13"/>
  <c r="W593" i="13" s="1"/>
  <c r="BL271" i="13"/>
  <c r="AQ275" i="13"/>
  <c r="BL279" i="13"/>
  <c r="BF281" i="13"/>
  <c r="BN281" i="13"/>
  <c r="AQ283" i="13"/>
  <c r="AK285" i="13"/>
  <c r="AS285" i="13"/>
  <c r="BL287" i="13"/>
  <c r="BF289" i="13"/>
  <c r="BN289" i="13"/>
  <c r="AQ291" i="13"/>
  <c r="AK293" i="13"/>
  <c r="AS293" i="13"/>
  <c r="BL295" i="13"/>
  <c r="BF297" i="13"/>
  <c r="BN297" i="13"/>
  <c r="AQ299" i="13"/>
  <c r="AK301" i="13"/>
  <c r="AS301" i="13"/>
  <c r="BL303" i="13"/>
  <c r="BF305" i="13"/>
  <c r="BN305" i="13"/>
  <c r="BK306" i="13"/>
  <c r="BS306" i="13"/>
  <c r="AQ307" i="13"/>
  <c r="AK309" i="13"/>
  <c r="AS309" i="13"/>
  <c r="AP310" i="13"/>
  <c r="AX310" i="13"/>
  <c r="BL311" i="13"/>
  <c r="BF313" i="13"/>
  <c r="BN313" i="13"/>
  <c r="BK314" i="13"/>
  <c r="BS314" i="13"/>
  <c r="AQ315" i="13"/>
  <c r="AK317" i="13"/>
  <c r="AS317" i="13"/>
  <c r="BJ317" i="13"/>
  <c r="BR317" i="13"/>
  <c r="AP318" i="13"/>
  <c r="AX318" i="13"/>
  <c r="BL319" i="13"/>
  <c r="AA320" i="13"/>
  <c r="AC320" i="13" s="1"/>
  <c r="AJ320" i="13"/>
  <c r="AR320" i="13"/>
  <c r="AZ320" i="13"/>
  <c r="AO321" i="13"/>
  <c r="AW321" i="13"/>
  <c r="BF321" i="13"/>
  <c r="BN321" i="13"/>
  <c r="BK322" i="13"/>
  <c r="BS322" i="13"/>
  <c r="AQ323" i="13"/>
  <c r="BE324" i="13"/>
  <c r="BM324" i="13"/>
  <c r="BU324" i="13"/>
  <c r="AK325" i="13"/>
  <c r="AS325" i="13"/>
  <c r="BJ325" i="13"/>
  <c r="BR325" i="13"/>
  <c r="AP326" i="13"/>
  <c r="AX326" i="13"/>
  <c r="U327" i="13"/>
  <c r="W327" i="13" s="1"/>
  <c r="BL327" i="13"/>
  <c r="AA328" i="13"/>
  <c r="AC328" i="13" s="1"/>
  <c r="AJ328" i="13"/>
  <c r="AR328" i="13"/>
  <c r="AZ328" i="13"/>
  <c r="AO329" i="13"/>
  <c r="AW329" i="13"/>
  <c r="BF329" i="13"/>
  <c r="BN329" i="13"/>
  <c r="BK330" i="13"/>
  <c r="BS330" i="13"/>
  <c r="AQ331" i="13"/>
  <c r="BE332" i="13"/>
  <c r="BM332" i="13"/>
  <c r="BU332" i="13"/>
  <c r="AK333" i="13"/>
  <c r="AS333" i="13"/>
  <c r="BJ333" i="13"/>
  <c r="BR333" i="13"/>
  <c r="AP334" i="13"/>
  <c r="AX334" i="13"/>
  <c r="U335" i="13"/>
  <c r="W335" i="13" s="1"/>
  <c r="BL335" i="13"/>
  <c r="AA336" i="13"/>
  <c r="AC336" i="13" s="1"/>
  <c r="AJ336" i="13"/>
  <c r="AR336" i="13"/>
  <c r="AZ336" i="13"/>
  <c r="AO337" i="13"/>
  <c r="AW337" i="13"/>
  <c r="BK338" i="13"/>
  <c r="BS338" i="13"/>
  <c r="AQ339" i="13"/>
  <c r="BE340" i="13"/>
  <c r="BM340" i="13"/>
  <c r="BU340" i="13"/>
  <c r="AK341" i="13"/>
  <c r="AS341" i="13"/>
  <c r="BJ341" i="13"/>
  <c r="BR341" i="13"/>
  <c r="AP342" i="13"/>
  <c r="AX342" i="13"/>
  <c r="U343" i="13"/>
  <c r="W343" i="13" s="1"/>
  <c r="BL343" i="13"/>
  <c r="AA344" i="13"/>
  <c r="AC344" i="13" s="1"/>
  <c r="AJ344" i="13"/>
  <c r="AR344" i="13"/>
  <c r="AZ344" i="13"/>
  <c r="AO345" i="13"/>
  <c r="AW345" i="13"/>
  <c r="BF345" i="13"/>
  <c r="BN345" i="13"/>
  <c r="BK346" i="13"/>
  <c r="BS346" i="13"/>
  <c r="AQ347" i="13"/>
  <c r="AN348" i="13"/>
  <c r="AV348" i="13"/>
  <c r="BE348" i="13"/>
  <c r="BM348" i="13"/>
  <c r="BU348" i="13"/>
  <c r="AK349" i="13"/>
  <c r="AS349" i="13"/>
  <c r="BJ349" i="13"/>
  <c r="BR349" i="13"/>
  <c r="AP350" i="13"/>
  <c r="AX350" i="13"/>
  <c r="U351" i="13"/>
  <c r="W351" i="13" s="1"/>
  <c r="BL351" i="13"/>
  <c r="AA352" i="13"/>
  <c r="AC352" i="13" s="1"/>
  <c r="AJ352" i="13"/>
  <c r="AR352" i="13"/>
  <c r="AZ352" i="13"/>
  <c r="BI352" i="13"/>
  <c r="BQ352" i="13"/>
  <c r="AO353" i="13"/>
  <c r="AW353" i="13"/>
  <c r="BF353" i="13"/>
  <c r="BN353" i="13"/>
  <c r="BK354" i="13"/>
  <c r="BS354" i="13"/>
  <c r="AQ355" i="13"/>
  <c r="AN356" i="13"/>
  <c r="AV356" i="13"/>
  <c r="BE356" i="13"/>
  <c r="BM356" i="13"/>
  <c r="BU356" i="13"/>
  <c r="AK357" i="13"/>
  <c r="AS357" i="13"/>
  <c r="BJ357" i="13"/>
  <c r="BR357" i="13"/>
  <c r="AP358" i="13"/>
  <c r="AX358" i="13"/>
  <c r="U359" i="13"/>
  <c r="W359" i="13" s="1"/>
  <c r="BL359" i="13"/>
  <c r="AA360" i="13"/>
  <c r="AC360" i="13" s="1"/>
  <c r="AJ360" i="13"/>
  <c r="AR360" i="13"/>
  <c r="AZ360" i="13"/>
  <c r="BI360" i="13"/>
  <c r="BQ360" i="13"/>
  <c r="AO361" i="13"/>
  <c r="AW361" i="13"/>
  <c r="BF361" i="13"/>
  <c r="BN361" i="13"/>
  <c r="BK362" i="13"/>
  <c r="BS362" i="13"/>
  <c r="AQ363" i="13"/>
  <c r="AK364" i="13"/>
  <c r="AT364" i="13"/>
  <c r="BV364" i="13"/>
  <c r="BN364" i="13"/>
  <c r="BF364" i="13"/>
  <c r="BM364" i="13"/>
  <c r="BW364" i="13"/>
  <c r="AO365" i="13"/>
  <c r="AX365" i="13"/>
  <c r="BJ366" i="13"/>
  <c r="BS366" i="13"/>
  <c r="AA367" i="13"/>
  <c r="AC367" i="13" s="1"/>
  <c r="AK367" i="13"/>
  <c r="AT367" i="13"/>
  <c r="BU367" i="13"/>
  <c r="BM367" i="13"/>
  <c r="BE367" i="13"/>
  <c r="BN367" i="13"/>
  <c r="BW367" i="13"/>
  <c r="U368" i="13"/>
  <c r="W368" i="13" s="1"/>
  <c r="AO368" i="13"/>
  <c r="AX368" i="13"/>
  <c r="AJ369" i="13"/>
  <c r="AS369" i="13"/>
  <c r="BB369" i="13"/>
  <c r="BL369" i="13"/>
  <c r="AO370" i="13"/>
  <c r="AX370" i="13"/>
  <c r="AQ371" i="13"/>
  <c r="BK371" i="13"/>
  <c r="BT371" i="13"/>
  <c r="BE372" i="13"/>
  <c r="BO372" i="13"/>
  <c r="AP373" i="13"/>
  <c r="AY373" i="13"/>
  <c r="BI373" i="13"/>
  <c r="BR373" i="13"/>
  <c r="BP374" i="13"/>
  <c r="BH374" i="13"/>
  <c r="BV374" i="13"/>
  <c r="BN374" i="13"/>
  <c r="BF374" i="13"/>
  <c r="BO374" i="13"/>
  <c r="AJ375" i="13"/>
  <c r="AU375" i="13"/>
  <c r="BG375" i="13"/>
  <c r="BQ375" i="13"/>
  <c r="BF376" i="13"/>
  <c r="BQ376" i="13"/>
  <c r="AA377" i="13"/>
  <c r="AC377" i="13" s="1"/>
  <c r="AP378" i="13"/>
  <c r="AZ378" i="13"/>
  <c r="BK379" i="13"/>
  <c r="BU379" i="13"/>
  <c r="AR380" i="13"/>
  <c r="BE381" i="13"/>
  <c r="BO381" i="13"/>
  <c r="BL382" i="13"/>
  <c r="BW382" i="13"/>
  <c r="BU383" i="13"/>
  <c r="BM383" i="13"/>
  <c r="BE383" i="13"/>
  <c r="BS383" i="13"/>
  <c r="BK383" i="13"/>
  <c r="BO383" i="13"/>
  <c r="BR384" i="13"/>
  <c r="BJ384" i="13"/>
  <c r="BP384" i="13"/>
  <c r="BH384" i="13"/>
  <c r="BN384" i="13"/>
  <c r="AJ385" i="13"/>
  <c r="AT385" i="13"/>
  <c r="BF385" i="13"/>
  <c r="BQ385" i="13"/>
  <c r="AA386" i="13"/>
  <c r="AC386" i="13" s="1"/>
  <c r="AN386" i="13"/>
  <c r="AX386" i="13"/>
  <c r="AL387" i="13"/>
  <c r="AV387" i="13"/>
  <c r="BH387" i="13"/>
  <c r="BS387" i="13"/>
  <c r="AP388" i="13"/>
  <c r="AZ388" i="13"/>
  <c r="AP389" i="13"/>
  <c r="BA389" i="13"/>
  <c r="BM389" i="13"/>
  <c r="U390" i="13"/>
  <c r="W390" i="13" s="1"/>
  <c r="AP391" i="13"/>
  <c r="AZ391" i="13"/>
  <c r="BL391" i="13"/>
  <c r="BW391" i="13"/>
  <c r="U392" i="13"/>
  <c r="W392" i="13" s="1"/>
  <c r="BL392" i="13"/>
  <c r="BV392" i="13"/>
  <c r="AR393" i="13"/>
  <c r="AJ394" i="13"/>
  <c r="AV394" i="13"/>
  <c r="AZ395" i="13"/>
  <c r="AR395" i="13"/>
  <c r="AJ395" i="13"/>
  <c r="AX395" i="13"/>
  <c r="AP395" i="13"/>
  <c r="AT395" i="13"/>
  <c r="BE395" i="13"/>
  <c r="BP395" i="13"/>
  <c r="AA396" i="13"/>
  <c r="AC396" i="13" s="1"/>
  <c r="AL396" i="13"/>
  <c r="AX396" i="13"/>
  <c r="AB397" i="13"/>
  <c r="AN397" i="13"/>
  <c r="AX397" i="13"/>
  <c r="BJ397" i="13"/>
  <c r="BU397" i="13"/>
  <c r="BG398" i="13"/>
  <c r="BR398" i="13"/>
  <c r="AA399" i="13"/>
  <c r="AC399" i="13" s="1"/>
  <c r="AM399" i="13"/>
  <c r="AX399" i="13"/>
  <c r="BN400" i="13"/>
  <c r="AE401" i="13"/>
  <c r="AM401" i="13"/>
  <c r="AZ401" i="13"/>
  <c r="BN401" i="13"/>
  <c r="AB403" i="13"/>
  <c r="AS403" i="13"/>
  <c r="BB405" i="13"/>
  <c r="AT405" i="13"/>
  <c r="AL405" i="13"/>
  <c r="AZ405" i="13"/>
  <c r="AR405" i="13"/>
  <c r="AJ405" i="13"/>
  <c r="AW405" i="13"/>
  <c r="AO405" i="13"/>
  <c r="AV405" i="13"/>
  <c r="AN405" i="13"/>
  <c r="AY405" i="13"/>
  <c r="BP405" i="13"/>
  <c r="BG406" i="13"/>
  <c r="BW406" i="13"/>
  <c r="AT409" i="13"/>
  <c r="BK409" i="13"/>
  <c r="AA410" i="13"/>
  <c r="AC410" i="13" s="1"/>
  <c r="AR410" i="13"/>
  <c r="AO411" i="13"/>
  <c r="AU413" i="13"/>
  <c r="BP414" i="13"/>
  <c r="BH414" i="13"/>
  <c r="BV414" i="13"/>
  <c r="BN414" i="13"/>
  <c r="BF414" i="13"/>
  <c r="BS414" i="13"/>
  <c r="BK414" i="13"/>
  <c r="BR414" i="13"/>
  <c r="BJ414" i="13"/>
  <c r="BT414" i="13"/>
  <c r="BJ415" i="13"/>
  <c r="AT418" i="13"/>
  <c r="AY419" i="13"/>
  <c r="BL422" i="13"/>
  <c r="BP423" i="13"/>
  <c r="BH423" i="13"/>
  <c r="BW423" i="13"/>
  <c r="BO423" i="13"/>
  <c r="BG423" i="13"/>
  <c r="BU423" i="13"/>
  <c r="BM423" i="13"/>
  <c r="BE423" i="13"/>
  <c r="BR423" i="13"/>
  <c r="BJ423" i="13"/>
  <c r="BQ423" i="13"/>
  <c r="BI423" i="13"/>
  <c r="AA424" i="13"/>
  <c r="AC424" i="13" s="1"/>
  <c r="AY424" i="13"/>
  <c r="BG428" i="13"/>
  <c r="BL429" i="13"/>
  <c r="AB432" i="13"/>
  <c r="AA432" i="13"/>
  <c r="AC432" i="13" s="1"/>
  <c r="AY440" i="13"/>
  <c r="AE454" i="13"/>
  <c r="AF457" i="13"/>
  <c r="BN461" i="13"/>
  <c r="V472" i="13"/>
  <c r="AE472" i="13" s="1"/>
  <c r="U472" i="13"/>
  <c r="W472" i="13" s="1"/>
  <c r="AA476" i="13"/>
  <c r="AC476" i="13" s="1"/>
  <c r="AB476" i="13"/>
  <c r="AB489" i="13"/>
  <c r="AE489" i="13" s="1"/>
  <c r="AA489" i="13"/>
  <c r="AC489" i="13" s="1"/>
  <c r="AE490" i="13"/>
  <c r="BQ493" i="13"/>
  <c r="BI493" i="13"/>
  <c r="BP493" i="13"/>
  <c r="BH493" i="13"/>
  <c r="BW493" i="13"/>
  <c r="BO493" i="13"/>
  <c r="BG493" i="13"/>
  <c r="BV493" i="13"/>
  <c r="BN493" i="13"/>
  <c r="BF493" i="13"/>
  <c r="BM493" i="13"/>
  <c r="BL493" i="13"/>
  <c r="BK493" i="13"/>
  <c r="BJ493" i="13"/>
  <c r="BU493" i="13"/>
  <c r="BE493" i="13"/>
  <c r="BS493" i="13"/>
  <c r="BR493" i="13"/>
  <c r="AW558" i="13"/>
  <c r="AO558" i="13"/>
  <c r="AV558" i="13"/>
  <c r="AN558" i="13"/>
  <c r="AU558" i="13"/>
  <c r="AM558" i="13"/>
  <c r="BB558" i="13"/>
  <c r="AT558" i="13"/>
  <c r="AL558" i="13"/>
  <c r="BA558" i="13"/>
  <c r="AS558" i="13"/>
  <c r="AK558" i="13"/>
  <c r="AX558" i="13"/>
  <c r="AR558" i="13"/>
  <c r="AQ558" i="13"/>
  <c r="AP558" i="13"/>
  <c r="AZ558" i="13"/>
  <c r="AY558" i="13"/>
  <c r="AJ558" i="13"/>
  <c r="V581" i="13"/>
  <c r="AE581" i="13" s="1"/>
  <c r="U581" i="13"/>
  <c r="W581" i="13" s="1"/>
  <c r="AB616" i="13"/>
  <c r="AE616" i="13" s="1"/>
  <c r="AA616" i="13"/>
  <c r="AC616" i="13" s="1"/>
  <c r="BL306" i="13"/>
  <c r="AQ310" i="13"/>
  <c r="BL314" i="13"/>
  <c r="BK317" i="13"/>
  <c r="AQ318" i="13"/>
  <c r="AK320" i="13"/>
  <c r="AS320" i="13"/>
  <c r="AP321" i="13"/>
  <c r="BL322" i="13"/>
  <c r="BF324" i="13"/>
  <c r="BN324" i="13"/>
  <c r="BK325" i="13"/>
  <c r="AQ326" i="13"/>
  <c r="AK328" i="13"/>
  <c r="AS328" i="13"/>
  <c r="AP329" i="13"/>
  <c r="BL330" i="13"/>
  <c r="BF332" i="13"/>
  <c r="BN332" i="13"/>
  <c r="BK333" i="13"/>
  <c r="AQ334" i="13"/>
  <c r="AK336" i="13"/>
  <c r="AS336" i="13"/>
  <c r="AP337" i="13"/>
  <c r="BL338" i="13"/>
  <c r="BF340" i="13"/>
  <c r="BN340" i="13"/>
  <c r="BK341" i="13"/>
  <c r="AQ342" i="13"/>
  <c r="AK344" i="13"/>
  <c r="AS344" i="13"/>
  <c r="AP345" i="13"/>
  <c r="BL346" i="13"/>
  <c r="AO348" i="13"/>
  <c r="BF348" i="13"/>
  <c r="BN348" i="13"/>
  <c r="BK349" i="13"/>
  <c r="AQ350" i="13"/>
  <c r="AK352" i="13"/>
  <c r="AS352" i="13"/>
  <c r="BJ352" i="13"/>
  <c r="AP353" i="13"/>
  <c r="BL354" i="13"/>
  <c r="AO356" i="13"/>
  <c r="BF356" i="13"/>
  <c r="BN356" i="13"/>
  <c r="BK357" i="13"/>
  <c r="AQ358" i="13"/>
  <c r="AK360" i="13"/>
  <c r="AS360" i="13"/>
  <c r="BJ360" i="13"/>
  <c r="AP361" i="13"/>
  <c r="BL362" i="13"/>
  <c r="AP365" i="13"/>
  <c r="AY365" i="13"/>
  <c r="BK366" i="13"/>
  <c r="BT366" i="13"/>
  <c r="AP368" i="13"/>
  <c r="AY368" i="13"/>
  <c r="AK369" i="13"/>
  <c r="AT369" i="13"/>
  <c r="BW369" i="13"/>
  <c r="BO369" i="13"/>
  <c r="BG369" i="13"/>
  <c r="BM369" i="13"/>
  <c r="BV369" i="13"/>
  <c r="AP370" i="13"/>
  <c r="AY370" i="13"/>
  <c r="AZ371" i="13"/>
  <c r="AR371" i="13"/>
  <c r="AJ371" i="13"/>
  <c r="AS371" i="13"/>
  <c r="BB371" i="13"/>
  <c r="BL371" i="13"/>
  <c r="BU371" i="13"/>
  <c r="BG372" i="13"/>
  <c r="BP372" i="13"/>
  <c r="AQ373" i="13"/>
  <c r="AZ373" i="13"/>
  <c r="BJ373" i="13"/>
  <c r="BT373" i="13"/>
  <c r="AK375" i="13"/>
  <c r="AW375" i="13"/>
  <c r="AQ378" i="13"/>
  <c r="BB378" i="13"/>
  <c r="BL379" i="13"/>
  <c r="BV379" i="13"/>
  <c r="AW380" i="13"/>
  <c r="AO380" i="13"/>
  <c r="AU380" i="13"/>
  <c r="AM380" i="13"/>
  <c r="AS380" i="13"/>
  <c r="BB381" i="13"/>
  <c r="AT381" i="13"/>
  <c r="AL381" i="13"/>
  <c r="AZ381" i="13"/>
  <c r="AR381" i="13"/>
  <c r="AJ381" i="13"/>
  <c r="AU381" i="13"/>
  <c r="BF381" i="13"/>
  <c r="BP381" i="13"/>
  <c r="BM382" i="13"/>
  <c r="AV383" i="13"/>
  <c r="AN383" i="13"/>
  <c r="BB383" i="13"/>
  <c r="AT383" i="13"/>
  <c r="AL383" i="13"/>
  <c r="AS383" i="13"/>
  <c r="AK385" i="13"/>
  <c r="AU385" i="13"/>
  <c r="BH385" i="13"/>
  <c r="BR385" i="13"/>
  <c r="AO386" i="13"/>
  <c r="AY386" i="13"/>
  <c r="BJ387" i="13"/>
  <c r="BT387" i="13"/>
  <c r="AQ388" i="13"/>
  <c r="BA388" i="13"/>
  <c r="AQ389" i="13"/>
  <c r="BS389" i="13"/>
  <c r="BK389" i="13"/>
  <c r="BQ389" i="13"/>
  <c r="BI389" i="13"/>
  <c r="BN389" i="13"/>
  <c r="AQ391" i="13"/>
  <c r="BA391" i="13"/>
  <c r="BN391" i="13"/>
  <c r="BM392" i="13"/>
  <c r="BW392" i="13"/>
  <c r="AX393" i="13"/>
  <c r="AP393" i="13"/>
  <c r="AV393" i="13"/>
  <c r="AN393" i="13"/>
  <c r="AS393" i="13"/>
  <c r="BW393" i="13"/>
  <c r="BO393" i="13"/>
  <c r="BG393" i="13"/>
  <c r="BU393" i="13"/>
  <c r="BM393" i="13"/>
  <c r="BE393" i="13"/>
  <c r="BP393" i="13"/>
  <c r="AL394" i="13"/>
  <c r="AW394" i="13"/>
  <c r="BF395" i="13"/>
  <c r="BR395" i="13"/>
  <c r="AN396" i="13"/>
  <c r="AY396" i="13"/>
  <c r="AO397" i="13"/>
  <c r="AY397" i="13"/>
  <c r="BL397" i="13"/>
  <c r="BV397" i="13"/>
  <c r="AO399" i="13"/>
  <c r="AY399" i="13"/>
  <c r="BO400" i="13"/>
  <c r="AO401" i="13"/>
  <c r="BB401" i="13"/>
  <c r="BP401" i="13"/>
  <c r="AU402" i="13"/>
  <c r="AM402" i="13"/>
  <c r="BA402" i="13"/>
  <c r="AS402" i="13"/>
  <c r="AK402" i="13"/>
  <c r="AX402" i="13"/>
  <c r="AP402" i="13"/>
  <c r="AW402" i="13"/>
  <c r="AO402" i="13"/>
  <c r="AY402" i="13"/>
  <c r="AV403" i="13"/>
  <c r="BR405" i="13"/>
  <c r="BI406" i="13"/>
  <c r="AU409" i="13"/>
  <c r="BL409" i="13"/>
  <c r="AT410" i="13"/>
  <c r="AQ411" i="13"/>
  <c r="BL415" i="13"/>
  <c r="BP417" i="13"/>
  <c r="BH417" i="13"/>
  <c r="BW417" i="13"/>
  <c r="BO417" i="13"/>
  <c r="BG417" i="13"/>
  <c r="BU417" i="13"/>
  <c r="BM417" i="13"/>
  <c r="BE417" i="13"/>
  <c r="BR417" i="13"/>
  <c r="BJ417" i="13"/>
  <c r="BQ417" i="13"/>
  <c r="BI417" i="13"/>
  <c r="AY418" i="13"/>
  <c r="AU421" i="13"/>
  <c r="AM421" i="13"/>
  <c r="BB421" i="13"/>
  <c r="AT421" i="13"/>
  <c r="AL421" i="13"/>
  <c r="AZ421" i="13"/>
  <c r="AR421" i="13"/>
  <c r="AJ421" i="13"/>
  <c r="AW421" i="13"/>
  <c r="AO421" i="13"/>
  <c r="AV421" i="13"/>
  <c r="AN421" i="13"/>
  <c r="BQ422" i="13"/>
  <c r="BA425" i="13"/>
  <c r="AS425" i="13"/>
  <c r="AK425" i="13"/>
  <c r="AZ425" i="13"/>
  <c r="AR425" i="13"/>
  <c r="AJ425" i="13"/>
  <c r="AX425" i="13"/>
  <c r="AP425" i="13"/>
  <c r="AU425" i="13"/>
  <c r="AM425" i="13"/>
  <c r="BB425" i="13"/>
  <c r="AT425" i="13"/>
  <c r="AL425" i="13"/>
  <c r="BL428" i="13"/>
  <c r="BQ429" i="13"/>
  <c r="AE437" i="13"/>
  <c r="AE446" i="13"/>
  <c r="AF460" i="13"/>
  <c r="AB463" i="13"/>
  <c r="AA463" i="13"/>
  <c r="AC463" i="13" s="1"/>
  <c r="AB466" i="13"/>
  <c r="AE466" i="13" s="1"/>
  <c r="AA466" i="13"/>
  <c r="AC466" i="13" s="1"/>
  <c r="AV497" i="13"/>
  <c r="AN497" i="13"/>
  <c r="AU497" i="13"/>
  <c r="AM497" i="13"/>
  <c r="BB497" i="13"/>
  <c r="AT497" i="13"/>
  <c r="AL497" i="13"/>
  <c r="BA497" i="13"/>
  <c r="AS497" i="13"/>
  <c r="AK497" i="13"/>
  <c r="AR497" i="13"/>
  <c r="AQ497" i="13"/>
  <c r="AP497" i="13"/>
  <c r="AO497" i="13"/>
  <c r="AZ497" i="13"/>
  <c r="AJ497" i="13"/>
  <c r="AX497" i="13"/>
  <c r="AW497" i="13"/>
  <c r="AU500" i="13"/>
  <c r="AM500" i="13"/>
  <c r="BB500" i="13"/>
  <c r="AT500" i="13"/>
  <c r="AL500" i="13"/>
  <c r="BA500" i="13"/>
  <c r="AS500" i="13"/>
  <c r="AK500" i="13"/>
  <c r="AZ500" i="13"/>
  <c r="AR500" i="13"/>
  <c r="AJ500" i="13"/>
  <c r="AW500" i="13"/>
  <c r="AO500" i="13"/>
  <c r="AX500" i="13"/>
  <c r="AV500" i="13"/>
  <c r="AQ500" i="13"/>
  <c r="AP500" i="13"/>
  <c r="AN500" i="13"/>
  <c r="AY500" i="13"/>
  <c r="AB535" i="13"/>
  <c r="AA535" i="13"/>
  <c r="AC535" i="13" s="1"/>
  <c r="BS567" i="13"/>
  <c r="BK567" i="13"/>
  <c r="BR567" i="13"/>
  <c r="BJ567" i="13"/>
  <c r="BQ567" i="13"/>
  <c r="BI567" i="13"/>
  <c r="BP567" i="13"/>
  <c r="BH567" i="13"/>
  <c r="BW567" i="13"/>
  <c r="BO567" i="13"/>
  <c r="BG567" i="13"/>
  <c r="BN567" i="13"/>
  <c r="BM567" i="13"/>
  <c r="BL567" i="13"/>
  <c r="BF567" i="13"/>
  <c r="BU567" i="13"/>
  <c r="BV567" i="13"/>
  <c r="BT567" i="13"/>
  <c r="BE567" i="13"/>
  <c r="BA608" i="13"/>
  <c r="AS608" i="13"/>
  <c r="AK608" i="13"/>
  <c r="AV608" i="13"/>
  <c r="AN608" i="13"/>
  <c r="AZ608" i="13"/>
  <c r="AP608" i="13"/>
  <c r="AY608" i="13"/>
  <c r="AO608" i="13"/>
  <c r="AX608" i="13"/>
  <c r="AM608" i="13"/>
  <c r="AW608" i="13"/>
  <c r="AL608" i="13"/>
  <c r="AU608" i="13"/>
  <c r="AJ608" i="13"/>
  <c r="AR608" i="13"/>
  <c r="BB608" i="13"/>
  <c r="AT608" i="13"/>
  <c r="AQ608" i="13"/>
  <c r="AQ404" i="13"/>
  <c r="AY404" i="13"/>
  <c r="BL408" i="13"/>
  <c r="BT408" i="13"/>
  <c r="AQ412" i="13"/>
  <c r="AY412" i="13"/>
  <c r="U416" i="13"/>
  <c r="W416" i="13" s="1"/>
  <c r="BL416" i="13"/>
  <c r="BT416" i="13"/>
  <c r="AA417" i="13"/>
  <c r="AC417" i="13" s="1"/>
  <c r="AJ417" i="13"/>
  <c r="AR417" i="13"/>
  <c r="AZ417" i="13"/>
  <c r="AQ420" i="13"/>
  <c r="AY420" i="13"/>
  <c r="BE421" i="13"/>
  <c r="BM421" i="13"/>
  <c r="BU421" i="13"/>
  <c r="AA423" i="13"/>
  <c r="AC423" i="13" s="1"/>
  <c r="AJ423" i="13"/>
  <c r="AR423" i="13"/>
  <c r="AZ423" i="13"/>
  <c r="AQ426" i="13"/>
  <c r="AY426" i="13"/>
  <c r="AN427" i="13"/>
  <c r="AV427" i="13"/>
  <c r="BE427" i="13"/>
  <c r="BM427" i="13"/>
  <c r="BU427" i="13"/>
  <c r="U430" i="13"/>
  <c r="W430" i="13" s="1"/>
  <c r="BL430" i="13"/>
  <c r="BT430" i="13"/>
  <c r="AA431" i="13"/>
  <c r="AC431" i="13" s="1"/>
  <c r="AJ431" i="13"/>
  <c r="AR431" i="13"/>
  <c r="AZ431" i="13"/>
  <c r="BI431" i="13"/>
  <c r="BQ431" i="13"/>
  <c r="AQ434" i="13"/>
  <c r="AY434" i="13"/>
  <c r="AN435" i="13"/>
  <c r="AV435" i="13"/>
  <c r="BE435" i="13"/>
  <c r="BM435" i="13"/>
  <c r="BU435" i="13"/>
  <c r="BG437" i="13"/>
  <c r="BO437" i="13"/>
  <c r="BW437" i="13"/>
  <c r="U438" i="13"/>
  <c r="W438" i="13" s="1"/>
  <c r="BL438" i="13"/>
  <c r="BT438" i="13"/>
  <c r="AA439" i="13"/>
  <c r="AC439" i="13" s="1"/>
  <c r="AJ439" i="13"/>
  <c r="AR439" i="13"/>
  <c r="AZ439" i="13"/>
  <c r="BI439" i="13"/>
  <c r="BQ439" i="13"/>
  <c r="AL441" i="13"/>
  <c r="AT441" i="13"/>
  <c r="BB441" i="13"/>
  <c r="AQ442" i="13"/>
  <c r="AY442" i="13"/>
  <c r="AN443" i="13"/>
  <c r="AV443" i="13"/>
  <c r="BE443" i="13"/>
  <c r="BM443" i="13"/>
  <c r="BU443" i="13"/>
  <c r="BG445" i="13"/>
  <c r="BO445" i="13"/>
  <c r="BW445" i="13"/>
  <c r="U446" i="13"/>
  <c r="W446" i="13" s="1"/>
  <c r="BL446" i="13"/>
  <c r="BT446" i="13"/>
  <c r="AA447" i="13"/>
  <c r="AC447" i="13" s="1"/>
  <c r="AJ447" i="13"/>
  <c r="AR447" i="13"/>
  <c r="AZ447" i="13"/>
  <c r="BI447" i="13"/>
  <c r="BQ447" i="13"/>
  <c r="AL449" i="13"/>
  <c r="AT449" i="13"/>
  <c r="BB449" i="13"/>
  <c r="AQ450" i="13"/>
  <c r="AY450" i="13"/>
  <c r="AN451" i="13"/>
  <c r="AV451" i="13"/>
  <c r="BE451" i="13"/>
  <c r="BM451" i="13"/>
  <c r="BU451" i="13"/>
  <c r="BG453" i="13"/>
  <c r="BO453" i="13"/>
  <c r="BW453" i="13"/>
  <c r="U454" i="13"/>
  <c r="W454" i="13" s="1"/>
  <c r="BL454" i="13"/>
  <c r="BT454" i="13"/>
  <c r="AA455" i="13"/>
  <c r="AC455" i="13" s="1"/>
  <c r="AJ455" i="13"/>
  <c r="AR455" i="13"/>
  <c r="AZ455" i="13"/>
  <c r="BI455" i="13"/>
  <c r="BQ455" i="13"/>
  <c r="V457" i="13"/>
  <c r="AZ458" i="13"/>
  <c r="AR458" i="13"/>
  <c r="AJ458" i="13"/>
  <c r="AS458" i="13"/>
  <c r="BB458" i="13"/>
  <c r="BB463" i="13"/>
  <c r="AT463" i="13"/>
  <c r="AL463" i="13"/>
  <c r="BA463" i="13"/>
  <c r="AS463" i="13"/>
  <c r="AK463" i="13"/>
  <c r="AU463" i="13"/>
  <c r="BE464" i="13"/>
  <c r="BQ464" i="13"/>
  <c r="AA465" i="13"/>
  <c r="AC465" i="13" s="1"/>
  <c r="AL465" i="13"/>
  <c r="AX465" i="13"/>
  <c r="BA466" i="13"/>
  <c r="AS466" i="13"/>
  <c r="AK466" i="13"/>
  <c r="AZ466" i="13"/>
  <c r="AR466" i="13"/>
  <c r="AJ466" i="13"/>
  <c r="AU466" i="13"/>
  <c r="AA467" i="13"/>
  <c r="AC467" i="13" s="1"/>
  <c r="AL467" i="13"/>
  <c r="AV467" i="13"/>
  <c r="BI467" i="13"/>
  <c r="BS467" i="13"/>
  <c r="BQ469" i="13"/>
  <c r="BI469" i="13"/>
  <c r="BP469" i="13"/>
  <c r="BH469" i="13"/>
  <c r="BN469" i="13"/>
  <c r="AJ470" i="13"/>
  <c r="AT470" i="13"/>
  <c r="BG470" i="13"/>
  <c r="BQ470" i="13"/>
  <c r="BI472" i="13"/>
  <c r="BS472" i="13"/>
  <c r="AP473" i="13"/>
  <c r="AZ473" i="13"/>
  <c r="AB474" i="13"/>
  <c r="AA474" i="13"/>
  <c r="AC474" i="13" s="1"/>
  <c r="AN475" i="13"/>
  <c r="AZ475" i="13"/>
  <c r="BK475" i="13"/>
  <c r="AK476" i="13"/>
  <c r="AX476" i="13"/>
  <c r="BE479" i="13"/>
  <c r="BQ479" i="13"/>
  <c r="AE480" i="13"/>
  <c r="BE482" i="13"/>
  <c r="BU482" i="13"/>
  <c r="V483" i="13"/>
  <c r="AE483" i="13" s="1"/>
  <c r="U483" i="13"/>
  <c r="W483" i="13" s="1"/>
  <c r="AL483" i="13"/>
  <c r="BB483" i="13"/>
  <c r="AB484" i="13"/>
  <c r="AA484" i="13"/>
  <c r="AC484" i="13" s="1"/>
  <c r="AP486" i="13"/>
  <c r="BE487" i="13"/>
  <c r="BU487" i="13"/>
  <c r="BP488" i="13"/>
  <c r="BH488" i="13"/>
  <c r="BW488" i="13"/>
  <c r="BO488" i="13"/>
  <c r="BG488" i="13"/>
  <c r="BV488" i="13"/>
  <c r="BN488" i="13"/>
  <c r="BF488" i="13"/>
  <c r="BU488" i="13"/>
  <c r="BM488" i="13"/>
  <c r="BE488" i="13"/>
  <c r="BT488" i="13"/>
  <c r="BR490" i="13"/>
  <c r="BJ490" i="13"/>
  <c r="BQ490" i="13"/>
  <c r="BI490" i="13"/>
  <c r="BP490" i="13"/>
  <c r="BH490" i="13"/>
  <c r="BW490" i="13"/>
  <c r="BO490" i="13"/>
  <c r="BG490" i="13"/>
  <c r="BT490" i="13"/>
  <c r="AB492" i="13"/>
  <c r="AA492" i="13"/>
  <c r="AC492" i="13" s="1"/>
  <c r="BM495" i="13"/>
  <c r="BL501" i="13"/>
  <c r="AA506" i="13"/>
  <c r="AC506" i="13" s="1"/>
  <c r="AB506" i="13"/>
  <c r="BQ506" i="13"/>
  <c r="BI506" i="13"/>
  <c r="BU506" i="13"/>
  <c r="BL506" i="13"/>
  <c r="BT506" i="13"/>
  <c r="BK506" i="13"/>
  <c r="BS506" i="13"/>
  <c r="BJ506" i="13"/>
  <c r="BR506" i="13"/>
  <c r="BH506" i="13"/>
  <c r="BW506" i="13"/>
  <c r="BN506" i="13"/>
  <c r="BE506" i="13"/>
  <c r="AW515" i="13"/>
  <c r="AO515" i="13"/>
  <c r="AX515" i="13"/>
  <c r="AN515" i="13"/>
  <c r="AV515" i="13"/>
  <c r="AM515" i="13"/>
  <c r="AU515" i="13"/>
  <c r="AL515" i="13"/>
  <c r="AT515" i="13"/>
  <c r="AK515" i="13"/>
  <c r="AZ515" i="13"/>
  <c r="AQ515" i="13"/>
  <c r="AB519" i="13"/>
  <c r="AA519" i="13"/>
  <c r="AC519" i="13" s="1"/>
  <c r="BR527" i="13"/>
  <c r="BJ527" i="13"/>
  <c r="BQ527" i="13"/>
  <c r="BI527" i="13"/>
  <c r="BW527" i="13"/>
  <c r="BO527" i="13"/>
  <c r="BG527" i="13"/>
  <c r="BN527" i="13"/>
  <c r="BM527" i="13"/>
  <c r="BL527" i="13"/>
  <c r="BV527" i="13"/>
  <c r="BK527" i="13"/>
  <c r="BS527" i="13"/>
  <c r="BE527" i="13"/>
  <c r="AW531" i="13"/>
  <c r="AO531" i="13"/>
  <c r="AV531" i="13"/>
  <c r="AN531" i="13"/>
  <c r="BB531" i="13"/>
  <c r="AT531" i="13"/>
  <c r="AL531" i="13"/>
  <c r="BA531" i="13"/>
  <c r="AP531" i="13"/>
  <c r="AZ531" i="13"/>
  <c r="AM531" i="13"/>
  <c r="AY531" i="13"/>
  <c r="AK531" i="13"/>
  <c r="AX531" i="13"/>
  <c r="AJ531" i="13"/>
  <c r="AR531" i="13"/>
  <c r="V565" i="13"/>
  <c r="U565" i="13"/>
  <c r="W565" i="13" s="1"/>
  <c r="AX571" i="13"/>
  <c r="AP571" i="13"/>
  <c r="AW571" i="13"/>
  <c r="AO571" i="13"/>
  <c r="AV571" i="13"/>
  <c r="AN571" i="13"/>
  <c r="AU571" i="13"/>
  <c r="AM571" i="13"/>
  <c r="BB571" i="13"/>
  <c r="AT571" i="13"/>
  <c r="AL571" i="13"/>
  <c r="AS571" i="13"/>
  <c r="AR571" i="13"/>
  <c r="AQ571" i="13"/>
  <c r="AK571" i="13"/>
  <c r="AZ571" i="13"/>
  <c r="BN575" i="13"/>
  <c r="BO590" i="13"/>
  <c r="BS597" i="13"/>
  <c r="BK597" i="13"/>
  <c r="BU597" i="13"/>
  <c r="BL597" i="13"/>
  <c r="BT597" i="13"/>
  <c r="BJ597" i="13"/>
  <c r="BR597" i="13"/>
  <c r="BI597" i="13"/>
  <c r="BQ597" i="13"/>
  <c r="BH597" i="13"/>
  <c r="BP597" i="13"/>
  <c r="BG597" i="13"/>
  <c r="BW597" i="13"/>
  <c r="BV597" i="13"/>
  <c r="BO597" i="13"/>
  <c r="BN597" i="13"/>
  <c r="BE597" i="13"/>
  <c r="AB600" i="13"/>
  <c r="AA600" i="13"/>
  <c r="AC600" i="13" s="1"/>
  <c r="BL403" i="13"/>
  <c r="BT403" i="13"/>
  <c r="AJ404" i="13"/>
  <c r="AR404" i="13"/>
  <c r="AZ404" i="13"/>
  <c r="AQ407" i="13"/>
  <c r="AY407" i="13"/>
  <c r="BE408" i="13"/>
  <c r="BM408" i="13"/>
  <c r="BU408" i="13"/>
  <c r="BL411" i="13"/>
  <c r="BT411" i="13"/>
  <c r="AJ412" i="13"/>
  <c r="AR412" i="13"/>
  <c r="AZ412" i="13"/>
  <c r="AQ415" i="13"/>
  <c r="AY415" i="13"/>
  <c r="BE416" i="13"/>
  <c r="BM416" i="13"/>
  <c r="BU416" i="13"/>
  <c r="AK417" i="13"/>
  <c r="AS417" i="13"/>
  <c r="BA417" i="13"/>
  <c r="BL419" i="13"/>
  <c r="BT419" i="13"/>
  <c r="AJ420" i="13"/>
  <c r="AR420" i="13"/>
  <c r="AZ420" i="13"/>
  <c r="BF421" i="13"/>
  <c r="BN421" i="13"/>
  <c r="BV421" i="13"/>
  <c r="AQ422" i="13"/>
  <c r="AY422" i="13"/>
  <c r="AK423" i="13"/>
  <c r="AS423" i="13"/>
  <c r="BA423" i="13"/>
  <c r="BL425" i="13"/>
  <c r="BT425" i="13"/>
  <c r="AJ426" i="13"/>
  <c r="AR426" i="13"/>
  <c r="AZ426" i="13"/>
  <c r="AO427" i="13"/>
  <c r="AW427" i="13"/>
  <c r="BF427" i="13"/>
  <c r="BN427" i="13"/>
  <c r="BV427" i="13"/>
  <c r="AQ429" i="13"/>
  <c r="AY429" i="13"/>
  <c r="BE430" i="13"/>
  <c r="BM430" i="13"/>
  <c r="BU430" i="13"/>
  <c r="AK431" i="13"/>
  <c r="AS431" i="13"/>
  <c r="BA431" i="13"/>
  <c r="BJ431" i="13"/>
  <c r="BR431" i="13"/>
  <c r="BL433" i="13"/>
  <c r="BT433" i="13"/>
  <c r="AJ434" i="13"/>
  <c r="AR434" i="13"/>
  <c r="AZ434" i="13"/>
  <c r="AO435" i="13"/>
  <c r="AW435" i="13"/>
  <c r="BF435" i="13"/>
  <c r="BN435" i="13"/>
  <c r="BV435" i="13"/>
  <c r="AQ437" i="13"/>
  <c r="AY437" i="13"/>
  <c r="BH437" i="13"/>
  <c r="BP437" i="13"/>
  <c r="BE438" i="13"/>
  <c r="BM438" i="13"/>
  <c r="BU438" i="13"/>
  <c r="AK439" i="13"/>
  <c r="AS439" i="13"/>
  <c r="BA439" i="13"/>
  <c r="BJ439" i="13"/>
  <c r="BR439" i="13"/>
  <c r="AM441" i="13"/>
  <c r="AU441" i="13"/>
  <c r="BL441" i="13"/>
  <c r="BT441" i="13"/>
  <c r="AJ442" i="13"/>
  <c r="AR442" i="13"/>
  <c r="AZ442" i="13"/>
  <c r="AO443" i="13"/>
  <c r="AW443" i="13"/>
  <c r="BF443" i="13"/>
  <c r="BN443" i="13"/>
  <c r="BV443" i="13"/>
  <c r="AQ445" i="13"/>
  <c r="AY445" i="13"/>
  <c r="BH445" i="13"/>
  <c r="BP445" i="13"/>
  <c r="BE446" i="13"/>
  <c r="BM446" i="13"/>
  <c r="BU446" i="13"/>
  <c r="AK447" i="13"/>
  <c r="AS447" i="13"/>
  <c r="BA447" i="13"/>
  <c r="BJ447" i="13"/>
  <c r="BR447" i="13"/>
  <c r="AM449" i="13"/>
  <c r="AU449" i="13"/>
  <c r="BL449" i="13"/>
  <c r="BT449" i="13"/>
  <c r="AJ450" i="13"/>
  <c r="AR450" i="13"/>
  <c r="AZ450" i="13"/>
  <c r="AO451" i="13"/>
  <c r="AW451" i="13"/>
  <c r="BF451" i="13"/>
  <c r="BN451" i="13"/>
  <c r="BV451" i="13"/>
  <c r="AQ453" i="13"/>
  <c r="AY453" i="13"/>
  <c r="BH453" i="13"/>
  <c r="BP453" i="13"/>
  <c r="BE454" i="13"/>
  <c r="BM454" i="13"/>
  <c r="BU454" i="13"/>
  <c r="AK455" i="13"/>
  <c r="AS455" i="13"/>
  <c r="BA455" i="13"/>
  <c r="BJ455" i="13"/>
  <c r="BR455" i="13"/>
  <c r="AK458" i="13"/>
  <c r="AT458" i="13"/>
  <c r="BQ458" i="13"/>
  <c r="BI458" i="13"/>
  <c r="BM458" i="13"/>
  <c r="BV458" i="13"/>
  <c r="U462" i="13"/>
  <c r="W462" i="13" s="1"/>
  <c r="AW462" i="13"/>
  <c r="AO462" i="13"/>
  <c r="AV462" i="13"/>
  <c r="AN462" i="13"/>
  <c r="AS462" i="13"/>
  <c r="BV462" i="13"/>
  <c r="BN462" i="13"/>
  <c r="BF462" i="13"/>
  <c r="BU462" i="13"/>
  <c r="BM462" i="13"/>
  <c r="BE462" i="13"/>
  <c r="BP462" i="13"/>
  <c r="AJ463" i="13"/>
  <c r="AV463" i="13"/>
  <c r="BF464" i="13"/>
  <c r="BR464" i="13"/>
  <c r="AO465" i="13"/>
  <c r="AY465" i="13"/>
  <c r="AL466" i="13"/>
  <c r="AV466" i="13"/>
  <c r="AM467" i="13"/>
  <c r="AY467" i="13"/>
  <c r="BJ467" i="13"/>
  <c r="BT467" i="13"/>
  <c r="BE469" i="13"/>
  <c r="BO469" i="13"/>
  <c r="AK470" i="13"/>
  <c r="AU470" i="13"/>
  <c r="BH470" i="13"/>
  <c r="BR470" i="13"/>
  <c r="AA471" i="13"/>
  <c r="AC471" i="13" s="1"/>
  <c r="BJ472" i="13"/>
  <c r="BT472" i="13"/>
  <c r="AQ473" i="13"/>
  <c r="AQ475" i="13"/>
  <c r="AN476" i="13"/>
  <c r="AY476" i="13"/>
  <c r="AW478" i="13"/>
  <c r="AO478" i="13"/>
  <c r="AV478" i="13"/>
  <c r="AN478" i="13"/>
  <c r="BB478" i="13"/>
  <c r="AT478" i="13"/>
  <c r="AL478" i="13"/>
  <c r="AU478" i="13"/>
  <c r="BF479" i="13"/>
  <c r="BT479" i="13"/>
  <c r="BF482" i="13"/>
  <c r="BV482" i="13"/>
  <c r="AQ483" i="13"/>
  <c r="AQ486" i="13"/>
  <c r="BF487" i="13"/>
  <c r="BV487" i="13"/>
  <c r="V491" i="13"/>
  <c r="U491" i="13"/>
  <c r="W491" i="13" s="1"/>
  <c r="AW494" i="13"/>
  <c r="AO494" i="13"/>
  <c r="AV494" i="13"/>
  <c r="AN494" i="13"/>
  <c r="AU494" i="13"/>
  <c r="AM494" i="13"/>
  <c r="BB494" i="13"/>
  <c r="AT494" i="13"/>
  <c r="AL494" i="13"/>
  <c r="AY494" i="13"/>
  <c r="AX499" i="13"/>
  <c r="AP499" i="13"/>
  <c r="AW499" i="13"/>
  <c r="AO499" i="13"/>
  <c r="AV499" i="13"/>
  <c r="AN499" i="13"/>
  <c r="AU499" i="13"/>
  <c r="AM499" i="13"/>
  <c r="AZ499" i="13"/>
  <c r="AR499" i="13"/>
  <c r="AJ499" i="13"/>
  <c r="BB499" i="13"/>
  <c r="BM501" i="13"/>
  <c r="BS503" i="13"/>
  <c r="BK503" i="13"/>
  <c r="BR503" i="13"/>
  <c r="BJ503" i="13"/>
  <c r="BQ503" i="13"/>
  <c r="BI503" i="13"/>
  <c r="BP503" i="13"/>
  <c r="BH503" i="13"/>
  <c r="BU503" i="13"/>
  <c r="BM503" i="13"/>
  <c r="BE503" i="13"/>
  <c r="BW503" i="13"/>
  <c r="BB508" i="13"/>
  <c r="AT508" i="13"/>
  <c r="AL508" i="13"/>
  <c r="AZ508" i="13"/>
  <c r="AQ508" i="13"/>
  <c r="AY508" i="13"/>
  <c r="AP508" i="13"/>
  <c r="AX508" i="13"/>
  <c r="AO508" i="13"/>
  <c r="AW508" i="13"/>
  <c r="AN508" i="13"/>
  <c r="AS508" i="13"/>
  <c r="AJ508" i="13"/>
  <c r="BP509" i="13"/>
  <c r="BH509" i="13"/>
  <c r="BU509" i="13"/>
  <c r="BL509" i="13"/>
  <c r="BT509" i="13"/>
  <c r="BK509" i="13"/>
  <c r="BS509" i="13"/>
  <c r="BJ509" i="13"/>
  <c r="BR509" i="13"/>
  <c r="BI509" i="13"/>
  <c r="BW509" i="13"/>
  <c r="BN509" i="13"/>
  <c r="BE509" i="13"/>
  <c r="BA511" i="13"/>
  <c r="AS511" i="13"/>
  <c r="AK511" i="13"/>
  <c r="AZ511" i="13"/>
  <c r="AQ511" i="13"/>
  <c r="AY511" i="13"/>
  <c r="AP511" i="13"/>
  <c r="AX511" i="13"/>
  <c r="AO511" i="13"/>
  <c r="AW511" i="13"/>
  <c r="AN511" i="13"/>
  <c r="AT511" i="13"/>
  <c r="AJ511" i="13"/>
  <c r="AU513" i="13"/>
  <c r="AM513" i="13"/>
  <c r="AZ513" i="13"/>
  <c r="AQ513" i="13"/>
  <c r="AY513" i="13"/>
  <c r="AP513" i="13"/>
  <c r="AX513" i="13"/>
  <c r="AO513" i="13"/>
  <c r="AW513" i="13"/>
  <c r="AN513" i="13"/>
  <c r="BB513" i="13"/>
  <c r="AS513" i="13"/>
  <c r="AJ513" i="13"/>
  <c r="U514" i="13"/>
  <c r="W514" i="13" s="1"/>
  <c r="AQ531" i="13"/>
  <c r="AF536" i="13"/>
  <c r="BR543" i="13"/>
  <c r="BJ543" i="13"/>
  <c r="BQ543" i="13"/>
  <c r="BI543" i="13"/>
  <c r="BW543" i="13"/>
  <c r="BO543" i="13"/>
  <c r="BG543" i="13"/>
  <c r="BL543" i="13"/>
  <c r="BV543" i="13"/>
  <c r="BK543" i="13"/>
  <c r="BU543" i="13"/>
  <c r="BH543" i="13"/>
  <c r="BT543" i="13"/>
  <c r="BF543" i="13"/>
  <c r="BN543" i="13"/>
  <c r="BP549" i="13"/>
  <c r="BH549" i="13"/>
  <c r="BW549" i="13"/>
  <c r="BO549" i="13"/>
  <c r="BG549" i="13"/>
  <c r="BV549" i="13"/>
  <c r="BN549" i="13"/>
  <c r="BF549" i="13"/>
  <c r="BU549" i="13"/>
  <c r="BM549" i="13"/>
  <c r="BE549" i="13"/>
  <c r="BS549" i="13"/>
  <c r="BR549" i="13"/>
  <c r="BQ549" i="13"/>
  <c r="BL549" i="13"/>
  <c r="BI549" i="13"/>
  <c r="AB566" i="13"/>
  <c r="AE566" i="13" s="1"/>
  <c r="AA566" i="13"/>
  <c r="AC566" i="13" s="1"/>
  <c r="BQ573" i="13"/>
  <c r="BI573" i="13"/>
  <c r="BP573" i="13"/>
  <c r="BH573" i="13"/>
  <c r="BW573" i="13"/>
  <c r="BO573" i="13"/>
  <c r="BG573" i="13"/>
  <c r="BV573" i="13"/>
  <c r="BN573" i="13"/>
  <c r="BF573" i="13"/>
  <c r="BU573" i="13"/>
  <c r="BM573" i="13"/>
  <c r="BE573" i="13"/>
  <c r="BS573" i="13"/>
  <c r="BR573" i="13"/>
  <c r="BL573" i="13"/>
  <c r="BK573" i="13"/>
  <c r="V576" i="13"/>
  <c r="AE576" i="13" s="1"/>
  <c r="U576" i="13"/>
  <c r="W576" i="13" s="1"/>
  <c r="AB579" i="13"/>
  <c r="AE579" i="13" s="1"/>
  <c r="BR592" i="13"/>
  <c r="BJ592" i="13"/>
  <c r="BT592" i="13"/>
  <c r="BK592" i="13"/>
  <c r="BS592" i="13"/>
  <c r="BI592" i="13"/>
  <c r="BQ592" i="13"/>
  <c r="BH592" i="13"/>
  <c r="BP592" i="13"/>
  <c r="BG592" i="13"/>
  <c r="BO592" i="13"/>
  <c r="BF592" i="13"/>
  <c r="BU592" i="13"/>
  <c r="BN592" i="13"/>
  <c r="BM592" i="13"/>
  <c r="BL592" i="13"/>
  <c r="BW592" i="13"/>
  <c r="AQ427" i="13"/>
  <c r="AY427" i="13"/>
  <c r="BL431" i="13"/>
  <c r="BT431" i="13"/>
  <c r="AQ435" i="13"/>
  <c r="AY435" i="13"/>
  <c r="BJ437" i="13"/>
  <c r="BR437" i="13"/>
  <c r="BL439" i="13"/>
  <c r="BT439" i="13"/>
  <c r="AO441" i="13"/>
  <c r="AW441" i="13"/>
  <c r="AQ443" i="13"/>
  <c r="AY443" i="13"/>
  <c r="BJ445" i="13"/>
  <c r="BR445" i="13"/>
  <c r="BL447" i="13"/>
  <c r="BT447" i="13"/>
  <c r="AO449" i="13"/>
  <c r="AW449" i="13"/>
  <c r="AQ451" i="13"/>
  <c r="AY451" i="13"/>
  <c r="BJ453" i="13"/>
  <c r="BR453" i="13"/>
  <c r="BL455" i="13"/>
  <c r="BT455" i="13"/>
  <c r="AQ465" i="13"/>
  <c r="BA465" i="13"/>
  <c r="AQ467" i="13"/>
  <c r="BA467" i="13"/>
  <c r="BL467" i="13"/>
  <c r="BL472" i="13"/>
  <c r="BV472" i="13"/>
  <c r="AV473" i="13"/>
  <c r="AN473" i="13"/>
  <c r="AU473" i="13"/>
  <c r="AM473" i="13"/>
  <c r="AS473" i="13"/>
  <c r="AX475" i="13"/>
  <c r="AP475" i="13"/>
  <c r="AW475" i="13"/>
  <c r="AO475" i="13"/>
  <c r="AS475" i="13"/>
  <c r="BW475" i="13"/>
  <c r="BO475" i="13"/>
  <c r="BG475" i="13"/>
  <c r="BV475" i="13"/>
  <c r="BN475" i="13"/>
  <c r="BF475" i="13"/>
  <c r="BT475" i="13"/>
  <c r="BL475" i="13"/>
  <c r="BQ475" i="13"/>
  <c r="AS483" i="13"/>
  <c r="AS486" i="13"/>
  <c r="BS495" i="13"/>
  <c r="BK495" i="13"/>
  <c r="BR495" i="13"/>
  <c r="BJ495" i="13"/>
  <c r="BQ495" i="13"/>
  <c r="BI495" i="13"/>
  <c r="BP495" i="13"/>
  <c r="BH495" i="13"/>
  <c r="BT495" i="13"/>
  <c r="BT501" i="13"/>
  <c r="AF538" i="13"/>
  <c r="V560" i="13"/>
  <c r="U560" i="13"/>
  <c r="W560" i="13" s="1"/>
  <c r="AW566" i="13"/>
  <c r="AO566" i="13"/>
  <c r="AV566" i="13"/>
  <c r="AN566" i="13"/>
  <c r="AU566" i="13"/>
  <c r="AM566" i="13"/>
  <c r="BB566" i="13"/>
  <c r="AT566" i="13"/>
  <c r="AL566" i="13"/>
  <c r="BA566" i="13"/>
  <c r="AS566" i="13"/>
  <c r="AK566" i="13"/>
  <c r="AR566" i="13"/>
  <c r="AQ566" i="13"/>
  <c r="AP566" i="13"/>
  <c r="AJ566" i="13"/>
  <c r="AY566" i="13"/>
  <c r="BT573" i="13"/>
  <c r="BQ581" i="13"/>
  <c r="BI581" i="13"/>
  <c r="BP581" i="13"/>
  <c r="BH581" i="13"/>
  <c r="BW581" i="13"/>
  <c r="BO581" i="13"/>
  <c r="BG581" i="13"/>
  <c r="BV581" i="13"/>
  <c r="BN581" i="13"/>
  <c r="BF581" i="13"/>
  <c r="BU581" i="13"/>
  <c r="BM581" i="13"/>
  <c r="BE581" i="13"/>
  <c r="BR581" i="13"/>
  <c r="BL581" i="13"/>
  <c r="BK581" i="13"/>
  <c r="BJ581" i="13"/>
  <c r="BT581" i="13"/>
  <c r="AF604" i="13"/>
  <c r="U619" i="13"/>
  <c r="W619" i="13" s="1"/>
  <c r="V619" i="13"/>
  <c r="AQ376" i="13"/>
  <c r="AY376" i="13"/>
  <c r="BL380" i="13"/>
  <c r="BT380" i="13"/>
  <c r="AQ384" i="13"/>
  <c r="AY384" i="13"/>
  <c r="BL388" i="13"/>
  <c r="BT388" i="13"/>
  <c r="AQ392" i="13"/>
  <c r="AY392" i="13"/>
  <c r="BL396" i="13"/>
  <c r="BT396" i="13"/>
  <c r="AQ400" i="13"/>
  <c r="AY400" i="13"/>
  <c r="BG403" i="13"/>
  <c r="BO403" i="13"/>
  <c r="BW403" i="13"/>
  <c r="AM404" i="13"/>
  <c r="AU404" i="13"/>
  <c r="BL404" i="13"/>
  <c r="BT404" i="13"/>
  <c r="AL407" i="13"/>
  <c r="AT407" i="13"/>
  <c r="BB407" i="13"/>
  <c r="AQ408" i="13"/>
  <c r="AY408" i="13"/>
  <c r="BH408" i="13"/>
  <c r="BP408" i="13"/>
  <c r="BG411" i="13"/>
  <c r="BO411" i="13"/>
  <c r="BW411" i="13"/>
  <c r="AM412" i="13"/>
  <c r="AU412" i="13"/>
  <c r="BL412" i="13"/>
  <c r="BT412" i="13"/>
  <c r="AL415" i="13"/>
  <c r="AT415" i="13"/>
  <c r="BB415" i="13"/>
  <c r="AQ416" i="13"/>
  <c r="AY416" i="13"/>
  <c r="BH416" i="13"/>
  <c r="BP416" i="13"/>
  <c r="AN417" i="13"/>
  <c r="AV417" i="13"/>
  <c r="BG419" i="13"/>
  <c r="BO419" i="13"/>
  <c r="BW419" i="13"/>
  <c r="AM420" i="13"/>
  <c r="AU420" i="13"/>
  <c r="BL420" i="13"/>
  <c r="BT420" i="13"/>
  <c r="BI421" i="13"/>
  <c r="BQ421" i="13"/>
  <c r="AL422" i="13"/>
  <c r="AT422" i="13"/>
  <c r="BB422" i="13"/>
  <c r="AN423" i="13"/>
  <c r="AV423" i="13"/>
  <c r="BG425" i="13"/>
  <c r="BO425" i="13"/>
  <c r="BW425" i="13"/>
  <c r="AM426" i="13"/>
  <c r="AU426" i="13"/>
  <c r="BL426" i="13"/>
  <c r="BT426" i="13"/>
  <c r="AJ427" i="13"/>
  <c r="AR427" i="13"/>
  <c r="AZ427" i="13"/>
  <c r="BI427" i="13"/>
  <c r="BQ427" i="13"/>
  <c r="AL429" i="13"/>
  <c r="AT429" i="13"/>
  <c r="BB429" i="13"/>
  <c r="AQ430" i="13"/>
  <c r="AY430" i="13"/>
  <c r="BH430" i="13"/>
  <c r="BP430" i="13"/>
  <c r="AN431" i="13"/>
  <c r="AV431" i="13"/>
  <c r="BE431" i="13"/>
  <c r="BM431" i="13"/>
  <c r="BU431" i="13"/>
  <c r="BG433" i="13"/>
  <c r="BO433" i="13"/>
  <c r="BW433" i="13"/>
  <c r="AM434" i="13"/>
  <c r="AU434" i="13"/>
  <c r="BL434" i="13"/>
  <c r="BT434" i="13"/>
  <c r="AJ435" i="13"/>
  <c r="AR435" i="13"/>
  <c r="AZ435" i="13"/>
  <c r="BI435" i="13"/>
  <c r="BQ435" i="13"/>
  <c r="AL437" i="13"/>
  <c r="AT437" i="13"/>
  <c r="BB437" i="13"/>
  <c r="BK437" i="13"/>
  <c r="BS437" i="13"/>
  <c r="AQ438" i="13"/>
  <c r="AY438" i="13"/>
  <c r="BH438" i="13"/>
  <c r="BP438" i="13"/>
  <c r="AN439" i="13"/>
  <c r="AV439" i="13"/>
  <c r="BE439" i="13"/>
  <c r="BM439" i="13"/>
  <c r="BU439" i="13"/>
  <c r="AP441" i="13"/>
  <c r="AX441" i="13"/>
  <c r="BG441" i="13"/>
  <c r="BO441" i="13"/>
  <c r="BW441" i="13"/>
  <c r="AM442" i="13"/>
  <c r="AU442" i="13"/>
  <c r="BL442" i="13"/>
  <c r="BT442" i="13"/>
  <c r="AJ443" i="13"/>
  <c r="AR443" i="13"/>
  <c r="AZ443" i="13"/>
  <c r="BI443" i="13"/>
  <c r="BQ443" i="13"/>
  <c r="AL445" i="13"/>
  <c r="AT445" i="13"/>
  <c r="BB445" i="13"/>
  <c r="BK445" i="13"/>
  <c r="BS445" i="13"/>
  <c r="AQ446" i="13"/>
  <c r="AY446" i="13"/>
  <c r="BH446" i="13"/>
  <c r="BP446" i="13"/>
  <c r="AN447" i="13"/>
  <c r="AV447" i="13"/>
  <c r="BE447" i="13"/>
  <c r="BM447" i="13"/>
  <c r="BU447" i="13"/>
  <c r="AP449" i="13"/>
  <c r="AX449" i="13"/>
  <c r="BG449" i="13"/>
  <c r="BO449" i="13"/>
  <c r="BW449" i="13"/>
  <c r="AM450" i="13"/>
  <c r="AU450" i="13"/>
  <c r="BL450" i="13"/>
  <c r="BT450" i="13"/>
  <c r="AJ451" i="13"/>
  <c r="AR451" i="13"/>
  <c r="AZ451" i="13"/>
  <c r="BI451" i="13"/>
  <c r="BQ451" i="13"/>
  <c r="AL453" i="13"/>
  <c r="AT453" i="13"/>
  <c r="BB453" i="13"/>
  <c r="BK453" i="13"/>
  <c r="BS453" i="13"/>
  <c r="AQ454" i="13"/>
  <c r="AY454" i="13"/>
  <c r="BH454" i="13"/>
  <c r="BP454" i="13"/>
  <c r="AN455" i="13"/>
  <c r="AV455" i="13"/>
  <c r="BE455" i="13"/>
  <c r="BM455" i="13"/>
  <c r="BU455" i="13"/>
  <c r="AN458" i="13"/>
  <c r="AW458" i="13"/>
  <c r="BG458" i="13"/>
  <c r="BP458" i="13"/>
  <c r="AW459" i="13"/>
  <c r="AO459" i="13"/>
  <c r="AR459" i="13"/>
  <c r="BA459" i="13"/>
  <c r="AL462" i="13"/>
  <c r="AX462" i="13"/>
  <c r="BI462" i="13"/>
  <c r="BS462" i="13"/>
  <c r="AO463" i="13"/>
  <c r="AY463" i="13"/>
  <c r="BK464" i="13"/>
  <c r="BU464" i="13"/>
  <c r="V465" i="13"/>
  <c r="AE465" i="13" s="1"/>
  <c r="U465" i="13"/>
  <c r="W465" i="13" s="1"/>
  <c r="AR465" i="13"/>
  <c r="AO466" i="13"/>
  <c r="AY466" i="13"/>
  <c r="AR467" i="13"/>
  <c r="AU468" i="13"/>
  <c r="AM468" i="13"/>
  <c r="BB468" i="13"/>
  <c r="AT468" i="13"/>
  <c r="AL468" i="13"/>
  <c r="AS468" i="13"/>
  <c r="BJ469" i="13"/>
  <c r="BT469" i="13"/>
  <c r="AP470" i="13"/>
  <c r="AZ470" i="13"/>
  <c r="BK470" i="13"/>
  <c r="BW470" i="13"/>
  <c r="BS471" i="13"/>
  <c r="BK471" i="13"/>
  <c r="BR471" i="13"/>
  <c r="BJ471" i="13"/>
  <c r="BN471" i="13"/>
  <c r="AJ473" i="13"/>
  <c r="AT473" i="13"/>
  <c r="BR474" i="13"/>
  <c r="BJ474" i="13"/>
  <c r="BQ474" i="13"/>
  <c r="BI474" i="13"/>
  <c r="BN474" i="13"/>
  <c r="AJ475" i="13"/>
  <c r="AT475" i="13"/>
  <c r="BE475" i="13"/>
  <c r="BR475" i="13"/>
  <c r="AQ476" i="13"/>
  <c r="AM478" i="13"/>
  <c r="AZ478" i="13"/>
  <c r="BL479" i="13"/>
  <c r="BW479" i="13"/>
  <c r="U480" i="13"/>
  <c r="W480" i="13" s="1"/>
  <c r="BP480" i="13"/>
  <c r="BH480" i="13"/>
  <c r="BW480" i="13"/>
  <c r="BO480" i="13"/>
  <c r="BG480" i="13"/>
  <c r="BV480" i="13"/>
  <c r="BN480" i="13"/>
  <c r="BF480" i="13"/>
  <c r="BU480" i="13"/>
  <c r="BM480" i="13"/>
  <c r="BE480" i="13"/>
  <c r="BT480" i="13"/>
  <c r="BM482" i="13"/>
  <c r="AU484" i="13"/>
  <c r="AM484" i="13"/>
  <c r="BB484" i="13"/>
  <c r="AT484" i="13"/>
  <c r="AL484" i="13"/>
  <c r="BA484" i="13"/>
  <c r="AS484" i="13"/>
  <c r="AK484" i="13"/>
  <c r="AZ484" i="13"/>
  <c r="AR484" i="13"/>
  <c r="AJ484" i="13"/>
  <c r="AY484" i="13"/>
  <c r="BM487" i="13"/>
  <c r="BL488" i="13"/>
  <c r="BL490" i="13"/>
  <c r="AU492" i="13"/>
  <c r="AM492" i="13"/>
  <c r="BB492" i="13"/>
  <c r="AT492" i="13"/>
  <c r="AL492" i="13"/>
  <c r="BA492" i="13"/>
  <c r="AS492" i="13"/>
  <c r="AK492" i="13"/>
  <c r="AZ492" i="13"/>
  <c r="AR492" i="13"/>
  <c r="AJ492" i="13"/>
  <c r="AY492" i="13"/>
  <c r="AP494" i="13"/>
  <c r="BE495" i="13"/>
  <c r="BU495" i="13"/>
  <c r="BP496" i="13"/>
  <c r="BH496" i="13"/>
  <c r="BW496" i="13"/>
  <c r="BO496" i="13"/>
  <c r="BG496" i="13"/>
  <c r="BV496" i="13"/>
  <c r="BN496" i="13"/>
  <c r="BF496" i="13"/>
  <c r="BU496" i="13"/>
  <c r="BM496" i="13"/>
  <c r="BE496" i="13"/>
  <c r="BT496" i="13"/>
  <c r="BR498" i="13"/>
  <c r="BJ498" i="13"/>
  <c r="BQ498" i="13"/>
  <c r="BI498" i="13"/>
  <c r="BP498" i="13"/>
  <c r="BH498" i="13"/>
  <c r="BW498" i="13"/>
  <c r="BO498" i="13"/>
  <c r="BG498" i="13"/>
  <c r="BT498" i="13"/>
  <c r="AQ499" i="13"/>
  <c r="BL503" i="13"/>
  <c r="BO506" i="13"/>
  <c r="AW507" i="13"/>
  <c r="AO507" i="13"/>
  <c r="AV507" i="13"/>
  <c r="AM507" i="13"/>
  <c r="AU507" i="13"/>
  <c r="AL507" i="13"/>
  <c r="AT507" i="13"/>
  <c r="AK507" i="13"/>
  <c r="BB507" i="13"/>
  <c r="AS507" i="13"/>
  <c r="AJ507" i="13"/>
  <c r="AY507" i="13"/>
  <c r="AP507" i="13"/>
  <c r="AR508" i="13"/>
  <c r="BM509" i="13"/>
  <c r="AR511" i="13"/>
  <c r="AR513" i="13"/>
  <c r="AS515" i="13"/>
  <c r="V527" i="13"/>
  <c r="U527" i="13"/>
  <c r="W527" i="13" s="1"/>
  <c r="BT527" i="13"/>
  <c r="U528" i="13"/>
  <c r="W528" i="13" s="1"/>
  <c r="V528" i="13"/>
  <c r="AE528" i="13" s="1"/>
  <c r="AU529" i="13"/>
  <c r="AM529" i="13"/>
  <c r="BB529" i="13"/>
  <c r="AT529" i="13"/>
  <c r="AL529" i="13"/>
  <c r="AZ529" i="13"/>
  <c r="AR529" i="13"/>
  <c r="AJ529" i="13"/>
  <c r="AP529" i="13"/>
  <c r="BA529" i="13"/>
  <c r="AO529" i="13"/>
  <c r="AY529" i="13"/>
  <c r="AN529" i="13"/>
  <c r="AX529" i="13"/>
  <c r="AK529" i="13"/>
  <c r="AS529" i="13"/>
  <c r="BV531" i="13"/>
  <c r="BN531" i="13"/>
  <c r="BF531" i="13"/>
  <c r="BU531" i="13"/>
  <c r="BM531" i="13"/>
  <c r="BE531" i="13"/>
  <c r="BS531" i="13"/>
  <c r="BK531" i="13"/>
  <c r="BP531" i="13"/>
  <c r="BO531" i="13"/>
  <c r="BL531" i="13"/>
  <c r="BJ531" i="13"/>
  <c r="BR531" i="13"/>
  <c r="BG531" i="13"/>
  <c r="AX536" i="13"/>
  <c r="AP536" i="13"/>
  <c r="AW536" i="13"/>
  <c r="AO536" i="13"/>
  <c r="AU536" i="13"/>
  <c r="AM536" i="13"/>
  <c r="BA536" i="13"/>
  <c r="AN536" i="13"/>
  <c r="AZ536" i="13"/>
  <c r="AL536" i="13"/>
  <c r="AY536" i="13"/>
  <c r="AK536" i="13"/>
  <c r="AV536" i="13"/>
  <c r="AJ536" i="13"/>
  <c r="AR536" i="13"/>
  <c r="BP543" i="13"/>
  <c r="BT549" i="13"/>
  <c r="AX566" i="13"/>
  <c r="V570" i="13"/>
  <c r="AB585" i="13"/>
  <c r="AA585" i="13"/>
  <c r="AC585" i="13" s="1"/>
  <c r="AA587" i="13"/>
  <c r="AC587" i="13" s="1"/>
  <c r="AB587" i="13"/>
  <c r="AE587" i="13" s="1"/>
  <c r="BL437" i="13"/>
  <c r="BT437" i="13"/>
  <c r="AQ441" i="13"/>
  <c r="AY441" i="13"/>
  <c r="BL445" i="13"/>
  <c r="BT445" i="13"/>
  <c r="AQ449" i="13"/>
  <c r="AY449" i="13"/>
  <c r="BL453" i="13"/>
  <c r="BT453" i="13"/>
  <c r="AV465" i="13"/>
  <c r="AN465" i="13"/>
  <c r="AU465" i="13"/>
  <c r="AM465" i="13"/>
  <c r="AS465" i="13"/>
  <c r="AX467" i="13"/>
  <c r="AP467" i="13"/>
  <c r="AW467" i="13"/>
  <c r="AO467" i="13"/>
  <c r="AS467" i="13"/>
  <c r="BW467" i="13"/>
  <c r="BO467" i="13"/>
  <c r="BG467" i="13"/>
  <c r="BV467" i="13"/>
  <c r="BN467" i="13"/>
  <c r="BF467" i="13"/>
  <c r="BP467" i="13"/>
  <c r="BP472" i="13"/>
  <c r="BH472" i="13"/>
  <c r="BW472" i="13"/>
  <c r="BO472" i="13"/>
  <c r="BG472" i="13"/>
  <c r="BN472" i="13"/>
  <c r="AX483" i="13"/>
  <c r="AP483" i="13"/>
  <c r="AW483" i="13"/>
  <c r="AO483" i="13"/>
  <c r="AV483" i="13"/>
  <c r="AN483" i="13"/>
  <c r="AU483" i="13"/>
  <c r="AM483" i="13"/>
  <c r="AY483" i="13"/>
  <c r="AW486" i="13"/>
  <c r="AO486" i="13"/>
  <c r="AV486" i="13"/>
  <c r="AN486" i="13"/>
  <c r="AU486" i="13"/>
  <c r="AM486" i="13"/>
  <c r="BB486" i="13"/>
  <c r="AT486" i="13"/>
  <c r="AL486" i="13"/>
  <c r="AY486" i="13"/>
  <c r="V499" i="13"/>
  <c r="U499" i="13"/>
  <c r="W499" i="13" s="1"/>
  <c r="BQ501" i="13"/>
  <c r="BI501" i="13"/>
  <c r="BP501" i="13"/>
  <c r="BH501" i="13"/>
  <c r="BW501" i="13"/>
  <c r="BO501" i="13"/>
  <c r="BG501" i="13"/>
  <c r="BV501" i="13"/>
  <c r="BN501" i="13"/>
  <c r="BF501" i="13"/>
  <c r="BS501" i="13"/>
  <c r="BK501" i="13"/>
  <c r="BO509" i="13"/>
  <c r="AV510" i="13"/>
  <c r="AN510" i="13"/>
  <c r="AW510" i="13"/>
  <c r="AM510" i="13"/>
  <c r="AU510" i="13"/>
  <c r="AL510" i="13"/>
  <c r="AT510" i="13"/>
  <c r="AK510" i="13"/>
  <c r="BB510" i="13"/>
  <c r="AS510" i="13"/>
  <c r="AJ510" i="13"/>
  <c r="AY510" i="13"/>
  <c r="AP510" i="13"/>
  <c r="AU511" i="13"/>
  <c r="AT513" i="13"/>
  <c r="AY515" i="13"/>
  <c r="AB516" i="13"/>
  <c r="V518" i="13"/>
  <c r="U518" i="13"/>
  <c r="W518" i="13" s="1"/>
  <c r="AB520" i="13"/>
  <c r="AE520" i="13" s="1"/>
  <c r="V522" i="13"/>
  <c r="U522" i="13"/>
  <c r="W522" i="13" s="1"/>
  <c r="BU527" i="13"/>
  <c r="AQ529" i="13"/>
  <c r="BH531" i="13"/>
  <c r="AQ536" i="13"/>
  <c r="BS543" i="13"/>
  <c r="AW547" i="13"/>
  <c r="AO547" i="13"/>
  <c r="AV547" i="13"/>
  <c r="AN547" i="13"/>
  <c r="AU547" i="13"/>
  <c r="AM547" i="13"/>
  <c r="BB547" i="13"/>
  <c r="AT547" i="13"/>
  <c r="AL547" i="13"/>
  <c r="AQ547" i="13"/>
  <c r="AP547" i="13"/>
  <c r="BA547" i="13"/>
  <c r="AK547" i="13"/>
  <c r="AZ547" i="13"/>
  <c r="AJ547" i="13"/>
  <c r="AS547" i="13"/>
  <c r="AE551" i="13"/>
  <c r="AB553" i="13"/>
  <c r="AA553" i="13"/>
  <c r="AC553" i="13" s="1"/>
  <c r="AZ566" i="13"/>
  <c r="AF570" i="13"/>
  <c r="AV577" i="13"/>
  <c r="AN577" i="13"/>
  <c r="AU577" i="13"/>
  <c r="AM577" i="13"/>
  <c r="BB577" i="13"/>
  <c r="AT577" i="13"/>
  <c r="AL577" i="13"/>
  <c r="BA577" i="13"/>
  <c r="AS577" i="13"/>
  <c r="AK577" i="13"/>
  <c r="AZ577" i="13"/>
  <c r="AR577" i="13"/>
  <c r="AJ577" i="13"/>
  <c r="AX577" i="13"/>
  <c r="AW577" i="13"/>
  <c r="AQ577" i="13"/>
  <c r="AP577" i="13"/>
  <c r="BR578" i="13"/>
  <c r="BJ578" i="13"/>
  <c r="BQ578" i="13"/>
  <c r="BI578" i="13"/>
  <c r="BP578" i="13"/>
  <c r="BH578" i="13"/>
  <c r="BW578" i="13"/>
  <c r="BO578" i="13"/>
  <c r="BG578" i="13"/>
  <c r="BV578" i="13"/>
  <c r="BN578" i="13"/>
  <c r="BF578" i="13"/>
  <c r="BU578" i="13"/>
  <c r="BT578" i="13"/>
  <c r="BS578" i="13"/>
  <c r="BM578" i="13"/>
  <c r="BE578" i="13"/>
  <c r="AA582" i="13"/>
  <c r="AC582" i="13" s="1"/>
  <c r="BQ587" i="13"/>
  <c r="BI587" i="13"/>
  <c r="BU587" i="13"/>
  <c r="BL587" i="13"/>
  <c r="BT587" i="13"/>
  <c r="BK587" i="13"/>
  <c r="BS587" i="13"/>
  <c r="BJ587" i="13"/>
  <c r="BR587" i="13"/>
  <c r="BH587" i="13"/>
  <c r="BP587" i="13"/>
  <c r="BG587" i="13"/>
  <c r="BO587" i="13"/>
  <c r="BN587" i="13"/>
  <c r="BM587" i="13"/>
  <c r="BF587" i="13"/>
  <c r="BW587" i="13"/>
  <c r="AB589" i="13"/>
  <c r="AE589" i="13" s="1"/>
  <c r="AA589" i="13"/>
  <c r="AC589" i="13" s="1"/>
  <c r="BB605" i="13"/>
  <c r="AT605" i="13"/>
  <c r="AL605" i="13"/>
  <c r="AW605" i="13"/>
  <c r="AO605" i="13"/>
  <c r="AR605" i="13"/>
  <c r="BA605" i="13"/>
  <c r="AQ605" i="13"/>
  <c r="AZ605" i="13"/>
  <c r="AP605" i="13"/>
  <c r="AY605" i="13"/>
  <c r="AN605" i="13"/>
  <c r="AX605" i="13"/>
  <c r="AM605" i="13"/>
  <c r="AU605" i="13"/>
  <c r="AJ605" i="13"/>
  <c r="AK605" i="13"/>
  <c r="AU626" i="13"/>
  <c r="AM626" i="13"/>
  <c r="BB626" i="13"/>
  <c r="AT626" i="13"/>
  <c r="AL626" i="13"/>
  <c r="AZ626" i="13"/>
  <c r="AR626" i="13"/>
  <c r="AJ626" i="13"/>
  <c r="AX626" i="13"/>
  <c r="AP626" i="13"/>
  <c r="AS626" i="13"/>
  <c r="AQ626" i="13"/>
  <c r="AO626" i="13"/>
  <c r="AN626" i="13"/>
  <c r="BA626" i="13"/>
  <c r="AK626" i="13"/>
  <c r="AW626" i="13"/>
  <c r="AV626" i="13"/>
  <c r="AF651" i="13"/>
  <c r="AQ366" i="13"/>
  <c r="BL370" i="13"/>
  <c r="AQ374" i="13"/>
  <c r="AK376" i="13"/>
  <c r="AS376" i="13"/>
  <c r="BL378" i="13"/>
  <c r="BF380" i="13"/>
  <c r="BN380" i="13"/>
  <c r="AQ382" i="13"/>
  <c r="AK384" i="13"/>
  <c r="AS384" i="13"/>
  <c r="BL386" i="13"/>
  <c r="BF388" i="13"/>
  <c r="BN388" i="13"/>
  <c r="AQ390" i="13"/>
  <c r="AK392" i="13"/>
  <c r="AS392" i="13"/>
  <c r="BL394" i="13"/>
  <c r="BF396" i="13"/>
  <c r="BN396" i="13"/>
  <c r="AQ398" i="13"/>
  <c r="AK400" i="13"/>
  <c r="AS400" i="13"/>
  <c r="BL402" i="13"/>
  <c r="BI403" i="13"/>
  <c r="AO404" i="13"/>
  <c r="BF404" i="13"/>
  <c r="BN404" i="13"/>
  <c r="AQ406" i="13"/>
  <c r="AN407" i="13"/>
  <c r="AK408" i="13"/>
  <c r="AS408" i="13"/>
  <c r="BJ408" i="13"/>
  <c r="BL410" i="13"/>
  <c r="BI411" i="13"/>
  <c r="AO412" i="13"/>
  <c r="BF412" i="13"/>
  <c r="BN412" i="13"/>
  <c r="AQ414" i="13"/>
  <c r="AN415" i="13"/>
  <c r="AK416" i="13"/>
  <c r="AS416" i="13"/>
  <c r="BJ416" i="13"/>
  <c r="AP417" i="13"/>
  <c r="AX417" i="13"/>
  <c r="BL418" i="13"/>
  <c r="BI419" i="13"/>
  <c r="AO420" i="13"/>
  <c r="BF420" i="13"/>
  <c r="BN420" i="13"/>
  <c r="BK421" i="13"/>
  <c r="BS421" i="13"/>
  <c r="AN422" i="13"/>
  <c r="AP423" i="13"/>
  <c r="AX423" i="13"/>
  <c r="BL424" i="13"/>
  <c r="BI425" i="13"/>
  <c r="AO426" i="13"/>
  <c r="BF426" i="13"/>
  <c r="BN426" i="13"/>
  <c r="AL427" i="13"/>
  <c r="AT427" i="13"/>
  <c r="BB427" i="13"/>
  <c r="BK427" i="13"/>
  <c r="BS427" i="13"/>
  <c r="AQ428" i="13"/>
  <c r="AN429" i="13"/>
  <c r="AK430" i="13"/>
  <c r="AS430" i="13"/>
  <c r="BJ430" i="13"/>
  <c r="AP431" i="13"/>
  <c r="AX431" i="13"/>
  <c r="BG431" i="13"/>
  <c r="BO431" i="13"/>
  <c r="BW431" i="13"/>
  <c r="BL432" i="13"/>
  <c r="BI433" i="13"/>
  <c r="AO434" i="13"/>
  <c r="BF434" i="13"/>
  <c r="BN434" i="13"/>
  <c r="AL435" i="13"/>
  <c r="AT435" i="13"/>
  <c r="BB435" i="13"/>
  <c r="BK435" i="13"/>
  <c r="BS435" i="13"/>
  <c r="AQ436" i="13"/>
  <c r="AN437" i="13"/>
  <c r="BE437" i="13"/>
  <c r="BM437" i="13"/>
  <c r="BU437" i="13"/>
  <c r="AK438" i="13"/>
  <c r="AS438" i="13"/>
  <c r="BJ438" i="13"/>
  <c r="AP439" i="13"/>
  <c r="AX439" i="13"/>
  <c r="BG439" i="13"/>
  <c r="BO439" i="13"/>
  <c r="BW439" i="13"/>
  <c r="U440" i="13"/>
  <c r="W440" i="13" s="1"/>
  <c r="BL440" i="13"/>
  <c r="AA441" i="13"/>
  <c r="AC441" i="13" s="1"/>
  <c r="AJ441" i="13"/>
  <c r="AR441" i="13"/>
  <c r="AZ441" i="13"/>
  <c r="BI441" i="13"/>
  <c r="AO442" i="13"/>
  <c r="BF442" i="13"/>
  <c r="BN442" i="13"/>
  <c r="AL443" i="13"/>
  <c r="AT443" i="13"/>
  <c r="BB443" i="13"/>
  <c r="BK443" i="13"/>
  <c r="BS443" i="13"/>
  <c r="AQ444" i="13"/>
  <c r="AN445" i="13"/>
  <c r="BE445" i="13"/>
  <c r="BM445" i="13"/>
  <c r="BU445" i="13"/>
  <c r="AK446" i="13"/>
  <c r="AS446" i="13"/>
  <c r="BJ446" i="13"/>
  <c r="AP447" i="13"/>
  <c r="AX447" i="13"/>
  <c r="BG447" i="13"/>
  <c r="BO447" i="13"/>
  <c r="BW447" i="13"/>
  <c r="U448" i="13"/>
  <c r="W448" i="13" s="1"/>
  <c r="BL448" i="13"/>
  <c r="AA449" i="13"/>
  <c r="AC449" i="13" s="1"/>
  <c r="AJ449" i="13"/>
  <c r="AR449" i="13"/>
  <c r="AZ449" i="13"/>
  <c r="BI449" i="13"/>
  <c r="AO450" i="13"/>
  <c r="BF450" i="13"/>
  <c r="BN450" i="13"/>
  <c r="AL451" i="13"/>
  <c r="AT451" i="13"/>
  <c r="BB451" i="13"/>
  <c r="BK451" i="13"/>
  <c r="BS451" i="13"/>
  <c r="AQ452" i="13"/>
  <c r="AN453" i="13"/>
  <c r="BE453" i="13"/>
  <c r="BM453" i="13"/>
  <c r="BU453" i="13"/>
  <c r="AK454" i="13"/>
  <c r="AS454" i="13"/>
  <c r="BJ454" i="13"/>
  <c r="AP455" i="13"/>
  <c r="AX455" i="13"/>
  <c r="BG455" i="13"/>
  <c r="BO455" i="13"/>
  <c r="BW455" i="13"/>
  <c r="U456" i="13"/>
  <c r="W456" i="13" s="1"/>
  <c r="BL456" i="13"/>
  <c r="BT456" i="13"/>
  <c r="AP458" i="13"/>
  <c r="AY458" i="13"/>
  <c r="BJ458" i="13"/>
  <c r="BS458" i="13"/>
  <c r="AA459" i="13"/>
  <c r="AC459" i="13" s="1"/>
  <c r="AK459" i="13"/>
  <c r="AT459" i="13"/>
  <c r="BW459" i="13"/>
  <c r="BO459" i="13"/>
  <c r="BV459" i="13"/>
  <c r="BN459" i="13"/>
  <c r="BF459" i="13"/>
  <c r="BM459" i="13"/>
  <c r="AU460" i="13"/>
  <c r="AM460" i="13"/>
  <c r="BB460" i="13"/>
  <c r="AT460" i="13"/>
  <c r="AL460" i="13"/>
  <c r="AS460" i="13"/>
  <c r="AP462" i="13"/>
  <c r="AZ462" i="13"/>
  <c r="BK462" i="13"/>
  <c r="BW462" i="13"/>
  <c r="AQ463" i="13"/>
  <c r="BS463" i="13"/>
  <c r="BK463" i="13"/>
  <c r="BR463" i="13"/>
  <c r="BJ463" i="13"/>
  <c r="BN463" i="13"/>
  <c r="AJ465" i="13"/>
  <c r="AT465" i="13"/>
  <c r="U466" i="13"/>
  <c r="W466" i="13" s="1"/>
  <c r="AQ466" i="13"/>
  <c r="BR466" i="13"/>
  <c r="BJ466" i="13"/>
  <c r="BQ466" i="13"/>
  <c r="BI466" i="13"/>
  <c r="BN466" i="13"/>
  <c r="AJ467" i="13"/>
  <c r="AT467" i="13"/>
  <c r="BE467" i="13"/>
  <c r="BQ467" i="13"/>
  <c r="AK468" i="13"/>
  <c r="AW468" i="13"/>
  <c r="BL469" i="13"/>
  <c r="BV469" i="13"/>
  <c r="AR470" i="13"/>
  <c r="BB471" i="13"/>
  <c r="AT471" i="13"/>
  <c r="AL471" i="13"/>
  <c r="BA471" i="13"/>
  <c r="AS471" i="13"/>
  <c r="AK471" i="13"/>
  <c r="AU471" i="13"/>
  <c r="BF471" i="13"/>
  <c r="BP471" i="13"/>
  <c r="BE472" i="13"/>
  <c r="BQ472" i="13"/>
  <c r="AA473" i="13"/>
  <c r="AC473" i="13" s="1"/>
  <c r="AL473" i="13"/>
  <c r="AX473" i="13"/>
  <c r="BA474" i="13"/>
  <c r="AS474" i="13"/>
  <c r="AK474" i="13"/>
  <c r="AZ474" i="13"/>
  <c r="AR474" i="13"/>
  <c r="AJ474" i="13"/>
  <c r="AU474" i="13"/>
  <c r="BF474" i="13"/>
  <c r="BP474" i="13"/>
  <c r="AA475" i="13"/>
  <c r="AC475" i="13" s="1"/>
  <c r="AL475" i="13"/>
  <c r="AV475" i="13"/>
  <c r="BI475" i="13"/>
  <c r="BU475" i="13"/>
  <c r="BQ477" i="13"/>
  <c r="BI477" i="13"/>
  <c r="BP477" i="13"/>
  <c r="BH477" i="13"/>
  <c r="BV477" i="13"/>
  <c r="BN477" i="13"/>
  <c r="BF477" i="13"/>
  <c r="BR477" i="13"/>
  <c r="AQ478" i="13"/>
  <c r="BV478" i="13"/>
  <c r="BN478" i="13"/>
  <c r="BF478" i="13"/>
  <c r="BU478" i="13"/>
  <c r="BM478" i="13"/>
  <c r="BE478" i="13"/>
  <c r="BS478" i="13"/>
  <c r="BK478" i="13"/>
  <c r="BQ478" i="13"/>
  <c r="BJ480" i="13"/>
  <c r="AJ483" i="13"/>
  <c r="AZ483" i="13"/>
  <c r="AO484" i="13"/>
  <c r="BQ485" i="13"/>
  <c r="BI485" i="13"/>
  <c r="BP485" i="13"/>
  <c r="BH485" i="13"/>
  <c r="BW485" i="13"/>
  <c r="BO485" i="13"/>
  <c r="BG485" i="13"/>
  <c r="BV485" i="13"/>
  <c r="BN485" i="13"/>
  <c r="BF485" i="13"/>
  <c r="BT485" i="13"/>
  <c r="AJ486" i="13"/>
  <c r="AZ486" i="13"/>
  <c r="BR488" i="13"/>
  <c r="AV489" i="13"/>
  <c r="AN489" i="13"/>
  <c r="AU489" i="13"/>
  <c r="AM489" i="13"/>
  <c r="BB489" i="13"/>
  <c r="AT489" i="13"/>
  <c r="AL489" i="13"/>
  <c r="BA489" i="13"/>
  <c r="AS489" i="13"/>
  <c r="AK489" i="13"/>
  <c r="AY489" i="13"/>
  <c r="U490" i="13"/>
  <c r="W490" i="13" s="1"/>
  <c r="BN490" i="13"/>
  <c r="AX491" i="13"/>
  <c r="AP491" i="13"/>
  <c r="AW491" i="13"/>
  <c r="AO491" i="13"/>
  <c r="AV491" i="13"/>
  <c r="AN491" i="13"/>
  <c r="AU491" i="13"/>
  <c r="AM491" i="13"/>
  <c r="AY491" i="13"/>
  <c r="AO492" i="13"/>
  <c r="AA494" i="13"/>
  <c r="AC494" i="13" s="1"/>
  <c r="AR494" i="13"/>
  <c r="BG495" i="13"/>
  <c r="BW495" i="13"/>
  <c r="U496" i="13"/>
  <c r="W496" i="13" s="1"/>
  <c r="BJ496" i="13"/>
  <c r="BF498" i="13"/>
  <c r="BV498" i="13"/>
  <c r="AT499" i="13"/>
  <c r="BE501" i="13"/>
  <c r="BO503" i="13"/>
  <c r="BV506" i="13"/>
  <c r="V507" i="13"/>
  <c r="AQ507" i="13"/>
  <c r="AV508" i="13"/>
  <c r="BQ509" i="13"/>
  <c r="V510" i="13"/>
  <c r="U510" i="13"/>
  <c r="W510" i="13" s="1"/>
  <c r="AO510" i="13"/>
  <c r="AV511" i="13"/>
  <c r="AV513" i="13"/>
  <c r="AB515" i="13"/>
  <c r="AE515" i="13" s="1"/>
  <c r="AA515" i="13"/>
  <c r="AC515" i="13" s="1"/>
  <c r="BA515" i="13"/>
  <c r="BS516" i="13"/>
  <c r="BK516" i="13"/>
  <c r="BR516" i="13"/>
  <c r="BJ516" i="13"/>
  <c r="BW516" i="13"/>
  <c r="BM516" i="13"/>
  <c r="BV516" i="13"/>
  <c r="BL516" i="13"/>
  <c r="BU516" i="13"/>
  <c r="BI516" i="13"/>
  <c r="BT516" i="13"/>
  <c r="BH516" i="13"/>
  <c r="BO516" i="13"/>
  <c r="BE516" i="13"/>
  <c r="BS524" i="13"/>
  <c r="BK524" i="13"/>
  <c r="BR524" i="13"/>
  <c r="BJ524" i="13"/>
  <c r="BP524" i="13"/>
  <c r="BH524" i="13"/>
  <c r="BN524" i="13"/>
  <c r="BM524" i="13"/>
  <c r="BW524" i="13"/>
  <c r="BL524" i="13"/>
  <c r="BV524" i="13"/>
  <c r="BI524" i="13"/>
  <c r="BQ524" i="13"/>
  <c r="BE524" i="13"/>
  <c r="BQ530" i="13"/>
  <c r="BI530" i="13"/>
  <c r="BP530" i="13"/>
  <c r="BH530" i="13"/>
  <c r="BV530" i="13"/>
  <c r="BN530" i="13"/>
  <c r="BF530" i="13"/>
  <c r="BO530" i="13"/>
  <c r="BM530" i="13"/>
  <c r="BL530" i="13"/>
  <c r="BW530" i="13"/>
  <c r="BK530" i="13"/>
  <c r="BS530" i="13"/>
  <c r="BE530" i="13"/>
  <c r="BP533" i="13"/>
  <c r="BH533" i="13"/>
  <c r="BW533" i="13"/>
  <c r="BO533" i="13"/>
  <c r="BG533" i="13"/>
  <c r="BU533" i="13"/>
  <c r="BM533" i="13"/>
  <c r="BE533" i="13"/>
  <c r="BQ533" i="13"/>
  <c r="BN533" i="13"/>
  <c r="BL533" i="13"/>
  <c r="BK533" i="13"/>
  <c r="BS533" i="13"/>
  <c r="BF533" i="13"/>
  <c r="AV534" i="13"/>
  <c r="AN534" i="13"/>
  <c r="AU534" i="13"/>
  <c r="AM534" i="13"/>
  <c r="BA534" i="13"/>
  <c r="AS534" i="13"/>
  <c r="AK534" i="13"/>
  <c r="AQ534" i="13"/>
  <c r="BB534" i="13"/>
  <c r="AP534" i="13"/>
  <c r="AZ534" i="13"/>
  <c r="AO534" i="13"/>
  <c r="AY534" i="13"/>
  <c r="AL534" i="13"/>
  <c r="AT534" i="13"/>
  <c r="V542" i="13"/>
  <c r="AE542" i="13" s="1"/>
  <c r="U542" i="13"/>
  <c r="W542" i="13" s="1"/>
  <c r="BQ557" i="13"/>
  <c r="BI557" i="13"/>
  <c r="BP557" i="13"/>
  <c r="BH557" i="13"/>
  <c r="BW557" i="13"/>
  <c r="BO557" i="13"/>
  <c r="BG557" i="13"/>
  <c r="BV557" i="13"/>
  <c r="BN557" i="13"/>
  <c r="BF557" i="13"/>
  <c r="BU557" i="13"/>
  <c r="BM557" i="13"/>
  <c r="BE557" i="13"/>
  <c r="BT557" i="13"/>
  <c r="BS557" i="13"/>
  <c r="BR557" i="13"/>
  <c r="BJ557" i="13"/>
  <c r="AV585" i="13"/>
  <c r="AN585" i="13"/>
  <c r="AU585" i="13"/>
  <c r="AM585" i="13"/>
  <c r="BB585" i="13"/>
  <c r="AT585" i="13"/>
  <c r="AL585" i="13"/>
  <c r="BA585" i="13"/>
  <c r="AS585" i="13"/>
  <c r="AK585" i="13"/>
  <c r="AZ585" i="13"/>
  <c r="AR585" i="13"/>
  <c r="AJ585" i="13"/>
  <c r="AW585" i="13"/>
  <c r="AQ585" i="13"/>
  <c r="AP585" i="13"/>
  <c r="AO585" i="13"/>
  <c r="AY585" i="13"/>
  <c r="AS605" i="13"/>
  <c r="AX644" i="13"/>
  <c r="AP644" i="13"/>
  <c r="AW644" i="13"/>
  <c r="AO644" i="13"/>
  <c r="AV644" i="13"/>
  <c r="AN644" i="13"/>
  <c r="AU644" i="13"/>
  <c r="AM644" i="13"/>
  <c r="BB644" i="13"/>
  <c r="AT644" i="13"/>
  <c r="AL644" i="13"/>
  <c r="AZ644" i="13"/>
  <c r="AR644" i="13"/>
  <c r="AJ644" i="13"/>
  <c r="BA644" i="13"/>
  <c r="AY644" i="13"/>
  <c r="AS644" i="13"/>
  <c r="AQ644" i="13"/>
  <c r="AK644" i="13"/>
  <c r="AQ417" i="13"/>
  <c r="BL421" i="13"/>
  <c r="AQ423" i="13"/>
  <c r="AM427" i="13"/>
  <c r="BL427" i="13"/>
  <c r="AQ431" i="13"/>
  <c r="BH431" i="13"/>
  <c r="AM435" i="13"/>
  <c r="BL435" i="13"/>
  <c r="BF437" i="13"/>
  <c r="BN437" i="13"/>
  <c r="AQ439" i="13"/>
  <c r="BH439" i="13"/>
  <c r="AK441" i="13"/>
  <c r="AS441" i="13"/>
  <c r="AM443" i="13"/>
  <c r="BL443" i="13"/>
  <c r="BF445" i="13"/>
  <c r="BN445" i="13"/>
  <c r="AQ447" i="13"/>
  <c r="BH447" i="13"/>
  <c r="AK449" i="13"/>
  <c r="AS449" i="13"/>
  <c r="AM451" i="13"/>
  <c r="BL451" i="13"/>
  <c r="BF453" i="13"/>
  <c r="BN453" i="13"/>
  <c r="AQ455" i="13"/>
  <c r="BH455" i="13"/>
  <c r="BP464" i="13"/>
  <c r="BH464" i="13"/>
  <c r="BW464" i="13"/>
  <c r="BO464" i="13"/>
  <c r="BG464" i="13"/>
  <c r="BN464" i="13"/>
  <c r="AK465" i="13"/>
  <c r="AW465" i="13"/>
  <c r="AK467" i="13"/>
  <c r="AU467" i="13"/>
  <c r="BH467" i="13"/>
  <c r="BR467" i="13"/>
  <c r="AW470" i="13"/>
  <c r="AO470" i="13"/>
  <c r="AV470" i="13"/>
  <c r="AN470" i="13"/>
  <c r="AS470" i="13"/>
  <c r="BV470" i="13"/>
  <c r="BN470" i="13"/>
  <c r="BF470" i="13"/>
  <c r="BU470" i="13"/>
  <c r="BM470" i="13"/>
  <c r="BE470" i="13"/>
  <c r="BP470" i="13"/>
  <c r="BF472" i="13"/>
  <c r="BR472" i="13"/>
  <c r="AO473" i="13"/>
  <c r="AY473" i="13"/>
  <c r="AM475" i="13"/>
  <c r="AY475" i="13"/>
  <c r="BJ475" i="13"/>
  <c r="AU476" i="13"/>
  <c r="AM476" i="13"/>
  <c r="BB476" i="13"/>
  <c r="AT476" i="13"/>
  <c r="AL476" i="13"/>
  <c r="AZ476" i="13"/>
  <c r="AR476" i="13"/>
  <c r="AJ476" i="13"/>
  <c r="AW476" i="13"/>
  <c r="BS479" i="13"/>
  <c r="BK479" i="13"/>
  <c r="BR479" i="13"/>
  <c r="BJ479" i="13"/>
  <c r="BP479" i="13"/>
  <c r="BH479" i="13"/>
  <c r="BO479" i="13"/>
  <c r="BR482" i="13"/>
  <c r="BJ482" i="13"/>
  <c r="BQ482" i="13"/>
  <c r="BI482" i="13"/>
  <c r="BP482" i="13"/>
  <c r="BH482" i="13"/>
  <c r="BW482" i="13"/>
  <c r="BO482" i="13"/>
  <c r="BG482" i="13"/>
  <c r="BT482" i="13"/>
  <c r="AK483" i="13"/>
  <c r="BA483" i="13"/>
  <c r="AK486" i="13"/>
  <c r="BA486" i="13"/>
  <c r="BS487" i="13"/>
  <c r="BK487" i="13"/>
  <c r="BR487" i="13"/>
  <c r="BJ487" i="13"/>
  <c r="BQ487" i="13"/>
  <c r="BI487" i="13"/>
  <c r="BP487" i="13"/>
  <c r="BH487" i="13"/>
  <c r="BT487" i="13"/>
  <c r="AS494" i="13"/>
  <c r="BL495" i="13"/>
  <c r="AY499" i="13"/>
  <c r="AB500" i="13"/>
  <c r="AA500" i="13"/>
  <c r="AC500" i="13" s="1"/>
  <c r="BJ501" i="13"/>
  <c r="BT503" i="13"/>
  <c r="V506" i="13"/>
  <c r="U506" i="13"/>
  <c r="W506" i="13" s="1"/>
  <c r="BA508" i="13"/>
  <c r="BV509" i="13"/>
  <c r="BB511" i="13"/>
  <c r="BA513" i="13"/>
  <c r="BB515" i="13"/>
  <c r="AB518" i="13"/>
  <c r="AA518" i="13"/>
  <c r="AC518" i="13" s="1"/>
  <c r="AX528" i="13"/>
  <c r="AP528" i="13"/>
  <c r="AW528" i="13"/>
  <c r="AO528" i="13"/>
  <c r="AU528" i="13"/>
  <c r="AM528" i="13"/>
  <c r="BB528" i="13"/>
  <c r="AQ528" i="13"/>
  <c r="BA528" i="13"/>
  <c r="AN528" i="13"/>
  <c r="AZ528" i="13"/>
  <c r="AL528" i="13"/>
  <c r="AY528" i="13"/>
  <c r="AK528" i="13"/>
  <c r="AS528" i="13"/>
  <c r="AF537" i="13"/>
  <c r="BS540" i="13"/>
  <c r="BK540" i="13"/>
  <c r="BR540" i="13"/>
  <c r="BJ540" i="13"/>
  <c r="BP540" i="13"/>
  <c r="BH540" i="13"/>
  <c r="BW540" i="13"/>
  <c r="BL540" i="13"/>
  <c r="BV540" i="13"/>
  <c r="BI540" i="13"/>
  <c r="BU540" i="13"/>
  <c r="BG540" i="13"/>
  <c r="BT540" i="13"/>
  <c r="BF540" i="13"/>
  <c r="BN540" i="13"/>
  <c r="AB545" i="13"/>
  <c r="AA545" i="13"/>
  <c r="AC545" i="13" s="1"/>
  <c r="AV561" i="13"/>
  <c r="AN561" i="13"/>
  <c r="AU561" i="13"/>
  <c r="AM561" i="13"/>
  <c r="BB561" i="13"/>
  <c r="AT561" i="13"/>
  <c r="AL561" i="13"/>
  <c r="BA561" i="13"/>
  <c r="AS561" i="13"/>
  <c r="AK561" i="13"/>
  <c r="AZ561" i="13"/>
  <c r="AR561" i="13"/>
  <c r="AJ561" i="13"/>
  <c r="AY561" i="13"/>
  <c r="AX561" i="13"/>
  <c r="AW561" i="13"/>
  <c r="AO561" i="13"/>
  <c r="BS575" i="13"/>
  <c r="BK575" i="13"/>
  <c r="BR575" i="13"/>
  <c r="BJ575" i="13"/>
  <c r="BQ575" i="13"/>
  <c r="BI575" i="13"/>
  <c r="BP575" i="13"/>
  <c r="BH575" i="13"/>
  <c r="BW575" i="13"/>
  <c r="BO575" i="13"/>
  <c r="BG575" i="13"/>
  <c r="BM575" i="13"/>
  <c r="BL575" i="13"/>
  <c r="BF575" i="13"/>
  <c r="BE575" i="13"/>
  <c r="BT575" i="13"/>
  <c r="BP590" i="13"/>
  <c r="BH590" i="13"/>
  <c r="BU590" i="13"/>
  <c r="BL590" i="13"/>
  <c r="BT590" i="13"/>
  <c r="BK590" i="13"/>
  <c r="BS590" i="13"/>
  <c r="BJ590" i="13"/>
  <c r="BR590" i="13"/>
  <c r="BI590" i="13"/>
  <c r="BQ590" i="13"/>
  <c r="BG590" i="13"/>
  <c r="BN590" i="13"/>
  <c r="BM590" i="13"/>
  <c r="BF590" i="13"/>
  <c r="BE590" i="13"/>
  <c r="BV590" i="13"/>
  <c r="BA592" i="13"/>
  <c r="AS592" i="13"/>
  <c r="AK592" i="13"/>
  <c r="AZ592" i="13"/>
  <c r="AQ592" i="13"/>
  <c r="AY592" i="13"/>
  <c r="AP592" i="13"/>
  <c r="AX592" i="13"/>
  <c r="AO592" i="13"/>
  <c r="AW592" i="13"/>
  <c r="AN592" i="13"/>
  <c r="AV592" i="13"/>
  <c r="AM592" i="13"/>
  <c r="AT592" i="13"/>
  <c r="AR592" i="13"/>
  <c r="AL592" i="13"/>
  <c r="AJ592" i="13"/>
  <c r="BB592" i="13"/>
  <c r="AV605" i="13"/>
  <c r="BP606" i="13"/>
  <c r="BH606" i="13"/>
  <c r="BS606" i="13"/>
  <c r="BK606" i="13"/>
  <c r="BU606" i="13"/>
  <c r="BJ606" i="13"/>
  <c r="BT606" i="13"/>
  <c r="BI606" i="13"/>
  <c r="BR606" i="13"/>
  <c r="BG606" i="13"/>
  <c r="BQ606" i="13"/>
  <c r="BF606" i="13"/>
  <c r="BO606" i="13"/>
  <c r="BE606" i="13"/>
  <c r="BW606" i="13"/>
  <c r="BM606" i="13"/>
  <c r="BV606" i="13"/>
  <c r="BN606" i="13"/>
  <c r="BL606" i="13"/>
  <c r="AQ502" i="13"/>
  <c r="AY502" i="13"/>
  <c r="AU505" i="13"/>
  <c r="AM505" i="13"/>
  <c r="AR505" i="13"/>
  <c r="BA505" i="13"/>
  <c r="BS508" i="13"/>
  <c r="BK508" i="13"/>
  <c r="BM508" i="13"/>
  <c r="BV508" i="13"/>
  <c r="BR511" i="13"/>
  <c r="BJ511" i="13"/>
  <c r="BM511" i="13"/>
  <c r="BV511" i="13"/>
  <c r="AV518" i="13"/>
  <c r="AN518" i="13"/>
  <c r="AU518" i="13"/>
  <c r="AM518" i="13"/>
  <c r="AS518" i="13"/>
  <c r="BA519" i="13"/>
  <c r="AS519" i="13"/>
  <c r="AK519" i="13"/>
  <c r="AZ519" i="13"/>
  <c r="AR519" i="13"/>
  <c r="AJ519" i="13"/>
  <c r="AU519" i="13"/>
  <c r="V526" i="13"/>
  <c r="AE526" i="13" s="1"/>
  <c r="U526" i="13"/>
  <c r="W526" i="13" s="1"/>
  <c r="AV526" i="13"/>
  <c r="AN526" i="13"/>
  <c r="AU526" i="13"/>
  <c r="AM526" i="13"/>
  <c r="BA526" i="13"/>
  <c r="AS526" i="13"/>
  <c r="AK526" i="13"/>
  <c r="AW526" i="13"/>
  <c r="BS532" i="13"/>
  <c r="BK532" i="13"/>
  <c r="BR532" i="13"/>
  <c r="BJ532" i="13"/>
  <c r="BP532" i="13"/>
  <c r="BH532" i="13"/>
  <c r="BO532" i="13"/>
  <c r="BR535" i="13"/>
  <c r="BJ535" i="13"/>
  <c r="BQ535" i="13"/>
  <c r="BI535" i="13"/>
  <c r="BW535" i="13"/>
  <c r="BO535" i="13"/>
  <c r="BG535" i="13"/>
  <c r="BP535" i="13"/>
  <c r="BQ538" i="13"/>
  <c r="BI538" i="13"/>
  <c r="BP538" i="13"/>
  <c r="BH538" i="13"/>
  <c r="BV538" i="13"/>
  <c r="BN538" i="13"/>
  <c r="BF538" i="13"/>
  <c r="BR538" i="13"/>
  <c r="BV539" i="13"/>
  <c r="BN539" i="13"/>
  <c r="BF539" i="13"/>
  <c r="BU539" i="13"/>
  <c r="BM539" i="13"/>
  <c r="BE539" i="13"/>
  <c r="BS539" i="13"/>
  <c r="BK539" i="13"/>
  <c r="BQ539" i="13"/>
  <c r="BP541" i="13"/>
  <c r="BH541" i="13"/>
  <c r="BW541" i="13"/>
  <c r="BO541" i="13"/>
  <c r="BG541" i="13"/>
  <c r="BU541" i="13"/>
  <c r="BM541" i="13"/>
  <c r="BE541" i="13"/>
  <c r="BR541" i="13"/>
  <c r="AB543" i="13"/>
  <c r="AE543" i="13" s="1"/>
  <c r="AA543" i="13"/>
  <c r="AC543" i="13" s="1"/>
  <c r="V552" i="13"/>
  <c r="AE552" i="13" s="1"/>
  <c r="U552" i="13"/>
  <c r="W552" i="13" s="1"/>
  <c r="BS559" i="13"/>
  <c r="BK559" i="13"/>
  <c r="BR559" i="13"/>
  <c r="BJ559" i="13"/>
  <c r="BQ559" i="13"/>
  <c r="BI559" i="13"/>
  <c r="BP559" i="13"/>
  <c r="BH559" i="13"/>
  <c r="BW559" i="13"/>
  <c r="BO559" i="13"/>
  <c r="BG559" i="13"/>
  <c r="BV559" i="13"/>
  <c r="AX563" i="13"/>
  <c r="AP563" i="13"/>
  <c r="AW563" i="13"/>
  <c r="AO563" i="13"/>
  <c r="AV563" i="13"/>
  <c r="AN563" i="13"/>
  <c r="AU563" i="13"/>
  <c r="AM563" i="13"/>
  <c r="BB563" i="13"/>
  <c r="AT563" i="13"/>
  <c r="AL563" i="13"/>
  <c r="BA563" i="13"/>
  <c r="BQ565" i="13"/>
  <c r="BI565" i="13"/>
  <c r="BP565" i="13"/>
  <c r="BH565" i="13"/>
  <c r="BW565" i="13"/>
  <c r="BO565" i="13"/>
  <c r="BG565" i="13"/>
  <c r="BV565" i="13"/>
  <c r="BN565" i="13"/>
  <c r="BF565" i="13"/>
  <c r="BU565" i="13"/>
  <c r="BM565" i="13"/>
  <c r="BE565" i="13"/>
  <c r="V568" i="13"/>
  <c r="U568" i="13"/>
  <c r="W568" i="13" s="1"/>
  <c r="AV569" i="13"/>
  <c r="AN569" i="13"/>
  <c r="AU569" i="13"/>
  <c r="AM569" i="13"/>
  <c r="BB569" i="13"/>
  <c r="AT569" i="13"/>
  <c r="AL569" i="13"/>
  <c r="BA569" i="13"/>
  <c r="AS569" i="13"/>
  <c r="AK569" i="13"/>
  <c r="AZ569" i="13"/>
  <c r="AR569" i="13"/>
  <c r="AJ569" i="13"/>
  <c r="AA644" i="13"/>
  <c r="AC644" i="13" s="1"/>
  <c r="AB644" i="13"/>
  <c r="AE644" i="13" s="1"/>
  <c r="V649" i="13"/>
  <c r="U649" i="13"/>
  <c r="W649" i="13" s="1"/>
  <c r="AQ479" i="13"/>
  <c r="AY479" i="13"/>
  <c r="AP482" i="13"/>
  <c r="AX482" i="13"/>
  <c r="BL483" i="13"/>
  <c r="BT483" i="13"/>
  <c r="BK486" i="13"/>
  <c r="BS486" i="13"/>
  <c r="AQ487" i="13"/>
  <c r="AY487" i="13"/>
  <c r="AP490" i="13"/>
  <c r="AX490" i="13"/>
  <c r="BL491" i="13"/>
  <c r="BT491" i="13"/>
  <c r="BK494" i="13"/>
  <c r="BS494" i="13"/>
  <c r="AQ495" i="13"/>
  <c r="AY495" i="13"/>
  <c r="AP498" i="13"/>
  <c r="AX498" i="13"/>
  <c r="BL499" i="13"/>
  <c r="BT499" i="13"/>
  <c r="AL502" i="13"/>
  <c r="AT502" i="13"/>
  <c r="BB502" i="13"/>
  <c r="BK502" i="13"/>
  <c r="BS502" i="13"/>
  <c r="AQ503" i="13"/>
  <c r="AY503" i="13"/>
  <c r="AQ504" i="13"/>
  <c r="AL505" i="13"/>
  <c r="AV505" i="13"/>
  <c r="BL507" i="13"/>
  <c r="BG508" i="13"/>
  <c r="BP508" i="13"/>
  <c r="BL510" i="13"/>
  <c r="BG511" i="13"/>
  <c r="BP511" i="13"/>
  <c r="AX512" i="13"/>
  <c r="AP512" i="13"/>
  <c r="AR512" i="13"/>
  <c r="BA512" i="13"/>
  <c r="BV515" i="13"/>
  <c r="BN515" i="13"/>
  <c r="BF515" i="13"/>
  <c r="BM515" i="13"/>
  <c r="BW515" i="13"/>
  <c r="AL518" i="13"/>
  <c r="AX518" i="13"/>
  <c r="AN519" i="13"/>
  <c r="AX519" i="13"/>
  <c r="AU521" i="13"/>
  <c r="AM521" i="13"/>
  <c r="BB521" i="13"/>
  <c r="AT521" i="13"/>
  <c r="AL521" i="13"/>
  <c r="AS521" i="13"/>
  <c r="AR523" i="13"/>
  <c r="AO526" i="13"/>
  <c r="AZ526" i="13"/>
  <c r="BA527" i="13"/>
  <c r="AS527" i="13"/>
  <c r="AK527" i="13"/>
  <c r="AZ527" i="13"/>
  <c r="AR527" i="13"/>
  <c r="AJ527" i="13"/>
  <c r="AX527" i="13"/>
  <c r="AP527" i="13"/>
  <c r="AV527" i="13"/>
  <c r="BG532" i="13"/>
  <c r="BU532" i="13"/>
  <c r="BH535" i="13"/>
  <c r="BU535" i="13"/>
  <c r="AU537" i="13"/>
  <c r="AM537" i="13"/>
  <c r="BB537" i="13"/>
  <c r="AT537" i="13"/>
  <c r="AL537" i="13"/>
  <c r="AZ537" i="13"/>
  <c r="AR537" i="13"/>
  <c r="AJ537" i="13"/>
  <c r="AW537" i="13"/>
  <c r="BJ538" i="13"/>
  <c r="BU538" i="13"/>
  <c r="AW539" i="13"/>
  <c r="AO539" i="13"/>
  <c r="AV539" i="13"/>
  <c r="AN539" i="13"/>
  <c r="BB539" i="13"/>
  <c r="AT539" i="13"/>
  <c r="AL539" i="13"/>
  <c r="AU539" i="13"/>
  <c r="BI539" i="13"/>
  <c r="BW539" i="13"/>
  <c r="BJ541" i="13"/>
  <c r="BV541" i="13"/>
  <c r="AX544" i="13"/>
  <c r="AP544" i="13"/>
  <c r="AW544" i="13"/>
  <c r="AO544" i="13"/>
  <c r="AU544" i="13"/>
  <c r="AM544" i="13"/>
  <c r="AT544" i="13"/>
  <c r="AU545" i="13"/>
  <c r="AM545" i="13"/>
  <c r="BB545" i="13"/>
  <c r="AT545" i="13"/>
  <c r="AL545" i="13"/>
  <c r="BA545" i="13"/>
  <c r="AS545" i="13"/>
  <c r="AK545" i="13"/>
  <c r="AZ545" i="13"/>
  <c r="AR545" i="13"/>
  <c r="AJ545" i="13"/>
  <c r="AY545" i="13"/>
  <c r="BQ546" i="13"/>
  <c r="BI546" i="13"/>
  <c r="BP546" i="13"/>
  <c r="BH546" i="13"/>
  <c r="BW546" i="13"/>
  <c r="BO546" i="13"/>
  <c r="BG546" i="13"/>
  <c r="BV546" i="13"/>
  <c r="BN546" i="13"/>
  <c r="BF546" i="13"/>
  <c r="BT546" i="13"/>
  <c r="AU553" i="13"/>
  <c r="AM553" i="13"/>
  <c r="BB553" i="13"/>
  <c r="AT553" i="13"/>
  <c r="AL553" i="13"/>
  <c r="BA553" i="13"/>
  <c r="AS553" i="13"/>
  <c r="AK553" i="13"/>
  <c r="AZ553" i="13"/>
  <c r="AR553" i="13"/>
  <c r="AJ553" i="13"/>
  <c r="AY553" i="13"/>
  <c r="BQ554" i="13"/>
  <c r="BI554" i="13"/>
  <c r="BP554" i="13"/>
  <c r="BH554" i="13"/>
  <c r="BW554" i="13"/>
  <c r="BO554" i="13"/>
  <c r="BG554" i="13"/>
  <c r="BV554" i="13"/>
  <c r="BN554" i="13"/>
  <c r="BF554" i="13"/>
  <c r="BT554" i="13"/>
  <c r="BL559" i="13"/>
  <c r="AQ563" i="13"/>
  <c r="BL565" i="13"/>
  <c r="AQ569" i="13"/>
  <c r="AW574" i="13"/>
  <c r="AO574" i="13"/>
  <c r="AV574" i="13"/>
  <c r="AN574" i="13"/>
  <c r="AU574" i="13"/>
  <c r="AM574" i="13"/>
  <c r="BB574" i="13"/>
  <c r="AT574" i="13"/>
  <c r="AL574" i="13"/>
  <c r="BA574" i="13"/>
  <c r="AS574" i="13"/>
  <c r="AK574" i="13"/>
  <c r="BS583" i="13"/>
  <c r="BK583" i="13"/>
  <c r="BR583" i="13"/>
  <c r="BJ583" i="13"/>
  <c r="BQ583" i="13"/>
  <c r="BI583" i="13"/>
  <c r="BP583" i="13"/>
  <c r="BH583" i="13"/>
  <c r="BW583" i="13"/>
  <c r="BO583" i="13"/>
  <c r="BG583" i="13"/>
  <c r="BV583" i="13"/>
  <c r="AB586" i="13"/>
  <c r="AA586" i="13"/>
  <c r="AC586" i="13" s="1"/>
  <c r="BS589" i="13"/>
  <c r="BK589" i="13"/>
  <c r="BT589" i="13"/>
  <c r="BJ589" i="13"/>
  <c r="BR589" i="13"/>
  <c r="BI589" i="13"/>
  <c r="BQ589" i="13"/>
  <c r="BH589" i="13"/>
  <c r="BP589" i="13"/>
  <c r="BG589" i="13"/>
  <c r="BO589" i="13"/>
  <c r="BF589" i="13"/>
  <c r="AE591" i="13"/>
  <c r="BR600" i="13"/>
  <c r="BJ600" i="13"/>
  <c r="BU600" i="13"/>
  <c r="BL600" i="13"/>
  <c r="BT600" i="13"/>
  <c r="BK600" i="13"/>
  <c r="BS600" i="13"/>
  <c r="BI600" i="13"/>
  <c r="BQ600" i="13"/>
  <c r="BH600" i="13"/>
  <c r="BP600" i="13"/>
  <c r="BG600" i="13"/>
  <c r="BW600" i="13"/>
  <c r="BN600" i="13"/>
  <c r="BE600" i="13"/>
  <c r="AQ482" i="13"/>
  <c r="AY482" i="13"/>
  <c r="BL486" i="13"/>
  <c r="BT486" i="13"/>
  <c r="AQ490" i="13"/>
  <c r="AY490" i="13"/>
  <c r="BL494" i="13"/>
  <c r="BT494" i="13"/>
  <c r="AQ498" i="13"/>
  <c r="AY498" i="13"/>
  <c r="AM502" i="13"/>
  <c r="AU502" i="13"/>
  <c r="BL502" i="13"/>
  <c r="BT502" i="13"/>
  <c r="AX504" i="13"/>
  <c r="AP504" i="13"/>
  <c r="AR504" i="13"/>
  <c r="BA504" i="13"/>
  <c r="AN505" i="13"/>
  <c r="AW505" i="13"/>
  <c r="BV507" i="13"/>
  <c r="BN507" i="13"/>
  <c r="BF507" i="13"/>
  <c r="BM507" i="13"/>
  <c r="BW507" i="13"/>
  <c r="BH508" i="13"/>
  <c r="BQ508" i="13"/>
  <c r="BU510" i="13"/>
  <c r="BM510" i="13"/>
  <c r="BE510" i="13"/>
  <c r="BN510" i="13"/>
  <c r="BW510" i="13"/>
  <c r="BH511" i="13"/>
  <c r="BQ511" i="13"/>
  <c r="AO518" i="13"/>
  <c r="AY518" i="13"/>
  <c r="AO519" i="13"/>
  <c r="AY519" i="13"/>
  <c r="AW523" i="13"/>
  <c r="AO523" i="13"/>
  <c r="AV523" i="13"/>
  <c r="AN523" i="13"/>
  <c r="AS523" i="13"/>
  <c r="BV523" i="13"/>
  <c r="BN523" i="13"/>
  <c r="BF523" i="13"/>
  <c r="BU523" i="13"/>
  <c r="BM523" i="13"/>
  <c r="BE523" i="13"/>
  <c r="BP523" i="13"/>
  <c r="AP526" i="13"/>
  <c r="BB526" i="13"/>
  <c r="BI532" i="13"/>
  <c r="BV532" i="13"/>
  <c r="BA535" i="13"/>
  <c r="AS535" i="13"/>
  <c r="AK535" i="13"/>
  <c r="AZ535" i="13"/>
  <c r="AR535" i="13"/>
  <c r="AJ535" i="13"/>
  <c r="AX535" i="13"/>
  <c r="AP535" i="13"/>
  <c r="AV535" i="13"/>
  <c r="BK535" i="13"/>
  <c r="BV535" i="13"/>
  <c r="BK538" i="13"/>
  <c r="BW538" i="13"/>
  <c r="BJ539" i="13"/>
  <c r="BK541" i="13"/>
  <c r="BE546" i="13"/>
  <c r="BU546" i="13"/>
  <c r="BS548" i="13"/>
  <c r="BK548" i="13"/>
  <c r="BR548" i="13"/>
  <c r="BJ548" i="13"/>
  <c r="BQ548" i="13"/>
  <c r="BI548" i="13"/>
  <c r="BP548" i="13"/>
  <c r="BH548" i="13"/>
  <c r="BT548" i="13"/>
  <c r="AN553" i="13"/>
  <c r="BE554" i="13"/>
  <c r="BU554" i="13"/>
  <c r="BS556" i="13"/>
  <c r="BK556" i="13"/>
  <c r="BR556" i="13"/>
  <c r="BJ556" i="13"/>
  <c r="BQ556" i="13"/>
  <c r="BI556" i="13"/>
  <c r="BP556" i="13"/>
  <c r="BH556" i="13"/>
  <c r="BT556" i="13"/>
  <c r="BM559" i="13"/>
  <c r="AB561" i="13"/>
  <c r="AA561" i="13"/>
  <c r="AC561" i="13" s="1"/>
  <c r="AR563" i="13"/>
  <c r="BR565" i="13"/>
  <c r="AW569" i="13"/>
  <c r="AJ574" i="13"/>
  <c r="AW582" i="13"/>
  <c r="AO582" i="13"/>
  <c r="AV582" i="13"/>
  <c r="AN582" i="13"/>
  <c r="AU582" i="13"/>
  <c r="AM582" i="13"/>
  <c r="BB582" i="13"/>
  <c r="AT582" i="13"/>
  <c r="AL582" i="13"/>
  <c r="BA582" i="13"/>
  <c r="AS582" i="13"/>
  <c r="AK582" i="13"/>
  <c r="BE583" i="13"/>
  <c r="BB589" i="13"/>
  <c r="AT589" i="13"/>
  <c r="AL589" i="13"/>
  <c r="AZ589" i="13"/>
  <c r="AQ589" i="13"/>
  <c r="AY589" i="13"/>
  <c r="AP589" i="13"/>
  <c r="AX589" i="13"/>
  <c r="AO589" i="13"/>
  <c r="AW589" i="13"/>
  <c r="AN589" i="13"/>
  <c r="AV589" i="13"/>
  <c r="AM589" i="13"/>
  <c r="BE589" i="13"/>
  <c r="AA594" i="13"/>
  <c r="AC594" i="13" s="1"/>
  <c r="AW596" i="13"/>
  <c r="AO596" i="13"/>
  <c r="AX596" i="13"/>
  <c r="AN596" i="13"/>
  <c r="AV596" i="13"/>
  <c r="AM596" i="13"/>
  <c r="AU596" i="13"/>
  <c r="AL596" i="13"/>
  <c r="AT596" i="13"/>
  <c r="AK596" i="13"/>
  <c r="BB596" i="13"/>
  <c r="AS596" i="13"/>
  <c r="AJ596" i="13"/>
  <c r="AV599" i="13"/>
  <c r="AN599" i="13"/>
  <c r="AX599" i="13"/>
  <c r="AO599" i="13"/>
  <c r="AW599" i="13"/>
  <c r="AM599" i="13"/>
  <c r="AU599" i="13"/>
  <c r="AL599" i="13"/>
  <c r="AT599" i="13"/>
  <c r="AK599" i="13"/>
  <c r="BB599" i="13"/>
  <c r="AS599" i="13"/>
  <c r="AJ599" i="13"/>
  <c r="AZ599" i="13"/>
  <c r="AQ599" i="13"/>
  <c r="AW604" i="13"/>
  <c r="AO604" i="13"/>
  <c r="AZ604" i="13"/>
  <c r="AR604" i="13"/>
  <c r="AJ604" i="13"/>
  <c r="BA604" i="13"/>
  <c r="AP604" i="13"/>
  <c r="AY604" i="13"/>
  <c r="AN604" i="13"/>
  <c r="AX604" i="13"/>
  <c r="AM604" i="13"/>
  <c r="AV604" i="13"/>
  <c r="AL604" i="13"/>
  <c r="AU604" i="13"/>
  <c r="AK604" i="13"/>
  <c r="AS604" i="13"/>
  <c r="V607" i="13"/>
  <c r="AE607" i="13" s="1"/>
  <c r="U607" i="13"/>
  <c r="W607" i="13" s="1"/>
  <c r="AB609" i="13"/>
  <c r="AA609" i="13"/>
  <c r="AC609" i="13" s="1"/>
  <c r="BP630" i="13"/>
  <c r="BH630" i="13"/>
  <c r="BW630" i="13"/>
  <c r="BO630" i="13"/>
  <c r="BG630" i="13"/>
  <c r="BU630" i="13"/>
  <c r="BM630" i="13"/>
  <c r="BE630" i="13"/>
  <c r="BS630" i="13"/>
  <c r="BK630" i="13"/>
  <c r="BN630" i="13"/>
  <c r="BL630" i="13"/>
  <c r="BJ630" i="13"/>
  <c r="BI630" i="13"/>
  <c r="BV630" i="13"/>
  <c r="BF630" i="13"/>
  <c r="BR630" i="13"/>
  <c r="BL457" i="13"/>
  <c r="BK460" i="13"/>
  <c r="BS460" i="13"/>
  <c r="AQ461" i="13"/>
  <c r="AP464" i="13"/>
  <c r="AX464" i="13"/>
  <c r="BL465" i="13"/>
  <c r="BK468" i="13"/>
  <c r="BS468" i="13"/>
  <c r="AQ469" i="13"/>
  <c r="AP472" i="13"/>
  <c r="AX472" i="13"/>
  <c r="BL473" i="13"/>
  <c r="BK476" i="13"/>
  <c r="BS476" i="13"/>
  <c r="AQ477" i="13"/>
  <c r="AK479" i="13"/>
  <c r="AS479" i="13"/>
  <c r="BA479" i="13"/>
  <c r="AP480" i="13"/>
  <c r="AX480" i="13"/>
  <c r="U481" i="13"/>
  <c r="W481" i="13" s="1"/>
  <c r="BL481" i="13"/>
  <c r="AA482" i="13"/>
  <c r="AC482" i="13" s="1"/>
  <c r="AJ482" i="13"/>
  <c r="AR482" i="13"/>
  <c r="AZ482" i="13"/>
  <c r="BF483" i="13"/>
  <c r="BN483" i="13"/>
  <c r="BV483" i="13"/>
  <c r="BK484" i="13"/>
  <c r="BS484" i="13"/>
  <c r="AQ485" i="13"/>
  <c r="BE486" i="13"/>
  <c r="BM486" i="13"/>
  <c r="BU486" i="13"/>
  <c r="AK487" i="13"/>
  <c r="AS487" i="13"/>
  <c r="BA487" i="13"/>
  <c r="AP488" i="13"/>
  <c r="AX488" i="13"/>
  <c r="U489" i="13"/>
  <c r="W489" i="13" s="1"/>
  <c r="BL489" i="13"/>
  <c r="BT489" i="13"/>
  <c r="AA490" i="13"/>
  <c r="AC490" i="13" s="1"/>
  <c r="AJ490" i="13"/>
  <c r="AR490" i="13"/>
  <c r="AZ490" i="13"/>
  <c r="BF491" i="13"/>
  <c r="BN491" i="13"/>
  <c r="BV491" i="13"/>
  <c r="BK492" i="13"/>
  <c r="BS492" i="13"/>
  <c r="AQ493" i="13"/>
  <c r="AY493" i="13"/>
  <c r="BE494" i="13"/>
  <c r="BM494" i="13"/>
  <c r="BU494" i="13"/>
  <c r="AK495" i="13"/>
  <c r="AS495" i="13"/>
  <c r="BA495" i="13"/>
  <c r="AP496" i="13"/>
  <c r="AX496" i="13"/>
  <c r="U497" i="13"/>
  <c r="W497" i="13" s="1"/>
  <c r="BL497" i="13"/>
  <c r="BT497" i="13"/>
  <c r="AA498" i="13"/>
  <c r="AC498" i="13" s="1"/>
  <c r="AJ498" i="13"/>
  <c r="AR498" i="13"/>
  <c r="AZ498" i="13"/>
  <c r="BF499" i="13"/>
  <c r="BN499" i="13"/>
  <c r="BV499" i="13"/>
  <c r="BK500" i="13"/>
  <c r="BS500" i="13"/>
  <c r="AQ501" i="13"/>
  <c r="AY501" i="13"/>
  <c r="AN502" i="13"/>
  <c r="AV502" i="13"/>
  <c r="BE502" i="13"/>
  <c r="BM502" i="13"/>
  <c r="BU502" i="13"/>
  <c r="AK503" i="13"/>
  <c r="AS503" i="13"/>
  <c r="BA503" i="13"/>
  <c r="AJ504" i="13"/>
  <c r="AS504" i="13"/>
  <c r="BB504" i="13"/>
  <c r="BL504" i="13"/>
  <c r="AO505" i="13"/>
  <c r="AX505" i="13"/>
  <c r="AQ506" i="13"/>
  <c r="BE507" i="13"/>
  <c r="BO507" i="13"/>
  <c r="BI508" i="13"/>
  <c r="BR508" i="13"/>
  <c r="BF510" i="13"/>
  <c r="BO510" i="13"/>
  <c r="BI511" i="13"/>
  <c r="BS511" i="13"/>
  <c r="AA512" i="13"/>
  <c r="AC512" i="13" s="1"/>
  <c r="AK512" i="13"/>
  <c r="AT512" i="13"/>
  <c r="BW512" i="13"/>
  <c r="BO512" i="13"/>
  <c r="BG512" i="13"/>
  <c r="BM512" i="13"/>
  <c r="BV512" i="13"/>
  <c r="V513" i="13"/>
  <c r="AE513" i="13" s="1"/>
  <c r="AZ514" i="13"/>
  <c r="AR514" i="13"/>
  <c r="AJ514" i="13"/>
  <c r="AS514" i="13"/>
  <c r="BB514" i="13"/>
  <c r="BG515" i="13"/>
  <c r="BP515" i="13"/>
  <c r="AP518" i="13"/>
  <c r="AZ518" i="13"/>
  <c r="AP519" i="13"/>
  <c r="BB519" i="13"/>
  <c r="BM519" i="13"/>
  <c r="U520" i="13"/>
  <c r="W520" i="13" s="1"/>
  <c r="AX520" i="13"/>
  <c r="AP520" i="13"/>
  <c r="AW520" i="13"/>
  <c r="AO520" i="13"/>
  <c r="AS520" i="13"/>
  <c r="BW520" i="13"/>
  <c r="BO520" i="13"/>
  <c r="BG520" i="13"/>
  <c r="BV520" i="13"/>
  <c r="BN520" i="13"/>
  <c r="BF520" i="13"/>
  <c r="BP520" i="13"/>
  <c r="AK521" i="13"/>
  <c r="AW521" i="13"/>
  <c r="BQ522" i="13"/>
  <c r="BI522" i="13"/>
  <c r="BP522" i="13"/>
  <c r="BH522" i="13"/>
  <c r="BN522" i="13"/>
  <c r="AJ523" i="13"/>
  <c r="AT523" i="13"/>
  <c r="BG523" i="13"/>
  <c r="BQ523" i="13"/>
  <c r="AQ526" i="13"/>
  <c r="AM527" i="13"/>
  <c r="AY527" i="13"/>
  <c r="AA528" i="13"/>
  <c r="AC528" i="13" s="1"/>
  <c r="BL532" i="13"/>
  <c r="BW532" i="13"/>
  <c r="U533" i="13"/>
  <c r="W533" i="13" s="1"/>
  <c r="AA534" i="13"/>
  <c r="AC534" i="13" s="1"/>
  <c r="AL535" i="13"/>
  <c r="AW535" i="13"/>
  <c r="BL535" i="13"/>
  <c r="AN537" i="13"/>
  <c r="AY537" i="13"/>
  <c r="BL538" i="13"/>
  <c r="AK539" i="13"/>
  <c r="AY539" i="13"/>
  <c r="BL539" i="13"/>
  <c r="BL541" i="13"/>
  <c r="U543" i="13"/>
  <c r="W543" i="13" s="1"/>
  <c r="BA543" i="13"/>
  <c r="AS543" i="13"/>
  <c r="AK543" i="13"/>
  <c r="AZ543" i="13"/>
  <c r="AR543" i="13"/>
  <c r="AJ543" i="13"/>
  <c r="AX543" i="13"/>
  <c r="AP543" i="13"/>
  <c r="AV543" i="13"/>
  <c r="V544" i="13"/>
  <c r="AE544" i="13" s="1"/>
  <c r="AK544" i="13"/>
  <c r="AY544" i="13"/>
  <c r="AO545" i="13"/>
  <c r="U546" i="13"/>
  <c r="W546" i="13" s="1"/>
  <c r="BJ546" i="13"/>
  <c r="BE548" i="13"/>
  <c r="BU548" i="13"/>
  <c r="AV550" i="13"/>
  <c r="AN550" i="13"/>
  <c r="AU550" i="13"/>
  <c r="AM550" i="13"/>
  <c r="BB550" i="13"/>
  <c r="AT550" i="13"/>
  <c r="AL550" i="13"/>
  <c r="BA550" i="13"/>
  <c r="AS550" i="13"/>
  <c r="AK550" i="13"/>
  <c r="AY550" i="13"/>
  <c r="U551" i="13"/>
  <c r="W551" i="13" s="1"/>
  <c r="AX552" i="13"/>
  <c r="AP552" i="13"/>
  <c r="AW552" i="13"/>
  <c r="AO552" i="13"/>
  <c r="AV552" i="13"/>
  <c r="AN552" i="13"/>
  <c r="AU552" i="13"/>
  <c r="AM552" i="13"/>
  <c r="AY552" i="13"/>
  <c r="AO553" i="13"/>
  <c r="U554" i="13"/>
  <c r="W554" i="13" s="1"/>
  <c r="BJ554" i="13"/>
  <c r="BE556" i="13"/>
  <c r="BU556" i="13"/>
  <c r="BN559" i="13"/>
  <c r="BR562" i="13"/>
  <c r="BJ562" i="13"/>
  <c r="BQ562" i="13"/>
  <c r="BI562" i="13"/>
  <c r="BP562" i="13"/>
  <c r="BH562" i="13"/>
  <c r="BW562" i="13"/>
  <c r="BO562" i="13"/>
  <c r="BG562" i="13"/>
  <c r="BV562" i="13"/>
  <c r="BN562" i="13"/>
  <c r="BF562" i="13"/>
  <c r="AS563" i="13"/>
  <c r="BS565" i="13"/>
  <c r="AB569" i="13"/>
  <c r="AA569" i="13"/>
  <c r="AC569" i="13" s="1"/>
  <c r="AX569" i="13"/>
  <c r="AP574" i="13"/>
  <c r="AJ582" i="13"/>
  <c r="BF583" i="13"/>
  <c r="AU586" i="13"/>
  <c r="AM586" i="13"/>
  <c r="AY586" i="13"/>
  <c r="AP586" i="13"/>
  <c r="AX586" i="13"/>
  <c r="AO586" i="13"/>
  <c r="AW586" i="13"/>
  <c r="AN586" i="13"/>
  <c r="AV586" i="13"/>
  <c r="AL586" i="13"/>
  <c r="AT586" i="13"/>
  <c r="AK586" i="13"/>
  <c r="AJ589" i="13"/>
  <c r="BL589" i="13"/>
  <c r="AE590" i="13"/>
  <c r="AU594" i="13"/>
  <c r="AM594" i="13"/>
  <c r="AZ594" i="13"/>
  <c r="AQ594" i="13"/>
  <c r="AY594" i="13"/>
  <c r="AP594" i="13"/>
  <c r="AX594" i="13"/>
  <c r="AO594" i="13"/>
  <c r="AW594" i="13"/>
  <c r="AN594" i="13"/>
  <c r="AV594" i="13"/>
  <c r="AL594" i="13"/>
  <c r="V595" i="13"/>
  <c r="AE595" i="13" s="1"/>
  <c r="U595" i="13"/>
  <c r="W595" i="13" s="1"/>
  <c r="AP596" i="13"/>
  <c r="AP599" i="13"/>
  <c r="BM600" i="13"/>
  <c r="AQ604" i="13"/>
  <c r="AX609" i="13"/>
  <c r="AP609" i="13"/>
  <c r="BA609" i="13"/>
  <c r="AS609" i="13"/>
  <c r="AK609" i="13"/>
  <c r="AR609" i="13"/>
  <c r="BB609" i="13"/>
  <c r="AQ609" i="13"/>
  <c r="AZ609" i="13"/>
  <c r="AO609" i="13"/>
  <c r="AY609" i="13"/>
  <c r="AN609" i="13"/>
  <c r="AW609" i="13"/>
  <c r="AM609" i="13"/>
  <c r="AU609" i="13"/>
  <c r="AJ609" i="13"/>
  <c r="AZ619" i="13"/>
  <c r="AR619" i="13"/>
  <c r="AJ619" i="13"/>
  <c r="AW619" i="13"/>
  <c r="AO619" i="13"/>
  <c r="AU619" i="13"/>
  <c r="AM619" i="13"/>
  <c r="AQ619" i="13"/>
  <c r="BB619" i="13"/>
  <c r="AP619" i="13"/>
  <c r="BA619" i="13"/>
  <c r="AN619" i="13"/>
  <c r="AY619" i="13"/>
  <c r="AL619" i="13"/>
  <c r="AX619" i="13"/>
  <c r="AK619" i="13"/>
  <c r="AT619" i="13"/>
  <c r="AF625" i="13"/>
  <c r="BQ630" i="13"/>
  <c r="V631" i="13"/>
  <c r="AE631" i="13" s="1"/>
  <c r="U631" i="13"/>
  <c r="W631" i="13" s="1"/>
  <c r="BL460" i="13"/>
  <c r="AQ464" i="13"/>
  <c r="BL468" i="13"/>
  <c r="AQ472" i="13"/>
  <c r="BL476" i="13"/>
  <c r="AL479" i="13"/>
  <c r="AT479" i="13"/>
  <c r="AQ480" i="13"/>
  <c r="AK482" i="13"/>
  <c r="AS482" i="13"/>
  <c r="BG483" i="13"/>
  <c r="BO483" i="13"/>
  <c r="BL484" i="13"/>
  <c r="BF486" i="13"/>
  <c r="BN486" i="13"/>
  <c r="AL487" i="13"/>
  <c r="AT487" i="13"/>
  <c r="AQ488" i="13"/>
  <c r="BE489" i="13"/>
  <c r="BM489" i="13"/>
  <c r="AK490" i="13"/>
  <c r="AS490" i="13"/>
  <c r="BG491" i="13"/>
  <c r="BO491" i="13"/>
  <c r="BL492" i="13"/>
  <c r="AJ493" i="13"/>
  <c r="AR493" i="13"/>
  <c r="BF494" i="13"/>
  <c r="BN494" i="13"/>
  <c r="AL495" i="13"/>
  <c r="AT495" i="13"/>
  <c r="AQ496" i="13"/>
  <c r="BE497" i="13"/>
  <c r="BM497" i="13"/>
  <c r="AK498" i="13"/>
  <c r="AS498" i="13"/>
  <c r="BG499" i="13"/>
  <c r="BO499" i="13"/>
  <c r="BL500" i="13"/>
  <c r="AJ501" i="13"/>
  <c r="AR501" i="13"/>
  <c r="AO502" i="13"/>
  <c r="BF502" i="13"/>
  <c r="BN502" i="13"/>
  <c r="AL503" i="13"/>
  <c r="AT503" i="13"/>
  <c r="AK504" i="13"/>
  <c r="AT504" i="13"/>
  <c r="BW504" i="13"/>
  <c r="BO504" i="13"/>
  <c r="BG504" i="13"/>
  <c r="BM504" i="13"/>
  <c r="BV504" i="13"/>
  <c r="V505" i="13"/>
  <c r="AP505" i="13"/>
  <c r="AY505" i="13"/>
  <c r="AZ506" i="13"/>
  <c r="AR506" i="13"/>
  <c r="AJ506" i="13"/>
  <c r="AS506" i="13"/>
  <c r="BB506" i="13"/>
  <c r="BG507" i="13"/>
  <c r="BP507" i="13"/>
  <c r="BJ508" i="13"/>
  <c r="BT508" i="13"/>
  <c r="BG510" i="13"/>
  <c r="BP510" i="13"/>
  <c r="BK511" i="13"/>
  <c r="BT511" i="13"/>
  <c r="AL512" i="13"/>
  <c r="AU512" i="13"/>
  <c r="BE512" i="13"/>
  <c r="BN512" i="13"/>
  <c r="AK514" i="13"/>
  <c r="AT514" i="13"/>
  <c r="BQ514" i="13"/>
  <c r="BI514" i="13"/>
  <c r="BM514" i="13"/>
  <c r="BV514" i="13"/>
  <c r="BH515" i="13"/>
  <c r="BQ515" i="13"/>
  <c r="BB516" i="13"/>
  <c r="AT516" i="13"/>
  <c r="AL516" i="13"/>
  <c r="AR516" i="13"/>
  <c r="BA516" i="13"/>
  <c r="AQ518" i="13"/>
  <c r="BA518" i="13"/>
  <c r="AQ519" i="13"/>
  <c r="BR519" i="13"/>
  <c r="BJ519" i="13"/>
  <c r="BQ519" i="13"/>
  <c r="BI519" i="13"/>
  <c r="BN519" i="13"/>
  <c r="AJ520" i="13"/>
  <c r="AT520" i="13"/>
  <c r="BE520" i="13"/>
  <c r="BQ520" i="13"/>
  <c r="AN521" i="13"/>
  <c r="AX521" i="13"/>
  <c r="BE522" i="13"/>
  <c r="BO522" i="13"/>
  <c r="AK523" i="13"/>
  <c r="AU523" i="13"/>
  <c r="BH523" i="13"/>
  <c r="BR523" i="13"/>
  <c r="BP525" i="13"/>
  <c r="BH525" i="13"/>
  <c r="BW525" i="13"/>
  <c r="BO525" i="13"/>
  <c r="BG525" i="13"/>
  <c r="BU525" i="13"/>
  <c r="BM525" i="13"/>
  <c r="BE525" i="13"/>
  <c r="BR525" i="13"/>
  <c r="AR526" i="13"/>
  <c r="AB527" i="13"/>
  <c r="AA527" i="13"/>
  <c r="AC527" i="13" s="1"/>
  <c r="AN527" i="13"/>
  <c r="BB527" i="13"/>
  <c r="BM532" i="13"/>
  <c r="AM535" i="13"/>
  <c r="AY535" i="13"/>
  <c r="BM535" i="13"/>
  <c r="AO537" i="13"/>
  <c r="BA537" i="13"/>
  <c r="BM538" i="13"/>
  <c r="AM539" i="13"/>
  <c r="AZ539" i="13"/>
  <c r="BO539" i="13"/>
  <c r="BN541" i="13"/>
  <c r="AA542" i="13"/>
  <c r="AC542" i="13" s="1"/>
  <c r="AL543" i="13"/>
  <c r="AW543" i="13"/>
  <c r="AL544" i="13"/>
  <c r="AZ544" i="13"/>
  <c r="AP545" i="13"/>
  <c r="BK546" i="13"/>
  <c r="BF548" i="13"/>
  <c r="BV548" i="13"/>
  <c r="AJ550" i="13"/>
  <c r="AZ550" i="13"/>
  <c r="AJ552" i="13"/>
  <c r="AZ552" i="13"/>
  <c r="AP553" i="13"/>
  <c r="BK554" i="13"/>
  <c r="BF556" i="13"/>
  <c r="BV556" i="13"/>
  <c r="AE558" i="13"/>
  <c r="BT559" i="13"/>
  <c r="BE562" i="13"/>
  <c r="AY563" i="13"/>
  <c r="BT565" i="13"/>
  <c r="AY569" i="13"/>
  <c r="BR570" i="13"/>
  <c r="BJ570" i="13"/>
  <c r="BQ570" i="13"/>
  <c r="BI570" i="13"/>
  <c r="BP570" i="13"/>
  <c r="BH570" i="13"/>
  <c r="BW570" i="13"/>
  <c r="BO570" i="13"/>
  <c r="BG570" i="13"/>
  <c r="BV570" i="13"/>
  <c r="BN570" i="13"/>
  <c r="BF570" i="13"/>
  <c r="AQ574" i="13"/>
  <c r="AB577" i="13"/>
  <c r="AA577" i="13"/>
  <c r="AC577" i="13" s="1"/>
  <c r="AP582" i="13"/>
  <c r="BL583" i="13"/>
  <c r="AJ586" i="13"/>
  <c r="AK589" i="13"/>
  <c r="BM589" i="13"/>
  <c r="AJ594" i="13"/>
  <c r="AQ596" i="13"/>
  <c r="AR599" i="13"/>
  <c r="BO600" i="13"/>
  <c r="AT604" i="13"/>
  <c r="AB605" i="13"/>
  <c r="AA605" i="13"/>
  <c r="AC605" i="13" s="1"/>
  <c r="V608" i="13"/>
  <c r="AE608" i="13" s="1"/>
  <c r="U608" i="13"/>
  <c r="W608" i="13" s="1"/>
  <c r="AL609" i="13"/>
  <c r="AA612" i="13"/>
  <c r="AC612" i="13" s="1"/>
  <c r="AB612" i="13"/>
  <c r="AE612" i="13" s="1"/>
  <c r="AB617" i="13"/>
  <c r="AA617" i="13"/>
  <c r="AC617" i="13" s="1"/>
  <c r="AA618" i="13"/>
  <c r="AC618" i="13" s="1"/>
  <c r="AB618" i="13"/>
  <c r="BV620" i="13"/>
  <c r="BN620" i="13"/>
  <c r="BF620" i="13"/>
  <c r="BS620" i="13"/>
  <c r="BK620" i="13"/>
  <c r="BQ620" i="13"/>
  <c r="BI620" i="13"/>
  <c r="BL620" i="13"/>
  <c r="BW620" i="13"/>
  <c r="BJ620" i="13"/>
  <c r="BU620" i="13"/>
  <c r="BH620" i="13"/>
  <c r="BT620" i="13"/>
  <c r="BG620" i="13"/>
  <c r="BR620" i="13"/>
  <c r="BE620" i="13"/>
  <c r="BO620" i="13"/>
  <c r="BT630" i="13"/>
  <c r="BV604" i="13"/>
  <c r="BN604" i="13"/>
  <c r="BF604" i="13"/>
  <c r="BQ604" i="13"/>
  <c r="BI604" i="13"/>
  <c r="BO604" i="13"/>
  <c r="BR608" i="13"/>
  <c r="BJ608" i="13"/>
  <c r="BU608" i="13"/>
  <c r="BM608" i="13"/>
  <c r="BE608" i="13"/>
  <c r="BO608" i="13"/>
  <c r="AB624" i="13"/>
  <c r="AA624" i="13"/>
  <c r="AC624" i="13" s="1"/>
  <c r="AF627" i="13"/>
  <c r="V639" i="13"/>
  <c r="AE639" i="13" s="1"/>
  <c r="U639" i="13"/>
  <c r="W639" i="13" s="1"/>
  <c r="AF643" i="13"/>
  <c r="BQ646" i="13"/>
  <c r="BI646" i="13"/>
  <c r="BP646" i="13"/>
  <c r="BH646" i="13"/>
  <c r="BW646" i="13"/>
  <c r="BO646" i="13"/>
  <c r="BG646" i="13"/>
  <c r="BV646" i="13"/>
  <c r="BN646" i="13"/>
  <c r="BF646" i="13"/>
  <c r="BU646" i="13"/>
  <c r="BM646" i="13"/>
  <c r="BE646" i="13"/>
  <c r="BS646" i="13"/>
  <c r="BK646" i="13"/>
  <c r="BQ654" i="13"/>
  <c r="BI654" i="13"/>
  <c r="BP654" i="13"/>
  <c r="BH654" i="13"/>
  <c r="BW654" i="13"/>
  <c r="BO654" i="13"/>
  <c r="BG654" i="13"/>
  <c r="BV654" i="13"/>
  <c r="BN654" i="13"/>
  <c r="BF654" i="13"/>
  <c r="BU654" i="13"/>
  <c r="BM654" i="13"/>
  <c r="BE654" i="13"/>
  <c r="BS654" i="13"/>
  <c r="BK654" i="13"/>
  <c r="BR654" i="13"/>
  <c r="BJ654" i="13"/>
  <c r="AQ524" i="13"/>
  <c r="AY524" i="13"/>
  <c r="BL528" i="13"/>
  <c r="BT528" i="13"/>
  <c r="AQ532" i="13"/>
  <c r="AY532" i="13"/>
  <c r="BL536" i="13"/>
  <c r="BT536" i="13"/>
  <c r="AQ540" i="13"/>
  <c r="AY540" i="13"/>
  <c r="BL544" i="13"/>
  <c r="BT544" i="13"/>
  <c r="BK547" i="13"/>
  <c r="BS547" i="13"/>
  <c r="AQ548" i="13"/>
  <c r="AY548" i="13"/>
  <c r="AP551" i="13"/>
  <c r="AX551" i="13"/>
  <c r="BL552" i="13"/>
  <c r="BT552" i="13"/>
  <c r="BK555" i="13"/>
  <c r="BS555" i="13"/>
  <c r="AQ556" i="13"/>
  <c r="AY556" i="13"/>
  <c r="AP559" i="13"/>
  <c r="AX559" i="13"/>
  <c r="AM560" i="13"/>
  <c r="AU560" i="13"/>
  <c r="BL560" i="13"/>
  <c r="BT560" i="13"/>
  <c r="BK563" i="13"/>
  <c r="BS563" i="13"/>
  <c r="AQ564" i="13"/>
  <c r="AY564" i="13"/>
  <c r="BH564" i="13"/>
  <c r="BP564" i="13"/>
  <c r="AP567" i="13"/>
  <c r="AX567" i="13"/>
  <c r="AM568" i="13"/>
  <c r="AU568" i="13"/>
  <c r="BL568" i="13"/>
  <c r="BT568" i="13"/>
  <c r="BK571" i="13"/>
  <c r="BS571" i="13"/>
  <c r="AQ572" i="13"/>
  <c r="AY572" i="13"/>
  <c r="BH572" i="13"/>
  <c r="BP572" i="13"/>
  <c r="AP575" i="13"/>
  <c r="AX575" i="13"/>
  <c r="AM576" i="13"/>
  <c r="AU576" i="13"/>
  <c r="BL576" i="13"/>
  <c r="BT576" i="13"/>
  <c r="BK579" i="13"/>
  <c r="BS579" i="13"/>
  <c r="AQ580" i="13"/>
  <c r="AY580" i="13"/>
  <c r="BH580" i="13"/>
  <c r="BP580" i="13"/>
  <c r="AP583" i="13"/>
  <c r="AX583" i="13"/>
  <c r="AM584" i="13"/>
  <c r="AU584" i="13"/>
  <c r="BL584" i="13"/>
  <c r="BT584" i="13"/>
  <c r="AN587" i="13"/>
  <c r="AW587" i="13"/>
  <c r="AW588" i="13"/>
  <c r="AO588" i="13"/>
  <c r="AR588" i="13"/>
  <c r="BA588" i="13"/>
  <c r="AV591" i="13"/>
  <c r="AN591" i="13"/>
  <c r="AR591" i="13"/>
  <c r="BA591" i="13"/>
  <c r="AQ593" i="13"/>
  <c r="BJ593" i="13"/>
  <c r="BS593" i="13"/>
  <c r="AO595" i="13"/>
  <c r="AX595" i="13"/>
  <c r="BH595" i="13"/>
  <c r="BR595" i="13"/>
  <c r="BL596" i="13"/>
  <c r="AN597" i="13"/>
  <c r="AW597" i="13"/>
  <c r="BI598" i="13"/>
  <c r="BR598" i="13"/>
  <c r="BL599" i="13"/>
  <c r="AN600" i="13"/>
  <c r="AW600" i="13"/>
  <c r="AX601" i="13"/>
  <c r="AP601" i="13"/>
  <c r="AR601" i="13"/>
  <c r="BA601" i="13"/>
  <c r="BK601" i="13"/>
  <c r="AN602" i="13"/>
  <c r="AW602" i="13"/>
  <c r="AZ603" i="13"/>
  <c r="AR603" i="13"/>
  <c r="AJ603" i="13"/>
  <c r="AU603" i="13"/>
  <c r="AM603" i="13"/>
  <c r="AT603" i="13"/>
  <c r="BG604" i="13"/>
  <c r="BR604" i="13"/>
  <c r="BI605" i="13"/>
  <c r="BT605" i="13"/>
  <c r="BU607" i="13"/>
  <c r="BM607" i="13"/>
  <c r="BE607" i="13"/>
  <c r="BP607" i="13"/>
  <c r="BH607" i="13"/>
  <c r="BO607" i="13"/>
  <c r="BG608" i="13"/>
  <c r="BQ608" i="13"/>
  <c r="BI609" i="13"/>
  <c r="BT609" i="13"/>
  <c r="AO611" i="13"/>
  <c r="AY611" i="13"/>
  <c r="AP612" i="13"/>
  <c r="BA612" i="13"/>
  <c r="BS613" i="13"/>
  <c r="BK613" i="13"/>
  <c r="BV613" i="13"/>
  <c r="BN613" i="13"/>
  <c r="BF613" i="13"/>
  <c r="BO613" i="13"/>
  <c r="BJ614" i="13"/>
  <c r="BU614" i="13"/>
  <c r="BJ615" i="13"/>
  <c r="BT615" i="13"/>
  <c r="BR616" i="13"/>
  <c r="BJ616" i="13"/>
  <c r="BW616" i="13"/>
  <c r="BO616" i="13"/>
  <c r="BG616" i="13"/>
  <c r="BU616" i="13"/>
  <c r="BM616" i="13"/>
  <c r="BE616" i="13"/>
  <c r="BQ616" i="13"/>
  <c r="BL624" i="13"/>
  <c r="BL628" i="13"/>
  <c r="BA632" i="13"/>
  <c r="AS632" i="13"/>
  <c r="AK632" i="13"/>
  <c r="AZ632" i="13"/>
  <c r="AR632" i="13"/>
  <c r="AJ632" i="13"/>
  <c r="AX632" i="13"/>
  <c r="AP632" i="13"/>
  <c r="AV632" i="13"/>
  <c r="AN632" i="13"/>
  <c r="AY632" i="13"/>
  <c r="AX633" i="13"/>
  <c r="AP633" i="13"/>
  <c r="AW633" i="13"/>
  <c r="AO633" i="13"/>
  <c r="AU633" i="13"/>
  <c r="AM633" i="13"/>
  <c r="BA633" i="13"/>
  <c r="AS633" i="13"/>
  <c r="AK633" i="13"/>
  <c r="AY633" i="13"/>
  <c r="AS634" i="13"/>
  <c r="BQ638" i="13"/>
  <c r="BI638" i="13"/>
  <c r="BP638" i="13"/>
  <c r="BH638" i="13"/>
  <c r="BW638" i="13"/>
  <c r="BO638" i="13"/>
  <c r="BG638" i="13"/>
  <c r="BU638" i="13"/>
  <c r="BM638" i="13"/>
  <c r="BE638" i="13"/>
  <c r="BS638" i="13"/>
  <c r="BK638" i="13"/>
  <c r="AU640" i="13"/>
  <c r="BP640" i="13"/>
  <c r="BL646" i="13"/>
  <c r="BT654" i="13"/>
  <c r="BL547" i="13"/>
  <c r="BT547" i="13"/>
  <c r="AQ551" i="13"/>
  <c r="AY551" i="13"/>
  <c r="BL555" i="13"/>
  <c r="BT555" i="13"/>
  <c r="AQ559" i="13"/>
  <c r="AY559" i="13"/>
  <c r="AN560" i="13"/>
  <c r="AV560" i="13"/>
  <c r="BL563" i="13"/>
  <c r="BT563" i="13"/>
  <c r="BI564" i="13"/>
  <c r="BQ564" i="13"/>
  <c r="AQ567" i="13"/>
  <c r="AY567" i="13"/>
  <c r="AN568" i="13"/>
  <c r="AV568" i="13"/>
  <c r="BL571" i="13"/>
  <c r="BT571" i="13"/>
  <c r="BI572" i="13"/>
  <c r="BQ572" i="13"/>
  <c r="AQ575" i="13"/>
  <c r="AY575" i="13"/>
  <c r="AN576" i="13"/>
  <c r="AV576" i="13"/>
  <c r="BL579" i="13"/>
  <c r="BT579" i="13"/>
  <c r="BI580" i="13"/>
  <c r="BQ580" i="13"/>
  <c r="AQ583" i="13"/>
  <c r="AY583" i="13"/>
  <c r="AN584" i="13"/>
  <c r="AV584" i="13"/>
  <c r="AO587" i="13"/>
  <c r="AX587" i="13"/>
  <c r="AX593" i="13"/>
  <c r="AP593" i="13"/>
  <c r="AR593" i="13"/>
  <c r="BA593" i="13"/>
  <c r="BJ595" i="13"/>
  <c r="BS595" i="13"/>
  <c r="BV596" i="13"/>
  <c r="BN596" i="13"/>
  <c r="BF596" i="13"/>
  <c r="BM596" i="13"/>
  <c r="BW596" i="13"/>
  <c r="AO597" i="13"/>
  <c r="AX597" i="13"/>
  <c r="BJ598" i="13"/>
  <c r="BS598" i="13"/>
  <c r="BU599" i="13"/>
  <c r="BM599" i="13"/>
  <c r="BE599" i="13"/>
  <c r="BN599" i="13"/>
  <c r="BW599" i="13"/>
  <c r="AO600" i="13"/>
  <c r="AX600" i="13"/>
  <c r="AO602" i="13"/>
  <c r="AX602" i="13"/>
  <c r="BH604" i="13"/>
  <c r="BS604" i="13"/>
  <c r="BJ605" i="13"/>
  <c r="BU605" i="13"/>
  <c r="BH608" i="13"/>
  <c r="BS608" i="13"/>
  <c r="BK609" i="13"/>
  <c r="BU609" i="13"/>
  <c r="AP611" i="13"/>
  <c r="BA611" i="13"/>
  <c r="BB613" i="13"/>
  <c r="AT613" i="13"/>
  <c r="AL613" i="13"/>
  <c r="AW613" i="13"/>
  <c r="AO613" i="13"/>
  <c r="AS613" i="13"/>
  <c r="BK615" i="13"/>
  <c r="BV615" i="13"/>
  <c r="BS621" i="13"/>
  <c r="BK621" i="13"/>
  <c r="BP621" i="13"/>
  <c r="BH621" i="13"/>
  <c r="BV621" i="13"/>
  <c r="BN621" i="13"/>
  <c r="BF621" i="13"/>
  <c r="BQ621" i="13"/>
  <c r="BP622" i="13"/>
  <c r="BH622" i="13"/>
  <c r="BW622" i="13"/>
  <c r="BO622" i="13"/>
  <c r="BG622" i="13"/>
  <c r="BU622" i="13"/>
  <c r="BM622" i="13"/>
  <c r="BE622" i="13"/>
  <c r="BS622" i="13"/>
  <c r="BK622" i="13"/>
  <c r="BT622" i="13"/>
  <c r="V623" i="13"/>
  <c r="U623" i="13"/>
  <c r="W623" i="13" s="1"/>
  <c r="BN624" i="13"/>
  <c r="BO628" i="13"/>
  <c r="AW634" i="13"/>
  <c r="AB640" i="13"/>
  <c r="AE640" i="13" s="1"/>
  <c r="AA640" i="13"/>
  <c r="AC640" i="13" s="1"/>
  <c r="AV642" i="13"/>
  <c r="AN642" i="13"/>
  <c r="AU642" i="13"/>
  <c r="AM642" i="13"/>
  <c r="BB642" i="13"/>
  <c r="AT642" i="13"/>
  <c r="AL642" i="13"/>
  <c r="AZ642" i="13"/>
  <c r="AR642" i="13"/>
  <c r="AJ642" i="13"/>
  <c r="AX642" i="13"/>
  <c r="AP642" i="13"/>
  <c r="BR646" i="13"/>
  <c r="AB658" i="13"/>
  <c r="AA658" i="13"/>
  <c r="AC658" i="13" s="1"/>
  <c r="BL518" i="13"/>
  <c r="BT518" i="13"/>
  <c r="AQ522" i="13"/>
  <c r="AY522" i="13"/>
  <c r="AK524" i="13"/>
  <c r="AS524" i="13"/>
  <c r="BA524" i="13"/>
  <c r="BL526" i="13"/>
  <c r="BT526" i="13"/>
  <c r="BF528" i="13"/>
  <c r="BN528" i="13"/>
  <c r="BV528" i="13"/>
  <c r="AQ530" i="13"/>
  <c r="AY530" i="13"/>
  <c r="AK532" i="13"/>
  <c r="AS532" i="13"/>
  <c r="BA532" i="13"/>
  <c r="BL534" i="13"/>
  <c r="BT534" i="13"/>
  <c r="BF536" i="13"/>
  <c r="BN536" i="13"/>
  <c r="BV536" i="13"/>
  <c r="AQ538" i="13"/>
  <c r="AY538" i="13"/>
  <c r="AK540" i="13"/>
  <c r="AS540" i="13"/>
  <c r="BA540" i="13"/>
  <c r="BL542" i="13"/>
  <c r="BT542" i="13"/>
  <c r="BF544" i="13"/>
  <c r="BN544" i="13"/>
  <c r="BV544" i="13"/>
  <c r="AQ546" i="13"/>
  <c r="AY546" i="13"/>
  <c r="BE547" i="13"/>
  <c r="BM547" i="13"/>
  <c r="BU547" i="13"/>
  <c r="AK548" i="13"/>
  <c r="AS548" i="13"/>
  <c r="BA548" i="13"/>
  <c r="U550" i="13"/>
  <c r="W550" i="13" s="1"/>
  <c r="BL550" i="13"/>
  <c r="BT550" i="13"/>
  <c r="AA551" i="13"/>
  <c r="AC551" i="13" s="1"/>
  <c r="AJ551" i="13"/>
  <c r="AR551" i="13"/>
  <c r="AZ551" i="13"/>
  <c r="BF552" i="13"/>
  <c r="BN552" i="13"/>
  <c r="BV552" i="13"/>
  <c r="AQ554" i="13"/>
  <c r="AY554" i="13"/>
  <c r="BE555" i="13"/>
  <c r="BM555" i="13"/>
  <c r="BU555" i="13"/>
  <c r="AK556" i="13"/>
  <c r="AS556" i="13"/>
  <c r="BA556" i="13"/>
  <c r="U558" i="13"/>
  <c r="W558" i="13" s="1"/>
  <c r="BL558" i="13"/>
  <c r="BT558" i="13"/>
  <c r="AA559" i="13"/>
  <c r="AC559" i="13" s="1"/>
  <c r="AJ559" i="13"/>
  <c r="AR559" i="13"/>
  <c r="AZ559" i="13"/>
  <c r="AO560" i="13"/>
  <c r="AW560" i="13"/>
  <c r="BF560" i="13"/>
  <c r="BN560" i="13"/>
  <c r="BV560" i="13"/>
  <c r="AQ562" i="13"/>
  <c r="AY562" i="13"/>
  <c r="BE563" i="13"/>
  <c r="BM563" i="13"/>
  <c r="BU563" i="13"/>
  <c r="AK564" i="13"/>
  <c r="AS564" i="13"/>
  <c r="BA564" i="13"/>
  <c r="BJ564" i="13"/>
  <c r="BR564" i="13"/>
  <c r="U566" i="13"/>
  <c r="W566" i="13" s="1"/>
  <c r="BL566" i="13"/>
  <c r="BT566" i="13"/>
  <c r="AA567" i="13"/>
  <c r="AC567" i="13" s="1"/>
  <c r="AJ567" i="13"/>
  <c r="AR567" i="13"/>
  <c r="AZ567" i="13"/>
  <c r="AO568" i="13"/>
  <c r="AW568" i="13"/>
  <c r="BF568" i="13"/>
  <c r="BN568" i="13"/>
  <c r="BV568" i="13"/>
  <c r="AQ570" i="13"/>
  <c r="AY570" i="13"/>
  <c r="BE571" i="13"/>
  <c r="BM571" i="13"/>
  <c r="BU571" i="13"/>
  <c r="AK572" i="13"/>
  <c r="AS572" i="13"/>
  <c r="BA572" i="13"/>
  <c r="BJ572" i="13"/>
  <c r="BR572" i="13"/>
  <c r="U574" i="13"/>
  <c r="W574" i="13" s="1"/>
  <c r="BL574" i="13"/>
  <c r="BT574" i="13"/>
  <c r="AA575" i="13"/>
  <c r="AC575" i="13" s="1"/>
  <c r="AJ575" i="13"/>
  <c r="AR575" i="13"/>
  <c r="AZ575" i="13"/>
  <c r="AO576" i="13"/>
  <c r="AW576" i="13"/>
  <c r="BF576" i="13"/>
  <c r="BN576" i="13"/>
  <c r="BV576" i="13"/>
  <c r="AQ578" i="13"/>
  <c r="AY578" i="13"/>
  <c r="BE579" i="13"/>
  <c r="BM579" i="13"/>
  <c r="BU579" i="13"/>
  <c r="AK580" i="13"/>
  <c r="AS580" i="13"/>
  <c r="BA580" i="13"/>
  <c r="BJ580" i="13"/>
  <c r="BR580" i="13"/>
  <c r="U582" i="13"/>
  <c r="W582" i="13" s="1"/>
  <c r="BL582" i="13"/>
  <c r="BT582" i="13"/>
  <c r="AA583" i="13"/>
  <c r="AC583" i="13" s="1"/>
  <c r="AJ583" i="13"/>
  <c r="AR583" i="13"/>
  <c r="AZ583" i="13"/>
  <c r="AO584" i="13"/>
  <c r="AW584" i="13"/>
  <c r="BF584" i="13"/>
  <c r="BN584" i="13"/>
  <c r="BV584" i="13"/>
  <c r="AP587" i="13"/>
  <c r="AY587" i="13"/>
  <c r="AA588" i="13"/>
  <c r="AC588" i="13" s="1"/>
  <c r="AK588" i="13"/>
  <c r="AT588" i="13"/>
  <c r="BV588" i="13"/>
  <c r="BN588" i="13"/>
  <c r="BF588" i="13"/>
  <c r="BM588" i="13"/>
  <c r="BW588" i="13"/>
  <c r="AA591" i="13"/>
  <c r="AC591" i="13" s="1"/>
  <c r="AK591" i="13"/>
  <c r="AT591" i="13"/>
  <c r="BU591" i="13"/>
  <c r="BM591" i="13"/>
  <c r="BE591" i="13"/>
  <c r="BN591" i="13"/>
  <c r="BW591" i="13"/>
  <c r="U592" i="13"/>
  <c r="W592" i="13" s="1"/>
  <c r="AJ593" i="13"/>
  <c r="AS593" i="13"/>
  <c r="BB593" i="13"/>
  <c r="BL593" i="13"/>
  <c r="AQ595" i="13"/>
  <c r="BK595" i="13"/>
  <c r="BT595" i="13"/>
  <c r="BE596" i="13"/>
  <c r="BO596" i="13"/>
  <c r="AP597" i="13"/>
  <c r="AY597" i="13"/>
  <c r="BK598" i="13"/>
  <c r="BT598" i="13"/>
  <c r="BF599" i="13"/>
  <c r="BO599" i="13"/>
  <c r="AP600" i="13"/>
  <c r="AY600" i="13"/>
  <c r="AA601" i="13"/>
  <c r="AC601" i="13" s="1"/>
  <c r="AK601" i="13"/>
  <c r="AT601" i="13"/>
  <c r="BW601" i="13"/>
  <c r="BO601" i="13"/>
  <c r="BG601" i="13"/>
  <c r="BM601" i="13"/>
  <c r="BV601" i="13"/>
  <c r="V602" i="13"/>
  <c r="AP602" i="13"/>
  <c r="AY602" i="13"/>
  <c r="AL603" i="13"/>
  <c r="AW603" i="13"/>
  <c r="AB604" i="13"/>
  <c r="BJ604" i="13"/>
  <c r="BT604" i="13"/>
  <c r="BL605" i="13"/>
  <c r="BW605" i="13"/>
  <c r="BG607" i="13"/>
  <c r="BR607" i="13"/>
  <c r="AA608" i="13"/>
  <c r="AC608" i="13" s="1"/>
  <c r="BI608" i="13"/>
  <c r="BT608" i="13"/>
  <c r="BL609" i="13"/>
  <c r="BV609" i="13"/>
  <c r="V610" i="13"/>
  <c r="AE610" i="13" s="1"/>
  <c r="AU610" i="13"/>
  <c r="AM610" i="13"/>
  <c r="AX610" i="13"/>
  <c r="AP610" i="13"/>
  <c r="AS610" i="13"/>
  <c r="AQ611" i="13"/>
  <c r="BB611" i="13"/>
  <c r="U612" i="13"/>
  <c r="W612" i="13" s="1"/>
  <c r="BV612" i="13"/>
  <c r="BN612" i="13"/>
  <c r="BF612" i="13"/>
  <c r="BQ612" i="13"/>
  <c r="BI612" i="13"/>
  <c r="BO612" i="13"/>
  <c r="AJ613" i="13"/>
  <c r="AU613" i="13"/>
  <c r="BG613" i="13"/>
  <c r="BQ613" i="13"/>
  <c r="BM614" i="13"/>
  <c r="U615" i="13"/>
  <c r="W615" i="13" s="1"/>
  <c r="BL615" i="13"/>
  <c r="BW615" i="13"/>
  <c r="U616" i="13"/>
  <c r="W616" i="13" s="1"/>
  <c r="AX617" i="13"/>
  <c r="AP617" i="13"/>
  <c r="AU617" i="13"/>
  <c r="AM617" i="13"/>
  <c r="BA617" i="13"/>
  <c r="AS617" i="13"/>
  <c r="AK617" i="13"/>
  <c r="AV617" i="13"/>
  <c r="AU618" i="13"/>
  <c r="AM618" i="13"/>
  <c r="AZ618" i="13"/>
  <c r="AR618" i="13"/>
  <c r="AJ618" i="13"/>
  <c r="AX618" i="13"/>
  <c r="AP618" i="13"/>
  <c r="AV618" i="13"/>
  <c r="BE621" i="13"/>
  <c r="BR621" i="13"/>
  <c r="BF622" i="13"/>
  <c r="BV622" i="13"/>
  <c r="BA624" i="13"/>
  <c r="AS624" i="13"/>
  <c r="AK624" i="13"/>
  <c r="AZ624" i="13"/>
  <c r="AR624" i="13"/>
  <c r="AJ624" i="13"/>
  <c r="AX624" i="13"/>
  <c r="AP624" i="13"/>
  <c r="AV624" i="13"/>
  <c r="AN624" i="13"/>
  <c r="AY624" i="13"/>
  <c r="BP624" i="13"/>
  <c r="AX625" i="13"/>
  <c r="AP625" i="13"/>
  <c r="AW625" i="13"/>
  <c r="AO625" i="13"/>
  <c r="AU625" i="13"/>
  <c r="AM625" i="13"/>
  <c r="BA625" i="13"/>
  <c r="AS625" i="13"/>
  <c r="AK625" i="13"/>
  <c r="AY625" i="13"/>
  <c r="V627" i="13"/>
  <c r="AW628" i="13"/>
  <c r="AO628" i="13"/>
  <c r="AV628" i="13"/>
  <c r="AN628" i="13"/>
  <c r="BB628" i="13"/>
  <c r="AT628" i="13"/>
  <c r="AL628" i="13"/>
  <c r="AZ628" i="13"/>
  <c r="AR628" i="13"/>
  <c r="AJ628" i="13"/>
  <c r="AY628" i="13"/>
  <c r="BP628" i="13"/>
  <c r="U632" i="13"/>
  <c r="W632" i="13" s="1"/>
  <c r="BR632" i="13"/>
  <c r="BJ632" i="13"/>
  <c r="BQ632" i="13"/>
  <c r="BI632" i="13"/>
  <c r="BW632" i="13"/>
  <c r="BO632" i="13"/>
  <c r="BG632" i="13"/>
  <c r="BU632" i="13"/>
  <c r="BM632" i="13"/>
  <c r="BE632" i="13"/>
  <c r="BT632" i="13"/>
  <c r="AB634" i="13"/>
  <c r="AY634" i="13"/>
  <c r="V641" i="13"/>
  <c r="AK642" i="13"/>
  <c r="V643" i="13"/>
  <c r="BT646" i="13"/>
  <c r="AB650" i="13"/>
  <c r="AA650" i="13"/>
  <c r="AC650" i="13" s="1"/>
  <c r="V651" i="13"/>
  <c r="AE655" i="13"/>
  <c r="V657" i="13"/>
  <c r="U657" i="13"/>
  <c r="W657" i="13" s="1"/>
  <c r="AV658" i="13"/>
  <c r="AN658" i="13"/>
  <c r="AU658" i="13"/>
  <c r="AM658" i="13"/>
  <c r="BB658" i="13"/>
  <c r="AT658" i="13"/>
  <c r="AL658" i="13"/>
  <c r="BA658" i="13"/>
  <c r="AS658" i="13"/>
  <c r="AK658" i="13"/>
  <c r="AZ658" i="13"/>
  <c r="AR658" i="13"/>
  <c r="AJ658" i="13"/>
  <c r="AX658" i="13"/>
  <c r="AP658" i="13"/>
  <c r="AW658" i="13"/>
  <c r="AO658" i="13"/>
  <c r="BL505" i="13"/>
  <c r="AQ509" i="13"/>
  <c r="BL513" i="13"/>
  <c r="AQ517" i="13"/>
  <c r="BE518" i="13"/>
  <c r="BM518" i="13"/>
  <c r="BL521" i="13"/>
  <c r="AJ522" i="13"/>
  <c r="AR522" i="13"/>
  <c r="AL524" i="13"/>
  <c r="AT524" i="13"/>
  <c r="AQ525" i="13"/>
  <c r="BE526" i="13"/>
  <c r="BM526" i="13"/>
  <c r="BG528" i="13"/>
  <c r="BO528" i="13"/>
  <c r="BL529" i="13"/>
  <c r="AJ530" i="13"/>
  <c r="AR530" i="13"/>
  <c r="AL532" i="13"/>
  <c r="AT532" i="13"/>
  <c r="AQ533" i="13"/>
  <c r="BE534" i="13"/>
  <c r="BM534" i="13"/>
  <c r="BG536" i="13"/>
  <c r="BO536" i="13"/>
  <c r="BL537" i="13"/>
  <c r="AJ538" i="13"/>
  <c r="AR538" i="13"/>
  <c r="AL540" i="13"/>
  <c r="AT540" i="13"/>
  <c r="AQ541" i="13"/>
  <c r="BE542" i="13"/>
  <c r="BM542" i="13"/>
  <c r="BG544" i="13"/>
  <c r="BO544" i="13"/>
  <c r="BL545" i="13"/>
  <c r="AJ546" i="13"/>
  <c r="AR546" i="13"/>
  <c r="BF547" i="13"/>
  <c r="BN547" i="13"/>
  <c r="AL548" i="13"/>
  <c r="AT548" i="13"/>
  <c r="AQ549" i="13"/>
  <c r="BE550" i="13"/>
  <c r="BM550" i="13"/>
  <c r="AK551" i="13"/>
  <c r="AS551" i="13"/>
  <c r="BG552" i="13"/>
  <c r="BO552" i="13"/>
  <c r="BL553" i="13"/>
  <c r="AJ554" i="13"/>
  <c r="AR554" i="13"/>
  <c r="BF555" i="13"/>
  <c r="BN555" i="13"/>
  <c r="AL556" i="13"/>
  <c r="AT556" i="13"/>
  <c r="AQ557" i="13"/>
  <c r="BE558" i="13"/>
  <c r="BM558" i="13"/>
  <c r="AK559" i="13"/>
  <c r="AS559" i="13"/>
  <c r="AP560" i="13"/>
  <c r="AX560" i="13"/>
  <c r="BG560" i="13"/>
  <c r="BO560" i="13"/>
  <c r="BL561" i="13"/>
  <c r="AJ562" i="13"/>
  <c r="AR562" i="13"/>
  <c r="BF563" i="13"/>
  <c r="BN563" i="13"/>
  <c r="AL564" i="13"/>
  <c r="AT564" i="13"/>
  <c r="BK564" i="13"/>
  <c r="BS564" i="13"/>
  <c r="AQ565" i="13"/>
  <c r="BE566" i="13"/>
  <c r="BM566" i="13"/>
  <c r="AK567" i="13"/>
  <c r="AS567" i="13"/>
  <c r="AP568" i="13"/>
  <c r="AX568" i="13"/>
  <c r="BG568" i="13"/>
  <c r="BO568" i="13"/>
  <c r="BL569" i="13"/>
  <c r="AJ570" i="13"/>
  <c r="AR570" i="13"/>
  <c r="BF571" i="13"/>
  <c r="BN571" i="13"/>
  <c r="AL572" i="13"/>
  <c r="AT572" i="13"/>
  <c r="BK572" i="13"/>
  <c r="BS572" i="13"/>
  <c r="AQ573" i="13"/>
  <c r="BE574" i="13"/>
  <c r="BM574" i="13"/>
  <c r="AK575" i="13"/>
  <c r="AS575" i="13"/>
  <c r="AP576" i="13"/>
  <c r="AX576" i="13"/>
  <c r="BG576" i="13"/>
  <c r="BO576" i="13"/>
  <c r="BL577" i="13"/>
  <c r="AJ578" i="13"/>
  <c r="AR578" i="13"/>
  <c r="BF579" i="13"/>
  <c r="BN579" i="13"/>
  <c r="AL580" i="13"/>
  <c r="AT580" i="13"/>
  <c r="BK580" i="13"/>
  <c r="BS580" i="13"/>
  <c r="AQ581" i="13"/>
  <c r="BE582" i="13"/>
  <c r="BM582" i="13"/>
  <c r="AK583" i="13"/>
  <c r="AS583" i="13"/>
  <c r="AP584" i="13"/>
  <c r="AX584" i="13"/>
  <c r="BG584" i="13"/>
  <c r="BO584" i="13"/>
  <c r="BW585" i="13"/>
  <c r="BO585" i="13"/>
  <c r="BL585" i="13"/>
  <c r="BU585" i="13"/>
  <c r="AQ587" i="13"/>
  <c r="AL588" i="13"/>
  <c r="AU588" i="13"/>
  <c r="BE588" i="13"/>
  <c r="BO588" i="13"/>
  <c r="AL591" i="13"/>
  <c r="AU591" i="13"/>
  <c r="BF591" i="13"/>
  <c r="BO591" i="13"/>
  <c r="AK593" i="13"/>
  <c r="AT593" i="13"/>
  <c r="BW593" i="13"/>
  <c r="BO593" i="13"/>
  <c r="BG593" i="13"/>
  <c r="BM593" i="13"/>
  <c r="BV593" i="13"/>
  <c r="V594" i="13"/>
  <c r="AE594" i="13" s="1"/>
  <c r="AZ595" i="13"/>
  <c r="AR595" i="13"/>
  <c r="AJ595" i="13"/>
  <c r="AS595" i="13"/>
  <c r="BB595" i="13"/>
  <c r="BL595" i="13"/>
  <c r="BG596" i="13"/>
  <c r="BP596" i="13"/>
  <c r="AQ597" i="13"/>
  <c r="BL598" i="13"/>
  <c r="BG599" i="13"/>
  <c r="BP599" i="13"/>
  <c r="AQ600" i="13"/>
  <c r="AQ602" i="13"/>
  <c r="BK604" i="13"/>
  <c r="BU604" i="13"/>
  <c r="BK608" i="13"/>
  <c r="BV608" i="13"/>
  <c r="AW612" i="13"/>
  <c r="AO612" i="13"/>
  <c r="AZ612" i="13"/>
  <c r="AR612" i="13"/>
  <c r="AJ612" i="13"/>
  <c r="AT612" i="13"/>
  <c r="AK613" i="13"/>
  <c r="AV613" i="13"/>
  <c r="BP614" i="13"/>
  <c r="BH614" i="13"/>
  <c r="BS614" i="13"/>
  <c r="BK614" i="13"/>
  <c r="BN614" i="13"/>
  <c r="BA616" i="13"/>
  <c r="AS616" i="13"/>
  <c r="AK616" i="13"/>
  <c r="AX616" i="13"/>
  <c r="AP616" i="13"/>
  <c r="AV616" i="13"/>
  <c r="AN616" i="13"/>
  <c r="AU616" i="13"/>
  <c r="BI616" i="13"/>
  <c r="BV616" i="13"/>
  <c r="V617" i="13"/>
  <c r="AJ617" i="13"/>
  <c r="AW617" i="13"/>
  <c r="V618" i="13"/>
  <c r="AK618" i="13"/>
  <c r="AW618" i="13"/>
  <c r="AB619" i="13"/>
  <c r="AW620" i="13"/>
  <c r="AO620" i="13"/>
  <c r="BB620" i="13"/>
  <c r="AT620" i="13"/>
  <c r="AL620" i="13"/>
  <c r="AZ620" i="13"/>
  <c r="AR620" i="13"/>
  <c r="AJ620" i="13"/>
  <c r="AV620" i="13"/>
  <c r="BG621" i="13"/>
  <c r="BT621" i="13"/>
  <c r="BI622" i="13"/>
  <c r="AL624" i="13"/>
  <c r="BB624" i="13"/>
  <c r="AJ625" i="13"/>
  <c r="AZ625" i="13"/>
  <c r="AK628" i="13"/>
  <c r="BA628" i="13"/>
  <c r="BS629" i="13"/>
  <c r="BK629" i="13"/>
  <c r="BR629" i="13"/>
  <c r="BJ629" i="13"/>
  <c r="BP629" i="13"/>
  <c r="BH629" i="13"/>
  <c r="BV629" i="13"/>
  <c r="BN629" i="13"/>
  <c r="BF629" i="13"/>
  <c r="BT629" i="13"/>
  <c r="AO632" i="13"/>
  <c r="BF632" i="13"/>
  <c r="BV632" i="13"/>
  <c r="V633" i="13"/>
  <c r="AE633" i="13" s="1"/>
  <c r="AN633" i="13"/>
  <c r="AX636" i="13"/>
  <c r="AP636" i="13"/>
  <c r="AW636" i="13"/>
  <c r="AO636" i="13"/>
  <c r="AV636" i="13"/>
  <c r="AN636" i="13"/>
  <c r="BB636" i="13"/>
  <c r="AT636" i="13"/>
  <c r="AL636" i="13"/>
  <c r="AZ636" i="13"/>
  <c r="AR636" i="13"/>
  <c r="AJ636" i="13"/>
  <c r="BW636" i="13"/>
  <c r="BO636" i="13"/>
  <c r="BG636" i="13"/>
  <c r="BV636" i="13"/>
  <c r="BN636" i="13"/>
  <c r="BF636" i="13"/>
  <c r="BU636" i="13"/>
  <c r="BM636" i="13"/>
  <c r="BE636" i="13"/>
  <c r="BS636" i="13"/>
  <c r="BK636" i="13"/>
  <c r="BQ636" i="13"/>
  <c r="BI636" i="13"/>
  <c r="BS640" i="13"/>
  <c r="BK640" i="13"/>
  <c r="BR640" i="13"/>
  <c r="BJ640" i="13"/>
  <c r="BQ640" i="13"/>
  <c r="BI640" i="13"/>
  <c r="BW640" i="13"/>
  <c r="BO640" i="13"/>
  <c r="BG640" i="13"/>
  <c r="BU640" i="13"/>
  <c r="BM640" i="13"/>
  <c r="BE640" i="13"/>
  <c r="AO642" i="13"/>
  <c r="BS648" i="13"/>
  <c r="BK648" i="13"/>
  <c r="BR648" i="13"/>
  <c r="BJ648" i="13"/>
  <c r="BQ648" i="13"/>
  <c r="BI648" i="13"/>
  <c r="BP648" i="13"/>
  <c r="BH648" i="13"/>
  <c r="BW648" i="13"/>
  <c r="BO648" i="13"/>
  <c r="BG648" i="13"/>
  <c r="BU648" i="13"/>
  <c r="BM648" i="13"/>
  <c r="BE648" i="13"/>
  <c r="AQ658" i="13"/>
  <c r="BV685" i="13"/>
  <c r="BN685" i="13"/>
  <c r="BF685" i="13"/>
  <c r="BU685" i="13"/>
  <c r="BM685" i="13"/>
  <c r="BE685" i="13"/>
  <c r="BL685" i="13"/>
  <c r="BW685" i="13"/>
  <c r="BK685" i="13"/>
  <c r="BT685" i="13"/>
  <c r="BJ685" i="13"/>
  <c r="BS685" i="13"/>
  <c r="BI685" i="13"/>
  <c r="BQ685" i="13"/>
  <c r="BP685" i="13"/>
  <c r="BO685" i="13"/>
  <c r="BH685" i="13"/>
  <c r="BG685" i="13"/>
  <c r="BR685" i="13"/>
  <c r="AQ560" i="13"/>
  <c r="BL564" i="13"/>
  <c r="AQ568" i="13"/>
  <c r="BL572" i="13"/>
  <c r="AQ576" i="13"/>
  <c r="BL580" i="13"/>
  <c r="AQ584" i="13"/>
  <c r="AZ587" i="13"/>
  <c r="AR587" i="13"/>
  <c r="AJ587" i="13"/>
  <c r="AS587" i="13"/>
  <c r="BB587" i="13"/>
  <c r="BQ595" i="13"/>
  <c r="BI595" i="13"/>
  <c r="BM595" i="13"/>
  <c r="BV595" i="13"/>
  <c r="BB597" i="13"/>
  <c r="AT597" i="13"/>
  <c r="AL597" i="13"/>
  <c r="AR597" i="13"/>
  <c r="BA597" i="13"/>
  <c r="BP598" i="13"/>
  <c r="BH598" i="13"/>
  <c r="BM598" i="13"/>
  <c r="BV598" i="13"/>
  <c r="BA600" i="13"/>
  <c r="AS600" i="13"/>
  <c r="AK600" i="13"/>
  <c r="AR600" i="13"/>
  <c r="BB600" i="13"/>
  <c r="AU602" i="13"/>
  <c r="AM602" i="13"/>
  <c r="AR602" i="13"/>
  <c r="BA602" i="13"/>
  <c r="BL604" i="13"/>
  <c r="BW604" i="13"/>
  <c r="BS605" i="13"/>
  <c r="BK605" i="13"/>
  <c r="BV605" i="13"/>
  <c r="BN605" i="13"/>
  <c r="BF605" i="13"/>
  <c r="BO605" i="13"/>
  <c r="BL608" i="13"/>
  <c r="BW608" i="13"/>
  <c r="BW609" i="13"/>
  <c r="BO609" i="13"/>
  <c r="BG609" i="13"/>
  <c r="BR609" i="13"/>
  <c r="BJ609" i="13"/>
  <c r="BN609" i="13"/>
  <c r="AZ611" i="13"/>
  <c r="AR611" i="13"/>
  <c r="AJ611" i="13"/>
  <c r="AU611" i="13"/>
  <c r="AM611" i="13"/>
  <c r="AT611" i="13"/>
  <c r="BU615" i="13"/>
  <c r="BM615" i="13"/>
  <c r="BE615" i="13"/>
  <c r="BP615" i="13"/>
  <c r="BH615" i="13"/>
  <c r="BO615" i="13"/>
  <c r="BR624" i="13"/>
  <c r="BJ624" i="13"/>
  <c r="BQ624" i="13"/>
  <c r="BI624" i="13"/>
  <c r="BW624" i="13"/>
  <c r="BO624" i="13"/>
  <c r="BG624" i="13"/>
  <c r="BU624" i="13"/>
  <c r="BM624" i="13"/>
  <c r="BE624" i="13"/>
  <c r="BT624" i="13"/>
  <c r="BV628" i="13"/>
  <c r="BN628" i="13"/>
  <c r="BF628" i="13"/>
  <c r="BU628" i="13"/>
  <c r="BM628" i="13"/>
  <c r="BE628" i="13"/>
  <c r="BS628" i="13"/>
  <c r="BK628" i="13"/>
  <c r="BQ628" i="13"/>
  <c r="BI628" i="13"/>
  <c r="BT628" i="13"/>
  <c r="AB632" i="13"/>
  <c r="AE632" i="13" s="1"/>
  <c r="AA632" i="13"/>
  <c r="AC632" i="13" s="1"/>
  <c r="AV634" i="13"/>
  <c r="AN634" i="13"/>
  <c r="AU634" i="13"/>
  <c r="AM634" i="13"/>
  <c r="BB634" i="13"/>
  <c r="AT634" i="13"/>
  <c r="AL634" i="13"/>
  <c r="AZ634" i="13"/>
  <c r="AR634" i="13"/>
  <c r="AJ634" i="13"/>
  <c r="AX634" i="13"/>
  <c r="AP634" i="13"/>
  <c r="BB640" i="13"/>
  <c r="AT640" i="13"/>
  <c r="AL640" i="13"/>
  <c r="BA640" i="13"/>
  <c r="AS640" i="13"/>
  <c r="AK640" i="13"/>
  <c r="AZ640" i="13"/>
  <c r="AR640" i="13"/>
  <c r="AJ640" i="13"/>
  <c r="AX640" i="13"/>
  <c r="AP640" i="13"/>
  <c r="AV640" i="13"/>
  <c r="AN640" i="13"/>
  <c r="BF640" i="13"/>
  <c r="AQ642" i="13"/>
  <c r="BF648" i="13"/>
  <c r="AV650" i="13"/>
  <c r="AN650" i="13"/>
  <c r="AU650" i="13"/>
  <c r="AM650" i="13"/>
  <c r="BB650" i="13"/>
  <c r="AT650" i="13"/>
  <c r="AL650" i="13"/>
  <c r="BA650" i="13"/>
  <c r="AS650" i="13"/>
  <c r="AK650" i="13"/>
  <c r="AZ650" i="13"/>
  <c r="AR650" i="13"/>
  <c r="AJ650" i="13"/>
  <c r="AX650" i="13"/>
  <c r="AP650" i="13"/>
  <c r="AY658" i="13"/>
  <c r="U673" i="13"/>
  <c r="W673" i="13" s="1"/>
  <c r="V673" i="13"/>
  <c r="AE673" i="13" s="1"/>
  <c r="AQ652" i="13"/>
  <c r="AY652" i="13"/>
  <c r="BL656" i="13"/>
  <c r="BT656" i="13"/>
  <c r="AQ660" i="13"/>
  <c r="AY660" i="13"/>
  <c r="U663" i="13"/>
  <c r="W663" i="13" s="1"/>
  <c r="V663" i="13"/>
  <c r="V672" i="13"/>
  <c r="U672" i="13"/>
  <c r="W672" i="13" s="1"/>
  <c r="BL603" i="13"/>
  <c r="BT603" i="13"/>
  <c r="AQ607" i="13"/>
  <c r="AY607" i="13"/>
  <c r="BL611" i="13"/>
  <c r="BT611" i="13"/>
  <c r="AQ615" i="13"/>
  <c r="AY615" i="13"/>
  <c r="BJ617" i="13"/>
  <c r="BR617" i="13"/>
  <c r="BL619" i="13"/>
  <c r="BT619" i="13"/>
  <c r="AO621" i="13"/>
  <c r="AW621" i="13"/>
  <c r="AQ623" i="13"/>
  <c r="AY623" i="13"/>
  <c r="BH623" i="13"/>
  <c r="BP623" i="13"/>
  <c r="BJ625" i="13"/>
  <c r="BR625" i="13"/>
  <c r="AM627" i="13"/>
  <c r="AU627" i="13"/>
  <c r="BL627" i="13"/>
  <c r="BT627" i="13"/>
  <c r="AO629" i="13"/>
  <c r="AW629" i="13"/>
  <c r="AQ631" i="13"/>
  <c r="AY631" i="13"/>
  <c r="BH631" i="13"/>
  <c r="BP631" i="13"/>
  <c r="BJ633" i="13"/>
  <c r="BR633" i="13"/>
  <c r="AM635" i="13"/>
  <c r="AU635" i="13"/>
  <c r="BL635" i="13"/>
  <c r="BT635" i="13"/>
  <c r="AO637" i="13"/>
  <c r="AW637" i="13"/>
  <c r="BF637" i="13"/>
  <c r="BN637" i="13"/>
  <c r="BV637" i="13"/>
  <c r="AQ639" i="13"/>
  <c r="AY639" i="13"/>
  <c r="BH639" i="13"/>
  <c r="BP639" i="13"/>
  <c r="AK641" i="13"/>
  <c r="AS641" i="13"/>
  <c r="BA641" i="13"/>
  <c r="BJ641" i="13"/>
  <c r="BR641" i="13"/>
  <c r="AM643" i="13"/>
  <c r="AU643" i="13"/>
  <c r="BL643" i="13"/>
  <c r="BT643" i="13"/>
  <c r="BI644" i="13"/>
  <c r="BQ644" i="13"/>
  <c r="AO645" i="13"/>
  <c r="AW645" i="13"/>
  <c r="BF645" i="13"/>
  <c r="BN645" i="13"/>
  <c r="BV645" i="13"/>
  <c r="AQ647" i="13"/>
  <c r="AY647" i="13"/>
  <c r="BH647" i="13"/>
  <c r="BP647" i="13"/>
  <c r="AN648" i="13"/>
  <c r="AV648" i="13"/>
  <c r="AK649" i="13"/>
  <c r="AS649" i="13"/>
  <c r="BA649" i="13"/>
  <c r="BJ649" i="13"/>
  <c r="BR649" i="13"/>
  <c r="AM651" i="13"/>
  <c r="AU651" i="13"/>
  <c r="BL651" i="13"/>
  <c r="BT651" i="13"/>
  <c r="AJ652" i="13"/>
  <c r="AR652" i="13"/>
  <c r="AZ652" i="13"/>
  <c r="BI652" i="13"/>
  <c r="BQ652" i="13"/>
  <c r="AO653" i="13"/>
  <c r="AW653" i="13"/>
  <c r="BF653" i="13"/>
  <c r="BN653" i="13"/>
  <c r="BV653" i="13"/>
  <c r="AQ655" i="13"/>
  <c r="AY655" i="13"/>
  <c r="BH655" i="13"/>
  <c r="BP655" i="13"/>
  <c r="AN656" i="13"/>
  <c r="AV656" i="13"/>
  <c r="BE656" i="13"/>
  <c r="BM656" i="13"/>
  <c r="BU656" i="13"/>
  <c r="AK657" i="13"/>
  <c r="AS657" i="13"/>
  <c r="BA657" i="13"/>
  <c r="BJ657" i="13"/>
  <c r="BR657" i="13"/>
  <c r="AM659" i="13"/>
  <c r="AU659" i="13"/>
  <c r="BL659" i="13"/>
  <c r="BT659" i="13"/>
  <c r="AJ660" i="13"/>
  <c r="AR660" i="13"/>
  <c r="AZ660" i="13"/>
  <c r="BI660" i="13"/>
  <c r="BQ660" i="13"/>
  <c r="AO661" i="13"/>
  <c r="AW661" i="13"/>
  <c r="BF661" i="13"/>
  <c r="BN661" i="13"/>
  <c r="BV661" i="13"/>
  <c r="AA666" i="13"/>
  <c r="AC666" i="13" s="1"/>
  <c r="AB666" i="13"/>
  <c r="AE666" i="13" s="1"/>
  <c r="AA680" i="13"/>
  <c r="AC680" i="13" s="1"/>
  <c r="AB680" i="13"/>
  <c r="AE680" i="13" s="1"/>
  <c r="AW685" i="13"/>
  <c r="AO685" i="13"/>
  <c r="AV685" i="13"/>
  <c r="AN685" i="13"/>
  <c r="BA685" i="13"/>
  <c r="AQ685" i="13"/>
  <c r="AZ685" i="13"/>
  <c r="AP685" i="13"/>
  <c r="AY685" i="13"/>
  <c r="AM685" i="13"/>
  <c r="AX685" i="13"/>
  <c r="AL685" i="13"/>
  <c r="AT685" i="13"/>
  <c r="AS685" i="13"/>
  <c r="AR685" i="13"/>
  <c r="AK685" i="13"/>
  <c r="AJ685" i="13"/>
  <c r="BB685" i="13"/>
  <c r="AU685" i="13"/>
  <c r="V733" i="13"/>
  <c r="U733" i="13"/>
  <c r="W733" i="13" s="1"/>
  <c r="BL617" i="13"/>
  <c r="BT617" i="13"/>
  <c r="AQ621" i="13"/>
  <c r="AY621" i="13"/>
  <c r="BJ623" i="13"/>
  <c r="BR623" i="13"/>
  <c r="BL625" i="13"/>
  <c r="BT625" i="13"/>
  <c r="AO627" i="13"/>
  <c r="AW627" i="13"/>
  <c r="AQ629" i="13"/>
  <c r="AY629" i="13"/>
  <c r="BJ631" i="13"/>
  <c r="BR631" i="13"/>
  <c r="BL633" i="13"/>
  <c r="BT633" i="13"/>
  <c r="AO635" i="13"/>
  <c r="AW635" i="13"/>
  <c r="AQ637" i="13"/>
  <c r="AY637" i="13"/>
  <c r="BH637" i="13"/>
  <c r="BP637" i="13"/>
  <c r="BJ639" i="13"/>
  <c r="BR639" i="13"/>
  <c r="AM641" i="13"/>
  <c r="AU641" i="13"/>
  <c r="BL641" i="13"/>
  <c r="BT641" i="13"/>
  <c r="AO643" i="13"/>
  <c r="AW643" i="13"/>
  <c r="BK644" i="13"/>
  <c r="BS644" i="13"/>
  <c r="AQ645" i="13"/>
  <c r="AY645" i="13"/>
  <c r="BH645" i="13"/>
  <c r="BP645" i="13"/>
  <c r="BJ647" i="13"/>
  <c r="BR647" i="13"/>
  <c r="AP648" i="13"/>
  <c r="AX648" i="13"/>
  <c r="AM649" i="13"/>
  <c r="AU649" i="13"/>
  <c r="BL649" i="13"/>
  <c r="BT649" i="13"/>
  <c r="AL652" i="13"/>
  <c r="AT652" i="13"/>
  <c r="BB652" i="13"/>
  <c r="BK652" i="13"/>
  <c r="BS652" i="13"/>
  <c r="AQ653" i="13"/>
  <c r="AY653" i="13"/>
  <c r="BH653" i="13"/>
  <c r="BP653" i="13"/>
  <c r="AP656" i="13"/>
  <c r="AX656" i="13"/>
  <c r="BG656" i="13"/>
  <c r="BO656" i="13"/>
  <c r="BW656" i="13"/>
  <c r="AM657" i="13"/>
  <c r="AU657" i="13"/>
  <c r="BL657" i="13"/>
  <c r="BT657" i="13"/>
  <c r="AL660" i="13"/>
  <c r="AT660" i="13"/>
  <c r="BB660" i="13"/>
  <c r="BK660" i="13"/>
  <c r="BS660" i="13"/>
  <c r="AQ661" i="13"/>
  <c r="AY661" i="13"/>
  <c r="BH661" i="13"/>
  <c r="BP661" i="13"/>
  <c r="BL644" i="13"/>
  <c r="BT644" i="13"/>
  <c r="AQ648" i="13"/>
  <c r="AY648" i="13"/>
  <c r="AM652" i="13"/>
  <c r="AU652" i="13"/>
  <c r="BL652" i="13"/>
  <c r="BT652" i="13"/>
  <c r="AQ656" i="13"/>
  <c r="AY656" i="13"/>
  <c r="BH656" i="13"/>
  <c r="BP656" i="13"/>
  <c r="AM660" i="13"/>
  <c r="AU660" i="13"/>
  <c r="BL660" i="13"/>
  <c r="BT660" i="13"/>
  <c r="V696" i="13"/>
  <c r="U696" i="13"/>
  <c r="W696" i="13" s="1"/>
  <c r="AA707" i="13"/>
  <c r="AC707" i="13" s="1"/>
  <c r="AB707" i="13"/>
  <c r="BL623" i="13"/>
  <c r="BT623" i="13"/>
  <c r="AQ627" i="13"/>
  <c r="AY627" i="13"/>
  <c r="BL631" i="13"/>
  <c r="BT631" i="13"/>
  <c r="AQ635" i="13"/>
  <c r="AY635" i="13"/>
  <c r="BJ637" i="13"/>
  <c r="BR637" i="13"/>
  <c r="BL639" i="13"/>
  <c r="BT639" i="13"/>
  <c r="AO641" i="13"/>
  <c r="AW641" i="13"/>
  <c r="AQ643" i="13"/>
  <c r="AY643" i="13"/>
  <c r="BE644" i="13"/>
  <c r="BM644" i="13"/>
  <c r="BU644" i="13"/>
  <c r="BJ645" i="13"/>
  <c r="BR645" i="13"/>
  <c r="U647" i="13"/>
  <c r="W647" i="13" s="1"/>
  <c r="BL647" i="13"/>
  <c r="BT647" i="13"/>
  <c r="AA648" i="13"/>
  <c r="AC648" i="13" s="1"/>
  <c r="AJ648" i="13"/>
  <c r="AR648" i="13"/>
  <c r="AZ648" i="13"/>
  <c r="AO649" i="13"/>
  <c r="AW649" i="13"/>
  <c r="AQ651" i="13"/>
  <c r="AY651" i="13"/>
  <c r="AN652" i="13"/>
  <c r="AV652" i="13"/>
  <c r="BE652" i="13"/>
  <c r="BM652" i="13"/>
  <c r="BU652" i="13"/>
  <c r="AK653" i="13"/>
  <c r="AS653" i="13"/>
  <c r="BA653" i="13"/>
  <c r="BJ653" i="13"/>
  <c r="BR653" i="13"/>
  <c r="U655" i="13"/>
  <c r="W655" i="13" s="1"/>
  <c r="BL655" i="13"/>
  <c r="BT655" i="13"/>
  <c r="AA656" i="13"/>
  <c r="AC656" i="13" s="1"/>
  <c r="AJ656" i="13"/>
  <c r="AR656" i="13"/>
  <c r="AZ656" i="13"/>
  <c r="BI656" i="13"/>
  <c r="BQ656" i="13"/>
  <c r="AO657" i="13"/>
  <c r="AW657" i="13"/>
  <c r="BF657" i="13"/>
  <c r="BN657" i="13"/>
  <c r="BV657" i="13"/>
  <c r="AQ659" i="13"/>
  <c r="AY659" i="13"/>
  <c r="AN660" i="13"/>
  <c r="AV660" i="13"/>
  <c r="BE660" i="13"/>
  <c r="BM660" i="13"/>
  <c r="BU660" i="13"/>
  <c r="AK661" i="13"/>
  <c r="AS661" i="13"/>
  <c r="BA661" i="13"/>
  <c r="BJ661" i="13"/>
  <c r="BR661" i="13"/>
  <c r="AB668" i="13"/>
  <c r="AA668" i="13"/>
  <c r="AC668" i="13" s="1"/>
  <c r="AB719" i="13"/>
  <c r="AA719" i="13"/>
  <c r="AC719" i="13" s="1"/>
  <c r="BL586" i="13"/>
  <c r="AQ590" i="13"/>
  <c r="BL594" i="13"/>
  <c r="AQ598" i="13"/>
  <c r="BL602" i="13"/>
  <c r="BI603" i="13"/>
  <c r="AQ606" i="13"/>
  <c r="AN607" i="13"/>
  <c r="BL610" i="13"/>
  <c r="BI611" i="13"/>
  <c r="AQ614" i="13"/>
  <c r="AN615" i="13"/>
  <c r="BG617" i="13"/>
  <c r="BO617" i="13"/>
  <c r="BL618" i="13"/>
  <c r="BI619" i="13"/>
  <c r="AL621" i="13"/>
  <c r="AT621" i="13"/>
  <c r="AQ622" i="13"/>
  <c r="AN623" i="13"/>
  <c r="BE623" i="13"/>
  <c r="BM623" i="13"/>
  <c r="BG625" i="13"/>
  <c r="BO625" i="13"/>
  <c r="BL626" i="13"/>
  <c r="AJ627" i="13"/>
  <c r="AR627" i="13"/>
  <c r="BI627" i="13"/>
  <c r="AL629" i="13"/>
  <c r="AT629" i="13"/>
  <c r="AQ630" i="13"/>
  <c r="AN631" i="13"/>
  <c r="BE631" i="13"/>
  <c r="BM631" i="13"/>
  <c r="BG633" i="13"/>
  <c r="BO633" i="13"/>
  <c r="BL634" i="13"/>
  <c r="AJ635" i="13"/>
  <c r="AR635" i="13"/>
  <c r="BI635" i="13"/>
  <c r="AL637" i="13"/>
  <c r="AT637" i="13"/>
  <c r="BK637" i="13"/>
  <c r="BS637" i="13"/>
  <c r="AQ638" i="13"/>
  <c r="AN639" i="13"/>
  <c r="BE639" i="13"/>
  <c r="BM639" i="13"/>
  <c r="AP641" i="13"/>
  <c r="AX641" i="13"/>
  <c r="BG641" i="13"/>
  <c r="BO641" i="13"/>
  <c r="BL642" i="13"/>
  <c r="AJ643" i="13"/>
  <c r="AR643" i="13"/>
  <c r="BI643" i="13"/>
  <c r="BF644" i="13"/>
  <c r="BN644" i="13"/>
  <c r="BV644" i="13"/>
  <c r="AL645" i="13"/>
  <c r="AT645" i="13"/>
  <c r="BK645" i="13"/>
  <c r="BS645" i="13"/>
  <c r="AQ646" i="13"/>
  <c r="AN647" i="13"/>
  <c r="BE647" i="13"/>
  <c r="BM647" i="13"/>
  <c r="AK648" i="13"/>
  <c r="AS648" i="13"/>
  <c r="BA648" i="13"/>
  <c r="AP649" i="13"/>
  <c r="AX649" i="13"/>
  <c r="BG649" i="13"/>
  <c r="BO649" i="13"/>
  <c r="BL650" i="13"/>
  <c r="AJ651" i="13"/>
  <c r="AR651" i="13"/>
  <c r="BI651" i="13"/>
  <c r="AO652" i="13"/>
  <c r="AW652" i="13"/>
  <c r="BF652" i="13"/>
  <c r="BN652" i="13"/>
  <c r="BV652" i="13"/>
  <c r="AL653" i="13"/>
  <c r="AT653" i="13"/>
  <c r="BK653" i="13"/>
  <c r="BS653" i="13"/>
  <c r="AQ654" i="13"/>
  <c r="AN655" i="13"/>
  <c r="BE655" i="13"/>
  <c r="BM655" i="13"/>
  <c r="AK656" i="13"/>
  <c r="AS656" i="13"/>
  <c r="BA656" i="13"/>
  <c r="BJ656" i="13"/>
  <c r="BR656" i="13"/>
  <c r="AP657" i="13"/>
  <c r="AX657" i="13"/>
  <c r="BG657" i="13"/>
  <c r="BO657" i="13"/>
  <c r="BL658" i="13"/>
  <c r="AJ659" i="13"/>
  <c r="AR659" i="13"/>
  <c r="BI659" i="13"/>
  <c r="AO660" i="13"/>
  <c r="AW660" i="13"/>
  <c r="BF660" i="13"/>
  <c r="BN660" i="13"/>
  <c r="BV660" i="13"/>
  <c r="AL661" i="13"/>
  <c r="AT661" i="13"/>
  <c r="BK661" i="13"/>
  <c r="BS661" i="13"/>
  <c r="AX665" i="13"/>
  <c r="AP665" i="13"/>
  <c r="AW665" i="13"/>
  <c r="AO665" i="13"/>
  <c r="AU665" i="13"/>
  <c r="AM665" i="13"/>
  <c r="BB665" i="13"/>
  <c r="AQ665" i="13"/>
  <c r="BA665" i="13"/>
  <c r="AN665" i="13"/>
  <c r="AZ665" i="13"/>
  <c r="AL665" i="13"/>
  <c r="AY665" i="13"/>
  <c r="AK665" i="13"/>
  <c r="AV665" i="13"/>
  <c r="AJ665" i="13"/>
  <c r="AS665" i="13"/>
  <c r="AR665" i="13"/>
  <c r="BL637" i="13"/>
  <c r="AQ641" i="13"/>
  <c r="BG644" i="13"/>
  <c r="BO644" i="13"/>
  <c r="BL645" i="13"/>
  <c r="AL648" i="13"/>
  <c r="AT648" i="13"/>
  <c r="AQ649" i="13"/>
  <c r="AP652" i="13"/>
  <c r="BG652" i="13"/>
  <c r="BO652" i="13"/>
  <c r="BL653" i="13"/>
  <c r="AL656" i="13"/>
  <c r="AT656" i="13"/>
  <c r="BK656" i="13"/>
  <c r="AQ657" i="13"/>
  <c r="AP660" i="13"/>
  <c r="BG660" i="13"/>
  <c r="BO660" i="13"/>
  <c r="BL661" i="13"/>
  <c r="BP687" i="13"/>
  <c r="BH687" i="13"/>
  <c r="BW687" i="13"/>
  <c r="BO687" i="13"/>
  <c r="BG687" i="13"/>
  <c r="BV687" i="13"/>
  <c r="BL687" i="13"/>
  <c r="BU687" i="13"/>
  <c r="BK687" i="13"/>
  <c r="BT687" i="13"/>
  <c r="BJ687" i="13"/>
  <c r="BS687" i="13"/>
  <c r="BI687" i="13"/>
  <c r="BQ687" i="13"/>
  <c r="BN687" i="13"/>
  <c r="BM687" i="13"/>
  <c r="BF687" i="13"/>
  <c r="BE687" i="13"/>
  <c r="BR687" i="13"/>
  <c r="BR664" i="13"/>
  <c r="BJ664" i="13"/>
  <c r="BQ664" i="13"/>
  <c r="BI664" i="13"/>
  <c r="BW664" i="13"/>
  <c r="BO664" i="13"/>
  <c r="BG664" i="13"/>
  <c r="BP664" i="13"/>
  <c r="BS669" i="13"/>
  <c r="BK669" i="13"/>
  <c r="BR669" i="13"/>
  <c r="BJ669" i="13"/>
  <c r="BP669" i="13"/>
  <c r="BH669" i="13"/>
  <c r="BO669" i="13"/>
  <c r="AW676" i="13"/>
  <c r="AO676" i="13"/>
  <c r="AV676" i="13"/>
  <c r="AN676" i="13"/>
  <c r="BB676" i="13"/>
  <c r="AT676" i="13"/>
  <c r="AL676" i="13"/>
  <c r="AU676" i="13"/>
  <c r="AJ677" i="13"/>
  <c r="AZ677" i="13"/>
  <c r="AB685" i="13"/>
  <c r="AE685" i="13" s="1"/>
  <c r="AA685" i="13"/>
  <c r="AC685" i="13" s="1"/>
  <c r="AB689" i="13"/>
  <c r="AA689" i="13"/>
  <c r="AC689" i="13" s="1"/>
  <c r="AU694" i="13"/>
  <c r="AV696" i="13"/>
  <c r="AN696" i="13"/>
  <c r="AU696" i="13"/>
  <c r="AM696" i="13"/>
  <c r="AX696" i="13"/>
  <c r="AP696" i="13"/>
  <c r="AR696" i="13"/>
  <c r="BB696" i="13"/>
  <c r="AQ696" i="13"/>
  <c r="BA696" i="13"/>
  <c r="AO696" i="13"/>
  <c r="AZ696" i="13"/>
  <c r="AL696" i="13"/>
  <c r="BS703" i="13"/>
  <c r="AO704" i="13"/>
  <c r="AL662" i="13"/>
  <c r="AW662" i="13"/>
  <c r="BI662" i="13"/>
  <c r="BS662" i="13"/>
  <c r="AP663" i="13"/>
  <c r="AZ663" i="13"/>
  <c r="AQ664" i="13"/>
  <c r="BE664" i="13"/>
  <c r="BS664" i="13"/>
  <c r="AN666" i="13"/>
  <c r="AY666" i="13"/>
  <c r="BL667" i="13"/>
  <c r="AK668" i="13"/>
  <c r="AY668" i="13"/>
  <c r="BL668" i="13"/>
  <c r="BE669" i="13"/>
  <c r="BQ669" i="13"/>
  <c r="AE670" i="13"/>
  <c r="AA671" i="13"/>
  <c r="AC671" i="13" s="1"/>
  <c r="AP671" i="13"/>
  <c r="BB671" i="13"/>
  <c r="BF672" i="13"/>
  <c r="BT672" i="13"/>
  <c r="AX673" i="13"/>
  <c r="AP673" i="13"/>
  <c r="AW673" i="13"/>
  <c r="AO673" i="13"/>
  <c r="AU673" i="13"/>
  <c r="AM673" i="13"/>
  <c r="AT673" i="13"/>
  <c r="AU674" i="13"/>
  <c r="AM674" i="13"/>
  <c r="BB674" i="13"/>
  <c r="AT674" i="13"/>
  <c r="AL674" i="13"/>
  <c r="AZ674" i="13"/>
  <c r="AR674" i="13"/>
  <c r="AJ674" i="13"/>
  <c r="AW674" i="13"/>
  <c r="AJ676" i="13"/>
  <c r="AX676" i="13"/>
  <c r="BJ676" i="13"/>
  <c r="AL677" i="13"/>
  <c r="BA677" i="13"/>
  <c r="BI678" i="13"/>
  <c r="AP680" i="13"/>
  <c r="BB680" i="13"/>
  <c r="AA681" i="13"/>
  <c r="AC681" i="13" s="1"/>
  <c r="BF681" i="13"/>
  <c r="AX682" i="13"/>
  <c r="AP682" i="13"/>
  <c r="AV682" i="13"/>
  <c r="AM682" i="13"/>
  <c r="AU682" i="13"/>
  <c r="AL682" i="13"/>
  <c r="AT682" i="13"/>
  <c r="AK682" i="13"/>
  <c r="BB682" i="13"/>
  <c r="AS682" i="13"/>
  <c r="AJ682" i="13"/>
  <c r="BA682" i="13"/>
  <c r="U693" i="13"/>
  <c r="W693" i="13" s="1"/>
  <c r="AJ696" i="13"/>
  <c r="AB698" i="13"/>
  <c r="AU699" i="13"/>
  <c r="AM699" i="13"/>
  <c r="BB699" i="13"/>
  <c r="AT699" i="13"/>
  <c r="AL699" i="13"/>
  <c r="AZ699" i="13"/>
  <c r="AR699" i="13"/>
  <c r="AJ699" i="13"/>
  <c r="AW699" i="13"/>
  <c r="AO699" i="13"/>
  <c r="AV699" i="13"/>
  <c r="AS699" i="13"/>
  <c r="AQ699" i="13"/>
  <c r="AP699" i="13"/>
  <c r="V704" i="13"/>
  <c r="U704" i="13"/>
  <c r="W704" i="13" s="1"/>
  <c r="AY704" i="13"/>
  <c r="AF706" i="13"/>
  <c r="AV737" i="13"/>
  <c r="AN737" i="13"/>
  <c r="AU737" i="13"/>
  <c r="AM737" i="13"/>
  <c r="BB737" i="13"/>
  <c r="AT737" i="13"/>
  <c r="AL737" i="13"/>
  <c r="BA737" i="13"/>
  <c r="AS737" i="13"/>
  <c r="AK737" i="13"/>
  <c r="AQ737" i="13"/>
  <c r="AP737" i="13"/>
  <c r="AO737" i="13"/>
  <c r="AZ737" i="13"/>
  <c r="AJ737" i="13"/>
  <c r="AW737" i="13"/>
  <c r="AR737" i="13"/>
  <c r="AY737" i="13"/>
  <c r="V738" i="13"/>
  <c r="U738" i="13"/>
  <c r="W738" i="13" s="1"/>
  <c r="AO662" i="13"/>
  <c r="BK662" i="13"/>
  <c r="BH664" i="13"/>
  <c r="BU664" i="13"/>
  <c r="AP666" i="13"/>
  <c r="AP668" i="13"/>
  <c r="BA668" i="13"/>
  <c r="BG669" i="13"/>
  <c r="BU669" i="13"/>
  <c r="BP670" i="13"/>
  <c r="BH670" i="13"/>
  <c r="BW670" i="13"/>
  <c r="BO670" i="13"/>
  <c r="BG670" i="13"/>
  <c r="BU670" i="13"/>
  <c r="BM670" i="13"/>
  <c r="BE670" i="13"/>
  <c r="BR670" i="13"/>
  <c r="AR671" i="13"/>
  <c r="BA672" i="13"/>
  <c r="AS672" i="13"/>
  <c r="AK672" i="13"/>
  <c r="AZ672" i="13"/>
  <c r="AR672" i="13"/>
  <c r="AJ672" i="13"/>
  <c r="AX672" i="13"/>
  <c r="AP672" i="13"/>
  <c r="AV672" i="13"/>
  <c r="BK672" i="13"/>
  <c r="BV672" i="13"/>
  <c r="AM676" i="13"/>
  <c r="AZ676" i="13"/>
  <c r="BO676" i="13"/>
  <c r="AQ677" i="13"/>
  <c r="BN678" i="13"/>
  <c r="AR680" i="13"/>
  <c r="BM681" i="13"/>
  <c r="AO682" i="13"/>
  <c r="AS696" i="13"/>
  <c r="AN699" i="13"/>
  <c r="AX706" i="13"/>
  <c r="AP706" i="13"/>
  <c r="AW706" i="13"/>
  <c r="AO706" i="13"/>
  <c r="AU706" i="13"/>
  <c r="AM706" i="13"/>
  <c r="AZ706" i="13"/>
  <c r="AR706" i="13"/>
  <c r="AJ706" i="13"/>
  <c r="AQ706" i="13"/>
  <c r="AN706" i="13"/>
  <c r="BB706" i="13"/>
  <c r="AL706" i="13"/>
  <c r="BA706" i="13"/>
  <c r="AK706" i="13"/>
  <c r="AS706" i="13"/>
  <c r="AU663" i="13"/>
  <c r="AM663" i="13"/>
  <c r="BA663" i="13"/>
  <c r="AS663" i="13"/>
  <c r="AK663" i="13"/>
  <c r="AT663" i="13"/>
  <c r="BA664" i="13"/>
  <c r="AS664" i="13"/>
  <c r="AK664" i="13"/>
  <c r="AZ664" i="13"/>
  <c r="AR664" i="13"/>
  <c r="AJ664" i="13"/>
  <c r="AX664" i="13"/>
  <c r="AP664" i="13"/>
  <c r="AV664" i="13"/>
  <c r="BK664" i="13"/>
  <c r="BV664" i="13"/>
  <c r="AQ666" i="13"/>
  <c r="BQ667" i="13"/>
  <c r="BI667" i="13"/>
  <c r="BP667" i="13"/>
  <c r="BH667" i="13"/>
  <c r="BV667" i="13"/>
  <c r="BN667" i="13"/>
  <c r="BF667" i="13"/>
  <c r="BR667" i="13"/>
  <c r="AQ668" i="13"/>
  <c r="BV668" i="13"/>
  <c r="BN668" i="13"/>
  <c r="BF668" i="13"/>
  <c r="BU668" i="13"/>
  <c r="BM668" i="13"/>
  <c r="BE668" i="13"/>
  <c r="BS668" i="13"/>
  <c r="BK668" i="13"/>
  <c r="BQ668" i="13"/>
  <c r="BI669" i="13"/>
  <c r="BV669" i="13"/>
  <c r="BF670" i="13"/>
  <c r="BS670" i="13"/>
  <c r="AL672" i="13"/>
  <c r="AW672" i="13"/>
  <c r="BL672" i="13"/>
  <c r="AO674" i="13"/>
  <c r="BA674" i="13"/>
  <c r="BQ675" i="13"/>
  <c r="BI675" i="13"/>
  <c r="BP675" i="13"/>
  <c r="BH675" i="13"/>
  <c r="BV675" i="13"/>
  <c r="BN675" i="13"/>
  <c r="BF675" i="13"/>
  <c r="BR675" i="13"/>
  <c r="AP676" i="13"/>
  <c r="BA676" i="13"/>
  <c r="AR677" i="13"/>
  <c r="BN681" i="13"/>
  <c r="AQ682" i="13"/>
  <c r="AW686" i="13"/>
  <c r="V690" i="13"/>
  <c r="U690" i="13"/>
  <c r="W690" i="13" s="1"/>
  <c r="AT696" i="13"/>
  <c r="AX699" i="13"/>
  <c r="AB705" i="13"/>
  <c r="AA705" i="13"/>
  <c r="AC705" i="13" s="1"/>
  <c r="BW712" i="13"/>
  <c r="BO712" i="13"/>
  <c r="BG712" i="13"/>
  <c r="BR712" i="13"/>
  <c r="BI712" i="13"/>
  <c r="BQ712" i="13"/>
  <c r="BH712" i="13"/>
  <c r="BP712" i="13"/>
  <c r="BF712" i="13"/>
  <c r="BN712" i="13"/>
  <c r="BE712" i="13"/>
  <c r="BT712" i="13"/>
  <c r="BK712" i="13"/>
  <c r="BU712" i="13"/>
  <c r="BS712" i="13"/>
  <c r="BM712" i="13"/>
  <c r="BL712" i="13"/>
  <c r="BV712" i="13"/>
  <c r="AB790" i="13"/>
  <c r="AA790" i="13"/>
  <c r="AC790" i="13" s="1"/>
  <c r="BL664" i="13"/>
  <c r="AS666" i="13"/>
  <c r="AR668" i="13"/>
  <c r="BL669" i="13"/>
  <c r="BW669" i="13"/>
  <c r="V671" i="13"/>
  <c r="AE671" i="13" s="1"/>
  <c r="U671" i="13"/>
  <c r="W671" i="13" s="1"/>
  <c r="AV671" i="13"/>
  <c r="AN671" i="13"/>
  <c r="AU671" i="13"/>
  <c r="AM671" i="13"/>
  <c r="BA671" i="13"/>
  <c r="AS671" i="13"/>
  <c r="AK671" i="13"/>
  <c r="AW671" i="13"/>
  <c r="AM672" i="13"/>
  <c r="AY672" i="13"/>
  <c r="BM672" i="13"/>
  <c r="AQ676" i="13"/>
  <c r="BV676" i="13"/>
  <c r="BN676" i="13"/>
  <c r="BF676" i="13"/>
  <c r="BU676" i="13"/>
  <c r="BM676" i="13"/>
  <c r="BE676" i="13"/>
  <c r="BS676" i="13"/>
  <c r="BK676" i="13"/>
  <c r="BQ676" i="13"/>
  <c r="AS677" i="13"/>
  <c r="BS678" i="13"/>
  <c r="BK678" i="13"/>
  <c r="BU678" i="13"/>
  <c r="BL678" i="13"/>
  <c r="BT678" i="13"/>
  <c r="BJ678" i="13"/>
  <c r="BQ678" i="13"/>
  <c r="BH678" i="13"/>
  <c r="BP678" i="13"/>
  <c r="AA686" i="13"/>
  <c r="AC686" i="13" s="1"/>
  <c r="BB694" i="13"/>
  <c r="AT694" i="13"/>
  <c r="AL694" i="13"/>
  <c r="BA694" i="13"/>
  <c r="AS694" i="13"/>
  <c r="AK694" i="13"/>
  <c r="AV694" i="13"/>
  <c r="AN694" i="13"/>
  <c r="AP694" i="13"/>
  <c r="AZ694" i="13"/>
  <c r="AO694" i="13"/>
  <c r="AY694" i="13"/>
  <c r="AM694" i="13"/>
  <c r="AX694" i="13"/>
  <c r="AJ694" i="13"/>
  <c r="BP703" i="13"/>
  <c r="BH703" i="13"/>
  <c r="BW703" i="13"/>
  <c r="BO703" i="13"/>
  <c r="BG703" i="13"/>
  <c r="BU703" i="13"/>
  <c r="BM703" i="13"/>
  <c r="BE703" i="13"/>
  <c r="BR703" i="13"/>
  <c r="BJ703" i="13"/>
  <c r="BN703" i="13"/>
  <c r="BL703" i="13"/>
  <c r="BK703" i="13"/>
  <c r="BI703" i="13"/>
  <c r="AV704" i="13"/>
  <c r="AN704" i="13"/>
  <c r="AU704" i="13"/>
  <c r="AM704" i="13"/>
  <c r="BA704" i="13"/>
  <c r="AS704" i="13"/>
  <c r="AK704" i="13"/>
  <c r="AX704" i="13"/>
  <c r="AP704" i="13"/>
  <c r="AW704" i="13"/>
  <c r="AT704" i="13"/>
  <c r="AR704" i="13"/>
  <c r="AQ704" i="13"/>
  <c r="AA753" i="13"/>
  <c r="AC753" i="13" s="1"/>
  <c r="U662" i="13"/>
  <c r="W662" i="13" s="1"/>
  <c r="AX662" i="13"/>
  <c r="AP662" i="13"/>
  <c r="AV662" i="13"/>
  <c r="AN662" i="13"/>
  <c r="AS662" i="13"/>
  <c r="BW662" i="13"/>
  <c r="BO662" i="13"/>
  <c r="BG662" i="13"/>
  <c r="BU662" i="13"/>
  <c r="BM662" i="13"/>
  <c r="BE662" i="13"/>
  <c r="BP662" i="13"/>
  <c r="AL663" i="13"/>
  <c r="AW663" i="13"/>
  <c r="AM664" i="13"/>
  <c r="AY664" i="13"/>
  <c r="BM664" i="13"/>
  <c r="AA665" i="13"/>
  <c r="AC665" i="13" s="1"/>
  <c r="BG667" i="13"/>
  <c r="BT667" i="13"/>
  <c r="BH668" i="13"/>
  <c r="BT668" i="13"/>
  <c r="BM669" i="13"/>
  <c r="BJ670" i="13"/>
  <c r="BV670" i="13"/>
  <c r="AJ671" i="13"/>
  <c r="AX671" i="13"/>
  <c r="AB672" i="13"/>
  <c r="AA672" i="13"/>
  <c r="AC672" i="13" s="1"/>
  <c r="AN672" i="13"/>
  <c r="BB672" i="13"/>
  <c r="AR676" i="13"/>
  <c r="BG676" i="13"/>
  <c r="BR676" i="13"/>
  <c r="BE678" i="13"/>
  <c r="BR678" i="13"/>
  <c r="AV680" i="13"/>
  <c r="AN680" i="13"/>
  <c r="AX680" i="13"/>
  <c r="AO680" i="13"/>
  <c r="AW680" i="13"/>
  <c r="AM680" i="13"/>
  <c r="AT680" i="13"/>
  <c r="AK680" i="13"/>
  <c r="AY680" i="13"/>
  <c r="AA683" i="13"/>
  <c r="AC683" i="13" s="1"/>
  <c r="U685" i="13"/>
  <c r="W685" i="13" s="1"/>
  <c r="BB686" i="13"/>
  <c r="AT686" i="13"/>
  <c r="AL686" i="13"/>
  <c r="BA686" i="13"/>
  <c r="AS686" i="13"/>
  <c r="AK686" i="13"/>
  <c r="AR686" i="13"/>
  <c r="AQ686" i="13"/>
  <c r="AZ686" i="13"/>
  <c r="AP686" i="13"/>
  <c r="AY686" i="13"/>
  <c r="AO686" i="13"/>
  <c r="AU691" i="13"/>
  <c r="AM691" i="13"/>
  <c r="BB691" i="13"/>
  <c r="AT691" i="13"/>
  <c r="AL691" i="13"/>
  <c r="AZ691" i="13"/>
  <c r="AP691" i="13"/>
  <c r="AY691" i="13"/>
  <c r="AO691" i="13"/>
  <c r="AX691" i="13"/>
  <c r="AN691" i="13"/>
  <c r="AW691" i="13"/>
  <c r="AK691" i="13"/>
  <c r="U692" i="13"/>
  <c r="W692" i="13" s="1"/>
  <c r="AQ694" i="13"/>
  <c r="AY696" i="13"/>
  <c r="AB697" i="13"/>
  <c r="AA697" i="13"/>
  <c r="AC697" i="13" s="1"/>
  <c r="BA699" i="13"/>
  <c r="BF703" i="13"/>
  <c r="AJ704" i="13"/>
  <c r="BU710" i="13"/>
  <c r="BS710" i="13"/>
  <c r="BK710" i="13"/>
  <c r="BR710" i="13"/>
  <c r="BJ710" i="13"/>
  <c r="BQ710" i="13"/>
  <c r="BI710" i="13"/>
  <c r="BP710" i="13"/>
  <c r="BH710" i="13"/>
  <c r="BV710" i="13"/>
  <c r="BM710" i="13"/>
  <c r="BE710" i="13"/>
  <c r="BO710" i="13"/>
  <c r="BN710" i="13"/>
  <c r="BL710" i="13"/>
  <c r="BG710" i="13"/>
  <c r="BT710" i="13"/>
  <c r="BP725" i="13"/>
  <c r="BH725" i="13"/>
  <c r="BW725" i="13"/>
  <c r="BO725" i="13"/>
  <c r="BG725" i="13"/>
  <c r="BU725" i="13"/>
  <c r="BK725" i="13"/>
  <c r="BT725" i="13"/>
  <c r="BJ725" i="13"/>
  <c r="BS725" i="13"/>
  <c r="BI725" i="13"/>
  <c r="BR725" i="13"/>
  <c r="BF725" i="13"/>
  <c r="BM725" i="13"/>
  <c r="BV725" i="13"/>
  <c r="BL725" i="13"/>
  <c r="BQ725" i="13"/>
  <c r="BN725" i="13"/>
  <c r="AB664" i="13"/>
  <c r="AE664" i="13" s="1"/>
  <c r="AA664" i="13"/>
  <c r="AC664" i="13" s="1"/>
  <c r="BN664" i="13"/>
  <c r="AU666" i="13"/>
  <c r="AM666" i="13"/>
  <c r="BB666" i="13"/>
  <c r="AT666" i="13"/>
  <c r="AL666" i="13"/>
  <c r="AZ666" i="13"/>
  <c r="AR666" i="13"/>
  <c r="AJ666" i="13"/>
  <c r="AW666" i="13"/>
  <c r="AW668" i="13"/>
  <c r="AO668" i="13"/>
  <c r="AV668" i="13"/>
  <c r="AN668" i="13"/>
  <c r="BB668" i="13"/>
  <c r="AT668" i="13"/>
  <c r="AL668" i="13"/>
  <c r="AU668" i="13"/>
  <c r="BN669" i="13"/>
  <c r="BR672" i="13"/>
  <c r="BJ672" i="13"/>
  <c r="BQ672" i="13"/>
  <c r="BI672" i="13"/>
  <c r="BW672" i="13"/>
  <c r="BO672" i="13"/>
  <c r="BG672" i="13"/>
  <c r="BP672" i="13"/>
  <c r="AS676" i="13"/>
  <c r="AW677" i="13"/>
  <c r="AO677" i="13"/>
  <c r="AX677" i="13"/>
  <c r="AN677" i="13"/>
  <c r="AV677" i="13"/>
  <c r="AM677" i="13"/>
  <c r="AT677" i="13"/>
  <c r="AK677" i="13"/>
  <c r="AY677" i="13"/>
  <c r="V681" i="13"/>
  <c r="AE681" i="13" s="1"/>
  <c r="U681" i="13"/>
  <c r="W681" i="13" s="1"/>
  <c r="BR681" i="13"/>
  <c r="BJ681" i="13"/>
  <c r="BU681" i="13"/>
  <c r="BL681" i="13"/>
  <c r="BT681" i="13"/>
  <c r="BK681" i="13"/>
  <c r="BS681" i="13"/>
  <c r="BI681" i="13"/>
  <c r="BQ681" i="13"/>
  <c r="BH681" i="13"/>
  <c r="BV681" i="13"/>
  <c r="BQ684" i="13"/>
  <c r="BI684" i="13"/>
  <c r="BP684" i="13"/>
  <c r="BH684" i="13"/>
  <c r="BU684" i="13"/>
  <c r="BK684" i="13"/>
  <c r="BT684" i="13"/>
  <c r="BJ684" i="13"/>
  <c r="BS684" i="13"/>
  <c r="BG684" i="13"/>
  <c r="BR684" i="13"/>
  <c r="BF684" i="13"/>
  <c r="AJ686" i="13"/>
  <c r="AR694" i="13"/>
  <c r="BQ700" i="13"/>
  <c r="BI700" i="13"/>
  <c r="BP700" i="13"/>
  <c r="BH700" i="13"/>
  <c r="BV700" i="13"/>
  <c r="BN700" i="13"/>
  <c r="BF700" i="13"/>
  <c r="BS700" i="13"/>
  <c r="BK700" i="13"/>
  <c r="BL700" i="13"/>
  <c r="BJ700" i="13"/>
  <c r="BW700" i="13"/>
  <c r="BG700" i="13"/>
  <c r="BU700" i="13"/>
  <c r="BE700" i="13"/>
  <c r="BV701" i="13"/>
  <c r="BN701" i="13"/>
  <c r="BF701" i="13"/>
  <c r="BU701" i="13"/>
  <c r="BM701" i="13"/>
  <c r="BE701" i="13"/>
  <c r="BS701" i="13"/>
  <c r="BK701" i="13"/>
  <c r="BP701" i="13"/>
  <c r="BH701" i="13"/>
  <c r="BO701" i="13"/>
  <c r="BL701" i="13"/>
  <c r="BJ701" i="13"/>
  <c r="BI701" i="13"/>
  <c r="BQ703" i="13"/>
  <c r="AL704" i="13"/>
  <c r="BF710" i="13"/>
  <c r="AB712" i="13"/>
  <c r="AE712" i="13" s="1"/>
  <c r="AA712" i="13"/>
  <c r="AC712" i="13" s="1"/>
  <c r="BS716" i="13"/>
  <c r="BK716" i="13"/>
  <c r="BR716" i="13"/>
  <c r="BJ716" i="13"/>
  <c r="BU716" i="13"/>
  <c r="BI716" i="13"/>
  <c r="BT716" i="13"/>
  <c r="BH716" i="13"/>
  <c r="BQ716" i="13"/>
  <c r="BG716" i="13"/>
  <c r="BP716" i="13"/>
  <c r="BF716" i="13"/>
  <c r="BW716" i="13"/>
  <c r="BM716" i="13"/>
  <c r="BV716" i="13"/>
  <c r="BL716" i="13"/>
  <c r="BO716" i="13"/>
  <c r="BN716" i="13"/>
  <c r="BE716" i="13"/>
  <c r="BE725" i="13"/>
  <c r="AU729" i="13"/>
  <c r="AM729" i="13"/>
  <c r="BB729" i="13"/>
  <c r="AT729" i="13"/>
  <c r="AL729" i="13"/>
  <c r="BA729" i="13"/>
  <c r="AS729" i="13"/>
  <c r="AK729" i="13"/>
  <c r="AP729" i="13"/>
  <c r="AZ729" i="13"/>
  <c r="AO729" i="13"/>
  <c r="AY729" i="13"/>
  <c r="AN729" i="13"/>
  <c r="AX729" i="13"/>
  <c r="AJ729" i="13"/>
  <c r="AR729" i="13"/>
  <c r="AQ729" i="13"/>
  <c r="AW729" i="13"/>
  <c r="AB706" i="13"/>
  <c r="AP707" i="13"/>
  <c r="BL708" i="13"/>
  <c r="V731" i="13"/>
  <c r="AE731" i="13" s="1"/>
  <c r="U731" i="13"/>
  <c r="W731" i="13" s="1"/>
  <c r="BQ733" i="13"/>
  <c r="BI733" i="13"/>
  <c r="BP733" i="13"/>
  <c r="BH733" i="13"/>
  <c r="BW733" i="13"/>
  <c r="BO733" i="13"/>
  <c r="BG733" i="13"/>
  <c r="BV733" i="13"/>
  <c r="BN733" i="13"/>
  <c r="BF733" i="13"/>
  <c r="BL733" i="13"/>
  <c r="BK733" i="13"/>
  <c r="BJ733" i="13"/>
  <c r="BU733" i="13"/>
  <c r="BE733" i="13"/>
  <c r="BR733" i="13"/>
  <c r="BM733" i="13"/>
  <c r="AB769" i="13"/>
  <c r="AA769" i="13"/>
  <c r="AC769" i="13" s="1"/>
  <c r="BR778" i="13"/>
  <c r="BJ778" i="13"/>
  <c r="BQ778" i="13"/>
  <c r="BI778" i="13"/>
  <c r="BW778" i="13"/>
  <c r="BO778" i="13"/>
  <c r="BG778" i="13"/>
  <c r="BS778" i="13"/>
  <c r="BK778" i="13"/>
  <c r="BL778" i="13"/>
  <c r="BH778" i="13"/>
  <c r="BV778" i="13"/>
  <c r="BF778" i="13"/>
  <c r="BU778" i="13"/>
  <c r="BE778" i="13"/>
  <c r="BN778" i="13"/>
  <c r="BM778" i="13"/>
  <c r="BT778" i="13"/>
  <c r="BP778" i="13"/>
  <c r="BL665" i="13"/>
  <c r="BT665" i="13"/>
  <c r="BI666" i="13"/>
  <c r="BQ666" i="13"/>
  <c r="AQ669" i="13"/>
  <c r="AY669" i="13"/>
  <c r="AN670" i="13"/>
  <c r="AV670" i="13"/>
  <c r="BL673" i="13"/>
  <c r="BI674" i="13"/>
  <c r="BQ674" i="13"/>
  <c r="AO675" i="13"/>
  <c r="AW675" i="13"/>
  <c r="BV677" i="13"/>
  <c r="BN677" i="13"/>
  <c r="BF677" i="13"/>
  <c r="BM677" i="13"/>
  <c r="BW677" i="13"/>
  <c r="AO678" i="13"/>
  <c r="AX678" i="13"/>
  <c r="BJ679" i="13"/>
  <c r="BS679" i="13"/>
  <c r="BU680" i="13"/>
  <c r="BM680" i="13"/>
  <c r="BE680" i="13"/>
  <c r="BN680" i="13"/>
  <c r="BW680" i="13"/>
  <c r="AO681" i="13"/>
  <c r="AX681" i="13"/>
  <c r="BL682" i="13"/>
  <c r="AO683" i="13"/>
  <c r="AY683" i="13"/>
  <c r="BL686" i="13"/>
  <c r="AP688" i="13"/>
  <c r="AZ688" i="13"/>
  <c r="AP689" i="13"/>
  <c r="BB689" i="13"/>
  <c r="BM689" i="13"/>
  <c r="AX690" i="13"/>
  <c r="AP690" i="13"/>
  <c r="AW690" i="13"/>
  <c r="AO690" i="13"/>
  <c r="AS690" i="13"/>
  <c r="BW690" i="13"/>
  <c r="BO690" i="13"/>
  <c r="BG690" i="13"/>
  <c r="BV690" i="13"/>
  <c r="BN690" i="13"/>
  <c r="BF690" i="13"/>
  <c r="BP690" i="13"/>
  <c r="BQ692" i="13"/>
  <c r="BI692" i="13"/>
  <c r="BP692" i="13"/>
  <c r="BH692" i="13"/>
  <c r="BS692" i="13"/>
  <c r="BK692" i="13"/>
  <c r="BO692" i="13"/>
  <c r="BL693" i="13"/>
  <c r="BL694" i="13"/>
  <c r="BL695" i="13"/>
  <c r="AT705" i="13"/>
  <c r="BP717" i="13"/>
  <c r="BH717" i="13"/>
  <c r="BW717" i="13"/>
  <c r="BO717" i="13"/>
  <c r="BG717" i="13"/>
  <c r="BT717" i="13"/>
  <c r="BJ717" i="13"/>
  <c r="BS717" i="13"/>
  <c r="BI717" i="13"/>
  <c r="BR717" i="13"/>
  <c r="BF717" i="13"/>
  <c r="BQ717" i="13"/>
  <c r="BE717" i="13"/>
  <c r="BV717" i="13"/>
  <c r="BL717" i="13"/>
  <c r="BU717" i="13"/>
  <c r="BK717" i="13"/>
  <c r="AX728" i="13"/>
  <c r="AP728" i="13"/>
  <c r="AW728" i="13"/>
  <c r="AO728" i="13"/>
  <c r="AV728" i="13"/>
  <c r="AN728" i="13"/>
  <c r="BA728" i="13"/>
  <c r="AM728" i="13"/>
  <c r="AZ728" i="13"/>
  <c r="AL728" i="13"/>
  <c r="AY728" i="13"/>
  <c r="AK728" i="13"/>
  <c r="AU728" i="13"/>
  <c r="AJ728" i="13"/>
  <c r="AR728" i="13"/>
  <c r="BB728" i="13"/>
  <c r="AQ728" i="13"/>
  <c r="AE742" i="13"/>
  <c r="BW682" i="13"/>
  <c r="BO682" i="13"/>
  <c r="BG682" i="13"/>
  <c r="BM682" i="13"/>
  <c r="BV682" i="13"/>
  <c r="BR689" i="13"/>
  <c r="BJ689" i="13"/>
  <c r="BQ689" i="13"/>
  <c r="BI689" i="13"/>
  <c r="BN689" i="13"/>
  <c r="BO693" i="13"/>
  <c r="BN694" i="13"/>
  <c r="BM695" i="13"/>
  <c r="BA697" i="13"/>
  <c r="AS697" i="13"/>
  <c r="AK697" i="13"/>
  <c r="AZ697" i="13"/>
  <c r="AR697" i="13"/>
  <c r="AJ697" i="13"/>
  <c r="AU697" i="13"/>
  <c r="AM697" i="13"/>
  <c r="AW697" i="13"/>
  <c r="AX698" i="13"/>
  <c r="AP698" i="13"/>
  <c r="AW698" i="13"/>
  <c r="AO698" i="13"/>
  <c r="AZ698" i="13"/>
  <c r="AR698" i="13"/>
  <c r="AJ698" i="13"/>
  <c r="AU698" i="13"/>
  <c r="AV705" i="13"/>
  <c r="AU707" i="13"/>
  <c r="AM707" i="13"/>
  <c r="BB707" i="13"/>
  <c r="AT707" i="13"/>
  <c r="AL707" i="13"/>
  <c r="AZ707" i="13"/>
  <c r="AR707" i="13"/>
  <c r="AJ707" i="13"/>
  <c r="AW707" i="13"/>
  <c r="AO707" i="13"/>
  <c r="AY707" i="13"/>
  <c r="BQ708" i="13"/>
  <c r="BI708" i="13"/>
  <c r="BP708" i="13"/>
  <c r="BH708" i="13"/>
  <c r="BW708" i="13"/>
  <c r="BO708" i="13"/>
  <c r="BG708" i="13"/>
  <c r="BV708" i="13"/>
  <c r="BN708" i="13"/>
  <c r="BF708" i="13"/>
  <c r="BS708" i="13"/>
  <c r="BK708" i="13"/>
  <c r="V714" i="13"/>
  <c r="U714" i="13"/>
  <c r="W714" i="13" s="1"/>
  <c r="V723" i="13"/>
  <c r="U723" i="13"/>
  <c r="W723" i="13" s="1"/>
  <c r="AS728" i="13"/>
  <c r="BB732" i="13"/>
  <c r="AT732" i="13"/>
  <c r="AL732" i="13"/>
  <c r="BA732" i="13"/>
  <c r="AS732" i="13"/>
  <c r="AK732" i="13"/>
  <c r="AZ732" i="13"/>
  <c r="AR732" i="13"/>
  <c r="AJ732" i="13"/>
  <c r="AP732" i="13"/>
  <c r="AO732" i="13"/>
  <c r="AY732" i="13"/>
  <c r="AN732" i="13"/>
  <c r="AX732" i="13"/>
  <c r="AM732" i="13"/>
  <c r="AU732" i="13"/>
  <c r="AQ732" i="13"/>
  <c r="U744" i="13"/>
  <c r="W744" i="13" s="1"/>
  <c r="V755" i="13"/>
  <c r="U755" i="13"/>
  <c r="W755" i="13" s="1"/>
  <c r="U775" i="13"/>
  <c r="W775" i="13" s="1"/>
  <c r="V775" i="13"/>
  <c r="AE775" i="13" s="1"/>
  <c r="BL663" i="13"/>
  <c r="BF665" i="13"/>
  <c r="BN665" i="13"/>
  <c r="BK666" i="13"/>
  <c r="BS666" i="13"/>
  <c r="AQ667" i="13"/>
  <c r="AK669" i="13"/>
  <c r="AS669" i="13"/>
  <c r="AP670" i="13"/>
  <c r="AX670" i="13"/>
  <c r="BL671" i="13"/>
  <c r="BK674" i="13"/>
  <c r="BS674" i="13"/>
  <c r="AQ675" i="13"/>
  <c r="AQ678" i="13"/>
  <c r="BL679" i="13"/>
  <c r="AQ681" i="13"/>
  <c r="BE682" i="13"/>
  <c r="BN682" i="13"/>
  <c r="AQ683" i="13"/>
  <c r="BS686" i="13"/>
  <c r="BK686" i="13"/>
  <c r="BR686" i="13"/>
  <c r="BJ686" i="13"/>
  <c r="BN686" i="13"/>
  <c r="V688" i="13"/>
  <c r="U688" i="13"/>
  <c r="W688" i="13" s="1"/>
  <c r="AR688" i="13"/>
  <c r="BE689" i="13"/>
  <c r="BO689" i="13"/>
  <c r="AL697" i="13"/>
  <c r="AX697" i="13"/>
  <c r="AK698" i="13"/>
  <c r="AV698" i="13"/>
  <c r="AB699" i="13"/>
  <c r="BS702" i="13"/>
  <c r="BK702" i="13"/>
  <c r="BR702" i="13"/>
  <c r="BJ702" i="13"/>
  <c r="BP702" i="13"/>
  <c r="BH702" i="13"/>
  <c r="BU702" i="13"/>
  <c r="BM702" i="13"/>
  <c r="BE702" i="13"/>
  <c r="BT702" i="13"/>
  <c r="V706" i="13"/>
  <c r="AK707" i="13"/>
  <c r="BA707" i="13"/>
  <c r="BE708" i="13"/>
  <c r="BB724" i="13"/>
  <c r="AT724" i="13"/>
  <c r="AL724" i="13"/>
  <c r="BA724" i="13"/>
  <c r="AS724" i="13"/>
  <c r="AK724" i="13"/>
  <c r="AY724" i="13"/>
  <c r="AO724" i="13"/>
  <c r="AX724" i="13"/>
  <c r="AN724" i="13"/>
  <c r="AW724" i="13"/>
  <c r="AM724" i="13"/>
  <c r="AV724" i="13"/>
  <c r="AJ724" i="13"/>
  <c r="AQ724" i="13"/>
  <c r="AZ724" i="13"/>
  <c r="AP724" i="13"/>
  <c r="AA726" i="13"/>
  <c r="AC726" i="13" s="1"/>
  <c r="AT728" i="13"/>
  <c r="AV732" i="13"/>
  <c r="BL666" i="13"/>
  <c r="AQ670" i="13"/>
  <c r="BL674" i="13"/>
  <c r="BB678" i="13"/>
  <c r="AT678" i="13"/>
  <c r="AL678" i="13"/>
  <c r="AR678" i="13"/>
  <c r="BA678" i="13"/>
  <c r="BP679" i="13"/>
  <c r="BH679" i="13"/>
  <c r="BM679" i="13"/>
  <c r="BV679" i="13"/>
  <c r="BA681" i="13"/>
  <c r="AS681" i="13"/>
  <c r="AK681" i="13"/>
  <c r="AR681" i="13"/>
  <c r="BB681" i="13"/>
  <c r="BF682" i="13"/>
  <c r="BP682" i="13"/>
  <c r="AU683" i="13"/>
  <c r="AM683" i="13"/>
  <c r="BB683" i="13"/>
  <c r="AT683" i="13"/>
  <c r="AR683" i="13"/>
  <c r="AV688" i="13"/>
  <c r="AN688" i="13"/>
  <c r="AU688" i="13"/>
  <c r="AM688" i="13"/>
  <c r="AS688" i="13"/>
  <c r="BA689" i="13"/>
  <c r="AS689" i="13"/>
  <c r="AK689" i="13"/>
  <c r="AZ689" i="13"/>
  <c r="AR689" i="13"/>
  <c r="AJ689" i="13"/>
  <c r="AU689" i="13"/>
  <c r="BF689" i="13"/>
  <c r="BP689" i="13"/>
  <c r="BV693" i="13"/>
  <c r="BN693" i="13"/>
  <c r="BF693" i="13"/>
  <c r="BU693" i="13"/>
  <c r="BM693" i="13"/>
  <c r="BE693" i="13"/>
  <c r="BP693" i="13"/>
  <c r="BH693" i="13"/>
  <c r="BR693" i="13"/>
  <c r="BS694" i="13"/>
  <c r="BK694" i="13"/>
  <c r="BR694" i="13"/>
  <c r="BJ694" i="13"/>
  <c r="BU694" i="13"/>
  <c r="BM694" i="13"/>
  <c r="BE694" i="13"/>
  <c r="BP694" i="13"/>
  <c r="BP695" i="13"/>
  <c r="BH695" i="13"/>
  <c r="BW695" i="13"/>
  <c r="BO695" i="13"/>
  <c r="BG695" i="13"/>
  <c r="BR695" i="13"/>
  <c r="BJ695" i="13"/>
  <c r="BQ695" i="13"/>
  <c r="BA705" i="13"/>
  <c r="AS705" i="13"/>
  <c r="AK705" i="13"/>
  <c r="AZ705" i="13"/>
  <c r="AR705" i="13"/>
  <c r="AJ705" i="13"/>
  <c r="AX705" i="13"/>
  <c r="AP705" i="13"/>
  <c r="AU705" i="13"/>
  <c r="AM705" i="13"/>
  <c r="AY705" i="13"/>
  <c r="AB718" i="13"/>
  <c r="AA718" i="13"/>
  <c r="AC718" i="13" s="1"/>
  <c r="AR724" i="13"/>
  <c r="AW732" i="13"/>
  <c r="AX739" i="13"/>
  <c r="AP739" i="13"/>
  <c r="AW739" i="13"/>
  <c r="AO739" i="13"/>
  <c r="AV739" i="13"/>
  <c r="AN739" i="13"/>
  <c r="AU739" i="13"/>
  <c r="AM739" i="13"/>
  <c r="AR739" i="13"/>
  <c r="AQ739" i="13"/>
  <c r="BB739" i="13"/>
  <c r="AL739" i="13"/>
  <c r="BA739" i="13"/>
  <c r="AK739" i="13"/>
  <c r="AT739" i="13"/>
  <c r="AS739" i="13"/>
  <c r="BP752" i="13"/>
  <c r="BH752" i="13"/>
  <c r="BW752" i="13"/>
  <c r="BO752" i="13"/>
  <c r="BG752" i="13"/>
  <c r="BV752" i="13"/>
  <c r="BN752" i="13"/>
  <c r="BF752" i="13"/>
  <c r="BU752" i="13"/>
  <c r="BM752" i="13"/>
  <c r="BE752" i="13"/>
  <c r="BR752" i="13"/>
  <c r="BJ752" i="13"/>
  <c r="BQ752" i="13"/>
  <c r="BI752" i="13"/>
  <c r="BT752" i="13"/>
  <c r="BS752" i="13"/>
  <c r="BL752" i="13"/>
  <c r="BK752" i="13"/>
  <c r="V718" i="13"/>
  <c r="U718" i="13"/>
  <c r="W718" i="13" s="1"/>
  <c r="BR727" i="13"/>
  <c r="BJ727" i="13"/>
  <c r="BQ727" i="13"/>
  <c r="BI727" i="13"/>
  <c r="BP727" i="13"/>
  <c r="BH727" i="13"/>
  <c r="BO727" i="13"/>
  <c r="BS764" i="13"/>
  <c r="BK764" i="13"/>
  <c r="BQ764" i="13"/>
  <c r="BI764" i="13"/>
  <c r="BU764" i="13"/>
  <c r="BM764" i="13"/>
  <c r="BE764" i="13"/>
  <c r="BW764" i="13"/>
  <c r="BJ764" i="13"/>
  <c r="BV764" i="13"/>
  <c r="BH764" i="13"/>
  <c r="BT764" i="13"/>
  <c r="BG764" i="13"/>
  <c r="BR764" i="13"/>
  <c r="BF764" i="13"/>
  <c r="BN764" i="13"/>
  <c r="BL764" i="13"/>
  <c r="BA778" i="13"/>
  <c r="AS778" i="13"/>
  <c r="AK778" i="13"/>
  <c r="AZ778" i="13"/>
  <c r="AR778" i="13"/>
  <c r="AJ778" i="13"/>
  <c r="AX778" i="13"/>
  <c r="AP778" i="13"/>
  <c r="BB778" i="13"/>
  <c r="AT778" i="13"/>
  <c r="AL778" i="13"/>
  <c r="AU778" i="13"/>
  <c r="AQ778" i="13"/>
  <c r="AO778" i="13"/>
  <c r="AN778" i="13"/>
  <c r="AW778" i="13"/>
  <c r="AV778" i="13"/>
  <c r="AQ693" i="13"/>
  <c r="AY693" i="13"/>
  <c r="BL697" i="13"/>
  <c r="BT697" i="13"/>
  <c r="BI698" i="13"/>
  <c r="BQ698" i="13"/>
  <c r="AQ701" i="13"/>
  <c r="AY701" i="13"/>
  <c r="AN702" i="13"/>
  <c r="AV702" i="13"/>
  <c r="BL705" i="13"/>
  <c r="BT705" i="13"/>
  <c r="BI706" i="13"/>
  <c r="BQ706" i="13"/>
  <c r="AQ709" i="13"/>
  <c r="AY709" i="13"/>
  <c r="BH709" i="13"/>
  <c r="BP709" i="13"/>
  <c r="AN710" i="13"/>
  <c r="AV710" i="13"/>
  <c r="AN711" i="13"/>
  <c r="AW711" i="13"/>
  <c r="AX712" i="13"/>
  <c r="AP712" i="13"/>
  <c r="AR712" i="13"/>
  <c r="BA712" i="13"/>
  <c r="AP713" i="13"/>
  <c r="AM715" i="13"/>
  <c r="AY715" i="13"/>
  <c r="BJ715" i="13"/>
  <c r="BT715" i="13"/>
  <c r="AP716" i="13"/>
  <c r="AV718" i="13"/>
  <c r="AN718" i="13"/>
  <c r="AU718" i="13"/>
  <c r="AM718" i="13"/>
  <c r="AS718" i="13"/>
  <c r="BA719" i="13"/>
  <c r="AS719" i="13"/>
  <c r="AK719" i="13"/>
  <c r="AZ719" i="13"/>
  <c r="AR719" i="13"/>
  <c r="AJ719" i="13"/>
  <c r="AU719" i="13"/>
  <c r="AP721" i="13"/>
  <c r="BJ722" i="13"/>
  <c r="BT722" i="13"/>
  <c r="AP723" i="13"/>
  <c r="BK723" i="13"/>
  <c r="BS724" i="13"/>
  <c r="BK724" i="13"/>
  <c r="BR724" i="13"/>
  <c r="BJ724" i="13"/>
  <c r="BN724" i="13"/>
  <c r="BE727" i="13"/>
  <c r="BS727" i="13"/>
  <c r="BW728" i="13"/>
  <c r="BO728" i="13"/>
  <c r="BG728" i="13"/>
  <c r="BV728" i="13"/>
  <c r="BN728" i="13"/>
  <c r="BF728" i="13"/>
  <c r="BU728" i="13"/>
  <c r="BM728" i="13"/>
  <c r="BE728" i="13"/>
  <c r="BR728" i="13"/>
  <c r="AW731" i="13"/>
  <c r="AO731" i="13"/>
  <c r="AV731" i="13"/>
  <c r="AN731" i="13"/>
  <c r="AU731" i="13"/>
  <c r="AM731" i="13"/>
  <c r="AT731" i="13"/>
  <c r="AW734" i="13"/>
  <c r="AO734" i="13"/>
  <c r="AV734" i="13"/>
  <c r="AN734" i="13"/>
  <c r="AU734" i="13"/>
  <c r="AM734" i="13"/>
  <c r="BB734" i="13"/>
  <c r="AT734" i="13"/>
  <c r="AL734" i="13"/>
  <c r="AY734" i="13"/>
  <c r="AU740" i="13"/>
  <c r="AM740" i="13"/>
  <c r="BB740" i="13"/>
  <c r="AT740" i="13"/>
  <c r="AL740" i="13"/>
  <c r="BA740" i="13"/>
  <c r="AS740" i="13"/>
  <c r="AK740" i="13"/>
  <c r="AZ740" i="13"/>
  <c r="AR740" i="13"/>
  <c r="AJ740" i="13"/>
  <c r="AY740" i="13"/>
  <c r="BM741" i="13"/>
  <c r="AU748" i="13"/>
  <c r="AM748" i="13"/>
  <c r="BB748" i="13"/>
  <c r="AT748" i="13"/>
  <c r="AL748" i="13"/>
  <c r="BA748" i="13"/>
  <c r="AS748" i="13"/>
  <c r="AK748" i="13"/>
  <c r="AZ748" i="13"/>
  <c r="AR748" i="13"/>
  <c r="AJ748" i="13"/>
  <c r="AW748" i="13"/>
  <c r="AO748" i="13"/>
  <c r="AV748" i="13"/>
  <c r="AN748" i="13"/>
  <c r="BQ749" i="13"/>
  <c r="BI749" i="13"/>
  <c r="BP749" i="13"/>
  <c r="BH749" i="13"/>
  <c r="BW749" i="13"/>
  <c r="BO749" i="13"/>
  <c r="BG749" i="13"/>
  <c r="BV749" i="13"/>
  <c r="BN749" i="13"/>
  <c r="BF749" i="13"/>
  <c r="BS749" i="13"/>
  <c r="BK749" i="13"/>
  <c r="BR749" i="13"/>
  <c r="BJ749" i="13"/>
  <c r="U752" i="13"/>
  <c r="W752" i="13" s="1"/>
  <c r="U760" i="13"/>
  <c r="W760" i="13" s="1"/>
  <c r="BO764" i="13"/>
  <c r="V776" i="13"/>
  <c r="U776" i="13"/>
  <c r="W776" i="13" s="1"/>
  <c r="AM778" i="13"/>
  <c r="BU779" i="13"/>
  <c r="BM779" i="13"/>
  <c r="BE779" i="13"/>
  <c r="BR779" i="13"/>
  <c r="BI779" i="13"/>
  <c r="BQ779" i="13"/>
  <c r="BH779" i="13"/>
  <c r="BO779" i="13"/>
  <c r="BF779" i="13"/>
  <c r="BS779" i="13"/>
  <c r="BJ779" i="13"/>
  <c r="BP779" i="13"/>
  <c r="BN779" i="13"/>
  <c r="BL779" i="13"/>
  <c r="BK779" i="13"/>
  <c r="BV779" i="13"/>
  <c r="BT779" i="13"/>
  <c r="BL698" i="13"/>
  <c r="BT698" i="13"/>
  <c r="AQ702" i="13"/>
  <c r="AY702" i="13"/>
  <c r="BL706" i="13"/>
  <c r="BT706" i="13"/>
  <c r="BK709" i="13"/>
  <c r="BS709" i="13"/>
  <c r="AQ710" i="13"/>
  <c r="AY710" i="13"/>
  <c r="AQ711" i="13"/>
  <c r="AU713" i="13"/>
  <c r="AM713" i="13"/>
  <c r="BB713" i="13"/>
  <c r="AT713" i="13"/>
  <c r="AL713" i="13"/>
  <c r="AS713" i="13"/>
  <c r="AR715" i="13"/>
  <c r="BB716" i="13"/>
  <c r="AT716" i="13"/>
  <c r="AL716" i="13"/>
  <c r="BA716" i="13"/>
  <c r="AS716" i="13"/>
  <c r="AK716" i="13"/>
  <c r="AU716" i="13"/>
  <c r="AU721" i="13"/>
  <c r="AM721" i="13"/>
  <c r="BB721" i="13"/>
  <c r="AT721" i="13"/>
  <c r="AL721" i="13"/>
  <c r="AS721" i="13"/>
  <c r="BM722" i="13"/>
  <c r="AW723" i="13"/>
  <c r="AO723" i="13"/>
  <c r="AV723" i="13"/>
  <c r="AN723" i="13"/>
  <c r="AS723" i="13"/>
  <c r="BV723" i="13"/>
  <c r="BN723" i="13"/>
  <c r="BF723" i="13"/>
  <c r="BU723" i="13"/>
  <c r="BM723" i="13"/>
  <c r="BE723" i="13"/>
  <c r="BP723" i="13"/>
  <c r="BK727" i="13"/>
  <c r="BV727" i="13"/>
  <c r="BP736" i="13"/>
  <c r="BH736" i="13"/>
  <c r="BW736" i="13"/>
  <c r="BO736" i="13"/>
  <c r="BG736" i="13"/>
  <c r="BV736" i="13"/>
  <c r="BN736" i="13"/>
  <c r="BF736" i="13"/>
  <c r="BU736" i="13"/>
  <c r="BM736" i="13"/>
  <c r="BE736" i="13"/>
  <c r="BT736" i="13"/>
  <c r="BR738" i="13"/>
  <c r="BJ738" i="13"/>
  <c r="BQ738" i="13"/>
  <c r="BI738" i="13"/>
  <c r="BP738" i="13"/>
  <c r="BH738" i="13"/>
  <c r="BW738" i="13"/>
  <c r="BO738" i="13"/>
  <c r="BG738" i="13"/>
  <c r="BT738" i="13"/>
  <c r="AV745" i="13"/>
  <c r="AN745" i="13"/>
  <c r="AU745" i="13"/>
  <c r="AM745" i="13"/>
  <c r="BB745" i="13"/>
  <c r="AT745" i="13"/>
  <c r="AL745" i="13"/>
  <c r="BA745" i="13"/>
  <c r="AS745" i="13"/>
  <c r="AK745" i="13"/>
  <c r="AX745" i="13"/>
  <c r="AP745" i="13"/>
  <c r="AW745" i="13"/>
  <c r="AO745" i="13"/>
  <c r="AE752" i="13"/>
  <c r="AV753" i="13"/>
  <c r="AN753" i="13"/>
  <c r="AU753" i="13"/>
  <c r="AM753" i="13"/>
  <c r="BB753" i="13"/>
  <c r="AT753" i="13"/>
  <c r="AL753" i="13"/>
  <c r="BA753" i="13"/>
  <c r="AS753" i="13"/>
  <c r="AK753" i="13"/>
  <c r="AX753" i="13"/>
  <c r="AP753" i="13"/>
  <c r="AW753" i="13"/>
  <c r="AO753" i="13"/>
  <c r="AB756" i="13"/>
  <c r="AE756" i="13" s="1"/>
  <c r="AA756" i="13"/>
  <c r="AC756" i="13" s="1"/>
  <c r="AE760" i="13"/>
  <c r="BL709" i="13"/>
  <c r="BT709" i="13"/>
  <c r="BA711" i="13"/>
  <c r="AS711" i="13"/>
  <c r="AK711" i="13"/>
  <c r="AR711" i="13"/>
  <c r="BB711" i="13"/>
  <c r="AW715" i="13"/>
  <c r="AO715" i="13"/>
  <c r="AV715" i="13"/>
  <c r="AN715" i="13"/>
  <c r="AS715" i="13"/>
  <c r="BV715" i="13"/>
  <c r="BN715" i="13"/>
  <c r="BF715" i="13"/>
  <c r="BU715" i="13"/>
  <c r="BM715" i="13"/>
  <c r="BE715" i="13"/>
  <c r="BP715" i="13"/>
  <c r="BQ722" i="13"/>
  <c r="BI722" i="13"/>
  <c r="BP722" i="13"/>
  <c r="BH722" i="13"/>
  <c r="BN722" i="13"/>
  <c r="BL727" i="13"/>
  <c r="BW727" i="13"/>
  <c r="V739" i="13"/>
  <c r="U739" i="13"/>
  <c r="W739" i="13" s="1"/>
  <c r="AB740" i="13"/>
  <c r="AA740" i="13"/>
  <c r="AC740" i="13" s="1"/>
  <c r="BQ741" i="13"/>
  <c r="BI741" i="13"/>
  <c r="BP741" i="13"/>
  <c r="BH741" i="13"/>
  <c r="BW741" i="13"/>
  <c r="BO741" i="13"/>
  <c r="BG741" i="13"/>
  <c r="BV741" i="13"/>
  <c r="BN741" i="13"/>
  <c r="BF741" i="13"/>
  <c r="BR741" i="13"/>
  <c r="BJ741" i="13"/>
  <c r="BP744" i="13"/>
  <c r="BH744" i="13"/>
  <c r="BW744" i="13"/>
  <c r="BO744" i="13"/>
  <c r="BG744" i="13"/>
  <c r="BV744" i="13"/>
  <c r="BN744" i="13"/>
  <c r="BF744" i="13"/>
  <c r="BU744" i="13"/>
  <c r="BM744" i="13"/>
  <c r="BE744" i="13"/>
  <c r="BR744" i="13"/>
  <c r="BJ744" i="13"/>
  <c r="BQ744" i="13"/>
  <c r="BI744" i="13"/>
  <c r="V747" i="13"/>
  <c r="U747" i="13"/>
  <c r="W747" i="13" s="1"/>
  <c r="V764" i="13"/>
  <c r="U764" i="13"/>
  <c r="W764" i="13" s="1"/>
  <c r="AV774" i="13"/>
  <c r="AN774" i="13"/>
  <c r="BB774" i="13"/>
  <c r="AT774" i="13"/>
  <c r="AL774" i="13"/>
  <c r="AX774" i="13"/>
  <c r="AP774" i="13"/>
  <c r="BA774" i="13"/>
  <c r="AO774" i="13"/>
  <c r="AZ774" i="13"/>
  <c r="AM774" i="13"/>
  <c r="AY774" i="13"/>
  <c r="AK774" i="13"/>
  <c r="AW774" i="13"/>
  <c r="AJ774" i="13"/>
  <c r="AR774" i="13"/>
  <c r="AQ774" i="13"/>
  <c r="AQ684" i="13"/>
  <c r="AY684" i="13"/>
  <c r="BL688" i="13"/>
  <c r="BT688" i="13"/>
  <c r="AQ692" i="13"/>
  <c r="AY692" i="13"/>
  <c r="AN693" i="13"/>
  <c r="AV693" i="13"/>
  <c r="BL696" i="13"/>
  <c r="BT696" i="13"/>
  <c r="BI697" i="13"/>
  <c r="BQ697" i="13"/>
  <c r="BF698" i="13"/>
  <c r="BN698" i="13"/>
  <c r="BV698" i="13"/>
  <c r="AQ700" i="13"/>
  <c r="AY700" i="13"/>
  <c r="AN701" i="13"/>
  <c r="AV701" i="13"/>
  <c r="AK702" i="13"/>
  <c r="AS702" i="13"/>
  <c r="BA702" i="13"/>
  <c r="BL704" i="13"/>
  <c r="BT704" i="13"/>
  <c r="BI705" i="13"/>
  <c r="BQ705" i="13"/>
  <c r="BF706" i="13"/>
  <c r="BN706" i="13"/>
  <c r="BV706" i="13"/>
  <c r="AQ708" i="13"/>
  <c r="AY708" i="13"/>
  <c r="AN709" i="13"/>
  <c r="AV709" i="13"/>
  <c r="BE709" i="13"/>
  <c r="BM709" i="13"/>
  <c r="BU709" i="13"/>
  <c r="AK710" i="13"/>
  <c r="AS710" i="13"/>
  <c r="BA710" i="13"/>
  <c r="AJ711" i="13"/>
  <c r="AT711" i="13"/>
  <c r="BR711" i="13"/>
  <c r="BJ711" i="13"/>
  <c r="BM711" i="13"/>
  <c r="BV711" i="13"/>
  <c r="AN712" i="13"/>
  <c r="AW712" i="13"/>
  <c r="AK713" i="13"/>
  <c r="AW713" i="13"/>
  <c r="BQ714" i="13"/>
  <c r="BI714" i="13"/>
  <c r="BP714" i="13"/>
  <c r="BH714" i="13"/>
  <c r="BN714" i="13"/>
  <c r="AJ715" i="13"/>
  <c r="AT715" i="13"/>
  <c r="BG715" i="13"/>
  <c r="BQ715" i="13"/>
  <c r="AM716" i="13"/>
  <c r="AW716" i="13"/>
  <c r="AP718" i="13"/>
  <c r="AZ718" i="13"/>
  <c r="AP719" i="13"/>
  <c r="BB719" i="13"/>
  <c r="U720" i="13"/>
  <c r="W720" i="13" s="1"/>
  <c r="AX720" i="13"/>
  <c r="AP720" i="13"/>
  <c r="AW720" i="13"/>
  <c r="AO720" i="13"/>
  <c r="AS720" i="13"/>
  <c r="BW720" i="13"/>
  <c r="BO720" i="13"/>
  <c r="BG720" i="13"/>
  <c r="BV720" i="13"/>
  <c r="BN720" i="13"/>
  <c r="BF720" i="13"/>
  <c r="BP720" i="13"/>
  <c r="AK721" i="13"/>
  <c r="AW721" i="13"/>
  <c r="BE722" i="13"/>
  <c r="BO722" i="13"/>
  <c r="AK723" i="13"/>
  <c r="AU723" i="13"/>
  <c r="BH723" i="13"/>
  <c r="BR723" i="13"/>
  <c r="AA724" i="13"/>
  <c r="AC724" i="13" s="1"/>
  <c r="BI724" i="13"/>
  <c r="BU724" i="13"/>
  <c r="BM727" i="13"/>
  <c r="BL728" i="13"/>
  <c r="AQ731" i="13"/>
  <c r="BB731" i="13"/>
  <c r="AB732" i="13"/>
  <c r="AE732" i="13" s="1"/>
  <c r="AA732" i="13"/>
  <c r="AC732" i="13" s="1"/>
  <c r="BS732" i="13"/>
  <c r="BK732" i="13"/>
  <c r="BR732" i="13"/>
  <c r="BJ732" i="13"/>
  <c r="BQ732" i="13"/>
  <c r="BI732" i="13"/>
  <c r="BO732" i="13"/>
  <c r="AA734" i="13"/>
  <c r="AC734" i="13" s="1"/>
  <c r="AR734" i="13"/>
  <c r="BJ736" i="13"/>
  <c r="BF738" i="13"/>
  <c r="BV738" i="13"/>
  <c r="AV740" i="13"/>
  <c r="BE741" i="13"/>
  <c r="BK744" i="13"/>
  <c r="AQ745" i="13"/>
  <c r="BU749" i="13"/>
  <c r="AQ753" i="13"/>
  <c r="AU756" i="13"/>
  <c r="AM756" i="13"/>
  <c r="BB756" i="13"/>
  <c r="AT756" i="13"/>
  <c r="AL756" i="13"/>
  <c r="BA756" i="13"/>
  <c r="AS756" i="13"/>
  <c r="AK756" i="13"/>
  <c r="AZ756" i="13"/>
  <c r="AR756" i="13"/>
  <c r="AJ756" i="13"/>
  <c r="AW756" i="13"/>
  <c r="AO756" i="13"/>
  <c r="AV756" i="13"/>
  <c r="AN756" i="13"/>
  <c r="BQ757" i="13"/>
  <c r="BI757" i="13"/>
  <c r="BP757" i="13"/>
  <c r="BH757" i="13"/>
  <c r="BW757" i="13"/>
  <c r="BO757" i="13"/>
  <c r="BG757" i="13"/>
  <c r="BV757" i="13"/>
  <c r="BN757" i="13"/>
  <c r="BF757" i="13"/>
  <c r="BS757" i="13"/>
  <c r="BK757" i="13"/>
  <c r="BR757" i="13"/>
  <c r="BJ757" i="13"/>
  <c r="AS774" i="13"/>
  <c r="AQ679" i="13"/>
  <c r="BL683" i="13"/>
  <c r="AJ684" i="13"/>
  <c r="AR684" i="13"/>
  <c r="AQ687" i="13"/>
  <c r="BE688" i="13"/>
  <c r="BM688" i="13"/>
  <c r="BL691" i="13"/>
  <c r="AJ692" i="13"/>
  <c r="AR692" i="13"/>
  <c r="AO693" i="13"/>
  <c r="AQ695" i="13"/>
  <c r="BE696" i="13"/>
  <c r="BM696" i="13"/>
  <c r="BJ697" i="13"/>
  <c r="BG698" i="13"/>
  <c r="BO698" i="13"/>
  <c r="BL699" i="13"/>
  <c r="AJ700" i="13"/>
  <c r="AR700" i="13"/>
  <c r="AO701" i="13"/>
  <c r="AL702" i="13"/>
  <c r="AT702" i="13"/>
  <c r="AQ703" i="13"/>
  <c r="BE704" i="13"/>
  <c r="BM704" i="13"/>
  <c r="BJ705" i="13"/>
  <c r="BG706" i="13"/>
  <c r="BO706" i="13"/>
  <c r="BL707" i="13"/>
  <c r="AJ708" i="13"/>
  <c r="AR708" i="13"/>
  <c r="AO709" i="13"/>
  <c r="BF709" i="13"/>
  <c r="BN709" i="13"/>
  <c r="AL710" i="13"/>
  <c r="AT710" i="13"/>
  <c r="AA711" i="13"/>
  <c r="AC711" i="13" s="1"/>
  <c r="AL711" i="13"/>
  <c r="AU711" i="13"/>
  <c r="BE711" i="13"/>
  <c r="BN711" i="13"/>
  <c r="BW711" i="13"/>
  <c r="AO712" i="13"/>
  <c r="AY712" i="13"/>
  <c r="AN713" i="13"/>
  <c r="AX713" i="13"/>
  <c r="BE714" i="13"/>
  <c r="BO714" i="13"/>
  <c r="AK715" i="13"/>
  <c r="AU715" i="13"/>
  <c r="BH715" i="13"/>
  <c r="BR715" i="13"/>
  <c r="AA716" i="13"/>
  <c r="AC716" i="13" s="1"/>
  <c r="AN716" i="13"/>
  <c r="AX716" i="13"/>
  <c r="AQ718" i="13"/>
  <c r="BA718" i="13"/>
  <c r="AQ719" i="13"/>
  <c r="BR719" i="13"/>
  <c r="BJ719" i="13"/>
  <c r="BQ719" i="13"/>
  <c r="BI719" i="13"/>
  <c r="BN719" i="13"/>
  <c r="AJ720" i="13"/>
  <c r="AT720" i="13"/>
  <c r="BE720" i="13"/>
  <c r="BQ720" i="13"/>
  <c r="AN721" i="13"/>
  <c r="AX721" i="13"/>
  <c r="BF722" i="13"/>
  <c r="BR722" i="13"/>
  <c r="AL723" i="13"/>
  <c r="AX723" i="13"/>
  <c r="BI723" i="13"/>
  <c r="BS723" i="13"/>
  <c r="BL724" i="13"/>
  <c r="BV724" i="13"/>
  <c r="AV726" i="13"/>
  <c r="AN726" i="13"/>
  <c r="AU726" i="13"/>
  <c r="AM726" i="13"/>
  <c r="BB726" i="13"/>
  <c r="AT726" i="13"/>
  <c r="AL726" i="13"/>
  <c r="AW726" i="13"/>
  <c r="BN727" i="13"/>
  <c r="BP728" i="13"/>
  <c r="BQ730" i="13"/>
  <c r="BI730" i="13"/>
  <c r="BP730" i="13"/>
  <c r="BH730" i="13"/>
  <c r="BW730" i="13"/>
  <c r="BO730" i="13"/>
  <c r="BG730" i="13"/>
  <c r="BR730" i="13"/>
  <c r="AR731" i="13"/>
  <c r="BE732" i="13"/>
  <c r="BP732" i="13"/>
  <c r="AS734" i="13"/>
  <c r="BS735" i="13"/>
  <c r="BK735" i="13"/>
  <c r="BR735" i="13"/>
  <c r="BJ735" i="13"/>
  <c r="BQ735" i="13"/>
  <c r="BI735" i="13"/>
  <c r="BP735" i="13"/>
  <c r="BH735" i="13"/>
  <c r="BT735" i="13"/>
  <c r="BK736" i="13"/>
  <c r="BK738" i="13"/>
  <c r="AW740" i="13"/>
  <c r="BK741" i="13"/>
  <c r="AW742" i="13"/>
  <c r="AO742" i="13"/>
  <c r="AV742" i="13"/>
  <c r="AN742" i="13"/>
  <c r="AU742" i="13"/>
  <c r="AM742" i="13"/>
  <c r="BB742" i="13"/>
  <c r="AT742" i="13"/>
  <c r="AL742" i="13"/>
  <c r="AX742" i="13"/>
  <c r="AP742" i="13"/>
  <c r="BA742" i="13"/>
  <c r="BL744" i="13"/>
  <c r="AR745" i="13"/>
  <c r="AB748" i="13"/>
  <c r="AA748" i="13"/>
  <c r="AC748" i="13" s="1"/>
  <c r="AR753" i="13"/>
  <c r="AP756" i="13"/>
  <c r="AU774" i="13"/>
  <c r="BL743" i="13"/>
  <c r="BT743" i="13"/>
  <c r="AQ747" i="13"/>
  <c r="AY747" i="13"/>
  <c r="BL751" i="13"/>
  <c r="BT751" i="13"/>
  <c r="AQ755" i="13"/>
  <c r="AY755" i="13"/>
  <c r="BL759" i="13"/>
  <c r="BT759" i="13"/>
  <c r="BA761" i="13"/>
  <c r="AS761" i="13"/>
  <c r="AK761" i="13"/>
  <c r="AW761" i="13"/>
  <c r="AO761" i="13"/>
  <c r="AT761" i="13"/>
  <c r="AU769" i="13"/>
  <c r="AM769" i="13"/>
  <c r="BA769" i="13"/>
  <c r="AS769" i="13"/>
  <c r="AK769" i="13"/>
  <c r="AW769" i="13"/>
  <c r="AO769" i="13"/>
  <c r="AV769" i="13"/>
  <c r="BU774" i="13"/>
  <c r="BM774" i="13"/>
  <c r="BE774" i="13"/>
  <c r="BS774" i="13"/>
  <c r="BK774" i="13"/>
  <c r="BW774" i="13"/>
  <c r="BO774" i="13"/>
  <c r="BG774" i="13"/>
  <c r="BQ774" i="13"/>
  <c r="U803" i="13"/>
  <c r="W803" i="13" s="1"/>
  <c r="V803" i="13"/>
  <c r="BL746" i="13"/>
  <c r="BT746" i="13"/>
  <c r="AJ747" i="13"/>
  <c r="AR747" i="13"/>
  <c r="AZ747" i="13"/>
  <c r="AQ750" i="13"/>
  <c r="AY750" i="13"/>
  <c r="BE751" i="13"/>
  <c r="BM751" i="13"/>
  <c r="BU751" i="13"/>
  <c r="BL754" i="13"/>
  <c r="BT754" i="13"/>
  <c r="AJ755" i="13"/>
  <c r="AR755" i="13"/>
  <c r="AZ755" i="13"/>
  <c r="AQ758" i="13"/>
  <c r="AY758" i="13"/>
  <c r="BE759" i="13"/>
  <c r="BM759" i="13"/>
  <c r="BU759" i="13"/>
  <c r="BU760" i="13"/>
  <c r="BM760" i="13"/>
  <c r="BE760" i="13"/>
  <c r="BQ760" i="13"/>
  <c r="BI760" i="13"/>
  <c r="BO760" i="13"/>
  <c r="AJ761" i="13"/>
  <c r="AU761" i="13"/>
  <c r="AV766" i="13"/>
  <c r="AN766" i="13"/>
  <c r="BB766" i="13"/>
  <c r="AT766" i="13"/>
  <c r="AL766" i="13"/>
  <c r="AX766" i="13"/>
  <c r="AP766" i="13"/>
  <c r="AU766" i="13"/>
  <c r="V767" i="13"/>
  <c r="AX768" i="13"/>
  <c r="AP768" i="13"/>
  <c r="AV768" i="13"/>
  <c r="AN768" i="13"/>
  <c r="AZ768" i="13"/>
  <c r="AR768" i="13"/>
  <c r="AJ768" i="13"/>
  <c r="AU768" i="13"/>
  <c r="V769" i="13"/>
  <c r="AJ769" i="13"/>
  <c r="AX769" i="13"/>
  <c r="AZ770" i="13"/>
  <c r="AR770" i="13"/>
  <c r="AJ770" i="13"/>
  <c r="AX770" i="13"/>
  <c r="AP770" i="13"/>
  <c r="BB770" i="13"/>
  <c r="AT770" i="13"/>
  <c r="AL770" i="13"/>
  <c r="AV770" i="13"/>
  <c r="V771" i="13"/>
  <c r="AE771" i="13" s="1"/>
  <c r="BB772" i="13"/>
  <c r="AT772" i="13"/>
  <c r="AL772" i="13"/>
  <c r="AZ772" i="13"/>
  <c r="AR772" i="13"/>
  <c r="AJ772" i="13"/>
  <c r="AV772" i="13"/>
  <c r="AN772" i="13"/>
  <c r="AW772" i="13"/>
  <c r="BF774" i="13"/>
  <c r="BR774" i="13"/>
  <c r="AA777" i="13"/>
  <c r="AC777" i="13" s="1"/>
  <c r="AF779" i="13"/>
  <c r="AQ727" i="13"/>
  <c r="AY727" i="13"/>
  <c r="BL731" i="13"/>
  <c r="BT731" i="13"/>
  <c r="AQ735" i="13"/>
  <c r="AY735" i="13"/>
  <c r="AN736" i="13"/>
  <c r="AV736" i="13"/>
  <c r="BL739" i="13"/>
  <c r="BT739" i="13"/>
  <c r="BI740" i="13"/>
  <c r="BQ740" i="13"/>
  <c r="AQ743" i="13"/>
  <c r="AY743" i="13"/>
  <c r="BH743" i="13"/>
  <c r="BP743" i="13"/>
  <c r="AN744" i="13"/>
  <c r="AV744" i="13"/>
  <c r="BG746" i="13"/>
  <c r="BO746" i="13"/>
  <c r="BW746" i="13"/>
  <c r="AM747" i="13"/>
  <c r="AU747" i="13"/>
  <c r="BL747" i="13"/>
  <c r="BT747" i="13"/>
  <c r="BI748" i="13"/>
  <c r="BQ748" i="13"/>
  <c r="AL750" i="13"/>
  <c r="AT750" i="13"/>
  <c r="BB750" i="13"/>
  <c r="AQ751" i="13"/>
  <c r="AY751" i="13"/>
  <c r="BH751" i="13"/>
  <c r="BP751" i="13"/>
  <c r="AN752" i="13"/>
  <c r="AV752" i="13"/>
  <c r="BG754" i="13"/>
  <c r="BO754" i="13"/>
  <c r="BW754" i="13"/>
  <c r="AM755" i="13"/>
  <c r="AU755" i="13"/>
  <c r="BL755" i="13"/>
  <c r="BT755" i="13"/>
  <c r="BI756" i="13"/>
  <c r="BQ756" i="13"/>
  <c r="AL758" i="13"/>
  <c r="AT758" i="13"/>
  <c r="BB758" i="13"/>
  <c r="AQ759" i="13"/>
  <c r="AY759" i="13"/>
  <c r="BH759" i="13"/>
  <c r="BP759" i="13"/>
  <c r="AO760" i="13"/>
  <c r="AX760" i="13"/>
  <c r="BH760" i="13"/>
  <c r="BS760" i="13"/>
  <c r="AN761" i="13"/>
  <c r="AY761" i="13"/>
  <c r="BK761" i="13"/>
  <c r="BU761" i="13"/>
  <c r="AM766" i="13"/>
  <c r="AZ766" i="13"/>
  <c r="AM768" i="13"/>
  <c r="BA768" i="13"/>
  <c r="AP769" i="13"/>
  <c r="BB769" i="13"/>
  <c r="AN770" i="13"/>
  <c r="BA770" i="13"/>
  <c r="AO772" i="13"/>
  <c r="BA772" i="13"/>
  <c r="BL773" i="13"/>
  <c r="BJ774" i="13"/>
  <c r="AV777" i="13"/>
  <c r="AN777" i="13"/>
  <c r="AU777" i="13"/>
  <c r="AM777" i="13"/>
  <c r="BA777" i="13"/>
  <c r="AS777" i="13"/>
  <c r="AK777" i="13"/>
  <c r="AW777" i="13"/>
  <c r="AO777" i="13"/>
  <c r="AY777" i="13"/>
  <c r="AQ714" i="13"/>
  <c r="AY714" i="13"/>
  <c r="AP717" i="13"/>
  <c r="AX717" i="13"/>
  <c r="BL718" i="13"/>
  <c r="BT718" i="13"/>
  <c r="BS721" i="13"/>
  <c r="AQ722" i="13"/>
  <c r="AY722" i="13"/>
  <c r="AP725" i="13"/>
  <c r="AX725" i="13"/>
  <c r="U726" i="13"/>
  <c r="W726" i="13" s="1"/>
  <c r="BL726" i="13"/>
  <c r="BT726" i="13"/>
  <c r="AA727" i="13"/>
  <c r="AC727" i="13" s="1"/>
  <c r="AJ727" i="13"/>
  <c r="AR727" i="13"/>
  <c r="AZ727" i="13"/>
  <c r="BS729" i="13"/>
  <c r="AQ730" i="13"/>
  <c r="AY730" i="13"/>
  <c r="BE731" i="13"/>
  <c r="BM731" i="13"/>
  <c r="BU731" i="13"/>
  <c r="AP733" i="13"/>
  <c r="AX733" i="13"/>
  <c r="U734" i="13"/>
  <c r="W734" i="13" s="1"/>
  <c r="BL734" i="13"/>
  <c r="BT734" i="13"/>
  <c r="AA735" i="13"/>
  <c r="AC735" i="13" s="1"/>
  <c r="AJ735" i="13"/>
  <c r="AR735" i="13"/>
  <c r="AZ735" i="13"/>
  <c r="AO736" i="13"/>
  <c r="AW736" i="13"/>
  <c r="BK737" i="13"/>
  <c r="BS737" i="13"/>
  <c r="AQ738" i="13"/>
  <c r="AY738" i="13"/>
  <c r="BE739" i="13"/>
  <c r="BM739" i="13"/>
  <c r="BU739" i="13"/>
  <c r="BJ740" i="13"/>
  <c r="BR740" i="13"/>
  <c r="AP741" i="13"/>
  <c r="AX741" i="13"/>
  <c r="U742" i="13"/>
  <c r="W742" i="13" s="1"/>
  <c r="BL742" i="13"/>
  <c r="BT742" i="13"/>
  <c r="AA743" i="13"/>
  <c r="AC743" i="13" s="1"/>
  <c r="AJ743" i="13"/>
  <c r="AR743" i="13"/>
  <c r="AZ743" i="13"/>
  <c r="BI743" i="13"/>
  <c r="BQ743" i="13"/>
  <c r="AO744" i="13"/>
  <c r="AW744" i="13"/>
  <c r="BK745" i="13"/>
  <c r="BS745" i="13"/>
  <c r="AQ746" i="13"/>
  <c r="AY746" i="13"/>
  <c r="BH746" i="13"/>
  <c r="BP746" i="13"/>
  <c r="AN747" i="13"/>
  <c r="AV747" i="13"/>
  <c r="BE747" i="13"/>
  <c r="BM747" i="13"/>
  <c r="BU747" i="13"/>
  <c r="BJ748" i="13"/>
  <c r="BR748" i="13"/>
  <c r="AP749" i="13"/>
  <c r="AX749" i="13"/>
  <c r="U750" i="13"/>
  <c r="W750" i="13" s="1"/>
  <c r="AM750" i="13"/>
  <c r="AU750" i="13"/>
  <c r="BL750" i="13"/>
  <c r="BT750" i="13"/>
  <c r="AA751" i="13"/>
  <c r="AC751" i="13" s="1"/>
  <c r="AJ751" i="13"/>
  <c r="AR751" i="13"/>
  <c r="AZ751" i="13"/>
  <c r="BI751" i="13"/>
  <c r="BQ751" i="13"/>
  <c r="AO752" i="13"/>
  <c r="AW752" i="13"/>
  <c r="BK753" i="13"/>
  <c r="BS753" i="13"/>
  <c r="AQ754" i="13"/>
  <c r="BH754" i="13"/>
  <c r="BP754" i="13"/>
  <c r="AN755" i="13"/>
  <c r="AV755" i="13"/>
  <c r="BE755" i="13"/>
  <c r="BM755" i="13"/>
  <c r="BU755" i="13"/>
  <c r="BJ756" i="13"/>
  <c r="BR756" i="13"/>
  <c r="AP757" i="13"/>
  <c r="AX757" i="13"/>
  <c r="U758" i="13"/>
  <c r="W758" i="13" s="1"/>
  <c r="AM758" i="13"/>
  <c r="AU758" i="13"/>
  <c r="BL758" i="13"/>
  <c r="AA759" i="13"/>
  <c r="AC759" i="13" s="1"/>
  <c r="AJ759" i="13"/>
  <c r="AR759" i="13"/>
  <c r="AZ759" i="13"/>
  <c r="BI759" i="13"/>
  <c r="BQ759" i="13"/>
  <c r="AP760" i="13"/>
  <c r="AY760" i="13"/>
  <c r="BJ760" i="13"/>
  <c r="BT760" i="13"/>
  <c r="AP761" i="13"/>
  <c r="AZ761" i="13"/>
  <c r="BL761" i="13"/>
  <c r="BW761" i="13"/>
  <c r="BW762" i="13"/>
  <c r="BO762" i="13"/>
  <c r="BG762" i="13"/>
  <c r="BS762" i="13"/>
  <c r="BK762" i="13"/>
  <c r="BN762" i="13"/>
  <c r="BB764" i="13"/>
  <c r="AZ764" i="13"/>
  <c r="AR764" i="13"/>
  <c r="AJ764" i="13"/>
  <c r="AV764" i="13"/>
  <c r="AN764" i="13"/>
  <c r="AT764" i="13"/>
  <c r="BP765" i="13"/>
  <c r="BH765" i="13"/>
  <c r="BV765" i="13"/>
  <c r="BN765" i="13"/>
  <c r="BF765" i="13"/>
  <c r="BR765" i="13"/>
  <c r="BJ765" i="13"/>
  <c r="BQ765" i="13"/>
  <c r="AA766" i="13"/>
  <c r="AC766" i="13" s="1"/>
  <c r="AO766" i="13"/>
  <c r="BA766" i="13"/>
  <c r="AB768" i="13"/>
  <c r="AE768" i="13" s="1"/>
  <c r="AO768" i="13"/>
  <c r="BB768" i="13"/>
  <c r="AQ769" i="13"/>
  <c r="AB770" i="13"/>
  <c r="AO770" i="13"/>
  <c r="BQ770" i="13"/>
  <c r="BI770" i="13"/>
  <c r="BW770" i="13"/>
  <c r="BO770" i="13"/>
  <c r="BG770" i="13"/>
  <c r="BS770" i="13"/>
  <c r="BK770" i="13"/>
  <c r="BP770" i="13"/>
  <c r="AB772" i="13"/>
  <c r="AE772" i="13" s="1"/>
  <c r="AP772" i="13"/>
  <c r="BS772" i="13"/>
  <c r="BK772" i="13"/>
  <c r="BQ772" i="13"/>
  <c r="BI772" i="13"/>
  <c r="BU772" i="13"/>
  <c r="BM772" i="13"/>
  <c r="BE772" i="13"/>
  <c r="BP772" i="13"/>
  <c r="BM773" i="13"/>
  <c r="BL774" i="13"/>
  <c r="AJ777" i="13"/>
  <c r="AZ777" i="13"/>
  <c r="V779" i="13"/>
  <c r="AE779" i="13" s="1"/>
  <c r="AB801" i="13"/>
  <c r="AE801" i="13" s="1"/>
  <c r="AA801" i="13"/>
  <c r="AC801" i="13" s="1"/>
  <c r="BL713" i="13"/>
  <c r="AJ714" i="13"/>
  <c r="AR714" i="13"/>
  <c r="AQ717" i="13"/>
  <c r="BE718" i="13"/>
  <c r="BM718" i="13"/>
  <c r="BL721" i="13"/>
  <c r="AJ722" i="13"/>
  <c r="AR722" i="13"/>
  <c r="AQ725" i="13"/>
  <c r="BE726" i="13"/>
  <c r="BM726" i="13"/>
  <c r="AK727" i="13"/>
  <c r="AS727" i="13"/>
  <c r="BL729" i="13"/>
  <c r="AJ730" i="13"/>
  <c r="AR730" i="13"/>
  <c r="BF731" i="13"/>
  <c r="BN731" i="13"/>
  <c r="AQ733" i="13"/>
  <c r="BE734" i="13"/>
  <c r="BM734" i="13"/>
  <c r="AK735" i="13"/>
  <c r="AS735" i="13"/>
  <c r="AP736" i="13"/>
  <c r="AX736" i="13"/>
  <c r="BL737" i="13"/>
  <c r="AJ738" i="13"/>
  <c r="AR738" i="13"/>
  <c r="BF739" i="13"/>
  <c r="BN739" i="13"/>
  <c r="BK740" i="13"/>
  <c r="BS740" i="13"/>
  <c r="AQ741" i="13"/>
  <c r="BE742" i="13"/>
  <c r="BM742" i="13"/>
  <c r="AK743" i="13"/>
  <c r="AS743" i="13"/>
  <c r="BJ743" i="13"/>
  <c r="BR743" i="13"/>
  <c r="AP744" i="13"/>
  <c r="AX744" i="13"/>
  <c r="BL745" i="13"/>
  <c r="AJ746" i="13"/>
  <c r="AR746" i="13"/>
  <c r="BI746" i="13"/>
  <c r="BQ746" i="13"/>
  <c r="AO747" i="13"/>
  <c r="AW747" i="13"/>
  <c r="BF747" i="13"/>
  <c r="BN747" i="13"/>
  <c r="BK748" i="13"/>
  <c r="BS748" i="13"/>
  <c r="AQ749" i="13"/>
  <c r="AN750" i="13"/>
  <c r="AV750" i="13"/>
  <c r="BE750" i="13"/>
  <c r="BM750" i="13"/>
  <c r="AK751" i="13"/>
  <c r="AS751" i="13"/>
  <c r="BJ751" i="13"/>
  <c r="BR751" i="13"/>
  <c r="AP752" i="13"/>
  <c r="AX752" i="13"/>
  <c r="BL753" i="13"/>
  <c r="BI754" i="13"/>
  <c r="BQ754" i="13"/>
  <c r="AO755" i="13"/>
  <c r="AW755" i="13"/>
  <c r="BF755" i="13"/>
  <c r="BN755" i="13"/>
  <c r="BK756" i="13"/>
  <c r="BS756" i="13"/>
  <c r="AQ757" i="13"/>
  <c r="AN758" i="13"/>
  <c r="AV758" i="13"/>
  <c r="AK759" i="13"/>
  <c r="AS759" i="13"/>
  <c r="BJ759" i="13"/>
  <c r="BR759" i="13"/>
  <c r="AQ760" i="13"/>
  <c r="BK760" i="13"/>
  <c r="BV760" i="13"/>
  <c r="AQ761" i="13"/>
  <c r="BB761" i="13"/>
  <c r="AX762" i="13"/>
  <c r="AP762" i="13"/>
  <c r="BB762" i="13"/>
  <c r="AT762" i="13"/>
  <c r="AL762" i="13"/>
  <c r="AS762" i="13"/>
  <c r="AQ766" i="13"/>
  <c r="BU766" i="13"/>
  <c r="BM766" i="13"/>
  <c r="BE766" i="13"/>
  <c r="BS766" i="13"/>
  <c r="BK766" i="13"/>
  <c r="BW766" i="13"/>
  <c r="BO766" i="13"/>
  <c r="BG766" i="13"/>
  <c r="BQ766" i="13"/>
  <c r="AQ768" i="13"/>
  <c r="BW768" i="13"/>
  <c r="BO768" i="13"/>
  <c r="BG768" i="13"/>
  <c r="BU768" i="13"/>
  <c r="BM768" i="13"/>
  <c r="BE768" i="13"/>
  <c r="BQ768" i="13"/>
  <c r="BI768" i="13"/>
  <c r="BR768" i="13"/>
  <c r="AR769" i="13"/>
  <c r="AQ770" i="13"/>
  <c r="AQ772" i="13"/>
  <c r="BN774" i="13"/>
  <c r="BP776" i="13"/>
  <c r="BH776" i="13"/>
  <c r="BW776" i="13"/>
  <c r="BO776" i="13"/>
  <c r="BG776" i="13"/>
  <c r="BU776" i="13"/>
  <c r="BM776" i="13"/>
  <c r="BE776" i="13"/>
  <c r="BQ776" i="13"/>
  <c r="BI776" i="13"/>
  <c r="BT776" i="13"/>
  <c r="V777" i="13"/>
  <c r="AE777" i="13" s="1"/>
  <c r="U777" i="13"/>
  <c r="W777" i="13" s="1"/>
  <c r="AL777" i="13"/>
  <c r="BB777" i="13"/>
  <c r="AB778" i="13"/>
  <c r="AA778" i="13"/>
  <c r="AC778" i="13" s="1"/>
  <c r="AF781" i="13"/>
  <c r="V788" i="13"/>
  <c r="U788" i="13"/>
  <c r="W788" i="13" s="1"/>
  <c r="AQ736" i="13"/>
  <c r="BL740" i="13"/>
  <c r="BK743" i="13"/>
  <c r="AQ744" i="13"/>
  <c r="BJ746" i="13"/>
  <c r="AP747" i="13"/>
  <c r="BL748" i="13"/>
  <c r="AO750" i="13"/>
  <c r="BK751" i="13"/>
  <c r="AQ752" i="13"/>
  <c r="BJ754" i="13"/>
  <c r="AP755" i="13"/>
  <c r="BL756" i="13"/>
  <c r="AO758" i="13"/>
  <c r="BK759" i="13"/>
  <c r="AV760" i="13"/>
  <c r="AN760" i="13"/>
  <c r="AR760" i="13"/>
  <c r="BA760" i="13"/>
  <c r="BL760" i="13"/>
  <c r="BW760" i="13"/>
  <c r="AR761" i="13"/>
  <c r="BR761" i="13"/>
  <c r="BJ761" i="13"/>
  <c r="BV761" i="13"/>
  <c r="BN761" i="13"/>
  <c r="BF761" i="13"/>
  <c r="BO761" i="13"/>
  <c r="AR766" i="13"/>
  <c r="AS768" i="13"/>
  <c r="AT769" i="13"/>
  <c r="AS770" i="13"/>
  <c r="AS772" i="13"/>
  <c r="BP773" i="13"/>
  <c r="BH773" i="13"/>
  <c r="BV773" i="13"/>
  <c r="BN773" i="13"/>
  <c r="BF773" i="13"/>
  <c r="BR773" i="13"/>
  <c r="BJ773" i="13"/>
  <c r="BQ773" i="13"/>
  <c r="BP774" i="13"/>
  <c r="AA784" i="13"/>
  <c r="AC784" i="13" s="1"/>
  <c r="V786" i="13"/>
  <c r="AE786" i="13" s="1"/>
  <c r="U786" i="13"/>
  <c r="W786" i="13" s="1"/>
  <c r="V812" i="13"/>
  <c r="AE812" i="13" s="1"/>
  <c r="U812" i="13"/>
  <c r="W812" i="13" s="1"/>
  <c r="AQ763" i="13"/>
  <c r="AY763" i="13"/>
  <c r="BH763" i="13"/>
  <c r="BP763" i="13"/>
  <c r="AK765" i="13"/>
  <c r="AS765" i="13"/>
  <c r="BA765" i="13"/>
  <c r="AM767" i="13"/>
  <c r="AU767" i="13"/>
  <c r="BL767" i="13"/>
  <c r="BT767" i="13"/>
  <c r="BF769" i="13"/>
  <c r="BN769" i="13"/>
  <c r="BV769" i="13"/>
  <c r="AQ771" i="13"/>
  <c r="AY771" i="13"/>
  <c r="BP771" i="13"/>
  <c r="AK773" i="13"/>
  <c r="AS773" i="13"/>
  <c r="BA773" i="13"/>
  <c r="AM775" i="13"/>
  <c r="AU775" i="13"/>
  <c r="BL775" i="13"/>
  <c r="BT775" i="13"/>
  <c r="AJ776" i="13"/>
  <c r="AR776" i="13"/>
  <c r="AZ776" i="13"/>
  <c r="BF777" i="13"/>
  <c r="BN777" i="13"/>
  <c r="BV777" i="13"/>
  <c r="AQ779" i="13"/>
  <c r="AZ779" i="13"/>
  <c r="AA780" i="13"/>
  <c r="AC780" i="13" s="1"/>
  <c r="AL780" i="13"/>
  <c r="AU780" i="13"/>
  <c r="BE780" i="13"/>
  <c r="BN780" i="13"/>
  <c r="BW780" i="13"/>
  <c r="AR781" i="13"/>
  <c r="AJ782" i="13"/>
  <c r="AV782" i="13"/>
  <c r="BM783" i="13"/>
  <c r="U784" i="13"/>
  <c r="W784" i="13" s="1"/>
  <c r="AW784" i="13"/>
  <c r="AO784" i="13"/>
  <c r="AV784" i="13"/>
  <c r="AN784" i="13"/>
  <c r="AS784" i="13"/>
  <c r="BV784" i="13"/>
  <c r="BN784" i="13"/>
  <c r="BF784" i="13"/>
  <c r="BU784" i="13"/>
  <c r="BM784" i="13"/>
  <c r="BE784" i="13"/>
  <c r="BP784" i="13"/>
  <c r="AJ785" i="13"/>
  <c r="AV785" i="13"/>
  <c r="BG785" i="13"/>
  <c r="BQ785" i="13"/>
  <c r="BP786" i="13"/>
  <c r="BH786" i="13"/>
  <c r="BW786" i="13"/>
  <c r="BO786" i="13"/>
  <c r="BG786" i="13"/>
  <c r="BN786" i="13"/>
  <c r="AK787" i="13"/>
  <c r="AW787" i="13"/>
  <c r="AB788" i="13"/>
  <c r="AA788" i="13"/>
  <c r="AC788" i="13" s="1"/>
  <c r="AM788" i="13"/>
  <c r="AW788" i="13"/>
  <c r="BH788" i="13"/>
  <c r="AN790" i="13"/>
  <c r="BA790" i="13"/>
  <c r="BK793" i="13"/>
  <c r="AQ796" i="13"/>
  <c r="BE797" i="13"/>
  <c r="BI802" i="13"/>
  <c r="BQ816" i="13"/>
  <c r="BI816" i="13"/>
  <c r="BP816" i="13"/>
  <c r="BH816" i="13"/>
  <c r="BW816" i="13"/>
  <c r="BO816" i="13"/>
  <c r="BG816" i="13"/>
  <c r="BV816" i="13"/>
  <c r="BN816" i="13"/>
  <c r="BF816" i="13"/>
  <c r="BS816" i="13"/>
  <c r="BK816" i="13"/>
  <c r="BR816" i="13"/>
  <c r="BM816" i="13"/>
  <c r="BL816" i="13"/>
  <c r="BJ816" i="13"/>
  <c r="BU816" i="13"/>
  <c r="BT816" i="13"/>
  <c r="AU823" i="13"/>
  <c r="AM823" i="13"/>
  <c r="BB823" i="13"/>
  <c r="AT823" i="13"/>
  <c r="AL823" i="13"/>
  <c r="BA823" i="13"/>
  <c r="AS823" i="13"/>
  <c r="AK823" i="13"/>
  <c r="AZ823" i="13"/>
  <c r="AR823" i="13"/>
  <c r="AJ823" i="13"/>
  <c r="AW823" i="13"/>
  <c r="AO823" i="13"/>
  <c r="AX823" i="13"/>
  <c r="AV823" i="13"/>
  <c r="AQ823" i="13"/>
  <c r="AP823" i="13"/>
  <c r="AY823" i="13"/>
  <c r="BR836" i="13"/>
  <c r="BJ836" i="13"/>
  <c r="BS836" i="13"/>
  <c r="BI836" i="13"/>
  <c r="BQ836" i="13"/>
  <c r="BH836" i="13"/>
  <c r="BP836" i="13"/>
  <c r="BG836" i="13"/>
  <c r="BO836" i="13"/>
  <c r="BF836" i="13"/>
  <c r="BU836" i="13"/>
  <c r="BL836" i="13"/>
  <c r="BT836" i="13"/>
  <c r="BK836" i="13"/>
  <c r="BW836" i="13"/>
  <c r="BV836" i="13"/>
  <c r="BN836" i="13"/>
  <c r="BM836" i="13"/>
  <c r="BS844" i="13"/>
  <c r="BK844" i="13"/>
  <c r="BR844" i="13"/>
  <c r="BJ844" i="13"/>
  <c r="BQ844" i="13"/>
  <c r="BI844" i="13"/>
  <c r="BV844" i="13"/>
  <c r="BH844" i="13"/>
  <c r="BU844" i="13"/>
  <c r="BG844" i="13"/>
  <c r="BT844" i="13"/>
  <c r="BF844" i="13"/>
  <c r="BP844" i="13"/>
  <c r="BE844" i="13"/>
  <c r="BM844" i="13"/>
  <c r="BW844" i="13"/>
  <c r="BL844" i="13"/>
  <c r="BO844" i="13"/>
  <c r="BN844" i="13"/>
  <c r="AX781" i="13"/>
  <c r="AP781" i="13"/>
  <c r="AW781" i="13"/>
  <c r="AO781" i="13"/>
  <c r="AS781" i="13"/>
  <c r="BW781" i="13"/>
  <c r="BO781" i="13"/>
  <c r="BG781" i="13"/>
  <c r="BV781" i="13"/>
  <c r="BN781" i="13"/>
  <c r="BF781" i="13"/>
  <c r="BP781" i="13"/>
  <c r="BQ783" i="13"/>
  <c r="BI783" i="13"/>
  <c r="BP783" i="13"/>
  <c r="BH783" i="13"/>
  <c r="BN783" i="13"/>
  <c r="BH785" i="13"/>
  <c r="BT785" i="13"/>
  <c r="AF800" i="13"/>
  <c r="V842" i="13"/>
  <c r="U842" i="13"/>
  <c r="W842" i="13" s="1"/>
  <c r="AF849" i="13"/>
  <c r="AM763" i="13"/>
  <c r="BL763" i="13"/>
  <c r="AO765" i="13"/>
  <c r="AW765" i="13"/>
  <c r="AQ767" i="13"/>
  <c r="BH767" i="13"/>
  <c r="BJ769" i="13"/>
  <c r="BR769" i="13"/>
  <c r="AM771" i="13"/>
  <c r="BL771" i="13"/>
  <c r="AO773" i="13"/>
  <c r="AW773" i="13"/>
  <c r="AQ775" i="13"/>
  <c r="BH775" i="13"/>
  <c r="AN776" i="13"/>
  <c r="AV776" i="13"/>
  <c r="BJ777" i="13"/>
  <c r="BR777" i="13"/>
  <c r="AM779" i="13"/>
  <c r="AU779" i="13"/>
  <c r="AP780" i="13"/>
  <c r="BI780" i="13"/>
  <c r="BS780" i="13"/>
  <c r="AL781" i="13"/>
  <c r="AV781" i="13"/>
  <c r="BI781" i="13"/>
  <c r="BS781" i="13"/>
  <c r="AP782" i="13"/>
  <c r="AZ782" i="13"/>
  <c r="BG783" i="13"/>
  <c r="BS783" i="13"/>
  <c r="AM784" i="13"/>
  <c r="AY784" i="13"/>
  <c r="BJ784" i="13"/>
  <c r="BT784" i="13"/>
  <c r="AP785" i="13"/>
  <c r="AZ785" i="13"/>
  <c r="BM785" i="13"/>
  <c r="BJ786" i="13"/>
  <c r="BT786" i="13"/>
  <c r="AQ787" i="13"/>
  <c r="BR788" i="13"/>
  <c r="BJ788" i="13"/>
  <c r="BQ788" i="13"/>
  <c r="BI788" i="13"/>
  <c r="BS788" i="13"/>
  <c r="BK788" i="13"/>
  <c r="BO788" i="13"/>
  <c r="BR789" i="13"/>
  <c r="BJ789" i="13"/>
  <c r="BT789" i="13"/>
  <c r="BK789" i="13"/>
  <c r="BS789" i="13"/>
  <c r="BI789" i="13"/>
  <c r="BU789" i="13"/>
  <c r="BL789" i="13"/>
  <c r="BP789" i="13"/>
  <c r="AW793" i="13"/>
  <c r="AO793" i="13"/>
  <c r="AX793" i="13"/>
  <c r="AN793" i="13"/>
  <c r="AV793" i="13"/>
  <c r="AM793" i="13"/>
  <c r="AZ793" i="13"/>
  <c r="AQ793" i="13"/>
  <c r="AY793" i="13"/>
  <c r="AP793" i="13"/>
  <c r="BA793" i="13"/>
  <c r="V804" i="13"/>
  <c r="AE804" i="13" s="1"/>
  <c r="U804" i="13"/>
  <c r="W804" i="13" s="1"/>
  <c r="AX806" i="13"/>
  <c r="AP806" i="13"/>
  <c r="AW806" i="13"/>
  <c r="AO806" i="13"/>
  <c r="AU806" i="13"/>
  <c r="AM806" i="13"/>
  <c r="BA806" i="13"/>
  <c r="AN806" i="13"/>
  <c r="AZ806" i="13"/>
  <c r="AL806" i="13"/>
  <c r="AY806" i="13"/>
  <c r="AK806" i="13"/>
  <c r="AV806" i="13"/>
  <c r="AJ806" i="13"/>
  <c r="AR806" i="13"/>
  <c r="BB806" i="13"/>
  <c r="AQ806" i="13"/>
  <c r="AX814" i="13"/>
  <c r="AP814" i="13"/>
  <c r="AW814" i="13"/>
  <c r="AO814" i="13"/>
  <c r="AU814" i="13"/>
  <c r="AM814" i="13"/>
  <c r="AZ814" i="13"/>
  <c r="AR814" i="13"/>
  <c r="AJ814" i="13"/>
  <c r="AS814" i="13"/>
  <c r="AQ814" i="13"/>
  <c r="AN814" i="13"/>
  <c r="BB814" i="13"/>
  <c r="AL814" i="13"/>
  <c r="AV814" i="13"/>
  <c r="AT814" i="13"/>
  <c r="AF838" i="13"/>
  <c r="BS785" i="13"/>
  <c r="BK785" i="13"/>
  <c r="BR785" i="13"/>
  <c r="BJ785" i="13"/>
  <c r="BN785" i="13"/>
  <c r="V787" i="13"/>
  <c r="AE787" i="13" s="1"/>
  <c r="U787" i="13"/>
  <c r="W787" i="13" s="1"/>
  <c r="U791" i="13"/>
  <c r="W791" i="13" s="1"/>
  <c r="V791" i="13"/>
  <c r="BS810" i="13"/>
  <c r="BK810" i="13"/>
  <c r="BR810" i="13"/>
  <c r="BJ810" i="13"/>
  <c r="BP810" i="13"/>
  <c r="BH810" i="13"/>
  <c r="BW810" i="13"/>
  <c r="BL810" i="13"/>
  <c r="BV810" i="13"/>
  <c r="BI810" i="13"/>
  <c r="BU810" i="13"/>
  <c r="BG810" i="13"/>
  <c r="BT810" i="13"/>
  <c r="BF810" i="13"/>
  <c r="BN810" i="13"/>
  <c r="BM810" i="13"/>
  <c r="AV812" i="13"/>
  <c r="AN812" i="13"/>
  <c r="AU812" i="13"/>
  <c r="AM812" i="13"/>
  <c r="BA812" i="13"/>
  <c r="AS812" i="13"/>
  <c r="AK812" i="13"/>
  <c r="AX812" i="13"/>
  <c r="AP812" i="13"/>
  <c r="AR812" i="13"/>
  <c r="AQ812" i="13"/>
  <c r="AO812" i="13"/>
  <c r="BB812" i="13"/>
  <c r="AL812" i="13"/>
  <c r="AW812" i="13"/>
  <c r="AT812" i="13"/>
  <c r="AB815" i="13"/>
  <c r="AA815" i="13"/>
  <c r="AC815" i="13" s="1"/>
  <c r="AU831" i="13"/>
  <c r="AM831" i="13"/>
  <c r="BB831" i="13"/>
  <c r="AT831" i="13"/>
  <c r="AL831" i="13"/>
  <c r="BA831" i="13"/>
  <c r="AS831" i="13"/>
  <c r="AK831" i="13"/>
  <c r="AZ831" i="13"/>
  <c r="AR831" i="13"/>
  <c r="AJ831" i="13"/>
  <c r="AW831" i="13"/>
  <c r="AO831" i="13"/>
  <c r="AV831" i="13"/>
  <c r="AN831" i="13"/>
  <c r="AY831" i="13"/>
  <c r="AX831" i="13"/>
  <c r="AQ831" i="13"/>
  <c r="AP831" i="13"/>
  <c r="AQ765" i="13"/>
  <c r="BL769" i="13"/>
  <c r="AQ773" i="13"/>
  <c r="AP776" i="13"/>
  <c r="AX776" i="13"/>
  <c r="BL777" i="13"/>
  <c r="BA780" i="13"/>
  <c r="AS780" i="13"/>
  <c r="AK780" i="13"/>
  <c r="AR780" i="13"/>
  <c r="BB780" i="13"/>
  <c r="BL780" i="13"/>
  <c r="AN781" i="13"/>
  <c r="AZ781" i="13"/>
  <c r="BK781" i="13"/>
  <c r="BU781" i="13"/>
  <c r="BK783" i="13"/>
  <c r="BU783" i="13"/>
  <c r="BE785" i="13"/>
  <c r="BO785" i="13"/>
  <c r="AV787" i="13"/>
  <c r="AN787" i="13"/>
  <c r="AU787" i="13"/>
  <c r="AM787" i="13"/>
  <c r="AS787" i="13"/>
  <c r="BA788" i="13"/>
  <c r="AS788" i="13"/>
  <c r="AK788" i="13"/>
  <c r="AZ788" i="13"/>
  <c r="AR788" i="13"/>
  <c r="AJ788" i="13"/>
  <c r="AU788" i="13"/>
  <c r="AX790" i="13"/>
  <c r="AP790" i="13"/>
  <c r="AU790" i="13"/>
  <c r="AL790" i="13"/>
  <c r="AT790" i="13"/>
  <c r="AK790" i="13"/>
  <c r="AV790" i="13"/>
  <c r="AM790" i="13"/>
  <c r="AY790" i="13"/>
  <c r="BV793" i="13"/>
  <c r="BN793" i="13"/>
  <c r="BF793" i="13"/>
  <c r="BQ793" i="13"/>
  <c r="BH793" i="13"/>
  <c r="BP793" i="13"/>
  <c r="BG793" i="13"/>
  <c r="BS793" i="13"/>
  <c r="BJ793" i="13"/>
  <c r="BR793" i="13"/>
  <c r="BI793" i="13"/>
  <c r="BW793" i="13"/>
  <c r="AV796" i="13"/>
  <c r="AN796" i="13"/>
  <c r="AU796" i="13"/>
  <c r="AM796" i="13"/>
  <c r="AX796" i="13"/>
  <c r="AL796" i="13"/>
  <c r="AW796" i="13"/>
  <c r="AK796" i="13"/>
  <c r="AZ796" i="13"/>
  <c r="AP796" i="13"/>
  <c r="AY796" i="13"/>
  <c r="AO796" i="13"/>
  <c r="AF798" i="13"/>
  <c r="BE810" i="13"/>
  <c r="AJ812" i="13"/>
  <c r="BS826" i="13"/>
  <c r="BK826" i="13"/>
  <c r="BR826" i="13"/>
  <c r="BJ826" i="13"/>
  <c r="BQ826" i="13"/>
  <c r="BI826" i="13"/>
  <c r="BP826" i="13"/>
  <c r="BH826" i="13"/>
  <c r="BU826" i="13"/>
  <c r="BM826" i="13"/>
  <c r="BE826" i="13"/>
  <c r="BN826" i="13"/>
  <c r="BL826" i="13"/>
  <c r="BG826" i="13"/>
  <c r="BF826" i="13"/>
  <c r="BT826" i="13"/>
  <c r="BO826" i="13"/>
  <c r="BP827" i="13"/>
  <c r="BH827" i="13"/>
  <c r="BW827" i="13"/>
  <c r="BO827" i="13"/>
  <c r="BG827" i="13"/>
  <c r="BV827" i="13"/>
  <c r="BN827" i="13"/>
  <c r="BF827" i="13"/>
  <c r="BU827" i="13"/>
  <c r="BM827" i="13"/>
  <c r="BE827" i="13"/>
  <c r="BR827" i="13"/>
  <c r="BJ827" i="13"/>
  <c r="BQ827" i="13"/>
  <c r="BL827" i="13"/>
  <c r="BK827" i="13"/>
  <c r="BI827" i="13"/>
  <c r="BT827" i="13"/>
  <c r="BS827" i="13"/>
  <c r="AQ776" i="13"/>
  <c r="BR780" i="13"/>
  <c r="BJ780" i="13"/>
  <c r="BM780" i="13"/>
  <c r="BV780" i="13"/>
  <c r="AQ781" i="13"/>
  <c r="BA781" i="13"/>
  <c r="BL781" i="13"/>
  <c r="AU782" i="13"/>
  <c r="AM782" i="13"/>
  <c r="BB782" i="13"/>
  <c r="AT782" i="13"/>
  <c r="AL782" i="13"/>
  <c r="AS782" i="13"/>
  <c r="BL783" i="13"/>
  <c r="BV783" i="13"/>
  <c r="BB785" i="13"/>
  <c r="AT785" i="13"/>
  <c r="AL785" i="13"/>
  <c r="BA785" i="13"/>
  <c r="AS785" i="13"/>
  <c r="AK785" i="13"/>
  <c r="AU785" i="13"/>
  <c r="BF785" i="13"/>
  <c r="BP785" i="13"/>
  <c r="V796" i="13"/>
  <c r="U796" i="13"/>
  <c r="W796" i="13" s="1"/>
  <c r="AJ796" i="13"/>
  <c r="BR797" i="13"/>
  <c r="BJ797" i="13"/>
  <c r="BQ797" i="13"/>
  <c r="BI797" i="13"/>
  <c r="BU797" i="13"/>
  <c r="BK797" i="13"/>
  <c r="BT797" i="13"/>
  <c r="BH797" i="13"/>
  <c r="BP797" i="13"/>
  <c r="BF797" i="13"/>
  <c r="BW797" i="13"/>
  <c r="BM797" i="13"/>
  <c r="BV797" i="13"/>
  <c r="BL797" i="13"/>
  <c r="AB798" i="13"/>
  <c r="BS802" i="13"/>
  <c r="BK802" i="13"/>
  <c r="BR802" i="13"/>
  <c r="BJ802" i="13"/>
  <c r="BP802" i="13"/>
  <c r="BF802" i="13"/>
  <c r="BO802" i="13"/>
  <c r="BE802" i="13"/>
  <c r="BW802" i="13"/>
  <c r="BM802" i="13"/>
  <c r="BT802" i="13"/>
  <c r="BH802" i="13"/>
  <c r="BQ802" i="13"/>
  <c r="BG802" i="13"/>
  <c r="AV804" i="13"/>
  <c r="AN804" i="13"/>
  <c r="AU804" i="13"/>
  <c r="AM804" i="13"/>
  <c r="BA804" i="13"/>
  <c r="AS804" i="13"/>
  <c r="AK804" i="13"/>
  <c r="AQ804" i="13"/>
  <c r="BB804" i="13"/>
  <c r="AP804" i="13"/>
  <c r="AZ804" i="13"/>
  <c r="AO804" i="13"/>
  <c r="AY804" i="13"/>
  <c r="AL804" i="13"/>
  <c r="AT804" i="13"/>
  <c r="AR804" i="13"/>
  <c r="BO810" i="13"/>
  <c r="AY812" i="13"/>
  <c r="V813" i="13"/>
  <c r="BA814" i="13"/>
  <c r="BV826" i="13"/>
  <c r="AA828" i="13"/>
  <c r="AC828" i="13" s="1"/>
  <c r="BA789" i="13"/>
  <c r="AS789" i="13"/>
  <c r="AK789" i="13"/>
  <c r="AR789" i="13"/>
  <c r="BB789" i="13"/>
  <c r="AU791" i="13"/>
  <c r="AM791" i="13"/>
  <c r="AR791" i="13"/>
  <c r="BA791" i="13"/>
  <c r="BS794" i="13"/>
  <c r="BK794" i="13"/>
  <c r="BM794" i="13"/>
  <c r="BV794" i="13"/>
  <c r="AO797" i="13"/>
  <c r="AY797" i="13"/>
  <c r="AR798" i="13"/>
  <c r="BM800" i="13"/>
  <c r="AW801" i="13"/>
  <c r="AO801" i="13"/>
  <c r="AV801" i="13"/>
  <c r="AN801" i="13"/>
  <c r="AS801" i="13"/>
  <c r="BV801" i="13"/>
  <c r="BN801" i="13"/>
  <c r="BF801" i="13"/>
  <c r="BU801" i="13"/>
  <c r="BM801" i="13"/>
  <c r="BE801" i="13"/>
  <c r="BP801" i="13"/>
  <c r="BP803" i="13"/>
  <c r="BH803" i="13"/>
  <c r="BW803" i="13"/>
  <c r="BO803" i="13"/>
  <c r="BG803" i="13"/>
  <c r="BU803" i="13"/>
  <c r="BM803" i="13"/>
  <c r="BE803" i="13"/>
  <c r="BR803" i="13"/>
  <c r="AB805" i="13"/>
  <c r="AE805" i="13" s="1"/>
  <c r="AA805" i="13"/>
  <c r="AC805" i="13" s="1"/>
  <c r="AN805" i="13"/>
  <c r="BB805" i="13"/>
  <c r="AP807" i="13"/>
  <c r="AP809" i="13"/>
  <c r="BA809" i="13"/>
  <c r="AF814" i="13"/>
  <c r="AQ815" i="13"/>
  <c r="AV820" i="13"/>
  <c r="AN820" i="13"/>
  <c r="AU820" i="13"/>
  <c r="AM820" i="13"/>
  <c r="BB820" i="13"/>
  <c r="AT820" i="13"/>
  <c r="AL820" i="13"/>
  <c r="BA820" i="13"/>
  <c r="AS820" i="13"/>
  <c r="AK820" i="13"/>
  <c r="AX820" i="13"/>
  <c r="AP820" i="13"/>
  <c r="AQ828" i="13"/>
  <c r="BP852" i="13"/>
  <c r="AP797" i="13"/>
  <c r="AX798" i="13"/>
  <c r="AP798" i="13"/>
  <c r="AW798" i="13"/>
  <c r="AO798" i="13"/>
  <c r="AS798" i="13"/>
  <c r="BW798" i="13"/>
  <c r="BO798" i="13"/>
  <c r="BG798" i="13"/>
  <c r="BV798" i="13"/>
  <c r="BN798" i="13"/>
  <c r="BF798" i="13"/>
  <c r="BP798" i="13"/>
  <c r="BQ800" i="13"/>
  <c r="BI800" i="13"/>
  <c r="BP800" i="13"/>
  <c r="BH800" i="13"/>
  <c r="BN800" i="13"/>
  <c r="AO805" i="13"/>
  <c r="BR805" i="13"/>
  <c r="BJ805" i="13"/>
  <c r="BQ805" i="13"/>
  <c r="BI805" i="13"/>
  <c r="BW805" i="13"/>
  <c r="BO805" i="13"/>
  <c r="BG805" i="13"/>
  <c r="BP805" i="13"/>
  <c r="BQ808" i="13"/>
  <c r="BI808" i="13"/>
  <c r="BP808" i="13"/>
  <c r="BH808" i="13"/>
  <c r="BV808" i="13"/>
  <c r="BN808" i="13"/>
  <c r="BF808" i="13"/>
  <c r="BR808" i="13"/>
  <c r="BV809" i="13"/>
  <c r="BN809" i="13"/>
  <c r="BF809" i="13"/>
  <c r="BU809" i="13"/>
  <c r="BM809" i="13"/>
  <c r="BE809" i="13"/>
  <c r="BS809" i="13"/>
  <c r="BK809" i="13"/>
  <c r="BQ809" i="13"/>
  <c r="BP811" i="13"/>
  <c r="BH811" i="13"/>
  <c r="BW811" i="13"/>
  <c r="BO811" i="13"/>
  <c r="BG811" i="13"/>
  <c r="BU811" i="13"/>
  <c r="BM811" i="13"/>
  <c r="BE811" i="13"/>
  <c r="BR811" i="13"/>
  <c r="BA813" i="13"/>
  <c r="AS813" i="13"/>
  <c r="AK813" i="13"/>
  <c r="AZ813" i="13"/>
  <c r="AR813" i="13"/>
  <c r="AJ813" i="13"/>
  <c r="AX813" i="13"/>
  <c r="AP813" i="13"/>
  <c r="AU813" i="13"/>
  <c r="AM813" i="13"/>
  <c r="AY813" i="13"/>
  <c r="AX822" i="13"/>
  <c r="AP822" i="13"/>
  <c r="AW822" i="13"/>
  <c r="AO822" i="13"/>
  <c r="AV822" i="13"/>
  <c r="AN822" i="13"/>
  <c r="AU822" i="13"/>
  <c r="AM822" i="13"/>
  <c r="AZ822" i="13"/>
  <c r="AR822" i="13"/>
  <c r="AJ822" i="13"/>
  <c r="BB822" i="13"/>
  <c r="AR828" i="13"/>
  <c r="V830" i="13"/>
  <c r="U830" i="13"/>
  <c r="W830" i="13" s="1"/>
  <c r="AB831" i="13"/>
  <c r="AA831" i="13"/>
  <c r="AC831" i="13" s="1"/>
  <c r="AW843" i="13"/>
  <c r="AO843" i="13"/>
  <c r="AV843" i="13"/>
  <c r="AN843" i="13"/>
  <c r="AU843" i="13"/>
  <c r="AM843" i="13"/>
  <c r="BA843" i="13"/>
  <c r="AP843" i="13"/>
  <c r="AZ843" i="13"/>
  <c r="AL843" i="13"/>
  <c r="AY843" i="13"/>
  <c r="AK843" i="13"/>
  <c r="AX843" i="13"/>
  <c r="AJ843" i="13"/>
  <c r="AR843" i="13"/>
  <c r="BB843" i="13"/>
  <c r="AQ843" i="13"/>
  <c r="AA860" i="13"/>
  <c r="AC860" i="13" s="1"/>
  <c r="BA797" i="13"/>
  <c r="AS797" i="13"/>
  <c r="AK797" i="13"/>
  <c r="AZ797" i="13"/>
  <c r="AR797" i="13"/>
  <c r="AJ797" i="13"/>
  <c r="AU797" i="13"/>
  <c r="AU807" i="13"/>
  <c r="AM807" i="13"/>
  <c r="BB807" i="13"/>
  <c r="AT807" i="13"/>
  <c r="AL807" i="13"/>
  <c r="AZ807" i="13"/>
  <c r="AR807" i="13"/>
  <c r="AJ807" i="13"/>
  <c r="AW807" i="13"/>
  <c r="AW809" i="13"/>
  <c r="AO809" i="13"/>
  <c r="AV809" i="13"/>
  <c r="AN809" i="13"/>
  <c r="BB809" i="13"/>
  <c r="AT809" i="13"/>
  <c r="AL809" i="13"/>
  <c r="AU809" i="13"/>
  <c r="AQ822" i="13"/>
  <c r="AF824" i="13"/>
  <c r="BB852" i="13"/>
  <c r="AT852" i="13"/>
  <c r="AL852" i="13"/>
  <c r="BA852" i="13"/>
  <c r="AS852" i="13"/>
  <c r="AK852" i="13"/>
  <c r="AZ852" i="13"/>
  <c r="AR852" i="13"/>
  <c r="AJ852" i="13"/>
  <c r="AV852" i="13"/>
  <c r="AN852" i="13"/>
  <c r="AU852" i="13"/>
  <c r="AQ852" i="13"/>
  <c r="AP852" i="13"/>
  <c r="AO852" i="13"/>
  <c r="AX852" i="13"/>
  <c r="AW852" i="13"/>
  <c r="BQ872" i="13"/>
  <c r="BI872" i="13"/>
  <c r="BP872" i="13"/>
  <c r="BH872" i="13"/>
  <c r="BW872" i="13"/>
  <c r="BO872" i="13"/>
  <c r="BG872" i="13"/>
  <c r="BV872" i="13"/>
  <c r="BN872" i="13"/>
  <c r="BF872" i="13"/>
  <c r="BS872" i="13"/>
  <c r="BK872" i="13"/>
  <c r="BR872" i="13"/>
  <c r="BJ872" i="13"/>
  <c r="BU872" i="13"/>
  <c r="BT872" i="13"/>
  <c r="BM872" i="13"/>
  <c r="BL872" i="13"/>
  <c r="BE872" i="13"/>
  <c r="BA805" i="13"/>
  <c r="AS805" i="13"/>
  <c r="AK805" i="13"/>
  <c r="AZ805" i="13"/>
  <c r="AR805" i="13"/>
  <c r="AJ805" i="13"/>
  <c r="AX805" i="13"/>
  <c r="AP805" i="13"/>
  <c r="AV805" i="13"/>
  <c r="AB813" i="13"/>
  <c r="AA813" i="13"/>
  <c r="AC813" i="13" s="1"/>
  <c r="AU815" i="13"/>
  <c r="AM815" i="13"/>
  <c r="BB815" i="13"/>
  <c r="AT815" i="13"/>
  <c r="AL815" i="13"/>
  <c r="BA815" i="13"/>
  <c r="AS815" i="13"/>
  <c r="AK815" i="13"/>
  <c r="AZ815" i="13"/>
  <c r="AR815" i="13"/>
  <c r="AJ815" i="13"/>
  <c r="AW815" i="13"/>
  <c r="AO815" i="13"/>
  <c r="AE820" i="13"/>
  <c r="V822" i="13"/>
  <c r="U822" i="13"/>
  <c r="W822" i="13" s="1"/>
  <c r="AV828" i="13"/>
  <c r="AN828" i="13"/>
  <c r="AU828" i="13"/>
  <c r="AM828" i="13"/>
  <c r="BB828" i="13"/>
  <c r="AT828" i="13"/>
  <c r="AL828" i="13"/>
  <c r="BA828" i="13"/>
  <c r="AS828" i="13"/>
  <c r="AK828" i="13"/>
  <c r="AX828" i="13"/>
  <c r="AP828" i="13"/>
  <c r="AX848" i="13"/>
  <c r="AP848" i="13"/>
  <c r="AW848" i="13"/>
  <c r="AO848" i="13"/>
  <c r="AV848" i="13"/>
  <c r="AN848" i="13"/>
  <c r="AZ848" i="13"/>
  <c r="AR848" i="13"/>
  <c r="AJ848" i="13"/>
  <c r="AS848" i="13"/>
  <c r="AQ848" i="13"/>
  <c r="AM848" i="13"/>
  <c r="BB848" i="13"/>
  <c r="AL848" i="13"/>
  <c r="AU848" i="13"/>
  <c r="AT848" i="13"/>
  <c r="BP853" i="13"/>
  <c r="BH853" i="13"/>
  <c r="BW853" i="13"/>
  <c r="BO853" i="13"/>
  <c r="BG853" i="13"/>
  <c r="BV853" i="13"/>
  <c r="BN853" i="13"/>
  <c r="BF853" i="13"/>
  <c r="BU853" i="13"/>
  <c r="BM853" i="13"/>
  <c r="BE853" i="13"/>
  <c r="BR853" i="13"/>
  <c r="BJ853" i="13"/>
  <c r="BQ853" i="13"/>
  <c r="BI853" i="13"/>
  <c r="BT853" i="13"/>
  <c r="BS853" i="13"/>
  <c r="BL853" i="13"/>
  <c r="BK853" i="13"/>
  <c r="AQ783" i="13"/>
  <c r="AY783" i="13"/>
  <c r="BL787" i="13"/>
  <c r="BT787" i="13"/>
  <c r="AP789" i="13"/>
  <c r="AY789" i="13"/>
  <c r="BW790" i="13"/>
  <c r="BO790" i="13"/>
  <c r="BG790" i="13"/>
  <c r="BM790" i="13"/>
  <c r="BV790" i="13"/>
  <c r="AP791" i="13"/>
  <c r="AY791" i="13"/>
  <c r="AZ792" i="13"/>
  <c r="AR792" i="13"/>
  <c r="AJ792" i="13"/>
  <c r="AS792" i="13"/>
  <c r="BB792" i="13"/>
  <c r="BJ794" i="13"/>
  <c r="BT794" i="13"/>
  <c r="BP795" i="13"/>
  <c r="BH795" i="13"/>
  <c r="BW795" i="13"/>
  <c r="BO795" i="13"/>
  <c r="BG795" i="13"/>
  <c r="BN795" i="13"/>
  <c r="AB797" i="13"/>
  <c r="AA797" i="13"/>
  <c r="AC797" i="13" s="1"/>
  <c r="AM797" i="13"/>
  <c r="AW797" i="13"/>
  <c r="AN798" i="13"/>
  <c r="AZ798" i="13"/>
  <c r="BK798" i="13"/>
  <c r="BU798" i="13"/>
  <c r="BK800" i="13"/>
  <c r="BU800" i="13"/>
  <c r="AQ801" i="13"/>
  <c r="BA801" i="13"/>
  <c r="BL801" i="13"/>
  <c r="BN803" i="13"/>
  <c r="AA804" i="13"/>
  <c r="AC804" i="13" s="1"/>
  <c r="AL805" i="13"/>
  <c r="AW805" i="13"/>
  <c r="BL805" i="13"/>
  <c r="AN807" i="13"/>
  <c r="AY807" i="13"/>
  <c r="BL808" i="13"/>
  <c r="AK809" i="13"/>
  <c r="AY809" i="13"/>
  <c r="BL809" i="13"/>
  <c r="BL811" i="13"/>
  <c r="AT813" i="13"/>
  <c r="AN815" i="13"/>
  <c r="BS818" i="13"/>
  <c r="BK818" i="13"/>
  <c r="BR818" i="13"/>
  <c r="BJ818" i="13"/>
  <c r="BQ818" i="13"/>
  <c r="BI818" i="13"/>
  <c r="BP818" i="13"/>
  <c r="BH818" i="13"/>
  <c r="BU818" i="13"/>
  <c r="BM818" i="13"/>
  <c r="BE818" i="13"/>
  <c r="BW818" i="13"/>
  <c r="U819" i="13"/>
  <c r="W819" i="13" s="1"/>
  <c r="BP819" i="13"/>
  <c r="BH819" i="13"/>
  <c r="BW819" i="13"/>
  <c r="BO819" i="13"/>
  <c r="BG819" i="13"/>
  <c r="BV819" i="13"/>
  <c r="BN819" i="13"/>
  <c r="BF819" i="13"/>
  <c r="BU819" i="13"/>
  <c r="BM819" i="13"/>
  <c r="BE819" i="13"/>
  <c r="BR819" i="13"/>
  <c r="BJ819" i="13"/>
  <c r="AA820" i="13"/>
  <c r="AC820" i="13" s="1"/>
  <c r="AY820" i="13"/>
  <c r="V821" i="13"/>
  <c r="AE821" i="13" s="1"/>
  <c r="AT822" i="13"/>
  <c r="AJ828" i="13"/>
  <c r="BQ832" i="13"/>
  <c r="BI832" i="13"/>
  <c r="BP832" i="13"/>
  <c r="BH832" i="13"/>
  <c r="BW832" i="13"/>
  <c r="BO832" i="13"/>
  <c r="BG832" i="13"/>
  <c r="BV832" i="13"/>
  <c r="BN832" i="13"/>
  <c r="BF832" i="13"/>
  <c r="BS832" i="13"/>
  <c r="BK832" i="13"/>
  <c r="BR832" i="13"/>
  <c r="BJ832" i="13"/>
  <c r="AE833" i="13"/>
  <c r="AF839" i="13"/>
  <c r="AB844" i="13"/>
  <c r="AE844" i="13" s="1"/>
  <c r="AA844" i="13"/>
  <c r="AC844" i="13" s="1"/>
  <c r="AF847" i="13"/>
  <c r="AK848" i="13"/>
  <c r="AY852" i="13"/>
  <c r="BL782" i="13"/>
  <c r="AJ783" i="13"/>
  <c r="AR783" i="13"/>
  <c r="AQ786" i="13"/>
  <c r="BE787" i="13"/>
  <c r="BM787" i="13"/>
  <c r="AQ789" i="13"/>
  <c r="AZ789" i="13"/>
  <c r="BE790" i="13"/>
  <c r="BN790" i="13"/>
  <c r="AQ791" i="13"/>
  <c r="AZ791" i="13"/>
  <c r="AK792" i="13"/>
  <c r="AT792" i="13"/>
  <c r="BQ792" i="13"/>
  <c r="BI792" i="13"/>
  <c r="BM792" i="13"/>
  <c r="BV792" i="13"/>
  <c r="BB794" i="13"/>
  <c r="AT794" i="13"/>
  <c r="AL794" i="13"/>
  <c r="AR794" i="13"/>
  <c r="BA794" i="13"/>
  <c r="BL794" i="13"/>
  <c r="BU794" i="13"/>
  <c r="BE795" i="13"/>
  <c r="BQ795" i="13"/>
  <c r="AN797" i="13"/>
  <c r="AX797" i="13"/>
  <c r="AQ798" i="13"/>
  <c r="BA798" i="13"/>
  <c r="BL798" i="13"/>
  <c r="AU799" i="13"/>
  <c r="AM799" i="13"/>
  <c r="BB799" i="13"/>
  <c r="AT799" i="13"/>
  <c r="AL799" i="13"/>
  <c r="AS799" i="13"/>
  <c r="BL800" i="13"/>
  <c r="BV800" i="13"/>
  <c r="AR801" i="13"/>
  <c r="BB801" i="13"/>
  <c r="BO801" i="13"/>
  <c r="BB802" i="13"/>
  <c r="AT802" i="13"/>
  <c r="AL802" i="13"/>
  <c r="BA802" i="13"/>
  <c r="AS802" i="13"/>
  <c r="AK802" i="13"/>
  <c r="AU802" i="13"/>
  <c r="BQ803" i="13"/>
  <c r="AM805" i="13"/>
  <c r="AY805" i="13"/>
  <c r="BM805" i="13"/>
  <c r="AO807" i="13"/>
  <c r="BA807" i="13"/>
  <c r="BM808" i="13"/>
  <c r="AM809" i="13"/>
  <c r="AZ809" i="13"/>
  <c r="BO809" i="13"/>
  <c r="U811" i="13"/>
  <c r="W811" i="13" s="1"/>
  <c r="BN811" i="13"/>
  <c r="AA812" i="13"/>
  <c r="AC812" i="13" s="1"/>
  <c r="AV813" i="13"/>
  <c r="AB814" i="13"/>
  <c r="AP815" i="13"/>
  <c r="BF818" i="13"/>
  <c r="BI819" i="13"/>
  <c r="AZ820" i="13"/>
  <c r="AB822" i="13"/>
  <c r="AY822" i="13"/>
  <c r="AB823" i="13"/>
  <c r="AA823" i="13"/>
  <c r="AC823" i="13" s="1"/>
  <c r="BQ824" i="13"/>
  <c r="BI824" i="13"/>
  <c r="BP824" i="13"/>
  <c r="BH824" i="13"/>
  <c r="BW824" i="13"/>
  <c r="BO824" i="13"/>
  <c r="BG824" i="13"/>
  <c r="BV824" i="13"/>
  <c r="BN824" i="13"/>
  <c r="BF824" i="13"/>
  <c r="BS824" i="13"/>
  <c r="BK824" i="13"/>
  <c r="AO828" i="13"/>
  <c r="BE832" i="13"/>
  <c r="U837" i="13"/>
  <c r="W837" i="13" s="1"/>
  <c r="AY848" i="13"/>
  <c r="BS852" i="13"/>
  <c r="BK852" i="13"/>
  <c r="BR852" i="13"/>
  <c r="BJ852" i="13"/>
  <c r="BQ852" i="13"/>
  <c r="BI852" i="13"/>
  <c r="BU852" i="13"/>
  <c r="BM852" i="13"/>
  <c r="BE852" i="13"/>
  <c r="BL852" i="13"/>
  <c r="BH852" i="13"/>
  <c r="BW852" i="13"/>
  <c r="BG852" i="13"/>
  <c r="BV852" i="13"/>
  <c r="BF852" i="13"/>
  <c r="BO852" i="13"/>
  <c r="BN852" i="13"/>
  <c r="AV854" i="13"/>
  <c r="AN854" i="13"/>
  <c r="AU854" i="13"/>
  <c r="AM854" i="13"/>
  <c r="BB854" i="13"/>
  <c r="AT854" i="13"/>
  <c r="AL854" i="13"/>
  <c r="BA854" i="13"/>
  <c r="AS854" i="13"/>
  <c r="AK854" i="13"/>
  <c r="AX854" i="13"/>
  <c r="AP854" i="13"/>
  <c r="AW854" i="13"/>
  <c r="AO854" i="13"/>
  <c r="AZ854" i="13"/>
  <c r="AY854" i="13"/>
  <c r="AR854" i="13"/>
  <c r="AQ854" i="13"/>
  <c r="AQ830" i="13"/>
  <c r="AY830" i="13"/>
  <c r="BL834" i="13"/>
  <c r="BU834" i="13"/>
  <c r="AW840" i="13"/>
  <c r="AO840" i="13"/>
  <c r="AV840" i="13"/>
  <c r="AN840" i="13"/>
  <c r="AS840" i="13"/>
  <c r="BV840" i="13"/>
  <c r="BN840" i="13"/>
  <c r="BF840" i="13"/>
  <c r="BU840" i="13"/>
  <c r="BM840" i="13"/>
  <c r="BE840" i="13"/>
  <c r="BP840" i="13"/>
  <c r="BQ842" i="13"/>
  <c r="BP842" i="13"/>
  <c r="BH842" i="13"/>
  <c r="BW842" i="13"/>
  <c r="BO842" i="13"/>
  <c r="BG842" i="13"/>
  <c r="BN842" i="13"/>
  <c r="BB844" i="13"/>
  <c r="AT844" i="13"/>
  <c r="AL844" i="13"/>
  <c r="BA844" i="13"/>
  <c r="AS844" i="13"/>
  <c r="AK844" i="13"/>
  <c r="AZ844" i="13"/>
  <c r="AR844" i="13"/>
  <c r="AJ844" i="13"/>
  <c r="AW844" i="13"/>
  <c r="BQ850" i="13"/>
  <c r="BI850" i="13"/>
  <c r="BP850" i="13"/>
  <c r="BH850" i="13"/>
  <c r="BW850" i="13"/>
  <c r="BO850" i="13"/>
  <c r="BG850" i="13"/>
  <c r="BS850" i="13"/>
  <c r="BK850" i="13"/>
  <c r="BT850" i="13"/>
  <c r="V856" i="13"/>
  <c r="U856" i="13"/>
  <c r="W856" i="13" s="1"/>
  <c r="AU863" i="13"/>
  <c r="AM863" i="13"/>
  <c r="BB863" i="13"/>
  <c r="AT863" i="13"/>
  <c r="AL863" i="13"/>
  <c r="AZ863" i="13"/>
  <c r="AR863" i="13"/>
  <c r="AJ863" i="13"/>
  <c r="AQ863" i="13"/>
  <c r="AP863" i="13"/>
  <c r="BA863" i="13"/>
  <c r="AO863" i="13"/>
  <c r="AY863" i="13"/>
  <c r="AN863" i="13"/>
  <c r="AV863" i="13"/>
  <c r="AS863" i="13"/>
  <c r="BL813" i="13"/>
  <c r="BT813" i="13"/>
  <c r="AQ817" i="13"/>
  <c r="AY817" i="13"/>
  <c r="BH817" i="13"/>
  <c r="BP817" i="13"/>
  <c r="AM821" i="13"/>
  <c r="AU821" i="13"/>
  <c r="BL821" i="13"/>
  <c r="BT821" i="13"/>
  <c r="AQ825" i="13"/>
  <c r="AY825" i="13"/>
  <c r="BH825" i="13"/>
  <c r="BP825" i="13"/>
  <c r="AM829" i="13"/>
  <c r="AU829" i="13"/>
  <c r="BL829" i="13"/>
  <c r="BT829" i="13"/>
  <c r="AJ830" i="13"/>
  <c r="AR830" i="13"/>
  <c r="AZ830" i="13"/>
  <c r="AQ833" i="13"/>
  <c r="AY833" i="13"/>
  <c r="BH833" i="13"/>
  <c r="BP833" i="13"/>
  <c r="BE834" i="13"/>
  <c r="BM834" i="13"/>
  <c r="BV834" i="13"/>
  <c r="BA836" i="13"/>
  <c r="AS836" i="13"/>
  <c r="AK836" i="13"/>
  <c r="AR836" i="13"/>
  <c r="BB836" i="13"/>
  <c r="AM837" i="13"/>
  <c r="AV837" i="13"/>
  <c r="BQ839" i="13"/>
  <c r="BI839" i="13"/>
  <c r="BP839" i="13"/>
  <c r="BH839" i="13"/>
  <c r="BN839" i="13"/>
  <c r="AJ840" i="13"/>
  <c r="AT840" i="13"/>
  <c r="BG840" i="13"/>
  <c r="BQ840" i="13"/>
  <c r="BH841" i="13"/>
  <c r="BT841" i="13"/>
  <c r="BE842" i="13"/>
  <c r="BR842" i="13"/>
  <c r="AM844" i="13"/>
  <c r="AX844" i="13"/>
  <c r="BE850" i="13"/>
  <c r="BU850" i="13"/>
  <c r="V851" i="13"/>
  <c r="U851" i="13"/>
  <c r="W851" i="13" s="1"/>
  <c r="AA854" i="13"/>
  <c r="AC854" i="13" s="1"/>
  <c r="AK863" i="13"/>
  <c r="V869" i="13"/>
  <c r="AE869" i="13" s="1"/>
  <c r="U869" i="13"/>
  <c r="W869" i="13" s="1"/>
  <c r="BL806" i="13"/>
  <c r="BT806" i="13"/>
  <c r="AQ810" i="13"/>
  <c r="AY810" i="13"/>
  <c r="BG813" i="13"/>
  <c r="BO813" i="13"/>
  <c r="BW813" i="13"/>
  <c r="BL814" i="13"/>
  <c r="BT814" i="13"/>
  <c r="AL817" i="13"/>
  <c r="AT817" i="13"/>
  <c r="BB817" i="13"/>
  <c r="BK817" i="13"/>
  <c r="BS817" i="13"/>
  <c r="AQ818" i="13"/>
  <c r="AY818" i="13"/>
  <c r="AP821" i="13"/>
  <c r="AX821" i="13"/>
  <c r="BG821" i="13"/>
  <c r="BO821" i="13"/>
  <c r="BW821" i="13"/>
  <c r="BL822" i="13"/>
  <c r="BT822" i="13"/>
  <c r="AL825" i="13"/>
  <c r="AT825" i="13"/>
  <c r="BB825" i="13"/>
  <c r="BK825" i="13"/>
  <c r="BS825" i="13"/>
  <c r="AQ826" i="13"/>
  <c r="AY826" i="13"/>
  <c r="AP829" i="13"/>
  <c r="AX829" i="13"/>
  <c r="BG829" i="13"/>
  <c r="BO829" i="13"/>
  <c r="BW829" i="13"/>
  <c r="AM830" i="13"/>
  <c r="AU830" i="13"/>
  <c r="BL830" i="13"/>
  <c r="BT830" i="13"/>
  <c r="AL833" i="13"/>
  <c r="AT833" i="13"/>
  <c r="BB833" i="13"/>
  <c r="BK833" i="13"/>
  <c r="BS833" i="13"/>
  <c r="AQ834" i="13"/>
  <c r="AY834" i="13"/>
  <c r="BH834" i="13"/>
  <c r="BQ834" i="13"/>
  <c r="AV835" i="13"/>
  <c r="AN835" i="13"/>
  <c r="AR835" i="13"/>
  <c r="BA835" i="13"/>
  <c r="AM836" i="13"/>
  <c r="AV836" i="13"/>
  <c r="AQ837" i="13"/>
  <c r="BG839" i="13"/>
  <c r="BS839" i="13"/>
  <c r="AM840" i="13"/>
  <c r="AY840" i="13"/>
  <c r="BJ840" i="13"/>
  <c r="BT840" i="13"/>
  <c r="BM841" i="13"/>
  <c r="BJ842" i="13"/>
  <c r="BU842" i="13"/>
  <c r="V843" i="13"/>
  <c r="U843" i="13"/>
  <c r="W843" i="13" s="1"/>
  <c r="AP844" i="13"/>
  <c r="BL850" i="13"/>
  <c r="U908" i="13"/>
  <c r="W908" i="13" s="1"/>
  <c r="V908" i="13"/>
  <c r="BL817" i="13"/>
  <c r="BT817" i="13"/>
  <c r="AQ821" i="13"/>
  <c r="AY821" i="13"/>
  <c r="BL825" i="13"/>
  <c r="BT825" i="13"/>
  <c r="AQ829" i="13"/>
  <c r="AY829" i="13"/>
  <c r="AN830" i="13"/>
  <c r="AV830" i="13"/>
  <c r="BL833" i="13"/>
  <c r="BT833" i="13"/>
  <c r="BI834" i="13"/>
  <c r="BR834" i="13"/>
  <c r="AX837" i="13"/>
  <c r="AP837" i="13"/>
  <c r="AR837" i="13"/>
  <c r="BA837" i="13"/>
  <c r="AP840" i="13"/>
  <c r="AZ840" i="13"/>
  <c r="BK840" i="13"/>
  <c r="BW840" i="13"/>
  <c r="BS841" i="13"/>
  <c r="BK841" i="13"/>
  <c r="BR841" i="13"/>
  <c r="BJ841" i="13"/>
  <c r="BN841" i="13"/>
  <c r="BK842" i="13"/>
  <c r="BV842" i="13"/>
  <c r="AQ844" i="13"/>
  <c r="U848" i="13"/>
  <c r="W848" i="13" s="1"/>
  <c r="BW848" i="13"/>
  <c r="BO848" i="13"/>
  <c r="BG848" i="13"/>
  <c r="BV848" i="13"/>
  <c r="BN848" i="13"/>
  <c r="BF848" i="13"/>
  <c r="BU848" i="13"/>
  <c r="BM848" i="13"/>
  <c r="BE848" i="13"/>
  <c r="BQ848" i="13"/>
  <c r="BI848" i="13"/>
  <c r="BT848" i="13"/>
  <c r="AU849" i="13"/>
  <c r="AM849" i="13"/>
  <c r="BB849" i="13"/>
  <c r="AT849" i="13"/>
  <c r="AL849" i="13"/>
  <c r="BA849" i="13"/>
  <c r="AS849" i="13"/>
  <c r="AK849" i="13"/>
  <c r="AW849" i="13"/>
  <c r="AO849" i="13"/>
  <c r="AY849" i="13"/>
  <c r="BM850" i="13"/>
  <c r="AB861" i="13"/>
  <c r="AE861" i="13" s="1"/>
  <c r="AA861" i="13"/>
  <c r="AC861" i="13" s="1"/>
  <c r="AA868" i="13"/>
  <c r="AC868" i="13" s="1"/>
  <c r="BL796" i="13"/>
  <c r="BT796" i="13"/>
  <c r="AQ800" i="13"/>
  <c r="AY800" i="13"/>
  <c r="BL804" i="13"/>
  <c r="BT804" i="13"/>
  <c r="BF806" i="13"/>
  <c r="BN806" i="13"/>
  <c r="BV806" i="13"/>
  <c r="AQ808" i="13"/>
  <c r="AY808" i="13"/>
  <c r="AK810" i="13"/>
  <c r="AS810" i="13"/>
  <c r="BA810" i="13"/>
  <c r="BL812" i="13"/>
  <c r="BT812" i="13"/>
  <c r="BI813" i="13"/>
  <c r="BQ813" i="13"/>
  <c r="BF814" i="13"/>
  <c r="BN814" i="13"/>
  <c r="BV814" i="13"/>
  <c r="AQ816" i="13"/>
  <c r="AY816" i="13"/>
  <c r="AN817" i="13"/>
  <c r="AV817" i="13"/>
  <c r="BE817" i="13"/>
  <c r="BM817" i="13"/>
  <c r="BU817" i="13"/>
  <c r="AK818" i="13"/>
  <c r="AS818" i="13"/>
  <c r="BA818" i="13"/>
  <c r="U820" i="13"/>
  <c r="W820" i="13" s="1"/>
  <c r="BL820" i="13"/>
  <c r="BT820" i="13"/>
  <c r="AA821" i="13"/>
  <c r="AC821" i="13" s="1"/>
  <c r="AJ821" i="13"/>
  <c r="AR821" i="13"/>
  <c r="AZ821" i="13"/>
  <c r="BI821" i="13"/>
  <c r="BQ821" i="13"/>
  <c r="BF822" i="13"/>
  <c r="BN822" i="13"/>
  <c r="BV822" i="13"/>
  <c r="AQ824" i="13"/>
  <c r="AY824" i="13"/>
  <c r="AN825" i="13"/>
  <c r="AV825" i="13"/>
  <c r="BE825" i="13"/>
  <c r="BM825" i="13"/>
  <c r="BU825" i="13"/>
  <c r="AK826" i="13"/>
  <c r="AS826" i="13"/>
  <c r="BA826" i="13"/>
  <c r="U828" i="13"/>
  <c r="W828" i="13" s="1"/>
  <c r="BL828" i="13"/>
  <c r="BT828" i="13"/>
  <c r="AA829" i="13"/>
  <c r="AC829" i="13" s="1"/>
  <c r="AJ829" i="13"/>
  <c r="AR829" i="13"/>
  <c r="AZ829" i="13"/>
  <c r="BI829" i="13"/>
  <c r="BQ829" i="13"/>
  <c r="AO830" i="13"/>
  <c r="AW830" i="13"/>
  <c r="BF830" i="13"/>
  <c r="BN830" i="13"/>
  <c r="BV830" i="13"/>
  <c r="AQ832" i="13"/>
  <c r="AY832" i="13"/>
  <c r="AN833" i="13"/>
  <c r="AV833" i="13"/>
  <c r="BE833" i="13"/>
  <c r="BM833" i="13"/>
  <c r="BU833" i="13"/>
  <c r="AK834" i="13"/>
  <c r="AS834" i="13"/>
  <c r="BA834" i="13"/>
  <c r="BJ834" i="13"/>
  <c r="BS834" i="13"/>
  <c r="AA835" i="13"/>
  <c r="AC835" i="13" s="1"/>
  <c r="AK835" i="13"/>
  <c r="AT835" i="13"/>
  <c r="BU835" i="13"/>
  <c r="BM835" i="13"/>
  <c r="BE835" i="13"/>
  <c r="BN835" i="13"/>
  <c r="BW835" i="13"/>
  <c r="U836" i="13"/>
  <c r="W836" i="13" s="1"/>
  <c r="AO836" i="13"/>
  <c r="AX836" i="13"/>
  <c r="AJ837" i="13"/>
  <c r="AS837" i="13"/>
  <c r="BB837" i="13"/>
  <c r="BK839" i="13"/>
  <c r="BU839" i="13"/>
  <c r="AQ840" i="13"/>
  <c r="BA840" i="13"/>
  <c r="BL840" i="13"/>
  <c r="BE841" i="13"/>
  <c r="BO841" i="13"/>
  <c r="BL842" i="13"/>
  <c r="AU844" i="13"/>
  <c r="BP845" i="13"/>
  <c r="BH845" i="13"/>
  <c r="BW845" i="13"/>
  <c r="BO845" i="13"/>
  <c r="BG845" i="13"/>
  <c r="BV845" i="13"/>
  <c r="BN845" i="13"/>
  <c r="BF845" i="13"/>
  <c r="BR845" i="13"/>
  <c r="BS845" i="13"/>
  <c r="AV846" i="13"/>
  <c r="AN846" i="13"/>
  <c r="AU846" i="13"/>
  <c r="AM846" i="13"/>
  <c r="BB846" i="13"/>
  <c r="AT846" i="13"/>
  <c r="AL846" i="13"/>
  <c r="AX846" i="13"/>
  <c r="AP846" i="13"/>
  <c r="AY846" i="13"/>
  <c r="BH848" i="13"/>
  <c r="AJ849" i="13"/>
  <c r="AZ849" i="13"/>
  <c r="BN850" i="13"/>
  <c r="AB852" i="13"/>
  <c r="AE852" i="13" s="1"/>
  <c r="AA852" i="13"/>
  <c r="AC852" i="13" s="1"/>
  <c r="AB888" i="13"/>
  <c r="AA888" i="13"/>
  <c r="AC888" i="13" s="1"/>
  <c r="BL791" i="13"/>
  <c r="AQ795" i="13"/>
  <c r="BE796" i="13"/>
  <c r="BM796" i="13"/>
  <c r="BL799" i="13"/>
  <c r="AJ800" i="13"/>
  <c r="AR800" i="13"/>
  <c r="AQ803" i="13"/>
  <c r="BE804" i="13"/>
  <c r="BM804" i="13"/>
  <c r="BG806" i="13"/>
  <c r="BO806" i="13"/>
  <c r="BL807" i="13"/>
  <c r="AJ808" i="13"/>
  <c r="AR808" i="13"/>
  <c r="AL810" i="13"/>
  <c r="AT810" i="13"/>
  <c r="AQ811" i="13"/>
  <c r="BE812" i="13"/>
  <c r="BM812" i="13"/>
  <c r="BJ813" i="13"/>
  <c r="BG814" i="13"/>
  <c r="BO814" i="13"/>
  <c r="BL815" i="13"/>
  <c r="AJ816" i="13"/>
  <c r="AR816" i="13"/>
  <c r="AO817" i="13"/>
  <c r="BF817" i="13"/>
  <c r="BN817" i="13"/>
  <c r="AL818" i="13"/>
  <c r="AT818" i="13"/>
  <c r="AQ819" i="13"/>
  <c r="BE820" i="13"/>
  <c r="BM820" i="13"/>
  <c r="AK821" i="13"/>
  <c r="AS821" i="13"/>
  <c r="BJ821" i="13"/>
  <c r="BG822" i="13"/>
  <c r="BO822" i="13"/>
  <c r="BL823" i="13"/>
  <c r="AJ824" i="13"/>
  <c r="AR824" i="13"/>
  <c r="AO825" i="13"/>
  <c r="BF825" i="13"/>
  <c r="BN825" i="13"/>
  <c r="AL826" i="13"/>
  <c r="AT826" i="13"/>
  <c r="AQ827" i="13"/>
  <c r="BE828" i="13"/>
  <c r="BM828" i="13"/>
  <c r="AK829" i="13"/>
  <c r="AS829" i="13"/>
  <c r="BJ829" i="13"/>
  <c r="AP830" i="13"/>
  <c r="BG830" i="13"/>
  <c r="BO830" i="13"/>
  <c r="BL831" i="13"/>
  <c r="AJ832" i="13"/>
  <c r="AR832" i="13"/>
  <c r="AO833" i="13"/>
  <c r="BF833" i="13"/>
  <c r="BN833" i="13"/>
  <c r="AL834" i="13"/>
  <c r="AT834" i="13"/>
  <c r="BK834" i="13"/>
  <c r="BT834" i="13"/>
  <c r="AL835" i="13"/>
  <c r="AU835" i="13"/>
  <c r="BF835" i="13"/>
  <c r="BO835" i="13"/>
  <c r="AP836" i="13"/>
  <c r="AY836" i="13"/>
  <c r="AK837" i="13"/>
  <c r="AT837" i="13"/>
  <c r="BW837" i="13"/>
  <c r="BO837" i="13"/>
  <c r="BG837" i="13"/>
  <c r="BV837" i="13"/>
  <c r="BM837" i="13"/>
  <c r="AU838" i="13"/>
  <c r="AM838" i="13"/>
  <c r="BB838" i="13"/>
  <c r="AT838" i="13"/>
  <c r="AL838" i="13"/>
  <c r="AS838" i="13"/>
  <c r="BL839" i="13"/>
  <c r="BV839" i="13"/>
  <c r="AR840" i="13"/>
  <c r="BB840" i="13"/>
  <c r="BO840" i="13"/>
  <c r="BB841" i="13"/>
  <c r="AT841" i="13"/>
  <c r="AL841" i="13"/>
  <c r="BA841" i="13"/>
  <c r="AS841" i="13"/>
  <c r="AK841" i="13"/>
  <c r="AU841" i="13"/>
  <c r="BF841" i="13"/>
  <c r="BP841" i="13"/>
  <c r="BM842" i="13"/>
  <c r="AV844" i="13"/>
  <c r="BE845" i="13"/>
  <c r="BT845" i="13"/>
  <c r="AJ846" i="13"/>
  <c r="AZ846" i="13"/>
  <c r="AB848" i="13"/>
  <c r="AE848" i="13" s="1"/>
  <c r="BJ848" i="13"/>
  <c r="AN849" i="13"/>
  <c r="BR850" i="13"/>
  <c r="AF873" i="13"/>
  <c r="BI857" i="13"/>
  <c r="BT857" i="13"/>
  <c r="BI858" i="13"/>
  <c r="BT858" i="13"/>
  <c r="BA861" i="13"/>
  <c r="AS861" i="13"/>
  <c r="AK861" i="13"/>
  <c r="AZ861" i="13"/>
  <c r="AR861" i="13"/>
  <c r="AJ861" i="13"/>
  <c r="AX861" i="13"/>
  <c r="AP861" i="13"/>
  <c r="AV861" i="13"/>
  <c r="BK861" i="13"/>
  <c r="BV861" i="13"/>
  <c r="BP867" i="13"/>
  <c r="BH867" i="13"/>
  <c r="BW867" i="13"/>
  <c r="BO867" i="13"/>
  <c r="BG867" i="13"/>
  <c r="BV867" i="13"/>
  <c r="BN867" i="13"/>
  <c r="BF867" i="13"/>
  <c r="BU867" i="13"/>
  <c r="BM867" i="13"/>
  <c r="BE867" i="13"/>
  <c r="BT867" i="13"/>
  <c r="AU871" i="13"/>
  <c r="AM871" i="13"/>
  <c r="BB871" i="13"/>
  <c r="AT871" i="13"/>
  <c r="AL871" i="13"/>
  <c r="BA871" i="13"/>
  <c r="AS871" i="13"/>
  <c r="AK871" i="13"/>
  <c r="AZ871" i="13"/>
  <c r="AR871" i="13"/>
  <c r="AJ871" i="13"/>
  <c r="AV871" i="13"/>
  <c r="AN871" i="13"/>
  <c r="BV896" i="13"/>
  <c r="BN896" i="13"/>
  <c r="BF896" i="13"/>
  <c r="BU896" i="13"/>
  <c r="BM896" i="13"/>
  <c r="BE896" i="13"/>
  <c r="BW896" i="13"/>
  <c r="BK896" i="13"/>
  <c r="BT896" i="13"/>
  <c r="BJ896" i="13"/>
  <c r="BS896" i="13"/>
  <c r="BI896" i="13"/>
  <c r="BR896" i="13"/>
  <c r="BH896" i="13"/>
  <c r="BQ896" i="13"/>
  <c r="BG896" i="13"/>
  <c r="BO896" i="13"/>
  <c r="BP896" i="13"/>
  <c r="BL896" i="13"/>
  <c r="BL847" i="13"/>
  <c r="BT847" i="13"/>
  <c r="AQ851" i="13"/>
  <c r="AY851" i="13"/>
  <c r="BL855" i="13"/>
  <c r="BT855" i="13"/>
  <c r="BJ857" i="13"/>
  <c r="BJ858" i="13"/>
  <c r="AL861" i="13"/>
  <c r="AW861" i="13"/>
  <c r="BQ864" i="13"/>
  <c r="BI864" i="13"/>
  <c r="BP864" i="13"/>
  <c r="BH864" i="13"/>
  <c r="BW864" i="13"/>
  <c r="BO864" i="13"/>
  <c r="BG864" i="13"/>
  <c r="BV864" i="13"/>
  <c r="BN864" i="13"/>
  <c r="BF864" i="13"/>
  <c r="BT864" i="13"/>
  <c r="AW865" i="13"/>
  <c r="AO865" i="13"/>
  <c r="AV865" i="13"/>
  <c r="AN865" i="13"/>
  <c r="AU865" i="13"/>
  <c r="AM865" i="13"/>
  <c r="BB865" i="13"/>
  <c r="AT865" i="13"/>
  <c r="AL865" i="13"/>
  <c r="AY865" i="13"/>
  <c r="BI867" i="13"/>
  <c r="AO871" i="13"/>
  <c r="BP875" i="13"/>
  <c r="BH875" i="13"/>
  <c r="BW875" i="13"/>
  <c r="BO875" i="13"/>
  <c r="BG875" i="13"/>
  <c r="BV875" i="13"/>
  <c r="BN875" i="13"/>
  <c r="BF875" i="13"/>
  <c r="BU875" i="13"/>
  <c r="BM875" i="13"/>
  <c r="BE875" i="13"/>
  <c r="BR875" i="13"/>
  <c r="BJ875" i="13"/>
  <c r="BQ875" i="13"/>
  <c r="BI875" i="13"/>
  <c r="AE878" i="13"/>
  <c r="U879" i="13"/>
  <c r="W879" i="13" s="1"/>
  <c r="V879" i="13"/>
  <c r="AA882" i="13"/>
  <c r="AC882" i="13" s="1"/>
  <c r="BS883" i="13"/>
  <c r="BK883" i="13"/>
  <c r="BQ883" i="13"/>
  <c r="BI883" i="13"/>
  <c r="BP883" i="13"/>
  <c r="BH883" i="13"/>
  <c r="BW883" i="13"/>
  <c r="BL883" i="13"/>
  <c r="BV883" i="13"/>
  <c r="BJ883" i="13"/>
  <c r="BU883" i="13"/>
  <c r="BG883" i="13"/>
  <c r="BT883" i="13"/>
  <c r="BF883" i="13"/>
  <c r="BN883" i="13"/>
  <c r="BM883" i="13"/>
  <c r="V901" i="13"/>
  <c r="U901" i="13"/>
  <c r="W901" i="13" s="1"/>
  <c r="BV857" i="13"/>
  <c r="BN857" i="13"/>
  <c r="BF857" i="13"/>
  <c r="BS857" i="13"/>
  <c r="BK857" i="13"/>
  <c r="BO857" i="13"/>
  <c r="BS858" i="13"/>
  <c r="BK858" i="13"/>
  <c r="BP858" i="13"/>
  <c r="BH858" i="13"/>
  <c r="BN858" i="13"/>
  <c r="BR861" i="13"/>
  <c r="BJ861" i="13"/>
  <c r="BQ861" i="13"/>
  <c r="BI861" i="13"/>
  <c r="BW861" i="13"/>
  <c r="BO861" i="13"/>
  <c r="BG861" i="13"/>
  <c r="BP861" i="13"/>
  <c r="AZ881" i="13"/>
  <c r="AR881" i="13"/>
  <c r="AJ881" i="13"/>
  <c r="AW881" i="13"/>
  <c r="AO881" i="13"/>
  <c r="BA881" i="13"/>
  <c r="AP881" i="13"/>
  <c r="AY881" i="13"/>
  <c r="AN881" i="13"/>
  <c r="AX881" i="13"/>
  <c r="AM881" i="13"/>
  <c r="AV881" i="13"/>
  <c r="AL881" i="13"/>
  <c r="AS881" i="13"/>
  <c r="BB881" i="13"/>
  <c r="AQ881" i="13"/>
  <c r="BP898" i="13"/>
  <c r="BH898" i="13"/>
  <c r="BW898" i="13"/>
  <c r="BO898" i="13"/>
  <c r="BG898" i="13"/>
  <c r="BM898" i="13"/>
  <c r="BV898" i="13"/>
  <c r="BL898" i="13"/>
  <c r="BU898" i="13"/>
  <c r="BK898" i="13"/>
  <c r="BT898" i="13"/>
  <c r="BJ898" i="13"/>
  <c r="BS898" i="13"/>
  <c r="BI898" i="13"/>
  <c r="BQ898" i="13"/>
  <c r="BE898" i="13"/>
  <c r="BR898" i="13"/>
  <c r="BN898" i="13"/>
  <c r="AQ839" i="13"/>
  <c r="AY839" i="13"/>
  <c r="BL843" i="13"/>
  <c r="BT843" i="13"/>
  <c r="AO845" i="13"/>
  <c r="AW845" i="13"/>
  <c r="AQ847" i="13"/>
  <c r="AY847" i="13"/>
  <c r="BH847" i="13"/>
  <c r="BP847" i="13"/>
  <c r="BJ849" i="13"/>
  <c r="BR849" i="13"/>
  <c r="AM851" i="13"/>
  <c r="AU851" i="13"/>
  <c r="BL851" i="13"/>
  <c r="BT851" i="13"/>
  <c r="AO853" i="13"/>
  <c r="AW853" i="13"/>
  <c r="AQ855" i="13"/>
  <c r="AY855" i="13"/>
  <c r="BH855" i="13"/>
  <c r="BP855" i="13"/>
  <c r="AW857" i="13"/>
  <c r="AO857" i="13"/>
  <c r="BB857" i="13"/>
  <c r="AT857" i="13"/>
  <c r="AL857" i="13"/>
  <c r="AS857" i="13"/>
  <c r="BE857" i="13"/>
  <c r="BP857" i="13"/>
  <c r="BE858" i="13"/>
  <c r="BO858" i="13"/>
  <c r="BP859" i="13"/>
  <c r="BH859" i="13"/>
  <c r="BW859" i="13"/>
  <c r="BO859" i="13"/>
  <c r="BG859" i="13"/>
  <c r="BU859" i="13"/>
  <c r="BM859" i="13"/>
  <c r="BE859" i="13"/>
  <c r="BR859" i="13"/>
  <c r="AR860" i="13"/>
  <c r="AQ861" i="13"/>
  <c r="BE861" i="13"/>
  <c r="BS861" i="13"/>
  <c r="U864" i="13"/>
  <c r="W864" i="13" s="1"/>
  <c r="BL864" i="13"/>
  <c r="AQ865" i="13"/>
  <c r="BN866" i="13"/>
  <c r="BQ867" i="13"/>
  <c r="V870" i="13"/>
  <c r="U870" i="13"/>
  <c r="W870" i="13" s="1"/>
  <c r="AB871" i="13"/>
  <c r="AA871" i="13"/>
  <c r="AC871" i="13" s="1"/>
  <c r="AX871" i="13"/>
  <c r="BT875" i="13"/>
  <c r="AU880" i="13"/>
  <c r="AM880" i="13"/>
  <c r="AZ880" i="13"/>
  <c r="AR880" i="13"/>
  <c r="AJ880" i="13"/>
  <c r="AY880" i="13"/>
  <c r="AO880" i="13"/>
  <c r="AX880" i="13"/>
  <c r="AN880" i="13"/>
  <c r="AW880" i="13"/>
  <c r="AL880" i="13"/>
  <c r="AV880" i="13"/>
  <c r="AK880" i="13"/>
  <c r="BB880" i="13"/>
  <c r="AQ880" i="13"/>
  <c r="BA880" i="13"/>
  <c r="AP880" i="13"/>
  <c r="AK881" i="13"/>
  <c r="U889" i="13"/>
  <c r="W889" i="13" s="1"/>
  <c r="V889" i="13"/>
  <c r="BF898" i="13"/>
  <c r="BL838" i="13"/>
  <c r="AJ839" i="13"/>
  <c r="AR839" i="13"/>
  <c r="AQ842" i="13"/>
  <c r="BE843" i="13"/>
  <c r="BM843" i="13"/>
  <c r="AP845" i="13"/>
  <c r="AX845" i="13"/>
  <c r="BL846" i="13"/>
  <c r="AJ847" i="13"/>
  <c r="AR847" i="13"/>
  <c r="BI847" i="13"/>
  <c r="BQ847" i="13"/>
  <c r="BK849" i="13"/>
  <c r="BS849" i="13"/>
  <c r="AQ850" i="13"/>
  <c r="AN851" i="13"/>
  <c r="AV851" i="13"/>
  <c r="BE851" i="13"/>
  <c r="BM851" i="13"/>
  <c r="AP853" i="13"/>
  <c r="AX853" i="13"/>
  <c r="BL854" i="13"/>
  <c r="AJ855" i="13"/>
  <c r="AR855" i="13"/>
  <c r="BI855" i="13"/>
  <c r="BQ855" i="13"/>
  <c r="AZ856" i="13"/>
  <c r="AR856" i="13"/>
  <c r="AW856" i="13"/>
  <c r="AO856" i="13"/>
  <c r="AS856" i="13"/>
  <c r="BQ856" i="13"/>
  <c r="BI856" i="13"/>
  <c r="BV856" i="13"/>
  <c r="BN856" i="13"/>
  <c r="BF856" i="13"/>
  <c r="BO856" i="13"/>
  <c r="AJ857" i="13"/>
  <c r="AU857" i="13"/>
  <c r="BG857" i="13"/>
  <c r="BQ857" i="13"/>
  <c r="BF858" i="13"/>
  <c r="BQ858" i="13"/>
  <c r="BF859" i="13"/>
  <c r="BS859" i="13"/>
  <c r="AT861" i="13"/>
  <c r="BF861" i="13"/>
  <c r="BT861" i="13"/>
  <c r="AX862" i="13"/>
  <c r="AP862" i="13"/>
  <c r="AW862" i="13"/>
  <c r="AO862" i="13"/>
  <c r="AU862" i="13"/>
  <c r="AM862" i="13"/>
  <c r="AT862" i="13"/>
  <c r="AB863" i="13"/>
  <c r="BM864" i="13"/>
  <c r="AF865" i="13"/>
  <c r="AR865" i="13"/>
  <c r="BR867" i="13"/>
  <c r="AV868" i="13"/>
  <c r="AN868" i="13"/>
  <c r="AU868" i="13"/>
  <c r="AM868" i="13"/>
  <c r="BB868" i="13"/>
  <c r="AT868" i="13"/>
  <c r="AL868" i="13"/>
  <c r="BA868" i="13"/>
  <c r="AS868" i="13"/>
  <c r="AK868" i="13"/>
  <c r="AY868" i="13"/>
  <c r="BR869" i="13"/>
  <c r="BJ869" i="13"/>
  <c r="BQ869" i="13"/>
  <c r="BI869" i="13"/>
  <c r="BP869" i="13"/>
  <c r="BH869" i="13"/>
  <c r="BW869" i="13"/>
  <c r="BO869" i="13"/>
  <c r="BG869" i="13"/>
  <c r="BS869" i="13"/>
  <c r="BK869" i="13"/>
  <c r="BV869" i="13"/>
  <c r="AY871" i="13"/>
  <c r="AE875" i="13"/>
  <c r="AT881" i="13"/>
  <c r="AB904" i="13"/>
  <c r="AA904" i="13"/>
  <c r="AC904" i="13" s="1"/>
  <c r="AQ845" i="13"/>
  <c r="BJ847" i="13"/>
  <c r="BL849" i="13"/>
  <c r="AO851" i="13"/>
  <c r="AQ853" i="13"/>
  <c r="BJ855" i="13"/>
  <c r="BH857" i="13"/>
  <c r="BR857" i="13"/>
  <c r="BG858" i="13"/>
  <c r="BR858" i="13"/>
  <c r="V860" i="13"/>
  <c r="AE860" i="13" s="1"/>
  <c r="U860" i="13"/>
  <c r="W860" i="13" s="1"/>
  <c r="AV860" i="13"/>
  <c r="AN860" i="13"/>
  <c r="AU860" i="13"/>
  <c r="AM860" i="13"/>
  <c r="BA860" i="13"/>
  <c r="AS860" i="13"/>
  <c r="AK860" i="13"/>
  <c r="AW860" i="13"/>
  <c r="AU861" i="13"/>
  <c r="BH861" i="13"/>
  <c r="BU861" i="13"/>
  <c r="BR864" i="13"/>
  <c r="AS865" i="13"/>
  <c r="BS866" i="13"/>
  <c r="BK866" i="13"/>
  <c r="BR866" i="13"/>
  <c r="BJ866" i="13"/>
  <c r="BQ866" i="13"/>
  <c r="BI866" i="13"/>
  <c r="BP866" i="13"/>
  <c r="BH866" i="13"/>
  <c r="BT866" i="13"/>
  <c r="BS867" i="13"/>
  <c r="AV876" i="13"/>
  <c r="AN876" i="13"/>
  <c r="AU876" i="13"/>
  <c r="AM876" i="13"/>
  <c r="BB876" i="13"/>
  <c r="AT876" i="13"/>
  <c r="AL876" i="13"/>
  <c r="BA876" i="13"/>
  <c r="AS876" i="13"/>
  <c r="AK876" i="13"/>
  <c r="AX876" i="13"/>
  <c r="AP876" i="13"/>
  <c r="AW876" i="13"/>
  <c r="AO876" i="13"/>
  <c r="AU881" i="13"/>
  <c r="AX887" i="13"/>
  <c r="AP887" i="13"/>
  <c r="AW887" i="13"/>
  <c r="AO887" i="13"/>
  <c r="AV887" i="13"/>
  <c r="AN887" i="13"/>
  <c r="AU887" i="13"/>
  <c r="AM887" i="13"/>
  <c r="BA887" i="13"/>
  <c r="AS887" i="13"/>
  <c r="AK887" i="13"/>
  <c r="AT887" i="13"/>
  <c r="AR887" i="13"/>
  <c r="AQ887" i="13"/>
  <c r="AL887" i="13"/>
  <c r="AZ887" i="13"/>
  <c r="AY887" i="13"/>
  <c r="AB896" i="13"/>
  <c r="AA896" i="13"/>
  <c r="AC896" i="13" s="1"/>
  <c r="AW904" i="13"/>
  <c r="AO904" i="13"/>
  <c r="AV904" i="13"/>
  <c r="AN904" i="13"/>
  <c r="BB904" i="13"/>
  <c r="AR904" i="13"/>
  <c r="BA904" i="13"/>
  <c r="AQ904" i="13"/>
  <c r="AZ904" i="13"/>
  <c r="AP904" i="13"/>
  <c r="AY904" i="13"/>
  <c r="AM904" i="13"/>
  <c r="AX904" i="13"/>
  <c r="AL904" i="13"/>
  <c r="AT904" i="13"/>
  <c r="AJ904" i="13"/>
  <c r="AU904" i="13"/>
  <c r="AS904" i="13"/>
  <c r="AK904" i="13"/>
  <c r="AX911" i="13"/>
  <c r="AP911" i="13"/>
  <c r="AZ911" i="13"/>
  <c r="AQ911" i="13"/>
  <c r="AY911" i="13"/>
  <c r="AO911" i="13"/>
  <c r="AV911" i="13"/>
  <c r="AM911" i="13"/>
  <c r="AU911" i="13"/>
  <c r="AL911" i="13"/>
  <c r="BB911" i="13"/>
  <c r="AS911" i="13"/>
  <c r="AJ911" i="13"/>
  <c r="BA911" i="13"/>
  <c r="AW911" i="13"/>
  <c r="AT911" i="13"/>
  <c r="AR911" i="13"/>
  <c r="AK911" i="13"/>
  <c r="AU915" i="13"/>
  <c r="AM915" i="13"/>
  <c r="BB915" i="13"/>
  <c r="AT915" i="13"/>
  <c r="AL915" i="13"/>
  <c r="AZ915" i="13"/>
  <c r="AP915" i="13"/>
  <c r="AY915" i="13"/>
  <c r="AO915" i="13"/>
  <c r="AX915" i="13"/>
  <c r="AN915" i="13"/>
  <c r="AW915" i="13"/>
  <c r="AK915" i="13"/>
  <c r="AV915" i="13"/>
  <c r="AJ915" i="13"/>
  <c r="AR915" i="13"/>
  <c r="BA915" i="13"/>
  <c r="AS915" i="13"/>
  <c r="AQ915" i="13"/>
  <c r="AQ870" i="13"/>
  <c r="AY870" i="13"/>
  <c r="BL874" i="13"/>
  <c r="BT874" i="13"/>
  <c r="BU877" i="13"/>
  <c r="BM877" i="13"/>
  <c r="BE877" i="13"/>
  <c r="BR877" i="13"/>
  <c r="BJ877" i="13"/>
  <c r="BO877" i="13"/>
  <c r="BR886" i="13"/>
  <c r="BJ886" i="13"/>
  <c r="BQ886" i="13"/>
  <c r="BI886" i="13"/>
  <c r="BP886" i="13"/>
  <c r="BH886" i="13"/>
  <c r="BW886" i="13"/>
  <c r="BO886" i="13"/>
  <c r="BG886" i="13"/>
  <c r="BU886" i="13"/>
  <c r="BM886" i="13"/>
  <c r="BE886" i="13"/>
  <c r="BQ892" i="13"/>
  <c r="BI892" i="13"/>
  <c r="BP892" i="13"/>
  <c r="BH892" i="13"/>
  <c r="BW892" i="13"/>
  <c r="BO892" i="13"/>
  <c r="BG892" i="13"/>
  <c r="BV892" i="13"/>
  <c r="BN892" i="13"/>
  <c r="BF892" i="13"/>
  <c r="BU892" i="13"/>
  <c r="BM892" i="13"/>
  <c r="BE892" i="13"/>
  <c r="BS892" i="13"/>
  <c r="BK892" i="13"/>
  <c r="BS894" i="13"/>
  <c r="BK894" i="13"/>
  <c r="BR894" i="13"/>
  <c r="BJ894" i="13"/>
  <c r="BQ894" i="13"/>
  <c r="BI894" i="13"/>
  <c r="BP894" i="13"/>
  <c r="BH894" i="13"/>
  <c r="BW894" i="13"/>
  <c r="BO894" i="13"/>
  <c r="BG894" i="13"/>
  <c r="BU894" i="13"/>
  <c r="BM894" i="13"/>
  <c r="BE894" i="13"/>
  <c r="AB907" i="13"/>
  <c r="AA907" i="13"/>
  <c r="AC907" i="13" s="1"/>
  <c r="V920" i="13"/>
  <c r="AE920" i="13" s="1"/>
  <c r="U920" i="13"/>
  <c r="W920" i="13" s="1"/>
  <c r="V927" i="13"/>
  <c r="U927" i="13"/>
  <c r="W927" i="13" s="1"/>
  <c r="AV976" i="13"/>
  <c r="AN976" i="13"/>
  <c r="AZ976" i="13"/>
  <c r="AQ976" i="13"/>
  <c r="AX976" i="13"/>
  <c r="AO976" i="13"/>
  <c r="AU976" i="13"/>
  <c r="AL976" i="13"/>
  <c r="AT976" i="13"/>
  <c r="AS976" i="13"/>
  <c r="AR976" i="13"/>
  <c r="AP976" i="13"/>
  <c r="BB976" i="13"/>
  <c r="AM976" i="13"/>
  <c r="AY976" i="13"/>
  <c r="AJ976" i="13"/>
  <c r="BA976" i="13"/>
  <c r="AW976" i="13"/>
  <c r="AK976" i="13"/>
  <c r="AQ873" i="13"/>
  <c r="AY873" i="13"/>
  <c r="BP873" i="13"/>
  <c r="BE874" i="13"/>
  <c r="BM874" i="13"/>
  <c r="BU874" i="13"/>
  <c r="AM877" i="13"/>
  <c r="AU877" i="13"/>
  <c r="BF877" i="13"/>
  <c r="BP877" i="13"/>
  <c r="BS878" i="13"/>
  <c r="BQ881" i="13"/>
  <c r="BI881" i="13"/>
  <c r="BV881" i="13"/>
  <c r="BN881" i="13"/>
  <c r="BF881" i="13"/>
  <c r="BO881" i="13"/>
  <c r="AP885" i="13"/>
  <c r="BF886" i="13"/>
  <c r="AQ888" i="13"/>
  <c r="AW890" i="13"/>
  <c r="AO890" i="13"/>
  <c r="AV890" i="13"/>
  <c r="AN890" i="13"/>
  <c r="AU890" i="13"/>
  <c r="AM890" i="13"/>
  <c r="BB890" i="13"/>
  <c r="AT890" i="13"/>
  <c r="AL890" i="13"/>
  <c r="AZ890" i="13"/>
  <c r="AR890" i="13"/>
  <c r="AJ890" i="13"/>
  <c r="BJ892" i="13"/>
  <c r="BF894" i="13"/>
  <c r="AQ858" i="13"/>
  <c r="AY858" i="13"/>
  <c r="AN859" i="13"/>
  <c r="AV859" i="13"/>
  <c r="BJ860" i="13"/>
  <c r="BR860" i="13"/>
  <c r="BL862" i="13"/>
  <c r="BT862" i="13"/>
  <c r="BI863" i="13"/>
  <c r="BQ863" i="13"/>
  <c r="AO864" i="13"/>
  <c r="AW864" i="13"/>
  <c r="BK865" i="13"/>
  <c r="BS865" i="13"/>
  <c r="AQ866" i="13"/>
  <c r="AY866" i="13"/>
  <c r="AN867" i="13"/>
  <c r="AV867" i="13"/>
  <c r="BJ868" i="13"/>
  <c r="BR868" i="13"/>
  <c r="AP869" i="13"/>
  <c r="AX869" i="13"/>
  <c r="AM870" i="13"/>
  <c r="AU870" i="13"/>
  <c r="BL870" i="13"/>
  <c r="BT870" i="13"/>
  <c r="BI871" i="13"/>
  <c r="BQ871" i="13"/>
  <c r="AO872" i="13"/>
  <c r="AW872" i="13"/>
  <c r="AL873" i="13"/>
  <c r="AT873" i="13"/>
  <c r="BB873" i="13"/>
  <c r="BK873" i="13"/>
  <c r="BS873" i="13"/>
  <c r="AQ874" i="13"/>
  <c r="AY874" i="13"/>
  <c r="BH874" i="13"/>
  <c r="BP874" i="13"/>
  <c r="AN875" i="13"/>
  <c r="AV875" i="13"/>
  <c r="BJ876" i="13"/>
  <c r="BR876" i="13"/>
  <c r="AP877" i="13"/>
  <c r="AY877" i="13"/>
  <c r="BI877" i="13"/>
  <c r="BT877" i="13"/>
  <c r="BL878" i="13"/>
  <c r="AX879" i="13"/>
  <c r="AP879" i="13"/>
  <c r="AU879" i="13"/>
  <c r="AM879" i="13"/>
  <c r="AS879" i="13"/>
  <c r="BH881" i="13"/>
  <c r="BS881" i="13"/>
  <c r="AW885" i="13"/>
  <c r="BN886" i="13"/>
  <c r="AQ890" i="13"/>
  <c r="BT892" i="13"/>
  <c r="BT894" i="13"/>
  <c r="V895" i="13"/>
  <c r="AE895" i="13" s="1"/>
  <c r="U895" i="13"/>
  <c r="W895" i="13" s="1"/>
  <c r="AB900" i="13"/>
  <c r="AE900" i="13" s="1"/>
  <c r="AA900" i="13"/>
  <c r="AC900" i="13" s="1"/>
  <c r="V906" i="13"/>
  <c r="U906" i="13"/>
  <c r="W906" i="13" s="1"/>
  <c r="AX936" i="13"/>
  <c r="AP936" i="13"/>
  <c r="AW936" i="13"/>
  <c r="AO936" i="13"/>
  <c r="AV936" i="13"/>
  <c r="AN936" i="13"/>
  <c r="AU936" i="13"/>
  <c r="AM936" i="13"/>
  <c r="BB936" i="13"/>
  <c r="AT936" i="13"/>
  <c r="AL936" i="13"/>
  <c r="AZ936" i="13"/>
  <c r="AY936" i="13"/>
  <c r="AS936" i="13"/>
  <c r="AR936" i="13"/>
  <c r="AQ936" i="13"/>
  <c r="AJ936" i="13"/>
  <c r="AK936" i="13"/>
  <c r="BL865" i="13"/>
  <c r="BT865" i="13"/>
  <c r="AQ869" i="13"/>
  <c r="AY869" i="13"/>
  <c r="AN870" i="13"/>
  <c r="AV870" i="13"/>
  <c r="AM873" i="13"/>
  <c r="AU873" i="13"/>
  <c r="BL873" i="13"/>
  <c r="BT873" i="13"/>
  <c r="BI874" i="13"/>
  <c r="BQ874" i="13"/>
  <c r="AQ877" i="13"/>
  <c r="AZ877" i="13"/>
  <c r="BK877" i="13"/>
  <c r="BV877" i="13"/>
  <c r="BJ881" i="13"/>
  <c r="BT881" i="13"/>
  <c r="BS886" i="13"/>
  <c r="AS890" i="13"/>
  <c r="BV894" i="13"/>
  <c r="V911" i="13"/>
  <c r="AE911" i="13" s="1"/>
  <c r="U911" i="13"/>
  <c r="W911" i="13" s="1"/>
  <c r="BR921" i="13"/>
  <c r="BJ921" i="13"/>
  <c r="BQ921" i="13"/>
  <c r="BI921" i="13"/>
  <c r="BU921" i="13"/>
  <c r="BK921" i="13"/>
  <c r="BT921" i="13"/>
  <c r="BH921" i="13"/>
  <c r="BS921" i="13"/>
  <c r="BG921" i="13"/>
  <c r="BP921" i="13"/>
  <c r="BF921" i="13"/>
  <c r="BO921" i="13"/>
  <c r="BE921" i="13"/>
  <c r="BW921" i="13"/>
  <c r="BM921" i="13"/>
  <c r="BV921" i="13"/>
  <c r="BL921" i="13"/>
  <c r="U922" i="13"/>
  <c r="W922" i="13" s="1"/>
  <c r="V922" i="13"/>
  <c r="BA936" i="13"/>
  <c r="BL860" i="13"/>
  <c r="BT860" i="13"/>
  <c r="AQ864" i="13"/>
  <c r="AY864" i="13"/>
  <c r="BE865" i="13"/>
  <c r="BM865" i="13"/>
  <c r="BU865" i="13"/>
  <c r="U868" i="13"/>
  <c r="W868" i="13" s="1"/>
  <c r="BL868" i="13"/>
  <c r="BT868" i="13"/>
  <c r="AA869" i="13"/>
  <c r="AC869" i="13" s="1"/>
  <c r="AJ869" i="13"/>
  <c r="AR869" i="13"/>
  <c r="AZ869" i="13"/>
  <c r="AO870" i="13"/>
  <c r="AW870" i="13"/>
  <c r="AQ872" i="13"/>
  <c r="AY872" i="13"/>
  <c r="AN873" i="13"/>
  <c r="AV873" i="13"/>
  <c r="BE873" i="13"/>
  <c r="BM873" i="13"/>
  <c r="BU873" i="13"/>
  <c r="BJ874" i="13"/>
  <c r="BR874" i="13"/>
  <c r="U876" i="13"/>
  <c r="W876" i="13" s="1"/>
  <c r="BL876" i="13"/>
  <c r="BT876" i="13"/>
  <c r="AA877" i="13"/>
  <c r="AC877" i="13" s="1"/>
  <c r="AJ877" i="13"/>
  <c r="AR877" i="13"/>
  <c r="BA877" i="13"/>
  <c r="BL877" i="13"/>
  <c r="BW877" i="13"/>
  <c r="U878" i="13"/>
  <c r="W878" i="13" s="1"/>
  <c r="BR878" i="13"/>
  <c r="BJ878" i="13"/>
  <c r="BW878" i="13"/>
  <c r="BO878" i="13"/>
  <c r="BG878" i="13"/>
  <c r="BN878" i="13"/>
  <c r="AB880" i="13"/>
  <c r="AF881" i="13"/>
  <c r="BK881" i="13"/>
  <c r="BU881" i="13"/>
  <c r="AV885" i="13"/>
  <c r="AN885" i="13"/>
  <c r="AU885" i="13"/>
  <c r="AM885" i="13"/>
  <c r="BB885" i="13"/>
  <c r="AT885" i="13"/>
  <c r="AL885" i="13"/>
  <c r="BA885" i="13"/>
  <c r="AS885" i="13"/>
  <c r="AK885" i="13"/>
  <c r="AY885" i="13"/>
  <c r="BT886" i="13"/>
  <c r="V887" i="13"/>
  <c r="U887" i="13"/>
  <c r="W887" i="13" s="1"/>
  <c r="AU888" i="13"/>
  <c r="AM888" i="13"/>
  <c r="BB888" i="13"/>
  <c r="AT888" i="13"/>
  <c r="AL888" i="13"/>
  <c r="BA888" i="13"/>
  <c r="AS888" i="13"/>
  <c r="AK888" i="13"/>
  <c r="AZ888" i="13"/>
  <c r="AR888" i="13"/>
  <c r="AJ888" i="13"/>
  <c r="AX888" i="13"/>
  <c r="AP888" i="13"/>
  <c r="AE894" i="13"/>
  <c r="BN921" i="13"/>
  <c r="AL858" i="13"/>
  <c r="AT858" i="13"/>
  <c r="AQ859" i="13"/>
  <c r="BE860" i="13"/>
  <c r="BM860" i="13"/>
  <c r="BG862" i="13"/>
  <c r="BO862" i="13"/>
  <c r="BL863" i="13"/>
  <c r="AJ864" i="13"/>
  <c r="AR864" i="13"/>
  <c r="BF865" i="13"/>
  <c r="BN865" i="13"/>
  <c r="AL866" i="13"/>
  <c r="AT866" i="13"/>
  <c r="AQ867" i="13"/>
  <c r="BE868" i="13"/>
  <c r="BM868" i="13"/>
  <c r="AK869" i="13"/>
  <c r="AS869" i="13"/>
  <c r="AP870" i="13"/>
  <c r="BG870" i="13"/>
  <c r="BO870" i="13"/>
  <c r="BL871" i="13"/>
  <c r="AJ872" i="13"/>
  <c r="AR872" i="13"/>
  <c r="AO873" i="13"/>
  <c r="BF873" i="13"/>
  <c r="BN873" i="13"/>
  <c r="AL874" i="13"/>
  <c r="AT874" i="13"/>
  <c r="BK874" i="13"/>
  <c r="AQ875" i="13"/>
  <c r="BE876" i="13"/>
  <c r="BM876" i="13"/>
  <c r="AK877" i="13"/>
  <c r="AS877" i="13"/>
  <c r="BB877" i="13"/>
  <c r="BN877" i="13"/>
  <c r="BA878" i="13"/>
  <c r="AS878" i="13"/>
  <c r="AK878" i="13"/>
  <c r="AX878" i="13"/>
  <c r="AP878" i="13"/>
  <c r="AT878" i="13"/>
  <c r="BE878" i="13"/>
  <c r="BP878" i="13"/>
  <c r="AL879" i="13"/>
  <c r="AW879" i="13"/>
  <c r="BL881" i="13"/>
  <c r="BW881" i="13"/>
  <c r="AW882" i="13"/>
  <c r="AO882" i="13"/>
  <c r="AU882" i="13"/>
  <c r="AM882" i="13"/>
  <c r="BB882" i="13"/>
  <c r="AT882" i="13"/>
  <c r="AL882" i="13"/>
  <c r="AV882" i="13"/>
  <c r="U884" i="13"/>
  <c r="W884" i="13" s="1"/>
  <c r="BP884" i="13"/>
  <c r="BH884" i="13"/>
  <c r="BW884" i="13"/>
  <c r="BO884" i="13"/>
  <c r="BG884" i="13"/>
  <c r="BV884" i="13"/>
  <c r="BN884" i="13"/>
  <c r="BF884" i="13"/>
  <c r="BU884" i="13"/>
  <c r="BM884" i="13"/>
  <c r="BE884" i="13"/>
  <c r="BT884" i="13"/>
  <c r="AJ885" i="13"/>
  <c r="AZ885" i="13"/>
  <c r="BV886" i="13"/>
  <c r="AN888" i="13"/>
  <c r="AB890" i="13"/>
  <c r="AY890" i="13"/>
  <c r="BV904" i="13"/>
  <c r="BN904" i="13"/>
  <c r="BF904" i="13"/>
  <c r="BU904" i="13"/>
  <c r="BM904" i="13"/>
  <c r="BE904" i="13"/>
  <c r="BO904" i="13"/>
  <c r="BL904" i="13"/>
  <c r="BW904" i="13"/>
  <c r="BK904" i="13"/>
  <c r="BT904" i="13"/>
  <c r="BJ904" i="13"/>
  <c r="BS904" i="13"/>
  <c r="BI904" i="13"/>
  <c r="BQ904" i="13"/>
  <c r="BG904" i="13"/>
  <c r="V907" i="13"/>
  <c r="U907" i="13"/>
  <c r="W907" i="13" s="1"/>
  <c r="AB928" i="13"/>
  <c r="AE928" i="13" s="1"/>
  <c r="AA928" i="13"/>
  <c r="AC928" i="13" s="1"/>
  <c r="BL889" i="13"/>
  <c r="BT889" i="13"/>
  <c r="BF891" i="13"/>
  <c r="BN891" i="13"/>
  <c r="BV891" i="13"/>
  <c r="AQ893" i="13"/>
  <c r="AY893" i="13"/>
  <c r="AK895" i="13"/>
  <c r="AS895" i="13"/>
  <c r="BA895" i="13"/>
  <c r="AW896" i="13"/>
  <c r="AO896" i="13"/>
  <c r="AV896" i="13"/>
  <c r="AR896" i="13"/>
  <c r="BB896" i="13"/>
  <c r="BB897" i="13"/>
  <c r="AT897" i="13"/>
  <c r="AL897" i="13"/>
  <c r="BA897" i="13"/>
  <c r="AS897" i="13"/>
  <c r="AK897" i="13"/>
  <c r="AU897" i="13"/>
  <c r="BF897" i="13"/>
  <c r="BP897" i="13"/>
  <c r="AU902" i="13"/>
  <c r="AM902" i="13"/>
  <c r="BB902" i="13"/>
  <c r="AT902" i="13"/>
  <c r="AL902" i="13"/>
  <c r="AS902" i="13"/>
  <c r="BQ903" i="13"/>
  <c r="BI903" i="13"/>
  <c r="BP903" i="13"/>
  <c r="BH903" i="13"/>
  <c r="BN903" i="13"/>
  <c r="AM905" i="13"/>
  <c r="AW905" i="13"/>
  <c r="AK907" i="13"/>
  <c r="AY907" i="13"/>
  <c r="AB910" i="13"/>
  <c r="AE910" i="13" s="1"/>
  <c r="AA910" i="13"/>
  <c r="AC910" i="13" s="1"/>
  <c r="BK911" i="13"/>
  <c r="AZ913" i="13"/>
  <c r="AR913" i="13"/>
  <c r="AJ913" i="13"/>
  <c r="AX913" i="13"/>
  <c r="AO913" i="13"/>
  <c r="AW913" i="13"/>
  <c r="AN913" i="13"/>
  <c r="AV913" i="13"/>
  <c r="AM913" i="13"/>
  <c r="AU913" i="13"/>
  <c r="AL913" i="13"/>
  <c r="AT913" i="13"/>
  <c r="AK913" i="13"/>
  <c r="BA913" i="13"/>
  <c r="AQ913" i="13"/>
  <c r="V914" i="13"/>
  <c r="AE914" i="13" s="1"/>
  <c r="U914" i="13"/>
  <c r="W914" i="13" s="1"/>
  <c r="V938" i="13"/>
  <c r="AE938" i="13" s="1"/>
  <c r="U938" i="13"/>
  <c r="W938" i="13" s="1"/>
  <c r="BL879" i="13"/>
  <c r="BT879" i="13"/>
  <c r="BI880" i="13"/>
  <c r="BQ880" i="13"/>
  <c r="BK882" i="13"/>
  <c r="BS882" i="13"/>
  <c r="AQ883" i="13"/>
  <c r="AY883" i="13"/>
  <c r="AN884" i="13"/>
  <c r="AV884" i="13"/>
  <c r="BJ885" i="13"/>
  <c r="BR885" i="13"/>
  <c r="AP886" i="13"/>
  <c r="AX886" i="13"/>
  <c r="BL887" i="13"/>
  <c r="BT887" i="13"/>
  <c r="BI888" i="13"/>
  <c r="BQ888" i="13"/>
  <c r="AO889" i="13"/>
  <c r="AW889" i="13"/>
  <c r="BF889" i="13"/>
  <c r="BN889" i="13"/>
  <c r="BV889" i="13"/>
  <c r="BK890" i="13"/>
  <c r="BS890" i="13"/>
  <c r="AQ891" i="13"/>
  <c r="AY891" i="13"/>
  <c r="BH891" i="13"/>
  <c r="BP891" i="13"/>
  <c r="AN892" i="13"/>
  <c r="AV892" i="13"/>
  <c r="AK893" i="13"/>
  <c r="AS893" i="13"/>
  <c r="BA893" i="13"/>
  <c r="BJ893" i="13"/>
  <c r="BR893" i="13"/>
  <c r="AP894" i="13"/>
  <c r="AX894" i="13"/>
  <c r="AM895" i="13"/>
  <c r="AU895" i="13"/>
  <c r="BL895" i="13"/>
  <c r="AK896" i="13"/>
  <c r="AT896" i="13"/>
  <c r="AM897" i="13"/>
  <c r="AW897" i="13"/>
  <c r="BH897" i="13"/>
  <c r="BT897" i="13"/>
  <c r="AP899" i="13"/>
  <c r="AP900" i="13"/>
  <c r="BM900" i="13"/>
  <c r="AX901" i="13"/>
  <c r="AP901" i="13"/>
  <c r="AW901" i="13"/>
  <c r="AO901" i="13"/>
  <c r="AS901" i="13"/>
  <c r="BW901" i="13"/>
  <c r="BO901" i="13"/>
  <c r="BG901" i="13"/>
  <c r="BV901" i="13"/>
  <c r="BN901" i="13"/>
  <c r="BF901" i="13"/>
  <c r="BP901" i="13"/>
  <c r="AK902" i="13"/>
  <c r="AW902" i="13"/>
  <c r="BF903" i="13"/>
  <c r="BR903" i="13"/>
  <c r="AO905" i="13"/>
  <c r="AY905" i="13"/>
  <c r="BL905" i="13"/>
  <c r="BW905" i="13"/>
  <c r="BM906" i="13"/>
  <c r="AO907" i="13"/>
  <c r="BA907" i="13"/>
  <c r="BA908" i="13"/>
  <c r="AS908" i="13"/>
  <c r="AK908" i="13"/>
  <c r="AZ908" i="13"/>
  <c r="AR908" i="13"/>
  <c r="AJ908" i="13"/>
  <c r="AU908" i="13"/>
  <c r="AM908" i="13"/>
  <c r="AW908" i="13"/>
  <c r="BQ911" i="13"/>
  <c r="AS913" i="13"/>
  <c r="AB955" i="13"/>
  <c r="AE955" i="13" s="1"/>
  <c r="AA955" i="13"/>
  <c r="AC955" i="13" s="1"/>
  <c r="BL882" i="13"/>
  <c r="BT882" i="13"/>
  <c r="BK885" i="13"/>
  <c r="BS885" i="13"/>
  <c r="AQ886" i="13"/>
  <c r="AY886" i="13"/>
  <c r="AP889" i="13"/>
  <c r="AX889" i="13"/>
  <c r="BG889" i="13"/>
  <c r="BO889" i="13"/>
  <c r="BW889" i="13"/>
  <c r="BL890" i="13"/>
  <c r="BT890" i="13"/>
  <c r="BI891" i="13"/>
  <c r="BQ891" i="13"/>
  <c r="AL893" i="13"/>
  <c r="AT893" i="13"/>
  <c r="BB893" i="13"/>
  <c r="BK893" i="13"/>
  <c r="BS893" i="13"/>
  <c r="AQ894" i="13"/>
  <c r="AY894" i="13"/>
  <c r="AN895" i="13"/>
  <c r="AV895" i="13"/>
  <c r="AL896" i="13"/>
  <c r="AU896" i="13"/>
  <c r="AN897" i="13"/>
  <c r="AX897" i="13"/>
  <c r="BI897" i="13"/>
  <c r="BU897" i="13"/>
  <c r="BR900" i="13"/>
  <c r="BJ900" i="13"/>
  <c r="BQ900" i="13"/>
  <c r="BI900" i="13"/>
  <c r="BN900" i="13"/>
  <c r="AN902" i="13"/>
  <c r="AX902" i="13"/>
  <c r="BG903" i="13"/>
  <c r="BS903" i="13"/>
  <c r="AP905" i="13"/>
  <c r="AZ905" i="13"/>
  <c r="AQ907" i="13"/>
  <c r="BB907" i="13"/>
  <c r="AL908" i="13"/>
  <c r="AX908" i="13"/>
  <c r="BT911" i="13"/>
  <c r="AY913" i="13"/>
  <c r="AW931" i="13"/>
  <c r="AO931" i="13"/>
  <c r="AV931" i="13"/>
  <c r="AN931" i="13"/>
  <c r="AU931" i="13"/>
  <c r="AM931" i="13"/>
  <c r="BB931" i="13"/>
  <c r="AT931" i="13"/>
  <c r="AL931" i="13"/>
  <c r="BA931" i="13"/>
  <c r="AS931" i="13"/>
  <c r="AK931" i="13"/>
  <c r="AX931" i="13"/>
  <c r="AR931" i="13"/>
  <c r="AQ931" i="13"/>
  <c r="AP931" i="13"/>
  <c r="AJ931" i="13"/>
  <c r="AZ931" i="13"/>
  <c r="V946" i="13"/>
  <c r="AE946" i="13" s="1"/>
  <c r="U946" i="13"/>
  <c r="W946" i="13" s="1"/>
  <c r="BL885" i="13"/>
  <c r="BT885" i="13"/>
  <c r="AQ889" i="13"/>
  <c r="AY889" i="13"/>
  <c r="BH889" i="13"/>
  <c r="BP889" i="13"/>
  <c r="BJ891" i="13"/>
  <c r="BR891" i="13"/>
  <c r="AM893" i="13"/>
  <c r="AU893" i="13"/>
  <c r="BL893" i="13"/>
  <c r="BT893" i="13"/>
  <c r="AO895" i="13"/>
  <c r="AW895" i="13"/>
  <c r="AM896" i="13"/>
  <c r="AX896" i="13"/>
  <c r="AO897" i="13"/>
  <c r="AY897" i="13"/>
  <c r="BL897" i="13"/>
  <c r="BV897" i="13"/>
  <c r="V899" i="13"/>
  <c r="U899" i="13"/>
  <c r="W899" i="13" s="1"/>
  <c r="AO902" i="13"/>
  <c r="AY902" i="13"/>
  <c r="BJ903" i="13"/>
  <c r="BT903" i="13"/>
  <c r="AQ905" i="13"/>
  <c r="BS905" i="13"/>
  <c r="BK905" i="13"/>
  <c r="BR905" i="13"/>
  <c r="BJ905" i="13"/>
  <c r="BU905" i="13"/>
  <c r="BN905" i="13"/>
  <c r="BP906" i="13"/>
  <c r="BH906" i="13"/>
  <c r="BW906" i="13"/>
  <c r="BO906" i="13"/>
  <c r="BG906" i="13"/>
  <c r="BR906" i="13"/>
  <c r="BJ906" i="13"/>
  <c r="BQ906" i="13"/>
  <c r="AR907" i="13"/>
  <c r="BR910" i="13"/>
  <c r="BJ910" i="13"/>
  <c r="BO910" i="13"/>
  <c r="BF910" i="13"/>
  <c r="BW910" i="13"/>
  <c r="BN910" i="13"/>
  <c r="BE910" i="13"/>
  <c r="BU910" i="13"/>
  <c r="BL910" i="13"/>
  <c r="BT910" i="13"/>
  <c r="BK910" i="13"/>
  <c r="BQ910" i="13"/>
  <c r="BH910" i="13"/>
  <c r="BB913" i="13"/>
  <c r="BS918" i="13"/>
  <c r="BK918" i="13"/>
  <c r="BR918" i="13"/>
  <c r="BJ918" i="13"/>
  <c r="BU918" i="13"/>
  <c r="BI918" i="13"/>
  <c r="BT918" i="13"/>
  <c r="BH918" i="13"/>
  <c r="BQ918" i="13"/>
  <c r="BG918" i="13"/>
  <c r="BP918" i="13"/>
  <c r="BF918" i="13"/>
  <c r="BO918" i="13"/>
  <c r="BE918" i="13"/>
  <c r="BW918" i="13"/>
  <c r="BM918" i="13"/>
  <c r="AE929" i="13"/>
  <c r="AX952" i="13"/>
  <c r="AP952" i="13"/>
  <c r="AW952" i="13"/>
  <c r="AO952" i="13"/>
  <c r="AV952" i="13"/>
  <c r="AN952" i="13"/>
  <c r="AU952" i="13"/>
  <c r="AM952" i="13"/>
  <c r="BB952" i="13"/>
  <c r="AT952" i="13"/>
  <c r="AL952" i="13"/>
  <c r="AY952" i="13"/>
  <c r="AS952" i="13"/>
  <c r="AR952" i="13"/>
  <c r="AQ952" i="13"/>
  <c r="AK952" i="13"/>
  <c r="BA952" i="13"/>
  <c r="AJ952" i="13"/>
  <c r="AF956" i="13"/>
  <c r="BG879" i="13"/>
  <c r="BO879" i="13"/>
  <c r="BL880" i="13"/>
  <c r="BF882" i="13"/>
  <c r="BN882" i="13"/>
  <c r="AL883" i="13"/>
  <c r="AT883" i="13"/>
  <c r="AQ884" i="13"/>
  <c r="BE885" i="13"/>
  <c r="BM885" i="13"/>
  <c r="AK886" i="13"/>
  <c r="AS886" i="13"/>
  <c r="BG887" i="13"/>
  <c r="BO887" i="13"/>
  <c r="BL888" i="13"/>
  <c r="AJ889" i="13"/>
  <c r="AR889" i="13"/>
  <c r="BI889" i="13"/>
  <c r="BF890" i="13"/>
  <c r="BN890" i="13"/>
  <c r="AL891" i="13"/>
  <c r="AT891" i="13"/>
  <c r="BK891" i="13"/>
  <c r="BS891" i="13"/>
  <c r="AQ892" i="13"/>
  <c r="AN893" i="13"/>
  <c r="BE893" i="13"/>
  <c r="BM893" i="13"/>
  <c r="AK894" i="13"/>
  <c r="AS894" i="13"/>
  <c r="AP895" i="13"/>
  <c r="AX895" i="13"/>
  <c r="AN896" i="13"/>
  <c r="AY896" i="13"/>
  <c r="AP897" i="13"/>
  <c r="AZ897" i="13"/>
  <c r="BM897" i="13"/>
  <c r="AV899" i="13"/>
  <c r="AN899" i="13"/>
  <c r="AU899" i="13"/>
  <c r="AM899" i="13"/>
  <c r="AS899" i="13"/>
  <c r="BA900" i="13"/>
  <c r="AS900" i="13"/>
  <c r="AK900" i="13"/>
  <c r="AZ900" i="13"/>
  <c r="AR900" i="13"/>
  <c r="AJ900" i="13"/>
  <c r="AU900" i="13"/>
  <c r="BF900" i="13"/>
  <c r="BP900" i="13"/>
  <c r="AP902" i="13"/>
  <c r="AZ902" i="13"/>
  <c r="BK903" i="13"/>
  <c r="BU903" i="13"/>
  <c r="BE905" i="13"/>
  <c r="BO905" i="13"/>
  <c r="BE906" i="13"/>
  <c r="BS906" i="13"/>
  <c r="AB908" i="13"/>
  <c r="AA908" i="13"/>
  <c r="AC908" i="13" s="1"/>
  <c r="AO908" i="13"/>
  <c r="BB908" i="13"/>
  <c r="AB909" i="13"/>
  <c r="BG910" i="13"/>
  <c r="BL918" i="13"/>
  <c r="AV934" i="13"/>
  <c r="AN934" i="13"/>
  <c r="AU934" i="13"/>
  <c r="AM934" i="13"/>
  <c r="BB934" i="13"/>
  <c r="AT934" i="13"/>
  <c r="AL934" i="13"/>
  <c r="BA934" i="13"/>
  <c r="AS934" i="13"/>
  <c r="AK934" i="13"/>
  <c r="AZ934" i="13"/>
  <c r="AR934" i="13"/>
  <c r="AJ934" i="13"/>
  <c r="AX934" i="13"/>
  <c r="AW934" i="13"/>
  <c r="AQ934" i="13"/>
  <c r="AP934" i="13"/>
  <c r="AO934" i="13"/>
  <c r="AZ952" i="13"/>
  <c r="BL891" i="13"/>
  <c r="AQ895" i="13"/>
  <c r="BS897" i="13"/>
  <c r="BK897" i="13"/>
  <c r="BR897" i="13"/>
  <c r="BJ897" i="13"/>
  <c r="BN897" i="13"/>
  <c r="BB905" i="13"/>
  <c r="AT905" i="13"/>
  <c r="AL905" i="13"/>
  <c r="BA905" i="13"/>
  <c r="AS905" i="13"/>
  <c r="AK905" i="13"/>
  <c r="AU905" i="13"/>
  <c r="AV907" i="13"/>
  <c r="AN907" i="13"/>
  <c r="AU907" i="13"/>
  <c r="AM907" i="13"/>
  <c r="AX907" i="13"/>
  <c r="AP907" i="13"/>
  <c r="AT907" i="13"/>
  <c r="BW911" i="13"/>
  <c r="BO911" i="13"/>
  <c r="BG911" i="13"/>
  <c r="BS911" i="13"/>
  <c r="BJ911" i="13"/>
  <c r="BR911" i="13"/>
  <c r="BI911" i="13"/>
  <c r="BP911" i="13"/>
  <c r="BF911" i="13"/>
  <c r="BN911" i="13"/>
  <c r="BE911" i="13"/>
  <c r="BU911" i="13"/>
  <c r="BL911" i="13"/>
  <c r="AB912" i="13"/>
  <c r="AA912" i="13"/>
  <c r="AC912" i="13" s="1"/>
  <c r="V930" i="13"/>
  <c r="AE930" i="13" s="1"/>
  <c r="U930" i="13"/>
  <c r="W930" i="13" s="1"/>
  <c r="V945" i="13"/>
  <c r="AE945" i="13" s="1"/>
  <c r="U945" i="13"/>
  <c r="W945" i="13" s="1"/>
  <c r="BL908" i="13"/>
  <c r="BT908" i="13"/>
  <c r="BU909" i="13"/>
  <c r="BM909" i="13"/>
  <c r="BE909" i="13"/>
  <c r="BN909" i="13"/>
  <c r="BW909" i="13"/>
  <c r="AO910" i="13"/>
  <c r="AO912" i="13"/>
  <c r="BK913" i="13"/>
  <c r="AQ914" i="13"/>
  <c r="AE917" i="13"/>
  <c r="AP918" i="13"/>
  <c r="BL919" i="13"/>
  <c r="AV920" i="13"/>
  <c r="AN920" i="13"/>
  <c r="AU920" i="13"/>
  <c r="AM920" i="13"/>
  <c r="AS920" i="13"/>
  <c r="AP921" i="13"/>
  <c r="AX925" i="13"/>
  <c r="AP925" i="13"/>
  <c r="AW925" i="13"/>
  <c r="AO925" i="13"/>
  <c r="AV925" i="13"/>
  <c r="AN925" i="13"/>
  <c r="AU925" i="13"/>
  <c r="AM925" i="13"/>
  <c r="AY925" i="13"/>
  <c r="AB926" i="13"/>
  <c r="AA926" i="13"/>
  <c r="AC926" i="13" s="1"/>
  <c r="BM932" i="13"/>
  <c r="BV938" i="13"/>
  <c r="BN938" i="13"/>
  <c r="BF938" i="13"/>
  <c r="BU938" i="13"/>
  <c r="BM938" i="13"/>
  <c r="BE938" i="13"/>
  <c r="BW938" i="13"/>
  <c r="BK938" i="13"/>
  <c r="BT938" i="13"/>
  <c r="BJ938" i="13"/>
  <c r="BS938" i="13"/>
  <c r="BI938" i="13"/>
  <c r="BR938" i="13"/>
  <c r="BH938" i="13"/>
  <c r="BQ938" i="13"/>
  <c r="BG938" i="13"/>
  <c r="V949" i="13"/>
  <c r="AE949" i="13" s="1"/>
  <c r="U949" i="13"/>
  <c r="W949" i="13" s="1"/>
  <c r="AF967" i="13"/>
  <c r="BR913" i="13"/>
  <c r="BQ913" i="13"/>
  <c r="BI913" i="13"/>
  <c r="BM913" i="13"/>
  <c r="BW913" i="13"/>
  <c r="AX914" i="13"/>
  <c r="AP914" i="13"/>
  <c r="AW914" i="13"/>
  <c r="AO914" i="13"/>
  <c r="AS914" i="13"/>
  <c r="BW914" i="13"/>
  <c r="BO914" i="13"/>
  <c r="BG914" i="13"/>
  <c r="BV914" i="13"/>
  <c r="BN914" i="13"/>
  <c r="BF914" i="13"/>
  <c r="BP914" i="13"/>
  <c r="BP919" i="13"/>
  <c r="BH919" i="13"/>
  <c r="BW919" i="13"/>
  <c r="BO919" i="13"/>
  <c r="BG919" i="13"/>
  <c r="BN919" i="13"/>
  <c r="AV923" i="13"/>
  <c r="AN923" i="13"/>
  <c r="AU923" i="13"/>
  <c r="AM923" i="13"/>
  <c r="BB923" i="13"/>
  <c r="AT923" i="13"/>
  <c r="AL923" i="13"/>
  <c r="AW923" i="13"/>
  <c r="BR924" i="13"/>
  <c r="BJ924" i="13"/>
  <c r="BQ924" i="13"/>
  <c r="BI924" i="13"/>
  <c r="BP924" i="13"/>
  <c r="BH924" i="13"/>
  <c r="BW924" i="13"/>
  <c r="BO924" i="13"/>
  <c r="BG924" i="13"/>
  <c r="BT924" i="13"/>
  <c r="BR927" i="13"/>
  <c r="BJ927" i="13"/>
  <c r="BQ927" i="13"/>
  <c r="BI927" i="13"/>
  <c r="BP927" i="13"/>
  <c r="BH927" i="13"/>
  <c r="BW927" i="13"/>
  <c r="BO927" i="13"/>
  <c r="BG927" i="13"/>
  <c r="BV927" i="13"/>
  <c r="BN927" i="13"/>
  <c r="BF927" i="13"/>
  <c r="AW938" i="13"/>
  <c r="AO938" i="13"/>
  <c r="AV938" i="13"/>
  <c r="AN938" i="13"/>
  <c r="AZ938" i="13"/>
  <c r="AP938" i="13"/>
  <c r="AY938" i="13"/>
  <c r="AM938" i="13"/>
  <c r="AX938" i="13"/>
  <c r="AL938" i="13"/>
  <c r="AU938" i="13"/>
  <c r="AK938" i="13"/>
  <c r="AT938" i="13"/>
  <c r="AJ938" i="13"/>
  <c r="AF940" i="13"/>
  <c r="AX946" i="13"/>
  <c r="AP946" i="13"/>
  <c r="AW946" i="13"/>
  <c r="AO946" i="13"/>
  <c r="AV946" i="13"/>
  <c r="AN946" i="13"/>
  <c r="AS946" i="13"/>
  <c r="AR946" i="13"/>
  <c r="BB946" i="13"/>
  <c r="AQ946" i="13"/>
  <c r="BA946" i="13"/>
  <c r="AM946" i="13"/>
  <c r="AZ946" i="13"/>
  <c r="AL946" i="13"/>
  <c r="U959" i="13"/>
  <c r="W959" i="13" s="1"/>
  <c r="V959" i="13"/>
  <c r="BA910" i="13"/>
  <c r="AS910" i="13"/>
  <c r="AK910" i="13"/>
  <c r="AR910" i="13"/>
  <c r="BB910" i="13"/>
  <c r="AU912" i="13"/>
  <c r="AM912" i="13"/>
  <c r="AR912" i="13"/>
  <c r="BA912" i="13"/>
  <c r="AB913" i="13"/>
  <c r="BE913" i="13"/>
  <c r="BN913" i="13"/>
  <c r="AJ914" i="13"/>
  <c r="AT914" i="13"/>
  <c r="BE914" i="13"/>
  <c r="BQ914" i="13"/>
  <c r="BB918" i="13"/>
  <c r="AT918" i="13"/>
  <c r="AL918" i="13"/>
  <c r="BA918" i="13"/>
  <c r="AS918" i="13"/>
  <c r="AK918" i="13"/>
  <c r="AU918" i="13"/>
  <c r="BE919" i="13"/>
  <c r="BQ919" i="13"/>
  <c r="AA920" i="13"/>
  <c r="AC920" i="13" s="1"/>
  <c r="BA921" i="13"/>
  <c r="AS921" i="13"/>
  <c r="AK921" i="13"/>
  <c r="AZ921" i="13"/>
  <c r="AR921" i="13"/>
  <c r="AJ921" i="13"/>
  <c r="AU921" i="13"/>
  <c r="AJ923" i="13"/>
  <c r="AX923" i="13"/>
  <c r="BE924" i="13"/>
  <c r="BU924" i="13"/>
  <c r="V925" i="13"/>
  <c r="AE925" i="13" s="1"/>
  <c r="U925" i="13"/>
  <c r="W925" i="13" s="1"/>
  <c r="AL925" i="13"/>
  <c r="BB925" i="13"/>
  <c r="BE927" i="13"/>
  <c r="V933" i="13"/>
  <c r="AE933" i="13" s="1"/>
  <c r="U933" i="13"/>
  <c r="W933" i="13" s="1"/>
  <c r="AQ938" i="13"/>
  <c r="BP938" i="13"/>
  <c r="AJ946" i="13"/>
  <c r="AW949" i="13"/>
  <c r="AO949" i="13"/>
  <c r="AV949" i="13"/>
  <c r="AN949" i="13"/>
  <c r="AU949" i="13"/>
  <c r="AM949" i="13"/>
  <c r="AS949" i="13"/>
  <c r="AR949" i="13"/>
  <c r="BB949" i="13"/>
  <c r="AQ949" i="13"/>
  <c r="BA949" i="13"/>
  <c r="AP949" i="13"/>
  <c r="AZ949" i="13"/>
  <c r="AL949" i="13"/>
  <c r="AB950" i="13"/>
  <c r="AE950" i="13" s="1"/>
  <c r="AA950" i="13"/>
  <c r="AC950" i="13" s="1"/>
  <c r="BF913" i="13"/>
  <c r="BO913" i="13"/>
  <c r="AK914" i="13"/>
  <c r="AU914" i="13"/>
  <c r="BH914" i="13"/>
  <c r="BR914" i="13"/>
  <c r="AA915" i="13"/>
  <c r="AC915" i="13" s="1"/>
  <c r="U917" i="13"/>
  <c r="W917" i="13" s="1"/>
  <c r="AW917" i="13"/>
  <c r="AO917" i="13"/>
  <c r="AV917" i="13"/>
  <c r="AN917" i="13"/>
  <c r="AS917" i="13"/>
  <c r="BV917" i="13"/>
  <c r="BN917" i="13"/>
  <c r="BF917" i="13"/>
  <c r="BU917" i="13"/>
  <c r="BM917" i="13"/>
  <c r="BE917" i="13"/>
  <c r="BP917" i="13"/>
  <c r="AJ918" i="13"/>
  <c r="AV918" i="13"/>
  <c r="BF919" i="13"/>
  <c r="BR919" i="13"/>
  <c r="AO920" i="13"/>
  <c r="AY920" i="13"/>
  <c r="AL921" i="13"/>
  <c r="AV921" i="13"/>
  <c r="AK923" i="13"/>
  <c r="AY923" i="13"/>
  <c r="BF924" i="13"/>
  <c r="BV924" i="13"/>
  <c r="AQ925" i="13"/>
  <c r="AU926" i="13"/>
  <c r="AM926" i="13"/>
  <c r="BB926" i="13"/>
  <c r="AT926" i="13"/>
  <c r="AL926" i="13"/>
  <c r="BA926" i="13"/>
  <c r="AS926" i="13"/>
  <c r="AK926" i="13"/>
  <c r="AZ926" i="13"/>
  <c r="AR926" i="13"/>
  <c r="AJ926" i="13"/>
  <c r="AY926" i="13"/>
  <c r="BK927" i="13"/>
  <c r="AX928" i="13"/>
  <c r="AP928" i="13"/>
  <c r="AW928" i="13"/>
  <c r="AO928" i="13"/>
  <c r="AV928" i="13"/>
  <c r="AN928" i="13"/>
  <c r="AU928" i="13"/>
  <c r="AM928" i="13"/>
  <c r="BB928" i="13"/>
  <c r="AT928" i="13"/>
  <c r="AL928" i="13"/>
  <c r="BA928" i="13"/>
  <c r="BQ930" i="13"/>
  <c r="BI930" i="13"/>
  <c r="BP930" i="13"/>
  <c r="BH930" i="13"/>
  <c r="BW930" i="13"/>
  <c r="BO930" i="13"/>
  <c r="BG930" i="13"/>
  <c r="BV930" i="13"/>
  <c r="BN930" i="13"/>
  <c r="BF930" i="13"/>
  <c r="BU930" i="13"/>
  <c r="BM930" i="13"/>
  <c r="BE930" i="13"/>
  <c r="BS932" i="13"/>
  <c r="BK932" i="13"/>
  <c r="BR932" i="13"/>
  <c r="BJ932" i="13"/>
  <c r="BQ932" i="13"/>
  <c r="BI932" i="13"/>
  <c r="BP932" i="13"/>
  <c r="BH932" i="13"/>
  <c r="BW932" i="13"/>
  <c r="BO932" i="13"/>
  <c r="BG932" i="13"/>
  <c r="BV932" i="13"/>
  <c r="AR938" i="13"/>
  <c r="AB941" i="13"/>
  <c r="AA941" i="13"/>
  <c r="AC941" i="13" s="1"/>
  <c r="AK946" i="13"/>
  <c r="AJ949" i="13"/>
  <c r="BV966" i="13"/>
  <c r="BN966" i="13"/>
  <c r="BF966" i="13"/>
  <c r="BU966" i="13"/>
  <c r="BL966" i="13"/>
  <c r="BS966" i="13"/>
  <c r="BJ966" i="13"/>
  <c r="BR966" i="13"/>
  <c r="BI966" i="13"/>
  <c r="BM966" i="13"/>
  <c r="BK966" i="13"/>
  <c r="BH966" i="13"/>
  <c r="BW966" i="13"/>
  <c r="BG966" i="13"/>
  <c r="BT966" i="13"/>
  <c r="BE966" i="13"/>
  <c r="BP966" i="13"/>
  <c r="BQ966" i="13"/>
  <c r="BO966" i="13"/>
  <c r="AP898" i="13"/>
  <c r="AX898" i="13"/>
  <c r="BL899" i="13"/>
  <c r="BT899" i="13"/>
  <c r="BK902" i="13"/>
  <c r="BS902" i="13"/>
  <c r="AQ903" i="13"/>
  <c r="AY903" i="13"/>
  <c r="AP906" i="13"/>
  <c r="AX906" i="13"/>
  <c r="BL907" i="13"/>
  <c r="BT907" i="13"/>
  <c r="BI908" i="13"/>
  <c r="BQ908" i="13"/>
  <c r="AQ909" i="13"/>
  <c r="BJ909" i="13"/>
  <c r="BS909" i="13"/>
  <c r="AL910" i="13"/>
  <c r="AU910" i="13"/>
  <c r="AK912" i="13"/>
  <c r="AT912" i="13"/>
  <c r="BG913" i="13"/>
  <c r="BP913" i="13"/>
  <c r="AA914" i="13"/>
  <c r="AC914" i="13" s="1"/>
  <c r="AL914" i="13"/>
  <c r="AV914" i="13"/>
  <c r="BI914" i="13"/>
  <c r="BS914" i="13"/>
  <c r="BQ916" i="13"/>
  <c r="BI916" i="13"/>
  <c r="BP916" i="13"/>
  <c r="BH916" i="13"/>
  <c r="BN916" i="13"/>
  <c r="AJ917" i="13"/>
  <c r="AT917" i="13"/>
  <c r="BG917" i="13"/>
  <c r="BQ917" i="13"/>
  <c r="AM918" i="13"/>
  <c r="AW918" i="13"/>
  <c r="BI919" i="13"/>
  <c r="BS919" i="13"/>
  <c r="AP920" i="13"/>
  <c r="AZ920" i="13"/>
  <c r="AB921" i="13"/>
  <c r="AE921" i="13" s="1"/>
  <c r="AA921" i="13"/>
  <c r="AC921" i="13" s="1"/>
  <c r="AM921" i="13"/>
  <c r="AW921" i="13"/>
  <c r="AO923" i="13"/>
  <c r="AZ923" i="13"/>
  <c r="BK924" i="13"/>
  <c r="AA925" i="13"/>
  <c r="AC925" i="13" s="1"/>
  <c r="AR925" i="13"/>
  <c r="AN926" i="13"/>
  <c r="BL927" i="13"/>
  <c r="AJ928" i="13"/>
  <c r="BJ930" i="13"/>
  <c r="BE932" i="13"/>
  <c r="U935" i="13"/>
  <c r="W935" i="13" s="1"/>
  <c r="BR935" i="13"/>
  <c r="BJ935" i="13"/>
  <c r="BQ935" i="13"/>
  <c r="BI935" i="13"/>
  <c r="BP935" i="13"/>
  <c r="BH935" i="13"/>
  <c r="BW935" i="13"/>
  <c r="BO935" i="13"/>
  <c r="BG935" i="13"/>
  <c r="BV935" i="13"/>
  <c r="BN935" i="13"/>
  <c r="BF935" i="13"/>
  <c r="AA936" i="13"/>
  <c r="AC936" i="13" s="1"/>
  <c r="AS938" i="13"/>
  <c r="AV941" i="13"/>
  <c r="AN941" i="13"/>
  <c r="AU941" i="13"/>
  <c r="AM941" i="13"/>
  <c r="BB941" i="13"/>
  <c r="AR941" i="13"/>
  <c r="BA941" i="13"/>
  <c r="AQ941" i="13"/>
  <c r="AZ941" i="13"/>
  <c r="AP941" i="13"/>
  <c r="AY941" i="13"/>
  <c r="AO941" i="13"/>
  <c r="AX941" i="13"/>
  <c r="AL941" i="13"/>
  <c r="AB942" i="13"/>
  <c r="AE942" i="13" s="1"/>
  <c r="AA942" i="13"/>
  <c r="AC942" i="13" s="1"/>
  <c r="AT946" i="13"/>
  <c r="AU947" i="13"/>
  <c r="AM947" i="13"/>
  <c r="BB947" i="13"/>
  <c r="AT947" i="13"/>
  <c r="AL947" i="13"/>
  <c r="BA947" i="13"/>
  <c r="AS947" i="13"/>
  <c r="AK947" i="13"/>
  <c r="AR947" i="13"/>
  <c r="AQ947" i="13"/>
  <c r="AP947" i="13"/>
  <c r="AZ947" i="13"/>
  <c r="AO947" i="13"/>
  <c r="AY947" i="13"/>
  <c r="AN947" i="13"/>
  <c r="AK949" i="13"/>
  <c r="AQ898" i="13"/>
  <c r="BE899" i="13"/>
  <c r="BM899" i="13"/>
  <c r="BL902" i="13"/>
  <c r="AJ903" i="13"/>
  <c r="AR903" i="13"/>
  <c r="AQ906" i="13"/>
  <c r="BE907" i="13"/>
  <c r="BM907" i="13"/>
  <c r="BJ908" i="13"/>
  <c r="AV909" i="13"/>
  <c r="AN909" i="13"/>
  <c r="AR909" i="13"/>
  <c r="BA909" i="13"/>
  <c r="BK909" i="13"/>
  <c r="BT909" i="13"/>
  <c r="AM910" i="13"/>
  <c r="AV910" i="13"/>
  <c r="AL912" i="13"/>
  <c r="AV912" i="13"/>
  <c r="BH913" i="13"/>
  <c r="BS913" i="13"/>
  <c r="AM914" i="13"/>
  <c r="AY914" i="13"/>
  <c r="BJ914" i="13"/>
  <c r="BT914" i="13"/>
  <c r="BE916" i="13"/>
  <c r="BO916" i="13"/>
  <c r="AK917" i="13"/>
  <c r="AU917" i="13"/>
  <c r="BH917" i="13"/>
  <c r="BR917" i="13"/>
  <c r="AA918" i="13"/>
  <c r="AC918" i="13" s="1"/>
  <c r="AN918" i="13"/>
  <c r="AX918" i="13"/>
  <c r="BJ919" i="13"/>
  <c r="BT919" i="13"/>
  <c r="AQ920" i="13"/>
  <c r="BA920" i="13"/>
  <c r="AN921" i="13"/>
  <c r="AX921" i="13"/>
  <c r="BP922" i="13"/>
  <c r="BH922" i="13"/>
  <c r="BW922" i="13"/>
  <c r="BO922" i="13"/>
  <c r="BG922" i="13"/>
  <c r="BV922" i="13"/>
  <c r="BN922" i="13"/>
  <c r="BF922" i="13"/>
  <c r="BR922" i="13"/>
  <c r="AP923" i="13"/>
  <c r="BA923" i="13"/>
  <c r="BL924" i="13"/>
  <c r="AS925" i="13"/>
  <c r="AO926" i="13"/>
  <c r="BM927" i="13"/>
  <c r="AK928" i="13"/>
  <c r="BK930" i="13"/>
  <c r="BF932" i="13"/>
  <c r="AB934" i="13"/>
  <c r="AE934" i="13" s="1"/>
  <c r="AA934" i="13"/>
  <c r="AC934" i="13" s="1"/>
  <c r="BE935" i="13"/>
  <c r="BA938" i="13"/>
  <c r="BP940" i="13"/>
  <c r="BH940" i="13"/>
  <c r="BW940" i="13"/>
  <c r="BO940" i="13"/>
  <c r="BG940" i="13"/>
  <c r="BU940" i="13"/>
  <c r="BK940" i="13"/>
  <c r="BT940" i="13"/>
  <c r="BJ940" i="13"/>
  <c r="BS940" i="13"/>
  <c r="BI940" i="13"/>
  <c r="BR940" i="13"/>
  <c r="BF940" i="13"/>
  <c r="BQ940" i="13"/>
  <c r="BE940" i="13"/>
  <c r="AJ941" i="13"/>
  <c r="BA942" i="13"/>
  <c r="AS942" i="13"/>
  <c r="AK942" i="13"/>
  <c r="AZ942" i="13"/>
  <c r="AR942" i="13"/>
  <c r="AJ942" i="13"/>
  <c r="AT942" i="13"/>
  <c r="AQ942" i="13"/>
  <c r="BB942" i="13"/>
  <c r="AP942" i="13"/>
  <c r="AY942" i="13"/>
  <c r="AO942" i="13"/>
  <c r="AX942" i="13"/>
  <c r="AN942" i="13"/>
  <c r="AU946" i="13"/>
  <c r="AJ947" i="13"/>
  <c r="AT949" i="13"/>
  <c r="V965" i="13"/>
  <c r="AE965" i="13" s="1"/>
  <c r="U965" i="13"/>
  <c r="W965" i="13" s="1"/>
  <c r="V969" i="13"/>
  <c r="AE969" i="13" s="1"/>
  <c r="U969" i="13"/>
  <c r="W969" i="13" s="1"/>
  <c r="BL925" i="13"/>
  <c r="BT925" i="13"/>
  <c r="AQ929" i="13"/>
  <c r="AY929" i="13"/>
  <c r="BH929" i="13"/>
  <c r="BP929" i="13"/>
  <c r="AM933" i="13"/>
  <c r="AU933" i="13"/>
  <c r="BL933" i="13"/>
  <c r="BT933" i="13"/>
  <c r="AQ937" i="13"/>
  <c r="AY937" i="13"/>
  <c r="AU944" i="13"/>
  <c r="AM944" i="13"/>
  <c r="BB944" i="13"/>
  <c r="AT944" i="13"/>
  <c r="AL944" i="13"/>
  <c r="AS944" i="13"/>
  <c r="AW955" i="13"/>
  <c r="AO955" i="13"/>
  <c r="AV955" i="13"/>
  <c r="AN955" i="13"/>
  <c r="AU955" i="13"/>
  <c r="AM955" i="13"/>
  <c r="BB955" i="13"/>
  <c r="AT955" i="13"/>
  <c r="AL955" i="13"/>
  <c r="BA955" i="13"/>
  <c r="AS955" i="13"/>
  <c r="AK955" i="13"/>
  <c r="V957" i="13"/>
  <c r="AE957" i="13" s="1"/>
  <c r="U957" i="13"/>
  <c r="W957" i="13" s="1"/>
  <c r="AA979" i="13"/>
  <c r="AC979" i="13" s="1"/>
  <c r="AB979" i="13"/>
  <c r="BL912" i="13"/>
  <c r="BK915" i="13"/>
  <c r="BS915" i="13"/>
  <c r="AQ916" i="13"/>
  <c r="AP919" i="13"/>
  <c r="AX919" i="13"/>
  <c r="BL920" i="13"/>
  <c r="AO922" i="13"/>
  <c r="AW922" i="13"/>
  <c r="BK923" i="13"/>
  <c r="BS923" i="13"/>
  <c r="AQ924" i="13"/>
  <c r="BE925" i="13"/>
  <c r="BM925" i="13"/>
  <c r="BU925" i="13"/>
  <c r="BJ926" i="13"/>
  <c r="BR926" i="13"/>
  <c r="AP927" i="13"/>
  <c r="AX927" i="13"/>
  <c r="U928" i="13"/>
  <c r="W928" i="13" s="1"/>
  <c r="BL928" i="13"/>
  <c r="AA929" i="13"/>
  <c r="AC929" i="13" s="1"/>
  <c r="AJ929" i="13"/>
  <c r="AR929" i="13"/>
  <c r="AZ929" i="13"/>
  <c r="BI929" i="13"/>
  <c r="BQ929" i="13"/>
  <c r="AO930" i="13"/>
  <c r="AW930" i="13"/>
  <c r="BK931" i="13"/>
  <c r="BS931" i="13"/>
  <c r="AQ932" i="13"/>
  <c r="AN933" i="13"/>
  <c r="AV933" i="13"/>
  <c r="BE933" i="13"/>
  <c r="BM933" i="13"/>
  <c r="BU933" i="13"/>
  <c r="BJ934" i="13"/>
  <c r="BR934" i="13"/>
  <c r="AP935" i="13"/>
  <c r="AX935" i="13"/>
  <c r="U936" i="13"/>
  <c r="W936" i="13" s="1"/>
  <c r="BL936" i="13"/>
  <c r="AA937" i="13"/>
  <c r="AC937" i="13" s="1"/>
  <c r="AJ937" i="13"/>
  <c r="AR937" i="13"/>
  <c r="AZ937" i="13"/>
  <c r="BI937" i="13"/>
  <c r="BR937" i="13"/>
  <c r="AA939" i="13"/>
  <c r="AC939" i="13" s="1"/>
  <c r="BI939" i="13"/>
  <c r="BU939" i="13"/>
  <c r="BL942" i="13"/>
  <c r="BV942" i="13"/>
  <c r="AR943" i="13"/>
  <c r="AJ944" i="13"/>
  <c r="AV944" i="13"/>
  <c r="AA946" i="13"/>
  <c r="AC946" i="13" s="1"/>
  <c r="BP946" i="13"/>
  <c r="BM948" i="13"/>
  <c r="AA949" i="13"/>
  <c r="AC949" i="13" s="1"/>
  <c r="AU950" i="13"/>
  <c r="AM950" i="13"/>
  <c r="BB950" i="13"/>
  <c r="AT950" i="13"/>
  <c r="AL950" i="13"/>
  <c r="BA950" i="13"/>
  <c r="AS950" i="13"/>
  <c r="AK950" i="13"/>
  <c r="AZ950" i="13"/>
  <c r="AR950" i="13"/>
  <c r="AJ950" i="13"/>
  <c r="AY950" i="13"/>
  <c r="BT951" i="13"/>
  <c r="U954" i="13"/>
  <c r="W954" i="13" s="1"/>
  <c r="AJ955" i="13"/>
  <c r="BS956" i="13"/>
  <c r="BK956" i="13"/>
  <c r="BR956" i="13"/>
  <c r="BJ956" i="13"/>
  <c r="BQ956" i="13"/>
  <c r="BI956" i="13"/>
  <c r="BP956" i="13"/>
  <c r="BH956" i="13"/>
  <c r="BW956" i="13"/>
  <c r="BO956" i="13"/>
  <c r="BG956" i="13"/>
  <c r="BV956" i="13"/>
  <c r="AB958" i="13"/>
  <c r="AE958" i="13" s="1"/>
  <c r="AA958" i="13"/>
  <c r="AC958" i="13" s="1"/>
  <c r="AX958" i="13"/>
  <c r="AB960" i="13"/>
  <c r="BU963" i="13"/>
  <c r="BM963" i="13"/>
  <c r="BE963" i="13"/>
  <c r="BS963" i="13"/>
  <c r="BK963" i="13"/>
  <c r="BV963" i="13"/>
  <c r="BJ963" i="13"/>
  <c r="BT963" i="13"/>
  <c r="BI963" i="13"/>
  <c r="BR963" i="13"/>
  <c r="BH963" i="13"/>
  <c r="BQ963" i="13"/>
  <c r="BG963" i="13"/>
  <c r="BP963" i="13"/>
  <c r="BF963" i="13"/>
  <c r="BN963" i="13"/>
  <c r="BL915" i="13"/>
  <c r="AQ919" i="13"/>
  <c r="AP922" i="13"/>
  <c r="AX922" i="13"/>
  <c r="BL923" i="13"/>
  <c r="BF925" i="13"/>
  <c r="BN925" i="13"/>
  <c r="BV925" i="13"/>
  <c r="BK926" i="13"/>
  <c r="BS926" i="13"/>
  <c r="AQ927" i="13"/>
  <c r="AK929" i="13"/>
  <c r="AS929" i="13"/>
  <c r="BA929" i="13"/>
  <c r="BJ929" i="13"/>
  <c r="BR929" i="13"/>
  <c r="AP930" i="13"/>
  <c r="AX930" i="13"/>
  <c r="BL931" i="13"/>
  <c r="AO933" i="13"/>
  <c r="AW933" i="13"/>
  <c r="BF933" i="13"/>
  <c r="BN933" i="13"/>
  <c r="BV933" i="13"/>
  <c r="BK934" i="13"/>
  <c r="BS934" i="13"/>
  <c r="AQ935" i="13"/>
  <c r="AK937" i="13"/>
  <c r="AS937" i="13"/>
  <c r="BA937" i="13"/>
  <c r="BJ937" i="13"/>
  <c r="BS937" i="13"/>
  <c r="BL939" i="13"/>
  <c r="BV939" i="13"/>
  <c r="BM942" i="13"/>
  <c r="AX943" i="13"/>
  <c r="AP943" i="13"/>
  <c r="AW943" i="13"/>
  <c r="AO943" i="13"/>
  <c r="AS943" i="13"/>
  <c r="BW943" i="13"/>
  <c r="BO943" i="13"/>
  <c r="BG943" i="13"/>
  <c r="BV943" i="13"/>
  <c r="BN943" i="13"/>
  <c r="BF943" i="13"/>
  <c r="BP943" i="13"/>
  <c r="AK944" i="13"/>
  <c r="AW944" i="13"/>
  <c r="BR945" i="13"/>
  <c r="BJ945" i="13"/>
  <c r="BQ945" i="13"/>
  <c r="BI945" i="13"/>
  <c r="BP945" i="13"/>
  <c r="BH945" i="13"/>
  <c r="BO945" i="13"/>
  <c r="AP955" i="13"/>
  <c r="BE956" i="13"/>
  <c r="AQ922" i="13"/>
  <c r="BG925" i="13"/>
  <c r="BO925" i="13"/>
  <c r="BL926" i="13"/>
  <c r="AL929" i="13"/>
  <c r="AT929" i="13"/>
  <c r="BK929" i="13"/>
  <c r="BS929" i="13"/>
  <c r="AQ930" i="13"/>
  <c r="AP933" i="13"/>
  <c r="AX933" i="13"/>
  <c r="BG933" i="13"/>
  <c r="BO933" i="13"/>
  <c r="BL934" i="13"/>
  <c r="AL937" i="13"/>
  <c r="AT937" i="13"/>
  <c r="BB937" i="13"/>
  <c r="BK937" i="13"/>
  <c r="BT937" i="13"/>
  <c r="BM939" i="13"/>
  <c r="BR942" i="13"/>
  <c r="BJ942" i="13"/>
  <c r="BQ942" i="13"/>
  <c r="BI942" i="13"/>
  <c r="BN942" i="13"/>
  <c r="AN944" i="13"/>
  <c r="AX944" i="13"/>
  <c r="BW946" i="13"/>
  <c r="BO946" i="13"/>
  <c r="BG946" i="13"/>
  <c r="BV946" i="13"/>
  <c r="BN946" i="13"/>
  <c r="BF946" i="13"/>
  <c r="BU946" i="13"/>
  <c r="BM946" i="13"/>
  <c r="BE946" i="13"/>
  <c r="BR946" i="13"/>
  <c r="BQ948" i="13"/>
  <c r="BI948" i="13"/>
  <c r="BP948" i="13"/>
  <c r="BH948" i="13"/>
  <c r="BW948" i="13"/>
  <c r="BO948" i="13"/>
  <c r="BG948" i="13"/>
  <c r="BR948" i="13"/>
  <c r="BR951" i="13"/>
  <c r="BJ951" i="13"/>
  <c r="BQ951" i="13"/>
  <c r="BI951" i="13"/>
  <c r="BP951" i="13"/>
  <c r="BH951" i="13"/>
  <c r="BW951" i="13"/>
  <c r="BO951" i="13"/>
  <c r="BG951" i="13"/>
  <c r="BV951" i="13"/>
  <c r="BN951" i="13"/>
  <c r="BF951" i="13"/>
  <c r="BQ954" i="13"/>
  <c r="BI954" i="13"/>
  <c r="BP954" i="13"/>
  <c r="BH954" i="13"/>
  <c r="BW954" i="13"/>
  <c r="BO954" i="13"/>
  <c r="BG954" i="13"/>
  <c r="BV954" i="13"/>
  <c r="BN954" i="13"/>
  <c r="BF954" i="13"/>
  <c r="BU954" i="13"/>
  <c r="BM954" i="13"/>
  <c r="BE954" i="13"/>
  <c r="AQ955" i="13"/>
  <c r="BO963" i="13"/>
  <c r="V966" i="13"/>
  <c r="AE966" i="13" s="1"/>
  <c r="U966" i="13"/>
  <c r="W966" i="13" s="1"/>
  <c r="BL929" i="13"/>
  <c r="AQ933" i="13"/>
  <c r="AM937" i="13"/>
  <c r="BL937" i="13"/>
  <c r="BU937" i="13"/>
  <c r="BS939" i="13"/>
  <c r="BK939" i="13"/>
  <c r="BR939" i="13"/>
  <c r="BJ939" i="13"/>
  <c r="BN939" i="13"/>
  <c r="V941" i="13"/>
  <c r="U941" i="13"/>
  <c r="W941" i="13" s="1"/>
  <c r="AO944" i="13"/>
  <c r="AY944" i="13"/>
  <c r="AE954" i="13"/>
  <c r="AR955" i="13"/>
  <c r="AV958" i="13"/>
  <c r="AN958" i="13"/>
  <c r="AU958" i="13"/>
  <c r="AM958" i="13"/>
  <c r="BB958" i="13"/>
  <c r="AT958" i="13"/>
  <c r="AL958" i="13"/>
  <c r="BA958" i="13"/>
  <c r="AS958" i="13"/>
  <c r="AK958" i="13"/>
  <c r="AZ958" i="13"/>
  <c r="AR958" i="13"/>
  <c r="AJ958" i="13"/>
  <c r="BR964" i="13"/>
  <c r="BJ964" i="13"/>
  <c r="BP964" i="13"/>
  <c r="BH964" i="13"/>
  <c r="BU964" i="13"/>
  <c r="BK964" i="13"/>
  <c r="BT964" i="13"/>
  <c r="BI964" i="13"/>
  <c r="BS964" i="13"/>
  <c r="BG964" i="13"/>
  <c r="BQ964" i="13"/>
  <c r="BF964" i="13"/>
  <c r="BO964" i="13"/>
  <c r="BE964" i="13"/>
  <c r="BW964" i="13"/>
  <c r="BM964" i="13"/>
  <c r="BL959" i="13"/>
  <c r="BT959" i="13"/>
  <c r="BV960" i="13"/>
  <c r="BN960" i="13"/>
  <c r="BF960" i="13"/>
  <c r="BM960" i="13"/>
  <c r="BW960" i="13"/>
  <c r="AZ965" i="13"/>
  <c r="AX965" i="13"/>
  <c r="AP965" i="13"/>
  <c r="AV965" i="13"/>
  <c r="AN965" i="13"/>
  <c r="AU965" i="13"/>
  <c r="AS965" i="13"/>
  <c r="AX978" i="13"/>
  <c r="AP978" i="13"/>
  <c r="AY978" i="13"/>
  <c r="AO978" i="13"/>
  <c r="AV978" i="13"/>
  <c r="AM978" i="13"/>
  <c r="AU978" i="13"/>
  <c r="AL978" i="13"/>
  <c r="AT978" i="13"/>
  <c r="AK978" i="13"/>
  <c r="AS978" i="13"/>
  <c r="AR978" i="13"/>
  <c r="AQ978" i="13"/>
  <c r="AN978" i="13"/>
  <c r="BB978" i="13"/>
  <c r="AJ978" i="13"/>
  <c r="AZ978" i="13"/>
  <c r="BL941" i="13"/>
  <c r="BT941" i="13"/>
  <c r="AQ945" i="13"/>
  <c r="AY945" i="13"/>
  <c r="BJ947" i="13"/>
  <c r="BR947" i="13"/>
  <c r="BL949" i="13"/>
  <c r="BT949" i="13"/>
  <c r="BI950" i="13"/>
  <c r="BQ950" i="13"/>
  <c r="AO951" i="13"/>
  <c r="AW951" i="13"/>
  <c r="AQ953" i="13"/>
  <c r="AY953" i="13"/>
  <c r="BH953" i="13"/>
  <c r="BP953" i="13"/>
  <c r="AN954" i="13"/>
  <c r="AV954" i="13"/>
  <c r="BJ955" i="13"/>
  <c r="BR955" i="13"/>
  <c r="AM957" i="13"/>
  <c r="AU957" i="13"/>
  <c r="BL957" i="13"/>
  <c r="BT957" i="13"/>
  <c r="BI958" i="13"/>
  <c r="BQ958" i="13"/>
  <c r="AO959" i="13"/>
  <c r="AW959" i="13"/>
  <c r="BF959" i="13"/>
  <c r="BN959" i="13"/>
  <c r="BV959" i="13"/>
  <c r="AM960" i="13"/>
  <c r="AV960" i="13"/>
  <c r="BG960" i="13"/>
  <c r="BP960" i="13"/>
  <c r="BJ961" i="13"/>
  <c r="BT961" i="13"/>
  <c r="AV963" i="13"/>
  <c r="AN963" i="13"/>
  <c r="BB963" i="13"/>
  <c r="AT963" i="13"/>
  <c r="AL963" i="13"/>
  <c r="AS963" i="13"/>
  <c r="AK965" i="13"/>
  <c r="AW965" i="13"/>
  <c r="BL965" i="13"/>
  <c r="AN966" i="13"/>
  <c r="AV967" i="13"/>
  <c r="BP968" i="13"/>
  <c r="BH968" i="13"/>
  <c r="BR968" i="13"/>
  <c r="BI968" i="13"/>
  <c r="BQ968" i="13"/>
  <c r="BG968" i="13"/>
  <c r="BO968" i="13"/>
  <c r="BF968" i="13"/>
  <c r="BW968" i="13"/>
  <c r="BN968" i="13"/>
  <c r="BE968" i="13"/>
  <c r="BV968" i="13"/>
  <c r="AZ970" i="13"/>
  <c r="BA978" i="13"/>
  <c r="AQ940" i="13"/>
  <c r="BE941" i="13"/>
  <c r="BM941" i="13"/>
  <c r="BL944" i="13"/>
  <c r="AJ945" i="13"/>
  <c r="AR945" i="13"/>
  <c r="BK947" i="13"/>
  <c r="BS947" i="13"/>
  <c r="AQ948" i="13"/>
  <c r="BE949" i="13"/>
  <c r="BM949" i="13"/>
  <c r="BJ950" i="13"/>
  <c r="BR950" i="13"/>
  <c r="AP951" i="13"/>
  <c r="AX951" i="13"/>
  <c r="BL952" i="13"/>
  <c r="AJ953" i="13"/>
  <c r="AR953" i="13"/>
  <c r="BI953" i="13"/>
  <c r="BQ953" i="13"/>
  <c r="AO954" i="13"/>
  <c r="AW954" i="13"/>
  <c r="BK955" i="13"/>
  <c r="BS955" i="13"/>
  <c r="AQ956" i="13"/>
  <c r="AN957" i="13"/>
  <c r="AV957" i="13"/>
  <c r="BE957" i="13"/>
  <c r="BM957" i="13"/>
  <c r="BJ958" i="13"/>
  <c r="BR958" i="13"/>
  <c r="AP959" i="13"/>
  <c r="AX959" i="13"/>
  <c r="BG959" i="13"/>
  <c r="BO959" i="13"/>
  <c r="BW959" i="13"/>
  <c r="AN960" i="13"/>
  <c r="AX960" i="13"/>
  <c r="BH960" i="13"/>
  <c r="BQ960" i="13"/>
  <c r="BB961" i="13"/>
  <c r="AT961" i="13"/>
  <c r="AL961" i="13"/>
  <c r="AR961" i="13"/>
  <c r="BA961" i="13"/>
  <c r="BL961" i="13"/>
  <c r="BP962" i="13"/>
  <c r="BH962" i="13"/>
  <c r="BV962" i="13"/>
  <c r="BN962" i="13"/>
  <c r="BF962" i="13"/>
  <c r="BO962" i="13"/>
  <c r="AJ963" i="13"/>
  <c r="AU963" i="13"/>
  <c r="AL965" i="13"/>
  <c r="AY965" i="13"/>
  <c r="BM965" i="13"/>
  <c r="AR966" i="13"/>
  <c r="BJ968" i="13"/>
  <c r="BR977" i="13"/>
  <c r="BJ977" i="13"/>
  <c r="BW977" i="13"/>
  <c r="BN977" i="13"/>
  <c r="BE977" i="13"/>
  <c r="BU977" i="13"/>
  <c r="BL977" i="13"/>
  <c r="BS977" i="13"/>
  <c r="BI977" i="13"/>
  <c r="BM977" i="13"/>
  <c r="BK977" i="13"/>
  <c r="BH977" i="13"/>
  <c r="BV977" i="13"/>
  <c r="BG977" i="13"/>
  <c r="BT977" i="13"/>
  <c r="BF977" i="13"/>
  <c r="BP977" i="13"/>
  <c r="BL947" i="13"/>
  <c r="BK950" i="13"/>
  <c r="BS950" i="13"/>
  <c r="AQ951" i="13"/>
  <c r="BJ953" i="13"/>
  <c r="BR953" i="13"/>
  <c r="AP954" i="13"/>
  <c r="AX954" i="13"/>
  <c r="BL955" i="13"/>
  <c r="AO957" i="13"/>
  <c r="AW957" i="13"/>
  <c r="BK958" i="13"/>
  <c r="BS958" i="13"/>
  <c r="AQ959" i="13"/>
  <c r="BH959" i="13"/>
  <c r="BP959" i="13"/>
  <c r="AP960" i="13"/>
  <c r="AY960" i="13"/>
  <c r="BI960" i="13"/>
  <c r="BR960" i="13"/>
  <c r="BS961" i="13"/>
  <c r="BK961" i="13"/>
  <c r="BM961" i="13"/>
  <c r="BV961" i="13"/>
  <c r="AM965" i="13"/>
  <c r="BA965" i="13"/>
  <c r="BP965" i="13"/>
  <c r="AT966" i="13"/>
  <c r="BB967" i="13"/>
  <c r="AT967" i="13"/>
  <c r="AL967" i="13"/>
  <c r="AW967" i="13"/>
  <c r="AN967" i="13"/>
  <c r="AU967" i="13"/>
  <c r="AK967" i="13"/>
  <c r="AS967" i="13"/>
  <c r="AJ967" i="13"/>
  <c r="AY967" i="13"/>
  <c r="AB977" i="13"/>
  <c r="AE977" i="13" s="1"/>
  <c r="AA977" i="13"/>
  <c r="AC977" i="13" s="1"/>
  <c r="AF978" i="13"/>
  <c r="AA999" i="13"/>
  <c r="AC999" i="13" s="1"/>
  <c r="AB999" i="13"/>
  <c r="BL950" i="13"/>
  <c r="BK953" i="13"/>
  <c r="BS953" i="13"/>
  <c r="AQ954" i="13"/>
  <c r="AP957" i="13"/>
  <c r="AX957" i="13"/>
  <c r="BL958" i="13"/>
  <c r="BI959" i="13"/>
  <c r="BQ959" i="13"/>
  <c r="AQ960" i="13"/>
  <c r="BJ960" i="13"/>
  <c r="BS960" i="13"/>
  <c r="AO965" i="13"/>
  <c r="BB965" i="13"/>
  <c r="BA970" i="13"/>
  <c r="AS970" i="13"/>
  <c r="AK970" i="13"/>
  <c r="AX970" i="13"/>
  <c r="AO970" i="13"/>
  <c r="AW970" i="13"/>
  <c r="AN970" i="13"/>
  <c r="AV970" i="13"/>
  <c r="AM970" i="13"/>
  <c r="AU970" i="13"/>
  <c r="AL970" i="13"/>
  <c r="AT970" i="13"/>
  <c r="AJ970" i="13"/>
  <c r="AX975" i="13"/>
  <c r="AP975" i="13"/>
  <c r="AV975" i="13"/>
  <c r="AN975" i="13"/>
  <c r="BB975" i="13"/>
  <c r="AT975" i="13"/>
  <c r="AL975" i="13"/>
  <c r="AQ975" i="13"/>
  <c r="BA975" i="13"/>
  <c r="AO975" i="13"/>
  <c r="AZ975" i="13"/>
  <c r="AM975" i="13"/>
  <c r="AY975" i="13"/>
  <c r="AK975" i="13"/>
  <c r="AW975" i="13"/>
  <c r="AJ975" i="13"/>
  <c r="AS975" i="13"/>
  <c r="BB1001" i="13"/>
  <c r="AT1001" i="13"/>
  <c r="AL1001" i="13"/>
  <c r="AX1001" i="13"/>
  <c r="AO1001" i="13"/>
  <c r="AV1001" i="13"/>
  <c r="AM1001" i="13"/>
  <c r="AY1001" i="13"/>
  <c r="AK1001" i="13"/>
  <c r="AU1001" i="13"/>
  <c r="AS1001" i="13"/>
  <c r="AR1001" i="13"/>
  <c r="AQ1001" i="13"/>
  <c r="AP1001" i="13"/>
  <c r="AZ1001" i="13"/>
  <c r="AJ1001" i="13"/>
  <c r="BA1001" i="13"/>
  <c r="AW1001" i="13"/>
  <c r="AN1001" i="13"/>
  <c r="BL953" i="13"/>
  <c r="AQ957" i="13"/>
  <c r="BJ959" i="13"/>
  <c r="AW960" i="13"/>
  <c r="AO960" i="13"/>
  <c r="AR960" i="13"/>
  <c r="BA960" i="13"/>
  <c r="BK960" i="13"/>
  <c r="BT960" i="13"/>
  <c r="AQ965" i="13"/>
  <c r="BQ965" i="13"/>
  <c r="BI965" i="13"/>
  <c r="BR965" i="13"/>
  <c r="BH965" i="13"/>
  <c r="BO965" i="13"/>
  <c r="BF965" i="13"/>
  <c r="BW965" i="13"/>
  <c r="BN965" i="13"/>
  <c r="BE965" i="13"/>
  <c r="BT965" i="13"/>
  <c r="AW966" i="13"/>
  <c r="AO966" i="13"/>
  <c r="BB966" i="13"/>
  <c r="AS966" i="13"/>
  <c r="AJ966" i="13"/>
  <c r="AZ966" i="13"/>
  <c r="AQ966" i="13"/>
  <c r="AY966" i="13"/>
  <c r="AP966" i="13"/>
  <c r="AV966" i="13"/>
  <c r="AR975" i="13"/>
  <c r="U979" i="13"/>
  <c r="W979" i="13" s="1"/>
  <c r="V979" i="13"/>
  <c r="BQ999" i="13"/>
  <c r="BI999" i="13"/>
  <c r="BS999" i="13"/>
  <c r="BJ999" i="13"/>
  <c r="BP999" i="13"/>
  <c r="BG999" i="13"/>
  <c r="BV999" i="13"/>
  <c r="BK999" i="13"/>
  <c r="BM999" i="13"/>
  <c r="BL999" i="13"/>
  <c r="BW999" i="13"/>
  <c r="BH999" i="13"/>
  <c r="BU999" i="13"/>
  <c r="BF999" i="13"/>
  <c r="BT999" i="13"/>
  <c r="BE999" i="13"/>
  <c r="BO999" i="13"/>
  <c r="BS967" i="13"/>
  <c r="BK967" i="13"/>
  <c r="BM967" i="13"/>
  <c r="BV967" i="13"/>
  <c r="AP969" i="13"/>
  <c r="AY969" i="13"/>
  <c r="BI969" i="13"/>
  <c r="BR969" i="13"/>
  <c r="BR970" i="13"/>
  <c r="BJ970" i="13"/>
  <c r="BM970" i="13"/>
  <c r="BV970" i="13"/>
  <c r="AO973" i="13"/>
  <c r="AY973" i="13"/>
  <c r="BL973" i="13"/>
  <c r="BV973" i="13"/>
  <c r="BJ975" i="13"/>
  <c r="BR999" i="13"/>
  <c r="AQ964" i="13"/>
  <c r="AY964" i="13"/>
  <c r="BE967" i="13"/>
  <c r="BN967" i="13"/>
  <c r="BW967" i="13"/>
  <c r="AQ969" i="13"/>
  <c r="BJ969" i="13"/>
  <c r="BS969" i="13"/>
  <c r="AA970" i="13"/>
  <c r="AC970" i="13" s="1"/>
  <c r="BE970" i="13"/>
  <c r="BN970" i="13"/>
  <c r="BW970" i="13"/>
  <c r="V972" i="13"/>
  <c r="AW972" i="13"/>
  <c r="AO972" i="13"/>
  <c r="AU972" i="13"/>
  <c r="AM972" i="13"/>
  <c r="AS972" i="13"/>
  <c r="AP973" i="13"/>
  <c r="BA973" i="13"/>
  <c r="BM973" i="13"/>
  <c r="BL975" i="13"/>
  <c r="BU976" i="13"/>
  <c r="BM976" i="13"/>
  <c r="BE976" i="13"/>
  <c r="BS976" i="13"/>
  <c r="BJ976" i="13"/>
  <c r="BQ976" i="13"/>
  <c r="BH976" i="13"/>
  <c r="BO976" i="13"/>
  <c r="BF976" i="13"/>
  <c r="BT976" i="13"/>
  <c r="V978" i="13"/>
  <c r="BV981" i="13"/>
  <c r="BN981" i="13"/>
  <c r="BF981" i="13"/>
  <c r="BT981" i="13"/>
  <c r="BK981" i="13"/>
  <c r="BS981" i="13"/>
  <c r="BJ981" i="13"/>
  <c r="BR981" i="13"/>
  <c r="BI981" i="13"/>
  <c r="BQ981" i="13"/>
  <c r="BH981" i="13"/>
  <c r="BP981" i="13"/>
  <c r="BG981" i="13"/>
  <c r="AV969" i="13"/>
  <c r="AN969" i="13"/>
  <c r="AR969" i="13"/>
  <c r="BA969" i="13"/>
  <c r="BK969" i="13"/>
  <c r="BT969" i="13"/>
  <c r="AQ973" i="13"/>
  <c r="BS973" i="13"/>
  <c r="BK973" i="13"/>
  <c r="BQ973" i="13"/>
  <c r="BI973" i="13"/>
  <c r="BN973" i="13"/>
  <c r="BN975" i="13"/>
  <c r="AQ962" i="13"/>
  <c r="AK964" i="13"/>
  <c r="AS964" i="13"/>
  <c r="BG967" i="13"/>
  <c r="BP967" i="13"/>
  <c r="AJ969" i="13"/>
  <c r="AS969" i="13"/>
  <c r="BB969" i="13"/>
  <c r="BL969" i="13"/>
  <c r="BG970" i="13"/>
  <c r="BP970" i="13"/>
  <c r="AZ971" i="13"/>
  <c r="AR971" i="13"/>
  <c r="AX971" i="13"/>
  <c r="AP971" i="13"/>
  <c r="AS971" i="13"/>
  <c r="BQ971" i="13"/>
  <c r="BI971" i="13"/>
  <c r="BW971" i="13"/>
  <c r="BO971" i="13"/>
  <c r="BG971" i="13"/>
  <c r="BN971" i="13"/>
  <c r="AK972" i="13"/>
  <c r="AV972" i="13"/>
  <c r="BE973" i="13"/>
  <c r="BO973" i="13"/>
  <c r="BR974" i="13"/>
  <c r="BJ974" i="13"/>
  <c r="BP974" i="13"/>
  <c r="BH974" i="13"/>
  <c r="BV974" i="13"/>
  <c r="BN974" i="13"/>
  <c r="BF974" i="13"/>
  <c r="BQ974" i="13"/>
  <c r="BI976" i="13"/>
  <c r="BW976" i="13"/>
  <c r="U977" i="13"/>
  <c r="W977" i="13" s="1"/>
  <c r="BL981" i="13"/>
  <c r="AB983" i="13"/>
  <c r="BA987" i="13"/>
  <c r="AS987" i="13"/>
  <c r="AW987" i="13"/>
  <c r="AN987" i="13"/>
  <c r="AT987" i="13"/>
  <c r="AJ987" i="13"/>
  <c r="AR987" i="13"/>
  <c r="AQ987" i="13"/>
  <c r="BB987" i="13"/>
  <c r="AP987" i="13"/>
  <c r="AZ987" i="13"/>
  <c r="AO987" i="13"/>
  <c r="AY987" i="13"/>
  <c r="AM987" i="13"/>
  <c r="AV987" i="13"/>
  <c r="AK987" i="13"/>
  <c r="BU969" i="13"/>
  <c r="BM969" i="13"/>
  <c r="BE969" i="13"/>
  <c r="BN969" i="13"/>
  <c r="BW969" i="13"/>
  <c r="BB973" i="13"/>
  <c r="AT973" i="13"/>
  <c r="AL973" i="13"/>
  <c r="AZ973" i="13"/>
  <c r="AR973" i="13"/>
  <c r="AJ973" i="13"/>
  <c r="AU973" i="13"/>
  <c r="BP975" i="13"/>
  <c r="BO975" i="13"/>
  <c r="BG975" i="13"/>
  <c r="BV975" i="13"/>
  <c r="BM975" i="13"/>
  <c r="BE975" i="13"/>
  <c r="BT975" i="13"/>
  <c r="BK975" i="13"/>
  <c r="BR975" i="13"/>
  <c r="AF983" i="13"/>
  <c r="V986" i="13"/>
  <c r="U986" i="13"/>
  <c r="W986" i="13" s="1"/>
  <c r="AU998" i="13"/>
  <c r="AM998" i="13"/>
  <c r="AW998" i="13"/>
  <c r="AN998" i="13"/>
  <c r="AV998" i="13"/>
  <c r="AK998" i="13"/>
  <c r="AT998" i="13"/>
  <c r="AQ968" i="13"/>
  <c r="BL972" i="13"/>
  <c r="AO974" i="13"/>
  <c r="AW974" i="13"/>
  <c r="AP977" i="13"/>
  <c r="BW978" i="13"/>
  <c r="BO978" i="13"/>
  <c r="BG978" i="13"/>
  <c r="BM978" i="13"/>
  <c r="BV978" i="13"/>
  <c r="AP979" i="13"/>
  <c r="AZ980" i="13"/>
  <c r="AR980" i="13"/>
  <c r="AJ980" i="13"/>
  <c r="AS980" i="13"/>
  <c r="BB980" i="13"/>
  <c r="BL980" i="13"/>
  <c r="AM981" i="13"/>
  <c r="AV981" i="13"/>
  <c r="AR982" i="13"/>
  <c r="AP983" i="13"/>
  <c r="BA983" i="13"/>
  <c r="BL983" i="13"/>
  <c r="AP984" i="13"/>
  <c r="AZ984" i="13"/>
  <c r="BK984" i="13"/>
  <c r="AQ985" i="13"/>
  <c r="BM985" i="13"/>
  <c r="BJ986" i="13"/>
  <c r="BT986" i="13"/>
  <c r="BL987" i="13"/>
  <c r="BW987" i="13"/>
  <c r="AL998" i="13"/>
  <c r="AY998" i="13"/>
  <c r="AQ999" i="13"/>
  <c r="AE1001" i="13"/>
  <c r="BS1001" i="13"/>
  <c r="BK1001" i="13"/>
  <c r="BQ1001" i="13"/>
  <c r="BH1001" i="13"/>
  <c r="BO1001" i="13"/>
  <c r="BF1001" i="13"/>
  <c r="BW1001" i="13"/>
  <c r="BL1001" i="13"/>
  <c r="BR1001" i="13"/>
  <c r="AA1003" i="13"/>
  <c r="AC1003" i="13" s="1"/>
  <c r="AB1003" i="13"/>
  <c r="AB1004" i="13"/>
  <c r="AA1004" i="13"/>
  <c r="AC1004" i="13" s="1"/>
  <c r="BQ980" i="13"/>
  <c r="BI980" i="13"/>
  <c r="BM980" i="13"/>
  <c r="BV980" i="13"/>
  <c r="AU982" i="13"/>
  <c r="AM982" i="13"/>
  <c r="AV982" i="13"/>
  <c r="AL982" i="13"/>
  <c r="AS982" i="13"/>
  <c r="AQ983" i="13"/>
  <c r="BB983" i="13"/>
  <c r="AQ984" i="13"/>
  <c r="BA984" i="13"/>
  <c r="BS985" i="13"/>
  <c r="BK985" i="13"/>
  <c r="BP985" i="13"/>
  <c r="BG985" i="13"/>
  <c r="BN985" i="13"/>
  <c r="BM987" i="13"/>
  <c r="AO998" i="13"/>
  <c r="AZ998" i="13"/>
  <c r="AQ974" i="13"/>
  <c r="BA977" i="13"/>
  <c r="AS977" i="13"/>
  <c r="AK977" i="13"/>
  <c r="AR977" i="13"/>
  <c r="BB977" i="13"/>
  <c r="AU979" i="13"/>
  <c r="AM979" i="13"/>
  <c r="AR979" i="13"/>
  <c r="BA979" i="13"/>
  <c r="AB980" i="13"/>
  <c r="AE980" i="13" s="1"/>
  <c r="BE980" i="13"/>
  <c r="BN980" i="13"/>
  <c r="BW980" i="13"/>
  <c r="AP981" i="13"/>
  <c r="AJ982" i="13"/>
  <c r="AT982" i="13"/>
  <c r="V983" i="13"/>
  <c r="BQ983" i="13"/>
  <c r="BI983" i="13"/>
  <c r="BR983" i="13"/>
  <c r="BH983" i="13"/>
  <c r="BN983" i="13"/>
  <c r="BV984" i="13"/>
  <c r="BN984" i="13"/>
  <c r="BF984" i="13"/>
  <c r="BU984" i="13"/>
  <c r="BL984" i="13"/>
  <c r="BO984" i="13"/>
  <c r="BB985" i="13"/>
  <c r="AT985" i="13"/>
  <c r="AL985" i="13"/>
  <c r="AW985" i="13"/>
  <c r="AN985" i="13"/>
  <c r="AS985" i="13"/>
  <c r="BE985" i="13"/>
  <c r="BO985" i="13"/>
  <c r="BL986" i="13"/>
  <c r="AP998" i="13"/>
  <c r="BA998" i="13"/>
  <c r="BG1001" i="13"/>
  <c r="BU1001" i="13"/>
  <c r="V1002" i="13"/>
  <c r="U1002" i="13"/>
  <c r="W1002" i="13" s="1"/>
  <c r="AZ983" i="13"/>
  <c r="AR983" i="13"/>
  <c r="AJ983" i="13"/>
  <c r="AX983" i="13"/>
  <c r="AO983" i="13"/>
  <c r="AT983" i="13"/>
  <c r="AW984" i="13"/>
  <c r="AO984" i="13"/>
  <c r="BB984" i="13"/>
  <c r="AS984" i="13"/>
  <c r="AJ984" i="13"/>
  <c r="AT984" i="13"/>
  <c r="BR987" i="13"/>
  <c r="BJ987" i="13"/>
  <c r="BP987" i="13"/>
  <c r="BG987" i="13"/>
  <c r="BO987" i="13"/>
  <c r="BE987" i="13"/>
  <c r="BQ987" i="13"/>
  <c r="AQ998" i="13"/>
  <c r="BB998" i="13"/>
  <c r="BG980" i="13"/>
  <c r="BP980" i="13"/>
  <c r="AW981" i="13"/>
  <c r="AO981" i="13"/>
  <c r="AR981" i="13"/>
  <c r="BA981" i="13"/>
  <c r="AN982" i="13"/>
  <c r="AX982" i="13"/>
  <c r="AK983" i="13"/>
  <c r="AU983" i="13"/>
  <c r="AK984" i="13"/>
  <c r="AU984" i="13"/>
  <c r="BH985" i="13"/>
  <c r="BR985" i="13"/>
  <c r="BP986" i="13"/>
  <c r="BH986" i="13"/>
  <c r="BR986" i="13"/>
  <c r="BI986" i="13"/>
  <c r="BN986" i="13"/>
  <c r="BF987" i="13"/>
  <c r="BS987" i="13"/>
  <c r="AR998" i="13"/>
  <c r="AZ999" i="13"/>
  <c r="AR999" i="13"/>
  <c r="AJ999" i="13"/>
  <c r="AY999" i="13"/>
  <c r="AP999" i="13"/>
  <c r="AW999" i="13"/>
  <c r="AN999" i="13"/>
  <c r="AV999" i="13"/>
  <c r="AK999" i="13"/>
  <c r="AX999" i="13"/>
  <c r="BW1005" i="13"/>
  <c r="BO1005" i="13"/>
  <c r="BG1005" i="13"/>
  <c r="BP1005" i="13"/>
  <c r="BF1005" i="13"/>
  <c r="BN1005" i="13"/>
  <c r="BE1005" i="13"/>
  <c r="BU1005" i="13"/>
  <c r="BL1005" i="13"/>
  <c r="BT1005" i="13"/>
  <c r="BK1005" i="13"/>
  <c r="BS1005" i="13"/>
  <c r="BJ1005" i="13"/>
  <c r="BR1005" i="13"/>
  <c r="BI1005" i="13"/>
  <c r="BQ1005" i="13"/>
  <c r="BH1005" i="13"/>
  <c r="BM1005" i="13"/>
  <c r="BV1005" i="13"/>
  <c r="BL979" i="13"/>
  <c r="BR1004" i="13"/>
  <c r="BJ1004" i="13"/>
  <c r="BM1004" i="13"/>
  <c r="BV1004" i="13"/>
  <c r="AS1009" i="13"/>
  <c r="V1007" i="13"/>
  <c r="U1007" i="13"/>
  <c r="W1007" i="13" s="1"/>
  <c r="AV1007" i="13"/>
  <c r="AN1007" i="13"/>
  <c r="AU1007" i="13"/>
  <c r="AM1007" i="13"/>
  <c r="AZ1007" i="13"/>
  <c r="AR1007" i="13"/>
  <c r="AJ1007" i="13"/>
  <c r="AW1007" i="13"/>
  <c r="AY1009" i="13"/>
  <c r="AW1000" i="13"/>
  <c r="AO1000" i="13"/>
  <c r="AR1000" i="13"/>
  <c r="BA1000" i="13"/>
  <c r="BG1002" i="13"/>
  <c r="BQ1002" i="13"/>
  <c r="AV1003" i="13"/>
  <c r="AN1003" i="13"/>
  <c r="AR1003" i="13"/>
  <c r="BA1003" i="13"/>
  <c r="AM1004" i="13"/>
  <c r="AV1004" i="13"/>
  <c r="BF1004" i="13"/>
  <c r="BO1004" i="13"/>
  <c r="AQ1005" i="13"/>
  <c r="AL1006" i="13"/>
  <c r="AV1006" i="13"/>
  <c r="AK1007" i="13"/>
  <c r="AX1007" i="13"/>
  <c r="V1008" i="13"/>
  <c r="AE1008" i="13" s="1"/>
  <c r="BG1004" i="13"/>
  <c r="BP1004" i="13"/>
  <c r="AX1005" i="13"/>
  <c r="AP1005" i="13"/>
  <c r="AR1005" i="13"/>
  <c r="BA1005" i="13"/>
  <c r="AL1007" i="13"/>
  <c r="AY1007" i="13"/>
  <c r="BL982" i="13"/>
  <c r="AQ986" i="13"/>
  <c r="AK1000" i="13"/>
  <c r="AT1000" i="13"/>
  <c r="BV1000" i="13"/>
  <c r="BN1000" i="13"/>
  <c r="BF1000" i="13"/>
  <c r="BM1000" i="13"/>
  <c r="BW1000" i="13"/>
  <c r="BJ1002" i="13"/>
  <c r="AK1003" i="13"/>
  <c r="AT1003" i="13"/>
  <c r="BU1003" i="13"/>
  <c r="BM1003" i="13"/>
  <c r="BE1003" i="13"/>
  <c r="BN1003" i="13"/>
  <c r="BW1003" i="13"/>
  <c r="AO1004" i="13"/>
  <c r="BH1004" i="13"/>
  <c r="BQ1004" i="13"/>
  <c r="AJ1005" i="13"/>
  <c r="AS1005" i="13"/>
  <c r="BB1005" i="13"/>
  <c r="AO1006" i="13"/>
  <c r="AO1007" i="13"/>
  <c r="BA1007" i="13"/>
  <c r="AB1009" i="13"/>
  <c r="AX1009" i="13"/>
  <c r="AP1009" i="13"/>
  <c r="AW1009" i="13"/>
  <c r="AO1009" i="13"/>
  <c r="AV1009" i="13"/>
  <c r="AN1009" i="13"/>
  <c r="AU1009" i="13"/>
  <c r="AM1009" i="13"/>
  <c r="BB1009" i="13"/>
  <c r="AT1009" i="13"/>
  <c r="AL1009" i="13"/>
  <c r="AZ1009" i="13"/>
  <c r="AR1009" i="13"/>
  <c r="AJ1009" i="13"/>
  <c r="AK1009" i="13"/>
  <c r="BP1002" i="13"/>
  <c r="BH1002" i="13"/>
  <c r="BM1002" i="13"/>
  <c r="BV1002" i="13"/>
  <c r="BA1004" i="13"/>
  <c r="AS1004" i="13"/>
  <c r="AK1004" i="13"/>
  <c r="AR1004" i="13"/>
  <c r="BB1004" i="13"/>
  <c r="BL1004" i="13"/>
  <c r="BU1004" i="13"/>
  <c r="AM1005" i="13"/>
  <c r="AV1005" i="13"/>
  <c r="AU1006" i="13"/>
  <c r="AM1006" i="13"/>
  <c r="AR1006" i="13"/>
  <c r="BA1006" i="13"/>
  <c r="AS1007" i="13"/>
  <c r="AQ1009" i="13"/>
  <c r="AM1008" i="13"/>
  <c r="AU1008" i="13"/>
  <c r="BL1008" i="13"/>
  <c r="BT1008" i="13"/>
  <c r="BI1009" i="13"/>
  <c r="BQ1009" i="13"/>
  <c r="BL998" i="13"/>
  <c r="AQ1002" i="13"/>
  <c r="BL1006" i="13"/>
  <c r="BI1007" i="13"/>
  <c r="BQ1007" i="13"/>
  <c r="AO1008" i="13"/>
  <c r="AW1008" i="13"/>
  <c r="BF1008" i="13"/>
  <c r="BN1008" i="13"/>
  <c r="BV1008" i="13"/>
  <c r="BK1009" i="13"/>
  <c r="BS1009" i="13"/>
  <c r="AP1008" i="13"/>
  <c r="AX1008" i="13"/>
  <c r="BG1008" i="13"/>
  <c r="BO1008" i="13"/>
  <c r="BW1008" i="13"/>
  <c r="BL1009" i="13"/>
  <c r="BT1009" i="13"/>
  <c r="AQ1008" i="13"/>
  <c r="AY1008" i="13"/>
  <c r="BH1008" i="13"/>
  <c r="BP1008" i="13"/>
  <c r="BE1009" i="13"/>
  <c r="BM1009" i="13"/>
  <c r="BU1009" i="13"/>
  <c r="BL1007" i="13"/>
  <c r="BT1007" i="13"/>
  <c r="AA1008" i="13"/>
  <c r="AC1008" i="13" s="1"/>
  <c r="AJ1008" i="13"/>
  <c r="AR1008" i="13"/>
  <c r="AZ1008" i="13"/>
  <c r="BI1008" i="13"/>
  <c r="BQ1008" i="13"/>
  <c r="BF1009" i="13"/>
  <c r="BN1009" i="13"/>
  <c r="BV1009" i="13"/>
  <c r="BE1007" i="13"/>
  <c r="BM1007" i="13"/>
  <c r="AK1008" i="13"/>
  <c r="AS1008" i="13"/>
  <c r="BJ1008" i="13"/>
  <c r="BG1009" i="13"/>
  <c r="BO1009" i="13"/>
  <c r="AE663" i="13" l="1"/>
  <c r="AE295" i="13"/>
  <c r="AE870" i="13"/>
  <c r="AE719" i="13"/>
  <c r="AE748" i="13"/>
  <c r="AE714" i="13"/>
  <c r="AE909" i="13"/>
  <c r="AE903" i="13"/>
  <c r="AE859" i="13"/>
  <c r="AE906" i="13"/>
  <c r="AE901" i="13"/>
  <c r="AE796" i="13"/>
  <c r="AE739" i="13"/>
  <c r="AE418" i="13"/>
  <c r="AE709" i="13"/>
  <c r="AE577" i="13"/>
  <c r="AE624" i="13"/>
  <c r="AE568" i="13"/>
  <c r="AF661" i="13"/>
  <c r="AE420" i="13"/>
  <c r="AE667" i="13"/>
  <c r="AE602" i="13"/>
  <c r="AE578" i="13"/>
  <c r="AE733" i="13"/>
  <c r="AE694" i="13"/>
  <c r="AE246" i="13"/>
  <c r="AE810" i="13"/>
  <c r="AE757" i="13"/>
  <c r="AE635" i="13"/>
  <c r="AE661" i="13"/>
  <c r="AE893" i="13"/>
  <c r="AE948" i="13"/>
  <c r="AE603" i="13"/>
  <c r="AE517" i="13"/>
  <c r="AF531" i="13"/>
  <c r="AE967" i="13"/>
  <c r="AE291" i="13"/>
  <c r="AE843" i="13"/>
  <c r="AE1000" i="13"/>
  <c r="AE740" i="13"/>
  <c r="AE531" i="13"/>
  <c r="AE545" i="13"/>
  <c r="AE862" i="13"/>
  <c r="AE549" i="13"/>
  <c r="AE897" i="13"/>
  <c r="AE830" i="13"/>
  <c r="AE747" i="13"/>
  <c r="AE450" i="13"/>
  <c r="AE415" i="13"/>
  <c r="AE511" i="13"/>
  <c r="AE1009" i="13"/>
  <c r="AE530" i="13"/>
  <c r="AE715" i="13"/>
  <c r="AE710" i="13"/>
  <c r="AE1002" i="13"/>
  <c r="AE622" i="13"/>
  <c r="AE922" i="13"/>
  <c r="AE704" i="13"/>
  <c r="AE657" i="13"/>
  <c r="AE899" i="13"/>
  <c r="AE790" i="13"/>
  <c r="AE586" i="13"/>
  <c r="AF242" i="13"/>
  <c r="AE827" i="13"/>
  <c r="AE510" i="13"/>
  <c r="AE795" i="13"/>
  <c r="AE500" i="13"/>
  <c r="AE297" i="13"/>
  <c r="AE382" i="13"/>
  <c r="AE569" i="13"/>
  <c r="AE271" i="13"/>
  <c r="AE476" i="13"/>
  <c r="AE798" i="13"/>
  <c r="AE643" i="13"/>
  <c r="AE642" i="13"/>
  <c r="AE509" i="13"/>
  <c r="AE404" i="13"/>
  <c r="AF984" i="13"/>
  <c r="AF516" i="13"/>
  <c r="AF817" i="13"/>
  <c r="AF287" i="13"/>
  <c r="AF645" i="13"/>
  <c r="AF517" i="13"/>
  <c r="AF628" i="13"/>
  <c r="AF406" i="13"/>
  <c r="AF437" i="13"/>
  <c r="AE541" i="13"/>
  <c r="AE707" i="13"/>
  <c r="AE463" i="13"/>
  <c r="AE609" i="13"/>
  <c r="AE913" i="13"/>
  <c r="AE764" i="13"/>
  <c r="AE973" i="13"/>
  <c r="AF990" i="13"/>
  <c r="AF808" i="13"/>
  <c r="AE803" i="13"/>
  <c r="AE738" i="13"/>
  <c r="AE627" i="13"/>
  <c r="AF596" i="13"/>
  <c r="AF509" i="13"/>
  <c r="AE433" i="13"/>
  <c r="AF794" i="13"/>
  <c r="AE537" i="13"/>
  <c r="AE230" i="13"/>
  <c r="AE722" i="13"/>
  <c r="AE826" i="13"/>
  <c r="AE620" i="13"/>
  <c r="AE224" i="13"/>
  <c r="AE507" i="13"/>
  <c r="AE600" i="13"/>
  <c r="AE474" i="13"/>
  <c r="AE815" i="13"/>
  <c r="AF875" i="13"/>
  <c r="AE992" i="13"/>
  <c r="AE628" i="13"/>
  <c r="AE403" i="13"/>
  <c r="AE604" i="13"/>
  <c r="AE282" i="13"/>
  <c r="AE444" i="13"/>
  <c r="AE755" i="13"/>
  <c r="AE770" i="13"/>
  <c r="AE674" i="13"/>
  <c r="AE904" i="13"/>
  <c r="AE697" i="13"/>
  <c r="AF508" i="13"/>
  <c r="AE605" i="13"/>
  <c r="AE791" i="13"/>
  <c r="AE397" i="13"/>
  <c r="AE272" i="13"/>
  <c r="AE529" i="13"/>
  <c r="AE560" i="13"/>
  <c r="AE522" i="13"/>
  <c r="AE839" i="13"/>
  <c r="AE986" i="13"/>
  <c r="AE999" i="13"/>
  <c r="AE484" i="13"/>
  <c r="AE584" i="13"/>
  <c r="AE677" i="13"/>
  <c r="AE654" i="13"/>
  <c r="AE978" i="13"/>
  <c r="AF923" i="13"/>
  <c r="AF487" i="13"/>
  <c r="AE593" i="13"/>
  <c r="AE959" i="13"/>
  <c r="AE871" i="13"/>
  <c r="AE585" i="13"/>
  <c r="AE241" i="13"/>
  <c r="AE968" i="13"/>
  <c r="AE879" i="13"/>
  <c r="AE436" i="13"/>
  <c r="AE457" i="13"/>
  <c r="AE304" i="13"/>
  <c r="AE971" i="13"/>
  <c r="AE737" i="13"/>
  <c r="AE808" i="13"/>
  <c r="AF325" i="13"/>
  <c r="AE847" i="13"/>
  <c r="AE728" i="13"/>
  <c r="AE783" i="13"/>
  <c r="AE857" i="13"/>
  <c r="AE536" i="13"/>
  <c r="AE468" i="13"/>
  <c r="AE700" i="13"/>
  <c r="AE525" i="13"/>
  <c r="AE972" i="13"/>
  <c r="AE890" i="13"/>
  <c r="AF248" i="13"/>
  <c r="AF299" i="13"/>
  <c r="AF272" i="13"/>
  <c r="AF678" i="13"/>
  <c r="AF227" i="13"/>
  <c r="AE816" i="13"/>
  <c r="AE597" i="13"/>
  <c r="AE405" i="13"/>
  <c r="AE634" i="13"/>
  <c r="AE849" i="13"/>
  <c r="AF573" i="13"/>
  <c r="AE885" i="13"/>
  <c r="AE434" i="13"/>
  <c r="AE659" i="13"/>
  <c r="AE504" i="13"/>
  <c r="AE701" i="13"/>
  <c r="AE535" i="13"/>
  <c r="AE384" i="13"/>
  <c r="AE508" i="13"/>
  <c r="AE443" i="13"/>
  <c r="AE842" i="13"/>
  <c r="AF218" i="13"/>
  <c r="AE749" i="13"/>
  <c r="AE646" i="13"/>
  <c r="AE668" i="13"/>
  <c r="AE705" i="13"/>
  <c r="AE553" i="13"/>
  <c r="AE375" i="13"/>
  <c r="AE414" i="13"/>
  <c r="AE1003" i="13"/>
  <c r="AF348" i="13"/>
  <c r="AE321" i="13"/>
  <c r="AE754" i="13"/>
  <c r="AE296" i="13"/>
  <c r="AE492" i="13"/>
  <c r="AF660" i="13"/>
  <c r="AE863" i="13"/>
  <c r="AE342" i="13"/>
  <c r="AF993" i="13"/>
  <c r="AE926" i="13"/>
  <c r="AE247" i="13"/>
  <c r="AF765" i="13"/>
  <c r="AE288" i="13"/>
  <c r="AE232" i="13"/>
  <c r="AE611" i="13"/>
  <c r="AE477" i="13"/>
  <c r="AE698" i="13"/>
  <c r="AE413" i="13"/>
  <c r="AE306" i="13"/>
  <c r="AE708" i="13"/>
  <c r="AF356" i="13"/>
  <c r="AE283" i="13"/>
  <c r="AE745" i="13"/>
  <c r="AE887" i="13"/>
  <c r="AF259" i="13"/>
  <c r="AF968" i="13"/>
  <c r="AF1005" i="13"/>
  <c r="AF479" i="13"/>
  <c r="AF415" i="13"/>
  <c r="AF326" i="13"/>
  <c r="AF270" i="13"/>
  <c r="AF507" i="13"/>
  <c r="AF886" i="13"/>
  <c r="AF947" i="13"/>
  <c r="AF987" i="13"/>
  <c r="AF629" i="13"/>
  <c r="AF529" i="13"/>
  <c r="AF469" i="13"/>
  <c r="AF638" i="13"/>
  <c r="AF541" i="13"/>
  <c r="AF579" i="13"/>
  <c r="AF350" i="13"/>
  <c r="AF951" i="13"/>
  <c r="AF960" i="13"/>
  <c r="AF725" i="13"/>
  <c r="AF283" i="13"/>
  <c r="AF772" i="13"/>
  <c r="AF620" i="13"/>
  <c r="AF580" i="13"/>
  <c r="AF859" i="13"/>
  <c r="AF555" i="13"/>
  <c r="AF953" i="13"/>
  <c r="AF682" i="13"/>
  <c r="AF834" i="13"/>
  <c r="AF708" i="13"/>
  <c r="AF653" i="13"/>
  <c r="AF383" i="13"/>
  <c r="AF701" i="13"/>
  <c r="AF818" i="13"/>
  <c r="AF610" i="13"/>
  <c r="AF563" i="13"/>
  <c r="AF557" i="13"/>
  <c r="AF254" i="13"/>
  <c r="AF427" i="13"/>
  <c r="AF826" i="13"/>
  <c r="AF998" i="13"/>
  <c r="AF961" i="13"/>
  <c r="AF866" i="13"/>
  <c r="AF737" i="13"/>
  <c r="AF676" i="13"/>
  <c r="AF773" i="13"/>
  <c r="AF782" i="13"/>
  <c r="AE565" i="13"/>
  <c r="AE521" i="13"/>
  <c r="AF783" i="13"/>
  <c r="AF400" i="13"/>
  <c r="AE1004" i="13"/>
  <c r="AE851" i="13"/>
  <c r="AF652" i="13"/>
  <c r="AE493" i="13"/>
  <c r="AE823" i="13"/>
  <c r="AE636" i="13"/>
  <c r="AE452" i="13"/>
  <c r="AE239" i="13"/>
  <c r="AE380" i="13"/>
  <c r="AE774" i="13"/>
  <c r="AE339" i="13"/>
  <c r="AE785" i="13"/>
  <c r="AE896" i="13"/>
  <c r="AF736" i="13"/>
  <c r="AE776" i="13"/>
  <c r="AF994" i="13"/>
  <c r="AE689" i="13"/>
  <c r="AF598" i="13"/>
  <c r="AF421" i="13"/>
  <c r="AF372" i="13"/>
  <c r="AF422" i="13"/>
  <c r="AF840" i="13"/>
  <c r="AF394" i="13"/>
  <c r="AF885" i="13"/>
  <c r="AF539" i="13"/>
  <c r="AF246" i="13"/>
  <c r="AF597" i="13"/>
  <c r="AF670" i="13"/>
  <c r="AF636" i="13"/>
  <c r="AF894" i="13"/>
  <c r="AF495" i="13"/>
  <c r="AF318" i="13"/>
  <c r="AF757" i="13"/>
  <c r="AF355" i="13"/>
  <c r="AF774" i="13"/>
  <c r="AF572" i="13"/>
  <c r="AF308" i="13"/>
  <c r="AF458" i="13"/>
  <c r="AF1009" i="13"/>
  <c r="AF874" i="13"/>
  <c r="AF768" i="13"/>
  <c r="AF722" i="13"/>
  <c r="AF872" i="13"/>
  <c r="AF548" i="13"/>
  <c r="AF451" i="13"/>
  <c r="AF975" i="13"/>
  <c r="AF952" i="13"/>
  <c r="AF703" i="13"/>
  <c r="AF505" i="13"/>
  <c r="AF226" i="13"/>
  <c r="AF745" i="13"/>
  <c r="AF905" i="13"/>
  <c r="AF695" i="13"/>
  <c r="AF374" i="13"/>
  <c r="AF809" i="13"/>
  <c r="AF571" i="13"/>
  <c r="AE412" i="13"/>
  <c r="AF488" i="13"/>
  <c r="AF485" i="13"/>
  <c r="AE717" i="13"/>
  <c r="AE623" i="13"/>
  <c r="AF349" i="13"/>
  <c r="AE850" i="13"/>
  <c r="AF980" i="13"/>
  <c r="AE888" i="13"/>
  <c r="AE389" i="13"/>
  <c r="AF389" i="13"/>
  <c r="AF982" i="13"/>
  <c r="AF478" i="13"/>
  <c r="AE855" i="13"/>
  <c r="AF578" i="13"/>
  <c r="AE721" i="13"/>
  <c r="AE411" i="13"/>
  <c r="AF675" i="13"/>
  <c r="AE460" i="13"/>
  <c r="AE442" i="13"/>
  <c r="AE426" i="13"/>
  <c r="AE222" i="13"/>
  <c r="AE675" i="13"/>
  <c r="AF945" i="13"/>
  <c r="AF357" i="13"/>
  <c r="AF288" i="13"/>
  <c r="AF513" i="13"/>
  <c r="AF255" i="13"/>
  <c r="AF810" i="13"/>
  <c r="AF825" i="13"/>
  <c r="AF789" i="13"/>
  <c r="AF532" i="13"/>
  <c r="AF715" i="13"/>
  <c r="AF741" i="13"/>
  <c r="AF924" i="13"/>
  <c r="AF880" i="13"/>
  <c r="AF846" i="13"/>
  <c r="AF445" i="13"/>
  <c r="AF414" i="13"/>
  <c r="AF502" i="13"/>
  <c r="AF285" i="13"/>
  <c r="AF728" i="13"/>
  <c r="AF525" i="13"/>
  <c r="AF468" i="13"/>
  <c r="AF310" i="13"/>
  <c r="AF749" i="13"/>
  <c r="AF754" i="13"/>
  <c r="AF634" i="13"/>
  <c r="AF892" i="13"/>
  <c r="AF858" i="13"/>
  <c r="AF793" i="13"/>
  <c r="AF694" i="13"/>
  <c r="AF646" i="13"/>
  <c r="AF493" i="13"/>
  <c r="AF470" i="13"/>
  <c r="AF347" i="13"/>
  <c r="AF995" i="13"/>
  <c r="AE881" i="13"/>
  <c r="AE502" i="13"/>
  <c r="AE428" i="13"/>
  <c r="AE538" i="13"/>
  <c r="AE856" i="13"/>
  <c r="AE519" i="13"/>
  <c r="AF486" i="13"/>
  <c r="AF504" i="13"/>
  <c r="AF333" i="13"/>
  <c r="AE676" i="13"/>
  <c r="AE485" i="13"/>
  <c r="AE960" i="13"/>
  <c r="AF857" i="13"/>
  <c r="AF562" i="13"/>
  <c r="AF317" i="13"/>
  <c r="AF292" i="13"/>
  <c r="AE952" i="13"/>
  <c r="AE867" i="13"/>
  <c r="AE713" i="13"/>
  <c r="AF606" i="13"/>
  <c r="AE503" i="13"/>
  <c r="AE652" i="13"/>
  <c r="AE516" i="13"/>
  <c r="AF324" i="13"/>
  <c r="AE556" i="13"/>
  <c r="AE238" i="13"/>
  <c r="AF944" i="13"/>
  <c r="AE1007" i="13"/>
  <c r="AF890" i="13"/>
  <c r="AE658" i="13"/>
  <c r="AF833" i="13"/>
  <c r="AF452" i="13"/>
  <c r="AE778" i="13"/>
  <c r="AF547" i="13"/>
  <c r="AE953" i="13"/>
  <c r="AE571" i="13"/>
  <c r="AE649" i="13"/>
  <c r="AE406" i="13"/>
  <c r="AE723" i="13"/>
  <c r="AF802" i="13"/>
  <c r="AF622" i="13"/>
  <c r="AF366" i="13"/>
  <c r="AE381" i="13"/>
  <c r="AE956" i="13"/>
  <c r="AF576" i="13"/>
  <c r="AF307" i="13"/>
  <c r="AF842" i="13"/>
  <c r="AE845" i="13"/>
  <c r="AE983" i="13"/>
  <c r="AF611" i="13"/>
  <c r="AF762" i="13"/>
  <c r="AE499" i="13"/>
  <c r="AE908" i="13"/>
  <c r="AE822" i="13"/>
  <c r="AF850" i="13"/>
  <c r="AE641" i="13"/>
  <c r="AF621" i="13"/>
  <c r="AF407" i="13"/>
  <c r="AF429" i="13"/>
  <c r="AF799" i="13"/>
  <c r="AF761" i="13"/>
  <c r="AE660" i="13"/>
  <c r="AF752" i="13"/>
  <c r="AE630" i="13"/>
  <c r="AE518" i="13"/>
  <c r="AF927" i="13"/>
  <c r="AF755" i="13"/>
  <c r="AE696" i="13"/>
  <c r="AF464" i="13"/>
  <c r="AF385" i="13"/>
  <c r="AF1007" i="13"/>
  <c r="AF841" i="13"/>
  <c r="AF792" i="13"/>
  <c r="AE619" i="13"/>
  <c r="AF637" i="13"/>
  <c r="AF501" i="13"/>
  <c r="AE371" i="13"/>
  <c r="AE561" i="13"/>
  <c r="AE626" i="13"/>
  <c r="AF985" i="13"/>
  <c r="AE889" i="13"/>
  <c r="AF590" i="13"/>
  <c r="AE419" i="13"/>
  <c r="AE378" i="13"/>
  <c r="AE799" i="13"/>
  <c r="AE792" i="13"/>
  <c r="AE762" i="13"/>
  <c r="AF916" i="13"/>
  <c r="AE880" i="13"/>
  <c r="AF867" i="13"/>
  <c r="AF746" i="13"/>
  <c r="AF654" i="13"/>
  <c r="AF290" i="13"/>
  <c r="AF295" i="13"/>
  <c r="AF943" i="13"/>
  <c r="AE974" i="13"/>
  <c r="AF976" i="13"/>
  <c r="AE505" i="13"/>
  <c r="AE432" i="13"/>
  <c r="AF443" i="13"/>
  <c r="AF379" i="13"/>
  <c r="AF341" i="13"/>
  <c r="AE781" i="13"/>
  <c r="AE699" i="13"/>
  <c r="AF602" i="13"/>
  <c r="AE570" i="13"/>
  <c r="AF593" i="13"/>
  <c r="AE797" i="13"/>
  <c r="AF723" i="13"/>
  <c r="AE688" i="13"/>
  <c r="AF667" i="13"/>
  <c r="AF698" i="13"/>
  <c r="AF477" i="13"/>
  <c r="AF816" i="13"/>
  <c r="AF503" i="13"/>
  <c r="AF262" i="13"/>
  <c r="AF855" i="13"/>
  <c r="AF709" i="13"/>
  <c r="AF693" i="13"/>
  <c r="AF729" i="13"/>
  <c r="AF673" i="13"/>
  <c r="AF301" i="13"/>
  <c r="AF964" i="13"/>
  <c r="AF922" i="13"/>
  <c r="AF898" i="13"/>
  <c r="AF893" i="13"/>
  <c r="AF560" i="13"/>
  <c r="AF584" i="13"/>
  <c r="AF845" i="13"/>
  <c r="AF691" i="13"/>
  <c r="AF619" i="13"/>
  <c r="AF599" i="13"/>
  <c r="AF353" i="13"/>
  <c r="AF461" i="13"/>
  <c r="AF393" i="13"/>
  <c r="AF957" i="13"/>
  <c r="AF744" i="13"/>
  <c r="AF677" i="13"/>
  <c r="AF382" i="13"/>
  <c r="AF264" i="13"/>
  <c r="AF581" i="13"/>
  <c r="AF549" i="13"/>
  <c r="AF511" i="13"/>
  <c r="AF342" i="13"/>
  <c r="AF296" i="13"/>
  <c r="AF565" i="13"/>
  <c r="AF282" i="13"/>
  <c r="AF935" i="13"/>
  <c r="AF963" i="13"/>
  <c r="AF856" i="13"/>
  <c r="AF592" i="13"/>
  <c r="AF514" i="13"/>
  <c r="AF293" i="13"/>
  <c r="AF827" i="13"/>
  <c r="AF699" i="13"/>
  <c r="AF630" i="13"/>
  <c r="AF428" i="13"/>
  <c r="AF315" i="13"/>
  <c r="AF323" i="13"/>
  <c r="AF332" i="13"/>
  <c r="AF832" i="13"/>
  <c r="AF546" i="13"/>
  <c r="AF981" i="13"/>
  <c r="AF647" i="13"/>
  <c r="AF453" i="13"/>
  <c r="AF313" i="13"/>
  <c r="AF375" i="13"/>
  <c r="AF991" i="13"/>
  <c r="AF989" i="13"/>
  <c r="AF996" i="13"/>
  <c r="AF988" i="13"/>
  <c r="AF997" i="13"/>
  <c r="AF891" i="13"/>
  <c r="AF626" i="13"/>
  <c r="AF902" i="13"/>
  <c r="AF363" i="13"/>
  <c r="AF933" i="13"/>
  <c r="AE907" i="13"/>
  <c r="AF837" i="13"/>
  <c r="AF760" i="13"/>
  <c r="AF733" i="13"/>
  <c r="AF714" i="13"/>
  <c r="AF398" i="13"/>
  <c r="AE898" i="13"/>
  <c r="AE874" i="13"/>
  <c r="AE806" i="13"/>
  <c r="AE746" i="13"/>
  <c r="AF679" i="13"/>
  <c r="AF523" i="13"/>
  <c r="AF381" i="13"/>
  <c r="AE831" i="13"/>
  <c r="AF938" i="13"/>
  <c r="AE912" i="13"/>
  <c r="AE814" i="13"/>
  <c r="AF811" i="13"/>
  <c r="AE718" i="13"/>
  <c r="AF642" i="13"/>
  <c r="AF480" i="13"/>
  <c r="AF225" i="13"/>
  <c r="AF962" i="13"/>
  <c r="AF897" i="13"/>
  <c r="AE807" i="13"/>
  <c r="AE800" i="13"/>
  <c r="AF767" i="13"/>
  <c r="AF613" i="13"/>
  <c r="AF796" i="13"/>
  <c r="AF721" i="13"/>
  <c r="AF300" i="13"/>
  <c r="AF334" i="13"/>
  <c r="AE927" i="13"/>
  <c r="AF864" i="13"/>
  <c r="AE690" i="13"/>
  <c r="AE527" i="13"/>
  <c r="AE409" i="13"/>
  <c r="AF316" i="13"/>
  <c r="AF853" i="13"/>
  <c r="AF669" i="13"/>
  <c r="AF614" i="13"/>
  <c r="AF521" i="13"/>
  <c r="AF564" i="13"/>
  <c r="AF364" i="13"/>
  <c r="AF331" i="13"/>
  <c r="AE651" i="13"/>
  <c r="AF314" i="13"/>
  <c r="AF1000" i="13"/>
  <c r="AF1006" i="13"/>
  <c r="AF903" i="13"/>
  <c r="AF540" i="13"/>
  <c r="AF369" i="13"/>
  <c r="AE618" i="13"/>
  <c r="AF948" i="13"/>
  <c r="AF876" i="13"/>
  <c r="AF843" i="13"/>
  <c r="AE706" i="13"/>
  <c r="AF704" i="13"/>
  <c r="AF639" i="13"/>
  <c r="AF278" i="13"/>
  <c r="AE1006" i="13"/>
  <c r="AF1001" i="13"/>
  <c r="AF932" i="13"/>
  <c r="AF702" i="13"/>
  <c r="AE767" i="13"/>
  <c r="AF966" i="13"/>
  <c r="AF959" i="13"/>
  <c r="AF1002" i="13"/>
  <c r="AE650" i="13"/>
  <c r="AF524" i="13"/>
  <c r="AF276" i="13"/>
  <c r="AF321" i="13"/>
  <c r="AF249" i="13"/>
  <c r="AE932" i="13"/>
  <c r="AF795" i="13"/>
  <c r="AE637" i="13"/>
  <c r="AF946" i="13"/>
  <c r="AF681" i="13"/>
  <c r="AF707" i="13"/>
  <c r="AF441" i="13"/>
  <c r="AF600" i="13"/>
  <c r="AF970" i="13"/>
  <c r="AF969" i="13"/>
  <c r="AF937" i="13"/>
  <c r="AF925" i="13"/>
  <c r="AF912" i="13"/>
  <c r="AF910" i="13"/>
  <c r="AF877" i="13"/>
  <c r="AF887" i="13"/>
  <c r="AF884" i="13"/>
  <c r="AF895" i="13"/>
  <c r="AF829" i="13"/>
  <c r="AF844" i="13"/>
  <c r="AF791" i="13"/>
  <c r="AF759" i="13"/>
  <c r="AF819" i="13"/>
  <c r="AF750" i="13"/>
  <c r="AF758" i="13"/>
  <c r="AF726" i="13"/>
  <c r="AF775" i="13"/>
  <c r="AF901" i="13"/>
  <c r="AF697" i="13"/>
  <c r="AF683" i="13"/>
  <c r="AF738" i="13"/>
  <c r="AF671" i="13"/>
  <c r="AF719" i="13"/>
  <c r="AF648" i="13"/>
  <c r="AF650" i="13"/>
  <c r="AF575" i="13"/>
  <c r="AF482" i="13"/>
  <c r="AF644" i="13"/>
  <c r="AF568" i="13"/>
  <c r="AF574" i="13"/>
  <c r="AF587" i="13"/>
  <c r="AF631" i="13"/>
  <c r="AF522" i="13"/>
  <c r="AE506" i="13"/>
  <c r="AF455" i="13"/>
  <c r="AF615" i="13"/>
  <c r="AF476" i="13"/>
  <c r="AF352" i="13"/>
  <c r="AF344" i="13"/>
  <c r="AF320" i="13"/>
  <c r="AF472" i="13"/>
  <c r="AF390" i="13"/>
  <c r="AF365" i="13"/>
  <c r="AF330" i="13"/>
  <c r="AF322" i="13"/>
  <c r="AF284" i="13"/>
  <c r="AF281" i="13"/>
  <c r="AF361" i="13"/>
  <c r="AF345" i="13"/>
  <c r="AF268" i="13"/>
  <c r="AF934" i="13"/>
  <c r="AF915" i="13"/>
  <c r="AF812" i="13"/>
  <c r="AF494" i="13"/>
  <c r="AF553" i="13"/>
  <c r="AF362" i="13"/>
  <c r="AF279" i="13"/>
  <c r="AF999" i="13"/>
  <c r="AF950" i="13"/>
  <c r="AF920" i="13"/>
  <c r="AF955" i="13"/>
  <c r="AF852" i="13"/>
  <c r="AF835" i="13"/>
  <c r="AF830" i="13"/>
  <c r="AF727" i="13"/>
  <c r="AF777" i="13"/>
  <c r="AF756" i="13"/>
  <c r="AF718" i="13"/>
  <c r="AF686" i="13"/>
  <c r="AF705" i="13"/>
  <c r="AF685" i="13"/>
  <c r="AF666" i="13"/>
  <c r="AF608" i="13"/>
  <c r="AF609" i="13"/>
  <c r="AF589" i="13"/>
  <c r="AF585" i="13"/>
  <c r="AF519" i="13"/>
  <c r="AF506" i="13"/>
  <c r="AF492" i="13"/>
  <c r="AF467" i="13"/>
  <c r="AF446" i="13"/>
  <c r="AF417" i="13"/>
  <c r="AF535" i="13"/>
  <c r="AF463" i="13"/>
  <c r="AF496" i="13"/>
  <c r="AF399" i="13"/>
  <c r="AF367" i="13"/>
  <c r="AF510" i="13"/>
  <c r="AF419" i="13"/>
  <c r="AF346" i="13"/>
  <c r="AF371" i="13"/>
  <c r="AF418" i="13"/>
  <c r="AF302" i="13"/>
  <c r="AF408" i="13"/>
  <c r="AF236" i="13"/>
  <c r="AF311" i="13"/>
  <c r="AF941" i="13"/>
  <c r="AF926" i="13"/>
  <c r="AF788" i="13"/>
  <c r="AF735" i="13"/>
  <c r="AF748" i="13"/>
  <c r="AF515" i="13"/>
  <c r="AF303" i="13"/>
  <c r="AF221" i="13"/>
  <c r="AF861" i="13"/>
  <c r="AF860" i="13"/>
  <c r="AE788" i="13"/>
  <c r="AF731" i="13"/>
  <c r="AE672" i="13"/>
  <c r="AF753" i="13"/>
  <c r="AF790" i="13"/>
  <c r="AF656" i="13"/>
  <c r="AF696" i="13"/>
  <c r="AF655" i="13"/>
  <c r="AF640" i="13"/>
  <c r="AF617" i="13"/>
  <c r="AF527" i="13"/>
  <c r="AF528" i="13"/>
  <c r="AF512" i="13"/>
  <c r="AF490" i="13"/>
  <c r="AF607" i="13"/>
  <c r="AF518" i="13"/>
  <c r="AF475" i="13"/>
  <c r="AF623" i="13"/>
  <c r="AF566" i="13"/>
  <c r="AF471" i="13"/>
  <c r="AF465" i="13"/>
  <c r="AF454" i="13"/>
  <c r="AF396" i="13"/>
  <c r="AF377" i="13"/>
  <c r="AF409" i="13"/>
  <c r="AF402" i="13"/>
  <c r="AF391" i="13"/>
  <c r="AF388" i="13"/>
  <c r="AF354" i="13"/>
  <c r="AF234" i="13"/>
  <c r="AF368" i="13"/>
  <c r="AF815" i="13"/>
  <c r="AF801" i="13"/>
  <c r="AF594" i="13"/>
  <c r="AF1004" i="13"/>
  <c r="AF977" i="13"/>
  <c r="AE979" i="13"/>
  <c r="AF928" i="13"/>
  <c r="AF899" i="13"/>
  <c r="AF870" i="13"/>
  <c r="AF888" i="13"/>
  <c r="AF854" i="13"/>
  <c r="AF851" i="13"/>
  <c r="AF813" i="13"/>
  <c r="AF836" i="13"/>
  <c r="AF778" i="13"/>
  <c r="AF787" i="13"/>
  <c r="AF803" i="13"/>
  <c r="AF786" i="13"/>
  <c r="AF747" i="13"/>
  <c r="AF720" i="13"/>
  <c r="AF664" i="13"/>
  <c r="AF662" i="13"/>
  <c r="AF663" i="13"/>
  <c r="AF559" i="13"/>
  <c r="AE617" i="13"/>
  <c r="AF657" i="13"/>
  <c r="AF500" i="13"/>
  <c r="AF550" i="13"/>
  <c r="AF582" i="13"/>
  <c r="AF484" i="13"/>
  <c r="AF481" i="13"/>
  <c r="AF439" i="13"/>
  <c r="AF520" i="13"/>
  <c r="AF462" i="13"/>
  <c r="AF424" i="13"/>
  <c r="AF336" i="13"/>
  <c r="AF425" i="13"/>
  <c r="AF338" i="13"/>
  <c r="AF392" i="13"/>
  <c r="AF327" i="13"/>
  <c r="AF294" i="13"/>
  <c r="AF305" i="13"/>
  <c r="AF266" i="13"/>
  <c r="AF387" i="13"/>
  <c r="AF252" i="13"/>
  <c r="AF228" i="13"/>
  <c r="AF233" i="13"/>
  <c r="AF958" i="13"/>
  <c r="AF908" i="13"/>
  <c r="AF907" i="13"/>
  <c r="AF868" i="13"/>
  <c r="AF740" i="13"/>
  <c r="AF712" i="13"/>
  <c r="AF583" i="13"/>
  <c r="AF618" i="13"/>
  <c r="AF386" i="13"/>
  <c r="AF250" i="13"/>
  <c r="AF936" i="13"/>
  <c r="AF914" i="13"/>
  <c r="AF911" i="13"/>
  <c r="AF904" i="13"/>
  <c r="AF979" i="13"/>
  <c r="AF896" i="13"/>
  <c r="AF848" i="13"/>
  <c r="AF820" i="13"/>
  <c r="AF804" i="13"/>
  <c r="AE813" i="13"/>
  <c r="AF805" i="13"/>
  <c r="AF766" i="13"/>
  <c r="AF734" i="13"/>
  <c r="AF732" i="13"/>
  <c r="AF724" i="13"/>
  <c r="AF742" i="13"/>
  <c r="AF878" i="13"/>
  <c r="AF680" i="13"/>
  <c r="AF601" i="13"/>
  <c r="AF542" i="13"/>
  <c r="AF498" i="13"/>
  <c r="AF561" i="13"/>
  <c r="AF586" i="13"/>
  <c r="AF552" i="13"/>
  <c r="AF459" i="13"/>
  <c r="AF554" i="13"/>
  <c r="AF499" i="13"/>
  <c r="AF423" i="13"/>
  <c r="AF616" i="13"/>
  <c r="AF489" i="13"/>
  <c r="AF432" i="13"/>
  <c r="AF483" i="13"/>
  <c r="AF456" i="13"/>
  <c r="AF335" i="13"/>
  <c r="AF420" i="13"/>
  <c r="AF359" i="13"/>
  <c r="AF343" i="13"/>
  <c r="AF277" i="13"/>
  <c r="AF269" i="13"/>
  <c r="AF261" i="13"/>
  <c r="AF253" i="13"/>
  <c r="AF245" i="13"/>
  <c r="AF312" i="13"/>
  <c r="AF329" i="13"/>
  <c r="AF286" i="13"/>
  <c r="AF280" i="13"/>
  <c r="AF869" i="13"/>
  <c r="AF751" i="13"/>
  <c r="AF328" i="13"/>
  <c r="AF260" i="13"/>
  <c r="AE941" i="13"/>
  <c r="AF986" i="13"/>
  <c r="AF965" i="13"/>
  <c r="AF929" i="13"/>
  <c r="AF921" i="13"/>
  <c r="AF930" i="13"/>
  <c r="AF954" i="13"/>
  <c r="AF917" i="13"/>
  <c r="AF906" i="13"/>
  <c r="AF889" i="13"/>
  <c r="AF871" i="13"/>
  <c r="AF821" i="13"/>
  <c r="AF828" i="13"/>
  <c r="AF780" i="13"/>
  <c r="AF743" i="13"/>
  <c r="AF764" i="13"/>
  <c r="AF769" i="13"/>
  <c r="AF665" i="13"/>
  <c r="AF690" i="13"/>
  <c r="AF692" i="13"/>
  <c r="AF567" i="13"/>
  <c r="AF551" i="13"/>
  <c r="AF612" i="13"/>
  <c r="AF605" i="13"/>
  <c r="AF569" i="13"/>
  <c r="AF543" i="13"/>
  <c r="AF545" i="13"/>
  <c r="AF449" i="13"/>
  <c r="AF533" i="13"/>
  <c r="AF558" i="13"/>
  <c r="AF497" i="13"/>
  <c r="AF474" i="13"/>
  <c r="AF447" i="13"/>
  <c r="AF416" i="13"/>
  <c r="AF410" i="13"/>
  <c r="AF360" i="13"/>
  <c r="AF440" i="13"/>
  <c r="AF491" i="13"/>
  <c r="AF433" i="13"/>
  <c r="AF378" i="13"/>
  <c r="AF340" i="13"/>
  <c r="AF304" i="13"/>
  <c r="AF274" i="13"/>
  <c r="AF430" i="13"/>
  <c r="AF405" i="13"/>
  <c r="AF244" i="13"/>
  <c r="AF273" i="13"/>
  <c r="AF265" i="13"/>
  <c r="AF939" i="13"/>
  <c r="AF942" i="13"/>
  <c r="AF797" i="13"/>
  <c r="AF672" i="13"/>
  <c r="AF668" i="13"/>
  <c r="AF351" i="13"/>
  <c r="AF319" i="13"/>
  <c r="AF900" i="13"/>
  <c r="AF1008" i="13"/>
  <c r="AF1003" i="13"/>
  <c r="AF949" i="13"/>
  <c r="AF918" i="13"/>
  <c r="AF882" i="13"/>
  <c r="AF879" i="13"/>
  <c r="AF823" i="13"/>
  <c r="AF831" i="13"/>
  <c r="AF822" i="13"/>
  <c r="AF784" i="13"/>
  <c r="AF716" i="13"/>
  <c r="AF711" i="13"/>
  <c r="AF776" i="13"/>
  <c r="AF739" i="13"/>
  <c r="AE769" i="13"/>
  <c r="AF689" i="13"/>
  <c r="AF688" i="13"/>
  <c r="AF632" i="13"/>
  <c r="AF591" i="13"/>
  <c r="AF588" i="13"/>
  <c r="AF658" i="13"/>
  <c r="AF624" i="13"/>
  <c r="AF577" i="13"/>
  <c r="AF534" i="13"/>
  <c r="AF595" i="13"/>
  <c r="AF526" i="13"/>
  <c r="AF649" i="13"/>
  <c r="AF473" i="13"/>
  <c r="AF438" i="13"/>
  <c r="AF431" i="13"/>
  <c r="AF466" i="13"/>
  <c r="AF401" i="13"/>
  <c r="AE491" i="13"/>
  <c r="AF448" i="13"/>
  <c r="AF384" i="13"/>
  <c r="AF237" i="13"/>
  <c r="AF229" i="13"/>
  <c r="AF258" i="13"/>
  <c r="AF337" i="13"/>
  <c r="AF358" i="13"/>
  <c r="AF220" i="13"/>
  <c r="AF275" i="13"/>
  <c r="AF257" i="13"/>
  <c r="D12" i="19" l="1"/>
  <c r="D11" i="19"/>
  <c r="F89" i="38" l="1"/>
  <c r="H89" i="38" s="1"/>
  <c r="I89" i="38" s="1"/>
  <c r="D89" i="38"/>
  <c r="B89" i="38"/>
  <c r="F88" i="38"/>
  <c r="H88" i="38" s="1"/>
  <c r="I88" i="38" s="1"/>
  <c r="D88" i="38"/>
  <c r="B88" i="38"/>
  <c r="F47" i="38"/>
  <c r="H47" i="38" s="1"/>
  <c r="I47" i="38" s="1"/>
  <c r="D47" i="38"/>
  <c r="B47" i="38"/>
  <c r="F46" i="38"/>
  <c r="H46" i="38" s="1"/>
  <c r="I46" i="38" s="1"/>
  <c r="D46" i="38"/>
  <c r="B46" i="38"/>
  <c r="F40" i="38"/>
  <c r="H40" i="38" s="1"/>
  <c r="I40" i="38" s="1"/>
  <c r="D40" i="38"/>
  <c r="B40" i="38"/>
  <c r="F39" i="38"/>
  <c r="H39" i="38" s="1"/>
  <c r="I39" i="38" s="1"/>
  <c r="D39" i="38"/>
  <c r="B39" i="38"/>
  <c r="F33" i="38"/>
  <c r="H33" i="38" s="1"/>
  <c r="I33" i="38" s="1"/>
  <c r="D33" i="38"/>
  <c r="B33" i="38"/>
  <c r="F32" i="38"/>
  <c r="H32" i="38" s="1"/>
  <c r="I32" i="38" s="1"/>
  <c r="D32" i="38"/>
  <c r="B32" i="38"/>
  <c r="F26" i="38"/>
  <c r="H26" i="38" s="1"/>
  <c r="I26" i="38" s="1"/>
  <c r="D26" i="38"/>
  <c r="B26" i="38"/>
  <c r="F25" i="38"/>
  <c r="H25" i="38" s="1"/>
  <c r="I25" i="38" s="1"/>
  <c r="D25" i="38"/>
  <c r="B25" i="38"/>
  <c r="B18"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Z217" i="13"/>
  <c r="T217" i="13"/>
  <c r="V217" i="13" s="1"/>
  <c r="Z216" i="13"/>
  <c r="T216" i="13"/>
  <c r="U216" i="13" s="1"/>
  <c r="W216" i="13" s="1"/>
  <c r="Z215" i="13"/>
  <c r="AA215" i="13" s="1"/>
  <c r="AC215" i="13" s="1"/>
  <c r="T215" i="13"/>
  <c r="Z214" i="13"/>
  <c r="AA214" i="13" s="1"/>
  <c r="AC214" i="13" s="1"/>
  <c r="T214" i="13"/>
  <c r="V214" i="13" s="1"/>
  <c r="Z213" i="13"/>
  <c r="T213" i="13"/>
  <c r="Z212" i="13"/>
  <c r="AB212" i="13" s="1"/>
  <c r="T212" i="13"/>
  <c r="V212" i="13" s="1"/>
  <c r="Z211" i="13"/>
  <c r="AA211" i="13" s="1"/>
  <c r="AC211" i="13" s="1"/>
  <c r="T211" i="13"/>
  <c r="U211" i="13" s="1"/>
  <c r="W211" i="13" s="1"/>
  <c r="Z210" i="13"/>
  <c r="AB210" i="13" s="1"/>
  <c r="T210" i="13"/>
  <c r="U210" i="13" s="1"/>
  <c r="W210" i="13" s="1"/>
  <c r="Z209" i="13"/>
  <c r="T209" i="13"/>
  <c r="Z208" i="13"/>
  <c r="AA208" i="13" s="1"/>
  <c r="AC208" i="13" s="1"/>
  <c r="T208" i="13"/>
  <c r="Z207" i="13"/>
  <c r="AB207" i="13" s="1"/>
  <c r="T207" i="13"/>
  <c r="V207" i="13" s="1"/>
  <c r="Z206" i="13"/>
  <c r="AA206" i="13" s="1"/>
  <c r="AC206" i="13" s="1"/>
  <c r="T206" i="13"/>
  <c r="U206" i="13" s="1"/>
  <c r="W206" i="13" s="1"/>
  <c r="Z205" i="13"/>
  <c r="AA205" i="13" s="1"/>
  <c r="AC205" i="13" s="1"/>
  <c r="T205" i="13"/>
  <c r="U205" i="13" s="1"/>
  <c r="W205" i="13" s="1"/>
  <c r="Z204" i="13"/>
  <c r="AB204" i="13" s="1"/>
  <c r="T204" i="13"/>
  <c r="Z203" i="13"/>
  <c r="AB203" i="13" s="1"/>
  <c r="T203" i="13"/>
  <c r="V203" i="13" s="1"/>
  <c r="Z202" i="13"/>
  <c r="T202" i="13"/>
  <c r="V202" i="13" s="1"/>
  <c r="Z201" i="13"/>
  <c r="T201" i="13"/>
  <c r="Z200" i="13"/>
  <c r="AA200" i="13" s="1"/>
  <c r="AC200" i="13" s="1"/>
  <c r="T200" i="13"/>
  <c r="Z199" i="13"/>
  <c r="T199" i="13"/>
  <c r="V199" i="13" s="1"/>
  <c r="Z198" i="13"/>
  <c r="T198" i="13"/>
  <c r="U198" i="13" s="1"/>
  <c r="W198" i="13" s="1"/>
  <c r="Z197" i="13"/>
  <c r="AB197" i="13" s="1"/>
  <c r="T197" i="13"/>
  <c r="Z196" i="13"/>
  <c r="AB196" i="13" s="1"/>
  <c r="T196" i="13"/>
  <c r="U196" i="13" s="1"/>
  <c r="W196" i="13" s="1"/>
  <c r="Z195" i="13"/>
  <c r="T195" i="13"/>
  <c r="V195" i="13" s="1"/>
  <c r="Z194" i="13"/>
  <c r="AA194" i="13" s="1"/>
  <c r="AC194" i="13" s="1"/>
  <c r="T194" i="13"/>
  <c r="U194" i="13" s="1"/>
  <c r="W194" i="13" s="1"/>
  <c r="Z193" i="13"/>
  <c r="AA193" i="13" s="1"/>
  <c r="AC193" i="13" s="1"/>
  <c r="T193" i="13"/>
  <c r="U193" i="13" s="1"/>
  <c r="W193" i="13" s="1"/>
  <c r="Z192" i="13"/>
  <c r="AB192" i="13" s="1"/>
  <c r="T192" i="13"/>
  <c r="U192" i="13" s="1"/>
  <c r="W192" i="13" s="1"/>
  <c r="Z191" i="13"/>
  <c r="T191" i="13"/>
  <c r="Z190" i="13"/>
  <c r="AA190" i="13" s="1"/>
  <c r="AC190" i="13" s="1"/>
  <c r="T190" i="13"/>
  <c r="Z189" i="13"/>
  <c r="AB189" i="13" s="1"/>
  <c r="T189" i="13"/>
  <c r="U189" i="13" s="1"/>
  <c r="W189" i="13" s="1"/>
  <c r="Z188" i="13"/>
  <c r="AA188" i="13" s="1"/>
  <c r="AC188" i="13" s="1"/>
  <c r="T188" i="13"/>
  <c r="U188" i="13" s="1"/>
  <c r="W188" i="13" s="1"/>
  <c r="Z187" i="13"/>
  <c r="AA187" i="13" s="1"/>
  <c r="AC187" i="13" s="1"/>
  <c r="T187" i="13"/>
  <c r="U187" i="13" s="1"/>
  <c r="W187" i="13" s="1"/>
  <c r="Z186" i="13"/>
  <c r="AB186" i="13" s="1"/>
  <c r="T186" i="13"/>
  <c r="Z185" i="13"/>
  <c r="AB185" i="13" s="1"/>
  <c r="T185" i="13"/>
  <c r="V185" i="13" s="1"/>
  <c r="Z184" i="13"/>
  <c r="AA184" i="13" s="1"/>
  <c r="AC184" i="13" s="1"/>
  <c r="T184" i="13"/>
  <c r="V184" i="13" s="1"/>
  <c r="Z183" i="13"/>
  <c r="T183" i="13"/>
  <c r="Z182" i="13"/>
  <c r="AB182" i="13" s="1"/>
  <c r="T182" i="13"/>
  <c r="Z181" i="13"/>
  <c r="T181" i="13"/>
  <c r="V181" i="13" s="1"/>
  <c r="Z180" i="13"/>
  <c r="T180" i="13"/>
  <c r="U180" i="13" s="1"/>
  <c r="W180" i="13" s="1"/>
  <c r="Z179" i="13"/>
  <c r="AA179" i="13" s="1"/>
  <c r="AC179" i="13" s="1"/>
  <c r="T179" i="13"/>
  <c r="Z178" i="13"/>
  <c r="AA178" i="13" s="1"/>
  <c r="AC178" i="13" s="1"/>
  <c r="T178" i="13"/>
  <c r="V178" i="13" s="1"/>
  <c r="Z177" i="13"/>
  <c r="AA177" i="13" s="1"/>
  <c r="AC177" i="13" s="1"/>
  <c r="T177" i="13"/>
  <c r="U177" i="13" s="1"/>
  <c r="W177" i="13" s="1"/>
  <c r="Z176" i="13"/>
  <c r="AB176" i="13" s="1"/>
  <c r="T176" i="13"/>
  <c r="U176" i="13" s="1"/>
  <c r="W176" i="13" s="1"/>
  <c r="Z175" i="13"/>
  <c r="AA175" i="13" s="1"/>
  <c r="AC175" i="13" s="1"/>
  <c r="T175" i="13"/>
  <c r="U175" i="13" s="1"/>
  <c r="W175" i="13" s="1"/>
  <c r="Z174" i="13"/>
  <c r="T174" i="13"/>
  <c r="U174" i="13" s="1"/>
  <c r="W174" i="13" s="1"/>
  <c r="Z173" i="13"/>
  <c r="T173" i="13"/>
  <c r="Z172" i="13"/>
  <c r="AA172" i="13" s="1"/>
  <c r="AC172" i="13" s="1"/>
  <c r="T172" i="13"/>
  <c r="V172" i="13" s="1"/>
  <c r="Z171" i="13"/>
  <c r="T171" i="13"/>
  <c r="V171" i="13" s="1"/>
  <c r="Z170" i="13"/>
  <c r="AB170" i="13" s="1"/>
  <c r="T170" i="13"/>
  <c r="Z169" i="13"/>
  <c r="AA169" i="13" s="1"/>
  <c r="AC169" i="13" s="1"/>
  <c r="T169" i="13"/>
  <c r="V169" i="13" s="1"/>
  <c r="Z168" i="13"/>
  <c r="T168" i="13"/>
  <c r="Z167" i="13"/>
  <c r="AB167" i="13" s="1"/>
  <c r="T167" i="13"/>
  <c r="Z166" i="13"/>
  <c r="AB166" i="13" s="1"/>
  <c r="T166" i="13"/>
  <c r="V166" i="13" s="1"/>
  <c r="Z165" i="13"/>
  <c r="AA165" i="13" s="1"/>
  <c r="AC165" i="13" s="1"/>
  <c r="T165" i="13"/>
  <c r="U165" i="13" s="1"/>
  <c r="W165" i="13" s="1"/>
  <c r="Z164" i="13"/>
  <c r="AB164" i="13" s="1"/>
  <c r="T164" i="13"/>
  <c r="U164" i="13" s="1"/>
  <c r="W164" i="13" s="1"/>
  <c r="Z163" i="13"/>
  <c r="AA163" i="13" s="1"/>
  <c r="AC163" i="13" s="1"/>
  <c r="T163" i="13"/>
  <c r="U163" i="13" s="1"/>
  <c r="W163" i="13" s="1"/>
  <c r="Z162" i="13"/>
  <c r="T162" i="13"/>
  <c r="U162" i="13" s="1"/>
  <c r="W162" i="13" s="1"/>
  <c r="Z161" i="13"/>
  <c r="AB161" i="13" s="1"/>
  <c r="T161" i="13"/>
  <c r="Z160" i="13"/>
  <c r="AB160" i="13" s="1"/>
  <c r="T160" i="13"/>
  <c r="V160" i="13" s="1"/>
  <c r="Z159" i="13"/>
  <c r="T159" i="13"/>
  <c r="U159" i="13" s="1"/>
  <c r="W159" i="13" s="1"/>
  <c r="Z158" i="13"/>
  <c r="AB158" i="13" s="1"/>
  <c r="T158" i="13"/>
  <c r="Z157" i="13"/>
  <c r="AA157" i="13" s="1"/>
  <c r="AC157" i="13" s="1"/>
  <c r="T157" i="13"/>
  <c r="U157" i="13" s="1"/>
  <c r="W157" i="13" s="1"/>
  <c r="Z156" i="13"/>
  <c r="T156" i="13"/>
  <c r="U156" i="13" s="1"/>
  <c r="W156" i="13" s="1"/>
  <c r="Z155" i="13"/>
  <c r="AB155" i="13" s="1"/>
  <c r="T155" i="13"/>
  <c r="Z154" i="13"/>
  <c r="AB154" i="13" s="1"/>
  <c r="T154" i="13"/>
  <c r="V154" i="13" s="1"/>
  <c r="Z153" i="13"/>
  <c r="AB153" i="13" s="1"/>
  <c r="T153" i="13"/>
  <c r="V153" i="13" s="1"/>
  <c r="Z152" i="13"/>
  <c r="AB152" i="13" s="1"/>
  <c r="T152" i="13"/>
  <c r="Z151" i="13"/>
  <c r="AA151" i="13" s="1"/>
  <c r="AC151" i="13" s="1"/>
  <c r="T151" i="13"/>
  <c r="V151" i="13" s="1"/>
  <c r="Z150" i="13"/>
  <c r="T150" i="13"/>
  <c r="Z149" i="13"/>
  <c r="AB149" i="13" s="1"/>
  <c r="T149" i="13"/>
  <c r="V149" i="13" s="1"/>
  <c r="Z148" i="13"/>
  <c r="AB148" i="13" s="1"/>
  <c r="T148" i="13"/>
  <c r="Z147" i="13"/>
  <c r="AB147" i="13" s="1"/>
  <c r="T147" i="13"/>
  <c r="U147" i="13" s="1"/>
  <c r="W147" i="13" s="1"/>
  <c r="Z146" i="13"/>
  <c r="AB146" i="13" s="1"/>
  <c r="T146" i="13"/>
  <c r="U146" i="13" s="1"/>
  <c r="W146" i="13" s="1"/>
  <c r="Z145" i="13"/>
  <c r="AA145" i="13" s="1"/>
  <c r="AC145" i="13" s="1"/>
  <c r="T145" i="13"/>
  <c r="V145" i="13" s="1"/>
  <c r="Z144" i="13"/>
  <c r="AB144" i="13" s="1"/>
  <c r="T144" i="13"/>
  <c r="U144" i="13" s="1"/>
  <c r="W144" i="13" s="1"/>
  <c r="Z143" i="13"/>
  <c r="AB143" i="13" s="1"/>
  <c r="T143" i="13"/>
  <c r="V143" i="13" s="1"/>
  <c r="Z142" i="13"/>
  <c r="AB142" i="13" s="1"/>
  <c r="T142" i="13"/>
  <c r="V142" i="13" s="1"/>
  <c r="Z141" i="13"/>
  <c r="AA141" i="13" s="1"/>
  <c r="AC141" i="13" s="1"/>
  <c r="T141" i="13"/>
  <c r="V141" i="13" s="1"/>
  <c r="Z140" i="13"/>
  <c r="T140" i="13"/>
  <c r="V140" i="13" s="1"/>
  <c r="Z139" i="13"/>
  <c r="AA139" i="13" s="1"/>
  <c r="AC139" i="13" s="1"/>
  <c r="T139" i="13"/>
  <c r="Z138" i="13"/>
  <c r="T138" i="13"/>
  <c r="U138" i="13" s="1"/>
  <c r="W138" i="13" s="1"/>
  <c r="Z137" i="13"/>
  <c r="AB137" i="13" s="1"/>
  <c r="T137" i="13"/>
  <c r="Z136" i="13"/>
  <c r="T136" i="13"/>
  <c r="V136" i="13" s="1"/>
  <c r="Z135" i="13"/>
  <c r="AA135" i="13" s="1"/>
  <c r="AC135" i="13" s="1"/>
  <c r="T135" i="13"/>
  <c r="V135" i="13" s="1"/>
  <c r="Z134" i="13"/>
  <c r="AA134" i="13" s="1"/>
  <c r="AC134" i="13" s="1"/>
  <c r="T134" i="13"/>
  <c r="V134" i="13" s="1"/>
  <c r="Z133" i="13"/>
  <c r="AA133" i="13" s="1"/>
  <c r="AC133" i="13" s="1"/>
  <c r="T133" i="13"/>
  <c r="U133" i="13" s="1"/>
  <c r="W133" i="13" s="1"/>
  <c r="Z132" i="13"/>
  <c r="T132" i="13"/>
  <c r="U132" i="13" s="1"/>
  <c r="W132" i="13" s="1"/>
  <c r="Z131" i="13"/>
  <c r="AB131" i="13" s="1"/>
  <c r="T131" i="13"/>
  <c r="Z130" i="13"/>
  <c r="AA130" i="13" s="1"/>
  <c r="AC130" i="13" s="1"/>
  <c r="T130" i="13"/>
  <c r="V130" i="13" s="1"/>
  <c r="Z129" i="13"/>
  <c r="AB129" i="13" s="1"/>
  <c r="T129" i="13"/>
  <c r="V129" i="13" s="1"/>
  <c r="Z128" i="13"/>
  <c r="AA128" i="13" s="1"/>
  <c r="AC128" i="13" s="1"/>
  <c r="T128" i="13"/>
  <c r="V128" i="13" s="1"/>
  <c r="Z127" i="13"/>
  <c r="AA127" i="13" s="1"/>
  <c r="AC127" i="13" s="1"/>
  <c r="T127" i="13"/>
  <c r="U127" i="13" s="1"/>
  <c r="W127" i="13" s="1"/>
  <c r="Z126" i="13"/>
  <c r="T126" i="13"/>
  <c r="U126" i="13" s="1"/>
  <c r="W126" i="13" s="1"/>
  <c r="Z125" i="13"/>
  <c r="AB125" i="13" s="1"/>
  <c r="T125" i="13"/>
  <c r="Z124" i="13"/>
  <c r="AA124" i="13" s="1"/>
  <c r="AC124" i="13" s="1"/>
  <c r="T124" i="13"/>
  <c r="V124" i="13" s="1"/>
  <c r="Z123" i="13"/>
  <c r="T123" i="13"/>
  <c r="V123" i="13" s="1"/>
  <c r="Z122" i="13"/>
  <c r="AB122" i="13" s="1"/>
  <c r="T122" i="13"/>
  <c r="V122" i="13" s="1"/>
  <c r="Z121" i="13"/>
  <c r="AA121" i="13" s="1"/>
  <c r="AC121" i="13" s="1"/>
  <c r="T121" i="13"/>
  <c r="V121" i="13" s="1"/>
  <c r="Z120" i="13"/>
  <c r="T120" i="13"/>
  <c r="U120" i="13" s="1"/>
  <c r="W120" i="13" s="1"/>
  <c r="Z119" i="13"/>
  <c r="AB119" i="13" s="1"/>
  <c r="T119" i="13"/>
  <c r="Z118" i="13"/>
  <c r="AB118" i="13" s="1"/>
  <c r="T118" i="13"/>
  <c r="V118" i="13" s="1"/>
  <c r="Z117" i="13"/>
  <c r="AA117" i="13" s="1"/>
  <c r="AC117" i="13" s="1"/>
  <c r="T117" i="13"/>
  <c r="V117" i="13" s="1"/>
  <c r="Z116" i="13"/>
  <c r="T116" i="13"/>
  <c r="V116" i="13" s="1"/>
  <c r="Z115" i="13"/>
  <c r="AA115" i="13" s="1"/>
  <c r="AC115" i="13" s="1"/>
  <c r="T115" i="13"/>
  <c r="Z114" i="13"/>
  <c r="T114" i="13"/>
  <c r="U114" i="13" s="1"/>
  <c r="W114" i="13" s="1"/>
  <c r="Z113" i="13"/>
  <c r="AB113" i="13" s="1"/>
  <c r="T113" i="13"/>
  <c r="Z112" i="13"/>
  <c r="T112" i="13"/>
  <c r="V112" i="13" s="1"/>
  <c r="Z111" i="13"/>
  <c r="AA111" i="13" s="1"/>
  <c r="AC111" i="13" s="1"/>
  <c r="T111" i="13"/>
  <c r="V111" i="13" s="1"/>
  <c r="Z110" i="13"/>
  <c r="AA110" i="13" s="1"/>
  <c r="AC110" i="13" s="1"/>
  <c r="T110" i="13"/>
  <c r="V110" i="13" s="1"/>
  <c r="Z109" i="13"/>
  <c r="AA109" i="13" s="1"/>
  <c r="AC109" i="13" s="1"/>
  <c r="T109" i="13"/>
  <c r="U109" i="13" s="1"/>
  <c r="W109" i="13" s="1"/>
  <c r="Z108" i="13"/>
  <c r="T108" i="13"/>
  <c r="U108" i="13" s="1"/>
  <c r="W108" i="13" s="1"/>
  <c r="Z107" i="13"/>
  <c r="AB107" i="13" s="1"/>
  <c r="T107" i="13"/>
  <c r="Z106" i="13"/>
  <c r="AA106" i="13" s="1"/>
  <c r="AC106" i="13" s="1"/>
  <c r="T106" i="13"/>
  <c r="V106" i="13" s="1"/>
  <c r="Z105" i="13"/>
  <c r="AB105" i="13" s="1"/>
  <c r="T105" i="13"/>
  <c r="U105" i="13" s="1"/>
  <c r="W105" i="13" s="1"/>
  <c r="Z104" i="13"/>
  <c r="AA104" i="13" s="1"/>
  <c r="AC104" i="13" s="1"/>
  <c r="T104" i="13"/>
  <c r="V104" i="13" s="1"/>
  <c r="Z103" i="13"/>
  <c r="AA103" i="13" s="1"/>
  <c r="AC103" i="13" s="1"/>
  <c r="T103" i="13"/>
  <c r="U103" i="13" s="1"/>
  <c r="W103" i="13" s="1"/>
  <c r="Z102" i="13"/>
  <c r="T102" i="13"/>
  <c r="U102" i="13" s="1"/>
  <c r="W102" i="13" s="1"/>
  <c r="Z101" i="13"/>
  <c r="AB101" i="13" s="1"/>
  <c r="T101" i="13"/>
  <c r="Z100" i="13"/>
  <c r="AA100" i="13" s="1"/>
  <c r="AC100" i="13" s="1"/>
  <c r="T100" i="13"/>
  <c r="V100" i="13" s="1"/>
  <c r="Z99" i="13"/>
  <c r="T99" i="13"/>
  <c r="V99" i="13" s="1"/>
  <c r="Z98" i="13"/>
  <c r="AB98" i="13" s="1"/>
  <c r="T98" i="13"/>
  <c r="V98" i="13" s="1"/>
  <c r="Z97" i="13"/>
  <c r="AA97" i="13" s="1"/>
  <c r="AC97" i="13" s="1"/>
  <c r="T97" i="13"/>
  <c r="V97" i="13" s="1"/>
  <c r="Z96" i="13"/>
  <c r="T96" i="13"/>
  <c r="U96" i="13" s="1"/>
  <c r="W96" i="13" s="1"/>
  <c r="Z95" i="13"/>
  <c r="AB95" i="13" s="1"/>
  <c r="T95" i="13"/>
  <c r="Z94" i="13"/>
  <c r="AB94" i="13" s="1"/>
  <c r="T94" i="13"/>
  <c r="V94" i="13" s="1"/>
  <c r="Z93" i="13"/>
  <c r="AA93" i="13" s="1"/>
  <c r="AC93" i="13" s="1"/>
  <c r="T93" i="13"/>
  <c r="V93" i="13" s="1"/>
  <c r="Z92" i="13"/>
  <c r="T92" i="13"/>
  <c r="V92" i="13" s="1"/>
  <c r="Z91" i="13"/>
  <c r="AA91" i="13" s="1"/>
  <c r="AC91" i="13" s="1"/>
  <c r="T91" i="13"/>
  <c r="Z90" i="13"/>
  <c r="T90" i="13"/>
  <c r="U90" i="13" s="1"/>
  <c r="W90" i="13" s="1"/>
  <c r="Z89" i="13"/>
  <c r="AB89" i="13" s="1"/>
  <c r="T89" i="13"/>
  <c r="Z88" i="13"/>
  <c r="T88" i="13"/>
  <c r="V88" i="13" s="1"/>
  <c r="Z87" i="13"/>
  <c r="AA87" i="13" s="1"/>
  <c r="AC87" i="13" s="1"/>
  <c r="T87" i="13"/>
  <c r="V87" i="13" s="1"/>
  <c r="Z86" i="13"/>
  <c r="AB86" i="13" s="1"/>
  <c r="T86" i="13"/>
  <c r="V86" i="13" s="1"/>
  <c r="Z85" i="13"/>
  <c r="AA85" i="13" s="1"/>
  <c r="AC85" i="13" s="1"/>
  <c r="T85" i="13"/>
  <c r="V85" i="13" s="1"/>
  <c r="Z84" i="13"/>
  <c r="T84" i="13"/>
  <c r="V84" i="13" s="1"/>
  <c r="Z83" i="13"/>
  <c r="AB83" i="13" s="1"/>
  <c r="T83" i="13"/>
  <c r="Z82" i="13"/>
  <c r="AB82" i="13" s="1"/>
  <c r="T82" i="13"/>
  <c r="V82" i="13" s="1"/>
  <c r="Z81" i="13"/>
  <c r="AA81" i="13" s="1"/>
  <c r="AC81" i="13" s="1"/>
  <c r="T81" i="13"/>
  <c r="V81" i="13" s="1"/>
  <c r="Z80" i="13"/>
  <c r="AA80" i="13" s="1"/>
  <c r="AC80" i="13" s="1"/>
  <c r="T80" i="13"/>
  <c r="V80" i="13" s="1"/>
  <c r="Z79" i="13"/>
  <c r="AB79" i="13" s="1"/>
  <c r="T79" i="13"/>
  <c r="V79" i="13" s="1"/>
  <c r="Z78" i="13"/>
  <c r="T78" i="13"/>
  <c r="V78" i="13" s="1"/>
  <c r="Z77" i="13"/>
  <c r="AB77" i="13" s="1"/>
  <c r="T77" i="13"/>
  <c r="Z76" i="13"/>
  <c r="AB76" i="13" s="1"/>
  <c r="T76" i="13"/>
  <c r="V76" i="13" s="1"/>
  <c r="Z75" i="13"/>
  <c r="AB75" i="13" s="1"/>
  <c r="T75" i="13"/>
  <c r="V75" i="13" s="1"/>
  <c r="Z74" i="13"/>
  <c r="AB74" i="13" s="1"/>
  <c r="T74" i="13"/>
  <c r="V74" i="13" s="1"/>
  <c r="Z73" i="13"/>
  <c r="AB73" i="13" s="1"/>
  <c r="T73" i="13"/>
  <c r="U73" i="13" s="1"/>
  <c r="W73" i="13" s="1"/>
  <c r="Z72" i="13"/>
  <c r="T72" i="13"/>
  <c r="V72" i="13" s="1"/>
  <c r="Z71" i="13"/>
  <c r="AB71" i="13" s="1"/>
  <c r="T71" i="13"/>
  <c r="Z70" i="13"/>
  <c r="AA70" i="13" s="1"/>
  <c r="AC70" i="13" s="1"/>
  <c r="T70" i="13"/>
  <c r="V70" i="13" s="1"/>
  <c r="Z69" i="13"/>
  <c r="AB69" i="13" s="1"/>
  <c r="T69" i="13"/>
  <c r="V69" i="13" s="1"/>
  <c r="Z68" i="13"/>
  <c r="AA68" i="13" s="1"/>
  <c r="AC68" i="13" s="1"/>
  <c r="T68" i="13"/>
  <c r="V68" i="13" s="1"/>
  <c r="Z67" i="13"/>
  <c r="AB67" i="13" s="1"/>
  <c r="T67" i="13"/>
  <c r="U67" i="13" s="1"/>
  <c r="W67" i="13" s="1"/>
  <c r="Z66" i="13"/>
  <c r="T66" i="13"/>
  <c r="V66" i="13" s="1"/>
  <c r="Z65" i="13"/>
  <c r="AB65" i="13" s="1"/>
  <c r="T65" i="13"/>
  <c r="Z64" i="13"/>
  <c r="AB64" i="13" s="1"/>
  <c r="T64" i="13"/>
  <c r="V64" i="13" s="1"/>
  <c r="Z63" i="13"/>
  <c r="AB63" i="13" s="1"/>
  <c r="T63" i="13"/>
  <c r="V63" i="13" s="1"/>
  <c r="Z62" i="13"/>
  <c r="AB62" i="13" s="1"/>
  <c r="T62" i="13"/>
  <c r="V62" i="13" s="1"/>
  <c r="Z61" i="13"/>
  <c r="AB61" i="13" s="1"/>
  <c r="T61" i="13"/>
  <c r="V61" i="13" s="1"/>
  <c r="Z60" i="13"/>
  <c r="T60" i="13"/>
  <c r="V60" i="13" s="1"/>
  <c r="Z59" i="13"/>
  <c r="AB59" i="13" s="1"/>
  <c r="T59" i="13"/>
  <c r="Z58" i="13"/>
  <c r="AB58" i="13" s="1"/>
  <c r="T58" i="13"/>
  <c r="V58" i="13" s="1"/>
  <c r="Z57" i="13"/>
  <c r="AB57" i="13" s="1"/>
  <c r="T57" i="13"/>
  <c r="V57" i="13" s="1"/>
  <c r="Z56" i="13"/>
  <c r="AB56" i="13" s="1"/>
  <c r="T56" i="13"/>
  <c r="U56" i="13" s="1"/>
  <c r="W56" i="13" s="1"/>
  <c r="Z55" i="13"/>
  <c r="AB55" i="13" s="1"/>
  <c r="T55" i="13"/>
  <c r="V55" i="13" s="1"/>
  <c r="Z54" i="13"/>
  <c r="T54" i="13"/>
  <c r="V54" i="13" s="1"/>
  <c r="Z53" i="13"/>
  <c r="AB53" i="13" s="1"/>
  <c r="T53" i="13"/>
  <c r="Z52" i="13"/>
  <c r="AB52" i="13" s="1"/>
  <c r="T52" i="13"/>
  <c r="V52" i="13" s="1"/>
  <c r="Z51" i="13"/>
  <c r="AB51" i="13" s="1"/>
  <c r="T51" i="13"/>
  <c r="V51" i="13" s="1"/>
  <c r="Z50" i="13"/>
  <c r="AB50" i="13" s="1"/>
  <c r="T50" i="13"/>
  <c r="V50" i="13" s="1"/>
  <c r="Z49" i="13"/>
  <c r="AB49" i="13" s="1"/>
  <c r="T49" i="13"/>
  <c r="V49" i="13" s="1"/>
  <c r="Z48" i="13"/>
  <c r="T48" i="13"/>
  <c r="V48" i="13" s="1"/>
  <c r="Z47" i="13"/>
  <c r="AB47" i="13" s="1"/>
  <c r="T47" i="13"/>
  <c r="Z46" i="13"/>
  <c r="AB46" i="13" s="1"/>
  <c r="T46" i="13"/>
  <c r="V46" i="13" s="1"/>
  <c r="Z45" i="13"/>
  <c r="AB45" i="13" s="1"/>
  <c r="T45" i="13"/>
  <c r="U45" i="13" s="1"/>
  <c r="W45" i="13" s="1"/>
  <c r="Z44" i="13"/>
  <c r="AB44" i="13" s="1"/>
  <c r="T44" i="13"/>
  <c r="U44" i="13" s="1"/>
  <c r="W44" i="13" s="1"/>
  <c r="Z43" i="13"/>
  <c r="AA43" i="13" s="1"/>
  <c r="AC43" i="13" s="1"/>
  <c r="T43" i="13"/>
  <c r="V43" i="13" s="1"/>
  <c r="Z42" i="13"/>
  <c r="AB42" i="13" s="1"/>
  <c r="T42" i="13"/>
  <c r="U42" i="13" s="1"/>
  <c r="W42" i="13" s="1"/>
  <c r="Z41" i="13"/>
  <c r="AB41" i="13" s="1"/>
  <c r="T41" i="13"/>
  <c r="V41" i="13" s="1"/>
  <c r="Z40" i="13"/>
  <c r="AB40" i="13" s="1"/>
  <c r="T40" i="13"/>
  <c r="V40" i="13" s="1"/>
  <c r="Z39" i="13"/>
  <c r="AB39" i="13" s="1"/>
  <c r="T39" i="13"/>
  <c r="V39" i="13" s="1"/>
  <c r="Z38" i="13"/>
  <c r="AB38" i="13" s="1"/>
  <c r="T38" i="13"/>
  <c r="V38" i="13" s="1"/>
  <c r="Z37" i="13"/>
  <c r="AA37" i="13" s="1"/>
  <c r="AC37" i="13" s="1"/>
  <c r="T37" i="13"/>
  <c r="U37" i="13" s="1"/>
  <c r="W37" i="13" s="1"/>
  <c r="Z36" i="13"/>
  <c r="AB36" i="13" s="1"/>
  <c r="T36" i="13"/>
  <c r="U36" i="13" s="1"/>
  <c r="W36" i="13" s="1"/>
  <c r="Z35" i="13"/>
  <c r="AA35" i="13" s="1"/>
  <c r="AC35" i="13" s="1"/>
  <c r="T35" i="13"/>
  <c r="V35" i="13" s="1"/>
  <c r="Z34" i="13"/>
  <c r="AA34" i="13" s="1"/>
  <c r="AC34" i="13" s="1"/>
  <c r="T34" i="13"/>
  <c r="V34" i="13" s="1"/>
  <c r="Z33" i="13"/>
  <c r="AB33" i="13" s="1"/>
  <c r="T33" i="13"/>
  <c r="V33" i="13" s="1"/>
  <c r="Z32" i="13"/>
  <c r="AB32" i="13" s="1"/>
  <c r="T32" i="13"/>
  <c r="U32" i="13" s="1"/>
  <c r="W32" i="13" s="1"/>
  <c r="Z31" i="13"/>
  <c r="AA31" i="13" s="1"/>
  <c r="AC31" i="13" s="1"/>
  <c r="T31" i="13"/>
  <c r="V31" i="13" s="1"/>
  <c r="Z30" i="13"/>
  <c r="AB30" i="13" s="1"/>
  <c r="T30" i="13"/>
  <c r="U30" i="13" s="1"/>
  <c r="W30" i="13" s="1"/>
  <c r="Z29" i="13"/>
  <c r="AB29" i="13" s="1"/>
  <c r="T29" i="13"/>
  <c r="V29" i="13" s="1"/>
  <c r="Z28" i="13"/>
  <c r="AA28" i="13" s="1"/>
  <c r="AC28" i="13" s="1"/>
  <c r="T28" i="13"/>
  <c r="V28" i="13" s="1"/>
  <c r="Z27" i="13"/>
  <c r="AB27" i="13" s="1"/>
  <c r="T27" i="13"/>
  <c r="V27" i="13" s="1"/>
  <c r="Z26" i="13"/>
  <c r="AB26" i="13" s="1"/>
  <c r="T26" i="13"/>
  <c r="V26" i="13" s="1"/>
  <c r="Z25" i="13"/>
  <c r="AA25" i="13" s="1"/>
  <c r="AC25" i="13" s="1"/>
  <c r="T25" i="13"/>
  <c r="V25" i="13" s="1"/>
  <c r="Z24" i="13"/>
  <c r="AB24" i="13" s="1"/>
  <c r="T24" i="13"/>
  <c r="U24" i="13" s="1"/>
  <c r="W24" i="13" s="1"/>
  <c r="Z23" i="13"/>
  <c r="AB23" i="13" s="1"/>
  <c r="T23" i="13"/>
  <c r="V23" i="13" s="1"/>
  <c r="Z22" i="13"/>
  <c r="AB22" i="13" s="1"/>
  <c r="T22" i="13"/>
  <c r="V22" i="13" s="1"/>
  <c r="Z21" i="13"/>
  <c r="AA21" i="13" s="1"/>
  <c r="AC21" i="13" s="1"/>
  <c r="T21" i="13"/>
  <c r="V21" i="13" s="1"/>
  <c r="Z20" i="13"/>
  <c r="AB20" i="13" s="1"/>
  <c r="T20" i="13"/>
  <c r="V20" i="13" s="1"/>
  <c r="Z19" i="13"/>
  <c r="AA19" i="13" s="1"/>
  <c r="AC19" i="13" s="1"/>
  <c r="T19" i="13"/>
  <c r="V19" i="13" s="1"/>
  <c r="Z18" i="13"/>
  <c r="AB18" i="13" s="1"/>
  <c r="T18" i="13"/>
  <c r="U18" i="13" s="1"/>
  <c r="W18" i="13" s="1"/>
  <c r="Z17" i="13"/>
  <c r="AB17" i="13" s="1"/>
  <c r="T17" i="13"/>
  <c r="V17" i="13" s="1"/>
  <c r="Z16" i="13"/>
  <c r="AB16" i="13" s="1"/>
  <c r="T16" i="13"/>
  <c r="U16" i="13" s="1"/>
  <c r="W16" i="13" s="1"/>
  <c r="Z15" i="13"/>
  <c r="AB15" i="13" s="1"/>
  <c r="T15" i="13"/>
  <c r="V15" i="13" s="1"/>
  <c r="Z14" i="13"/>
  <c r="AB14" i="13" s="1"/>
  <c r="T14" i="13"/>
  <c r="V14" i="13" s="1"/>
  <c r="Z13" i="13"/>
  <c r="AA13" i="13" s="1"/>
  <c r="AC13" i="13" s="1"/>
  <c r="T13" i="13"/>
  <c r="V13" i="13" s="1"/>
  <c r="Z12" i="13"/>
  <c r="AB12" i="13" s="1"/>
  <c r="T12" i="13"/>
  <c r="U12" i="13" s="1"/>
  <c r="W12" i="13" s="1"/>
  <c r="Z11" i="13"/>
  <c r="AB11" i="13" s="1"/>
  <c r="T11" i="13"/>
  <c r="V11" i="13" s="1"/>
  <c r="Z10" i="13"/>
  <c r="AB10" i="13" s="1"/>
  <c r="T10" i="13"/>
  <c r="V10" i="13" s="1"/>
  <c r="Z9" i="13"/>
  <c r="AA9" i="13" s="1"/>
  <c r="AC9" i="13" s="1"/>
  <c r="T9" i="13"/>
  <c r="V9" i="13" s="1"/>
  <c r="Z8" i="13"/>
  <c r="AB8" i="13" s="1"/>
  <c r="T8" i="13"/>
  <c r="U8" i="13" s="1"/>
  <c r="W8" i="13" s="1"/>
  <c r="Z7" i="13"/>
  <c r="AA7" i="13" s="1"/>
  <c r="AC7" i="13" s="1"/>
  <c r="T7" i="13"/>
  <c r="V7" i="13" s="1"/>
  <c r="Z6" i="13"/>
  <c r="AB6" i="13" s="1"/>
  <c r="T6" i="13"/>
  <c r="U6" i="13" s="1"/>
  <c r="W6" i="13" s="1"/>
  <c r="Z5" i="13"/>
  <c r="AB5" i="13" s="1"/>
  <c r="T5" i="13"/>
  <c r="V5" i="13" s="1"/>
  <c r="B84" i="38"/>
  <c r="B85" i="38"/>
  <c r="D84" i="38"/>
  <c r="D85" i="38"/>
  <c r="F84" i="38"/>
  <c r="H84" i="38" s="1"/>
  <c r="I84" i="38" s="1"/>
  <c r="F85" i="38"/>
  <c r="H85" i="38" s="1"/>
  <c r="I85" i="38" s="1"/>
  <c r="B86" i="38"/>
  <c r="D86" i="38"/>
  <c r="F86" i="38"/>
  <c r="H86" i="38" s="1"/>
  <c r="I86" i="38" s="1"/>
  <c r="B87" i="38"/>
  <c r="D87" i="38"/>
  <c r="F87" i="38"/>
  <c r="H87" i="38" s="1"/>
  <c r="I87" i="38" s="1"/>
  <c r="B24" i="38"/>
  <c r="B27" i="38"/>
  <c r="B28" i="38"/>
  <c r="B29" i="38"/>
  <c r="B30" i="38"/>
  <c r="B31" i="38"/>
  <c r="B34" i="38"/>
  <c r="B35" i="38"/>
  <c r="D24" i="38"/>
  <c r="D27" i="38"/>
  <c r="D28" i="38"/>
  <c r="D29" i="38"/>
  <c r="D30" i="38"/>
  <c r="D31" i="38"/>
  <c r="D34" i="38"/>
  <c r="D35" i="38"/>
  <c r="F24" i="38"/>
  <c r="H24" i="38" s="1"/>
  <c r="I24" i="38" s="1"/>
  <c r="F27" i="38"/>
  <c r="H27" i="38" s="1"/>
  <c r="I27" i="38" s="1"/>
  <c r="F28" i="38"/>
  <c r="H28" i="38" s="1"/>
  <c r="I28" i="38" s="1"/>
  <c r="F29" i="38"/>
  <c r="H29" i="38" s="1"/>
  <c r="I29" i="38" s="1"/>
  <c r="F30" i="38"/>
  <c r="H30" i="38" s="1"/>
  <c r="I30" i="38" s="1"/>
  <c r="F31" i="38"/>
  <c r="H31" i="38" s="1"/>
  <c r="I31" i="38" s="1"/>
  <c r="F34" i="38"/>
  <c r="H34" i="38" s="1"/>
  <c r="I34" i="38" s="1"/>
  <c r="F35" i="38"/>
  <c r="H35" i="38" s="1"/>
  <c r="I35" i="38" s="1"/>
  <c r="B36" i="38"/>
  <c r="B37" i="38"/>
  <c r="B38" i="38"/>
  <c r="B41" i="38"/>
  <c r="D36" i="38"/>
  <c r="D37" i="38"/>
  <c r="D38" i="38"/>
  <c r="D41" i="38"/>
  <c r="F36" i="38"/>
  <c r="H36" i="38" s="1"/>
  <c r="I36" i="38" s="1"/>
  <c r="F37" i="38"/>
  <c r="H37" i="38" s="1"/>
  <c r="I37" i="38" s="1"/>
  <c r="F38" i="38"/>
  <c r="H38" i="38" s="1"/>
  <c r="I38" i="38" s="1"/>
  <c r="F41" i="38"/>
  <c r="H41" i="38" s="1"/>
  <c r="I41" i="38" s="1"/>
  <c r="B42" i="38"/>
  <c r="B43" i="38"/>
  <c r="D42" i="38"/>
  <c r="D43" i="38"/>
  <c r="F42" i="38"/>
  <c r="H42" i="38" s="1"/>
  <c r="I42" i="38" s="1"/>
  <c r="F43" i="38"/>
  <c r="H43" i="38" s="1"/>
  <c r="I43" i="38" s="1"/>
  <c r="B44" i="38"/>
  <c r="D44" i="38"/>
  <c r="F44" i="38"/>
  <c r="H44" i="38" s="1"/>
  <c r="I44" i="38" s="1"/>
  <c r="B45" i="38"/>
  <c r="D45" i="38"/>
  <c r="F45" i="38"/>
  <c r="H45" i="38" s="1"/>
  <c r="I45" i="38" s="1"/>
  <c r="B31" i="19"/>
  <c r="B30" i="19"/>
  <c r="B29" i="19"/>
  <c r="B28" i="19"/>
  <c r="C16" i="19"/>
  <c r="B16" i="19"/>
  <c r="C15" i="19"/>
  <c r="B15" i="19"/>
  <c r="C14" i="19"/>
  <c r="B14" i="19"/>
  <c r="C13" i="19"/>
  <c r="B13" i="19"/>
  <c r="B189" i="13"/>
  <c r="C189" i="13"/>
  <c r="D189" i="13"/>
  <c r="E189" i="13"/>
  <c r="K189" i="13"/>
  <c r="AI189" i="13"/>
  <c r="AU189" i="13" s="1"/>
  <c r="BD189" i="13"/>
  <c r="BP189" i="13" s="1"/>
  <c r="B200" i="13"/>
  <c r="B199" i="13"/>
  <c r="B198" i="13"/>
  <c r="B197" i="13"/>
  <c r="B196" i="13"/>
  <c r="B195" i="13"/>
  <c r="B194" i="13"/>
  <c r="C194" i="13"/>
  <c r="C195" i="13"/>
  <c r="C196" i="13"/>
  <c r="C197" i="13"/>
  <c r="C198" i="13"/>
  <c r="C199" i="13"/>
  <c r="C200" i="13"/>
  <c r="D194" i="13"/>
  <c r="D195" i="13"/>
  <c r="D196" i="13"/>
  <c r="D197" i="13"/>
  <c r="D198" i="13"/>
  <c r="D199" i="13"/>
  <c r="D200" i="13"/>
  <c r="E194" i="13"/>
  <c r="E195" i="13"/>
  <c r="E196" i="13"/>
  <c r="E197" i="13"/>
  <c r="E198" i="13"/>
  <c r="E199" i="13"/>
  <c r="E200" i="13"/>
  <c r="K194" i="13"/>
  <c r="K195" i="13"/>
  <c r="K196" i="13"/>
  <c r="K197" i="13"/>
  <c r="K198" i="13"/>
  <c r="K199" i="13"/>
  <c r="K200" i="13"/>
  <c r="AI194" i="13"/>
  <c r="AI195" i="13"/>
  <c r="AL195" i="13" s="1"/>
  <c r="AI196" i="13"/>
  <c r="AP196" i="13" s="1"/>
  <c r="AI197" i="13"/>
  <c r="AO197" i="13" s="1"/>
  <c r="AI198" i="13"/>
  <c r="AI199" i="13"/>
  <c r="AL199" i="13" s="1"/>
  <c r="AI200" i="13"/>
  <c r="BD194" i="13"/>
  <c r="BL194" i="13" s="1"/>
  <c r="BD195" i="13"/>
  <c r="BT195" i="13" s="1"/>
  <c r="BD196" i="13"/>
  <c r="BD197" i="13"/>
  <c r="BH197" i="13" s="1"/>
  <c r="BD198" i="13"/>
  <c r="BD199" i="13"/>
  <c r="BN199" i="13" s="1"/>
  <c r="BD200" i="13"/>
  <c r="B193" i="13"/>
  <c r="B192" i="13"/>
  <c r="B191" i="13"/>
  <c r="B190" i="13"/>
  <c r="B188" i="13"/>
  <c r="B187" i="13"/>
  <c r="B186" i="13"/>
  <c r="C186" i="13"/>
  <c r="C187" i="13"/>
  <c r="C188" i="13"/>
  <c r="C190" i="13"/>
  <c r="C191" i="13"/>
  <c r="C192" i="13"/>
  <c r="C193" i="13"/>
  <c r="D186" i="13"/>
  <c r="D187" i="13"/>
  <c r="D188" i="13"/>
  <c r="D190" i="13"/>
  <c r="D191" i="13"/>
  <c r="D192" i="13"/>
  <c r="D193" i="13"/>
  <c r="E186" i="13"/>
  <c r="E187" i="13"/>
  <c r="E188" i="13"/>
  <c r="E190" i="13"/>
  <c r="E191" i="13"/>
  <c r="E192" i="13"/>
  <c r="E193" i="13"/>
  <c r="K186" i="13"/>
  <c r="K187" i="13"/>
  <c r="K188" i="13"/>
  <c r="K190" i="13"/>
  <c r="K191" i="13"/>
  <c r="K192" i="13"/>
  <c r="K193" i="13"/>
  <c r="AI186" i="13"/>
  <c r="AI187" i="13"/>
  <c r="AV187" i="13" s="1"/>
  <c r="AI188" i="13"/>
  <c r="AZ188" i="13" s="1"/>
  <c r="AI190" i="13"/>
  <c r="BA190" i="13" s="1"/>
  <c r="AI191" i="13"/>
  <c r="AL191" i="13" s="1"/>
  <c r="AI192" i="13"/>
  <c r="AI193" i="13"/>
  <c r="AP193" i="13" s="1"/>
  <c r="BD186" i="13"/>
  <c r="BL186" i="13" s="1"/>
  <c r="BD187" i="13"/>
  <c r="BT187" i="13" s="1"/>
  <c r="BD188" i="13"/>
  <c r="BD190" i="13"/>
  <c r="BJ190" i="13" s="1"/>
  <c r="BD191" i="13"/>
  <c r="BL191" i="13" s="1"/>
  <c r="BD192" i="13"/>
  <c r="BO192" i="13" s="1"/>
  <c r="BD193" i="13"/>
  <c r="BP193" i="13" s="1"/>
  <c r="B171" i="13"/>
  <c r="B170" i="13"/>
  <c r="B169" i="13"/>
  <c r="B168" i="13"/>
  <c r="B167" i="13"/>
  <c r="B166" i="13"/>
  <c r="B165" i="13"/>
  <c r="B164" i="13"/>
  <c r="B163" i="13"/>
  <c r="B162" i="13"/>
  <c r="B161" i="13"/>
  <c r="B160" i="13"/>
  <c r="B159" i="13"/>
  <c r="B158" i="13"/>
  <c r="B157" i="13"/>
  <c r="B156" i="13"/>
  <c r="B155" i="13"/>
  <c r="C155" i="13"/>
  <c r="C156" i="13"/>
  <c r="C157" i="13"/>
  <c r="C158" i="13"/>
  <c r="C159" i="13"/>
  <c r="C160" i="13"/>
  <c r="C161" i="13"/>
  <c r="C162" i="13"/>
  <c r="C163" i="13"/>
  <c r="C164" i="13"/>
  <c r="D155" i="13"/>
  <c r="D156" i="13"/>
  <c r="D157" i="13"/>
  <c r="D158" i="13"/>
  <c r="D159" i="13"/>
  <c r="D160" i="13"/>
  <c r="D161" i="13"/>
  <c r="D162" i="13"/>
  <c r="D163" i="13"/>
  <c r="D164" i="13"/>
  <c r="E155" i="13"/>
  <c r="E156" i="13"/>
  <c r="E157" i="13"/>
  <c r="E158" i="13"/>
  <c r="E159" i="13"/>
  <c r="E160" i="13"/>
  <c r="E161" i="13"/>
  <c r="E162" i="13"/>
  <c r="E163" i="13"/>
  <c r="E164" i="13"/>
  <c r="K155" i="13"/>
  <c r="K156" i="13"/>
  <c r="K157" i="13"/>
  <c r="K158" i="13"/>
  <c r="K159" i="13"/>
  <c r="K160" i="13"/>
  <c r="K161" i="13"/>
  <c r="K162" i="13"/>
  <c r="K163" i="13"/>
  <c r="K164" i="13"/>
  <c r="AI155" i="13"/>
  <c r="AJ155" i="13" s="1"/>
  <c r="AI156" i="13"/>
  <c r="AI157" i="13"/>
  <c r="AY157" i="13" s="1"/>
  <c r="AI158" i="13"/>
  <c r="AS158" i="13" s="1"/>
  <c r="AI159" i="13"/>
  <c r="AP159" i="13" s="1"/>
  <c r="AI160" i="13"/>
  <c r="AI161" i="13"/>
  <c r="AV161" i="13" s="1"/>
  <c r="AI162" i="13"/>
  <c r="AI163" i="13"/>
  <c r="AI164" i="13"/>
  <c r="AK164" i="13" s="1"/>
  <c r="BD155" i="13"/>
  <c r="BJ155" i="13" s="1"/>
  <c r="BD156" i="13"/>
  <c r="BL156" i="13" s="1"/>
  <c r="BD157" i="13"/>
  <c r="BO157" i="13" s="1"/>
  <c r="BD158" i="13"/>
  <c r="BD159" i="13"/>
  <c r="BD160" i="13"/>
  <c r="BH160" i="13" s="1"/>
  <c r="BD161" i="13"/>
  <c r="BE161" i="13" s="1"/>
  <c r="BD162" i="13"/>
  <c r="BP162" i="13" s="1"/>
  <c r="BD163" i="13"/>
  <c r="BI163" i="13" s="1"/>
  <c r="BD164" i="13"/>
  <c r="BQ164" i="13" s="1"/>
  <c r="C165" i="13"/>
  <c r="C166" i="13"/>
  <c r="C167" i="13"/>
  <c r="C168" i="13"/>
  <c r="C169" i="13"/>
  <c r="D165" i="13"/>
  <c r="D166" i="13"/>
  <c r="D167" i="13"/>
  <c r="D168" i="13"/>
  <c r="D169" i="13"/>
  <c r="E165" i="13"/>
  <c r="E166" i="13"/>
  <c r="E167" i="13"/>
  <c r="E168" i="13"/>
  <c r="E169" i="13"/>
  <c r="K165" i="13"/>
  <c r="K166" i="13"/>
  <c r="K167" i="13"/>
  <c r="K168" i="13"/>
  <c r="K169" i="13"/>
  <c r="AI165" i="13"/>
  <c r="AI166" i="13"/>
  <c r="AI167" i="13"/>
  <c r="AJ167" i="13" s="1"/>
  <c r="AI168" i="13"/>
  <c r="AM168" i="13" s="1"/>
  <c r="AI169" i="13"/>
  <c r="BD165" i="13"/>
  <c r="BK165" i="13" s="1"/>
  <c r="BD166" i="13"/>
  <c r="BP166" i="13" s="1"/>
  <c r="BD167" i="13"/>
  <c r="BD168" i="13"/>
  <c r="BK168" i="13" s="1"/>
  <c r="BD169" i="13"/>
  <c r="C170" i="13"/>
  <c r="C171" i="13"/>
  <c r="D170" i="13"/>
  <c r="D171" i="13"/>
  <c r="E170" i="13"/>
  <c r="E171" i="13"/>
  <c r="K170" i="13"/>
  <c r="K171" i="13"/>
  <c r="AI170" i="13"/>
  <c r="AV170" i="13" s="1"/>
  <c r="AI171" i="13"/>
  <c r="AJ171" i="13" s="1"/>
  <c r="BD170" i="13"/>
  <c r="BG170" i="13" s="1"/>
  <c r="BD171" i="13"/>
  <c r="BT171" i="13" s="1"/>
  <c r="B132" i="13"/>
  <c r="B131" i="13"/>
  <c r="B130" i="13"/>
  <c r="C131" i="13"/>
  <c r="D131" i="13"/>
  <c r="E131" i="13"/>
  <c r="K131" i="13"/>
  <c r="AI131" i="13"/>
  <c r="AK131" i="13" s="1"/>
  <c r="BD131" i="13"/>
  <c r="C130" i="13"/>
  <c r="D130" i="13"/>
  <c r="E130" i="13"/>
  <c r="K130" i="13"/>
  <c r="AI130" i="13"/>
  <c r="BD130" i="13"/>
  <c r="BF130" i="13" s="1"/>
  <c r="C132" i="13"/>
  <c r="D132" i="13"/>
  <c r="E132" i="13"/>
  <c r="K132" i="13"/>
  <c r="AI132" i="13"/>
  <c r="AL132" i="13" s="1"/>
  <c r="BD132" i="13"/>
  <c r="BG132" i="13" s="1"/>
  <c r="B143" i="13"/>
  <c r="C143" i="13"/>
  <c r="D143" i="13"/>
  <c r="E143" i="13"/>
  <c r="K143" i="13"/>
  <c r="AI143" i="13"/>
  <c r="AL143" i="13" s="1"/>
  <c r="BD143" i="13"/>
  <c r="BG143" i="13" s="1"/>
  <c r="B141" i="13"/>
  <c r="B140" i="13"/>
  <c r="B139" i="13"/>
  <c r="B138" i="13"/>
  <c r="B137" i="13"/>
  <c r="B136" i="13"/>
  <c r="B135" i="13"/>
  <c r="B134" i="13"/>
  <c r="C135" i="13"/>
  <c r="C136" i="13"/>
  <c r="C137" i="13"/>
  <c r="C138" i="13"/>
  <c r="C139" i="13"/>
  <c r="D135" i="13"/>
  <c r="D136" i="13"/>
  <c r="D137" i="13"/>
  <c r="D138" i="13"/>
  <c r="D139" i="13"/>
  <c r="E135" i="13"/>
  <c r="E136" i="13"/>
  <c r="E137" i="13"/>
  <c r="E138" i="13"/>
  <c r="E139" i="13"/>
  <c r="K135" i="13"/>
  <c r="K136" i="13"/>
  <c r="K137" i="13"/>
  <c r="K138" i="13"/>
  <c r="K139" i="13"/>
  <c r="AI135" i="13"/>
  <c r="AK135" i="13" s="1"/>
  <c r="AI136" i="13"/>
  <c r="AJ136" i="13" s="1"/>
  <c r="AI137" i="13"/>
  <c r="AL137" i="13" s="1"/>
  <c r="AI138" i="13"/>
  <c r="AL138" i="13" s="1"/>
  <c r="AI139" i="13"/>
  <c r="AK139" i="13" s="1"/>
  <c r="BD135" i="13"/>
  <c r="BF135" i="13" s="1"/>
  <c r="BD136" i="13"/>
  <c r="BE136" i="13" s="1"/>
  <c r="BD137" i="13"/>
  <c r="BF137" i="13" s="1"/>
  <c r="BD138" i="13"/>
  <c r="BG138" i="13" s="1"/>
  <c r="BD139" i="13"/>
  <c r="BF139" i="13" s="1"/>
  <c r="C134" i="13"/>
  <c r="C140" i="13"/>
  <c r="C141" i="13"/>
  <c r="D134" i="13"/>
  <c r="D140" i="13"/>
  <c r="D141" i="13"/>
  <c r="E134" i="13"/>
  <c r="E140" i="13"/>
  <c r="E141" i="13"/>
  <c r="K134" i="13"/>
  <c r="K140" i="13"/>
  <c r="K141" i="13"/>
  <c r="AI134" i="13"/>
  <c r="AJ134" i="13" s="1"/>
  <c r="AI140" i="13"/>
  <c r="AL140" i="13" s="1"/>
  <c r="AI141" i="13"/>
  <c r="AK141" i="13" s="1"/>
  <c r="BD134" i="13"/>
  <c r="BE134" i="13" s="1"/>
  <c r="BD140" i="13"/>
  <c r="BG140" i="13" s="1"/>
  <c r="BD141" i="13"/>
  <c r="BG141" i="13" s="1"/>
  <c r="B142" i="13"/>
  <c r="B133" i="13"/>
  <c r="B129" i="13"/>
  <c r="B128" i="13"/>
  <c r="B127" i="13"/>
  <c r="B126" i="13"/>
  <c r="B125" i="13"/>
  <c r="B124" i="13"/>
  <c r="B123" i="13"/>
  <c r="B122" i="13"/>
  <c r="B121" i="13"/>
  <c r="B120" i="13"/>
  <c r="B119" i="13"/>
  <c r="B118" i="13"/>
  <c r="C118" i="13"/>
  <c r="C119" i="13"/>
  <c r="C120" i="13"/>
  <c r="C121" i="13"/>
  <c r="C122" i="13"/>
  <c r="C123" i="13"/>
  <c r="C124" i="13"/>
  <c r="C125" i="13"/>
  <c r="D118" i="13"/>
  <c r="D119" i="13"/>
  <c r="D120" i="13"/>
  <c r="D121" i="13"/>
  <c r="D122" i="13"/>
  <c r="D123" i="13"/>
  <c r="D124" i="13"/>
  <c r="D125" i="13"/>
  <c r="E118" i="13"/>
  <c r="E119" i="13"/>
  <c r="E120" i="13"/>
  <c r="E121" i="13"/>
  <c r="E122" i="13"/>
  <c r="E123" i="13"/>
  <c r="E124" i="13"/>
  <c r="E125" i="13"/>
  <c r="K118" i="13"/>
  <c r="K119" i="13"/>
  <c r="K120" i="13"/>
  <c r="K121" i="13"/>
  <c r="K122" i="13"/>
  <c r="K123" i="13"/>
  <c r="K124" i="13"/>
  <c r="K125" i="13"/>
  <c r="AI118" i="13"/>
  <c r="AW118" i="13" s="1"/>
  <c r="AI119" i="13"/>
  <c r="AV119" i="13" s="1"/>
  <c r="AI120" i="13"/>
  <c r="AJ120" i="13" s="1"/>
  <c r="AI121" i="13"/>
  <c r="AJ121" i="13" s="1"/>
  <c r="AI122" i="13"/>
  <c r="AI123" i="13"/>
  <c r="AR123" i="13" s="1"/>
  <c r="AI124" i="13"/>
  <c r="AR124" i="13" s="1"/>
  <c r="AI125" i="13"/>
  <c r="AJ125" i="13" s="1"/>
  <c r="BD118" i="13"/>
  <c r="BG118" i="13" s="1"/>
  <c r="BD119" i="13"/>
  <c r="BL119" i="13" s="1"/>
  <c r="BD120" i="13"/>
  <c r="BU120" i="13" s="1"/>
  <c r="BD121" i="13"/>
  <c r="BJ121" i="13" s="1"/>
  <c r="BD122" i="13"/>
  <c r="BO122" i="13" s="1"/>
  <c r="BD123" i="13"/>
  <c r="BI123" i="13" s="1"/>
  <c r="BD124" i="13"/>
  <c r="BF124" i="13" s="1"/>
  <c r="BD125" i="13"/>
  <c r="BJ125" i="13" s="1"/>
  <c r="C126" i="13"/>
  <c r="C127" i="13"/>
  <c r="C128" i="13"/>
  <c r="C129" i="13"/>
  <c r="D126" i="13"/>
  <c r="D127" i="13"/>
  <c r="D128" i="13"/>
  <c r="D129" i="13"/>
  <c r="E126" i="13"/>
  <c r="E127" i="13"/>
  <c r="E128" i="13"/>
  <c r="E129" i="13"/>
  <c r="K126" i="13"/>
  <c r="K127" i="13"/>
  <c r="K128" i="13"/>
  <c r="K129" i="13"/>
  <c r="AI126" i="13"/>
  <c r="AK126" i="13" s="1"/>
  <c r="AI127" i="13"/>
  <c r="AI128" i="13"/>
  <c r="AL128" i="13" s="1"/>
  <c r="AI129" i="13"/>
  <c r="AK129" i="13" s="1"/>
  <c r="BD126" i="13"/>
  <c r="BF126" i="13" s="1"/>
  <c r="BD127" i="13"/>
  <c r="BR127" i="13" s="1"/>
  <c r="BD128" i="13"/>
  <c r="BF128" i="13" s="1"/>
  <c r="BD129" i="13"/>
  <c r="BE129" i="13" s="1"/>
  <c r="C133" i="13"/>
  <c r="C142" i="13"/>
  <c r="D133" i="13"/>
  <c r="D142" i="13"/>
  <c r="E133" i="13"/>
  <c r="E142" i="13"/>
  <c r="K133" i="13"/>
  <c r="K142" i="13"/>
  <c r="AI133" i="13"/>
  <c r="AJ133" i="13" s="1"/>
  <c r="AI142" i="13"/>
  <c r="AJ142" i="13" s="1"/>
  <c r="BD133" i="13"/>
  <c r="BE133" i="13" s="1"/>
  <c r="BD142" i="13"/>
  <c r="BF142" i="13" s="1"/>
  <c r="B106" i="13"/>
  <c r="B105" i="13"/>
  <c r="B107" i="13"/>
  <c r="B104" i="13"/>
  <c r="C104" i="13"/>
  <c r="D104" i="13"/>
  <c r="E104" i="13"/>
  <c r="K104" i="13"/>
  <c r="AI104" i="13"/>
  <c r="AK104" i="13" s="1"/>
  <c r="BD104" i="13"/>
  <c r="BF104" i="13" s="1"/>
  <c r="C105" i="13"/>
  <c r="D105" i="13"/>
  <c r="E105" i="13"/>
  <c r="K105" i="13"/>
  <c r="AI105" i="13"/>
  <c r="AK105" i="13" s="1"/>
  <c r="BD105" i="13"/>
  <c r="BF105" i="13" s="1"/>
  <c r="C106" i="13"/>
  <c r="D106" i="13"/>
  <c r="E106" i="13"/>
  <c r="K106" i="13"/>
  <c r="AI106" i="13"/>
  <c r="AK106" i="13" s="1"/>
  <c r="BD106" i="13"/>
  <c r="BG106" i="13" s="1"/>
  <c r="B103" i="13"/>
  <c r="B102" i="13"/>
  <c r="B101" i="13"/>
  <c r="B100" i="13"/>
  <c r="B99" i="13"/>
  <c r="C103" i="13"/>
  <c r="D103" i="13"/>
  <c r="E103" i="13"/>
  <c r="K103" i="13"/>
  <c r="AI103" i="13"/>
  <c r="AP103" i="13" s="1"/>
  <c r="BD103" i="13"/>
  <c r="BI103" i="13" s="1"/>
  <c r="C99" i="13"/>
  <c r="C100" i="13"/>
  <c r="D99" i="13"/>
  <c r="D100" i="13"/>
  <c r="E99" i="13"/>
  <c r="E100" i="13"/>
  <c r="K99" i="13"/>
  <c r="K100" i="13"/>
  <c r="AI99" i="13"/>
  <c r="AO99" i="13" s="1"/>
  <c r="AI100" i="13"/>
  <c r="AJ100" i="13" s="1"/>
  <c r="BD99" i="13"/>
  <c r="BF99" i="13" s="1"/>
  <c r="BD100" i="13"/>
  <c r="BJ100" i="13" s="1"/>
  <c r="C101" i="13"/>
  <c r="D101" i="13"/>
  <c r="E101" i="13"/>
  <c r="K101" i="13"/>
  <c r="AI101" i="13"/>
  <c r="BD101" i="13"/>
  <c r="BI101" i="13" s="1"/>
  <c r="C102" i="13"/>
  <c r="D102" i="13"/>
  <c r="E102" i="13"/>
  <c r="K102" i="13"/>
  <c r="AI102" i="13"/>
  <c r="AM102" i="13" s="1"/>
  <c r="BD102" i="13"/>
  <c r="BI102" i="13" s="1"/>
  <c r="B217" i="13"/>
  <c r="B216" i="13"/>
  <c r="B215" i="13"/>
  <c r="B214" i="13"/>
  <c r="B213" i="13"/>
  <c r="B212" i="13"/>
  <c r="B211" i="13"/>
  <c r="B210" i="13"/>
  <c r="B209" i="13"/>
  <c r="B208" i="13"/>
  <c r="C208" i="13"/>
  <c r="C209" i="13"/>
  <c r="C210" i="13"/>
  <c r="C211" i="13"/>
  <c r="C212" i="13"/>
  <c r="C213" i="13"/>
  <c r="C214" i="13"/>
  <c r="C215" i="13"/>
  <c r="C216" i="13"/>
  <c r="C217" i="13"/>
  <c r="D208" i="13"/>
  <c r="D209" i="13"/>
  <c r="D210" i="13"/>
  <c r="D211" i="13"/>
  <c r="D212" i="13"/>
  <c r="D213" i="13"/>
  <c r="D214" i="13"/>
  <c r="D215" i="13"/>
  <c r="D216" i="13"/>
  <c r="D217" i="13"/>
  <c r="E208" i="13"/>
  <c r="E209" i="13"/>
  <c r="E210" i="13"/>
  <c r="E211" i="13"/>
  <c r="E212" i="13"/>
  <c r="E213" i="13"/>
  <c r="E214" i="13"/>
  <c r="E215" i="13"/>
  <c r="E216" i="13"/>
  <c r="E217" i="13"/>
  <c r="K208" i="13"/>
  <c r="K209" i="13"/>
  <c r="K210" i="13"/>
  <c r="K211" i="13"/>
  <c r="K212" i="13"/>
  <c r="K213" i="13"/>
  <c r="K214" i="13"/>
  <c r="K215" i="13"/>
  <c r="K216" i="13"/>
  <c r="K217" i="13"/>
  <c r="AI208" i="13"/>
  <c r="BB208" i="13" s="1"/>
  <c r="AI209" i="13"/>
  <c r="AL209" i="13" s="1"/>
  <c r="AI210" i="13"/>
  <c r="AR210" i="13" s="1"/>
  <c r="AI211" i="13"/>
  <c r="AK211" i="13" s="1"/>
  <c r="AI212" i="13"/>
  <c r="AM212" i="13" s="1"/>
  <c r="AI213" i="13"/>
  <c r="BA213" i="13" s="1"/>
  <c r="AI214" i="13"/>
  <c r="AM214" i="13" s="1"/>
  <c r="AI215" i="13"/>
  <c r="AI216" i="13"/>
  <c r="AS216" i="13" s="1"/>
  <c r="AI217" i="13"/>
  <c r="AZ217" i="13" s="1"/>
  <c r="BD208" i="13"/>
  <c r="BE208" i="13" s="1"/>
  <c r="BD209" i="13"/>
  <c r="BH209" i="13" s="1"/>
  <c r="BD210" i="13"/>
  <c r="BE210" i="13" s="1"/>
  <c r="BD211" i="13"/>
  <c r="BW211" i="13" s="1"/>
  <c r="BD212" i="13"/>
  <c r="BF212" i="13" s="1"/>
  <c r="BD213" i="13"/>
  <c r="BV213" i="13" s="1"/>
  <c r="BD214" i="13"/>
  <c r="BN214" i="13" s="1"/>
  <c r="BD215" i="13"/>
  <c r="BW215" i="13" s="1"/>
  <c r="BD216" i="13"/>
  <c r="BH216" i="13" s="1"/>
  <c r="BD217" i="13"/>
  <c r="BH217" i="13" s="1"/>
  <c r="V180" i="13" l="1"/>
  <c r="B61" i="22"/>
  <c r="B62" i="22"/>
  <c r="B64" i="22"/>
  <c r="B60" i="22"/>
  <c r="B63" i="22"/>
  <c r="B59" i="22"/>
  <c r="B67" i="22"/>
  <c r="B69" i="22"/>
  <c r="B66" i="22"/>
  <c r="B68" i="22"/>
  <c r="B65" i="22"/>
  <c r="B70" i="22"/>
  <c r="B72" i="22"/>
  <c r="B74" i="22"/>
  <c r="B71" i="22"/>
  <c r="B73" i="22"/>
  <c r="B55" i="22"/>
  <c r="B58" i="22"/>
  <c r="B52" i="22"/>
  <c r="B54" i="22"/>
  <c r="B57" i="22"/>
  <c r="B56" i="22"/>
  <c r="B51" i="22"/>
  <c r="B53" i="22"/>
  <c r="V109" i="13"/>
  <c r="AB81" i="13"/>
  <c r="AE81" i="13" s="1"/>
  <c r="AB177" i="13"/>
  <c r="BE209" i="13"/>
  <c r="AB93" i="13"/>
  <c r="AE93" i="13" s="1"/>
  <c r="V6" i="13"/>
  <c r="AE6" i="13" s="1"/>
  <c r="AB87" i="13"/>
  <c r="AE87" i="13" s="1"/>
  <c r="U86" i="13"/>
  <c r="W86" i="13" s="1"/>
  <c r="U52" i="13"/>
  <c r="W52" i="13" s="1"/>
  <c r="U134" i="13"/>
  <c r="W134" i="13" s="1"/>
  <c r="AF134" i="13" s="1"/>
  <c r="AB141" i="13"/>
  <c r="AE141" i="13" s="1"/>
  <c r="U199" i="13"/>
  <c r="W199" i="13" s="1"/>
  <c r="V16" i="13"/>
  <c r="AE16" i="13" s="1"/>
  <c r="U185" i="13"/>
  <c r="W185" i="13" s="1"/>
  <c r="U207" i="13"/>
  <c r="W207" i="13" s="1"/>
  <c r="AB214" i="13"/>
  <c r="AE214" i="13" s="1"/>
  <c r="BE215" i="13"/>
  <c r="V67" i="13"/>
  <c r="AE67" i="13" s="1"/>
  <c r="V120" i="13"/>
  <c r="V189" i="13"/>
  <c r="AE189" i="13" s="1"/>
  <c r="BE214" i="13"/>
  <c r="AB37" i="13"/>
  <c r="AB205" i="13"/>
  <c r="AB34" i="13"/>
  <c r="AE34" i="13" s="1"/>
  <c r="AA62" i="13"/>
  <c r="AC62" i="13" s="1"/>
  <c r="U93" i="13"/>
  <c r="W93" i="13" s="1"/>
  <c r="AF93" i="13" s="1"/>
  <c r="V177" i="13"/>
  <c r="V32" i="13"/>
  <c r="AE32" i="13" s="1"/>
  <c r="U50" i="13"/>
  <c r="W50" i="13" s="1"/>
  <c r="U122" i="13"/>
  <c r="W122" i="13" s="1"/>
  <c r="U15" i="13"/>
  <c r="W15" i="13" s="1"/>
  <c r="V18" i="13"/>
  <c r="AE18" i="13" s="1"/>
  <c r="U81" i="13"/>
  <c r="W81" i="13" s="1"/>
  <c r="AF81" i="13" s="1"/>
  <c r="AA155" i="13"/>
  <c r="AC155" i="13" s="1"/>
  <c r="U22" i="13"/>
  <c r="W22" i="13" s="1"/>
  <c r="U57" i="13"/>
  <c r="W57" i="13" s="1"/>
  <c r="V105" i="13"/>
  <c r="AE105" i="13" s="1"/>
  <c r="AA122" i="13"/>
  <c r="AC122" i="13" s="1"/>
  <c r="AB163" i="13"/>
  <c r="AB70" i="13"/>
  <c r="AE70" i="13" s="1"/>
  <c r="AB91" i="13"/>
  <c r="U14" i="13"/>
  <c r="W14" i="13" s="1"/>
  <c r="U31" i="13"/>
  <c r="W31" i="13" s="1"/>
  <c r="AF31" i="13" s="1"/>
  <c r="U55" i="13"/>
  <c r="W55" i="13" s="1"/>
  <c r="AB134" i="13"/>
  <c r="AE134" i="13" s="1"/>
  <c r="AA182" i="13"/>
  <c r="AC182" i="13" s="1"/>
  <c r="V193" i="13"/>
  <c r="AB68" i="13"/>
  <c r="AE68" i="13" s="1"/>
  <c r="AB103" i="13"/>
  <c r="AB106" i="13"/>
  <c r="AE106" i="13" s="1"/>
  <c r="V132" i="13"/>
  <c r="V165" i="13"/>
  <c r="AA207" i="13"/>
  <c r="AC207" i="13" s="1"/>
  <c r="V211" i="13"/>
  <c r="U9" i="13"/>
  <c r="W9" i="13" s="1"/>
  <c r="AF9" i="13" s="1"/>
  <c r="AA27" i="13"/>
  <c r="AC27" i="13" s="1"/>
  <c r="AA30" i="13"/>
  <c r="AC30" i="13" s="1"/>
  <c r="AF30" i="13" s="1"/>
  <c r="V37" i="13"/>
  <c r="V44" i="13"/>
  <c r="AE44" i="13" s="1"/>
  <c r="AA47" i="13"/>
  <c r="AC47" i="13" s="1"/>
  <c r="U74" i="13"/>
  <c r="W74" i="13" s="1"/>
  <c r="AB117" i="13"/>
  <c r="AE117" i="13" s="1"/>
  <c r="AB127" i="13"/>
  <c r="V133" i="13"/>
  <c r="AB139" i="13"/>
  <c r="AB151" i="13"/>
  <c r="AE151" i="13" s="1"/>
  <c r="AB157" i="13"/>
  <c r="V187" i="13"/>
  <c r="AB193" i="13"/>
  <c r="V206" i="13"/>
  <c r="AA16" i="13"/>
  <c r="AC16" i="13" s="1"/>
  <c r="AF16" i="13" s="1"/>
  <c r="U25" i="13"/>
  <c r="W25" i="13" s="1"/>
  <c r="AF25" i="13" s="1"/>
  <c r="AA32" i="13"/>
  <c r="AC32" i="13" s="1"/>
  <c r="AF32" i="13" s="1"/>
  <c r="AA50" i="13"/>
  <c r="AC50" i="13" s="1"/>
  <c r="V56" i="13"/>
  <c r="AE56" i="13" s="1"/>
  <c r="AA57" i="13"/>
  <c r="AC57" i="13" s="1"/>
  <c r="AA71" i="13"/>
  <c r="AC71" i="13" s="1"/>
  <c r="AB80" i="13"/>
  <c r="AE80" i="13" s="1"/>
  <c r="U98" i="13"/>
  <c r="W98" i="13" s="1"/>
  <c r="AB110" i="13"/>
  <c r="AE110" i="13" s="1"/>
  <c r="AB130" i="13"/>
  <c r="AE130" i="13" s="1"/>
  <c r="U145" i="13"/>
  <c r="W145" i="13" s="1"/>
  <c r="AF145" i="13" s="1"/>
  <c r="AB175" i="13"/>
  <c r="U181" i="13"/>
  <c r="W181" i="13" s="1"/>
  <c r="AA203" i="13"/>
  <c r="AC203" i="13" s="1"/>
  <c r="V216" i="13"/>
  <c r="AA12" i="13"/>
  <c r="AC12" i="13" s="1"/>
  <c r="AF12" i="13" s="1"/>
  <c r="U19" i="13"/>
  <c r="W19" i="13" s="1"/>
  <c r="AF19" i="13" s="1"/>
  <c r="AA69" i="13"/>
  <c r="AC69" i="13" s="1"/>
  <c r="AA74" i="13"/>
  <c r="AC74" i="13" s="1"/>
  <c r="V102" i="13"/>
  <c r="U143" i="13"/>
  <c r="W143" i="13" s="1"/>
  <c r="AA161" i="13"/>
  <c r="AC161" i="13" s="1"/>
  <c r="AB178" i="13"/>
  <c r="AE178" i="13" s="1"/>
  <c r="V194" i="13"/>
  <c r="AB200" i="13"/>
  <c r="AB9" i="13"/>
  <c r="AE9" i="13" s="1"/>
  <c r="U33" i="13"/>
  <c r="W33" i="13" s="1"/>
  <c r="AA56" i="13"/>
  <c r="AC56" i="13" s="1"/>
  <c r="AF56" i="13" s="1"/>
  <c r="BE211" i="13"/>
  <c r="U17" i="13"/>
  <c r="W17" i="13" s="1"/>
  <c r="AB31" i="13"/>
  <c r="AE31" i="13" s="1"/>
  <c r="V36" i="13"/>
  <c r="AE36" i="13" s="1"/>
  <c r="AA51" i="13"/>
  <c r="AC51" i="13" s="1"/>
  <c r="U62" i="13"/>
  <c r="W62" i="13" s="1"/>
  <c r="U70" i="13"/>
  <c r="W70" i="13" s="1"/>
  <c r="AF70" i="13" s="1"/>
  <c r="U79" i="13"/>
  <c r="W79" i="13" s="1"/>
  <c r="AA83" i="13"/>
  <c r="AC83" i="13" s="1"/>
  <c r="V96" i="13"/>
  <c r="U129" i="13"/>
  <c r="W129" i="13" s="1"/>
  <c r="U141" i="13"/>
  <c r="W141" i="13" s="1"/>
  <c r="AF141" i="13" s="1"/>
  <c r="AA143" i="13"/>
  <c r="AC143" i="13" s="1"/>
  <c r="U153" i="13"/>
  <c r="W153" i="13" s="1"/>
  <c r="V159" i="13"/>
  <c r="AB194" i="13"/>
  <c r="U217" i="13"/>
  <c r="W217" i="13" s="1"/>
  <c r="V8" i="13"/>
  <c r="AE8" i="13" s="1"/>
  <c r="AB13" i="13"/>
  <c r="AE13" i="13" s="1"/>
  <c r="AA15" i="13"/>
  <c r="AC15" i="13" s="1"/>
  <c r="AA29" i="13"/>
  <c r="AC29" i="13" s="1"/>
  <c r="V73" i="13"/>
  <c r="AE73" i="13" s="1"/>
  <c r="AA20" i="13"/>
  <c r="AC20" i="13" s="1"/>
  <c r="AA36" i="13"/>
  <c r="AC36" i="13" s="1"/>
  <c r="AF36" i="13" s="1"/>
  <c r="V213" i="13"/>
  <c r="U213" i="13"/>
  <c r="W213" i="13" s="1"/>
  <c r="AB7" i="13"/>
  <c r="AE7" i="13" s="1"/>
  <c r="AB21" i="13"/>
  <c r="AE21" i="13" s="1"/>
  <c r="AA23" i="13"/>
  <c r="AC23" i="13" s="1"/>
  <c r="AB35" i="13"/>
  <c r="AE35" i="13" s="1"/>
  <c r="U39" i="13"/>
  <c r="W39" i="13" s="1"/>
  <c r="AA41" i="13"/>
  <c r="AC41" i="13" s="1"/>
  <c r="AA45" i="13"/>
  <c r="AC45" i="13" s="1"/>
  <c r="AF45" i="13" s="1"/>
  <c r="U61" i="13"/>
  <c r="W61" i="13" s="1"/>
  <c r="AA64" i="13"/>
  <c r="AC64" i="13" s="1"/>
  <c r="U75" i="13"/>
  <c r="W75" i="13" s="1"/>
  <c r="AA76" i="13"/>
  <c r="AC76" i="13" s="1"/>
  <c r="AA82" i="13"/>
  <c r="AC82" i="13" s="1"/>
  <c r="U85" i="13"/>
  <c r="W85" i="13" s="1"/>
  <c r="AF85" i="13" s="1"/>
  <c r="AA86" i="13"/>
  <c r="AC86" i="13" s="1"/>
  <c r="AB123" i="13"/>
  <c r="AE123" i="13" s="1"/>
  <c r="AA123" i="13"/>
  <c r="AC123" i="13" s="1"/>
  <c r="AB183" i="13"/>
  <c r="AA183" i="13"/>
  <c r="AC183" i="13" s="1"/>
  <c r="AB88" i="13"/>
  <c r="AE88" i="13" s="1"/>
  <c r="AA88" i="13"/>
  <c r="AC88" i="13" s="1"/>
  <c r="AA171" i="13"/>
  <c r="AC171" i="13" s="1"/>
  <c r="AB171" i="13"/>
  <c r="AE171" i="13" s="1"/>
  <c r="V209" i="13"/>
  <c r="U209" i="13"/>
  <c r="W209" i="13" s="1"/>
  <c r="AE20" i="13"/>
  <c r="AB136" i="13"/>
  <c r="AE136" i="13" s="1"/>
  <c r="AA136" i="13"/>
  <c r="AC136" i="13" s="1"/>
  <c r="V24" i="13"/>
  <c r="AE24" i="13" s="1"/>
  <c r="AA26" i="13"/>
  <c r="AC26" i="13" s="1"/>
  <c r="AB28" i="13"/>
  <c r="AE28" i="13" s="1"/>
  <c r="U38" i="13"/>
  <c r="W38" i="13" s="1"/>
  <c r="U40" i="13"/>
  <c r="W40" i="13" s="1"/>
  <c r="AA44" i="13"/>
  <c r="AC44" i="13" s="1"/>
  <c r="AF44" i="13" s="1"/>
  <c r="U46" i="13"/>
  <c r="W46" i="13" s="1"/>
  <c r="U49" i="13"/>
  <c r="W49" i="13" s="1"/>
  <c r="AA63" i="13"/>
  <c r="AC63" i="13" s="1"/>
  <c r="U68" i="13"/>
  <c r="W68" i="13" s="1"/>
  <c r="AF68" i="13" s="1"/>
  <c r="AA75" i="13"/>
  <c r="AC75" i="13" s="1"/>
  <c r="U80" i="13"/>
  <c r="W80" i="13" s="1"/>
  <c r="AF80" i="13" s="1"/>
  <c r="AB85" i="13"/>
  <c r="AE85" i="13" s="1"/>
  <c r="U87" i="13"/>
  <c r="W87" i="13" s="1"/>
  <c r="AF87" i="13" s="1"/>
  <c r="V115" i="13"/>
  <c r="U115" i="13"/>
  <c r="W115" i="13" s="1"/>
  <c r="AF115" i="13" s="1"/>
  <c r="AB140" i="13"/>
  <c r="AE140" i="13" s="1"/>
  <c r="AA140" i="13"/>
  <c r="AC140" i="13" s="1"/>
  <c r="AA191" i="13"/>
  <c r="AC191" i="13" s="1"/>
  <c r="AB191" i="13"/>
  <c r="AA8" i="13"/>
  <c r="AC8" i="13" s="1"/>
  <c r="AF8" i="13" s="1"/>
  <c r="AA10" i="13"/>
  <c r="AC10" i="13" s="1"/>
  <c r="U13" i="13"/>
  <c r="W13" i="13" s="1"/>
  <c r="AF13" i="13" s="1"/>
  <c r="AA14" i="13"/>
  <c r="AC14" i="13" s="1"/>
  <c r="AE10" i="13"/>
  <c r="AB92" i="13"/>
  <c r="AE92" i="13" s="1"/>
  <c r="AA92" i="13"/>
  <c r="AC92" i="13" s="1"/>
  <c r="V152" i="13"/>
  <c r="AE152" i="13" s="1"/>
  <c r="U152" i="13"/>
  <c r="W152" i="13" s="1"/>
  <c r="U7" i="13"/>
  <c r="W7" i="13" s="1"/>
  <c r="AF7" i="13" s="1"/>
  <c r="AA22" i="13"/>
  <c r="AC22" i="13" s="1"/>
  <c r="U29" i="13"/>
  <c r="W29" i="13" s="1"/>
  <c r="AA38" i="13"/>
  <c r="AC38" i="13" s="1"/>
  <c r="U43" i="13"/>
  <c r="W43" i="13" s="1"/>
  <c r="AF43" i="13" s="1"/>
  <c r="U51" i="13"/>
  <c r="W51" i="13" s="1"/>
  <c r="AB99" i="13"/>
  <c r="AE99" i="13" s="1"/>
  <c r="AA99" i="13"/>
  <c r="AC99" i="13" s="1"/>
  <c r="U150" i="13"/>
  <c r="W150" i="13" s="1"/>
  <c r="V150" i="13"/>
  <c r="AA201" i="13"/>
  <c r="AC201" i="13" s="1"/>
  <c r="AB201" i="13"/>
  <c r="U168" i="13"/>
  <c r="W168" i="13" s="1"/>
  <c r="V168" i="13"/>
  <c r="BE213" i="13"/>
  <c r="AE23" i="13"/>
  <c r="V45" i="13"/>
  <c r="AE45" i="13" s="1"/>
  <c r="AA53" i="13"/>
  <c r="AC53" i="13" s="1"/>
  <c r="U64" i="13"/>
  <c r="W64" i="13" s="1"/>
  <c r="U76" i="13"/>
  <c r="W76" i="13" s="1"/>
  <c r="V91" i="13"/>
  <c r="U91" i="13"/>
  <c r="W91" i="13" s="1"/>
  <c r="AF91" i="13" s="1"/>
  <c r="AB112" i="13"/>
  <c r="AE112" i="13" s="1"/>
  <c r="AA112" i="13"/>
  <c r="AC112" i="13" s="1"/>
  <c r="AB116" i="13"/>
  <c r="AE116" i="13" s="1"/>
  <c r="AA116" i="13"/>
  <c r="AC116" i="13" s="1"/>
  <c r="U170" i="13"/>
  <c r="W170" i="13" s="1"/>
  <c r="V170" i="13"/>
  <c r="AE170" i="13" s="1"/>
  <c r="BE212" i="13"/>
  <c r="V139" i="13"/>
  <c r="U139" i="13"/>
  <c r="W139" i="13" s="1"/>
  <c r="AF139" i="13" s="1"/>
  <c r="V90" i="13"/>
  <c r="U92" i="13"/>
  <c r="W92" i="13" s="1"/>
  <c r="AB97" i="13"/>
  <c r="AE97" i="13" s="1"/>
  <c r="U99" i="13"/>
  <c r="W99" i="13" s="1"/>
  <c r="AB100" i="13"/>
  <c r="AE100" i="13" s="1"/>
  <c r="V103" i="13"/>
  <c r="AB104" i="13"/>
  <c r="AE104" i="13" s="1"/>
  <c r="AB111" i="13"/>
  <c r="AE111" i="13" s="1"/>
  <c r="V114" i="13"/>
  <c r="U116" i="13"/>
  <c r="W116" i="13" s="1"/>
  <c r="AB121" i="13"/>
  <c r="AE121" i="13" s="1"/>
  <c r="U123" i="13"/>
  <c r="W123" i="13" s="1"/>
  <c r="AB124" i="13"/>
  <c r="AE124" i="13" s="1"/>
  <c r="V127" i="13"/>
  <c r="AB128" i="13"/>
  <c r="AE128" i="13" s="1"/>
  <c r="AB135" i="13"/>
  <c r="AE135" i="13" s="1"/>
  <c r="V138" i="13"/>
  <c r="U140" i="13"/>
  <c r="W140" i="13" s="1"/>
  <c r="V157" i="13"/>
  <c r="V163" i="13"/>
  <c r="U171" i="13"/>
  <c r="W171" i="13" s="1"/>
  <c r="AB172" i="13"/>
  <c r="AE172" i="13" s="1"/>
  <c r="V175" i="13"/>
  <c r="AB184" i="13"/>
  <c r="AE184" i="13" s="1"/>
  <c r="AB188" i="13"/>
  <c r="AB190" i="13"/>
  <c r="V196" i="13"/>
  <c r="AE196" i="13" s="1"/>
  <c r="V205" i="13"/>
  <c r="AB206" i="13"/>
  <c r="AA212" i="13"/>
  <c r="AC212" i="13" s="1"/>
  <c r="V147" i="13"/>
  <c r="AE147" i="13" s="1"/>
  <c r="AA149" i="13"/>
  <c r="AC149" i="13" s="1"/>
  <c r="AB169" i="13"/>
  <c r="AE169" i="13" s="1"/>
  <c r="AB208" i="13"/>
  <c r="AE160" i="13"/>
  <c r="AE166" i="13"/>
  <c r="U104" i="13"/>
  <c r="W104" i="13" s="1"/>
  <c r="AF104" i="13" s="1"/>
  <c r="AB109" i="13"/>
  <c r="U111" i="13"/>
  <c r="W111" i="13" s="1"/>
  <c r="AF111" i="13" s="1"/>
  <c r="V126" i="13"/>
  <c r="U128" i="13"/>
  <c r="W128" i="13" s="1"/>
  <c r="AF128" i="13" s="1"/>
  <c r="AB133" i="13"/>
  <c r="U135" i="13"/>
  <c r="W135" i="13" s="1"/>
  <c r="AF135" i="13" s="1"/>
  <c r="V146" i="13"/>
  <c r="AE146" i="13" s="1"/>
  <c r="V156" i="13"/>
  <c r="U160" i="13"/>
  <c r="W160" i="13" s="1"/>
  <c r="V162" i="13"/>
  <c r="U166" i="13"/>
  <c r="W166" i="13" s="1"/>
  <c r="V174" i="13"/>
  <c r="V176" i="13"/>
  <c r="AE176" i="13" s="1"/>
  <c r="AA185" i="13"/>
  <c r="AC185" i="13" s="1"/>
  <c r="AA189" i="13"/>
  <c r="AC189" i="13" s="1"/>
  <c r="AF189" i="13" s="1"/>
  <c r="U195" i="13"/>
  <c r="W195" i="13" s="1"/>
  <c r="AA197" i="13"/>
  <c r="AC197" i="13" s="1"/>
  <c r="AB211" i="13"/>
  <c r="AA94" i="13"/>
  <c r="AC94" i="13" s="1"/>
  <c r="U97" i="13"/>
  <c r="W97" i="13" s="1"/>
  <c r="AF97" i="13" s="1"/>
  <c r="AA98" i="13"/>
  <c r="AC98" i="13" s="1"/>
  <c r="AA105" i="13"/>
  <c r="AC105" i="13" s="1"/>
  <c r="AF105" i="13" s="1"/>
  <c r="AA118" i="13"/>
  <c r="AC118" i="13" s="1"/>
  <c r="U121" i="13"/>
  <c r="W121" i="13" s="1"/>
  <c r="AF121" i="13" s="1"/>
  <c r="AA129" i="13"/>
  <c r="AC129" i="13" s="1"/>
  <c r="AA142" i="13"/>
  <c r="AC142" i="13" s="1"/>
  <c r="V144" i="13"/>
  <c r="AE144" i="13" s="1"/>
  <c r="AA148" i="13"/>
  <c r="AC148" i="13" s="1"/>
  <c r="AA158" i="13"/>
  <c r="AC158" i="13" s="1"/>
  <c r="AA164" i="13"/>
  <c r="AC164" i="13" s="1"/>
  <c r="AF164" i="13" s="1"/>
  <c r="AA170" i="13"/>
  <c r="AC170" i="13" s="1"/>
  <c r="AF170" i="13" s="1"/>
  <c r="U172" i="13"/>
  <c r="W172" i="13" s="1"/>
  <c r="AF172" i="13" s="1"/>
  <c r="AB179" i="13"/>
  <c r="V188" i="13"/>
  <c r="V192" i="13"/>
  <c r="AE192" i="13" s="1"/>
  <c r="U202" i="13"/>
  <c r="W202" i="13" s="1"/>
  <c r="AA204" i="13"/>
  <c r="AC204" i="13" s="1"/>
  <c r="AE212" i="13"/>
  <c r="AB215" i="13"/>
  <c r="V108" i="13"/>
  <c r="U110" i="13"/>
  <c r="W110" i="13" s="1"/>
  <c r="AF110" i="13" s="1"/>
  <c r="AB115" i="13"/>
  <c r="U117" i="13"/>
  <c r="W117" i="13" s="1"/>
  <c r="AF117" i="13" s="1"/>
  <c r="AA146" i="13"/>
  <c r="AC146" i="13" s="1"/>
  <c r="AF146" i="13" s="1"/>
  <c r="U151" i="13"/>
  <c r="W151" i="13" s="1"/>
  <c r="AF151" i="13" s="1"/>
  <c r="AA152" i="13"/>
  <c r="AC152" i="13" s="1"/>
  <c r="AA154" i="13"/>
  <c r="AC154" i="13" s="1"/>
  <c r="AA160" i="13"/>
  <c r="AC160" i="13" s="1"/>
  <c r="AA166" i="13"/>
  <c r="AC166" i="13" s="1"/>
  <c r="U169" i="13"/>
  <c r="W169" i="13" s="1"/>
  <c r="AF169" i="13" s="1"/>
  <c r="AA176" i="13"/>
  <c r="AC176" i="13" s="1"/>
  <c r="AF176" i="13" s="1"/>
  <c r="U178" i="13"/>
  <c r="W178" i="13" s="1"/>
  <c r="AF178" i="13" s="1"/>
  <c r="U184" i="13"/>
  <c r="W184" i="13" s="1"/>
  <c r="AF184" i="13" s="1"/>
  <c r="U212" i="13"/>
  <c r="W212" i="13" s="1"/>
  <c r="U214" i="13"/>
  <c r="W214" i="13" s="1"/>
  <c r="AF214" i="13" s="1"/>
  <c r="AA192" i="13"/>
  <c r="AC192" i="13" s="1"/>
  <c r="AF192" i="13" s="1"/>
  <c r="V198" i="13"/>
  <c r="AA210" i="13"/>
  <c r="AC210" i="13" s="1"/>
  <c r="AF210" i="13" s="1"/>
  <c r="AE185" i="13"/>
  <c r="AE33" i="13"/>
  <c r="AE40" i="13"/>
  <c r="AE49" i="13"/>
  <c r="AE79" i="13"/>
  <c r="AE203" i="13"/>
  <c r="AE17" i="13"/>
  <c r="AE29" i="13"/>
  <c r="AE50" i="13"/>
  <c r="AE143" i="13"/>
  <c r="AE129" i="13"/>
  <c r="AE52" i="13"/>
  <c r="AE55" i="13"/>
  <c r="AE149" i="13"/>
  <c r="AE153" i="13"/>
  <c r="AE22" i="13"/>
  <c r="AE46" i="13"/>
  <c r="AE41" i="13"/>
  <c r="AE154" i="13"/>
  <c r="AE39" i="13"/>
  <c r="AE64" i="13"/>
  <c r="AE14" i="13"/>
  <c r="AE15" i="13"/>
  <c r="AE26" i="13"/>
  <c r="AE38" i="13"/>
  <c r="AE58" i="13"/>
  <c r="AE61" i="13"/>
  <c r="AE76" i="13"/>
  <c r="BE119" i="13"/>
  <c r="AF127" i="13"/>
  <c r="AF103" i="13"/>
  <c r="AF109" i="13"/>
  <c r="AF133" i="13"/>
  <c r="AE11" i="13"/>
  <c r="AF37" i="13"/>
  <c r="AE5" i="13"/>
  <c r="V53" i="13"/>
  <c r="AE53" i="13" s="1"/>
  <c r="U53" i="13"/>
  <c r="W53" i="13" s="1"/>
  <c r="AE63" i="13"/>
  <c r="AB72" i="13"/>
  <c r="AE72" i="13" s="1"/>
  <c r="AA72" i="13"/>
  <c r="AC72" i="13" s="1"/>
  <c r="V89" i="13"/>
  <c r="AE89" i="13" s="1"/>
  <c r="U89" i="13"/>
  <c r="W89" i="13" s="1"/>
  <c r="V95" i="13"/>
  <c r="AE95" i="13" s="1"/>
  <c r="U95" i="13"/>
  <c r="W95" i="13" s="1"/>
  <c r="V101" i="13"/>
  <c r="AE101" i="13" s="1"/>
  <c r="U101" i="13"/>
  <c r="W101" i="13" s="1"/>
  <c r="V107" i="13"/>
  <c r="AE107" i="13" s="1"/>
  <c r="U107" i="13"/>
  <c r="W107" i="13" s="1"/>
  <c r="V113" i="13"/>
  <c r="AE113" i="13" s="1"/>
  <c r="U113" i="13"/>
  <c r="W113" i="13" s="1"/>
  <c r="V119" i="13"/>
  <c r="AE119" i="13" s="1"/>
  <c r="U119" i="13"/>
  <c r="W119" i="13" s="1"/>
  <c r="V125" i="13"/>
  <c r="AE125" i="13" s="1"/>
  <c r="U125" i="13"/>
  <c r="W125" i="13" s="1"/>
  <c r="V131" i="13"/>
  <c r="AE131" i="13" s="1"/>
  <c r="U131" i="13"/>
  <c r="W131" i="13" s="1"/>
  <c r="V137" i="13"/>
  <c r="AE137" i="13" s="1"/>
  <c r="U137" i="13"/>
  <c r="W137" i="13" s="1"/>
  <c r="V167" i="13"/>
  <c r="AE167" i="13" s="1"/>
  <c r="U167" i="13"/>
  <c r="W167" i="13" s="1"/>
  <c r="AF177" i="13"/>
  <c r="AB213" i="13"/>
  <c r="AA213" i="13"/>
  <c r="AC213" i="13" s="1"/>
  <c r="AA5" i="13"/>
  <c r="AC5" i="13" s="1"/>
  <c r="U10" i="13"/>
  <c r="W10" i="13" s="1"/>
  <c r="AA11" i="13"/>
  <c r="AC11" i="13" s="1"/>
  <c r="AA18" i="13"/>
  <c r="AC18" i="13" s="1"/>
  <c r="AB19" i="13"/>
  <c r="AE19" i="13" s="1"/>
  <c r="U20" i="13"/>
  <c r="W20" i="13" s="1"/>
  <c r="U21" i="13"/>
  <c r="W21" i="13" s="1"/>
  <c r="AE27" i="13"/>
  <c r="U28" i="13"/>
  <c r="W28" i="13" s="1"/>
  <c r="AA33" i="13"/>
  <c r="AC33" i="13" s="1"/>
  <c r="U35" i="13"/>
  <c r="W35" i="13" s="1"/>
  <c r="AA40" i="13"/>
  <c r="AC40" i="13" s="1"/>
  <c r="V42" i="13"/>
  <c r="AE42" i="13" s="1"/>
  <c r="V47" i="13"/>
  <c r="AE47" i="13" s="1"/>
  <c r="U47" i="13"/>
  <c r="W47" i="13" s="1"/>
  <c r="AE57" i="13"/>
  <c r="AA58" i="13"/>
  <c r="AC58" i="13" s="1"/>
  <c r="AA65" i="13"/>
  <c r="AC65" i="13" s="1"/>
  <c r="U69" i="13"/>
  <c r="W69" i="13" s="1"/>
  <c r="AE75" i="13"/>
  <c r="V83" i="13"/>
  <c r="AE83" i="13" s="1"/>
  <c r="U83" i="13"/>
  <c r="W83" i="13" s="1"/>
  <c r="U88" i="13"/>
  <c r="W88" i="13" s="1"/>
  <c r="U94" i="13"/>
  <c r="W94" i="13" s="1"/>
  <c r="U100" i="13"/>
  <c r="W100" i="13" s="1"/>
  <c r="AF100" i="13" s="1"/>
  <c r="U106" i="13"/>
  <c r="W106" i="13" s="1"/>
  <c r="U112" i="13"/>
  <c r="W112" i="13" s="1"/>
  <c r="U118" i="13"/>
  <c r="W118" i="13" s="1"/>
  <c r="U124" i="13"/>
  <c r="W124" i="13" s="1"/>
  <c r="U130" i="13"/>
  <c r="W130" i="13" s="1"/>
  <c r="U136" i="13"/>
  <c r="W136" i="13" s="1"/>
  <c r="U142" i="13"/>
  <c r="W142" i="13" s="1"/>
  <c r="AB156" i="13"/>
  <c r="AA156" i="13"/>
  <c r="AC156" i="13" s="1"/>
  <c r="AA159" i="13"/>
  <c r="AC159" i="13" s="1"/>
  <c r="AB159" i="13"/>
  <c r="V164" i="13"/>
  <c r="AE164" i="13" s="1"/>
  <c r="AF187" i="13"/>
  <c r="U5" i="13"/>
  <c r="W5" i="13" s="1"/>
  <c r="AA6" i="13"/>
  <c r="AC6" i="13" s="1"/>
  <c r="U11" i="13"/>
  <c r="W11" i="13" s="1"/>
  <c r="V12" i="13"/>
  <c r="AE12" i="13" s="1"/>
  <c r="AA17" i="13"/>
  <c r="AC17" i="13" s="1"/>
  <c r="AA24" i="13"/>
  <c r="AC24" i="13" s="1"/>
  <c r="AB25" i="13"/>
  <c r="AE25" i="13" s="1"/>
  <c r="U26" i="13"/>
  <c r="W26" i="13" s="1"/>
  <c r="U27" i="13"/>
  <c r="W27" i="13" s="1"/>
  <c r="U34" i="13"/>
  <c r="W34" i="13" s="1"/>
  <c r="AA39" i="13"/>
  <c r="AC39" i="13" s="1"/>
  <c r="U41" i="13"/>
  <c r="W41" i="13" s="1"/>
  <c r="AA46" i="13"/>
  <c r="AC46" i="13" s="1"/>
  <c r="AE51" i="13"/>
  <c r="AA52" i="13"/>
  <c r="AC52" i="13" s="1"/>
  <c r="AA59" i="13"/>
  <c r="AC59" i="13" s="1"/>
  <c r="U63" i="13"/>
  <c r="W63" i="13" s="1"/>
  <c r="AB66" i="13"/>
  <c r="AE66" i="13" s="1"/>
  <c r="AA66" i="13"/>
  <c r="AC66" i="13" s="1"/>
  <c r="U82" i="13"/>
  <c r="W82" i="13" s="1"/>
  <c r="AB84" i="13"/>
  <c r="AE84" i="13" s="1"/>
  <c r="AA84" i="13"/>
  <c r="AC84" i="13" s="1"/>
  <c r="AE86" i="13"/>
  <c r="AA89" i="13"/>
  <c r="AC89" i="13" s="1"/>
  <c r="AB90" i="13"/>
  <c r="AA90" i="13"/>
  <c r="AC90" i="13" s="1"/>
  <c r="AA95" i="13"/>
  <c r="AC95" i="13" s="1"/>
  <c r="AB96" i="13"/>
  <c r="AA96" i="13"/>
  <c r="AC96" i="13" s="1"/>
  <c r="AE98" i="13"/>
  <c r="AA101" i="13"/>
  <c r="AC101" i="13" s="1"/>
  <c r="AB102" i="13"/>
  <c r="AA102" i="13"/>
  <c r="AC102" i="13" s="1"/>
  <c r="AA107" i="13"/>
  <c r="AC107" i="13" s="1"/>
  <c r="AB108" i="13"/>
  <c r="AA108" i="13"/>
  <c r="AC108" i="13" s="1"/>
  <c r="AA113" i="13"/>
  <c r="AC113" i="13" s="1"/>
  <c r="AB114" i="13"/>
  <c r="AA114" i="13"/>
  <c r="AC114" i="13" s="1"/>
  <c r="AA119" i="13"/>
  <c r="AC119" i="13" s="1"/>
  <c r="AB120" i="13"/>
  <c r="AA120" i="13"/>
  <c r="AC120" i="13" s="1"/>
  <c r="AE122" i="13"/>
  <c r="AA125" i="13"/>
  <c r="AC125" i="13" s="1"/>
  <c r="AB126" i="13"/>
  <c r="AA126" i="13"/>
  <c r="AC126" i="13" s="1"/>
  <c r="AA131" i="13"/>
  <c r="AC131" i="13" s="1"/>
  <c r="AB132" i="13"/>
  <c r="AA132" i="13"/>
  <c r="AC132" i="13" s="1"/>
  <c r="AA137" i="13"/>
  <c r="AC137" i="13" s="1"/>
  <c r="AB138" i="13"/>
  <c r="AA138" i="13"/>
  <c r="AC138" i="13" s="1"/>
  <c r="AA147" i="13"/>
  <c r="AC147" i="13" s="1"/>
  <c r="AF175" i="13"/>
  <c r="AA199" i="13"/>
  <c r="AC199" i="13" s="1"/>
  <c r="AB199" i="13"/>
  <c r="AE199" i="13" s="1"/>
  <c r="AF205" i="13"/>
  <c r="AF211" i="13"/>
  <c r="BE127" i="13"/>
  <c r="AB60" i="13"/>
  <c r="AE60" i="13" s="1"/>
  <c r="AA60" i="13"/>
  <c r="AC60" i="13" s="1"/>
  <c r="V71" i="13"/>
  <c r="AE71" i="13" s="1"/>
  <c r="U71" i="13"/>
  <c r="W71" i="13" s="1"/>
  <c r="V77" i="13"/>
  <c r="AE77" i="13" s="1"/>
  <c r="U77" i="13"/>
  <c r="W77" i="13" s="1"/>
  <c r="U149" i="13"/>
  <c r="W149" i="13" s="1"/>
  <c r="AA153" i="13"/>
  <c r="AC153" i="13" s="1"/>
  <c r="V161" i="13"/>
  <c r="AE161" i="13" s="1"/>
  <c r="U161" i="13"/>
  <c r="W161" i="13" s="1"/>
  <c r="U186" i="13"/>
  <c r="W186" i="13" s="1"/>
  <c r="V186" i="13"/>
  <c r="AE186" i="13" s="1"/>
  <c r="V191" i="13"/>
  <c r="U191" i="13"/>
  <c r="W191" i="13" s="1"/>
  <c r="U204" i="13"/>
  <c r="W204" i="13" s="1"/>
  <c r="V204" i="13"/>
  <c r="AE204" i="13" s="1"/>
  <c r="AB54" i="13"/>
  <c r="AE54" i="13" s="1"/>
  <c r="AA54" i="13"/>
  <c r="AC54" i="13" s="1"/>
  <c r="AE62" i="13"/>
  <c r="V65" i="13"/>
  <c r="AE65" i="13" s="1"/>
  <c r="U65" i="13"/>
  <c r="W65" i="13" s="1"/>
  <c r="AB78" i="13"/>
  <c r="AE78" i="13" s="1"/>
  <c r="AA78" i="13"/>
  <c r="AC78" i="13" s="1"/>
  <c r="AE94" i="13"/>
  <c r="AE118" i="13"/>
  <c r="AE142" i="13"/>
  <c r="V148" i="13"/>
  <c r="AE148" i="13" s="1"/>
  <c r="U148" i="13"/>
  <c r="W148" i="13" s="1"/>
  <c r="AF165" i="13"/>
  <c r="AB173" i="13"/>
  <c r="AA173" i="13"/>
  <c r="AC173" i="13" s="1"/>
  <c r="V190" i="13"/>
  <c r="U190" i="13"/>
  <c r="W190" i="13" s="1"/>
  <c r="AB198" i="13"/>
  <c r="AA198" i="13"/>
  <c r="AC198" i="13" s="1"/>
  <c r="BE123" i="13"/>
  <c r="U23" i="13"/>
  <c r="W23" i="13" s="1"/>
  <c r="V30" i="13"/>
  <c r="AE30" i="13" s="1"/>
  <c r="AA42" i="13"/>
  <c r="AC42" i="13" s="1"/>
  <c r="AB43" i="13"/>
  <c r="AE43" i="13" s="1"/>
  <c r="AB48" i="13"/>
  <c r="AE48" i="13" s="1"/>
  <c r="AA48" i="13"/>
  <c r="AC48" i="13" s="1"/>
  <c r="U58" i="13"/>
  <c r="W58" i="13" s="1"/>
  <c r="V59" i="13"/>
  <c r="AE59" i="13" s="1"/>
  <c r="U59" i="13"/>
  <c r="W59" i="13" s="1"/>
  <c r="AE69" i="13"/>
  <c r="AE74" i="13"/>
  <c r="AA77" i="13"/>
  <c r="AC77" i="13" s="1"/>
  <c r="AE82" i="13"/>
  <c r="U154" i="13"/>
  <c r="W154" i="13" s="1"/>
  <c r="U158" i="13"/>
  <c r="W158" i="13" s="1"/>
  <c r="V158" i="13"/>
  <c r="AE158" i="13" s="1"/>
  <c r="AB165" i="13"/>
  <c r="AA181" i="13"/>
  <c r="AC181" i="13" s="1"/>
  <c r="AB181" i="13"/>
  <c r="AE181" i="13" s="1"/>
  <c r="V208" i="13"/>
  <c r="U208" i="13"/>
  <c r="W208" i="13" s="1"/>
  <c r="AB209" i="13"/>
  <c r="AA209" i="13"/>
  <c r="AC209" i="13" s="1"/>
  <c r="AB150" i="13"/>
  <c r="AA150" i="13"/>
  <c r="AC150" i="13" s="1"/>
  <c r="V155" i="13"/>
  <c r="AE155" i="13" s="1"/>
  <c r="U155" i="13"/>
  <c r="W155" i="13" s="1"/>
  <c r="AF163" i="13"/>
  <c r="AF193" i="13"/>
  <c r="AB195" i="13"/>
  <c r="AE195" i="13" s="1"/>
  <c r="AA195" i="13"/>
  <c r="AC195" i="13" s="1"/>
  <c r="AB216" i="13"/>
  <c r="AA216" i="13"/>
  <c r="AC216" i="13" s="1"/>
  <c r="U48" i="13"/>
  <c r="W48" i="13" s="1"/>
  <c r="AA49" i="13"/>
  <c r="AC49" i="13" s="1"/>
  <c r="U54" i="13"/>
  <c r="W54" i="13" s="1"/>
  <c r="AA55" i="13"/>
  <c r="AC55" i="13" s="1"/>
  <c r="U60" i="13"/>
  <c r="W60" i="13" s="1"/>
  <c r="AA61" i="13"/>
  <c r="AC61" i="13" s="1"/>
  <c r="U66" i="13"/>
  <c r="W66" i="13" s="1"/>
  <c r="AA67" i="13"/>
  <c r="AC67" i="13" s="1"/>
  <c r="U72" i="13"/>
  <c r="W72" i="13" s="1"/>
  <c r="AA73" i="13"/>
  <c r="AC73" i="13" s="1"/>
  <c r="U78" i="13"/>
  <c r="W78" i="13" s="1"/>
  <c r="AA79" i="13"/>
  <c r="AC79" i="13" s="1"/>
  <c r="U84" i="13"/>
  <c r="W84" i="13" s="1"/>
  <c r="AA144" i="13"/>
  <c r="AC144" i="13" s="1"/>
  <c r="AB145" i="13"/>
  <c r="AE145" i="13" s="1"/>
  <c r="AF157" i="13"/>
  <c r="AA167" i="13"/>
  <c r="AC167" i="13" s="1"/>
  <c r="AB174" i="13"/>
  <c r="AA174" i="13"/>
  <c r="AC174" i="13" s="1"/>
  <c r="AB180" i="13"/>
  <c r="AA180" i="13"/>
  <c r="AC180" i="13" s="1"/>
  <c r="V182" i="13"/>
  <c r="AE182" i="13" s="1"/>
  <c r="U182" i="13"/>
  <c r="W182" i="13" s="1"/>
  <c r="AA196" i="13"/>
  <c r="AC196" i="13" s="1"/>
  <c r="V200" i="13"/>
  <c r="U200" i="13"/>
  <c r="W200" i="13" s="1"/>
  <c r="V201" i="13"/>
  <c r="U201" i="13"/>
  <c r="W201" i="13" s="1"/>
  <c r="AF206" i="13"/>
  <c r="AB168" i="13"/>
  <c r="AA168" i="13"/>
  <c r="AC168" i="13" s="1"/>
  <c r="V179" i="13"/>
  <c r="U179" i="13"/>
  <c r="W179" i="13" s="1"/>
  <c r="V183" i="13"/>
  <c r="U183" i="13"/>
  <c r="W183" i="13" s="1"/>
  <c r="AF188" i="13"/>
  <c r="AA217" i="13"/>
  <c r="AC217" i="13" s="1"/>
  <c r="AB217" i="13"/>
  <c r="AE217" i="13" s="1"/>
  <c r="AB162" i="13"/>
  <c r="AA162" i="13"/>
  <c r="AC162" i="13" s="1"/>
  <c r="V173" i="13"/>
  <c r="U173" i="13"/>
  <c r="W173" i="13" s="1"/>
  <c r="V197" i="13"/>
  <c r="AE197" i="13" s="1"/>
  <c r="U197" i="13"/>
  <c r="W197" i="13" s="1"/>
  <c r="AB202" i="13"/>
  <c r="AE202" i="13" s="1"/>
  <c r="AA202" i="13"/>
  <c r="AC202" i="13" s="1"/>
  <c r="V215" i="13"/>
  <c r="U215" i="13"/>
  <c r="W215" i="13" s="1"/>
  <c r="AA186" i="13"/>
  <c r="AC186" i="13" s="1"/>
  <c r="AB187" i="13"/>
  <c r="U203" i="13"/>
  <c r="W203" i="13" s="1"/>
  <c r="V210" i="13"/>
  <c r="AE210" i="13" s="1"/>
  <c r="AF194" i="13"/>
  <c r="AE207" i="13"/>
  <c r="BE120" i="13"/>
  <c r="BE118" i="13"/>
  <c r="BE126" i="13"/>
  <c r="BF161" i="13"/>
  <c r="BE122" i="13"/>
  <c r="AT197" i="13"/>
  <c r="BE121" i="13"/>
  <c r="BE128" i="13"/>
  <c r="BG209" i="13"/>
  <c r="BP195" i="13"/>
  <c r="AU217" i="13"/>
  <c r="AX195" i="13"/>
  <c r="AY208" i="13"/>
  <c r="BF217" i="13"/>
  <c r="BW212" i="13"/>
  <c r="BS213" i="13"/>
  <c r="BL209" i="13"/>
  <c r="BW209" i="13"/>
  <c r="AJ118" i="13"/>
  <c r="BA209" i="13"/>
  <c r="BT157" i="13"/>
  <c r="BT123" i="13"/>
  <c r="AU199" i="13"/>
  <c r="BP119" i="13"/>
  <c r="BM119" i="13"/>
  <c r="AY192" i="13"/>
  <c r="AN192" i="13"/>
  <c r="AY217" i="13"/>
  <c r="AW216" i="13"/>
  <c r="AR208" i="13"/>
  <c r="BS123" i="13"/>
  <c r="BT161" i="13"/>
  <c r="AR193" i="13"/>
  <c r="BN215" i="13"/>
  <c r="AY216" i="13"/>
  <c r="AW208" i="13"/>
  <c r="BP123" i="13"/>
  <c r="AR192" i="13"/>
  <c r="BW198" i="13"/>
  <c r="BR198" i="13"/>
  <c r="BB195" i="13"/>
  <c r="BB217" i="13"/>
  <c r="AU213" i="13"/>
  <c r="BQ200" i="13"/>
  <c r="BN200" i="13"/>
  <c r="AY197" i="13"/>
  <c r="AV213" i="13"/>
  <c r="AM217" i="13"/>
  <c r="BH121" i="13"/>
  <c r="BB209" i="13"/>
  <c r="AY212" i="13"/>
  <c r="AW213" i="13"/>
  <c r="AV212" i="13"/>
  <c r="AT212" i="13"/>
  <c r="AR217" i="13"/>
  <c r="AQ213" i="13"/>
  <c r="AN213" i="13"/>
  <c r="AM213" i="13"/>
  <c r="AJ217" i="13"/>
  <c r="AJ119" i="13"/>
  <c r="BA212" i="13"/>
  <c r="AZ209" i="13"/>
  <c r="AY209" i="13"/>
  <c r="AX217" i="13"/>
  <c r="AW212" i="13"/>
  <c r="AT209" i="13"/>
  <c r="AS213" i="13"/>
  <c r="AR209" i="13"/>
  <c r="AP209" i="13"/>
  <c r="BF208" i="13"/>
  <c r="BW208" i="13"/>
  <c r="AM161" i="13"/>
  <c r="AM157" i="13"/>
  <c r="AS157" i="13"/>
  <c r="BH211" i="13"/>
  <c r="BG211" i="13"/>
  <c r="BJ211" i="13"/>
  <c r="BH210" i="13"/>
  <c r="BM210" i="13"/>
  <c r="AY163" i="13"/>
  <c r="AV163" i="13"/>
  <c r="AL200" i="13"/>
  <c r="AN200" i="13"/>
  <c r="AS161" i="13"/>
  <c r="BH199" i="13"/>
  <c r="BL199" i="13"/>
  <c r="AJ193" i="13"/>
  <c r="AK193" i="13"/>
  <c r="AO193" i="13"/>
  <c r="AT193" i="13"/>
  <c r="AO188" i="13"/>
  <c r="BA188" i="13"/>
  <c r="BS211" i="13"/>
  <c r="BP215" i="13"/>
  <c r="BO215" i="13"/>
  <c r="BO211" i="13"/>
  <c r="BN211" i="13"/>
  <c r="BJ215" i="13"/>
  <c r="AS211" i="13"/>
  <c r="AS217" i="13"/>
  <c r="AT217" i="13"/>
  <c r="AV217" i="13"/>
  <c r="AW217" i="13"/>
  <c r="AJ213" i="13"/>
  <c r="AO213" i="13"/>
  <c r="AR213" i="13"/>
  <c r="AX213" i="13"/>
  <c r="AY213" i="13"/>
  <c r="AN209" i="13"/>
  <c r="AQ209" i="13"/>
  <c r="AS209" i="13"/>
  <c r="AW209" i="13"/>
  <c r="BT211" i="13"/>
  <c r="BL211" i="13"/>
  <c r="BP211" i="13"/>
  <c r="BF211" i="13"/>
  <c r="BF213" i="13"/>
  <c r="BP213" i="13"/>
  <c r="BW213" i="13"/>
  <c r="BQ210" i="13"/>
  <c r="BP209" i="13"/>
  <c r="BO210" i="13"/>
  <c r="BM213" i="13"/>
  <c r="BJ213" i="13"/>
  <c r="BB213" i="13"/>
  <c r="BA217" i="13"/>
  <c r="AZ213" i="13"/>
  <c r="AX209" i="13"/>
  <c r="AV209" i="13"/>
  <c r="AU209" i="13"/>
  <c r="AT213" i="13"/>
  <c r="AO209" i="13"/>
  <c r="AL217" i="13"/>
  <c r="AM216" i="13"/>
  <c r="BA216" i="13"/>
  <c r="AK212" i="13"/>
  <c r="BB212" i="13"/>
  <c r="AT208" i="13"/>
  <c r="AV208" i="13"/>
  <c r="BA208" i="13"/>
  <c r="BH215" i="13"/>
  <c r="BF215" i="13"/>
  <c r="BG215" i="13"/>
  <c r="BL215" i="13"/>
  <c r="BS215" i="13"/>
  <c r="BT215" i="13"/>
  <c r="AT215" i="13"/>
  <c r="AU215" i="13"/>
  <c r="AL211" i="13"/>
  <c r="AZ211" i="13"/>
  <c r="BF214" i="13"/>
  <c r="BJ214" i="13"/>
  <c r="BL123" i="13"/>
  <c r="BH123" i="13"/>
  <c r="BG119" i="13"/>
  <c r="BF119" i="13"/>
  <c r="AJ198" i="13"/>
  <c r="AU198" i="13"/>
  <c r="BA198" i="13"/>
  <c r="AR198" i="13"/>
  <c r="AX198" i="13"/>
  <c r="AM198" i="13"/>
  <c r="AS198" i="13"/>
  <c r="BB198" i="13"/>
  <c r="AQ194" i="13"/>
  <c r="AO194" i="13"/>
  <c r="AW194" i="13"/>
  <c r="BI198" i="13"/>
  <c r="BL198" i="13"/>
  <c r="BP198" i="13"/>
  <c r="BQ198" i="13"/>
  <c r="BS198" i="13"/>
  <c r="BV198" i="13"/>
  <c r="BK198" i="13"/>
  <c r="BF194" i="13"/>
  <c r="BS194" i="13"/>
  <c r="BV194" i="13"/>
  <c r="BK194" i="13"/>
  <c r="BO194" i="13"/>
  <c r="BG194" i="13"/>
  <c r="BM194" i="13"/>
  <c r="BP194" i="13"/>
  <c r="BR194" i="13"/>
  <c r="BW194" i="13"/>
  <c r="BU123" i="13"/>
  <c r="BR123" i="13"/>
  <c r="BO123" i="13"/>
  <c r="BJ123" i="13"/>
  <c r="BH119" i="13"/>
  <c r="BU198" i="13"/>
  <c r="BI194" i="13"/>
  <c r="AX194" i="13"/>
  <c r="BU119" i="13"/>
  <c r="BQ123" i="13"/>
  <c r="BM123" i="13"/>
  <c r="BF123" i="13"/>
  <c r="AZ198" i="13"/>
  <c r="BS161" i="13"/>
  <c r="AZ159" i="13"/>
  <c r="AY188" i="13"/>
  <c r="BB193" i="13"/>
  <c r="AU193" i="13"/>
  <c r="AR188" i="13"/>
  <c r="AM193" i="13"/>
  <c r="BV214" i="13"/>
  <c r="BT210" i="13"/>
  <c r="BR210" i="13"/>
  <c r="BP212" i="13"/>
  <c r="BP208" i="13"/>
  <c r="BL210" i="13"/>
  <c r="BG210" i="13"/>
  <c r="BF210" i="13"/>
  <c r="AU210" i="13"/>
  <c r="AK217" i="13"/>
  <c r="AO217" i="13"/>
  <c r="AP217" i="13"/>
  <c r="AK209" i="13"/>
  <c r="AM209" i="13"/>
  <c r="AZ119" i="13"/>
  <c r="AN120" i="13"/>
  <c r="AL120" i="13"/>
  <c r="BW214" i="13"/>
  <c r="BW210" i="13"/>
  <c r="BU214" i="13"/>
  <c r="BO214" i="13"/>
  <c r="BN210" i="13"/>
  <c r="BM214" i="13"/>
  <c r="BK214" i="13"/>
  <c r="BI214" i="13"/>
  <c r="BV210" i="13"/>
  <c r="BT214" i="13"/>
  <c r="BS214" i="13"/>
  <c r="BP214" i="13"/>
  <c r="BP210" i="13"/>
  <c r="BL214" i="13"/>
  <c r="BH214" i="13"/>
  <c r="BG214" i="13"/>
  <c r="AZ210" i="13"/>
  <c r="AX214" i="13"/>
  <c r="AU214" i="13"/>
  <c r="AQ217" i="13"/>
  <c r="AP213" i="13"/>
  <c r="AN217" i="13"/>
  <c r="AL213" i="13"/>
  <c r="AK213" i="13"/>
  <c r="AJ209" i="13"/>
  <c r="BF127" i="13"/>
  <c r="BN127" i="13"/>
  <c r="AW210" i="13"/>
  <c r="AQ210" i="13"/>
  <c r="BF121" i="13"/>
  <c r="BW121" i="13"/>
  <c r="AZ120" i="13"/>
  <c r="BB157" i="13"/>
  <c r="AQ161" i="13"/>
  <c r="AY196" i="13"/>
  <c r="BT119" i="13"/>
  <c r="BQ119" i="13"/>
  <c r="BN123" i="13"/>
  <c r="BK123" i="13"/>
  <c r="BI119" i="13"/>
  <c r="BG123" i="13"/>
  <c r="BA157" i="13"/>
  <c r="AT157" i="13"/>
  <c r="AQ157" i="13"/>
  <c r="BA193" i="13"/>
  <c r="AW193" i="13"/>
  <c r="BA196" i="13"/>
  <c r="AY195" i="13"/>
  <c r="AW198" i="13"/>
  <c r="AU194" i="13"/>
  <c r="AP198" i="13"/>
  <c r="AK194" i="13"/>
  <c r="BR217" i="13"/>
  <c r="BR209" i="13"/>
  <c r="BO209" i="13"/>
  <c r="BL213" i="13"/>
  <c r="BI213" i="13"/>
  <c r="BH213" i="13"/>
  <c r="AZ215" i="13"/>
  <c r="AV215" i="13"/>
  <c r="AV211" i="13"/>
  <c r="AP215" i="13"/>
  <c r="AO211" i="13"/>
  <c r="AL215" i="13"/>
  <c r="BS121" i="13"/>
  <c r="BQ121" i="13"/>
  <c r="BM121" i="13"/>
  <c r="AZ155" i="13"/>
  <c r="AT163" i="13"/>
  <c r="AO159" i="13"/>
  <c r="BE200" i="13"/>
  <c r="BT200" i="13"/>
  <c r="BM200" i="13"/>
  <c r="AZ196" i="13"/>
  <c r="BW217" i="13"/>
  <c r="BT213" i="13"/>
  <c r="BT209" i="13"/>
  <c r="BA215" i="13"/>
  <c r="BA211" i="13"/>
  <c r="BV217" i="13"/>
  <c r="BV209" i="13"/>
  <c r="BU210" i="13"/>
  <c r="BT217" i="13"/>
  <c r="BT212" i="13"/>
  <c r="BT208" i="13"/>
  <c r="BS210" i="13"/>
  <c r="BR214" i="13"/>
  <c r="BQ214" i="13"/>
  <c r="BO213" i="13"/>
  <c r="BN213" i="13"/>
  <c r="BN209" i="13"/>
  <c r="BM217" i="13"/>
  <c r="BM209" i="13"/>
  <c r="BL217" i="13"/>
  <c r="BK210" i="13"/>
  <c r="BJ210" i="13"/>
  <c r="BI210" i="13"/>
  <c r="BG217" i="13"/>
  <c r="BF209" i="13"/>
  <c r="BB215" i="13"/>
  <c r="BB211" i="13"/>
  <c r="BA214" i="13"/>
  <c r="BA210" i="13"/>
  <c r="AZ214" i="13"/>
  <c r="AY215" i="13"/>
  <c r="AY211" i="13"/>
  <c r="AX211" i="13"/>
  <c r="AW215" i="13"/>
  <c r="AW211" i="13"/>
  <c r="AV214" i="13"/>
  <c r="AV210" i="13"/>
  <c r="AT211" i="13"/>
  <c r="AS214" i="13"/>
  <c r="AQ215" i="13"/>
  <c r="AO215" i="13"/>
  <c r="AO210" i="13"/>
  <c r="AN211" i="13"/>
  <c r="AM210" i="13"/>
  <c r="AJ215" i="13"/>
  <c r="BJ127" i="13"/>
  <c r="BU121" i="13"/>
  <c r="BT121" i="13"/>
  <c r="BK121" i="13"/>
  <c r="AX120" i="13"/>
  <c r="BA159" i="13"/>
  <c r="AT159" i="13"/>
  <c r="AR155" i="13"/>
  <c r="BU192" i="13"/>
  <c r="BL192" i="13"/>
  <c r="BG187" i="13"/>
  <c r="BH187" i="13"/>
  <c r="BF199" i="13"/>
  <c r="BP199" i="13"/>
  <c r="BJ199" i="13"/>
  <c r="BN195" i="13"/>
  <c r="BF195" i="13"/>
  <c r="BL195" i="13"/>
  <c r="BF189" i="13"/>
  <c r="BH189" i="13"/>
  <c r="BQ189" i="13"/>
  <c r="BI189" i="13"/>
  <c r="BT189" i="13"/>
  <c r="BL189" i="13"/>
  <c r="BU213" i="13"/>
  <c r="BS217" i="13"/>
  <c r="BQ209" i="13"/>
  <c r="BP217" i="13"/>
  <c r="BK213" i="13"/>
  <c r="BJ217" i="13"/>
  <c r="BG213" i="13"/>
  <c r="BE217" i="13"/>
  <c r="BU209" i="13"/>
  <c r="BS209" i="13"/>
  <c r="BR213" i="13"/>
  <c r="BQ213" i="13"/>
  <c r="BO217" i="13"/>
  <c r="BN217" i="13"/>
  <c r="BN212" i="13"/>
  <c r="BN208" i="13"/>
  <c r="BK209" i="13"/>
  <c r="BJ209" i="13"/>
  <c r="BI217" i="13"/>
  <c r="BI209" i="13"/>
  <c r="BB214" i="13"/>
  <c r="BB210" i="13"/>
  <c r="AY214" i="13"/>
  <c r="AY210" i="13"/>
  <c r="AX215" i="13"/>
  <c r="AX210" i="13"/>
  <c r="AW214" i="13"/>
  <c r="AU211" i="13"/>
  <c r="AO214" i="13"/>
  <c r="BV127" i="13"/>
  <c r="BR121" i="13"/>
  <c r="BN121" i="13"/>
  <c r="BL121" i="13"/>
  <c r="BG121" i="13"/>
  <c r="AZ186" i="13"/>
  <c r="AM186" i="13"/>
  <c r="AK200" i="13"/>
  <c r="AO200" i="13"/>
  <c r="AQ200" i="13"/>
  <c r="AU200" i="13"/>
  <c r="AY200" i="13"/>
  <c r="AZ200" i="13"/>
  <c r="BA200" i="13"/>
  <c r="BB200" i="13"/>
  <c r="AM200" i="13"/>
  <c r="AW200" i="13"/>
  <c r="AK196" i="13"/>
  <c r="AJ196" i="13"/>
  <c r="AM196" i="13"/>
  <c r="AS196" i="13"/>
  <c r="AW196" i="13"/>
  <c r="AU196" i="13"/>
  <c r="AL196" i="13"/>
  <c r="AT196" i="13"/>
  <c r="AJ163" i="13"/>
  <c r="AK163" i="13"/>
  <c r="AJ191" i="13"/>
  <c r="AK189" i="13"/>
  <c r="AJ189" i="13"/>
  <c r="AV189" i="13"/>
  <c r="AP189" i="13"/>
  <c r="AZ189" i="13"/>
  <c r="AQ189" i="13"/>
  <c r="BB189" i="13"/>
  <c r="AU192" i="13"/>
  <c r="BB194" i="13"/>
  <c r="BA194" i="13"/>
  <c r="AZ194" i="13"/>
  <c r="AV197" i="13"/>
  <c r="AU197" i="13"/>
  <c r="AR194" i="13"/>
  <c r="AP194" i="13"/>
  <c r="BV212" i="13"/>
  <c r="AL216" i="13"/>
  <c r="AO216" i="13"/>
  <c r="AQ216" i="13"/>
  <c r="AO212" i="13"/>
  <c r="AQ212" i="13"/>
  <c r="AS212" i="13"/>
  <c r="AL212" i="13"/>
  <c r="AN212" i="13"/>
  <c r="AO208" i="13"/>
  <c r="AQ208" i="13"/>
  <c r="AS208" i="13"/>
  <c r="AM208" i="13"/>
  <c r="AP208" i="13"/>
  <c r="BV208" i="13"/>
  <c r="BU208" i="13"/>
  <c r="BV215" i="13"/>
  <c r="BU215" i="13"/>
  <c r="BU211" i="13"/>
  <c r="BR212" i="13"/>
  <c r="BR208" i="13"/>
  <c r="BQ212" i="13"/>
  <c r="BQ208" i="13"/>
  <c r="BM216" i="13"/>
  <c r="BM212" i="13"/>
  <c r="BM208" i="13"/>
  <c r="BK216" i="13"/>
  <c r="BK212" i="13"/>
  <c r="BK208" i="13"/>
  <c r="BI216" i="13"/>
  <c r="BI212" i="13"/>
  <c r="BI208" i="13"/>
  <c r="BH212" i="13"/>
  <c r="BH208" i="13"/>
  <c r="AR212" i="13"/>
  <c r="AP212" i="13"/>
  <c r="AL208" i="13"/>
  <c r="AK216" i="13"/>
  <c r="AJ208" i="13"/>
  <c r="AM215" i="13"/>
  <c r="AR215" i="13"/>
  <c r="AK215" i="13"/>
  <c r="AS215" i="13"/>
  <c r="AM211" i="13"/>
  <c r="AR211" i="13"/>
  <c r="AJ211" i="13"/>
  <c r="BU212" i="13"/>
  <c r="BV211" i="13"/>
  <c r="BS212" i="13"/>
  <c r="BS208" i="13"/>
  <c r="BR215" i="13"/>
  <c r="BR211" i="13"/>
  <c r="BQ215" i="13"/>
  <c r="BQ211" i="13"/>
  <c r="BO212" i="13"/>
  <c r="BO208" i="13"/>
  <c r="BM215" i="13"/>
  <c r="BM211" i="13"/>
  <c r="BL212" i="13"/>
  <c r="BL208" i="13"/>
  <c r="BK215" i="13"/>
  <c r="BK211" i="13"/>
  <c r="BJ212" i="13"/>
  <c r="BJ208" i="13"/>
  <c r="BI215" i="13"/>
  <c r="BI211" i="13"/>
  <c r="BG216" i="13"/>
  <c r="BG212" i="13"/>
  <c r="BG208" i="13"/>
  <c r="AZ212" i="13"/>
  <c r="AZ208" i="13"/>
  <c r="AX212" i="13"/>
  <c r="AX208" i="13"/>
  <c r="AU216" i="13"/>
  <c r="AU212" i="13"/>
  <c r="AU208" i="13"/>
  <c r="AQ211" i="13"/>
  <c r="AP211" i="13"/>
  <c r="AN215" i="13"/>
  <c r="AN208" i="13"/>
  <c r="AK208" i="13"/>
  <c r="AJ214" i="13"/>
  <c r="AK214" i="13"/>
  <c r="AL214" i="13"/>
  <c r="AN214" i="13"/>
  <c r="AP214" i="13"/>
  <c r="AQ214" i="13"/>
  <c r="AR214" i="13"/>
  <c r="AT214" i="13"/>
  <c r="AJ210" i="13"/>
  <c r="AK210" i="13"/>
  <c r="AL210" i="13"/>
  <c r="AN210" i="13"/>
  <c r="AP210" i="13"/>
  <c r="AS210" i="13"/>
  <c r="AT210" i="13"/>
  <c r="AJ212" i="13"/>
  <c r="BI127" i="13"/>
  <c r="BH127" i="13"/>
  <c r="BP127" i="13"/>
  <c r="BL127" i="13"/>
  <c r="BT127" i="13"/>
  <c r="BW118" i="13"/>
  <c r="BF122" i="13"/>
  <c r="BU118" i="13"/>
  <c r="BT118" i="13"/>
  <c r="BG120" i="13"/>
  <c r="BS120" i="13"/>
  <c r="BF120" i="13"/>
  <c r="BK120" i="13"/>
  <c r="BM120" i="13"/>
  <c r="BR118" i="13"/>
  <c r="BO118" i="13"/>
  <c r="BL118" i="13"/>
  <c r="AM119" i="13"/>
  <c r="AN119" i="13"/>
  <c r="AO162" i="13"/>
  <c r="AV162" i="13"/>
  <c r="BH122" i="13"/>
  <c r="BJ122" i="13"/>
  <c r="BF118" i="13"/>
  <c r="BM118" i="13"/>
  <c r="BJ118" i="13"/>
  <c r="BT192" i="13"/>
  <c r="BM187" i="13"/>
  <c r="BB188" i="13"/>
  <c r="AZ191" i="13"/>
  <c r="AX193" i="13"/>
  <c r="AP188" i="13"/>
  <c r="AN186" i="13"/>
  <c r="AL186" i="13"/>
  <c r="AJ188" i="13"/>
  <c r="BV199" i="13"/>
  <c r="BJ195" i="13"/>
  <c r="BH195" i="13"/>
  <c r="BB199" i="13"/>
  <c r="BA197" i="13"/>
  <c r="AX197" i="13"/>
  <c r="AW199" i="13"/>
  <c r="AW195" i="13"/>
  <c r="AP197" i="13"/>
  <c r="AM199" i="13"/>
  <c r="AM195" i="13"/>
  <c r="AK197" i="13"/>
  <c r="AR197" i="13"/>
  <c r="AQ197" i="13"/>
  <c r="BV121" i="13"/>
  <c r="BP121" i="13"/>
  <c r="BO121" i="13"/>
  <c r="BI121" i="13"/>
  <c r="BW161" i="13"/>
  <c r="BO161" i="13"/>
  <c r="AX157" i="13"/>
  <c r="AR161" i="13"/>
  <c r="BQ187" i="13"/>
  <c r="BI187" i="13"/>
  <c r="AY193" i="13"/>
  <c r="AW188" i="13"/>
  <c r="AS188" i="13"/>
  <c r="AQ193" i="13"/>
  <c r="AN193" i="13"/>
  <c r="AM191" i="13"/>
  <c r="AK188" i="13"/>
  <c r="BV195" i="13"/>
  <c r="BT199" i="13"/>
  <c r="BR199" i="13"/>
  <c r="BB197" i="13"/>
  <c r="BA199" i="13"/>
  <c r="BA195" i="13"/>
  <c r="AZ197" i="13"/>
  <c r="AY199" i="13"/>
  <c r="AX199" i="13"/>
  <c r="AW197" i="13"/>
  <c r="AV200" i="13"/>
  <c r="AT200" i="13"/>
  <c r="AS197" i="13"/>
  <c r="AR196" i="13"/>
  <c r="AQ196" i="13"/>
  <c r="AN197" i="13"/>
  <c r="AM197" i="13"/>
  <c r="AL197" i="13"/>
  <c r="AJ197" i="13"/>
  <c r="BU217" i="13"/>
  <c r="BQ217" i="13"/>
  <c r="BK217" i="13"/>
  <c r="BE216" i="13"/>
  <c r="BW216" i="13"/>
  <c r="BV216" i="13"/>
  <c r="BU216" i="13"/>
  <c r="BT216" i="13"/>
  <c r="BS216" i="13"/>
  <c r="BR216" i="13"/>
  <c r="BQ216" i="13"/>
  <c r="BP216" i="13"/>
  <c r="BO216" i="13"/>
  <c r="BN216" i="13"/>
  <c r="BJ216" i="13"/>
  <c r="BF216" i="13"/>
  <c r="AZ216" i="13"/>
  <c r="AV216" i="13"/>
  <c r="AR216" i="13"/>
  <c r="AN216" i="13"/>
  <c r="AJ216" i="13"/>
  <c r="BL216" i="13"/>
  <c r="BB216" i="13"/>
  <c r="AX216" i="13"/>
  <c r="AT216" i="13"/>
  <c r="AP216" i="13"/>
  <c r="AS123" i="13"/>
  <c r="AL123" i="13"/>
  <c r="AO123" i="13"/>
  <c r="BA123" i="13"/>
  <c r="AW123" i="13"/>
  <c r="AN123" i="13"/>
  <c r="AY155" i="13"/>
  <c r="AV155" i="13"/>
  <c r="AM155" i="13"/>
  <c r="AU157" i="13"/>
  <c r="AV157" i="13"/>
  <c r="AX159" i="13"/>
  <c r="AV159" i="13"/>
  <c r="AN159" i="13"/>
  <c r="AW161" i="13"/>
  <c r="AT161" i="13"/>
  <c r="BB163" i="13"/>
  <c r="AZ163" i="13"/>
  <c r="AR186" i="13"/>
  <c r="AW168" i="13"/>
  <c r="BA168" i="13"/>
  <c r="AR119" i="13"/>
  <c r="BP200" i="13"/>
  <c r="AX200" i="13"/>
  <c r="AS200" i="13"/>
  <c r="AR200" i="13"/>
  <c r="AP200" i="13"/>
  <c r="AJ200" i="13"/>
  <c r="AZ193" i="13"/>
  <c r="AV193" i="13"/>
  <c r="AS193" i="13"/>
  <c r="AL193" i="13"/>
  <c r="AT191" i="13"/>
  <c r="BB191" i="13"/>
  <c r="AY191" i="13"/>
  <c r="AU191" i="13"/>
  <c r="BU189" i="13"/>
  <c r="BM189" i="13"/>
  <c r="BE189" i="13"/>
  <c r="AY189" i="13"/>
  <c r="AT189" i="13"/>
  <c r="AN189" i="13"/>
  <c r="AX189" i="13"/>
  <c r="AR189" i="13"/>
  <c r="AM189" i="13"/>
  <c r="BL187" i="13"/>
  <c r="BP187" i="13"/>
  <c r="BA171" i="13"/>
  <c r="BW157" i="13"/>
  <c r="BS157" i="13"/>
  <c r="BK157" i="13"/>
  <c r="BP157" i="13"/>
  <c r="AZ157" i="13"/>
  <c r="AP157" i="13"/>
  <c r="BM155" i="13"/>
  <c r="BB155" i="13"/>
  <c r="AK155" i="13"/>
  <c r="BW127" i="13"/>
  <c r="BS127" i="13"/>
  <c r="BO127" i="13"/>
  <c r="BK127" i="13"/>
  <c r="BG127" i="13"/>
  <c r="BU127" i="13"/>
  <c r="BQ127" i="13"/>
  <c r="BM127" i="13"/>
  <c r="BW125" i="13"/>
  <c r="BS125" i="13"/>
  <c r="BR125" i="13"/>
  <c r="BQ125" i="13"/>
  <c r="BP125" i="13"/>
  <c r="BO125" i="13"/>
  <c r="BM125" i="13"/>
  <c r="BE125" i="13"/>
  <c r="BV125" i="13"/>
  <c r="BT125" i="13"/>
  <c r="BI125" i="13"/>
  <c r="BH125" i="13"/>
  <c r="BG125" i="13"/>
  <c r="BF125" i="13"/>
  <c r="BU125" i="13"/>
  <c r="BN125" i="13"/>
  <c r="BL125" i="13"/>
  <c r="BK125" i="13"/>
  <c r="AQ123" i="13"/>
  <c r="AK123" i="13"/>
  <c r="BW123" i="13"/>
  <c r="BV123" i="13"/>
  <c r="AY123" i="13"/>
  <c r="AU123" i="13"/>
  <c r="AP123" i="13"/>
  <c r="AM123" i="13"/>
  <c r="AJ123" i="13"/>
  <c r="BV122" i="13"/>
  <c r="BU122" i="13"/>
  <c r="BS122" i="13"/>
  <c r="BK122" i="13"/>
  <c r="BQ122" i="13"/>
  <c r="BL122" i="13"/>
  <c r="BI122" i="13"/>
  <c r="BW122" i="13"/>
  <c r="BT122" i="13"/>
  <c r="BP122" i="13"/>
  <c r="BG122" i="13"/>
  <c r="BR122" i="13"/>
  <c r="BN122" i="13"/>
  <c r="BM122" i="13"/>
  <c r="BV120" i="13"/>
  <c r="BT120" i="13"/>
  <c r="BR120" i="13"/>
  <c r="BP120" i="13"/>
  <c r="BN120" i="13"/>
  <c r="BL120" i="13"/>
  <c r="BJ120" i="13"/>
  <c r="BH120" i="13"/>
  <c r="BB120" i="13"/>
  <c r="AS120" i="13"/>
  <c r="AQ120" i="13"/>
  <c r="AO120" i="13"/>
  <c r="AW120" i="13"/>
  <c r="AU120" i="13"/>
  <c r="AR120" i="13"/>
  <c r="AM120" i="13"/>
  <c r="AK120" i="13"/>
  <c r="BW120" i="13"/>
  <c r="BQ120" i="13"/>
  <c r="BO120" i="13"/>
  <c r="BI120" i="13"/>
  <c r="BA120" i="13"/>
  <c r="AY120" i="13"/>
  <c r="AV120" i="13"/>
  <c r="AT120" i="13"/>
  <c r="AP120" i="13"/>
  <c r="BQ118" i="13"/>
  <c r="BI118" i="13"/>
  <c r="AU118" i="13"/>
  <c r="AS118" i="13"/>
  <c r="BA118" i="13"/>
  <c r="BV118" i="13"/>
  <c r="BS118" i="13"/>
  <c r="BP118" i="13"/>
  <c r="BN118" i="13"/>
  <c r="BK118" i="13"/>
  <c r="BH118" i="13"/>
  <c r="AY118" i="13"/>
  <c r="BV119" i="13"/>
  <c r="BR119" i="13"/>
  <c r="BN119" i="13"/>
  <c r="BJ119" i="13"/>
  <c r="BA119" i="13"/>
  <c r="AW119" i="13"/>
  <c r="AS119" i="13"/>
  <c r="AO119" i="13"/>
  <c r="AK119" i="13"/>
  <c r="BW119" i="13"/>
  <c r="BS119" i="13"/>
  <c r="BO119" i="13"/>
  <c r="BK119" i="13"/>
  <c r="BB119" i="13"/>
  <c r="AX119" i="13"/>
  <c r="AT119" i="13"/>
  <c r="AP119" i="13"/>
  <c r="AL119" i="13"/>
  <c r="AY119" i="13"/>
  <c r="AU119" i="13"/>
  <c r="AQ119" i="13"/>
  <c r="BE124" i="13"/>
  <c r="BW124" i="13"/>
  <c r="BV124" i="13"/>
  <c r="BU124" i="13"/>
  <c r="BT124" i="13"/>
  <c r="BS124" i="13"/>
  <c r="BR124" i="13"/>
  <c r="BQ124" i="13"/>
  <c r="BP124" i="13"/>
  <c r="BO124" i="13"/>
  <c r="BN124" i="13"/>
  <c r="BM124" i="13"/>
  <c r="BL124" i="13"/>
  <c r="BK124" i="13"/>
  <c r="BJ124" i="13"/>
  <c r="BI124" i="13"/>
  <c r="BH124" i="13"/>
  <c r="BG124" i="13"/>
  <c r="BA124" i="13"/>
  <c r="AY124" i="13"/>
  <c r="AW124" i="13"/>
  <c r="AU124" i="13"/>
  <c r="AS124" i="13"/>
  <c r="AQ124" i="13"/>
  <c r="AP124" i="13"/>
  <c r="AO124" i="13"/>
  <c r="AN124" i="13"/>
  <c r="AM124" i="13"/>
  <c r="AL124" i="13"/>
  <c r="AK124" i="13"/>
  <c r="AJ124" i="13"/>
  <c r="BB124" i="13"/>
  <c r="AZ124" i="13"/>
  <c r="AX124" i="13"/>
  <c r="AV124" i="13"/>
  <c r="AT124" i="13"/>
  <c r="BL170" i="13"/>
  <c r="AK170" i="13"/>
  <c r="AL167" i="13"/>
  <c r="BB196" i="13"/>
  <c r="AX196" i="13"/>
  <c r="AV196" i="13"/>
  <c r="AO196" i="13"/>
  <c r="AN196" i="13"/>
  <c r="AU195" i="13"/>
  <c r="BU194" i="13"/>
  <c r="BT194" i="13"/>
  <c r="BQ194" i="13"/>
  <c r="BH194" i="13"/>
  <c r="BE194" i="13"/>
  <c r="AM194" i="13"/>
  <c r="BI192" i="13"/>
  <c r="AS192" i="13"/>
  <c r="AZ192" i="13"/>
  <c r="BQ190" i="13"/>
  <c r="BM190" i="13"/>
  <c r="BL190" i="13"/>
  <c r="BE190" i="13"/>
  <c r="BU190" i="13"/>
  <c r="AX188" i="13"/>
  <c r="AV188" i="13"/>
  <c r="AT188" i="13"/>
  <c r="AN188" i="13"/>
  <c r="AM188" i="13"/>
  <c r="AL188" i="13"/>
  <c r="AU188" i="13"/>
  <c r="AQ188" i="13"/>
  <c r="BB186" i="13"/>
  <c r="AY186" i="13"/>
  <c r="AV186" i="13"/>
  <c r="AP186" i="13"/>
  <c r="AQ186" i="13"/>
  <c r="BP161" i="13"/>
  <c r="AY161" i="13"/>
  <c r="BB159" i="13"/>
  <c r="AO158" i="13"/>
  <c r="BW156" i="13"/>
  <c r="AY132" i="13"/>
  <c r="BH196" i="13"/>
  <c r="BP196" i="13"/>
  <c r="BU196" i="13"/>
  <c r="BW126" i="13"/>
  <c r="BV126" i="13"/>
  <c r="BU126" i="13"/>
  <c r="BT126" i="13"/>
  <c r="BS126" i="13"/>
  <c r="BR126" i="13"/>
  <c r="BQ126" i="13"/>
  <c r="BP126" i="13"/>
  <c r="BO126" i="13"/>
  <c r="BN126" i="13"/>
  <c r="BM126" i="13"/>
  <c r="BL126" i="13"/>
  <c r="BK126" i="13"/>
  <c r="BJ126" i="13"/>
  <c r="BI126" i="13"/>
  <c r="BH126" i="13"/>
  <c r="BG126" i="13"/>
  <c r="BO167" i="13"/>
  <c r="BH167" i="13"/>
  <c r="BU164" i="13"/>
  <c r="BS156" i="13"/>
  <c r="BH163" i="13"/>
  <c r="BJ163" i="13"/>
  <c r="BL159" i="13"/>
  <c r="BN159" i="13"/>
  <c r="BS159" i="13"/>
  <c r="BV159" i="13"/>
  <c r="BF192" i="13"/>
  <c r="BG192" i="13"/>
  <c r="BP192" i="13"/>
  <c r="BQ192" i="13"/>
  <c r="BF187" i="13"/>
  <c r="BE187" i="13"/>
  <c r="BK187" i="13"/>
  <c r="BO187" i="13"/>
  <c r="AJ192" i="13"/>
  <c r="AO192" i="13"/>
  <c r="AW192" i="13"/>
  <c r="AQ187" i="13"/>
  <c r="AU187" i="13"/>
  <c r="BU200" i="13"/>
  <c r="BO200" i="13"/>
  <c r="BM196" i="13"/>
  <c r="BK200" i="13"/>
  <c r="BJ200" i="13"/>
  <c r="BI200" i="13"/>
  <c r="BH200" i="13"/>
  <c r="BF200" i="13"/>
  <c r="BL188" i="13"/>
  <c r="BT188" i="13"/>
  <c r="BR200" i="13"/>
  <c r="BS200" i="13"/>
  <c r="BV200" i="13"/>
  <c r="BW200" i="13"/>
  <c r="BW129" i="13"/>
  <c r="BV129" i="13"/>
  <c r="BU129" i="13"/>
  <c r="BT129" i="13"/>
  <c r="BS129" i="13"/>
  <c r="BR129" i="13"/>
  <c r="BQ129" i="13"/>
  <c r="BP129" i="13"/>
  <c r="BO129" i="13"/>
  <c r="BN129" i="13"/>
  <c r="BM129" i="13"/>
  <c r="BL129" i="13"/>
  <c r="BK129" i="13"/>
  <c r="BJ129" i="13"/>
  <c r="BI129" i="13"/>
  <c r="BH129" i="13"/>
  <c r="BG129" i="13"/>
  <c r="BF129" i="13"/>
  <c r="BR168" i="13"/>
  <c r="AO168" i="13"/>
  <c r="AS168" i="13"/>
  <c r="BU163" i="13"/>
  <c r="BT156" i="13"/>
  <c r="BR163" i="13"/>
  <c r="BH155" i="13"/>
  <c r="BF162" i="13"/>
  <c r="BR162" i="13"/>
  <c r="BF158" i="13"/>
  <c r="BP158" i="13"/>
  <c r="AR164" i="13"/>
  <c r="BW192" i="13"/>
  <c r="BU187" i="13"/>
  <c r="BS192" i="13"/>
  <c r="BM192" i="13"/>
  <c r="BK192" i="13"/>
  <c r="BH192" i="13"/>
  <c r="BE192" i="13"/>
  <c r="BA187" i="13"/>
  <c r="AW187" i="13"/>
  <c r="AQ192" i="13"/>
  <c r="AN191" i="13"/>
  <c r="AR191" i="13"/>
  <c r="AV191" i="13"/>
  <c r="AX191" i="13"/>
  <c r="BW196" i="13"/>
  <c r="BV196" i="13"/>
  <c r="BT196" i="13"/>
  <c r="BS196" i="13"/>
  <c r="BR196" i="13"/>
  <c r="BQ196" i="13"/>
  <c r="BO196" i="13"/>
  <c r="BN196" i="13"/>
  <c r="BL196" i="13"/>
  <c r="BG200" i="13"/>
  <c r="BE196" i="13"/>
  <c r="BF198" i="13"/>
  <c r="BE198" i="13"/>
  <c r="BG198" i="13"/>
  <c r="BM198" i="13"/>
  <c r="BO198" i="13"/>
  <c r="BT198" i="13"/>
  <c r="AK130" i="13"/>
  <c r="AV130" i="13"/>
  <c r="BH193" i="13"/>
  <c r="BL193" i="13"/>
  <c r="BW128" i="13"/>
  <c r="BV128" i="13"/>
  <c r="BU128" i="13"/>
  <c r="BT128" i="13"/>
  <c r="BS128" i="13"/>
  <c r="BR128" i="13"/>
  <c r="BQ128" i="13"/>
  <c r="BP128" i="13"/>
  <c r="BO128" i="13"/>
  <c r="BN128" i="13"/>
  <c r="BM128" i="13"/>
  <c r="BL128" i="13"/>
  <c r="BK128" i="13"/>
  <c r="BJ128" i="13"/>
  <c r="BI128" i="13"/>
  <c r="BH128" i="13"/>
  <c r="BG128" i="13"/>
  <c r="AY143" i="13"/>
  <c r="AL168" i="13"/>
  <c r="BT163" i="13"/>
  <c r="AV158" i="13"/>
  <c r="AS162" i="13"/>
  <c r="AJ161" i="13"/>
  <c r="AP161" i="13"/>
  <c r="AU161" i="13"/>
  <c r="AX161" i="13"/>
  <c r="AZ161" i="13"/>
  <c r="BA161" i="13"/>
  <c r="BB161" i="13"/>
  <c r="AJ157" i="13"/>
  <c r="AR157" i="13"/>
  <c r="AW157" i="13"/>
  <c r="BW187" i="13"/>
  <c r="BT193" i="13"/>
  <c r="BS187" i="13"/>
  <c r="BP188" i="13"/>
  <c r="BH188" i="13"/>
  <c r="AY187" i="13"/>
  <c r="AX186" i="13"/>
  <c r="AU186" i="13"/>
  <c r="AT186" i="13"/>
  <c r="AS187" i="13"/>
  <c r="AR187" i="13"/>
  <c r="AQ191" i="13"/>
  <c r="AP191" i="13"/>
  <c r="AN187" i="13"/>
  <c r="AK187" i="13"/>
  <c r="AJ186" i="13"/>
  <c r="AK190" i="13"/>
  <c r="AP190" i="13"/>
  <c r="BL200" i="13"/>
  <c r="BK196" i="13"/>
  <c r="BJ196" i="13"/>
  <c r="BI196" i="13"/>
  <c r="BH198" i="13"/>
  <c r="BG196" i="13"/>
  <c r="BF196" i="13"/>
  <c r="AV194" i="13"/>
  <c r="AT194" i="13"/>
  <c r="AQ199" i="13"/>
  <c r="AQ195" i="13"/>
  <c r="AO198" i="13"/>
  <c r="AN194" i="13"/>
  <c r="AL194" i="13"/>
  <c r="AJ194" i="13"/>
  <c r="BW189" i="13"/>
  <c r="BS189" i="13"/>
  <c r="BO189" i="13"/>
  <c r="BK189" i="13"/>
  <c r="BG189" i="13"/>
  <c r="AL189" i="13"/>
  <c r="AZ199" i="13"/>
  <c r="AZ195" i="13"/>
  <c r="AY198" i="13"/>
  <c r="AY194" i="13"/>
  <c r="AV198" i="13"/>
  <c r="AT198" i="13"/>
  <c r="AS194" i="13"/>
  <c r="AQ198" i="13"/>
  <c r="AN198" i="13"/>
  <c r="AL198" i="13"/>
  <c r="AK198" i="13"/>
  <c r="BV189" i="13"/>
  <c r="BR189" i="13"/>
  <c r="BN189" i="13"/>
  <c r="BJ189" i="13"/>
  <c r="BA189" i="13"/>
  <c r="AW189" i="13"/>
  <c r="AS189" i="13"/>
  <c r="AO189" i="13"/>
  <c r="AJ127" i="13"/>
  <c r="AR127" i="13"/>
  <c r="AJ122" i="13"/>
  <c r="AK122" i="13"/>
  <c r="AL122" i="13"/>
  <c r="AM122" i="13"/>
  <c r="AN122" i="13"/>
  <c r="AO122" i="13"/>
  <c r="AP122" i="13"/>
  <c r="AO160" i="13"/>
  <c r="AQ160" i="13"/>
  <c r="AT160" i="13"/>
  <c r="AV160" i="13"/>
  <c r="AK160" i="13"/>
  <c r="AR160" i="13"/>
  <c r="AS160" i="13"/>
  <c r="AM160" i="13"/>
  <c r="AW160" i="13"/>
  <c r="AV127" i="13"/>
  <c r="BA122" i="13"/>
  <c r="AY122" i="13"/>
  <c r="AW122" i="13"/>
  <c r="AU122" i="13"/>
  <c r="AS122" i="13"/>
  <c r="AQ122" i="13"/>
  <c r="BF131" i="13"/>
  <c r="BT131" i="13"/>
  <c r="BE169" i="13"/>
  <c r="BT169" i="13"/>
  <c r="BJ169" i="13"/>
  <c r="AK169" i="13"/>
  <c r="AY169" i="13"/>
  <c r="BA169" i="13"/>
  <c r="AJ165" i="13"/>
  <c r="AT165" i="13"/>
  <c r="AP165" i="13"/>
  <c r="AV165" i="13"/>
  <c r="AR165" i="13"/>
  <c r="AX127" i="13"/>
  <c r="AK118" i="13"/>
  <c r="AL118" i="13"/>
  <c r="AM118" i="13"/>
  <c r="AN118" i="13"/>
  <c r="AO118" i="13"/>
  <c r="AP118" i="13"/>
  <c r="AQ118" i="13"/>
  <c r="AV164" i="13"/>
  <c r="AJ164" i="13"/>
  <c r="AL164" i="13"/>
  <c r="AM164" i="13"/>
  <c r="AS164" i="13"/>
  <c r="AO164" i="13"/>
  <c r="AP164" i="13"/>
  <c r="AU164" i="13"/>
  <c r="AV156" i="13"/>
  <c r="AO156" i="13"/>
  <c r="AS156" i="13"/>
  <c r="AJ190" i="13"/>
  <c r="AN190" i="13"/>
  <c r="AR190" i="13"/>
  <c r="AV190" i="13"/>
  <c r="AZ190" i="13"/>
  <c r="AL190" i="13"/>
  <c r="AU190" i="13"/>
  <c r="AW190" i="13"/>
  <c r="BB190" i="13"/>
  <c r="AQ190" i="13"/>
  <c r="AS190" i="13"/>
  <c r="AX190" i="13"/>
  <c r="AM190" i="13"/>
  <c r="AO190" i="13"/>
  <c r="AT190" i="13"/>
  <c r="BE197" i="13"/>
  <c r="BI197" i="13"/>
  <c r="BM197" i="13"/>
  <c r="BQ197" i="13"/>
  <c r="BU197" i="13"/>
  <c r="BG197" i="13"/>
  <c r="BK197" i="13"/>
  <c r="BO197" i="13"/>
  <c r="BS197" i="13"/>
  <c r="BW197" i="13"/>
  <c r="BV197" i="13"/>
  <c r="BF197" i="13"/>
  <c r="BJ197" i="13"/>
  <c r="BN197" i="13"/>
  <c r="BT197" i="13"/>
  <c r="BR197" i="13"/>
  <c r="BB123" i="13"/>
  <c r="BB118" i="13"/>
  <c r="AZ123" i="13"/>
  <c r="AZ118" i="13"/>
  <c r="AX123" i="13"/>
  <c r="AX118" i="13"/>
  <c r="AV123" i="13"/>
  <c r="AV118" i="13"/>
  <c r="AT123" i="13"/>
  <c r="AT118" i="13"/>
  <c r="AR118" i="13"/>
  <c r="BF164" i="13"/>
  <c r="BJ164" i="13"/>
  <c r="BT164" i="13"/>
  <c r="BE164" i="13"/>
  <c r="BH164" i="13"/>
  <c r="BM164" i="13"/>
  <c r="BP164" i="13"/>
  <c r="BL164" i="13"/>
  <c r="BG160" i="13"/>
  <c r="BM160" i="13"/>
  <c r="BL160" i="13"/>
  <c r="BP160" i="13"/>
  <c r="BT160" i="13"/>
  <c r="BU160" i="13"/>
  <c r="BF160" i="13"/>
  <c r="BI160" i="13"/>
  <c r="BJ160" i="13"/>
  <c r="BK160" i="13"/>
  <c r="BQ160" i="13"/>
  <c r="BF156" i="13"/>
  <c r="BE156" i="13"/>
  <c r="BG156" i="13"/>
  <c r="BJ156" i="13"/>
  <c r="BO156" i="13"/>
  <c r="BP156" i="13"/>
  <c r="BH156" i="13"/>
  <c r="AN164" i="13"/>
  <c r="AM156" i="13"/>
  <c r="AK156" i="13"/>
  <c r="BE191" i="13"/>
  <c r="BJ191" i="13"/>
  <c r="BH191" i="13"/>
  <c r="BF191" i="13"/>
  <c r="BN191" i="13"/>
  <c r="BP191" i="13"/>
  <c r="BR191" i="13"/>
  <c r="BT191" i="13"/>
  <c r="BV191" i="13"/>
  <c r="BE186" i="13"/>
  <c r="BF186" i="13"/>
  <c r="BJ186" i="13"/>
  <c r="BN186" i="13"/>
  <c r="BR186" i="13"/>
  <c r="BV186" i="13"/>
  <c r="BH186" i="13"/>
  <c r="BP186" i="13"/>
  <c r="BT186" i="13"/>
  <c r="BL197" i="13"/>
  <c r="BB122" i="13"/>
  <c r="AZ122" i="13"/>
  <c r="AX122" i="13"/>
  <c r="AV122" i="13"/>
  <c r="AT122" i="13"/>
  <c r="AR122" i="13"/>
  <c r="BE171" i="13"/>
  <c r="BH171" i="13"/>
  <c r="BP171" i="13"/>
  <c r="AX165" i="13"/>
  <c r="AU156" i="13"/>
  <c r="AY190" i="13"/>
  <c r="BP197" i="13"/>
  <c r="AJ143" i="13"/>
  <c r="BV162" i="13"/>
  <c r="BN158" i="13"/>
  <c r="BG190" i="13"/>
  <c r="BK190" i="13"/>
  <c r="AX163" i="13"/>
  <c r="AX155" i="13"/>
  <c r="AP163" i="13"/>
  <c r="AO163" i="13"/>
  <c r="AM159" i="13"/>
  <c r="BV190" i="13"/>
  <c r="BT190" i="13"/>
  <c r="BR190" i="13"/>
  <c r="BP190" i="13"/>
  <c r="BN190" i="13"/>
  <c r="BI190" i="13"/>
  <c r="BF190" i="13"/>
  <c r="AL192" i="13"/>
  <c r="AP192" i="13"/>
  <c r="AT192" i="13"/>
  <c r="AX192" i="13"/>
  <c r="BB192" i="13"/>
  <c r="AL187" i="13"/>
  <c r="AP187" i="13"/>
  <c r="AT187" i="13"/>
  <c r="AX187" i="13"/>
  <c r="BB187" i="13"/>
  <c r="BG199" i="13"/>
  <c r="BK199" i="13"/>
  <c r="BO199" i="13"/>
  <c r="BS199" i="13"/>
  <c r="BW199" i="13"/>
  <c r="BE199" i="13"/>
  <c r="BI199" i="13"/>
  <c r="BM199" i="13"/>
  <c r="BQ199" i="13"/>
  <c r="BU199" i="13"/>
  <c r="BG195" i="13"/>
  <c r="BK195" i="13"/>
  <c r="BO195" i="13"/>
  <c r="BS195" i="13"/>
  <c r="BW195" i="13"/>
  <c r="BE195" i="13"/>
  <c r="BI195" i="13"/>
  <c r="BM195" i="13"/>
  <c r="BQ195" i="13"/>
  <c r="BU195" i="13"/>
  <c r="BB125" i="13"/>
  <c r="BB121" i="13"/>
  <c r="BA125" i="13"/>
  <c r="BA121" i="13"/>
  <c r="AZ125" i="13"/>
  <c r="AZ121" i="13"/>
  <c r="AY125" i="13"/>
  <c r="AY121" i="13"/>
  <c r="AX125" i="13"/>
  <c r="AX121" i="13"/>
  <c r="AW125" i="13"/>
  <c r="AW121" i="13"/>
  <c r="AV125" i="13"/>
  <c r="AV121" i="13"/>
  <c r="AU125" i="13"/>
  <c r="AU121" i="13"/>
  <c r="AT125" i="13"/>
  <c r="AT121" i="13"/>
  <c r="AS125" i="13"/>
  <c r="AS121" i="13"/>
  <c r="AR125" i="13"/>
  <c r="AR121" i="13"/>
  <c r="AQ125" i="13"/>
  <c r="AQ121" i="13"/>
  <c r="AP125" i="13"/>
  <c r="AP121" i="13"/>
  <c r="AO125" i="13"/>
  <c r="AO121" i="13"/>
  <c r="AN125" i="13"/>
  <c r="AN121" i="13"/>
  <c r="AM125" i="13"/>
  <c r="AM121" i="13"/>
  <c r="AL125" i="13"/>
  <c r="AL121" i="13"/>
  <c r="AK125" i="13"/>
  <c r="AK121" i="13"/>
  <c r="AN170" i="13"/>
  <c r="BT168" i="13"/>
  <c r="BF168" i="13"/>
  <c r="BV158" i="13"/>
  <c r="BR158" i="13"/>
  <c r="BP163" i="13"/>
  <c r="BP159" i="13"/>
  <c r="BP155" i="13"/>
  <c r="BN162" i="13"/>
  <c r="BA163" i="13"/>
  <c r="BA155" i="13"/>
  <c r="AY159" i="13"/>
  <c r="AW162" i="13"/>
  <c r="AS163" i="13"/>
  <c r="AS159" i="13"/>
  <c r="AS155" i="13"/>
  <c r="AR159" i="13"/>
  <c r="AO155" i="13"/>
  <c r="AM163" i="13"/>
  <c r="AL159" i="13"/>
  <c r="AK159" i="13"/>
  <c r="AJ159" i="13"/>
  <c r="BW190" i="13"/>
  <c r="BS190" i="13"/>
  <c r="BO190" i="13"/>
  <c r="BH190" i="13"/>
  <c r="BA192" i="13"/>
  <c r="AZ187" i="13"/>
  <c r="AV192" i="13"/>
  <c r="AO187" i="13"/>
  <c r="AM192" i="13"/>
  <c r="AM187" i="13"/>
  <c r="AK192" i="13"/>
  <c r="AJ187" i="13"/>
  <c r="AK191" i="13"/>
  <c r="AO191" i="13"/>
  <c r="AS191" i="13"/>
  <c r="AW191" i="13"/>
  <c r="BA191" i="13"/>
  <c r="AK186" i="13"/>
  <c r="AO186" i="13"/>
  <c r="AS186" i="13"/>
  <c r="AW186" i="13"/>
  <c r="BA186" i="13"/>
  <c r="BR195" i="13"/>
  <c r="AV199" i="13"/>
  <c r="AV195" i="13"/>
  <c r="AR199" i="13"/>
  <c r="AR195" i="13"/>
  <c r="AN199" i="13"/>
  <c r="AN195" i="13"/>
  <c r="AJ199" i="13"/>
  <c r="AJ195" i="13"/>
  <c r="AS199" i="13"/>
  <c r="AS195" i="13"/>
  <c r="AO199" i="13"/>
  <c r="AO195" i="13"/>
  <c r="AK199" i="13"/>
  <c r="AK195" i="13"/>
  <c r="BN198" i="13"/>
  <c r="BN194" i="13"/>
  <c r="BJ198" i="13"/>
  <c r="BJ194" i="13"/>
  <c r="AT199" i="13"/>
  <c r="AT195" i="13"/>
  <c r="AP199" i="13"/>
  <c r="AP195" i="13"/>
  <c r="AJ126" i="13"/>
  <c r="BT170" i="13"/>
  <c r="BF163" i="13"/>
  <c r="BK163" i="13"/>
  <c r="BN163" i="13"/>
  <c r="BQ163" i="13"/>
  <c r="BS163" i="13"/>
  <c r="BV163" i="13"/>
  <c r="BE163" i="13"/>
  <c r="BF159" i="13"/>
  <c r="BO159" i="13"/>
  <c r="BR159" i="13"/>
  <c r="BU159" i="13"/>
  <c r="BW159" i="13"/>
  <c r="BE155" i="13"/>
  <c r="BN155" i="13"/>
  <c r="BV155" i="13"/>
  <c r="AJ162" i="13"/>
  <c r="AX162" i="13"/>
  <c r="AZ162" i="13"/>
  <c r="BB162" i="13"/>
  <c r="AU162" i="13"/>
  <c r="AY162" i="13"/>
  <c r="BA162" i="13"/>
  <c r="AJ158" i="13"/>
  <c r="AQ158" i="13"/>
  <c r="AW158" i="13"/>
  <c r="AX158" i="13"/>
  <c r="AZ158" i="13"/>
  <c r="BB158" i="13"/>
  <c r="AY158" i="13"/>
  <c r="BA158" i="13"/>
  <c r="BE166" i="13"/>
  <c r="BL166" i="13"/>
  <c r="BB127" i="13"/>
  <c r="AQ127" i="13"/>
  <c r="AZ135" i="13"/>
  <c r="BU130" i="13"/>
  <c r="BH131" i="13"/>
  <c r="BR170" i="13"/>
  <c r="BF170" i="13"/>
  <c r="AY171" i="13"/>
  <c r="BT166" i="13"/>
  <c r="BH166" i="13"/>
  <c r="AJ168" i="13"/>
  <c r="AQ168" i="13"/>
  <c r="AU168" i="13"/>
  <c r="AY168" i="13"/>
  <c r="BU155" i="13"/>
  <c r="BT155" i="13"/>
  <c r="BQ159" i="13"/>
  <c r="BO163" i="13"/>
  <c r="BO155" i="13"/>
  <c r="BK155" i="13"/>
  <c r="BJ159" i="13"/>
  <c r="AK158" i="13"/>
  <c r="AU166" i="13"/>
  <c r="BB166" i="13"/>
  <c r="AL129" i="13"/>
  <c r="BV170" i="13"/>
  <c r="BV169" i="13"/>
  <c r="BT165" i="13"/>
  <c r="BO165" i="13"/>
  <c r="BG165" i="13"/>
  <c r="BL167" i="13"/>
  <c r="BG167" i="13"/>
  <c r="BP167" i="13"/>
  <c r="BT167" i="13"/>
  <c r="BW167" i="13"/>
  <c r="AP167" i="13"/>
  <c r="AM167" i="13"/>
  <c r="BW163" i="13"/>
  <c r="BW155" i="13"/>
  <c r="BT159" i="13"/>
  <c r="BS155" i="13"/>
  <c r="BR155" i="13"/>
  <c r="BQ155" i="13"/>
  <c r="BM163" i="13"/>
  <c r="BL163" i="13"/>
  <c r="BL155" i="13"/>
  <c r="BI155" i="13"/>
  <c r="BH159" i="13"/>
  <c r="BG155" i="13"/>
  <c r="BE157" i="13"/>
  <c r="BG157" i="13"/>
  <c r="BI157" i="13"/>
  <c r="BM157" i="13"/>
  <c r="AU158" i="13"/>
  <c r="AQ162" i="13"/>
  <c r="AM162" i="13"/>
  <c r="AM158" i="13"/>
  <c r="AK162" i="13"/>
  <c r="AQ164" i="13"/>
  <c r="AT164" i="13"/>
  <c r="AW164" i="13"/>
  <c r="AY164" i="13"/>
  <c r="BA164" i="13"/>
  <c r="AX164" i="13"/>
  <c r="AZ164" i="13"/>
  <c r="BB164" i="13"/>
  <c r="AJ160" i="13"/>
  <c r="AN160" i="13"/>
  <c r="AU160" i="13"/>
  <c r="AY160" i="13"/>
  <c r="BA160" i="13"/>
  <c r="AL160" i="13"/>
  <c r="AP160" i="13"/>
  <c r="AX160" i="13"/>
  <c r="AZ160" i="13"/>
  <c r="BB160" i="13"/>
  <c r="AL156" i="13"/>
  <c r="AP156" i="13"/>
  <c r="AY156" i="13"/>
  <c r="BA156" i="13"/>
  <c r="AJ156" i="13"/>
  <c r="AN156" i="13"/>
  <c r="AQ156" i="13"/>
  <c r="AR156" i="13"/>
  <c r="AT156" i="13"/>
  <c r="AW156" i="13"/>
  <c r="AX156" i="13"/>
  <c r="AZ156" i="13"/>
  <c r="BB156" i="13"/>
  <c r="BG193" i="13"/>
  <c r="BK193" i="13"/>
  <c r="BO193" i="13"/>
  <c r="BS193" i="13"/>
  <c r="BW193" i="13"/>
  <c r="BF193" i="13"/>
  <c r="BJ193" i="13"/>
  <c r="BN193" i="13"/>
  <c r="BR193" i="13"/>
  <c r="BV193" i="13"/>
  <c r="BE193" i="13"/>
  <c r="BI193" i="13"/>
  <c r="BM193" i="13"/>
  <c r="BQ193" i="13"/>
  <c r="BU193" i="13"/>
  <c r="BG188" i="13"/>
  <c r="BK188" i="13"/>
  <c r="BO188" i="13"/>
  <c r="BS188" i="13"/>
  <c r="BW188" i="13"/>
  <c r="BF188" i="13"/>
  <c r="BJ188" i="13"/>
  <c r="BN188" i="13"/>
  <c r="BR188" i="13"/>
  <c r="BV188" i="13"/>
  <c r="BE188" i="13"/>
  <c r="BI188" i="13"/>
  <c r="BM188" i="13"/>
  <c r="BQ188" i="13"/>
  <c r="BU188" i="13"/>
  <c r="BW191" i="13"/>
  <c r="BW186" i="13"/>
  <c r="BS191" i="13"/>
  <c r="BS186" i="13"/>
  <c r="BO191" i="13"/>
  <c r="BO186" i="13"/>
  <c r="BK191" i="13"/>
  <c r="BK186" i="13"/>
  <c r="BG191" i="13"/>
  <c r="BG186" i="13"/>
  <c r="BT162" i="13"/>
  <c r="BT158" i="13"/>
  <c r="AO161" i="13"/>
  <c r="AO157" i="13"/>
  <c r="AK161" i="13"/>
  <c r="AK157" i="13"/>
  <c r="BV192" i="13"/>
  <c r="BV187" i="13"/>
  <c r="BU191" i="13"/>
  <c r="BU186" i="13"/>
  <c r="BR192" i="13"/>
  <c r="BR187" i="13"/>
  <c r="BQ191" i="13"/>
  <c r="BQ186" i="13"/>
  <c r="BN192" i="13"/>
  <c r="BN187" i="13"/>
  <c r="BM191" i="13"/>
  <c r="BM186" i="13"/>
  <c r="BJ192" i="13"/>
  <c r="BJ187" i="13"/>
  <c r="BI191" i="13"/>
  <c r="BI186" i="13"/>
  <c r="AQ139" i="13"/>
  <c r="AS132" i="13"/>
  <c r="BW169" i="13"/>
  <c r="BV165" i="13"/>
  <c r="BS169" i="13"/>
  <c r="BQ169" i="13"/>
  <c r="BN165" i="13"/>
  <c r="BL165" i="13"/>
  <c r="BI169" i="13"/>
  <c r="BB169" i="13"/>
  <c r="AZ127" i="13"/>
  <c r="AU127" i="13"/>
  <c r="AP127" i="13"/>
  <c r="BO137" i="13"/>
  <c r="AJ139" i="13"/>
  <c r="AV143" i="13"/>
  <c r="BU132" i="13"/>
  <c r="AQ132" i="13"/>
  <c r="BM130" i="13"/>
  <c r="BP131" i="13"/>
  <c r="BN170" i="13"/>
  <c r="AQ171" i="13"/>
  <c r="BU169" i="13"/>
  <c r="BS165" i="13"/>
  <c r="BQ165" i="13"/>
  <c r="BP165" i="13"/>
  <c r="BM169" i="13"/>
  <c r="BK169" i="13"/>
  <c r="BI165" i="13"/>
  <c r="BH165" i="13"/>
  <c r="BF165" i="13"/>
  <c r="BB168" i="13"/>
  <c r="BA165" i="13"/>
  <c r="AX169" i="13"/>
  <c r="AV169" i="13"/>
  <c r="AU165" i="13"/>
  <c r="AS165" i="13"/>
  <c r="AQ166" i="13"/>
  <c r="AN168" i="13"/>
  <c r="AM166" i="13"/>
  <c r="AK168" i="13"/>
  <c r="BW160" i="13"/>
  <c r="BV161" i="13"/>
  <c r="BV157" i="13"/>
  <c r="BU157" i="13"/>
  <c r="BS160" i="13"/>
  <c r="BR161" i="13"/>
  <c r="BR157" i="13"/>
  <c r="BQ157" i="13"/>
  <c r="BO160" i="13"/>
  <c r="BN161" i="13"/>
  <c r="BN157" i="13"/>
  <c r="BM156" i="13"/>
  <c r="BL162" i="13"/>
  <c r="BL158" i="13"/>
  <c r="BK164" i="13"/>
  <c r="BK156" i="13"/>
  <c r="BJ162" i="13"/>
  <c r="BJ158" i="13"/>
  <c r="BI164" i="13"/>
  <c r="BI156" i="13"/>
  <c r="BH162" i="13"/>
  <c r="BH158" i="13"/>
  <c r="BG164" i="13"/>
  <c r="BF157" i="13"/>
  <c r="BE160" i="13"/>
  <c r="AW163" i="13"/>
  <c r="AW159" i="13"/>
  <c r="AW155" i="13"/>
  <c r="AU163" i="13"/>
  <c r="AU159" i="13"/>
  <c r="AU155" i="13"/>
  <c r="AT155" i="13"/>
  <c r="AR163" i="13"/>
  <c r="AQ163" i="13"/>
  <c r="AQ159" i="13"/>
  <c r="AQ155" i="13"/>
  <c r="AP155" i="13"/>
  <c r="AN163" i="13"/>
  <c r="AN155" i="13"/>
  <c r="AL163" i="13"/>
  <c r="AL155" i="13"/>
  <c r="AY127" i="13"/>
  <c r="AT127" i="13"/>
  <c r="AN127" i="13"/>
  <c r="AJ138" i="13"/>
  <c r="AO143" i="13"/>
  <c r="AJ132" i="13"/>
  <c r="BL131" i="13"/>
  <c r="BW165" i="13"/>
  <c r="BU165" i="13"/>
  <c r="BR169" i="13"/>
  <c r="BP169" i="13"/>
  <c r="BL169" i="13"/>
  <c r="BH169" i="13"/>
  <c r="AZ168" i="13"/>
  <c r="AX168" i="13"/>
  <c r="AV168" i="13"/>
  <c r="AT168" i="13"/>
  <c r="AR168" i="13"/>
  <c r="AP168" i="13"/>
  <c r="AN165" i="13"/>
  <c r="AL169" i="13"/>
  <c r="BW164" i="13"/>
  <c r="BV164" i="13"/>
  <c r="BV160" i="13"/>
  <c r="BV156" i="13"/>
  <c r="BU161" i="13"/>
  <c r="BU156" i="13"/>
  <c r="BS164" i="13"/>
  <c r="BR164" i="13"/>
  <c r="BR160" i="13"/>
  <c r="BR156" i="13"/>
  <c r="BQ161" i="13"/>
  <c r="BQ156" i="13"/>
  <c r="BO164" i="13"/>
  <c r="BN164" i="13"/>
  <c r="BN160" i="13"/>
  <c r="BN156" i="13"/>
  <c r="BM161" i="13"/>
  <c r="BL161" i="13"/>
  <c r="BL157" i="13"/>
  <c r="BJ161" i="13"/>
  <c r="BJ157" i="13"/>
  <c r="BH161" i="13"/>
  <c r="BH157" i="13"/>
  <c r="BA127" i="13"/>
  <c r="AW127" i="13"/>
  <c r="AS127" i="13"/>
  <c r="AO127" i="13"/>
  <c r="BP137" i="13"/>
  <c r="BB139" i="13"/>
  <c r="AN135" i="13"/>
  <c r="AZ132" i="13"/>
  <c r="AO132" i="13"/>
  <c r="BT130" i="13"/>
  <c r="AZ130" i="13"/>
  <c r="AJ130" i="13"/>
  <c r="BQ131" i="13"/>
  <c r="BI131" i="13"/>
  <c r="BP170" i="13"/>
  <c r="BL171" i="13"/>
  <c r="BA170" i="13"/>
  <c r="AQ170" i="13"/>
  <c r="AM170" i="13"/>
  <c r="AJ170" i="13"/>
  <c r="BW168" i="13"/>
  <c r="BV168" i="13"/>
  <c r="BO168" i="13"/>
  <c r="BF169" i="13"/>
  <c r="BG169" i="13"/>
  <c r="BN169" i="13"/>
  <c r="BO169" i="13"/>
  <c r="BE165" i="13"/>
  <c r="BJ165" i="13"/>
  <c r="BM165" i="13"/>
  <c r="BR165" i="13"/>
  <c r="BB165" i="13"/>
  <c r="BA166" i="13"/>
  <c r="AZ166" i="13"/>
  <c r="AY165" i="13"/>
  <c r="AW169" i="13"/>
  <c r="AT167" i="13"/>
  <c r="AS167" i="13"/>
  <c r="AR167" i="13"/>
  <c r="AQ167" i="13"/>
  <c r="AO165" i="13"/>
  <c r="AK165" i="13"/>
  <c r="BM159" i="13"/>
  <c r="BK161" i="13"/>
  <c r="BI159" i="13"/>
  <c r="BG161" i="13"/>
  <c r="BE159" i="13"/>
  <c r="BE168" i="13"/>
  <c r="BH168" i="13"/>
  <c r="BP168" i="13"/>
  <c r="AK167" i="13"/>
  <c r="AU167" i="13"/>
  <c r="AV167" i="13"/>
  <c r="AW167" i="13"/>
  <c r="AX167" i="13"/>
  <c r="BB167" i="13"/>
  <c r="BI137" i="13"/>
  <c r="AU135" i="13"/>
  <c r="BL132" i="13"/>
  <c r="BE130" i="13"/>
  <c r="AR130" i="13"/>
  <c r="BU131" i="13"/>
  <c r="BM131" i="13"/>
  <c r="BE131" i="13"/>
  <c r="AO170" i="13"/>
  <c r="BS168" i="13"/>
  <c r="BG168" i="13"/>
  <c r="BE167" i="13"/>
  <c r="BK167" i="13"/>
  <c r="BS167" i="13"/>
  <c r="AW165" i="13"/>
  <c r="AU169" i="13"/>
  <c r="AT169" i="13"/>
  <c r="AS169" i="13"/>
  <c r="AR169" i="13"/>
  <c r="AQ169" i="13"/>
  <c r="AQ165" i="13"/>
  <c r="AN167" i="13"/>
  <c r="AJ166" i="13"/>
  <c r="AY166" i="13"/>
  <c r="BK159" i="13"/>
  <c r="BI161" i="13"/>
  <c r="BG159" i="13"/>
  <c r="BE162" i="13"/>
  <c r="BG162" i="13"/>
  <c r="BI162" i="13"/>
  <c r="BK162" i="13"/>
  <c r="BM162" i="13"/>
  <c r="BO162" i="13"/>
  <c r="BQ162" i="13"/>
  <c r="BS162" i="13"/>
  <c r="BU162" i="13"/>
  <c r="BW162" i="13"/>
  <c r="BE158" i="13"/>
  <c r="BG158" i="13"/>
  <c r="BI158" i="13"/>
  <c r="BK158" i="13"/>
  <c r="BM158" i="13"/>
  <c r="BO158" i="13"/>
  <c r="BQ158" i="13"/>
  <c r="BS158" i="13"/>
  <c r="BU158" i="13"/>
  <c r="BW158" i="13"/>
  <c r="AQ130" i="13"/>
  <c r="BB170" i="13"/>
  <c r="AZ170" i="13"/>
  <c r="AU170" i="13"/>
  <c r="AT170" i="13"/>
  <c r="AS170" i="13"/>
  <c r="AR170" i="13"/>
  <c r="AP170" i="13"/>
  <c r="AL170" i="13"/>
  <c r="BN168" i="13"/>
  <c r="BL168" i="13"/>
  <c r="BJ168" i="13"/>
  <c r="BA167" i="13"/>
  <c r="AZ167" i="13"/>
  <c r="AY167" i="13"/>
  <c r="AO167" i="13"/>
  <c r="AJ169" i="13"/>
  <c r="AM169" i="13"/>
  <c r="AN169" i="13"/>
  <c r="AO169" i="13"/>
  <c r="AP169" i="13"/>
  <c r="AZ169" i="13"/>
  <c r="AL165" i="13"/>
  <c r="AM165" i="13"/>
  <c r="AZ165" i="13"/>
  <c r="BG163" i="13"/>
  <c r="BF155" i="13"/>
  <c r="AT162" i="13"/>
  <c r="AT158" i="13"/>
  <c r="AR162" i="13"/>
  <c r="AR158" i="13"/>
  <c r="AP162" i="13"/>
  <c r="AP158" i="13"/>
  <c r="AN162" i="13"/>
  <c r="AN158" i="13"/>
  <c r="AL162" i="13"/>
  <c r="AL158" i="13"/>
  <c r="AN161" i="13"/>
  <c r="AN157" i="13"/>
  <c r="AL161" i="13"/>
  <c r="AL157" i="13"/>
  <c r="BJ170" i="13"/>
  <c r="BH170" i="13"/>
  <c r="AJ137" i="13"/>
  <c r="BB129" i="13"/>
  <c r="AZ129" i="13"/>
  <c r="AX129" i="13"/>
  <c r="AV129" i="13"/>
  <c r="AT129" i="13"/>
  <c r="AR129" i="13"/>
  <c r="AP129" i="13"/>
  <c r="AN129" i="13"/>
  <c r="AZ139" i="13"/>
  <c r="AR135" i="13"/>
  <c r="AM135" i="13"/>
  <c r="AJ135" i="13"/>
  <c r="BF132" i="13"/>
  <c r="BL130" i="13"/>
  <c r="AY130" i="13"/>
  <c r="AN130" i="13"/>
  <c r="BU170" i="13"/>
  <c r="BS170" i="13"/>
  <c r="BM170" i="13"/>
  <c r="BK170" i="13"/>
  <c r="BE170" i="13"/>
  <c r="AY170" i="13"/>
  <c r="AX170" i="13"/>
  <c r="AW170" i="13"/>
  <c r="AU171" i="13"/>
  <c r="BW166" i="13"/>
  <c r="BV167" i="13"/>
  <c r="BU168" i="13"/>
  <c r="BS166" i="13"/>
  <c r="BR167" i="13"/>
  <c r="BQ168" i="13"/>
  <c r="BO166" i="13"/>
  <c r="BN167" i="13"/>
  <c r="BM168" i="13"/>
  <c r="BK166" i="13"/>
  <c r="BJ167" i="13"/>
  <c r="BI168" i="13"/>
  <c r="BG166" i="13"/>
  <c r="BF167" i="13"/>
  <c r="AX166" i="13"/>
  <c r="AT166" i="13"/>
  <c r="AP166" i="13"/>
  <c r="AL166" i="13"/>
  <c r="AY131" i="13"/>
  <c r="BV166" i="13"/>
  <c r="BU167" i="13"/>
  <c r="BR166" i="13"/>
  <c r="BQ167" i="13"/>
  <c r="BN166" i="13"/>
  <c r="BM167" i="13"/>
  <c r="BJ166" i="13"/>
  <c r="BI167" i="13"/>
  <c r="BF166" i="13"/>
  <c r="AW166" i="13"/>
  <c r="AS166" i="13"/>
  <c r="AO166" i="13"/>
  <c r="AK166" i="13"/>
  <c r="BA129" i="13"/>
  <c r="AY129" i="13"/>
  <c r="AW129" i="13"/>
  <c r="AU129" i="13"/>
  <c r="AS129" i="13"/>
  <c r="AQ129" i="13"/>
  <c r="AO129" i="13"/>
  <c r="AM129" i="13"/>
  <c r="BT134" i="13"/>
  <c r="AR134" i="13"/>
  <c r="AV139" i="13"/>
  <c r="AN139" i="13"/>
  <c r="BQ132" i="13"/>
  <c r="AQ131" i="13"/>
  <c r="BW170" i="13"/>
  <c r="BQ170" i="13"/>
  <c r="BO170" i="13"/>
  <c r="BI170" i="13"/>
  <c r="AZ171" i="13"/>
  <c r="AM171" i="13"/>
  <c r="BU166" i="13"/>
  <c r="BQ166" i="13"/>
  <c r="BM166" i="13"/>
  <c r="BI166" i="13"/>
  <c r="AV166" i="13"/>
  <c r="AR166" i="13"/>
  <c r="AN166" i="13"/>
  <c r="AV142" i="13"/>
  <c r="BB126" i="13"/>
  <c r="BA126" i="13"/>
  <c r="AZ126" i="13"/>
  <c r="AY126" i="13"/>
  <c r="AX126" i="13"/>
  <c r="AW126" i="13"/>
  <c r="AV126" i="13"/>
  <c r="AU126" i="13"/>
  <c r="AT126" i="13"/>
  <c r="AS126" i="13"/>
  <c r="AR126" i="13"/>
  <c r="AQ126" i="13"/>
  <c r="AP126" i="13"/>
  <c r="AO126" i="13"/>
  <c r="AN126" i="13"/>
  <c r="AJ129" i="13"/>
  <c r="BQ137" i="13"/>
  <c r="BN132" i="13"/>
  <c r="BE132" i="13"/>
  <c r="AV132" i="13"/>
  <c r="AK132" i="13"/>
  <c r="AU130" i="13"/>
  <c r="AM130" i="13"/>
  <c r="AV131" i="13"/>
  <c r="AN131" i="13"/>
  <c r="BW171" i="13"/>
  <c r="BS171" i="13"/>
  <c r="BO171" i="13"/>
  <c r="BK171" i="13"/>
  <c r="BG171" i="13"/>
  <c r="BB171" i="13"/>
  <c r="AX171" i="13"/>
  <c r="AT171" i="13"/>
  <c r="AP171" i="13"/>
  <c r="AL171" i="13"/>
  <c r="BB131" i="13"/>
  <c r="AU131" i="13"/>
  <c r="AM131" i="13"/>
  <c r="BV171" i="13"/>
  <c r="BR171" i="13"/>
  <c r="BN171" i="13"/>
  <c r="BJ171" i="13"/>
  <c r="BF171" i="13"/>
  <c r="AW171" i="13"/>
  <c r="AS171" i="13"/>
  <c r="AO171" i="13"/>
  <c r="AK171" i="13"/>
  <c r="BB128" i="13"/>
  <c r="BA128" i="13"/>
  <c r="AZ128" i="13"/>
  <c r="AY128" i="13"/>
  <c r="AX128" i="13"/>
  <c r="AW128" i="13"/>
  <c r="AV128" i="13"/>
  <c r="AU128" i="13"/>
  <c r="AT128" i="13"/>
  <c r="AS128" i="13"/>
  <c r="AR128" i="13"/>
  <c r="AQ128" i="13"/>
  <c r="AP128" i="13"/>
  <c r="AO128" i="13"/>
  <c r="AN128" i="13"/>
  <c r="AM128" i="13"/>
  <c r="AT138" i="13"/>
  <c r="BN143" i="13"/>
  <c r="BT132" i="13"/>
  <c r="BJ132" i="13"/>
  <c r="AZ131" i="13"/>
  <c r="AR131" i="13"/>
  <c r="AJ131" i="13"/>
  <c r="BU171" i="13"/>
  <c r="BQ171" i="13"/>
  <c r="BM171" i="13"/>
  <c r="BI171" i="13"/>
  <c r="AV171" i="13"/>
  <c r="AR171" i="13"/>
  <c r="AN171" i="13"/>
  <c r="AL126" i="13"/>
  <c r="BO134" i="13"/>
  <c r="AX138" i="13"/>
  <c r="AS138" i="13"/>
  <c r="BU143" i="13"/>
  <c r="BJ143" i="13"/>
  <c r="AM140" i="13"/>
  <c r="BT143" i="13"/>
  <c r="BI143" i="13"/>
  <c r="BQ130" i="13"/>
  <c r="BI130" i="13"/>
  <c r="BW131" i="13"/>
  <c r="BS131" i="13"/>
  <c r="BO131" i="13"/>
  <c r="BK131" i="13"/>
  <c r="BG131" i="13"/>
  <c r="AX131" i="13"/>
  <c r="AT131" i="13"/>
  <c r="AP131" i="13"/>
  <c r="AL131" i="13"/>
  <c r="AM126" i="13"/>
  <c r="AM134" i="13"/>
  <c r="BI138" i="13"/>
  <c r="BP143" i="13"/>
  <c r="BE143" i="13"/>
  <c r="AQ143" i="13"/>
  <c r="BV132" i="13"/>
  <c r="BP132" i="13"/>
  <c r="BI132" i="13"/>
  <c r="BA132" i="13"/>
  <c r="AU132" i="13"/>
  <c r="AN132" i="13"/>
  <c r="BP130" i="13"/>
  <c r="BH130" i="13"/>
  <c r="BV131" i="13"/>
  <c r="BR131" i="13"/>
  <c r="BN131" i="13"/>
  <c r="BJ131" i="13"/>
  <c r="BA131" i="13"/>
  <c r="AW131" i="13"/>
  <c r="AS131" i="13"/>
  <c r="AO131" i="13"/>
  <c r="AJ128" i="13"/>
  <c r="BU135" i="13"/>
  <c r="BQ135" i="13"/>
  <c r="BL139" i="13"/>
  <c r="AK128" i="13"/>
  <c r="BM141" i="13"/>
  <c r="BT135" i="13"/>
  <c r="BL138" i="13"/>
  <c r="BH135" i="13"/>
  <c r="BB135" i="13"/>
  <c r="AY139" i="13"/>
  <c r="AV135" i="13"/>
  <c r="AQ135" i="13"/>
  <c r="AM139" i="13"/>
  <c r="BR143" i="13"/>
  <c r="BM143" i="13"/>
  <c r="BH143" i="13"/>
  <c r="BA143" i="13"/>
  <c r="AU143" i="13"/>
  <c r="AN143" i="13"/>
  <c r="BW130" i="13"/>
  <c r="BS130" i="13"/>
  <c r="BO130" i="13"/>
  <c r="BK130" i="13"/>
  <c r="BG130" i="13"/>
  <c r="BB130" i="13"/>
  <c r="AX130" i="13"/>
  <c r="AT130" i="13"/>
  <c r="AP130" i="13"/>
  <c r="AL130" i="13"/>
  <c r="BW142" i="13"/>
  <c r="BT140" i="13"/>
  <c r="BG134" i="13"/>
  <c r="AV134" i="13"/>
  <c r="AL134" i="13"/>
  <c r="BS137" i="13"/>
  <c r="BP135" i="13"/>
  <c r="BI139" i="13"/>
  <c r="BE139" i="13"/>
  <c r="BA138" i="13"/>
  <c r="AY135" i="13"/>
  <c r="AU139" i="13"/>
  <c r="AR139" i="13"/>
  <c r="AO138" i="13"/>
  <c r="AM136" i="13"/>
  <c r="BV143" i="13"/>
  <c r="BQ143" i="13"/>
  <c r="BL143" i="13"/>
  <c r="BF143" i="13"/>
  <c r="AZ143" i="13"/>
  <c r="AS143" i="13"/>
  <c r="AK143" i="13"/>
  <c r="BR132" i="13"/>
  <c r="BM132" i="13"/>
  <c r="BH132" i="13"/>
  <c r="BB132" i="13"/>
  <c r="AW132" i="13"/>
  <c r="AR132" i="13"/>
  <c r="AM132" i="13"/>
  <c r="BV130" i="13"/>
  <c r="BR130" i="13"/>
  <c r="BN130" i="13"/>
  <c r="BJ130" i="13"/>
  <c r="BA130" i="13"/>
  <c r="AW130" i="13"/>
  <c r="AS130" i="13"/>
  <c r="AO130" i="13"/>
  <c r="BM142" i="13"/>
  <c r="AT142" i="13"/>
  <c r="BR134" i="13"/>
  <c r="BF134" i="13"/>
  <c r="BB134" i="13"/>
  <c r="AQ134" i="13"/>
  <c r="BT139" i="13"/>
  <c r="BQ139" i="13"/>
  <c r="BP139" i="13"/>
  <c r="BL135" i="13"/>
  <c r="BE138" i="13"/>
  <c r="BB138" i="13"/>
  <c r="AY138" i="13"/>
  <c r="AW138" i="13"/>
  <c r="AU138" i="13"/>
  <c r="AQ138" i="13"/>
  <c r="AM127" i="13"/>
  <c r="AL127" i="13"/>
  <c r="AK127" i="13"/>
  <c r="BV134" i="13"/>
  <c r="BP140" i="13"/>
  <c r="BL134" i="13"/>
  <c r="AX134" i="13"/>
  <c r="BU139" i="13"/>
  <c r="BT138" i="13"/>
  <c r="BQ138" i="13"/>
  <c r="BP138" i="13"/>
  <c r="BM139" i="13"/>
  <c r="BK137" i="13"/>
  <c r="BH139" i="13"/>
  <c r="BE137" i="13"/>
  <c r="BB136" i="13"/>
  <c r="AZ138" i="13"/>
  <c r="AY136" i="13"/>
  <c r="AR138" i="13"/>
  <c r="AQ136" i="13"/>
  <c r="AW143" i="13"/>
  <c r="AR143" i="13"/>
  <c r="AM143" i="13"/>
  <c r="BW132" i="13"/>
  <c r="BS132" i="13"/>
  <c r="BO132" i="13"/>
  <c r="BK132" i="13"/>
  <c r="AX132" i="13"/>
  <c r="AT132" i="13"/>
  <c r="AP132" i="13"/>
  <c r="BP134" i="13"/>
  <c r="BK134" i="13"/>
  <c r="BU138" i="13"/>
  <c r="BH136" i="13"/>
  <c r="AN138" i="13"/>
  <c r="AM138" i="13"/>
  <c r="AK138" i="13"/>
  <c r="AL142" i="13"/>
  <c r="BU134" i="13"/>
  <c r="BQ134" i="13"/>
  <c r="BJ134" i="13"/>
  <c r="BA134" i="13"/>
  <c r="AT134" i="13"/>
  <c r="AO134" i="13"/>
  <c r="BW137" i="13"/>
  <c r="BU137" i="13"/>
  <c r="BT137" i="13"/>
  <c r="BR137" i="13"/>
  <c r="BP136" i="13"/>
  <c r="BM138" i="13"/>
  <c r="BL137" i="13"/>
  <c r="BH138" i="13"/>
  <c r="BG137" i="13"/>
  <c r="AV138" i="13"/>
  <c r="AU136" i="13"/>
  <c r="AS137" i="13"/>
  <c r="AP138" i="13"/>
  <c r="AN137" i="13"/>
  <c r="AM137" i="13"/>
  <c r="BW143" i="13"/>
  <c r="BS143" i="13"/>
  <c r="BO143" i="13"/>
  <c r="BK143" i="13"/>
  <c r="BB143" i="13"/>
  <c r="AX143" i="13"/>
  <c r="AT143" i="13"/>
  <c r="AP143" i="13"/>
  <c r="BM134" i="13"/>
  <c r="BI134" i="13"/>
  <c r="AZ134" i="13"/>
  <c r="AS134" i="13"/>
  <c r="BV137" i="13"/>
  <c r="BT136" i="13"/>
  <c r="BM137" i="13"/>
  <c r="BL136" i="13"/>
  <c r="BH137" i="13"/>
  <c r="BT142" i="13"/>
  <c r="BK142" i="13"/>
  <c r="AV141" i="13"/>
  <c r="AO141" i="13"/>
  <c r="BV138" i="13"/>
  <c r="BR138" i="13"/>
  <c r="BN138" i="13"/>
  <c r="BJ138" i="13"/>
  <c r="BF138" i="13"/>
  <c r="AZ137" i="13"/>
  <c r="AY137" i="13"/>
  <c r="AX137" i="13"/>
  <c r="AO137" i="13"/>
  <c r="AK137" i="13"/>
  <c r="AY104" i="13"/>
  <c r="BT133" i="13"/>
  <c r="BJ142" i="13"/>
  <c r="BB142" i="13"/>
  <c r="AQ142" i="13"/>
  <c r="BN137" i="13"/>
  <c r="BM135" i="13"/>
  <c r="BJ137" i="13"/>
  <c r="BI135" i="13"/>
  <c r="BE135" i="13"/>
  <c r="BB137" i="13"/>
  <c r="BA137" i="13"/>
  <c r="AV137" i="13"/>
  <c r="AU137" i="13"/>
  <c r="AT137" i="13"/>
  <c r="AT106" i="13"/>
  <c r="AX104" i="13"/>
  <c r="BP142" i="13"/>
  <c r="BG142" i="13"/>
  <c r="BA142" i="13"/>
  <c r="AN142" i="13"/>
  <c r="AX141" i="13"/>
  <c r="AU134" i="13"/>
  <c r="AQ140" i="13"/>
  <c r="AM141" i="13"/>
  <c r="AK134" i="13"/>
  <c r="AW137" i="13"/>
  <c r="AR137" i="13"/>
  <c r="AQ137" i="13"/>
  <c r="AP137" i="13"/>
  <c r="BU141" i="13"/>
  <c r="BQ141" i="13"/>
  <c r="BH141" i="13"/>
  <c r="BA141" i="13"/>
  <c r="AY141" i="13"/>
  <c r="AT141" i="13"/>
  <c r="AR141" i="13"/>
  <c r="BW136" i="13"/>
  <c r="BS136" i="13"/>
  <c r="BO136" i="13"/>
  <c r="BK136" i="13"/>
  <c r="BG136" i="13"/>
  <c r="AX136" i="13"/>
  <c r="AT136" i="13"/>
  <c r="AP136" i="13"/>
  <c r="AL136" i="13"/>
  <c r="AY142" i="13"/>
  <c r="AS142" i="13"/>
  <c r="AK142" i="13"/>
  <c r="BW140" i="13"/>
  <c r="BS140" i="13"/>
  <c r="BL141" i="13"/>
  <c r="BH140" i="13"/>
  <c r="BE141" i="13"/>
  <c r="AY140" i="13"/>
  <c r="AW141" i="13"/>
  <c r="AU141" i="13"/>
  <c r="AP141" i="13"/>
  <c r="AN141" i="13"/>
  <c r="AJ141" i="13"/>
  <c r="BW139" i="13"/>
  <c r="BW135" i="13"/>
  <c r="BV136" i="13"/>
  <c r="BS139" i="13"/>
  <c r="BS135" i="13"/>
  <c r="BR136" i="13"/>
  <c r="BO139" i="13"/>
  <c r="BO135" i="13"/>
  <c r="BN136" i="13"/>
  <c r="BK139" i="13"/>
  <c r="BK135" i="13"/>
  <c r="BJ136" i="13"/>
  <c r="BG139" i="13"/>
  <c r="BG135" i="13"/>
  <c r="BF136" i="13"/>
  <c r="BA136" i="13"/>
  <c r="AX139" i="13"/>
  <c r="AX135" i="13"/>
  <c r="AW136" i="13"/>
  <c r="AT139" i="13"/>
  <c r="AT135" i="13"/>
  <c r="AS136" i="13"/>
  <c r="AP139" i="13"/>
  <c r="AP135" i="13"/>
  <c r="AO136" i="13"/>
  <c r="AL139" i="13"/>
  <c r="AL135" i="13"/>
  <c r="AK136" i="13"/>
  <c r="AY133" i="13"/>
  <c r="BW134" i="13"/>
  <c r="BT141" i="13"/>
  <c r="BS134" i="13"/>
  <c r="BP141" i="13"/>
  <c r="BN134" i="13"/>
  <c r="BL140" i="13"/>
  <c r="BI141" i="13"/>
  <c r="BH134" i="13"/>
  <c r="BB141" i="13"/>
  <c r="AZ141" i="13"/>
  <c r="AY134" i="13"/>
  <c r="AW134" i="13"/>
  <c r="AU140" i="13"/>
  <c r="AS141" i="13"/>
  <c r="AQ141" i="13"/>
  <c r="AP134" i="13"/>
  <c r="AN134" i="13"/>
  <c r="AL141" i="13"/>
  <c r="BW138" i="13"/>
  <c r="BV139" i="13"/>
  <c r="BV135" i="13"/>
  <c r="BU136" i="13"/>
  <c r="BS138" i="13"/>
  <c r="BR139" i="13"/>
  <c r="BR135" i="13"/>
  <c r="BQ136" i="13"/>
  <c r="BO138" i="13"/>
  <c r="BN139" i="13"/>
  <c r="BN135" i="13"/>
  <c r="BM136" i="13"/>
  <c r="BK138" i="13"/>
  <c r="BJ139" i="13"/>
  <c r="BJ135" i="13"/>
  <c r="BI136" i="13"/>
  <c r="BA139" i="13"/>
  <c r="BA135" i="13"/>
  <c r="AZ136" i="13"/>
  <c r="AW139" i="13"/>
  <c r="AW135" i="13"/>
  <c r="AV136" i="13"/>
  <c r="AS139" i="13"/>
  <c r="AS135" i="13"/>
  <c r="AR136" i="13"/>
  <c r="AO139" i="13"/>
  <c r="AO135" i="13"/>
  <c r="AN136" i="13"/>
  <c r="AJ104" i="13"/>
  <c r="BV133" i="13"/>
  <c r="BS142" i="13"/>
  <c r="BP133" i="13"/>
  <c r="BL142" i="13"/>
  <c r="BJ133" i="13"/>
  <c r="BF133" i="13"/>
  <c r="AQ133" i="13"/>
  <c r="BV141" i="13"/>
  <c r="BU140" i="13"/>
  <c r="BR141" i="13"/>
  <c r="BQ140" i="13"/>
  <c r="BN141" i="13"/>
  <c r="BM140" i="13"/>
  <c r="BJ141" i="13"/>
  <c r="BI140" i="13"/>
  <c r="BF141" i="13"/>
  <c r="BE140" i="13"/>
  <c r="AZ140" i="13"/>
  <c r="AV140" i="13"/>
  <c r="AR140" i="13"/>
  <c r="AN140" i="13"/>
  <c r="AJ140" i="13"/>
  <c r="BU142" i="13"/>
  <c r="BR142" i="13"/>
  <c r="BO142" i="13"/>
  <c r="BL133" i="13"/>
  <c r="BH142" i="13"/>
  <c r="BE142" i="13"/>
  <c r="BW141" i="13"/>
  <c r="BV140" i="13"/>
  <c r="BS141" i="13"/>
  <c r="BR140" i="13"/>
  <c r="BO141" i="13"/>
  <c r="BN140" i="13"/>
  <c r="BK141" i="13"/>
  <c r="BJ140" i="13"/>
  <c r="BF140" i="13"/>
  <c r="BA140" i="13"/>
  <c r="AW140" i="13"/>
  <c r="AS140" i="13"/>
  <c r="AO140" i="13"/>
  <c r="AK140" i="13"/>
  <c r="BR133" i="13"/>
  <c r="BN133" i="13"/>
  <c r="BH133" i="13"/>
  <c r="BO140" i="13"/>
  <c r="BK140" i="13"/>
  <c r="BB140" i="13"/>
  <c r="AX140" i="13"/>
  <c r="AT140" i="13"/>
  <c r="AP140" i="13"/>
  <c r="BA133" i="13"/>
  <c r="AX142" i="13"/>
  <c r="AU142" i="13"/>
  <c r="AS133" i="13"/>
  <c r="AP142" i="13"/>
  <c r="AM142" i="13"/>
  <c r="AK133" i="13"/>
  <c r="BV142" i="13"/>
  <c r="BQ142" i="13"/>
  <c r="BN142" i="13"/>
  <c r="BI142" i="13"/>
  <c r="AZ142" i="13"/>
  <c r="AW142" i="13"/>
  <c r="AU133" i="13"/>
  <c r="AR142" i="13"/>
  <c r="AO142" i="13"/>
  <c r="AM133" i="13"/>
  <c r="AW133" i="13"/>
  <c r="AO133" i="13"/>
  <c r="BP99" i="13"/>
  <c r="BE99" i="13"/>
  <c r="AM105" i="13"/>
  <c r="AR104" i="13"/>
  <c r="BW133" i="13"/>
  <c r="BU133" i="13"/>
  <c r="BS133" i="13"/>
  <c r="BQ133" i="13"/>
  <c r="BO133" i="13"/>
  <c r="BM133" i="13"/>
  <c r="BK133" i="13"/>
  <c r="BI133" i="13"/>
  <c r="BG133" i="13"/>
  <c r="BB133" i="13"/>
  <c r="AZ133" i="13"/>
  <c r="AX133" i="13"/>
  <c r="AV133" i="13"/>
  <c r="AT133" i="13"/>
  <c r="AR133" i="13"/>
  <c r="AP133" i="13"/>
  <c r="AN133" i="13"/>
  <c r="AL133" i="13"/>
  <c r="AP104" i="13"/>
  <c r="BR99" i="13"/>
  <c r="AJ106" i="13"/>
  <c r="BJ99" i="13"/>
  <c r="BL103" i="13"/>
  <c r="AV106" i="13"/>
  <c r="AU105" i="13"/>
  <c r="AU104" i="13"/>
  <c r="AN104" i="13"/>
  <c r="AZ104" i="13"/>
  <c r="AT104" i="13"/>
  <c r="AM104" i="13"/>
  <c r="BU99" i="13"/>
  <c r="BL99" i="13"/>
  <c r="AY105" i="13"/>
  <c r="AJ105" i="13"/>
  <c r="BQ99" i="13"/>
  <c r="BI99" i="13"/>
  <c r="BU103" i="13"/>
  <c r="BT105" i="13"/>
  <c r="AR105" i="13"/>
  <c r="BB104" i="13"/>
  <c r="AV104" i="13"/>
  <c r="AQ104" i="13"/>
  <c r="AL104" i="13"/>
  <c r="BT103" i="13"/>
  <c r="BK103" i="13"/>
  <c r="AY103" i="13"/>
  <c r="BT100" i="13"/>
  <c r="BQ103" i="13"/>
  <c r="BG103" i="13"/>
  <c r="AU103" i="13"/>
  <c r="BB106" i="13"/>
  <c r="AR106" i="13"/>
  <c r="BT104" i="13"/>
  <c r="BA102" i="13"/>
  <c r="BT99" i="13"/>
  <c r="BM99" i="13"/>
  <c r="BH99" i="13"/>
  <c r="AU99" i="13"/>
  <c r="BO103" i="13"/>
  <c r="BE103" i="13"/>
  <c r="AJ103" i="13"/>
  <c r="AY106" i="13"/>
  <c r="AM106" i="13"/>
  <c r="AZ105" i="13"/>
  <c r="AQ105" i="13"/>
  <c r="BL104" i="13"/>
  <c r="AS99" i="13"/>
  <c r="BM105" i="13"/>
  <c r="BQ104" i="13"/>
  <c r="BI104" i="13"/>
  <c r="AN99" i="13"/>
  <c r="AT103" i="13"/>
  <c r="BL105" i="13"/>
  <c r="BP104" i="13"/>
  <c r="BH104" i="13"/>
  <c r="BL100" i="13"/>
  <c r="AY99" i="13"/>
  <c r="AN103" i="13"/>
  <c r="BN106" i="13"/>
  <c r="AX106" i="13"/>
  <c r="AQ106" i="13"/>
  <c r="BU105" i="13"/>
  <c r="BE105" i="13"/>
  <c r="AV105" i="13"/>
  <c r="AN105" i="13"/>
  <c r="BU104" i="13"/>
  <c r="BM104" i="13"/>
  <c r="BE104" i="13"/>
  <c r="BV102" i="13"/>
  <c r="BP106" i="13"/>
  <c r="BE106" i="13"/>
  <c r="BU106" i="13"/>
  <c r="BJ106" i="13"/>
  <c r="BQ105" i="13"/>
  <c r="BI105" i="13"/>
  <c r="BW104" i="13"/>
  <c r="BS104" i="13"/>
  <c r="BO104" i="13"/>
  <c r="BK104" i="13"/>
  <c r="BG104" i="13"/>
  <c r="BW99" i="13"/>
  <c r="BR100" i="13"/>
  <c r="BO99" i="13"/>
  <c r="BG99" i="13"/>
  <c r="AZ99" i="13"/>
  <c r="BW103" i="13"/>
  <c r="BP103" i="13"/>
  <c r="AZ103" i="13"/>
  <c r="BT106" i="13"/>
  <c r="BI106" i="13"/>
  <c r="AZ106" i="13"/>
  <c r="AU106" i="13"/>
  <c r="AO106" i="13"/>
  <c r="BP105" i="13"/>
  <c r="BH105" i="13"/>
  <c r="BV104" i="13"/>
  <c r="BR104" i="13"/>
  <c r="BN104" i="13"/>
  <c r="BJ104" i="13"/>
  <c r="BA104" i="13"/>
  <c r="AW104" i="13"/>
  <c r="AS104" i="13"/>
  <c r="AO104" i="13"/>
  <c r="BN102" i="13"/>
  <c r="AW102" i="13"/>
  <c r="BR106" i="13"/>
  <c r="BM106" i="13"/>
  <c r="BH106" i="13"/>
  <c r="BW105" i="13"/>
  <c r="BS105" i="13"/>
  <c r="BO105" i="13"/>
  <c r="BK105" i="13"/>
  <c r="BG105" i="13"/>
  <c r="BB105" i="13"/>
  <c r="AX105" i="13"/>
  <c r="AT105" i="13"/>
  <c r="AP105" i="13"/>
  <c r="AL105" i="13"/>
  <c r="BV106" i="13"/>
  <c r="BQ106" i="13"/>
  <c r="BL106" i="13"/>
  <c r="BF106" i="13"/>
  <c r="BA106" i="13"/>
  <c r="AW106" i="13"/>
  <c r="AS106" i="13"/>
  <c r="AN106" i="13"/>
  <c r="BV105" i="13"/>
  <c r="BR105" i="13"/>
  <c r="BN105" i="13"/>
  <c r="BJ105" i="13"/>
  <c r="BA105" i="13"/>
  <c r="AW105" i="13"/>
  <c r="AS105" i="13"/>
  <c r="AO105" i="13"/>
  <c r="AL101" i="13"/>
  <c r="AY101" i="13"/>
  <c r="AN101" i="13"/>
  <c r="AS101" i="13"/>
  <c r="AL102" i="13"/>
  <c r="AN102" i="13"/>
  <c r="AX102" i="13"/>
  <c r="BG101" i="13"/>
  <c r="BR101" i="13"/>
  <c r="BE100" i="13"/>
  <c r="BG100" i="13"/>
  <c r="BI100" i="13"/>
  <c r="BK100" i="13"/>
  <c r="BM100" i="13"/>
  <c r="BO100" i="13"/>
  <c r="BQ100" i="13"/>
  <c r="BS100" i="13"/>
  <c r="BU100" i="13"/>
  <c r="BW100" i="13"/>
  <c r="AJ99" i="13"/>
  <c r="AL99" i="13"/>
  <c r="AP99" i="13"/>
  <c r="AT99" i="13"/>
  <c r="AX99" i="13"/>
  <c r="BB99" i="13"/>
  <c r="AK103" i="13"/>
  <c r="AO103" i="13"/>
  <c r="AS103" i="13"/>
  <c r="AW103" i="13"/>
  <c r="BA103" i="13"/>
  <c r="BG102" i="13"/>
  <c r="BF102" i="13"/>
  <c r="BQ102" i="13"/>
  <c r="AS102" i="13"/>
  <c r="BT101" i="13"/>
  <c r="BV100" i="13"/>
  <c r="BN100" i="13"/>
  <c r="BF100" i="13"/>
  <c r="AW99" i="13"/>
  <c r="AR99" i="13"/>
  <c r="AM99" i="13"/>
  <c r="BF103" i="13"/>
  <c r="BJ103" i="13"/>
  <c r="BN103" i="13"/>
  <c r="BR103" i="13"/>
  <c r="BV103" i="13"/>
  <c r="AX103" i="13"/>
  <c r="AR103" i="13"/>
  <c r="AM103" i="13"/>
  <c r="BP102" i="13"/>
  <c r="BB102" i="13"/>
  <c r="AR102" i="13"/>
  <c r="BN101" i="13"/>
  <c r="BV99" i="13"/>
  <c r="BS99" i="13"/>
  <c r="BP100" i="13"/>
  <c r="BN99" i="13"/>
  <c r="BK99" i="13"/>
  <c r="BH100" i="13"/>
  <c r="BA99" i="13"/>
  <c r="AV99" i="13"/>
  <c r="AQ99" i="13"/>
  <c r="AK99" i="13"/>
  <c r="BS103" i="13"/>
  <c r="BM103" i="13"/>
  <c r="BH103" i="13"/>
  <c r="BB103" i="13"/>
  <c r="AV103" i="13"/>
  <c r="AQ103" i="13"/>
  <c r="AL103" i="13"/>
  <c r="BW106" i="13"/>
  <c r="BS106" i="13"/>
  <c r="BO106" i="13"/>
  <c r="BK106" i="13"/>
  <c r="AP106" i="13"/>
  <c r="AL106" i="13"/>
  <c r="BH101" i="13"/>
  <c r="AW101" i="13"/>
  <c r="AM101" i="13"/>
  <c r="BA100" i="13"/>
  <c r="AY100" i="13"/>
  <c r="AW100" i="13"/>
  <c r="AU100" i="13"/>
  <c r="AS100" i="13"/>
  <c r="AQ100" i="13"/>
  <c r="AO100" i="13"/>
  <c r="AM100" i="13"/>
  <c r="AK100" i="13"/>
  <c r="BU102" i="13"/>
  <c r="BJ102" i="13"/>
  <c r="BM101" i="13"/>
  <c r="BB101" i="13"/>
  <c r="AR101" i="13"/>
  <c r="BB100" i="13"/>
  <c r="AZ100" i="13"/>
  <c r="AX100" i="13"/>
  <c r="AV100" i="13"/>
  <c r="AT100" i="13"/>
  <c r="AR100" i="13"/>
  <c r="AP100" i="13"/>
  <c r="AN100" i="13"/>
  <c r="AL100" i="13"/>
  <c r="BT102" i="13"/>
  <c r="BL102" i="13"/>
  <c r="BE102" i="13"/>
  <c r="AZ102" i="13"/>
  <c r="AV102" i="13"/>
  <c r="AQ102" i="13"/>
  <c r="AK102" i="13"/>
  <c r="BV101" i="13"/>
  <c r="BQ101" i="13"/>
  <c r="BL101" i="13"/>
  <c r="BF101" i="13"/>
  <c r="BA101" i="13"/>
  <c r="AV101" i="13"/>
  <c r="AQ101" i="13"/>
  <c r="AK101" i="13"/>
  <c r="AY102" i="13"/>
  <c r="AU102" i="13"/>
  <c r="AO102" i="13"/>
  <c r="AJ102" i="13"/>
  <c r="BU101" i="13"/>
  <c r="BP101" i="13"/>
  <c r="BJ101" i="13"/>
  <c r="BE101" i="13"/>
  <c r="AZ101" i="13"/>
  <c r="AU101" i="13"/>
  <c r="AO101" i="13"/>
  <c r="AJ101" i="13"/>
  <c r="BR102" i="13"/>
  <c r="BM102" i="13"/>
  <c r="BH102" i="13"/>
  <c r="BW101" i="13"/>
  <c r="BS101" i="13"/>
  <c r="BO101" i="13"/>
  <c r="BK101" i="13"/>
  <c r="AX101" i="13"/>
  <c r="AT101" i="13"/>
  <c r="AP101" i="13"/>
  <c r="BW102" i="13"/>
  <c r="BS102" i="13"/>
  <c r="BO102" i="13"/>
  <c r="BK102" i="13"/>
  <c r="AT102" i="13"/>
  <c r="AP102" i="13"/>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AE194" i="13" l="1"/>
  <c r="AE180" i="13"/>
  <c r="AE177" i="13"/>
  <c r="AE209" i="13"/>
  <c r="AE109" i="13"/>
  <c r="AE159" i="13"/>
  <c r="AE174" i="13"/>
  <c r="AE205" i="13"/>
  <c r="AE138" i="13"/>
  <c r="AE216" i="13"/>
  <c r="AF112" i="13"/>
  <c r="F26" i="19"/>
  <c r="F24" i="19"/>
  <c r="F23" i="19"/>
  <c r="F25" i="19"/>
  <c r="AF212" i="13"/>
  <c r="AE90" i="13"/>
  <c r="AE114" i="13"/>
  <c r="AE139" i="13"/>
  <c r="AE187" i="13"/>
  <c r="AE120" i="13"/>
  <c r="AE96" i="13"/>
  <c r="AE103" i="13"/>
  <c r="AE175" i="13"/>
  <c r="AE183" i="13"/>
  <c r="AE201" i="13"/>
  <c r="AE213" i="13"/>
  <c r="AE127" i="13"/>
  <c r="AE91" i="13"/>
  <c r="AE191" i="13"/>
  <c r="AF14" i="13"/>
  <c r="AE37" i="13"/>
  <c r="AF207" i="13"/>
  <c r="AF122" i="13"/>
  <c r="AF51" i="13"/>
  <c r="AF57" i="13"/>
  <c r="AE162" i="13"/>
  <c r="AF166" i="13"/>
  <c r="AF38" i="13"/>
  <c r="AF50" i="13"/>
  <c r="AF123" i="13"/>
  <c r="AF64" i="13"/>
  <c r="AF171" i="13"/>
  <c r="AF143" i="13"/>
  <c r="AE168" i="13"/>
  <c r="AE126" i="13"/>
  <c r="AF185" i="13"/>
  <c r="AF22" i="13"/>
  <c r="AE215" i="13"/>
  <c r="AE156" i="13"/>
  <c r="AF92" i="13"/>
  <c r="AF76" i="13"/>
  <c r="AF160" i="13"/>
  <c r="AF136" i="13"/>
  <c r="AE200" i="13"/>
  <c r="AE190" i="13"/>
  <c r="AE115" i="13"/>
  <c r="AE163" i="13"/>
  <c r="AF116" i="13"/>
  <c r="AF86" i="13"/>
  <c r="AF29" i="13"/>
  <c r="AF15" i="13"/>
  <c r="AF62" i="13"/>
  <c r="AF82" i="13"/>
  <c r="AE133" i="13"/>
  <c r="AF75" i="13"/>
  <c r="AE206" i="13"/>
  <c r="AF99" i="13"/>
  <c r="AF140" i="13"/>
  <c r="AE193" i="13"/>
  <c r="AF74" i="13"/>
  <c r="AF129" i="13"/>
  <c r="AE211" i="13"/>
  <c r="AF152" i="13"/>
  <c r="AE179" i="13"/>
  <c r="AE208" i="13"/>
  <c r="AF98" i="13"/>
  <c r="AE132" i="13"/>
  <c r="AE165" i="13"/>
  <c r="AE102" i="13"/>
  <c r="AE157" i="13"/>
  <c r="AE150" i="13"/>
  <c r="AE108" i="13"/>
  <c r="AE188" i="13"/>
  <c r="AE198" i="13"/>
  <c r="AF191" i="13"/>
  <c r="AF53" i="13"/>
  <c r="AE173" i="13"/>
  <c r="AF94" i="13"/>
  <c r="AF118" i="13"/>
  <c r="AF200" i="13"/>
  <c r="AF10" i="13"/>
  <c r="AF130" i="13"/>
  <c r="AF149" i="13"/>
  <c r="AF63" i="13"/>
  <c r="AF154" i="13"/>
  <c r="AF142" i="13"/>
  <c r="AF71" i="13"/>
  <c r="AF69" i="13"/>
  <c r="AF26" i="13"/>
  <c r="AF179" i="13"/>
  <c r="AF174" i="13"/>
  <c r="AF73" i="13"/>
  <c r="AF55" i="13"/>
  <c r="AF216" i="13"/>
  <c r="AF209" i="13"/>
  <c r="AF77" i="13"/>
  <c r="AF190" i="13"/>
  <c r="AF215" i="13"/>
  <c r="AF182" i="13"/>
  <c r="AF60" i="13"/>
  <c r="AF199" i="13"/>
  <c r="AF46" i="13"/>
  <c r="AF18" i="13"/>
  <c r="AF5" i="13"/>
  <c r="AF28" i="13"/>
  <c r="AF42" i="13"/>
  <c r="AF78" i="13"/>
  <c r="AF161" i="13"/>
  <c r="AF124" i="13"/>
  <c r="AF106" i="13"/>
  <c r="AF88" i="13"/>
  <c r="AF147" i="13"/>
  <c r="AF132" i="13"/>
  <c r="AF125" i="13"/>
  <c r="AF114" i="13"/>
  <c r="AF107" i="13"/>
  <c r="AF96" i="13"/>
  <c r="AF89" i="13"/>
  <c r="AF41" i="13"/>
  <c r="AF20" i="13"/>
  <c r="AF197" i="13"/>
  <c r="AF167" i="13"/>
  <c r="AF144" i="13"/>
  <c r="AF67" i="13"/>
  <c r="AF49" i="13"/>
  <c r="AF155" i="13"/>
  <c r="AF208" i="13"/>
  <c r="AF54" i="13"/>
  <c r="AF59" i="13"/>
  <c r="AF24" i="13"/>
  <c r="AF6" i="13"/>
  <c r="AF183" i="13"/>
  <c r="AF159" i="13"/>
  <c r="AF65" i="13"/>
  <c r="AF40" i="13"/>
  <c r="AF21" i="13"/>
  <c r="AF27" i="13"/>
  <c r="AF162" i="13"/>
  <c r="AF217" i="13"/>
  <c r="AF196" i="13"/>
  <c r="AF180" i="13"/>
  <c r="AF181" i="13"/>
  <c r="AF138" i="13"/>
  <c r="AF131" i="13"/>
  <c r="AF120" i="13"/>
  <c r="AF113" i="13"/>
  <c r="AF102" i="13"/>
  <c r="AF95" i="13"/>
  <c r="AF84" i="13"/>
  <c r="AF52" i="13"/>
  <c r="AF39" i="13"/>
  <c r="AF156" i="13"/>
  <c r="AF83" i="13"/>
  <c r="AF47" i="13"/>
  <c r="AF11" i="13"/>
  <c r="AF213" i="13"/>
  <c r="AF186" i="13"/>
  <c r="AF203" i="13"/>
  <c r="AF168" i="13"/>
  <c r="AF201" i="13"/>
  <c r="AF79" i="13"/>
  <c r="AF61" i="13"/>
  <c r="AF195" i="13"/>
  <c r="AF150" i="13"/>
  <c r="AF48" i="13"/>
  <c r="AF23" i="13"/>
  <c r="AF198" i="13"/>
  <c r="AF173" i="13"/>
  <c r="AF158" i="13"/>
  <c r="AF66" i="13"/>
  <c r="AF17" i="13"/>
  <c r="AF33" i="13"/>
  <c r="AF148" i="13"/>
  <c r="AF34" i="13"/>
  <c r="AF202" i="13"/>
  <c r="D16" i="19"/>
  <c r="AF204" i="13"/>
  <c r="AF153" i="13"/>
  <c r="AF137" i="13"/>
  <c r="AF126" i="13"/>
  <c r="AF119" i="13"/>
  <c r="AF108" i="13"/>
  <c r="AF101" i="13"/>
  <c r="AF90" i="13"/>
  <c r="AF58" i="13"/>
  <c r="AF72" i="13"/>
  <c r="AF35" i="13"/>
  <c r="D9" i="19" l="1"/>
  <c r="D10" i="19"/>
  <c r="D8" i="19"/>
  <c r="F28" i="19"/>
  <c r="F29" i="19"/>
  <c r="F30" i="19"/>
  <c r="F31"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G20" i="32" l="1"/>
  <c r="H20" i="32" s="1"/>
  <c r="G22" i="32"/>
  <c r="AD537" i="13"/>
  <c r="AD290" i="13"/>
  <c r="AD722" i="13"/>
  <c r="AD603" i="13"/>
  <c r="AD993" i="13"/>
  <c r="AD995" i="13"/>
  <c r="AD472" i="13"/>
  <c r="AD581" i="13"/>
  <c r="AD298" i="13"/>
  <c r="AD770" i="13"/>
  <c r="AD667" i="13"/>
  <c r="AD713" i="13"/>
  <c r="AD636" i="13"/>
  <c r="AD693" i="13"/>
  <c r="AD306" i="13"/>
  <c r="AD858" i="13"/>
  <c r="AD859" i="13"/>
  <c r="AD990" i="13"/>
  <c r="AD684" i="13"/>
  <c r="AD837" i="13"/>
  <c r="AD314" i="13"/>
  <c r="AD978" i="13"/>
  <c r="AD863" i="13"/>
  <c r="AD375" i="13"/>
  <c r="AD700" i="13"/>
  <c r="AD857" i="13"/>
  <c r="AD414" i="13"/>
  <c r="AD387" i="13"/>
  <c r="AD883" i="13"/>
  <c r="AD956" i="13"/>
  <c r="AD909" i="13"/>
  <c r="AD514" i="13"/>
  <c r="AD403" i="13"/>
  <c r="AD980" i="13"/>
  <c r="AD397" i="13"/>
  <c r="AD1007" i="13"/>
  <c r="AD634" i="13"/>
  <c r="AD411" i="13"/>
  <c r="AD992" i="13"/>
  <c r="AD493" i="13"/>
  <c r="AD674" i="13"/>
  <c r="AD595" i="13"/>
  <c r="AD794" i="13"/>
  <c r="AD807" i="13"/>
  <c r="AD222" i="13"/>
  <c r="AD254" i="13"/>
  <c r="AD316" i="13"/>
  <c r="AD283" i="13"/>
  <c r="AD272" i="13"/>
  <c r="AD412" i="13"/>
  <c r="AD327" i="13"/>
  <c r="AD427" i="13"/>
  <c r="AD452" i="13"/>
  <c r="AD536" i="13"/>
  <c r="AD570" i="13"/>
  <c r="AD539" i="13"/>
  <c r="AD598" i="13"/>
  <c r="AD701" i="13"/>
  <c r="AD746" i="13"/>
  <c r="AD772" i="13"/>
  <c r="AD849" i="13"/>
  <c r="AD814" i="13"/>
  <c r="AD870" i="13"/>
  <c r="AD899" i="13"/>
  <c r="AD890" i="13"/>
  <c r="AD913" i="13"/>
  <c r="AD228" i="13"/>
  <c r="AD276" i="13"/>
  <c r="AD337" i="13"/>
  <c r="AD249" i="13"/>
  <c r="AD395" i="13"/>
  <c r="AD429" i="13"/>
  <c r="AD457" i="13"/>
  <c r="AD460" i="13"/>
  <c r="AD538" i="13"/>
  <c r="AD541" i="13"/>
  <c r="AD611" i="13"/>
  <c r="AD704" i="13"/>
  <c r="AD750" i="13"/>
  <c r="AD838" i="13"/>
  <c r="AD847" i="13"/>
  <c r="AD892" i="13"/>
  <c r="AD715" i="13"/>
  <c r="AD226" i="13"/>
  <c r="AD232" i="13"/>
  <c r="AD238" i="13"/>
  <c r="AD286" i="13"/>
  <c r="AD434" i="13"/>
  <c r="AD413" i="13"/>
  <c r="AD604" i="13"/>
  <c r="AD660" i="13"/>
  <c r="AD827" i="13"/>
  <c r="AD848" i="13"/>
  <c r="AD867" i="13"/>
  <c r="AD923" i="13"/>
  <c r="AD940" i="13"/>
  <c r="AD218" i="13"/>
  <c r="AD236" i="13"/>
  <c r="AD288" i="13"/>
  <c r="AD380" i="13"/>
  <c r="AD233" i="13"/>
  <c r="AD241" i="13"/>
  <c r="AD420" i="13"/>
  <c r="AD426" i="13"/>
  <c r="AD389" i="13"/>
  <c r="AD560" i="13"/>
  <c r="AD651" i="13"/>
  <c r="AD635" i="13"/>
  <c r="AD627" i="13"/>
  <c r="AD647" i="13"/>
  <c r="AD673" i="13"/>
  <c r="AD791" i="13"/>
  <c r="AD824" i="13"/>
  <c r="AD881" i="13"/>
  <c r="AD468" i="13"/>
  <c r="AD296" i="13"/>
  <c r="AD240" i="13"/>
  <c r="AD224" i="13"/>
  <c r="AD244" i="13"/>
  <c r="AD450" i="13"/>
  <c r="AD297" i="13"/>
  <c r="AD404" i="13"/>
  <c r="AD510" i="13"/>
  <c r="AD499" i="13"/>
  <c r="AD579" i="13"/>
  <c r="AD562" i="13"/>
  <c r="AD645" i="13"/>
  <c r="AD652" i="13"/>
  <c r="AD706" i="13"/>
  <c r="AD739" i="13"/>
  <c r="AD768" i="13"/>
  <c r="AD760" i="13"/>
  <c r="AD800" i="13"/>
  <c r="AD798" i="13"/>
  <c r="AD833" i="13"/>
  <c r="AD839" i="13"/>
  <c r="AD873" i="13"/>
  <c r="AD865" i="13"/>
  <c r="AD981" i="13"/>
  <c r="AD967" i="13"/>
  <c r="AD332" i="13"/>
  <c r="AD248" i="13"/>
  <c r="AD220" i="13"/>
  <c r="AD239" i="13"/>
  <c r="AD252" i="13"/>
  <c r="AD370" i="13"/>
  <c r="AD1005" i="13"/>
  <c r="AD282" i="13"/>
  <c r="AD557" i="13"/>
  <c r="AD520" i="13"/>
  <c r="AD584" i="13"/>
  <c r="AD563" i="13"/>
  <c r="AD568" i="13"/>
  <c r="AD657" i="13"/>
  <c r="AD625" i="13"/>
  <c r="AD698" i="13"/>
  <c r="AD662" i="13"/>
  <c r="AD901" i="13"/>
  <c r="AD699" i="13"/>
  <c r="AD781" i="13"/>
  <c r="AD796" i="13"/>
  <c r="AD945" i="13"/>
  <c r="AD230" i="13"/>
  <c r="AD242" i="13"/>
  <c r="AD271" i="13"/>
  <c r="AD260" i="13"/>
  <c r="AD356" i="13"/>
  <c r="AD435" i="13"/>
  <c r="AD451" i="13"/>
  <c r="AD442" i="13"/>
  <c r="AD453" i="13"/>
  <c r="AD415" i="13"/>
  <c r="AD445" i="13"/>
  <c r="AD444" i="13"/>
  <c r="AD406" i="13"/>
  <c r="AD578" i="13"/>
  <c r="AD646" i="13"/>
  <c r="AD676" i="13"/>
  <c r="AD725" i="13"/>
  <c r="AD808" i="13"/>
  <c r="AD830" i="13"/>
  <c r="AD822" i="13"/>
  <c r="AD825" i="13"/>
  <c r="AD817" i="13"/>
  <c r="AD843" i="13"/>
  <c r="AD572" i="13"/>
  <c r="AD246" i="13"/>
  <c r="AD273" i="13"/>
  <c r="AD256" i="13"/>
  <c r="AD247" i="13"/>
  <c r="AD268" i="13"/>
  <c r="AD280" i="13"/>
  <c r="AD323" i="13"/>
  <c r="AD339" i="13"/>
  <c r="AD443" i="13"/>
  <c r="AD501" i="13"/>
  <c r="AD480" i="13"/>
  <c r="AD631" i="13"/>
  <c r="AD516" i="13"/>
  <c r="AD643" i="13"/>
  <c r="AD619" i="13"/>
  <c r="AD730" i="13"/>
  <c r="AD779" i="13"/>
  <c r="AD880" i="13"/>
  <c r="AD1002" i="13"/>
  <c r="AD922" i="13"/>
  <c r="AD983" i="13"/>
  <c r="AD957" i="13"/>
  <c r="AD1009" i="13"/>
  <c r="AD960" i="13"/>
  <c r="AD856" i="13"/>
  <c r="AD690" i="13"/>
  <c r="AD293" i="13"/>
  <c r="AD478" i="13"/>
  <c r="AD729" i="13"/>
  <c r="AD630" i="13"/>
  <c r="AD341" i="13"/>
  <c r="AD886" i="13"/>
  <c r="AD767" i="13"/>
  <c r="AD623" i="13"/>
  <c r="AD546" i="13"/>
  <c r="AD898" i="13"/>
  <c r="AD597" i="13"/>
  <c r="AD951" i="13"/>
  <c r="AD418" i="13"/>
  <c r="AD996" i="13"/>
  <c r="AD709" i="13"/>
  <c r="AD593" i="13"/>
  <c r="AD522" i="13"/>
  <c r="AD552" i="13"/>
  <c r="AD938" i="13"/>
  <c r="AD470" i="13"/>
  <c r="AD227" i="13"/>
  <c r="AD708" i="13"/>
  <c r="AD315" i="13"/>
  <c r="AD916" i="13"/>
  <c r="AD649" i="13"/>
  <c r="AD602" i="13"/>
  <c r="AD691" i="13"/>
  <c r="AD401" i="13"/>
  <c r="AD895" i="13"/>
  <c r="AD776" i="13"/>
  <c r="AD486" i="13"/>
  <c r="AD889" i="13"/>
  <c r="AD755" i="13"/>
  <c r="AD758" i="13"/>
  <c r="AD307" i="13"/>
  <c r="AD887" i="13"/>
  <c r="AD507" i="13"/>
  <c r="AD786" i="13"/>
  <c r="AD394" i="13"/>
  <c r="AD893" i="13"/>
  <c r="AD308" i="13"/>
  <c r="AD809" i="13"/>
  <c r="AD653" i="13"/>
  <c r="AD714" i="13"/>
  <c r="AD366" i="13"/>
  <c r="AD511" i="13"/>
  <c r="AD655" i="13"/>
  <c r="AD747" i="13"/>
  <c r="AD326" i="13"/>
  <c r="AD487" i="13"/>
  <c r="AD358" i="13"/>
  <c r="AD969" i="13"/>
  <c r="AD731" i="13"/>
  <c r="AD497" i="13"/>
  <c r="AD364" i="13"/>
  <c r="AD462" i="13"/>
  <c r="AD416" i="13"/>
  <c r="AD741" i="13"/>
  <c r="AD437" i="13"/>
  <c r="AD906" i="13"/>
  <c r="AD682" i="13"/>
  <c r="AD695" i="13"/>
  <c r="AD265" i="13"/>
  <c r="AD532" i="13"/>
  <c r="AD407" i="13"/>
  <c r="AD793" i="13"/>
  <c r="AD874" i="13"/>
  <c r="AD787" i="13"/>
  <c r="AD382" i="13"/>
  <c r="AD688" i="13"/>
  <c r="AD879" i="13"/>
  <c r="AD982" i="13"/>
  <c r="AD742" i="13"/>
  <c r="AD392" i="13"/>
  <c r="AD795" i="13"/>
  <c r="AD897" i="13"/>
  <c r="AD696" i="13"/>
  <c r="AD621" i="13"/>
  <c r="AD398" i="13"/>
  <c r="AD692" i="13"/>
  <c r="AD963" i="13"/>
  <c r="AD502" i="13"/>
  <c r="AD952" i="13"/>
  <c r="AD792" i="13"/>
  <c r="AD384" i="13"/>
  <c r="AD948" i="13"/>
  <c r="AD504" i="13"/>
  <c r="AD574" i="13"/>
  <c r="AD533" i="13"/>
  <c r="AD836" i="13"/>
  <c r="AD878" i="13"/>
  <c r="AD783" i="13"/>
  <c r="AD573" i="13"/>
  <c r="AD614" i="13"/>
  <c r="AD799" i="13"/>
  <c r="AD379" i="13"/>
  <c r="AD985" i="13"/>
  <c r="AD811" i="13"/>
  <c r="AD592" i="13"/>
  <c r="AD935" i="13"/>
  <c r="AD728" i="13"/>
  <c r="AD547" i="13"/>
  <c r="AD964" i="13"/>
  <c r="AD752" i="13"/>
  <c r="AD654" i="13"/>
  <c r="AD524" i="13"/>
  <c r="AD976" i="13"/>
  <c r="AD390" i="13"/>
  <c r="AD275" i="13"/>
  <c r="AD385" i="13"/>
  <c r="AD509" i="13"/>
  <c r="AD620" i="13"/>
  <c r="AD430" i="13"/>
  <c r="AD525" i="13"/>
  <c r="AD717" i="13"/>
  <c r="AD508" i="13"/>
  <c r="AD968" i="13"/>
  <c r="AD927" i="13"/>
  <c r="AD454" i="13"/>
  <c r="AD349" i="13"/>
  <c r="AD720" i="13"/>
  <c r="AD496" i="13"/>
  <c r="AD810" i="13"/>
  <c r="AD558" i="13"/>
  <c r="AD317" i="13"/>
  <c r="AD481" i="13"/>
  <c r="AD485" i="13"/>
  <c r="AD477" i="13"/>
  <c r="AD311" i="13"/>
  <c r="AD737" i="13"/>
  <c r="AD754" i="13"/>
  <c r="AD371" i="13"/>
  <c r="AD342" i="13"/>
  <c r="AD855" i="13"/>
  <c r="AD876" i="13"/>
  <c r="AD333" i="13"/>
  <c r="AD749" i="13"/>
  <c r="AD615" i="13"/>
  <c r="AD953" i="13"/>
  <c r="AD549" i="13"/>
  <c r="AD669" i="13"/>
  <c r="AD554" i="13"/>
  <c r="AD885" i="13"/>
  <c r="AD513" i="13"/>
  <c r="AD347" i="13"/>
  <c r="AD832" i="13"/>
  <c r="AD637" i="13"/>
  <c r="AD353" i="13"/>
  <c r="AD744" i="13"/>
  <c r="AD816" i="13"/>
  <c r="AD947" i="13"/>
  <c r="AD325" i="13"/>
  <c r="AD262" i="13"/>
  <c r="AD610" i="13"/>
  <c r="AD803" i="13"/>
  <c r="AD628" i="13"/>
  <c r="AD408" i="13"/>
  <c r="AD278" i="13"/>
  <c r="AD802" i="13"/>
  <c r="AD764" i="13"/>
  <c r="AD503" i="13"/>
  <c r="AD842" i="13"/>
  <c r="AD850" i="13"/>
  <c r="AD550" i="13"/>
  <c r="AD911" i="13"/>
  <c r="AD851" i="13"/>
  <c r="AD864" i="13"/>
  <c r="AD723" i="13"/>
  <c r="AD324" i="13"/>
  <c r="AD361" i="13"/>
  <c r="AD355" i="13"/>
  <c r="AD984" i="13"/>
  <c r="AD517" i="13"/>
  <c r="AD763" i="13"/>
  <c r="AD334" i="13"/>
  <c r="AD446" i="13"/>
  <c r="AD733" i="13"/>
  <c r="AD540" i="13"/>
  <c r="AD703" i="13"/>
  <c r="AD738" i="13"/>
  <c r="AD287" i="13"/>
  <c r="AD998" i="13"/>
  <c r="AD299" i="13"/>
  <c r="AD774" i="13"/>
  <c r="AD357" i="13"/>
  <c r="AD292" i="13"/>
  <c r="AD875" i="13"/>
  <c r="AD461" i="13"/>
  <c r="AD933" i="13"/>
  <c r="AD438" i="13"/>
  <c r="AD469" i="13"/>
  <c r="AD710" i="13"/>
  <c r="AD350" i="13"/>
  <c r="AD263" i="13"/>
  <c r="AD289" i="13"/>
  <c r="AD972" i="13"/>
  <c r="AD458" i="13"/>
  <c r="AD943" i="13"/>
  <c r="AD702" i="13"/>
  <c r="AD877" i="13"/>
  <c r="AD683" i="13"/>
  <c r="AD648" i="13"/>
  <c r="AD482" i="13"/>
  <c r="AD494" i="13"/>
  <c r="AD999" i="13"/>
  <c r="AD852" i="13"/>
  <c r="AD609" i="13"/>
  <c r="AD346" i="13"/>
  <c r="AD526" i="13"/>
  <c r="AD894" i="13"/>
  <c r="AD225" i="13"/>
  <c r="AD479" i="13"/>
  <c r="AD917" i="13"/>
  <c r="AD642" i="13"/>
  <c r="AD966" i="13"/>
  <c r="AD483" i="13"/>
  <c r="AD555" i="13"/>
  <c r="AD548" i="13"/>
  <c r="AD638" i="13"/>
  <c r="AD436" i="13"/>
  <c r="AD661" i="13"/>
  <c r="AD971" i="13"/>
  <c r="AD231" i="13"/>
  <c r="AD866" i="13"/>
  <c r="AD243" i="13"/>
  <c r="AD219" i="13"/>
  <c r="AD991" i="13"/>
  <c r="AD997" i="13"/>
  <c r="AD363" i="13"/>
  <c r="AD974" i="13"/>
  <c r="AD488" i="13"/>
  <c r="AD372" i="13"/>
  <c r="AD441" i="13"/>
  <c r="AD844" i="13"/>
  <c r="AD726" i="13"/>
  <c r="AD352" i="13"/>
  <c r="AD284" i="13"/>
  <c r="AD934" i="13"/>
  <c r="AD553" i="13"/>
  <c r="AD950" i="13"/>
  <c r="AD756" i="13"/>
  <c r="AD519" i="13"/>
  <c r="AD295" i="13"/>
  <c r="AD374" i="13"/>
  <c r="AD285" i="13"/>
  <c r="AD313" i="13"/>
  <c r="AD663" i="13"/>
  <c r="AD902" i="13"/>
  <c r="AD841" i="13"/>
  <c r="AD259" i="13"/>
  <c r="AD846" i="13"/>
  <c r="AD329" i="13"/>
  <c r="AD421" i="13"/>
  <c r="AD694" i="13"/>
  <c r="AD530" i="13"/>
  <c r="AD678" i="13"/>
  <c r="AD736" i="13"/>
  <c r="AD270" i="13"/>
  <c r="AD872" i="13"/>
  <c r="AD675" i="13"/>
  <c r="AD544" i="13"/>
  <c r="AD762" i="13"/>
  <c r="AD989" i="13"/>
  <c r="AD679" i="13"/>
  <c r="AD300" i="13"/>
  <c r="AD521" i="13"/>
  <c r="AD925" i="13"/>
  <c r="AD644" i="13"/>
  <c r="AD639" i="13"/>
  <c r="AD599" i="13"/>
  <c r="AD782" i="13"/>
  <c r="AD318" i="13"/>
  <c r="AD677" i="13"/>
  <c r="AD924" i="13"/>
  <c r="AD590" i="13"/>
  <c r="AD596" i="13"/>
  <c r="AD973" i="13"/>
  <c r="AD531" i="13"/>
  <c r="AD826" i="13"/>
  <c r="AD422" i="13"/>
  <c r="AD310" i="13"/>
  <c r="AD891" i="13"/>
  <c r="AD369" i="13"/>
  <c r="AD301" i="13"/>
  <c r="AD946" i="13"/>
  <c r="AD600" i="13"/>
  <c r="AD912" i="13"/>
  <c r="AD650" i="13"/>
  <c r="AD365" i="13"/>
  <c r="AD281" i="13"/>
  <c r="AD915" i="13"/>
  <c r="AD362" i="13"/>
  <c r="AD920" i="13"/>
  <c r="AD718" i="13"/>
  <c r="AD666" i="13"/>
  <c r="AD506" i="13"/>
  <c r="AD417" i="13"/>
  <c r="AD367" i="13"/>
  <c r="AD735" i="13"/>
  <c r="AD221" i="13"/>
  <c r="AD505" i="13"/>
  <c r="AD884" i="13"/>
  <c r="AD302" i="13"/>
  <c r="AD1001" i="13"/>
  <c r="AD257" i="13"/>
  <c r="AD576" i="13"/>
  <c r="AD345" i="13"/>
  <c r="AD321" i="13"/>
  <c r="AD428" i="13"/>
  <c r="AD659" i="13"/>
  <c r="AD373" i="13"/>
  <c r="AD840" i="13"/>
  <c r="AD348" i="13"/>
  <c r="AD556" i="13"/>
  <c r="AD606" i="13"/>
  <c r="AD761" i="13"/>
  <c r="AD975" i="13"/>
  <c r="AD235" i="13"/>
  <c r="AD626" i="13"/>
  <c r="AD393" i="13"/>
  <c r="AD523" i="13"/>
  <c r="AD905" i="13"/>
  <c r="AD564" i="13"/>
  <c r="AD1000" i="13"/>
  <c r="AD970" i="13"/>
  <c r="AD759" i="13"/>
  <c r="AD671" i="13"/>
  <c r="AD455" i="13"/>
  <c r="AD344" i="13"/>
  <c r="AD330" i="13"/>
  <c r="AD589" i="13"/>
  <c r="AD492" i="13"/>
  <c r="AD944" i="13"/>
  <c r="AD834" i="13"/>
  <c r="AD961" i="13"/>
  <c r="AD264" i="13"/>
  <c r="AD986" i="13"/>
  <c r="AD954" i="13"/>
  <c r="AD670" i="13"/>
  <c r="AD771" i="13"/>
  <c r="AD931" i="13"/>
  <c r="AD267" i="13"/>
  <c r="AD785" i="13"/>
  <c r="AD641" i="13"/>
  <c r="AD291" i="13"/>
  <c r="AD613" i="13"/>
  <c r="AD1006" i="13"/>
  <c r="AD681" i="13"/>
  <c r="AD829" i="13"/>
  <c r="AD575" i="13"/>
  <c r="AD320" i="13"/>
  <c r="AD812" i="13"/>
  <c r="AD279" i="13"/>
  <c r="AD727" i="13"/>
  <c r="AD608" i="13"/>
  <c r="AD585" i="13"/>
  <c r="AD535" i="13"/>
  <c r="AD745" i="13"/>
  <c r="AD255" i="13"/>
  <c r="AD930" i="13"/>
  <c r="AD959" i="13"/>
  <c r="AD622" i="13"/>
  <c r="AD607" i="13"/>
  <c r="AD853" i="13"/>
  <c r="AD529" i="13"/>
  <c r="AD818" i="13"/>
  <c r="AD757" i="13"/>
  <c r="AD571" i="13"/>
  <c r="AD789" i="13"/>
  <c r="AD629" i="13"/>
  <c r="AD765" i="13"/>
  <c r="AD994" i="13"/>
  <c r="AD862" i="13"/>
  <c r="AD376" i="13"/>
  <c r="AD383" i="13"/>
  <c r="AD400" i="13"/>
  <c r="AD687" i="13"/>
  <c r="AD845" i="13"/>
  <c r="AD988" i="13"/>
  <c r="AD721" i="13"/>
  <c r="AD464" i="13"/>
  <c r="AD903" i="13"/>
  <c r="AD937" i="13"/>
  <c r="AD910" i="13"/>
  <c r="AD719" i="13"/>
  <c r="AD587" i="13"/>
  <c r="AD476" i="13"/>
  <c r="AD777" i="13"/>
  <c r="AD705" i="13"/>
  <c r="AD467" i="13"/>
  <c r="AD463" i="13"/>
  <c r="AD926" i="13"/>
  <c r="AD860" i="13"/>
  <c r="AD753" i="13"/>
  <c r="AD580" i="13"/>
  <c r="AD773" i="13"/>
  <c r="AD919" i="13"/>
  <c r="AD987" i="13"/>
  <c r="AD707" i="13"/>
  <c r="AD697" i="13"/>
  <c r="AD835" i="13"/>
  <c r="AD686" i="13"/>
  <c r="AD941" i="13"/>
  <c r="AD656" i="13"/>
  <c r="AD617" i="13"/>
  <c r="AD475" i="13"/>
  <c r="AD409" i="13"/>
  <c r="AD1004" i="13"/>
  <c r="AD294" i="13"/>
  <c r="AD908" i="13"/>
  <c r="AD712" i="13"/>
  <c r="AD250" i="13"/>
  <c r="AD904" i="13"/>
  <c r="AD724" i="13"/>
  <c r="AD929" i="13"/>
  <c r="AD433" i="13"/>
  <c r="AD258" i="13"/>
  <c r="AD331" i="13"/>
  <c r="AD381" i="13"/>
  <c r="AD515" i="13"/>
  <c r="AD490" i="13"/>
  <c r="AD354" i="13"/>
  <c r="AD815" i="13"/>
  <c r="AD888" i="13"/>
  <c r="AD778" i="13"/>
  <c r="AD439" i="13"/>
  <c r="AD425" i="13"/>
  <c r="AD979" i="13"/>
  <c r="AD820" i="13"/>
  <c r="AD766" i="13"/>
  <c r="AD542" i="13"/>
  <c r="AD871" i="13"/>
  <c r="AD780" i="13"/>
  <c r="AD545" i="13"/>
  <c r="AD360" i="13"/>
  <c r="AD378" i="13"/>
  <c r="AD900" i="13"/>
  <c r="AD918" i="13"/>
  <c r="AD534" i="13"/>
  <c r="AD577" i="13"/>
  <c r="AD359" i="13"/>
  <c r="AD775" i="13"/>
  <c r="AD303" i="13"/>
  <c r="AD527" i="13"/>
  <c r="AD402" i="13"/>
  <c r="AD559" i="13"/>
  <c r="AD582" i="13"/>
  <c r="AD907" i="13"/>
  <c r="AD583" i="13"/>
  <c r="AD423" i="13"/>
  <c r="AD456" i="13"/>
  <c r="AD343" i="13"/>
  <c r="AD253" i="13"/>
  <c r="AD328" i="13"/>
  <c r="AD921" i="13"/>
  <c r="AD743" i="13"/>
  <c r="AD665" i="13"/>
  <c r="AD612" i="13"/>
  <c r="AD474" i="13"/>
  <c r="AD831" i="13"/>
  <c r="AD711" i="13"/>
  <c r="AD588" i="13"/>
  <c r="AD237" i="13"/>
  <c r="AD949" i="13"/>
  <c r="AD466" i="13"/>
  <c r="AD965" i="13"/>
  <c r="AD495" i="13"/>
  <c r="AD309" i="13"/>
  <c r="AD806" i="13"/>
  <c r="AD685" i="13"/>
  <c r="AD566" i="13"/>
  <c r="AD234" i="13"/>
  <c r="AD977" i="13"/>
  <c r="AD854" i="13"/>
  <c r="AD664" i="13"/>
  <c r="AD338" i="13"/>
  <c r="AD305" i="13"/>
  <c r="AD936" i="13"/>
  <c r="AD804" i="13"/>
  <c r="AD498" i="13"/>
  <c r="AD821" i="13"/>
  <c r="AD440" i="13"/>
  <c r="AD405" i="13"/>
  <c r="AD939" i="13"/>
  <c r="AD668" i="13"/>
  <c r="AD1008" i="13"/>
  <c r="AD689" i="13"/>
  <c r="AD658" i="13"/>
  <c r="AD601" i="13"/>
  <c r="AD962" i="13"/>
  <c r="AD633" i="13"/>
  <c r="AD565" i="13"/>
  <c r="AD322" i="13"/>
  <c r="AD399" i="13"/>
  <c r="AD788" i="13"/>
  <c r="AD801" i="13"/>
  <c r="AD424" i="13"/>
  <c r="AD266" i="13"/>
  <c r="AD868" i="13"/>
  <c r="AD618" i="13"/>
  <c r="AD680" i="13"/>
  <c r="AD459" i="13"/>
  <c r="AD616" i="13"/>
  <c r="AD335" i="13"/>
  <c r="AD277" i="13"/>
  <c r="AD245" i="13"/>
  <c r="AD605" i="13"/>
  <c r="AD447" i="13"/>
  <c r="AD340" i="13"/>
  <c r="AD351" i="13"/>
  <c r="AD1003" i="13"/>
  <c r="AD229" i="13"/>
  <c r="AD489" i="13"/>
  <c r="AD449" i="13"/>
  <c r="AD431" i="13"/>
  <c r="AD769" i="13"/>
  <c r="AD274" i="13"/>
  <c r="AD551" i="13"/>
  <c r="AD716" i="13"/>
  <c r="AD819" i="13"/>
  <c r="AD223" i="13"/>
  <c r="AD528" i="13"/>
  <c r="AD518" i="13"/>
  <c r="AD471" i="13"/>
  <c r="AD396" i="13"/>
  <c r="AD391" i="13"/>
  <c r="AD484" i="13"/>
  <c r="AD914" i="13"/>
  <c r="AD734" i="13"/>
  <c r="AD561" i="13"/>
  <c r="AD869" i="13"/>
  <c r="AD569" i="13"/>
  <c r="AD304" i="13"/>
  <c r="AD942" i="13"/>
  <c r="AD632" i="13"/>
  <c r="AD312" i="13"/>
  <c r="AD261" i="13"/>
  <c r="AD672" i="13"/>
  <c r="AD955" i="13"/>
  <c r="AD748" i="13"/>
  <c r="AD861" i="13"/>
  <c r="AD512" i="13"/>
  <c r="AD465" i="13"/>
  <c r="AD377" i="13"/>
  <c r="AD368" i="13"/>
  <c r="AD594" i="13"/>
  <c r="AD928" i="13"/>
  <c r="AD813" i="13"/>
  <c r="AD500" i="13"/>
  <c r="AD958" i="13"/>
  <c r="AD740" i="13"/>
  <c r="AD386" i="13"/>
  <c r="AD732" i="13"/>
  <c r="AD269" i="13"/>
  <c r="AD828" i="13"/>
  <c r="AD567" i="13"/>
  <c r="AD491" i="13"/>
  <c r="AD797" i="13"/>
  <c r="AD319" i="13"/>
  <c r="AD882" i="13"/>
  <c r="AD784" i="13"/>
  <c r="AD624" i="13"/>
  <c r="AD448" i="13"/>
  <c r="AD805" i="13"/>
  <c r="AD586" i="13"/>
  <c r="AD751" i="13"/>
  <c r="AD473" i="13"/>
  <c r="AD543" i="13"/>
  <c r="AD823" i="13"/>
  <c r="AD251" i="13"/>
  <c r="AD932" i="13"/>
  <c r="AD419" i="13"/>
  <c r="AD790" i="13"/>
  <c r="AD640" i="13"/>
  <c r="AD388" i="13"/>
  <c r="AD336" i="13"/>
  <c r="AD896" i="13"/>
  <c r="AD432" i="13"/>
  <c r="AD410" i="13"/>
  <c r="AD591" i="13"/>
  <c r="X224" i="13"/>
  <c r="X404" i="13"/>
  <c r="X536" i="13"/>
  <c r="X912" i="13"/>
  <c r="X992" i="13"/>
  <c r="X225" i="13"/>
  <c r="X277" i="13"/>
  <c r="X365" i="13"/>
  <c r="X457" i="13"/>
  <c r="X545" i="13"/>
  <c r="X637" i="13"/>
  <c r="X769" i="13"/>
  <c r="X865" i="13"/>
  <c r="X230" i="13"/>
  <c r="X434" i="13"/>
  <c r="X602" i="13"/>
  <c r="X710" i="13"/>
  <c r="X886" i="13"/>
  <c r="X235" i="13"/>
  <c r="X267" i="13"/>
  <c r="X339" i="13"/>
  <c r="X507" i="13"/>
  <c r="X659" i="13"/>
  <c r="X815" i="13"/>
  <c r="X967" i="13"/>
  <c r="X232" i="13"/>
  <c r="X412" i="13"/>
  <c r="X544" i="13"/>
  <c r="X940" i="13"/>
  <c r="X229" i="13"/>
  <c r="X281" i="13"/>
  <c r="X373" i="13"/>
  <c r="X477" i="13"/>
  <c r="X561" i="13"/>
  <c r="X641" i="13"/>
  <c r="X773" i="13"/>
  <c r="X873" i="13"/>
  <c r="X238" i="13"/>
  <c r="X442" i="13"/>
  <c r="X610" i="13"/>
  <c r="X798" i="13"/>
  <c r="X910" i="13"/>
  <c r="X239" i="13"/>
  <c r="X271" i="13"/>
  <c r="X363" i="13"/>
  <c r="X519" i="13"/>
  <c r="X687" i="13"/>
  <c r="X823" i="13"/>
  <c r="X971" i="13"/>
  <c r="X256" i="13"/>
  <c r="X436" i="13"/>
  <c r="X556" i="13"/>
  <c r="X952" i="13"/>
  <c r="X237" i="13"/>
  <c r="X289" i="13"/>
  <c r="X397" i="13"/>
  <c r="X485" i="13"/>
  <c r="X569" i="13"/>
  <c r="X689" i="13"/>
  <c r="X781" i="13"/>
  <c r="X909" i="13"/>
  <c r="X274" i="13"/>
  <c r="X450" i="13"/>
  <c r="X618" i="13"/>
  <c r="X806" i="13"/>
  <c r="X918" i="13"/>
  <c r="X243" i="13"/>
  <c r="X279" i="13"/>
  <c r="X403" i="13"/>
  <c r="X559" i="13"/>
  <c r="X727" i="13"/>
  <c r="X839" i="13"/>
  <c r="X983" i="13"/>
  <c r="X320" i="13"/>
  <c r="X444" i="13"/>
  <c r="X588" i="13"/>
  <c r="X968" i="13"/>
  <c r="X241" i="13"/>
  <c r="X297" i="13"/>
  <c r="X413" i="13"/>
  <c r="X505" i="13"/>
  <c r="X577" i="13"/>
  <c r="X697" i="13"/>
  <c r="X785" i="13"/>
  <c r="X913" i="13"/>
  <c r="X370" i="13"/>
  <c r="X474" i="13"/>
  <c r="X650" i="13"/>
  <c r="X814" i="13"/>
  <c r="X942" i="13"/>
  <c r="X247" i="13"/>
  <c r="X287" i="13"/>
  <c r="X411" i="13"/>
  <c r="X575" i="13"/>
  <c r="X743" i="13"/>
  <c r="X847" i="13"/>
  <c r="X991" i="13"/>
  <c r="X344" i="13"/>
  <c r="X460" i="13"/>
  <c r="X604" i="13"/>
  <c r="X972" i="13"/>
  <c r="X245" i="13"/>
  <c r="X305" i="13"/>
  <c r="X425" i="13"/>
  <c r="X509" i="13"/>
  <c r="X585" i="13"/>
  <c r="X713" i="13"/>
  <c r="X797" i="13"/>
  <c r="X973" i="13"/>
  <c r="X378" i="13"/>
  <c r="X530" i="13"/>
  <c r="X654" i="13"/>
  <c r="X834" i="13"/>
  <c r="X970" i="13"/>
  <c r="X219" i="13"/>
  <c r="X251" i="13"/>
  <c r="X291" i="13"/>
  <c r="X419" i="13"/>
  <c r="X583" i="13"/>
  <c r="X763" i="13"/>
  <c r="X915" i="13"/>
  <c r="X306" i="13"/>
  <c r="X360" i="13"/>
  <c r="X476" i="13"/>
  <c r="X664" i="13"/>
  <c r="X984" i="13"/>
  <c r="X253" i="13"/>
  <c r="X309" i="13"/>
  <c r="X433" i="13"/>
  <c r="X513" i="13"/>
  <c r="X617" i="13"/>
  <c r="X717" i="13"/>
  <c r="X813" i="13"/>
  <c r="X997" i="13"/>
  <c r="X402" i="13"/>
  <c r="X538" i="13"/>
  <c r="X658" i="13"/>
  <c r="X838" i="13"/>
  <c r="X974" i="13"/>
  <c r="X223" i="13"/>
  <c r="X255" i="13"/>
  <c r="X295" i="13"/>
  <c r="X435" i="13"/>
  <c r="X627" i="13"/>
  <c r="X771" i="13"/>
  <c r="X919" i="13"/>
  <c r="X376" i="13"/>
  <c r="X484" i="13"/>
  <c r="X800" i="13"/>
  <c r="X998" i="13"/>
  <c r="X261" i="13"/>
  <c r="X325" i="13"/>
  <c r="X441" i="13"/>
  <c r="X521" i="13"/>
  <c r="X625" i="13"/>
  <c r="X745" i="13"/>
  <c r="X821" i="13"/>
  <c r="X410" i="13"/>
  <c r="X570" i="13"/>
  <c r="X702" i="13"/>
  <c r="X862" i="13"/>
  <c r="X1000" i="13"/>
  <c r="X227" i="13"/>
  <c r="X259" i="13"/>
  <c r="X303" i="13"/>
  <c r="X479" i="13"/>
  <c r="X643" i="13"/>
  <c r="X779" i="13"/>
  <c r="X931" i="13"/>
  <c r="X380" i="13"/>
  <c r="X492" i="13"/>
  <c r="X816" i="13"/>
  <c r="X1006" i="13"/>
  <c r="X221" i="13"/>
  <c r="X269" i="13"/>
  <c r="X333" i="13"/>
  <c r="X449" i="13"/>
  <c r="X537" i="13"/>
  <c r="X633" i="13"/>
  <c r="X749" i="13"/>
  <c r="X849" i="13"/>
  <c r="X222" i="13"/>
  <c r="X426" i="13"/>
  <c r="X594" i="13"/>
  <c r="X706" i="13"/>
  <c r="X874" i="13"/>
  <c r="X1008" i="13"/>
  <c r="X231" i="13"/>
  <c r="X263" i="13"/>
  <c r="X307" i="13"/>
  <c r="X487" i="13"/>
  <c r="X651" i="13"/>
  <c r="X807" i="13"/>
  <c r="X951" i="13"/>
  <c r="X603" i="13"/>
  <c r="X795" i="13"/>
  <c r="X630" i="13"/>
  <c r="X364" i="13"/>
  <c r="X897" i="13"/>
  <c r="X691" i="13"/>
  <c r="X956" i="13"/>
  <c r="X529" i="13"/>
  <c r="X850" i="13"/>
  <c r="X517" i="13"/>
  <c r="X767" i="13"/>
  <c r="X394" i="13"/>
  <c r="X964" i="13"/>
  <c r="X978" i="13"/>
  <c r="X982" i="13"/>
  <c r="X977" i="13"/>
  <c r="X954" i="13"/>
  <c r="X848" i="13"/>
  <c r="X720" i="13"/>
  <c r="X608" i="13"/>
  <c r="X337" i="13"/>
  <c r="X920" i="13"/>
  <c r="X752" i="13"/>
  <c r="X551" i="13"/>
  <c r="X1003" i="13"/>
  <c r="X805" i="13"/>
  <c r="X698" i="13"/>
  <c r="X922" i="13"/>
  <c r="X550" i="13"/>
  <c r="X392" i="13"/>
  <c r="X278" i="13"/>
  <c r="X841" i="13"/>
  <c r="X600" i="13"/>
  <c r="X938" i="13"/>
  <c r="X491" i="13"/>
  <c r="X923" i="13"/>
  <c r="X845" i="13"/>
  <c r="X750" i="13"/>
  <c r="X619" i="13"/>
  <c r="X244" i="13"/>
  <c r="X887" i="13"/>
  <c r="X791" i="13"/>
  <c r="X528" i="13"/>
  <c r="X228" i="13"/>
  <c r="X880" i="13"/>
  <c r="X346" i="13"/>
  <c r="X925" i="13"/>
  <c r="X742" i="13"/>
  <c r="X554" i="13"/>
  <c r="X273" i="13"/>
  <c r="X828" i="13"/>
  <c r="X527" i="13"/>
  <c r="X249" i="13"/>
  <c r="X898" i="13"/>
  <c r="X762" i="13"/>
  <c r="X470" i="13"/>
  <c r="X464" i="13"/>
  <c r="X246" i="13"/>
  <c r="X288" i="13"/>
  <c r="X989" i="13"/>
  <c r="X854" i="13"/>
  <c r="X995" i="13"/>
  <c r="X858" i="13"/>
  <c r="X292" i="13"/>
  <c r="X336" i="13"/>
  <c r="X751" i="13"/>
  <c r="X589" i="13"/>
  <c r="X400" i="13"/>
  <c r="X385" i="13"/>
  <c r="X939" i="13"/>
  <c r="X957" i="13"/>
  <c r="X965" i="13"/>
  <c r="X908" i="13"/>
  <c r="X760" i="13"/>
  <c r="X546" i="13"/>
  <c r="X358" i="13"/>
  <c r="X705" i="13"/>
  <c r="X375" i="13"/>
  <c r="X860" i="13"/>
  <c r="X718" i="13"/>
  <c r="X456" i="13"/>
  <c r="X985" i="13"/>
  <c r="X829" i="13"/>
  <c r="X837" i="13"/>
  <c r="X639" i="13"/>
  <c r="X368" i="13"/>
  <c r="X275" i="13"/>
  <c r="X904" i="13"/>
  <c r="X907" i="13"/>
  <c r="X416" i="13"/>
  <c r="X668" i="13"/>
  <c r="X747" i="13"/>
  <c r="X560" i="13"/>
  <c r="X334" i="13"/>
  <c r="X511" i="13"/>
  <c r="X878" i="13"/>
  <c r="X784" i="13"/>
  <c r="X465" i="13"/>
  <c r="X447" i="13"/>
  <c r="X478" i="13"/>
  <c r="X959" i="13"/>
  <c r="X723" i="13"/>
  <c r="X543" i="13"/>
  <c r="X382" i="13"/>
  <c r="AG382" i="13" s="1"/>
  <c r="X647" i="13"/>
  <c r="X480" i="13"/>
  <c r="X1004" i="13"/>
  <c r="X827" i="13"/>
  <c r="X900" i="13"/>
  <c r="X374" i="13"/>
  <c r="X624" i="13"/>
  <c r="X398" i="13"/>
  <c r="X266" i="13"/>
  <c r="X719" i="13"/>
  <c r="X724" i="13"/>
  <c r="X638" i="13"/>
  <c r="X905" i="13"/>
  <c r="X628" i="13"/>
  <c r="X725" i="13"/>
  <c r="X264" i="13"/>
  <c r="X494" i="13"/>
  <c r="X348" i="13"/>
  <c r="X326" i="13"/>
  <c r="X953" i="13"/>
  <c r="X875" i="13"/>
  <c r="X395" i="13"/>
  <c r="X272" i="13"/>
  <c r="X969" i="13"/>
  <c r="X986" i="13"/>
  <c r="X822" i="13"/>
  <c r="X755" i="13"/>
  <c r="X520" i="13"/>
  <c r="X220" i="13"/>
  <c r="X835" i="13"/>
  <c r="X599" i="13"/>
  <c r="X389" i="13"/>
  <c r="X889" i="13"/>
  <c r="X731" i="13"/>
  <c r="X440" i="13"/>
  <c r="X782" i="13"/>
  <c r="X665" i="13"/>
  <c r="X498" i="13"/>
  <c r="X796" i="13"/>
  <c r="X533" i="13"/>
  <c r="X335" i="13"/>
  <c r="X265" i="13"/>
  <c r="X832" i="13"/>
  <c r="X540" i="13"/>
  <c r="X895" i="13"/>
  <c r="X424" i="13"/>
  <c r="X937" i="13"/>
  <c r="X778" i="13"/>
  <c r="X692" i="13"/>
  <c r="X483" i="13"/>
  <c r="X276" i="13"/>
  <c r="X783" i="13"/>
  <c r="X709" i="13"/>
  <c r="X393" i="13"/>
  <c r="X911" i="13"/>
  <c r="X662" i="13"/>
  <c r="X565" i="13"/>
  <c r="X976" i="13"/>
  <c r="X686" i="13"/>
  <c r="X471" i="13"/>
  <c r="X945" i="13"/>
  <c r="X685" i="13"/>
  <c r="X568" i="13"/>
  <c r="X311" i="13"/>
  <c r="X833" i="13"/>
  <c r="X553" i="13"/>
  <c r="X657" i="13"/>
  <c r="X390" i="13"/>
  <c r="X987" i="13"/>
  <c r="X831" i="13"/>
  <c r="X504" i="13"/>
  <c r="X846" i="13"/>
  <c r="X579" i="13"/>
  <c r="X754" i="13"/>
  <c r="X669" i="13"/>
  <c r="X282" i="13"/>
  <c r="X330" i="13"/>
  <c r="X240" i="13"/>
  <c r="X810" i="13"/>
  <c r="X357" i="13"/>
  <c r="X620" i="13"/>
  <c r="X715" i="13"/>
  <c r="X427" i="13"/>
  <c r="X990" i="13"/>
  <c r="X866" i="13"/>
  <c r="X541" i="13"/>
  <c r="X580" i="13"/>
  <c r="X317" i="13"/>
  <c r="X234" i="13"/>
  <c r="X840" i="13"/>
  <c r="X941" i="13"/>
  <c r="X936" i="13"/>
  <c r="X804" i="13"/>
  <c r="X714" i="13"/>
  <c r="X489" i="13"/>
  <c r="X233" i="13"/>
  <c r="X453" i="13"/>
  <c r="X331" i="13"/>
  <c r="X901" i="13"/>
  <c r="X671" i="13"/>
  <c r="X361" i="13"/>
  <c r="X652" i="13"/>
  <c r="X734" i="13"/>
  <c r="X497" i="13"/>
  <c r="X432" i="13"/>
  <c r="X980" i="13"/>
  <c r="X759" i="13"/>
  <c r="X386" i="13"/>
  <c r="X843" i="13"/>
  <c r="X384" i="13"/>
  <c r="X574" i="13"/>
  <c r="X430" i="13"/>
  <c r="X257" i="13"/>
  <c r="X857" i="13"/>
  <c r="X316" i="13"/>
  <c r="X879" i="13"/>
  <c r="X612" i="13"/>
  <c r="X581" i="13"/>
  <c r="AG581" i="13" s="1"/>
  <c r="X963" i="13"/>
  <c r="X948" i="13"/>
  <c r="X452" i="13"/>
  <c r="X407" i="13"/>
  <c r="X876" i="13"/>
  <c r="X704" i="13"/>
  <c r="X351" i="13"/>
  <c r="X768" i="13"/>
  <c r="X623" i="13"/>
  <c r="X418" i="13"/>
  <c r="X532" i="13"/>
  <c r="X535" i="13"/>
  <c r="X958" i="13"/>
  <c r="X996" i="13"/>
  <c r="X808" i="13"/>
  <c r="X564" i="13"/>
  <c r="X774" i="13"/>
  <c r="X735" i="13"/>
  <c r="X748" i="13"/>
  <c r="X414" i="13"/>
  <c r="X994" i="13"/>
  <c r="X729" i="13"/>
  <c r="X469" i="13"/>
  <c r="X661" i="13"/>
  <c r="X557" i="13"/>
  <c r="X740" i="13"/>
  <c r="X350" i="13"/>
  <c r="X928" i="13"/>
  <c r="X966" i="13"/>
  <c r="X842" i="13"/>
  <c r="X681" i="13"/>
  <c r="X518" i="13"/>
  <c r="X981" i="13"/>
  <c r="X935" i="13"/>
  <c r="X851" i="13"/>
  <c r="X690" i="13"/>
  <c r="X319" i="13"/>
  <c r="X924" i="13"/>
  <c r="X825" i="13"/>
  <c r="X467" i="13"/>
  <c r="X377" i="13"/>
  <c r="X744" i="13"/>
  <c r="X526" i="13"/>
  <c r="X420" i="13"/>
  <c r="X678" i="13"/>
  <c r="X786" i="13"/>
  <c r="X286" i="13"/>
  <c r="X578" i="13"/>
  <c r="X481" i="13"/>
  <c r="X359" i="13"/>
  <c r="X322" i="13"/>
  <c r="X836" i="13"/>
  <c r="X649" i="13"/>
  <c r="X439" i="13"/>
  <c r="X932" i="13"/>
  <c r="X660" i="13"/>
  <c r="X381" i="13"/>
  <c r="X864" i="13"/>
  <c r="X672" i="13"/>
  <c r="X343" i="13"/>
  <c r="X859" i="13"/>
  <c r="AG859" i="13" s="1"/>
  <c r="X379" i="13"/>
  <c r="X631" i="13"/>
  <c r="X584" i="13"/>
  <c r="X943" i="13"/>
  <c r="X792" i="13"/>
  <c r="X508" i="13"/>
  <c r="X283" i="13"/>
  <c r="X730" i="13"/>
  <c r="X950" i="13"/>
  <c r="X934" i="13"/>
  <c r="X988" i="13"/>
  <c r="X415" i="13"/>
  <c r="X993" i="13"/>
  <c r="X531" i="13"/>
  <c r="X318" i="13"/>
  <c r="X802" i="13"/>
  <c r="X621" i="13"/>
  <c r="X383" i="13"/>
  <c r="X794" i="13"/>
  <c r="X601" i="13"/>
  <c r="X670" i="13"/>
  <c r="X683" i="13"/>
  <c r="X1007" i="13"/>
  <c r="AG1007" i="13" s="1"/>
  <c r="X930" i="13"/>
  <c r="X812" i="13"/>
  <c r="X693" i="13"/>
  <c r="X499" i="13"/>
  <c r="X789" i="13"/>
  <c r="X573" i="13"/>
  <c r="X933" i="13"/>
  <c r="X856" i="13"/>
  <c r="X673" i="13"/>
  <c r="X321" i="13"/>
  <c r="X867" i="13"/>
  <c r="X707" i="13"/>
  <c r="X655" i="13"/>
  <c r="X514" i="13"/>
  <c r="X345" i="13"/>
  <c r="X921" i="13"/>
  <c r="X799" i="13"/>
  <c r="X338" i="13"/>
  <c r="X739" i="13"/>
  <c r="X396" i="13"/>
  <c r="X890" i="13"/>
  <c r="X677" i="13"/>
  <c r="X429" i="13"/>
  <c r="X542" i="13"/>
  <c r="X268" i="13"/>
  <c r="X955" i="13"/>
  <c r="X820" i="13"/>
  <c r="X552" i="13"/>
  <c r="X455" i="13"/>
  <c r="X853" i="13"/>
  <c r="X667" i="13"/>
  <c r="AG667" i="13" s="1"/>
  <c r="X340" i="13"/>
  <c r="X819" i="13"/>
  <c r="X632" i="13"/>
  <c r="X534" i="13"/>
  <c r="X962" i="13"/>
  <c r="X746" i="13"/>
  <c r="X506" i="13"/>
  <c r="X473" i="13"/>
  <c r="X926" i="13"/>
  <c r="X855" i="13"/>
  <c r="X366" i="13"/>
  <c r="X708" i="13"/>
  <c r="X352" i="13"/>
  <c r="X1005" i="13"/>
  <c r="X606" i="13"/>
  <c r="X250" i="13"/>
  <c r="X405" i="13"/>
  <c r="X313" i="13"/>
  <c r="X916" i="13"/>
  <c r="X753" i="13"/>
  <c r="X555" i="13"/>
  <c r="X406" i="13"/>
  <c r="X571" i="13"/>
  <c r="X488" i="13"/>
  <c r="X1002" i="13"/>
  <c r="X868" i="13"/>
  <c r="X788" i="13"/>
  <c r="X592" i="13"/>
  <c r="X327" i="13"/>
  <c r="X893" i="13"/>
  <c r="X399" i="13"/>
  <c r="X946" i="13"/>
  <c r="X758" i="13"/>
  <c r="X615" i="13"/>
  <c r="X280" i="13"/>
  <c r="X882" i="13"/>
  <c r="X679" i="13"/>
  <c r="X290" i="13"/>
  <c r="X733" i="13"/>
  <c r="X462" i="13"/>
  <c r="X329" i="13"/>
  <c r="X888" i="13"/>
  <c r="X780" i="13"/>
  <c r="X591" i="13"/>
  <c r="X428" i="13"/>
  <c r="X688" i="13"/>
  <c r="X353" i="13"/>
  <c r="X622" i="13"/>
  <c r="X496" i="13"/>
  <c r="X260" i="13"/>
  <c r="X960" i="13"/>
  <c r="X761" i="13"/>
  <c r="X642" i="13"/>
  <c r="X332" i="13"/>
  <c r="X869" i="13"/>
  <c r="X448" i="13"/>
  <c r="X475" i="13"/>
  <c r="X443" i="13"/>
  <c r="X830" i="13"/>
  <c r="X616" i="13"/>
  <c r="X371" i="13"/>
  <c r="X944" i="13"/>
  <c r="X906" i="13"/>
  <c r="X510" i="13"/>
  <c r="X431" i="13"/>
  <c r="X896" i="13"/>
  <c r="X356" i="13"/>
  <c r="X218" i="13"/>
  <c r="X609" i="13"/>
  <c r="X421" i="13"/>
  <c r="X270" i="13"/>
  <c r="X694" i="13"/>
  <c r="X459" i="13"/>
  <c r="X258" i="13"/>
  <c r="X299" i="13"/>
  <c r="X765" i="13"/>
  <c r="X635" i="13"/>
  <c r="X894" i="13"/>
  <c r="X903" i="13"/>
  <c r="X634" i="13"/>
  <c r="X300" i="13"/>
  <c r="X826" i="13"/>
  <c r="X314" i="13"/>
  <c r="X871" i="13"/>
  <c r="X644" i="13"/>
  <c r="X979" i="13"/>
  <c r="X870" i="13"/>
  <c r="X777" i="13"/>
  <c r="X558" i="13"/>
  <c r="X593" i="13"/>
  <c r="X892" i="13"/>
  <c r="X699" i="13"/>
  <c r="X362" i="13"/>
  <c r="X884" i="13"/>
  <c r="X726" i="13"/>
  <c r="X595" i="13"/>
  <c r="AG595" i="13" s="1"/>
  <c r="X294" i="13"/>
  <c r="X501" i="13"/>
  <c r="X566" i="13"/>
  <c r="X472" i="13"/>
  <c r="AG472" i="13" s="1"/>
  <c r="X315" i="13"/>
  <c r="X899" i="13"/>
  <c r="X576" i="13"/>
  <c r="X1001" i="13"/>
  <c r="X809" i="13"/>
  <c r="X590" i="13"/>
  <c r="X391" i="13"/>
  <c r="X949" i="13"/>
  <c r="X490" i="13"/>
  <c r="X252" i="13"/>
  <c r="X721" i="13"/>
  <c r="X611" i="13"/>
  <c r="X914" i="13"/>
  <c r="X811" i="13"/>
  <c r="X522" i="13"/>
  <c r="X409" i="13"/>
  <c r="X605" i="13"/>
  <c r="X369" i="13"/>
  <c r="X917" i="13"/>
  <c r="X787" i="13"/>
  <c r="X582" i="13"/>
  <c r="X236" i="13"/>
  <c r="X877" i="13"/>
  <c r="X626" i="13"/>
  <c r="X927" i="13"/>
  <c r="X466" i="13"/>
  <c r="X423" i="13"/>
  <c r="X342" i="13"/>
  <c r="X817" i="13"/>
  <c r="X757" i="13"/>
  <c r="X700" i="13"/>
  <c r="AG700" i="13" s="1"/>
  <c r="X341" i="13"/>
  <c r="X493" i="13"/>
  <c r="AG493" i="13" s="1"/>
  <c r="X790" i="13"/>
  <c r="X881" i="13"/>
  <c r="X695" i="13"/>
  <c r="X296" i="13"/>
  <c r="X445" i="13"/>
  <c r="X515" i="13"/>
  <c r="X549" i="13"/>
  <c r="X801" i="13"/>
  <c r="X701" i="13"/>
  <c r="X226" i="13"/>
  <c r="X640" i="13"/>
  <c r="X636" i="13"/>
  <c r="X598" i="13"/>
  <c r="X703" i="13"/>
  <c r="X562" i="13"/>
  <c r="X468" i="13"/>
  <c r="X458" i="13"/>
  <c r="X722" i="13"/>
  <c r="X645" i="13"/>
  <c r="X676" i="13"/>
  <c r="X367" i="13"/>
  <c r="X614" i="13"/>
  <c r="AG614" i="13" s="1"/>
  <c r="X446" i="13"/>
  <c r="X323" i="13"/>
  <c r="X463" i="13"/>
  <c r="X766" i="13"/>
  <c r="X596" i="13"/>
  <c r="X548" i="13"/>
  <c r="X486" i="13"/>
  <c r="X285" i="13"/>
  <c r="X312" i="13"/>
  <c r="X422" i="13"/>
  <c r="X437" i="13"/>
  <c r="X716" i="13"/>
  <c r="X756" i="13"/>
  <c r="X975" i="13"/>
  <c r="X524" i="13"/>
  <c r="X712" i="13"/>
  <c r="X885" i="13"/>
  <c r="X648" i="13"/>
  <c r="X500" i="13"/>
  <c r="X516" i="13"/>
  <c r="X738" i="13"/>
  <c r="X1009" i="13"/>
  <c r="X675" i="13"/>
  <c r="X999" i="13"/>
  <c r="X741" i="13"/>
  <c r="X354" i="13"/>
  <c r="X891" i="13"/>
  <c r="X293" i="13"/>
  <c r="X852" i="13"/>
  <c r="X388" i="13"/>
  <c r="X301" i="13"/>
  <c r="X482" i="13"/>
  <c r="X502" i="13"/>
  <c r="X737" i="13"/>
  <c r="X770" i="13"/>
  <c r="X775" i="13"/>
  <c r="X586" i="13"/>
  <c r="X587" i="13"/>
  <c r="X503" i="13"/>
  <c r="X512" i="13"/>
  <c r="X961" i="13"/>
  <c r="X523" i="13"/>
  <c r="X372" i="13"/>
  <c r="X736" i="13"/>
  <c r="X818" i="13"/>
  <c r="X653" i="13"/>
  <c r="X572" i="13"/>
  <c r="X793" i="13"/>
  <c r="X684" i="13"/>
  <c r="X298" i="13"/>
  <c r="AG298" i="13" s="1"/>
  <c r="X682" i="13"/>
  <c r="AG682" i="13" s="1"/>
  <c r="X451" i="13"/>
  <c r="X728" i="13"/>
  <c r="X646" i="13"/>
  <c r="X461" i="13"/>
  <c r="X242" i="13"/>
  <c r="X310" i="13"/>
  <c r="X597" i="13"/>
  <c r="X349" i="13"/>
  <c r="X547" i="13"/>
  <c r="X656" i="13"/>
  <c r="X308" i="13"/>
  <c r="X567" i="13"/>
  <c r="X495" i="13"/>
  <c r="X284" i="13"/>
  <c r="X883" i="13"/>
  <c r="X302" i="13"/>
  <c r="X844" i="13"/>
  <c r="X613" i="13"/>
  <c r="X824" i="13"/>
  <c r="X929" i="13"/>
  <c r="X304" i="13"/>
  <c r="X680" i="13"/>
  <c r="X347" i="13"/>
  <c r="X711" i="13"/>
  <c r="X328" i="13"/>
  <c r="X629" i="13"/>
  <c r="X563" i="13"/>
  <c r="X417" i="13"/>
  <c r="X772" i="13"/>
  <c r="X355" i="13"/>
  <c r="X732" i="13"/>
  <c r="X872" i="13"/>
  <c r="X861" i="13"/>
  <c r="X525" i="13"/>
  <c r="X863" i="13"/>
  <c r="X902" i="13"/>
  <c r="X408" i="13"/>
  <c r="AG408" i="13" s="1"/>
  <c r="X454" i="13"/>
  <c r="X539" i="13"/>
  <c r="X438" i="13"/>
  <c r="X248" i="13"/>
  <c r="X696" i="13"/>
  <c r="AG696" i="13" s="1"/>
  <c r="X401" i="13"/>
  <c r="X324" i="13"/>
  <c r="X674" i="13"/>
  <c r="AG674" i="13" s="1"/>
  <c r="X947" i="13"/>
  <c r="X607" i="13"/>
  <c r="X254" i="13"/>
  <c r="X803" i="13"/>
  <c r="X764" i="13"/>
  <c r="X776" i="13"/>
  <c r="X666" i="13"/>
  <c r="X387" i="13"/>
  <c r="X663" i="13"/>
  <c r="X262" i="13"/>
  <c r="X68" i="13"/>
  <c r="X108" i="13"/>
  <c r="X86" i="13"/>
  <c r="X212" i="13"/>
  <c r="X37" i="13"/>
  <c r="X143" i="13"/>
  <c r="X195" i="13"/>
  <c r="X39" i="13"/>
  <c r="X109" i="13"/>
  <c r="X187" i="13"/>
  <c r="X38" i="13"/>
  <c r="X81" i="13"/>
  <c r="X46" i="13"/>
  <c r="X74" i="13"/>
  <c r="X7" i="13"/>
  <c r="X93" i="13"/>
  <c r="X169" i="13"/>
  <c r="X214" i="13"/>
  <c r="X114" i="13"/>
  <c r="X67" i="13"/>
  <c r="X145" i="13"/>
  <c r="X44" i="13"/>
  <c r="X120" i="13"/>
  <c r="X189" i="13"/>
  <c r="X104" i="13"/>
  <c r="X98" i="13"/>
  <c r="X207" i="13"/>
  <c r="X135" i="13"/>
  <c r="X22" i="13"/>
  <c r="X146" i="13"/>
  <c r="X209" i="13"/>
  <c r="X31" i="13"/>
  <c r="X121" i="13"/>
  <c r="X210" i="13"/>
  <c r="X110" i="13"/>
  <c r="X216" i="13"/>
  <c r="X49" i="13"/>
  <c r="X56" i="13"/>
  <c r="X127" i="13"/>
  <c r="X196" i="13"/>
  <c r="X40" i="13"/>
  <c r="X79" i="13"/>
  <c r="X147" i="13"/>
  <c r="X61" i="13"/>
  <c r="X133" i="13"/>
  <c r="X193" i="13"/>
  <c r="X128" i="13"/>
  <c r="X6" i="13"/>
  <c r="X105" i="13"/>
  <c r="X168" i="13"/>
  <c r="X217" i="13"/>
  <c r="X166" i="13"/>
  <c r="X24" i="13"/>
  <c r="X91" i="13"/>
  <c r="X152" i="13"/>
  <c r="X213" i="13"/>
  <c r="X57" i="13"/>
  <c r="X132" i="13"/>
  <c r="X29" i="13"/>
  <c r="X117" i="13"/>
  <c r="X178" i="13"/>
  <c r="X144" i="13"/>
  <c r="X64" i="13"/>
  <c r="X205" i="13"/>
  <c r="X80" i="13"/>
  <c r="X15" i="13"/>
  <c r="X92" i="13"/>
  <c r="X159" i="13"/>
  <c r="X188" i="13"/>
  <c r="X8" i="13"/>
  <c r="X122" i="13"/>
  <c r="X170" i="13"/>
  <c r="X192" i="13"/>
  <c r="X102" i="13"/>
  <c r="X156" i="13"/>
  <c r="X62" i="13"/>
  <c r="X18" i="13"/>
  <c r="X43" i="13"/>
  <c r="X134" i="13"/>
  <c r="X180" i="13"/>
  <c r="X160" i="13"/>
  <c r="X9" i="13"/>
  <c r="X73" i="13"/>
  <c r="X138" i="13"/>
  <c r="X111" i="13"/>
  <c r="X19" i="13"/>
  <c r="X99" i="13"/>
  <c r="X165" i="13"/>
  <c r="X75" i="13"/>
  <c r="X153" i="13"/>
  <c r="X211" i="13"/>
  <c r="X14" i="13"/>
  <c r="X129" i="13"/>
  <c r="X181" i="13"/>
  <c r="X42" i="13"/>
  <c r="X115" i="13"/>
  <c r="X162" i="13"/>
  <c r="X13" i="13"/>
  <c r="X172" i="13"/>
  <c r="X51" i="13"/>
  <c r="X194" i="13"/>
  <c r="X25" i="13"/>
  <c r="X90" i="13"/>
  <c r="X163" i="13"/>
  <c r="X206" i="13"/>
  <c r="X123" i="13"/>
  <c r="X87" i="13"/>
  <c r="X96" i="13"/>
  <c r="X32" i="13"/>
  <c r="X55" i="13"/>
  <c r="X174" i="13"/>
  <c r="X141" i="13"/>
  <c r="X157" i="13"/>
  <c r="X171" i="13"/>
  <c r="X12" i="13"/>
  <c r="X185" i="13"/>
  <c r="X151" i="13"/>
  <c r="X175" i="13"/>
  <c r="X30" i="13"/>
  <c r="X199" i="13"/>
  <c r="X184" i="13"/>
  <c r="X85" i="13"/>
  <c r="X52" i="13"/>
  <c r="X97" i="13"/>
  <c r="X198" i="13"/>
  <c r="X33" i="13"/>
  <c r="X17" i="13"/>
  <c r="X126" i="13"/>
  <c r="X202" i="13"/>
  <c r="X50" i="13"/>
  <c r="X177" i="13"/>
  <c r="X36" i="13"/>
  <c r="X139" i="13"/>
  <c r="X45" i="13"/>
  <c r="X76" i="13"/>
  <c r="X116" i="13"/>
  <c r="X16" i="13"/>
  <c r="X164" i="13"/>
  <c r="X70" i="13"/>
  <c r="X103" i="13"/>
  <c r="X140" i="13"/>
  <c r="X150" i="13"/>
  <c r="X176" i="13"/>
  <c r="X183" i="13"/>
  <c r="X26" i="13"/>
  <c r="X54" i="13"/>
  <c r="X28" i="13"/>
  <c r="X158" i="13"/>
  <c r="X208" i="13"/>
  <c r="X5" i="13"/>
  <c r="X95" i="13"/>
  <c r="X82" i="13"/>
  <c r="X113" i="13"/>
  <c r="X130" i="13"/>
  <c r="X125" i="13"/>
  <c r="X71" i="13"/>
  <c r="X59" i="13"/>
  <c r="X137" i="13"/>
  <c r="X186" i="13"/>
  <c r="X83" i="13"/>
  <c r="X35" i="13"/>
  <c r="X136" i="13"/>
  <c r="X89" i="13"/>
  <c r="X20" i="13"/>
  <c r="X41" i="13"/>
  <c r="X148" i="13"/>
  <c r="X34" i="13"/>
  <c r="X201" i="13"/>
  <c r="X78" i="13"/>
  <c r="X53" i="13"/>
  <c r="X112" i="13"/>
  <c r="X88" i="13"/>
  <c r="X65" i="13"/>
  <c r="X203" i="13"/>
  <c r="X131" i="13"/>
  <c r="X101" i="13"/>
  <c r="X106" i="13"/>
  <c r="X149" i="13"/>
  <c r="X94" i="13"/>
  <c r="X190" i="13"/>
  <c r="X197" i="13"/>
  <c r="X47" i="13"/>
  <c r="X66" i="13"/>
  <c r="X48" i="13"/>
  <c r="X179" i="13"/>
  <c r="X107" i="13"/>
  <c r="X21" i="13"/>
  <c r="X191" i="13"/>
  <c r="X58" i="13"/>
  <c r="X84" i="13"/>
  <c r="X69" i="13"/>
  <c r="X63" i="13"/>
  <c r="X215" i="13"/>
  <c r="X10" i="13"/>
  <c r="X154" i="13"/>
  <c r="X77" i="13"/>
  <c r="X182" i="13"/>
  <c r="X119" i="13"/>
  <c r="X142" i="13"/>
  <c r="X200" i="13"/>
  <c r="X167" i="13"/>
  <c r="X11" i="13"/>
  <c r="X27" i="13"/>
  <c r="X60" i="13"/>
  <c r="X173" i="13"/>
  <c r="X161" i="13"/>
  <c r="X155" i="13"/>
  <c r="X72" i="13"/>
  <c r="X204" i="13"/>
  <c r="X124" i="13"/>
  <c r="X118" i="13"/>
  <c r="X100" i="13"/>
  <c r="X23" i="13"/>
  <c r="AD204" i="13"/>
  <c r="AD152" i="13"/>
  <c r="AD104" i="13"/>
  <c r="AD190" i="13"/>
  <c r="AD62" i="13"/>
  <c r="AD155" i="13"/>
  <c r="AD201" i="13"/>
  <c r="AD140" i="13"/>
  <c r="AD193" i="13"/>
  <c r="AD98" i="13"/>
  <c r="AD12" i="13"/>
  <c r="AD36" i="13"/>
  <c r="AD43" i="13"/>
  <c r="AD63" i="13"/>
  <c r="AD100" i="13"/>
  <c r="AD136" i="13"/>
  <c r="AD215" i="13"/>
  <c r="AD200" i="13"/>
  <c r="AD188" i="13"/>
  <c r="AD115" i="13"/>
  <c r="AD207" i="13"/>
  <c r="AD53" i="13"/>
  <c r="AD192" i="13"/>
  <c r="AD161" i="13"/>
  <c r="AD85" i="13"/>
  <c r="AD116" i="13"/>
  <c r="AD109" i="13"/>
  <c r="AD29" i="13"/>
  <c r="AD16" i="13"/>
  <c r="AD45" i="13"/>
  <c r="AD172" i="13"/>
  <c r="AD44" i="13"/>
  <c r="AD171" i="13"/>
  <c r="AD14" i="13"/>
  <c r="AD169" i="13"/>
  <c r="AD211" i="13"/>
  <c r="AD106" i="13"/>
  <c r="AD32" i="13"/>
  <c r="AD105" i="13"/>
  <c r="AD129" i="13"/>
  <c r="AD160" i="13"/>
  <c r="AD22" i="13"/>
  <c r="AD176" i="13"/>
  <c r="AD9" i="13"/>
  <c r="AD20" i="13"/>
  <c r="AD7" i="13"/>
  <c r="AD25" i="13"/>
  <c r="AD128" i="13"/>
  <c r="AD64" i="13"/>
  <c r="AD149" i="13"/>
  <c r="AD194" i="13"/>
  <c r="AD30" i="13"/>
  <c r="AD110" i="13"/>
  <c r="AD127" i="13"/>
  <c r="AD86" i="13"/>
  <c r="AD34" i="13"/>
  <c r="AD28" i="13"/>
  <c r="AD19" i="13"/>
  <c r="AD76" i="13"/>
  <c r="AD177" i="13"/>
  <c r="AD15" i="13"/>
  <c r="AD164" i="13"/>
  <c r="AD134" i="13"/>
  <c r="AD97" i="13"/>
  <c r="AD26" i="13"/>
  <c r="AD21" i="13"/>
  <c r="AD148" i="13"/>
  <c r="AD178" i="13"/>
  <c r="AD187" i="13"/>
  <c r="AD118" i="13"/>
  <c r="AD158" i="13"/>
  <c r="AD82" i="13"/>
  <c r="AD214" i="13"/>
  <c r="AD206" i="13"/>
  <c r="AD91" i="13"/>
  <c r="AD146" i="13"/>
  <c r="AD47" i="13"/>
  <c r="AD208" i="13"/>
  <c r="AD23" i="13"/>
  <c r="AD163" i="13"/>
  <c r="AD145" i="13"/>
  <c r="AD191" i="13"/>
  <c r="AD133" i="13"/>
  <c r="AD92" i="13"/>
  <c r="AD57" i="13"/>
  <c r="AD10" i="13"/>
  <c r="AD35" i="13"/>
  <c r="AD51" i="13"/>
  <c r="AD75" i="13"/>
  <c r="AD205" i="13"/>
  <c r="AD94" i="13"/>
  <c r="AD130" i="13"/>
  <c r="AD142" i="13"/>
  <c r="AD184" i="13"/>
  <c r="AD122" i="13"/>
  <c r="AD80" i="13"/>
  <c r="AD99" i="13"/>
  <c r="AD154" i="13"/>
  <c r="AD179" i="13"/>
  <c r="AD83" i="13"/>
  <c r="AD189" i="13"/>
  <c r="AD70" i="13"/>
  <c r="AD69" i="13"/>
  <c r="AD56" i="13"/>
  <c r="AD175" i="13"/>
  <c r="AD88" i="13"/>
  <c r="AD135" i="13"/>
  <c r="AD103" i="13"/>
  <c r="AD71" i="13"/>
  <c r="AD111" i="13"/>
  <c r="AD170" i="13"/>
  <c r="AD197" i="13"/>
  <c r="AD13" i="13"/>
  <c r="AD157" i="13"/>
  <c r="AD121" i="13"/>
  <c r="AD27" i="13"/>
  <c r="AD37" i="13"/>
  <c r="AD41" i="13"/>
  <c r="AD68" i="13"/>
  <c r="AD87" i="13"/>
  <c r="AD141" i="13"/>
  <c r="AD203" i="13"/>
  <c r="AD31" i="13"/>
  <c r="AD112" i="13"/>
  <c r="AD182" i="13"/>
  <c r="AD210" i="13"/>
  <c r="AD165" i="13"/>
  <c r="AD117" i="13"/>
  <c r="AD143" i="13"/>
  <c r="AD139" i="13"/>
  <c r="AD38" i="13"/>
  <c r="AD183" i="13"/>
  <c r="AD50" i="13"/>
  <c r="AD124" i="13"/>
  <c r="AD93" i="13"/>
  <c r="AD212" i="13"/>
  <c r="AD185" i="13"/>
  <c r="AD81" i="13"/>
  <c r="AD8" i="13"/>
  <c r="AD74" i="13"/>
  <c r="AD151" i="13"/>
  <c r="AD123" i="13"/>
  <c r="AD166" i="13"/>
  <c r="AD78" i="13"/>
  <c r="AD114" i="13"/>
  <c r="AD40" i="13"/>
  <c r="AD180" i="13"/>
  <c r="AD120" i="13"/>
  <c r="AD84" i="13"/>
  <c r="AD195" i="13"/>
  <c r="AD66" i="13"/>
  <c r="AD153" i="13"/>
  <c r="AD108" i="13"/>
  <c r="AD107" i="13"/>
  <c r="AD67" i="13"/>
  <c r="AD181" i="13"/>
  <c r="AD52" i="13"/>
  <c r="AD150" i="13"/>
  <c r="AD202" i="13"/>
  <c r="AD101" i="13"/>
  <c r="AD73" i="13"/>
  <c r="AD77" i="13"/>
  <c r="AD54" i="13"/>
  <c r="AD217" i="13"/>
  <c r="AD186" i="13"/>
  <c r="AD17" i="13"/>
  <c r="AD60" i="13"/>
  <c r="AD113" i="13"/>
  <c r="AD137" i="13"/>
  <c r="AD55" i="13"/>
  <c r="AD18" i="13"/>
  <c r="AD147" i="13"/>
  <c r="AD59" i="13"/>
  <c r="AD198" i="13"/>
  <c r="AD72" i="13"/>
  <c r="AD174" i="13"/>
  <c r="AD167" i="13"/>
  <c r="AD11" i="13"/>
  <c r="AD58" i="13"/>
  <c r="AD209" i="13"/>
  <c r="AD42" i="13"/>
  <c r="AD5" i="13"/>
  <c r="AD132" i="13"/>
  <c r="AD96" i="13"/>
  <c r="AD49" i="13"/>
  <c r="AD159" i="13"/>
  <c r="AD138" i="13"/>
  <c r="AD102" i="13"/>
  <c r="AD39" i="13"/>
  <c r="AD213" i="13"/>
  <c r="AD126" i="13"/>
  <c r="AD90" i="13"/>
  <c r="AD79" i="13"/>
  <c r="AD173" i="13"/>
  <c r="AD125" i="13"/>
  <c r="AD65" i="13"/>
  <c r="AD131" i="13"/>
  <c r="AD119" i="13"/>
  <c r="AD216" i="13"/>
  <c r="AG216" i="13" s="1"/>
  <c r="AD199" i="13"/>
  <c r="AD24" i="13"/>
  <c r="AD196" i="13"/>
  <c r="AD48" i="13"/>
  <c r="AD46" i="13"/>
  <c r="AD89" i="13"/>
  <c r="AD162" i="13"/>
  <c r="AD95" i="13"/>
  <c r="AD168" i="13"/>
  <c r="AD33" i="13"/>
  <c r="AD144" i="13"/>
  <c r="AD6" i="13"/>
  <c r="AD61" i="13"/>
  <c r="AD156" i="13"/>
  <c r="I35" i="31"/>
  <c r="I37" i="31" s="1"/>
  <c r="D32" i="31"/>
  <c r="D31" i="31"/>
  <c r="D30" i="31"/>
  <c r="D25" i="31"/>
  <c r="D23" i="31"/>
  <c r="D22" i="31"/>
  <c r="D21" i="31"/>
  <c r="D38" i="31"/>
  <c r="K33" i="31"/>
  <c r="M29" i="31"/>
  <c r="Q24" i="31"/>
  <c r="Q26" i="31" s="1"/>
  <c r="O26" i="31"/>
  <c r="E40" i="31"/>
  <c r="E39" i="31"/>
  <c r="Q13" i="31"/>
  <c r="Q18" i="31" s="1"/>
  <c r="O18" i="31"/>
  <c r="E41" i="31"/>
  <c r="AG776" i="13" l="1"/>
  <c r="AG857" i="13"/>
  <c r="AG980" i="13"/>
  <c r="AG438" i="13"/>
  <c r="AG770" i="13"/>
  <c r="AG290" i="13"/>
  <c r="AG414" i="13"/>
  <c r="H22" i="32"/>
  <c r="AG693" i="13"/>
  <c r="AG722" i="13"/>
  <c r="AG302" i="13"/>
  <c r="AG663" i="13"/>
  <c r="AG947" i="13"/>
  <c r="AG454" i="13"/>
  <c r="AG684" i="13"/>
  <c r="AG387" i="13"/>
  <c r="AG837" i="13"/>
  <c r="AG902" i="13"/>
  <c r="AG764" i="13"/>
  <c r="AG603" i="13"/>
  <c r="AG446" i="13"/>
  <c r="AG314" i="13"/>
  <c r="AG636" i="13"/>
  <c r="AG634" i="13"/>
  <c r="AG883" i="13"/>
  <c r="AG803" i="13"/>
  <c r="AG607" i="13"/>
  <c r="AG978" i="13"/>
  <c r="AG863" i="13"/>
  <c r="AG306" i="13"/>
  <c r="AG775" i="13"/>
  <c r="AG956" i="13"/>
  <c r="AG784" i="13"/>
  <c r="AG401" i="13"/>
  <c r="AG336" i="13"/>
  <c r="AG738" i="13"/>
  <c r="AG906" i="13"/>
  <c r="AG514" i="13"/>
  <c r="AG858" i="13"/>
  <c r="AG591" i="13"/>
  <c r="AG419" i="13"/>
  <c r="AG805" i="13"/>
  <c r="AG567" i="13"/>
  <c r="AG813" i="13"/>
  <c r="AG748" i="13"/>
  <c r="AG569" i="13"/>
  <c r="AG471" i="13"/>
  <c r="AG769" i="13"/>
  <c r="AG447" i="13"/>
  <c r="AG618" i="13"/>
  <c r="AG410" i="13"/>
  <c r="AG432" i="13"/>
  <c r="AG251" i="13"/>
  <c r="AG624" i="13"/>
  <c r="AG269" i="13"/>
  <c r="AG594" i="13"/>
  <c r="AG672" i="13"/>
  <c r="AG561" i="13"/>
  <c r="AG528" i="13"/>
  <c r="AG449" i="13"/>
  <c r="AG245" i="13"/>
  <c r="AG896" i="13"/>
  <c r="AG823" i="13"/>
  <c r="AG732" i="13"/>
  <c r="AG368" i="13"/>
  <c r="AG261" i="13"/>
  <c r="AG734" i="13"/>
  <c r="AG223" i="13"/>
  <c r="AG489" i="13"/>
  <c r="AG277" i="13"/>
  <c r="AG543" i="13"/>
  <c r="AG882" i="13"/>
  <c r="AG386" i="13"/>
  <c r="AG377" i="13"/>
  <c r="AG312" i="13"/>
  <c r="AG914" i="13"/>
  <c r="AG819" i="13"/>
  <c r="AG229" i="13"/>
  <c r="AG335" i="13"/>
  <c r="E10" i="32"/>
  <c r="E13" i="32"/>
  <c r="E11" i="32"/>
  <c r="E15" i="38"/>
  <c r="AG640" i="13"/>
  <c r="AG751" i="13"/>
  <c r="AG797" i="13"/>
  <c r="AG958" i="13"/>
  <c r="AG512" i="13"/>
  <c r="AG942" i="13"/>
  <c r="AG391" i="13"/>
  <c r="AG551" i="13"/>
  <c r="AG351" i="13"/>
  <c r="AG459" i="13"/>
  <c r="AG790" i="13"/>
  <c r="AG586" i="13"/>
  <c r="AG491" i="13"/>
  <c r="AG500" i="13"/>
  <c r="AG861" i="13"/>
  <c r="AG304" i="13"/>
  <c r="AG396" i="13"/>
  <c r="AG274" i="13"/>
  <c r="AG340" i="13"/>
  <c r="AG680" i="13"/>
  <c r="AG565" i="13"/>
  <c r="AG939" i="13"/>
  <c r="AG338" i="13"/>
  <c r="AG309" i="13"/>
  <c r="AG831" i="13"/>
  <c r="AG343" i="13"/>
  <c r="AG527" i="13"/>
  <c r="AG378" i="13"/>
  <c r="AG979" i="13"/>
  <c r="AG515" i="13"/>
  <c r="AG250" i="13"/>
  <c r="AG656" i="13"/>
  <c r="AG773" i="13"/>
  <c r="AG777" i="13"/>
  <c r="AG721" i="13"/>
  <c r="AG994" i="13"/>
  <c r="AG853" i="13"/>
  <c r="AG585" i="13"/>
  <c r="AG681" i="13"/>
  <c r="AG771" i="13"/>
  <c r="AG492" i="13"/>
  <c r="AG1000" i="13"/>
  <c r="AG761" i="13"/>
  <c r="AG321" i="13"/>
  <c r="AG221" i="13"/>
  <c r="AG362" i="13"/>
  <c r="AG301" i="13"/>
  <c r="AG596" i="13"/>
  <c r="AG644" i="13"/>
  <c r="AG675" i="13"/>
  <c r="AG329" i="13"/>
  <c r="AG374" i="13"/>
  <c r="AG352" i="13"/>
  <c r="AG997" i="13"/>
  <c r="AG436" i="13"/>
  <c r="AG479" i="13"/>
  <c r="AG494" i="13"/>
  <c r="AG972" i="13"/>
  <c r="AG461" i="13"/>
  <c r="AG984" i="13"/>
  <c r="AG550" i="13"/>
  <c r="AG628" i="13"/>
  <c r="AG353" i="13"/>
  <c r="AG549" i="13"/>
  <c r="AG371" i="13"/>
  <c r="AG558" i="13"/>
  <c r="AG508" i="13"/>
  <c r="AG390" i="13"/>
  <c r="AG935" i="13"/>
  <c r="AG783" i="13"/>
  <c r="AG792" i="13"/>
  <c r="AG897" i="13"/>
  <c r="AG787" i="13"/>
  <c r="AG969" i="13"/>
  <c r="AG714" i="13"/>
  <c r="AG887" i="13"/>
  <c r="AG470" i="13"/>
  <c r="AG951" i="13"/>
  <c r="AG630" i="13"/>
  <c r="AG957" i="13"/>
  <c r="AG643" i="13"/>
  <c r="AG280" i="13"/>
  <c r="AG817" i="13"/>
  <c r="AG578" i="13"/>
  <c r="AG435" i="13"/>
  <c r="AG781" i="13"/>
  <c r="AG563" i="13"/>
  <c r="AG239" i="13"/>
  <c r="AG839" i="13"/>
  <c r="AG652" i="13"/>
  <c r="AG450" i="13"/>
  <c r="AG791" i="13"/>
  <c r="AG426" i="13"/>
  <c r="AG940" i="13"/>
  <c r="AG434" i="13"/>
  <c r="AG838" i="13"/>
  <c r="AG429" i="13"/>
  <c r="AG899" i="13"/>
  <c r="AG539" i="13"/>
  <c r="AG283" i="13"/>
  <c r="AG375" i="13"/>
  <c r="AG932" i="13"/>
  <c r="AG448" i="13"/>
  <c r="AG828" i="13"/>
  <c r="AG928" i="13"/>
  <c r="AG955" i="13"/>
  <c r="AG869" i="13"/>
  <c r="AG518" i="13"/>
  <c r="AG431" i="13"/>
  <c r="AG605" i="13"/>
  <c r="AG868" i="13"/>
  <c r="AG633" i="13"/>
  <c r="AG405" i="13"/>
  <c r="AG664" i="13"/>
  <c r="AG495" i="13"/>
  <c r="AG474" i="13"/>
  <c r="AG456" i="13"/>
  <c r="AG303" i="13"/>
  <c r="AG360" i="13"/>
  <c r="AG425" i="13"/>
  <c r="AG381" i="13"/>
  <c r="AG712" i="13"/>
  <c r="AG941" i="13"/>
  <c r="AG580" i="13"/>
  <c r="AG476" i="13"/>
  <c r="AG988" i="13"/>
  <c r="AG765" i="13"/>
  <c r="AG608" i="13"/>
  <c r="AG1006" i="13"/>
  <c r="AG670" i="13"/>
  <c r="AG589" i="13"/>
  <c r="AG564" i="13"/>
  <c r="AG606" i="13"/>
  <c r="AG345" i="13"/>
  <c r="AG735" i="13"/>
  <c r="AG915" i="13"/>
  <c r="AG369" i="13"/>
  <c r="AG590" i="13"/>
  <c r="AG925" i="13"/>
  <c r="AG872" i="13"/>
  <c r="AG846" i="13"/>
  <c r="AG295" i="13"/>
  <c r="AG726" i="13"/>
  <c r="AG991" i="13"/>
  <c r="AG638" i="13"/>
  <c r="AG225" i="13"/>
  <c r="AG482" i="13"/>
  <c r="AG289" i="13"/>
  <c r="AG875" i="13"/>
  <c r="AG703" i="13"/>
  <c r="AG355" i="13"/>
  <c r="AG850" i="13"/>
  <c r="AG637" i="13"/>
  <c r="AG953" i="13"/>
  <c r="AG754" i="13"/>
  <c r="AG810" i="13"/>
  <c r="AG717" i="13"/>
  <c r="AG976" i="13"/>
  <c r="AG592" i="13"/>
  <c r="AG878" i="13"/>
  <c r="AG952" i="13"/>
  <c r="AG795" i="13"/>
  <c r="AG874" i="13"/>
  <c r="AG437" i="13"/>
  <c r="AG358" i="13"/>
  <c r="AG653" i="13"/>
  <c r="AG307" i="13"/>
  <c r="AG691" i="13"/>
  <c r="AG938" i="13"/>
  <c r="AG597" i="13"/>
  <c r="AG729" i="13"/>
  <c r="AG983" i="13"/>
  <c r="AG516" i="13"/>
  <c r="AG268" i="13"/>
  <c r="AG825" i="13"/>
  <c r="AG406" i="13"/>
  <c r="AG356" i="13"/>
  <c r="AG699" i="13"/>
  <c r="AG584" i="13"/>
  <c r="AG220" i="13"/>
  <c r="AG833" i="13"/>
  <c r="AG645" i="13"/>
  <c r="AG244" i="13"/>
  <c r="AG673" i="13"/>
  <c r="AG420" i="13"/>
  <c r="AG923" i="13"/>
  <c r="AG286" i="13"/>
  <c r="AG750" i="13"/>
  <c r="AG395" i="13"/>
  <c r="AG870" i="13"/>
  <c r="AG570" i="13"/>
  <c r="AG316" i="13"/>
  <c r="AG992" i="13"/>
  <c r="AG909" i="13"/>
  <c r="AG266" i="13"/>
  <c r="AG962" i="13"/>
  <c r="AG440" i="13"/>
  <c r="AG854" i="13"/>
  <c r="AG965" i="13"/>
  <c r="AG612" i="13"/>
  <c r="AG423" i="13"/>
  <c r="AG545" i="13"/>
  <c r="AG439" i="13"/>
  <c r="AG331" i="13"/>
  <c r="AG908" i="13"/>
  <c r="AG686" i="13"/>
  <c r="AG753" i="13"/>
  <c r="AG587" i="13"/>
  <c r="AG845" i="13"/>
  <c r="AG629" i="13"/>
  <c r="AG622" i="13"/>
  <c r="AG727" i="13"/>
  <c r="AG613" i="13"/>
  <c r="AG954" i="13"/>
  <c r="AG330" i="13"/>
  <c r="AG905" i="13"/>
  <c r="AG556" i="13"/>
  <c r="AG576" i="13"/>
  <c r="AG367" i="13"/>
  <c r="AG281" i="13"/>
  <c r="AG891" i="13"/>
  <c r="AG924" i="13"/>
  <c r="AG521" i="13"/>
  <c r="AG270" i="13"/>
  <c r="AG259" i="13"/>
  <c r="AG519" i="13"/>
  <c r="AG844" i="13"/>
  <c r="AG219" i="13"/>
  <c r="AG548" i="13"/>
  <c r="AG894" i="13"/>
  <c r="AG648" i="13"/>
  <c r="AG263" i="13"/>
  <c r="AG292" i="13"/>
  <c r="AG540" i="13"/>
  <c r="AG361" i="13"/>
  <c r="AG842" i="13"/>
  <c r="AG610" i="13"/>
  <c r="AG832" i="13"/>
  <c r="AG615" i="13"/>
  <c r="AG737" i="13"/>
  <c r="AG496" i="13"/>
  <c r="AG525" i="13"/>
  <c r="AG524" i="13"/>
  <c r="AG811" i="13"/>
  <c r="AG836" i="13"/>
  <c r="AG502" i="13"/>
  <c r="AG392" i="13"/>
  <c r="AG793" i="13"/>
  <c r="AG741" i="13"/>
  <c r="AG487" i="13"/>
  <c r="AG809" i="13"/>
  <c r="AG758" i="13"/>
  <c r="AG602" i="13"/>
  <c r="AG552" i="13"/>
  <c r="AG898" i="13"/>
  <c r="AG478" i="13"/>
  <c r="AG922" i="13"/>
  <c r="AG631" i="13"/>
  <c r="AG247" i="13"/>
  <c r="AG822" i="13"/>
  <c r="AG444" i="13"/>
  <c r="AG260" i="13"/>
  <c r="AG901" i="13"/>
  <c r="AG520" i="13"/>
  <c r="AG248" i="13"/>
  <c r="AG798" i="13"/>
  <c r="AG562" i="13"/>
  <c r="AG224" i="13"/>
  <c r="AG647" i="13"/>
  <c r="AG241" i="13"/>
  <c r="AG867" i="13"/>
  <c r="AG238" i="13"/>
  <c r="AG704" i="13"/>
  <c r="AG249" i="13"/>
  <c r="AG814" i="13"/>
  <c r="AG536" i="13"/>
  <c r="AG254" i="13"/>
  <c r="AG411" i="13"/>
  <c r="AG995" i="13"/>
  <c r="AG424" i="13"/>
  <c r="AG601" i="13"/>
  <c r="AG821" i="13"/>
  <c r="AG977" i="13"/>
  <c r="AG466" i="13"/>
  <c r="AG665" i="13"/>
  <c r="AG583" i="13"/>
  <c r="AG359" i="13"/>
  <c r="AG780" i="13"/>
  <c r="AG778" i="13"/>
  <c r="AG258" i="13"/>
  <c r="AG294" i="13"/>
  <c r="AG835" i="13"/>
  <c r="AG860" i="13"/>
  <c r="AG719" i="13"/>
  <c r="AG687" i="13"/>
  <c r="AG789" i="13"/>
  <c r="AG959" i="13"/>
  <c r="AG279" i="13"/>
  <c r="AG291" i="13"/>
  <c r="AG986" i="13"/>
  <c r="AG344" i="13"/>
  <c r="AG523" i="13"/>
  <c r="AG348" i="13"/>
  <c r="AG257" i="13"/>
  <c r="AG417" i="13"/>
  <c r="AG365" i="13"/>
  <c r="AG310" i="13"/>
  <c r="AG677" i="13"/>
  <c r="AG300" i="13"/>
  <c r="AG736" i="13"/>
  <c r="AG841" i="13"/>
  <c r="AG756" i="13"/>
  <c r="AG441" i="13"/>
  <c r="AG243" i="13"/>
  <c r="AG555" i="13"/>
  <c r="AG526" i="13"/>
  <c r="AG683" i="13"/>
  <c r="AG350" i="13"/>
  <c r="AG357" i="13"/>
  <c r="AG733" i="13"/>
  <c r="AG324" i="13"/>
  <c r="AG503" i="13"/>
  <c r="AG262" i="13"/>
  <c r="AG347" i="13"/>
  <c r="AG749" i="13"/>
  <c r="AG311" i="13"/>
  <c r="AG720" i="13"/>
  <c r="AG430" i="13"/>
  <c r="AG654" i="13"/>
  <c r="AG985" i="13"/>
  <c r="AG533" i="13"/>
  <c r="AG963" i="13"/>
  <c r="AG742" i="13"/>
  <c r="AG407" i="13"/>
  <c r="AG416" i="13"/>
  <c r="AG326" i="13"/>
  <c r="AG308" i="13"/>
  <c r="AG755" i="13"/>
  <c r="AG649" i="13"/>
  <c r="AG522" i="13"/>
  <c r="AG546" i="13"/>
  <c r="AG293" i="13"/>
  <c r="AG1002" i="13"/>
  <c r="AG480" i="13"/>
  <c r="AG256" i="13"/>
  <c r="AG830" i="13"/>
  <c r="AG445" i="13"/>
  <c r="AG271" i="13"/>
  <c r="AG662" i="13"/>
  <c r="AG557" i="13"/>
  <c r="AG332" i="13"/>
  <c r="AG800" i="13"/>
  <c r="AG579" i="13"/>
  <c r="AG240" i="13"/>
  <c r="AG627" i="13"/>
  <c r="AG233" i="13"/>
  <c r="AG848" i="13"/>
  <c r="AG232" i="13"/>
  <c r="AG611" i="13"/>
  <c r="AG337" i="13"/>
  <c r="AG849" i="13"/>
  <c r="AG452" i="13"/>
  <c r="AG222" i="13"/>
  <c r="AG993" i="13"/>
  <c r="AG801" i="13"/>
  <c r="AG658" i="13"/>
  <c r="AG498" i="13"/>
  <c r="AG234" i="13"/>
  <c r="AG949" i="13"/>
  <c r="AG743" i="13"/>
  <c r="AG907" i="13"/>
  <c r="AG577" i="13"/>
  <c r="AG871" i="13"/>
  <c r="AG888" i="13"/>
  <c r="AG433" i="13"/>
  <c r="AG1004" i="13"/>
  <c r="AG697" i="13"/>
  <c r="AG926" i="13"/>
  <c r="AG910" i="13"/>
  <c r="AG400" i="13"/>
  <c r="AG571" i="13"/>
  <c r="AG930" i="13"/>
  <c r="AG812" i="13"/>
  <c r="AG641" i="13"/>
  <c r="AG264" i="13"/>
  <c r="AG455" i="13"/>
  <c r="AG393" i="13"/>
  <c r="AG840" i="13"/>
  <c r="AG1001" i="13"/>
  <c r="AG506" i="13"/>
  <c r="AG650" i="13"/>
  <c r="AG422" i="13"/>
  <c r="AG318" i="13"/>
  <c r="AG679" i="13"/>
  <c r="AG678" i="13"/>
  <c r="AG950" i="13"/>
  <c r="AG372" i="13"/>
  <c r="AG866" i="13"/>
  <c r="AG483" i="13"/>
  <c r="AG346" i="13"/>
  <c r="AG877" i="13"/>
  <c r="AG710" i="13"/>
  <c r="AG774" i="13"/>
  <c r="AG723" i="13"/>
  <c r="AG325" i="13"/>
  <c r="AG513" i="13"/>
  <c r="AG333" i="13"/>
  <c r="AG477" i="13"/>
  <c r="AG349" i="13"/>
  <c r="AG620" i="13"/>
  <c r="AG752" i="13"/>
  <c r="AG379" i="13"/>
  <c r="AG574" i="13"/>
  <c r="AG692" i="13"/>
  <c r="AG982" i="13"/>
  <c r="AG532" i="13"/>
  <c r="AG462" i="13"/>
  <c r="AG747" i="13"/>
  <c r="AG893" i="13"/>
  <c r="AG889" i="13"/>
  <c r="AG916" i="13"/>
  <c r="AG593" i="13"/>
  <c r="AG623" i="13"/>
  <c r="AG690" i="13"/>
  <c r="AG880" i="13"/>
  <c r="AG501" i="13"/>
  <c r="AG273" i="13"/>
  <c r="AG808" i="13"/>
  <c r="AG415" i="13"/>
  <c r="AG242" i="13"/>
  <c r="AG698" i="13"/>
  <c r="AG282" i="13"/>
  <c r="AG967" i="13"/>
  <c r="AG760" i="13"/>
  <c r="AG499" i="13"/>
  <c r="AG296" i="13"/>
  <c r="AG635" i="13"/>
  <c r="AG380" i="13"/>
  <c r="AG827" i="13"/>
  <c r="AG226" i="13"/>
  <c r="AG541" i="13"/>
  <c r="AG276" i="13"/>
  <c r="AG772" i="13"/>
  <c r="AG427" i="13"/>
  <c r="AG807" i="13"/>
  <c r="AG713" i="13"/>
  <c r="AG388" i="13"/>
  <c r="AG473" i="13"/>
  <c r="AG319" i="13"/>
  <c r="AG740" i="13"/>
  <c r="AG465" i="13"/>
  <c r="AG632" i="13"/>
  <c r="AG484" i="13"/>
  <c r="AG716" i="13"/>
  <c r="AG1003" i="13"/>
  <c r="AG616" i="13"/>
  <c r="AG788" i="13"/>
  <c r="AG689" i="13"/>
  <c r="AG804" i="13"/>
  <c r="AG566" i="13"/>
  <c r="AG237" i="13"/>
  <c r="AG921" i="13"/>
  <c r="AG582" i="13"/>
  <c r="AG534" i="13"/>
  <c r="AG542" i="13"/>
  <c r="AG815" i="13"/>
  <c r="AG929" i="13"/>
  <c r="AG409" i="13"/>
  <c r="AG707" i="13"/>
  <c r="AG463" i="13"/>
  <c r="AG937" i="13"/>
  <c r="AG383" i="13"/>
  <c r="AG757" i="13"/>
  <c r="AG255" i="13"/>
  <c r="AG320" i="13"/>
  <c r="AG785" i="13"/>
  <c r="AG961" i="13"/>
  <c r="AG671" i="13"/>
  <c r="AG626" i="13"/>
  <c r="AG373" i="13"/>
  <c r="AG666" i="13"/>
  <c r="AG912" i="13"/>
  <c r="AG826" i="13"/>
  <c r="AG782" i="13"/>
  <c r="AG989" i="13"/>
  <c r="AG530" i="13"/>
  <c r="AG553" i="13"/>
  <c r="AG488" i="13"/>
  <c r="AG231" i="13"/>
  <c r="AG966" i="13"/>
  <c r="AG609" i="13"/>
  <c r="AG702" i="13"/>
  <c r="AG469" i="13"/>
  <c r="AG299" i="13"/>
  <c r="AG334" i="13"/>
  <c r="AG864" i="13"/>
  <c r="AG802" i="13"/>
  <c r="AG885" i="13"/>
  <c r="AG876" i="13"/>
  <c r="AG485" i="13"/>
  <c r="AG509" i="13"/>
  <c r="AG964" i="13"/>
  <c r="AG799" i="13"/>
  <c r="AG504" i="13"/>
  <c r="AG398" i="13"/>
  <c r="AG879" i="13"/>
  <c r="AG265" i="13"/>
  <c r="AG364" i="13"/>
  <c r="AG655" i="13"/>
  <c r="AG394" i="13"/>
  <c r="AG486" i="13"/>
  <c r="AG315" i="13"/>
  <c r="AG709" i="13"/>
  <c r="AG767" i="13"/>
  <c r="AG856" i="13"/>
  <c r="AG779" i="13"/>
  <c r="AG443" i="13"/>
  <c r="AG246" i="13"/>
  <c r="AG725" i="13"/>
  <c r="AG453" i="13"/>
  <c r="AG230" i="13"/>
  <c r="AG625" i="13"/>
  <c r="AG1005" i="13"/>
  <c r="AG981" i="13"/>
  <c r="AG768" i="13"/>
  <c r="AG510" i="13"/>
  <c r="AG468" i="13"/>
  <c r="AG651" i="13"/>
  <c r="AG288" i="13"/>
  <c r="AG660" i="13"/>
  <c r="AG715" i="13"/>
  <c r="AG538" i="13"/>
  <c r="AG228" i="13"/>
  <c r="AG746" i="13"/>
  <c r="AG327" i="13"/>
  <c r="AG794" i="13"/>
  <c r="AG397" i="13"/>
  <c r="AG399" i="13"/>
  <c r="AG1008" i="13"/>
  <c r="AG936" i="13"/>
  <c r="AG685" i="13"/>
  <c r="AG588" i="13"/>
  <c r="AG328" i="13"/>
  <c r="AG559" i="13"/>
  <c r="AG918" i="13"/>
  <c r="AG766" i="13"/>
  <c r="AG354" i="13"/>
  <c r="AG724" i="13"/>
  <c r="AG475" i="13"/>
  <c r="AG987" i="13"/>
  <c r="AG467" i="13"/>
  <c r="AG903" i="13"/>
  <c r="AG376" i="13"/>
  <c r="AG818" i="13"/>
  <c r="AG745" i="13"/>
  <c r="AG575" i="13"/>
  <c r="AG267" i="13"/>
  <c r="AG834" i="13"/>
  <c r="AG759" i="13"/>
  <c r="AG235" i="13"/>
  <c r="AG659" i="13"/>
  <c r="AG884" i="13"/>
  <c r="AG718" i="13"/>
  <c r="AG600" i="13"/>
  <c r="AG531" i="13"/>
  <c r="AG599" i="13"/>
  <c r="AG762" i="13"/>
  <c r="AG694" i="13"/>
  <c r="AG313" i="13"/>
  <c r="AG934" i="13"/>
  <c r="AG974" i="13"/>
  <c r="AG971" i="13"/>
  <c r="AG642" i="13"/>
  <c r="AG852" i="13"/>
  <c r="AG943" i="13"/>
  <c r="AG998" i="13"/>
  <c r="AG763" i="13"/>
  <c r="AG851" i="13"/>
  <c r="AG278" i="13"/>
  <c r="AG816" i="13"/>
  <c r="AG554" i="13"/>
  <c r="AG855" i="13"/>
  <c r="AG481" i="13"/>
  <c r="AG927" i="13"/>
  <c r="AG385" i="13"/>
  <c r="AG547" i="13"/>
  <c r="AG948" i="13"/>
  <c r="AG621" i="13"/>
  <c r="AG688" i="13"/>
  <c r="AG695" i="13"/>
  <c r="AG497" i="13"/>
  <c r="AG511" i="13"/>
  <c r="AG786" i="13"/>
  <c r="AG708" i="13"/>
  <c r="AG996" i="13"/>
  <c r="AG886" i="13"/>
  <c r="AG960" i="13"/>
  <c r="AG730" i="13"/>
  <c r="AG339" i="13"/>
  <c r="AG572" i="13"/>
  <c r="AG676" i="13"/>
  <c r="AG442" i="13"/>
  <c r="AG945" i="13"/>
  <c r="AG657" i="13"/>
  <c r="AG370" i="13"/>
  <c r="AG865" i="13"/>
  <c r="AG739" i="13"/>
  <c r="AG404" i="13"/>
  <c r="AG881" i="13"/>
  <c r="AG560" i="13"/>
  <c r="AG236" i="13"/>
  <c r="AG604" i="13"/>
  <c r="AG892" i="13"/>
  <c r="AG460" i="13"/>
  <c r="AG913" i="13"/>
  <c r="AG701" i="13"/>
  <c r="AG412" i="13"/>
  <c r="AG990" i="13"/>
  <c r="AG322" i="13"/>
  <c r="AG668" i="13"/>
  <c r="AG305" i="13"/>
  <c r="AG806" i="13"/>
  <c r="AG711" i="13"/>
  <c r="AG253" i="13"/>
  <c r="AG402" i="13"/>
  <c r="AG900" i="13"/>
  <c r="AG820" i="13"/>
  <c r="AG490" i="13"/>
  <c r="AG904" i="13"/>
  <c r="AG617" i="13"/>
  <c r="AG919" i="13"/>
  <c r="AG705" i="13"/>
  <c r="AG464" i="13"/>
  <c r="AG862" i="13"/>
  <c r="AG529" i="13"/>
  <c r="AG535" i="13"/>
  <c r="AG829" i="13"/>
  <c r="AG931" i="13"/>
  <c r="AG944" i="13"/>
  <c r="AG970" i="13"/>
  <c r="AG975" i="13"/>
  <c r="AG428" i="13"/>
  <c r="AG505" i="13"/>
  <c r="AG920" i="13"/>
  <c r="AG946" i="13"/>
  <c r="AG973" i="13"/>
  <c r="AG639" i="13"/>
  <c r="AG544" i="13"/>
  <c r="AG421" i="13"/>
  <c r="AG285" i="13"/>
  <c r="AG284" i="13"/>
  <c r="AG363" i="13"/>
  <c r="AG661" i="13"/>
  <c r="AG917" i="13"/>
  <c r="AG999" i="13"/>
  <c r="AG458" i="13"/>
  <c r="AG933" i="13"/>
  <c r="AG287" i="13"/>
  <c r="AG517" i="13"/>
  <c r="AG911" i="13"/>
  <c r="AG744" i="13"/>
  <c r="AG669" i="13"/>
  <c r="AG342" i="13"/>
  <c r="AG317" i="13"/>
  <c r="AG968" i="13"/>
  <c r="AG275" i="13"/>
  <c r="AG728" i="13"/>
  <c r="AG573" i="13"/>
  <c r="AG384" i="13"/>
  <c r="AG731" i="13"/>
  <c r="AG366" i="13"/>
  <c r="AG507" i="13"/>
  <c r="AG895" i="13"/>
  <c r="AG227" i="13"/>
  <c r="AG418" i="13"/>
  <c r="AG341" i="13"/>
  <c r="AG1009" i="13"/>
  <c r="AG619" i="13"/>
  <c r="AG323" i="13"/>
  <c r="AG843" i="13"/>
  <c r="AG646" i="13"/>
  <c r="AG451" i="13"/>
  <c r="AG796" i="13"/>
  <c r="AG568" i="13"/>
  <c r="AG252" i="13"/>
  <c r="AG873" i="13"/>
  <c r="AG706" i="13"/>
  <c r="AG297" i="13"/>
  <c r="AG824" i="13"/>
  <c r="AG389" i="13"/>
  <c r="AG218" i="13"/>
  <c r="AG413" i="13"/>
  <c r="AG847" i="13"/>
  <c r="AG457" i="13"/>
  <c r="AG890" i="13"/>
  <c r="AG598" i="13"/>
  <c r="AG272" i="13"/>
  <c r="AG403" i="13"/>
  <c r="AG537" i="13"/>
  <c r="AG198" i="13"/>
  <c r="AG107" i="13"/>
  <c r="AG128" i="13"/>
  <c r="AG7" i="13"/>
  <c r="AG120" i="13"/>
  <c r="AG74" i="13"/>
  <c r="AG39" i="13"/>
  <c r="AG93" i="13"/>
  <c r="AG159" i="13"/>
  <c r="AG78" i="13"/>
  <c r="AG61" i="13"/>
  <c r="AG156" i="13"/>
  <c r="AG217" i="13"/>
  <c r="AG123" i="13"/>
  <c r="AG33" i="13"/>
  <c r="AG75" i="13"/>
  <c r="AG108" i="13"/>
  <c r="AG68" i="13"/>
  <c r="AG168" i="13"/>
  <c r="AG174" i="13"/>
  <c r="AG80" i="13"/>
  <c r="AG20" i="13"/>
  <c r="AG27" i="13"/>
  <c r="AG135" i="13"/>
  <c r="AG207" i="13"/>
  <c r="AG157" i="13"/>
  <c r="AG115" i="13"/>
  <c r="AG89" i="13"/>
  <c r="AG117" i="13"/>
  <c r="AG94" i="13"/>
  <c r="AG154" i="13"/>
  <c r="AG167" i="13"/>
  <c r="AG140" i="13"/>
  <c r="AG202" i="13"/>
  <c r="AG212" i="13"/>
  <c r="AG169" i="13"/>
  <c r="AG111" i="13"/>
  <c r="AG38" i="13"/>
  <c r="AG60" i="13"/>
  <c r="AG189" i="13"/>
  <c r="AG51" i="13"/>
  <c r="AG42" i="13"/>
  <c r="AG137" i="13"/>
  <c r="AG148" i="13"/>
  <c r="AG8" i="13"/>
  <c r="AG5" i="13"/>
  <c r="AG19" i="13"/>
  <c r="AG194" i="13"/>
  <c r="AG134" i="13"/>
  <c r="AG164" i="13"/>
  <c r="AG50" i="13"/>
  <c r="AG95" i="13"/>
  <c r="AG90" i="13"/>
  <c r="AG105" i="13"/>
  <c r="AG46" i="13"/>
  <c r="AG143" i="13"/>
  <c r="AG32" i="13"/>
  <c r="AG213" i="13"/>
  <c r="AG122" i="13"/>
  <c r="AG63" i="13"/>
  <c r="AG79" i="13"/>
  <c r="AG144" i="13"/>
  <c r="AG209" i="13"/>
  <c r="AG52" i="13"/>
  <c r="AG153" i="13"/>
  <c r="AG210" i="13"/>
  <c r="AG16" i="13"/>
  <c r="AG86" i="13"/>
  <c r="AG112" i="13"/>
  <c r="AG41" i="13"/>
  <c r="AG187" i="13"/>
  <c r="AG127" i="13"/>
  <c r="AG64" i="13"/>
  <c r="AG195" i="13"/>
  <c r="AG69" i="13"/>
  <c r="AG92" i="13"/>
  <c r="AG206" i="13"/>
  <c r="AG104" i="13"/>
  <c r="AG102" i="13"/>
  <c r="AG203" i="13"/>
  <c r="AG205" i="13"/>
  <c r="AG73" i="13"/>
  <c r="AG165" i="13"/>
  <c r="AG141" i="13"/>
  <c r="AG59" i="13"/>
  <c r="AG87" i="13"/>
  <c r="AG196" i="13"/>
  <c r="AG139" i="13"/>
  <c r="AG35" i="13"/>
  <c r="AG163" i="13"/>
  <c r="AG18" i="13"/>
  <c r="AG199" i="13"/>
  <c r="AG49" i="13"/>
  <c r="AG58" i="13"/>
  <c r="AG54" i="13"/>
  <c r="AG55" i="13"/>
  <c r="AG34" i="13"/>
  <c r="AG188" i="13"/>
  <c r="AG97" i="13"/>
  <c r="AG14" i="13"/>
  <c r="AG183" i="13"/>
  <c r="AG121" i="13"/>
  <c r="AG70" i="13"/>
  <c r="AG81" i="13"/>
  <c r="AG182" i="13"/>
  <c r="AG13" i="13"/>
  <c r="AG145" i="13"/>
  <c r="AG146" i="13"/>
  <c r="AG113" i="13"/>
  <c r="AG17" i="13"/>
  <c r="AG88" i="13"/>
  <c r="AG24" i="13"/>
  <c r="AG67" i="13"/>
  <c r="AG37" i="13"/>
  <c r="AG170" i="13"/>
  <c r="AG175" i="13"/>
  <c r="AG132" i="13"/>
  <c r="AG158" i="13"/>
  <c r="AG12" i="13"/>
  <c r="AG40" i="13"/>
  <c r="AG166" i="13"/>
  <c r="AG76" i="13"/>
  <c r="AG161" i="13"/>
  <c r="AG118" i="13"/>
  <c r="AG131" i="13"/>
  <c r="AG30" i="13"/>
  <c r="AG85" i="13"/>
  <c r="AG173" i="13"/>
  <c r="AG150" i="13"/>
  <c r="AG133" i="13"/>
  <c r="AG214" i="13"/>
  <c r="AG21" i="13"/>
  <c r="AG43" i="13"/>
  <c r="AG110" i="13"/>
  <c r="AG129" i="13"/>
  <c r="AG44" i="13"/>
  <c r="E35" i="24"/>
  <c r="E27" i="24"/>
  <c r="E19" i="24"/>
  <c r="E11" i="24"/>
  <c r="E20" i="22"/>
  <c r="E12" i="22"/>
  <c r="E9" i="38"/>
  <c r="E34" i="24"/>
  <c r="E26" i="24"/>
  <c r="E18" i="24"/>
  <c r="E10" i="24"/>
  <c r="E19" i="22"/>
  <c r="E11" i="22"/>
  <c r="E10" i="38"/>
  <c r="E33" i="24"/>
  <c r="E25" i="24"/>
  <c r="E17" i="24"/>
  <c r="E9" i="24"/>
  <c r="E18" i="22"/>
  <c r="E10" i="22"/>
  <c r="E11" i="38"/>
  <c r="E32" i="24"/>
  <c r="E24" i="24"/>
  <c r="E16" i="24"/>
  <c r="E17" i="22"/>
  <c r="E9" i="22"/>
  <c r="E12" i="38"/>
  <c r="E31" i="24"/>
  <c r="E23" i="24"/>
  <c r="E15" i="24"/>
  <c r="E16" i="22"/>
  <c r="E9" i="32"/>
  <c r="E13" i="38"/>
  <c r="E30" i="24"/>
  <c r="E22" i="24"/>
  <c r="E14" i="24"/>
  <c r="E15" i="22"/>
  <c r="E14" i="38"/>
  <c r="E29" i="24"/>
  <c r="E21" i="24"/>
  <c r="E13" i="24"/>
  <c r="E14" i="22"/>
  <c r="E16" i="38"/>
  <c r="E36" i="24"/>
  <c r="E28" i="24"/>
  <c r="E20" i="24"/>
  <c r="E12" i="24"/>
  <c r="E21" i="22"/>
  <c r="E13" i="22"/>
  <c r="E17" i="38"/>
  <c r="AG119" i="13"/>
  <c r="AG186" i="13"/>
  <c r="AG66" i="13"/>
  <c r="AG177" i="13"/>
  <c r="AG162" i="13"/>
  <c r="AG11" i="13"/>
  <c r="AG101" i="13"/>
  <c r="AG130" i="13"/>
  <c r="AG57" i="13"/>
  <c r="AG91" i="13"/>
  <c r="AG178" i="13"/>
  <c r="AG100" i="13"/>
  <c r="I39" i="31"/>
  <c r="I38" i="31"/>
  <c r="I40" i="31"/>
  <c r="AG138" i="13"/>
  <c r="AG96" i="13"/>
  <c r="AG84" i="13"/>
  <c r="I41" i="31"/>
  <c r="AG77" i="13"/>
  <c r="AG151" i="13"/>
  <c r="AG9" i="13"/>
  <c r="AG172" i="13"/>
  <c r="AG82" i="13"/>
  <c r="AG26" i="13"/>
  <c r="AG22" i="13"/>
  <c r="AG181" i="13"/>
  <c r="AG180" i="13"/>
  <c r="AG179" i="13"/>
  <c r="AG99" i="13"/>
  <c r="AG29" i="13"/>
  <c r="AG192" i="13"/>
  <c r="AG171" i="13"/>
  <c r="AG15" i="13"/>
  <c r="AG31" i="13"/>
  <c r="AG136" i="13"/>
  <c r="AG124" i="13"/>
  <c r="AG193" i="13"/>
  <c r="AG48" i="13"/>
  <c r="AG65" i="13"/>
  <c r="AG114" i="13"/>
  <c r="AG106" i="13"/>
  <c r="AG53" i="13"/>
  <c r="AG208" i="13"/>
  <c r="K35" i="31"/>
  <c r="AG6" i="13"/>
  <c r="AG72" i="13"/>
  <c r="AG28" i="13"/>
  <c r="AG176" i="13"/>
  <c r="AG211" i="13"/>
  <c r="AG45" i="13"/>
  <c r="AG36" i="13"/>
  <c r="AG152" i="13"/>
  <c r="AG155" i="13"/>
  <c r="AG149" i="13"/>
  <c r="AG103" i="13"/>
  <c r="AG47" i="13"/>
  <c r="AG83" i="13"/>
  <c r="AG126" i="13"/>
  <c r="AG200" i="13"/>
  <c r="AG62" i="13"/>
  <c r="AG197" i="13"/>
  <c r="AG201" i="13"/>
  <c r="AG147" i="13"/>
  <c r="AG184" i="13"/>
  <c r="AG25" i="13"/>
  <c r="AG160" i="13"/>
  <c r="AG109" i="13"/>
  <c r="AG215" i="13"/>
  <c r="AG125" i="13"/>
  <c r="AG185" i="13"/>
  <c r="AG142" i="13"/>
  <c r="AG10" i="13"/>
  <c r="AG98" i="13"/>
  <c r="AG23" i="13"/>
  <c r="AG190" i="13"/>
  <c r="AG56" i="13"/>
  <c r="AG116" i="13"/>
  <c r="AG204" i="13"/>
  <c r="AG191" i="13"/>
  <c r="AG71" i="13"/>
  <c r="O29" i="31"/>
  <c r="M33" i="31"/>
  <c r="E38" i="31"/>
  <c r="E16" i="19" l="1"/>
  <c r="F16" i="19" s="1"/>
  <c r="E12" i="19"/>
  <c r="F12" i="19" s="1"/>
  <c r="E11" i="19"/>
  <c r="F11" i="19" s="1"/>
  <c r="E10" i="19"/>
  <c r="F10" i="19" s="1"/>
  <c r="E9" i="19"/>
  <c r="F9" i="19" s="1"/>
  <c r="E8" i="19"/>
  <c r="F8" i="19" s="1"/>
  <c r="M35" i="31"/>
  <c r="M37" i="31" s="1"/>
  <c r="K37" i="31"/>
  <c r="F10" i="22" s="1"/>
  <c r="G10" i="22" s="1"/>
  <c r="Q29" i="31"/>
  <c r="Q33" i="31" s="1"/>
  <c r="O33" i="31"/>
  <c r="F10" i="32" l="1"/>
  <c r="G10" i="32" s="1"/>
  <c r="F13" i="32"/>
  <c r="G13" i="32" s="1"/>
  <c r="F11" i="32"/>
  <c r="G11" i="32" s="1"/>
  <c r="F15" i="38"/>
  <c r="G15" i="38" s="1"/>
  <c r="F23" i="24"/>
  <c r="G23" i="24" s="1"/>
  <c r="F11" i="22"/>
  <c r="G11" i="22" s="1"/>
  <c r="F14" i="24"/>
  <c r="G14" i="24" s="1"/>
  <c r="F15" i="24"/>
  <c r="G15" i="24" s="1"/>
  <c r="F16" i="22"/>
  <c r="G16" i="22" s="1"/>
  <c r="F19" i="22"/>
  <c r="G19" i="22" s="1"/>
  <c r="F9" i="32"/>
  <c r="G9" i="32" s="1"/>
  <c r="F9" i="38"/>
  <c r="G9" i="38" s="1"/>
  <c r="F10" i="38"/>
  <c r="G10" i="38" s="1"/>
  <c r="F11" i="38"/>
  <c r="G11" i="38" s="1"/>
  <c r="F12" i="38"/>
  <c r="G12" i="38" s="1"/>
  <c r="F13" i="38"/>
  <c r="G13" i="38" s="1"/>
  <c r="F14" i="38"/>
  <c r="G14" i="38" s="1"/>
  <c r="F16" i="38"/>
  <c r="G16" i="38" s="1"/>
  <c r="F17" i="38"/>
  <c r="G17" i="38" s="1"/>
  <c r="F15" i="22"/>
  <c r="G15" i="22" s="1"/>
  <c r="F11" i="24"/>
  <c r="G11" i="24" s="1"/>
  <c r="F18" i="22"/>
  <c r="G18" i="22" s="1"/>
  <c r="F29" i="24"/>
  <c r="G29" i="24" s="1"/>
  <c r="F21" i="22"/>
  <c r="G21" i="22" s="1"/>
  <c r="F10" i="24"/>
  <c r="G10" i="24" s="1"/>
  <c r="F9" i="22"/>
  <c r="G9" i="22" s="1"/>
  <c r="F28" i="24"/>
  <c r="G28" i="24" s="1"/>
  <c r="F16" i="24"/>
  <c r="G16" i="24" s="1"/>
  <c r="F14" i="22"/>
  <c r="G14" i="22" s="1"/>
  <c r="F13" i="22"/>
  <c r="G13" i="22" s="1"/>
  <c r="F35" i="24"/>
  <c r="G35" i="24" s="1"/>
  <c r="K39" i="31"/>
  <c r="M39" i="31" s="1"/>
  <c r="K38" i="31"/>
  <c r="M38" i="31" s="1"/>
  <c r="F9" i="24"/>
  <c r="G9" i="24" s="1"/>
  <c r="F36" i="24"/>
  <c r="G36" i="24" s="1"/>
  <c r="F30" i="24"/>
  <c r="G30" i="24" s="1"/>
  <c r="F24" i="24"/>
  <c r="G24" i="24" s="1"/>
  <c r="F12" i="24"/>
  <c r="G12" i="24" s="1"/>
  <c r="F27" i="24"/>
  <c r="G27" i="24" s="1"/>
  <c r="F19" i="24"/>
  <c r="G19" i="24" s="1"/>
  <c r="F17" i="22"/>
  <c r="G17" i="22" s="1"/>
  <c r="K41" i="31"/>
  <c r="M41" i="31" s="1"/>
  <c r="F31" i="24"/>
  <c r="G31" i="24" s="1"/>
  <c r="F33" i="24"/>
  <c r="G33" i="24" s="1"/>
  <c r="F26" i="24"/>
  <c r="G26" i="24" s="1"/>
  <c r="F18" i="24"/>
  <c r="G18" i="24" s="1"/>
  <c r="K40" i="31"/>
  <c r="M40" i="31" s="1"/>
  <c r="F20" i="24"/>
  <c r="G20" i="24" s="1"/>
  <c r="F22" i="24"/>
  <c r="G22" i="24" s="1"/>
  <c r="F20" i="22"/>
  <c r="G20" i="22" s="1"/>
  <c r="F34" i="24"/>
  <c r="G34" i="24" s="1"/>
  <c r="F32" i="24"/>
  <c r="G32" i="24" s="1"/>
  <c r="F25" i="24"/>
  <c r="G25" i="24" s="1"/>
  <c r="F17" i="24"/>
  <c r="G17" i="24" s="1"/>
  <c r="F21" i="24"/>
  <c r="G21" i="24" s="1"/>
  <c r="F12" i="22"/>
  <c r="G12" i="22" s="1"/>
  <c r="F13" i="24"/>
  <c r="G13" i="24" s="1"/>
  <c r="O35" i="31"/>
  <c r="O37" i="31" s="1"/>
  <c r="H10" i="22" s="1"/>
  <c r="Q35" i="31"/>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107" i="13"/>
  <c r="E108" i="13"/>
  <c r="E109" i="13"/>
  <c r="E110" i="13"/>
  <c r="E111" i="13"/>
  <c r="E112" i="13"/>
  <c r="E113" i="13"/>
  <c r="E114" i="13"/>
  <c r="E115" i="13"/>
  <c r="E116" i="13"/>
  <c r="E117" i="13"/>
  <c r="E144" i="13"/>
  <c r="E145" i="13"/>
  <c r="E146" i="13"/>
  <c r="E147" i="13"/>
  <c r="E148" i="13"/>
  <c r="E149" i="13"/>
  <c r="E150" i="13"/>
  <c r="E151" i="13"/>
  <c r="E152" i="13"/>
  <c r="E153" i="13"/>
  <c r="E154" i="13"/>
  <c r="E172" i="13"/>
  <c r="E173" i="13"/>
  <c r="E174" i="13"/>
  <c r="E175" i="13"/>
  <c r="E176" i="13"/>
  <c r="E177" i="13"/>
  <c r="E178" i="13"/>
  <c r="E179" i="13"/>
  <c r="E180" i="13"/>
  <c r="E181" i="13"/>
  <c r="E182" i="13"/>
  <c r="E183" i="13"/>
  <c r="E184" i="13"/>
  <c r="E185" i="13"/>
  <c r="E201" i="13"/>
  <c r="E202" i="13"/>
  <c r="E203" i="13"/>
  <c r="E204" i="13"/>
  <c r="E205" i="13"/>
  <c r="E206" i="13"/>
  <c r="E207"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107" i="13"/>
  <c r="D108" i="13"/>
  <c r="D109" i="13"/>
  <c r="D110" i="13"/>
  <c r="D111" i="13"/>
  <c r="D112" i="13"/>
  <c r="D113" i="13"/>
  <c r="D114" i="13"/>
  <c r="D115" i="13"/>
  <c r="D116" i="13"/>
  <c r="D117" i="13"/>
  <c r="D144" i="13"/>
  <c r="D145" i="13"/>
  <c r="D146" i="13"/>
  <c r="D147" i="13"/>
  <c r="D148" i="13"/>
  <c r="D149" i="13"/>
  <c r="D150" i="13"/>
  <c r="D151" i="13"/>
  <c r="D152" i="13"/>
  <c r="D153" i="13"/>
  <c r="D154" i="13"/>
  <c r="D172" i="13"/>
  <c r="D173" i="13"/>
  <c r="D174" i="13"/>
  <c r="D175" i="13"/>
  <c r="D176" i="13"/>
  <c r="D177" i="13"/>
  <c r="D178" i="13"/>
  <c r="D179" i="13"/>
  <c r="D180" i="13"/>
  <c r="D181" i="13"/>
  <c r="D182" i="13"/>
  <c r="D183" i="13"/>
  <c r="D184" i="13"/>
  <c r="D185" i="13"/>
  <c r="D201" i="13"/>
  <c r="D202" i="13"/>
  <c r="D203" i="13"/>
  <c r="D204" i="13"/>
  <c r="D205" i="13"/>
  <c r="D206" i="13"/>
  <c r="D207"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107" i="13"/>
  <c r="C108" i="13"/>
  <c r="C109" i="13"/>
  <c r="C110" i="13"/>
  <c r="C111" i="13"/>
  <c r="C112" i="13"/>
  <c r="C113" i="13"/>
  <c r="C114" i="13"/>
  <c r="C115" i="13"/>
  <c r="C116" i="13"/>
  <c r="C117" i="13"/>
  <c r="C144" i="13"/>
  <c r="C145" i="13"/>
  <c r="C146" i="13"/>
  <c r="C147" i="13"/>
  <c r="C148" i="13"/>
  <c r="C149" i="13"/>
  <c r="C150" i="13"/>
  <c r="C151" i="13"/>
  <c r="C152" i="13"/>
  <c r="C153" i="13"/>
  <c r="C154" i="13"/>
  <c r="C172" i="13"/>
  <c r="C173" i="13"/>
  <c r="C174" i="13"/>
  <c r="C175" i="13"/>
  <c r="C176" i="13"/>
  <c r="C177" i="13"/>
  <c r="C178" i="13"/>
  <c r="C179" i="13"/>
  <c r="C180" i="13"/>
  <c r="C181" i="13"/>
  <c r="C182" i="13"/>
  <c r="C183" i="13"/>
  <c r="C184" i="13"/>
  <c r="C185" i="13"/>
  <c r="C201" i="13"/>
  <c r="C202" i="13"/>
  <c r="C203" i="13"/>
  <c r="C204" i="13"/>
  <c r="C205" i="13"/>
  <c r="C206" i="13"/>
  <c r="C207" i="13"/>
  <c r="H15" i="38" l="1"/>
  <c r="H11" i="32"/>
  <c r="H13" i="32"/>
  <c r="H10" i="32"/>
  <c r="H22" i="24"/>
  <c r="O39" i="31"/>
  <c r="H17" i="24"/>
  <c r="H13" i="22"/>
  <c r="H10" i="24"/>
  <c r="H25" i="24"/>
  <c r="H26" i="24"/>
  <c r="H24" i="24"/>
  <c r="I24" i="24" s="1"/>
  <c r="H21" i="22"/>
  <c r="H13" i="24"/>
  <c r="H15" i="22"/>
  <c r="H12" i="22"/>
  <c r="H18" i="24"/>
  <c r="I18" i="24" s="1"/>
  <c r="H32" i="24"/>
  <c r="H33" i="24"/>
  <c r="H30" i="24"/>
  <c r="I30" i="24" s="1"/>
  <c r="H17" i="22"/>
  <c r="H12" i="24"/>
  <c r="Q37" i="31"/>
  <c r="I10" i="22" s="1"/>
  <c r="H14" i="22"/>
  <c r="H11" i="24"/>
  <c r="I11" i="24" s="1"/>
  <c r="H15" i="24"/>
  <c r="I15" i="24" s="1"/>
  <c r="O38" i="31"/>
  <c r="Q38" i="31" s="1"/>
  <c r="H14" i="24"/>
  <c r="I14" i="24" s="1"/>
  <c r="H20" i="24"/>
  <c r="I20" i="24" s="1"/>
  <c r="H19" i="24"/>
  <c r="I19" i="24" s="1"/>
  <c r="H21" i="24"/>
  <c r="I21" i="24" s="1"/>
  <c r="H16" i="24"/>
  <c r="I16" i="24" s="1"/>
  <c r="H34" i="24"/>
  <c r="I34" i="24" s="1"/>
  <c r="H31" i="24"/>
  <c r="I31" i="24" s="1"/>
  <c r="H36" i="24"/>
  <c r="I36" i="24" s="1"/>
  <c r="H29" i="24"/>
  <c r="I29" i="24" s="1"/>
  <c r="H19" i="22"/>
  <c r="I19" i="22" s="1"/>
  <c r="H9" i="32"/>
  <c r="I9" i="32" s="1"/>
  <c r="H9" i="38"/>
  <c r="I9" i="38" s="1"/>
  <c r="H10" i="38"/>
  <c r="I10" i="38" s="1"/>
  <c r="H11" i="38"/>
  <c r="I11" i="38" s="1"/>
  <c r="H12" i="38"/>
  <c r="I12" i="38" s="1"/>
  <c r="H13" i="38"/>
  <c r="I13" i="38" s="1"/>
  <c r="H14" i="38"/>
  <c r="I14" i="38" s="1"/>
  <c r="H16" i="38"/>
  <c r="I16" i="38" s="1"/>
  <c r="H17" i="38"/>
  <c r="I17" i="38" s="1"/>
  <c r="H20" i="22"/>
  <c r="I20" i="22" s="1"/>
  <c r="O41" i="31"/>
  <c r="Q41" i="31" s="1"/>
  <c r="H9" i="24"/>
  <c r="I9" i="24" s="1"/>
  <c r="H18" i="22"/>
  <c r="I18" i="22" s="1"/>
  <c r="H16" i="22"/>
  <c r="I16" i="22" s="1"/>
  <c r="O40" i="31"/>
  <c r="Q40" i="31" s="1"/>
  <c r="H27" i="24"/>
  <c r="I27" i="24" s="1"/>
  <c r="H35" i="24"/>
  <c r="I35" i="24" s="1"/>
  <c r="H28" i="24"/>
  <c r="I28" i="24" s="1"/>
  <c r="H11" i="22"/>
  <c r="I11" i="22" s="1"/>
  <c r="H9" i="22"/>
  <c r="I9" i="22" s="1"/>
  <c r="H23" i="24"/>
  <c r="I23" i="24" s="1"/>
  <c r="I17" i="22" l="1"/>
  <c r="I21" i="22"/>
  <c r="I22" i="24"/>
  <c r="I10" i="32"/>
  <c r="I32" i="24"/>
  <c r="I13" i="32"/>
  <c r="I10" i="24"/>
  <c r="I14" i="22"/>
  <c r="I12" i="22"/>
  <c r="I13" i="22"/>
  <c r="I11" i="32"/>
  <c r="I15" i="38"/>
  <c r="I33" i="24"/>
  <c r="I26" i="24"/>
  <c r="I25"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D207" i="13" l="1"/>
  <c r="BD206" i="13"/>
  <c r="BD205" i="13"/>
  <c r="BD204" i="13"/>
  <c r="BD203" i="13"/>
  <c r="BD202" i="13"/>
  <c r="BD201" i="13"/>
  <c r="BD185" i="13"/>
  <c r="BD184" i="13"/>
  <c r="BD183" i="13"/>
  <c r="BD182" i="13"/>
  <c r="BD181" i="13"/>
  <c r="BD180" i="13"/>
  <c r="BD179" i="13"/>
  <c r="BD178" i="13"/>
  <c r="BD177" i="13"/>
  <c r="BD176" i="13"/>
  <c r="BD175" i="13"/>
  <c r="BD174" i="13"/>
  <c r="BD173" i="13"/>
  <c r="BD172" i="13"/>
  <c r="BD154" i="13"/>
  <c r="BD153" i="13"/>
  <c r="BD152" i="13"/>
  <c r="BD151" i="13"/>
  <c r="BD150" i="13"/>
  <c r="BD149" i="13"/>
  <c r="BD148" i="13"/>
  <c r="BD147" i="13"/>
  <c r="BD146" i="13"/>
  <c r="BD145" i="13"/>
  <c r="BD144" i="13"/>
  <c r="BD117" i="13"/>
  <c r="BD116" i="13"/>
  <c r="BD115" i="13"/>
  <c r="BD114" i="13"/>
  <c r="BD113" i="13"/>
  <c r="BD112" i="13"/>
  <c r="BD111" i="13"/>
  <c r="BD110" i="13"/>
  <c r="BD109" i="13"/>
  <c r="BD108" i="13"/>
  <c r="BD107" i="13"/>
  <c r="BD98" i="13"/>
  <c r="BD97" i="13"/>
  <c r="BD96" i="13"/>
  <c r="BD95" i="13"/>
  <c r="BD94" i="13"/>
  <c r="BD93" i="13"/>
  <c r="BD92" i="13"/>
  <c r="BD91" i="13"/>
  <c r="BD90" i="13"/>
  <c r="BD89" i="13"/>
  <c r="BD88" i="13"/>
  <c r="BD87" i="13"/>
  <c r="BD86" i="13"/>
  <c r="BD85" i="13"/>
  <c r="BD84" i="13"/>
  <c r="BD83" i="13"/>
  <c r="BD82" i="13"/>
  <c r="BD81" i="13"/>
  <c r="BD80" i="13"/>
  <c r="BD79" i="13"/>
  <c r="BD78" i="13"/>
  <c r="BD77" i="13"/>
  <c r="BD76" i="13"/>
  <c r="BD75" i="13"/>
  <c r="BD74" i="13"/>
  <c r="BD73" i="13"/>
  <c r="BD72" i="13"/>
  <c r="BD71" i="13"/>
  <c r="BD70" i="13"/>
  <c r="BD69" i="13"/>
  <c r="BD68" i="13"/>
  <c r="BD67" i="13"/>
  <c r="BD66" i="13"/>
  <c r="BD65" i="13"/>
  <c r="BD64" i="13"/>
  <c r="BD63" i="13"/>
  <c r="BD62" i="13"/>
  <c r="BD61" i="13"/>
  <c r="BD60" i="13"/>
  <c r="BD59" i="13"/>
  <c r="BD58" i="13"/>
  <c r="BD57" i="13"/>
  <c r="BD56" i="13"/>
  <c r="BD55" i="13"/>
  <c r="BD54" i="13"/>
  <c r="BD53" i="13"/>
  <c r="BD52" i="13"/>
  <c r="BD51" i="13"/>
  <c r="BD50" i="13"/>
  <c r="BD49" i="13"/>
  <c r="BD48" i="13"/>
  <c r="BD47" i="13"/>
  <c r="BD46" i="13"/>
  <c r="BD45" i="13"/>
  <c r="BD44" i="13"/>
  <c r="BD43" i="13"/>
  <c r="BD42" i="13"/>
  <c r="BD41" i="13"/>
  <c r="BD40" i="13"/>
  <c r="BD39" i="13"/>
  <c r="BD38" i="13"/>
  <c r="BD37" i="13"/>
  <c r="BD36" i="13"/>
  <c r="BD35" i="13"/>
  <c r="BD34" i="13"/>
  <c r="BD33" i="13"/>
  <c r="BD32" i="13"/>
  <c r="BD31" i="13"/>
  <c r="BD30" i="13"/>
  <c r="BD29" i="13"/>
  <c r="BD28" i="13"/>
  <c r="BD27" i="13"/>
  <c r="BD26" i="13"/>
  <c r="BD25" i="13"/>
  <c r="BD24" i="13"/>
  <c r="BD23" i="13"/>
  <c r="BD22" i="13"/>
  <c r="BD21" i="13"/>
  <c r="BD20" i="13"/>
  <c r="BD19" i="13"/>
  <c r="BD18" i="13"/>
  <c r="BD17" i="13"/>
  <c r="BD16" i="13"/>
  <c r="BD15" i="13"/>
  <c r="BD14" i="13"/>
  <c r="BD13" i="13"/>
  <c r="BD12" i="13"/>
  <c r="BD11" i="13"/>
  <c r="BD10" i="13"/>
  <c r="BD9" i="13"/>
  <c r="BD8" i="13"/>
  <c r="BD7" i="13"/>
  <c r="BD6" i="13"/>
  <c r="BD5" i="13"/>
  <c r="AI207" i="13"/>
  <c r="AI206" i="13"/>
  <c r="AI205" i="13"/>
  <c r="AI204" i="13"/>
  <c r="AI203" i="13"/>
  <c r="AI202" i="13"/>
  <c r="AI201" i="13"/>
  <c r="AI185" i="13"/>
  <c r="AI184" i="13"/>
  <c r="AI183" i="13"/>
  <c r="AI182" i="13"/>
  <c r="AI181" i="13"/>
  <c r="AI180" i="13"/>
  <c r="AI179" i="13"/>
  <c r="AI178" i="13"/>
  <c r="AI177" i="13"/>
  <c r="AI176" i="13"/>
  <c r="AI175" i="13"/>
  <c r="AI174" i="13"/>
  <c r="AI173" i="13"/>
  <c r="AI172" i="13"/>
  <c r="AI154" i="13"/>
  <c r="AI153" i="13"/>
  <c r="AI152" i="13"/>
  <c r="AI151" i="13"/>
  <c r="AI150" i="13"/>
  <c r="AI149" i="13"/>
  <c r="AI148" i="13"/>
  <c r="AI147" i="13"/>
  <c r="AI146" i="13"/>
  <c r="AI145" i="13"/>
  <c r="AI144" i="13"/>
  <c r="AI117" i="13"/>
  <c r="AI116" i="13"/>
  <c r="AI115" i="13"/>
  <c r="AI114" i="13"/>
  <c r="AI113" i="13"/>
  <c r="AI112" i="13"/>
  <c r="AI111" i="13"/>
  <c r="AI110" i="13"/>
  <c r="AI109" i="13"/>
  <c r="AI108" i="13"/>
  <c r="AI107" i="13"/>
  <c r="AI98" i="13"/>
  <c r="AI97" i="13"/>
  <c r="AI96" i="13"/>
  <c r="AI95" i="13"/>
  <c r="AI94" i="13"/>
  <c r="AI93" i="13"/>
  <c r="AI92" i="13"/>
  <c r="AI91" i="13"/>
  <c r="AI90" i="13"/>
  <c r="AI89" i="13"/>
  <c r="AI88" i="13"/>
  <c r="AI87" i="13"/>
  <c r="AI86" i="13"/>
  <c r="AI85" i="13"/>
  <c r="AI84" i="13"/>
  <c r="AI83" i="13"/>
  <c r="AI82" i="13"/>
  <c r="AI81" i="13"/>
  <c r="AI80" i="13"/>
  <c r="AI79" i="13"/>
  <c r="AI78" i="13"/>
  <c r="AI77" i="13"/>
  <c r="AI76" i="13"/>
  <c r="AI75" i="13"/>
  <c r="AI74" i="13"/>
  <c r="AI73" i="13"/>
  <c r="AI72" i="13"/>
  <c r="AI71" i="13"/>
  <c r="AI70" i="13"/>
  <c r="AI69" i="13"/>
  <c r="AI68" i="13"/>
  <c r="AI67" i="13"/>
  <c r="AI66" i="13"/>
  <c r="AI65" i="13"/>
  <c r="AI64" i="13"/>
  <c r="AI63" i="13"/>
  <c r="AI62" i="13"/>
  <c r="AI61" i="13"/>
  <c r="AI60" i="13"/>
  <c r="AI59" i="13"/>
  <c r="AI58" i="13"/>
  <c r="AI57" i="13"/>
  <c r="AI56" i="13"/>
  <c r="AI55" i="13"/>
  <c r="AI54" i="13"/>
  <c r="AI53" i="13"/>
  <c r="AI52" i="13"/>
  <c r="AI51" i="13"/>
  <c r="AI50" i="13"/>
  <c r="AI49" i="13"/>
  <c r="AI48" i="13"/>
  <c r="AI47" i="13"/>
  <c r="AI46" i="13"/>
  <c r="AI45" i="13"/>
  <c r="AI44" i="13"/>
  <c r="AI43" i="13"/>
  <c r="AI42" i="13"/>
  <c r="AI41" i="13"/>
  <c r="AI40" i="13"/>
  <c r="AI39" i="13"/>
  <c r="AI38" i="13"/>
  <c r="AI37" i="13"/>
  <c r="AI36" i="13"/>
  <c r="AI35" i="13"/>
  <c r="AI34" i="13"/>
  <c r="AI33" i="13"/>
  <c r="AI32" i="13"/>
  <c r="AI31" i="13"/>
  <c r="AI30" i="13"/>
  <c r="AI29" i="13"/>
  <c r="AI28" i="13"/>
  <c r="AI27" i="13"/>
  <c r="AI26" i="13"/>
  <c r="AI25" i="13"/>
  <c r="AI24" i="13"/>
  <c r="AI23" i="13"/>
  <c r="AI22" i="13"/>
  <c r="AI21" i="13"/>
  <c r="AI20" i="13"/>
  <c r="AI19" i="13"/>
  <c r="AI18" i="13"/>
  <c r="AI17" i="13"/>
  <c r="AI16" i="13"/>
  <c r="AI15" i="13"/>
  <c r="AI14" i="13"/>
  <c r="AI13" i="13"/>
  <c r="AI12" i="13"/>
  <c r="AI11" i="13"/>
  <c r="AI10" i="13"/>
  <c r="AI9" i="13"/>
  <c r="AI8" i="13"/>
  <c r="AI7" i="13"/>
  <c r="AI6" i="13"/>
  <c r="AI5" i="13"/>
  <c r="AJ8" i="13" l="1"/>
  <c r="AO8" i="13"/>
  <c r="AW8" i="13"/>
  <c r="AX8" i="13"/>
  <c r="BB8" i="13"/>
  <c r="AQ8" i="13"/>
  <c r="AZ8" i="13"/>
  <c r="AY8" i="13"/>
  <c r="AR8" i="13"/>
  <c r="AV8" i="13"/>
  <c r="AT8" i="13"/>
  <c r="AL8" i="13"/>
  <c r="AP8" i="13"/>
  <c r="AN8" i="13"/>
  <c r="AK8" i="13"/>
  <c r="AU8" i="13"/>
  <c r="AS8" i="13"/>
  <c r="BA8" i="13"/>
  <c r="AM8" i="13"/>
  <c r="AR12" i="13"/>
  <c r="AQ12" i="13"/>
  <c r="AV12" i="13"/>
  <c r="BA12" i="13"/>
  <c r="AT12" i="13"/>
  <c r="AL12" i="13"/>
  <c r="AM12" i="13"/>
  <c r="AY12" i="13"/>
  <c r="AN12" i="13"/>
  <c r="AS12" i="13"/>
  <c r="BB12" i="13"/>
  <c r="AU12" i="13"/>
  <c r="AW12" i="13"/>
  <c r="AO12" i="13"/>
  <c r="AK12" i="13"/>
  <c r="AP12" i="13"/>
  <c r="AJ12" i="13"/>
  <c r="AX12" i="13"/>
  <c r="AZ12" i="13"/>
  <c r="AO16" i="13"/>
  <c r="AX16" i="13"/>
  <c r="AW16" i="13"/>
  <c r="AV16" i="13"/>
  <c r="AZ16" i="13"/>
  <c r="AY16" i="13"/>
  <c r="AR16" i="13"/>
  <c r="AM16" i="13"/>
  <c r="AK16" i="13"/>
  <c r="AU16" i="13"/>
  <c r="AT16" i="13"/>
  <c r="AL16" i="13"/>
  <c r="BB16" i="13"/>
  <c r="AQ16" i="13"/>
  <c r="AP16" i="13"/>
  <c r="AN16" i="13"/>
  <c r="AS16" i="13"/>
  <c r="BA16" i="13"/>
  <c r="AJ16" i="13"/>
  <c r="AV20" i="13"/>
  <c r="BA20" i="13"/>
  <c r="AT20" i="13"/>
  <c r="AS20" i="13"/>
  <c r="AR20" i="13"/>
  <c r="AP20" i="13"/>
  <c r="AU20" i="13"/>
  <c r="AN20" i="13"/>
  <c r="AM20" i="13"/>
  <c r="AL20" i="13"/>
  <c r="AJ20" i="13"/>
  <c r="AK20" i="13"/>
  <c r="AW20" i="13"/>
  <c r="AY20" i="13"/>
  <c r="BB20" i="13"/>
  <c r="AX20" i="13"/>
  <c r="AO20" i="13"/>
  <c r="AZ20" i="13"/>
  <c r="AQ20" i="13"/>
  <c r="AW24" i="13"/>
  <c r="BB24" i="13"/>
  <c r="AR24" i="13"/>
  <c r="AM24" i="13"/>
  <c r="AY24" i="13"/>
  <c r="AS24" i="13"/>
  <c r="AL24" i="13"/>
  <c r="AV24" i="13"/>
  <c r="BA24" i="13"/>
  <c r="AZ24" i="13"/>
  <c r="AP24" i="13"/>
  <c r="AT24" i="13"/>
  <c r="AJ24" i="13"/>
  <c r="AX24" i="13"/>
  <c r="AU24" i="13"/>
  <c r="AQ24" i="13"/>
  <c r="AO24" i="13"/>
  <c r="AK24" i="13"/>
  <c r="AN24" i="13"/>
  <c r="AT28" i="13"/>
  <c r="AS28" i="13"/>
  <c r="AL28" i="13"/>
  <c r="AK28" i="13"/>
  <c r="AJ28" i="13"/>
  <c r="AN28" i="13"/>
  <c r="AX28" i="13"/>
  <c r="AQ28" i="13"/>
  <c r="AU28" i="13"/>
  <c r="BA28" i="13"/>
  <c r="AR28" i="13"/>
  <c r="BB28" i="13"/>
  <c r="AM28" i="13"/>
  <c r="AP28" i="13"/>
  <c r="AO28" i="13"/>
  <c r="AY28" i="13"/>
  <c r="AW28" i="13"/>
  <c r="AV28" i="13"/>
  <c r="AZ28" i="13"/>
  <c r="AJ32" i="13"/>
  <c r="AO32" i="13"/>
  <c r="AN32" i="13"/>
  <c r="AX32" i="13"/>
  <c r="BB32" i="13"/>
  <c r="AQ32" i="13"/>
  <c r="AW32" i="13"/>
  <c r="AY32" i="13"/>
  <c r="AR32" i="13"/>
  <c r="BA32" i="13"/>
  <c r="AS32" i="13"/>
  <c r="AU32" i="13"/>
  <c r="AM32" i="13"/>
  <c r="AT32" i="13"/>
  <c r="AV32" i="13"/>
  <c r="AL32" i="13"/>
  <c r="AP32" i="13"/>
  <c r="AZ32" i="13"/>
  <c r="AK32" i="13"/>
  <c r="AR36" i="13"/>
  <c r="AQ36" i="13"/>
  <c r="AV36" i="13"/>
  <c r="BA36" i="13"/>
  <c r="AT36" i="13"/>
  <c r="AL36" i="13"/>
  <c r="AK36" i="13"/>
  <c r="AP36" i="13"/>
  <c r="AU36" i="13"/>
  <c r="AN36" i="13"/>
  <c r="AY36" i="13"/>
  <c r="AJ36" i="13"/>
  <c r="AW36" i="13"/>
  <c r="AO36" i="13"/>
  <c r="AM36" i="13"/>
  <c r="AZ36" i="13"/>
  <c r="BB36" i="13"/>
  <c r="AS36" i="13"/>
  <c r="AX36" i="13"/>
  <c r="AY40" i="13"/>
  <c r="AX40" i="13"/>
  <c r="AQ40" i="13"/>
  <c r="AV40" i="13"/>
  <c r="AT40" i="13"/>
  <c r="BA40" i="13"/>
  <c r="AK40" i="13"/>
  <c r="AJ40" i="13"/>
  <c r="AN40" i="13"/>
  <c r="AR40" i="13"/>
  <c r="AU40" i="13"/>
  <c r="AO40" i="13"/>
  <c r="AZ40" i="13"/>
  <c r="AW40" i="13"/>
  <c r="AS40" i="13"/>
  <c r="BB40" i="13"/>
  <c r="AL40" i="13"/>
  <c r="AP40" i="13"/>
  <c r="AM40" i="13"/>
  <c r="AV44" i="13"/>
  <c r="BA44" i="13"/>
  <c r="AZ44" i="13"/>
  <c r="AY44" i="13"/>
  <c r="AR44" i="13"/>
  <c r="AP44" i="13"/>
  <c r="AU44" i="13"/>
  <c r="AT44" i="13"/>
  <c r="AS44" i="13"/>
  <c r="AL44" i="13"/>
  <c r="AO44" i="13"/>
  <c r="AM44" i="13"/>
  <c r="BB44" i="13"/>
  <c r="AW44" i="13"/>
  <c r="AX44" i="13"/>
  <c r="AK44" i="13"/>
  <c r="AN44" i="13"/>
  <c r="AQ44" i="13"/>
  <c r="AJ44" i="13"/>
  <c r="AS48" i="13"/>
  <c r="BB48" i="13"/>
  <c r="AY48" i="13"/>
  <c r="AZ48" i="13"/>
  <c r="AX48" i="13"/>
  <c r="AW48" i="13"/>
  <c r="AV48" i="13"/>
  <c r="BA48" i="13"/>
  <c r="AT48" i="13"/>
  <c r="AQ48" i="13"/>
  <c r="AU48" i="13"/>
  <c r="AP48" i="13"/>
  <c r="AM48" i="13"/>
  <c r="AR48" i="13"/>
  <c r="AJ48" i="13"/>
  <c r="AL48" i="13"/>
  <c r="AO48" i="13"/>
  <c r="AN48" i="13"/>
  <c r="AK48" i="13"/>
  <c r="AT52" i="13"/>
  <c r="AM52" i="13"/>
  <c r="AO52" i="13"/>
  <c r="BA52" i="13"/>
  <c r="AJ52" i="13"/>
  <c r="AZ52" i="13"/>
  <c r="AX52" i="13"/>
  <c r="AQ52" i="13"/>
  <c r="AP52" i="13"/>
  <c r="AN52" i="13"/>
  <c r="AR52" i="13"/>
  <c r="AK52" i="13"/>
  <c r="AU52" i="13"/>
  <c r="AS52" i="13"/>
  <c r="AV52" i="13"/>
  <c r="AL52" i="13"/>
  <c r="BB52" i="13"/>
  <c r="AY52" i="13"/>
  <c r="AW52" i="13"/>
  <c r="AJ56" i="13"/>
  <c r="AZ56" i="13"/>
  <c r="AY56" i="13"/>
  <c r="AX56" i="13"/>
  <c r="BB56" i="13"/>
  <c r="BA56" i="13"/>
  <c r="AT56" i="13"/>
  <c r="AS56" i="13"/>
  <c r="AR56" i="13"/>
  <c r="AV56" i="13"/>
  <c r="AN56" i="13"/>
  <c r="AL56" i="13"/>
  <c r="AP56" i="13"/>
  <c r="AQ56" i="13"/>
  <c r="AK56" i="13"/>
  <c r="AW56" i="13"/>
  <c r="AU56" i="13"/>
  <c r="AM56" i="13"/>
  <c r="AO56" i="13"/>
  <c r="AR60" i="13"/>
  <c r="AK60" i="13"/>
  <c r="AJ60" i="13"/>
  <c r="AO60" i="13"/>
  <c r="AN60" i="13"/>
  <c r="AL60" i="13"/>
  <c r="BB60" i="13"/>
  <c r="AS60" i="13"/>
  <c r="AM60" i="13"/>
  <c r="AY60" i="13"/>
  <c r="AV60" i="13"/>
  <c r="AZ60" i="13"/>
  <c r="AW60" i="13"/>
  <c r="AU60" i="13"/>
  <c r="AQ60" i="13"/>
  <c r="AT60" i="13"/>
  <c r="AP60" i="13"/>
  <c r="AX60" i="13"/>
  <c r="BA60" i="13"/>
  <c r="AZ64" i="13"/>
  <c r="AY64" i="13"/>
  <c r="AX64" i="13"/>
  <c r="AW64" i="13"/>
  <c r="AV64" i="13"/>
  <c r="AT64" i="13"/>
  <c r="AS64" i="13"/>
  <c r="AR64" i="13"/>
  <c r="AQ64" i="13"/>
  <c r="AP64" i="13"/>
  <c r="AO64" i="13"/>
  <c r="BA64" i="13"/>
  <c r="AM64" i="13"/>
  <c r="AK64" i="13"/>
  <c r="AL64" i="13"/>
  <c r="BB64" i="13"/>
  <c r="AN64" i="13"/>
  <c r="AJ64" i="13"/>
  <c r="AU64" i="13"/>
  <c r="AV68" i="13"/>
  <c r="BA68" i="13"/>
  <c r="AT68" i="13"/>
  <c r="AS68" i="13"/>
  <c r="AL68" i="13"/>
  <c r="AP68" i="13"/>
  <c r="AU68" i="13"/>
  <c r="AN68" i="13"/>
  <c r="AM68" i="13"/>
  <c r="AW68" i="13"/>
  <c r="AJ68" i="13"/>
  <c r="AK68" i="13"/>
  <c r="AQ68" i="13"/>
  <c r="AY68" i="13"/>
  <c r="AZ68" i="13"/>
  <c r="AX68" i="13"/>
  <c r="AO68" i="13"/>
  <c r="AR68" i="13"/>
  <c r="BB68" i="13"/>
  <c r="AW72" i="13"/>
  <c r="BB72" i="13"/>
  <c r="AY72" i="13"/>
  <c r="AZ72" i="13"/>
  <c r="AX72" i="13"/>
  <c r="AQ72" i="13"/>
  <c r="AV72" i="13"/>
  <c r="BA72" i="13"/>
  <c r="AT72" i="13"/>
  <c r="AR72" i="13"/>
  <c r="AP72" i="13"/>
  <c r="AN72" i="13"/>
  <c r="AM72" i="13"/>
  <c r="AS72" i="13"/>
  <c r="AJ72" i="13"/>
  <c r="AL72" i="13"/>
  <c r="AU72" i="13"/>
  <c r="AO72" i="13"/>
  <c r="AK72" i="13"/>
  <c r="AN76" i="13"/>
  <c r="AM76" i="13"/>
  <c r="AL76" i="13"/>
  <c r="BB76" i="13"/>
  <c r="AU76" i="13"/>
  <c r="BA76" i="13"/>
  <c r="AO76" i="13"/>
  <c r="AW76" i="13"/>
  <c r="AV76" i="13"/>
  <c r="AS76" i="13"/>
  <c r="AK76" i="13"/>
  <c r="AZ76" i="13"/>
  <c r="AX76" i="13"/>
  <c r="AP76" i="13"/>
  <c r="AY76" i="13"/>
  <c r="AR76" i="13"/>
  <c r="AQ76" i="13"/>
  <c r="AJ76" i="13"/>
  <c r="AT76" i="13"/>
  <c r="AJ80" i="13"/>
  <c r="AO80" i="13"/>
  <c r="AY80" i="13"/>
  <c r="AX80" i="13"/>
  <c r="BB80" i="13"/>
  <c r="AK80" i="13"/>
  <c r="AZ80" i="13"/>
  <c r="AS80" i="13"/>
  <c r="AR80" i="13"/>
  <c r="BA80" i="13"/>
  <c r="AM80" i="13"/>
  <c r="AU80" i="13"/>
  <c r="AW80" i="13"/>
  <c r="AP80" i="13"/>
  <c r="AQ80" i="13"/>
  <c r="AT80" i="13"/>
  <c r="AV80" i="13"/>
  <c r="AN80" i="13"/>
  <c r="AL80" i="13"/>
  <c r="AR84" i="13"/>
  <c r="AK84" i="13"/>
  <c r="AJ84" i="13"/>
  <c r="AO84" i="13"/>
  <c r="AN84" i="13"/>
  <c r="AL84" i="13"/>
  <c r="BB84" i="13"/>
  <c r="AY84" i="13"/>
  <c r="AS84" i="13"/>
  <c r="AM84" i="13"/>
  <c r="AW84" i="13"/>
  <c r="BA84" i="13"/>
  <c r="AX84" i="13"/>
  <c r="AU84" i="13"/>
  <c r="AQ84" i="13"/>
  <c r="AZ84" i="13"/>
  <c r="AV84" i="13"/>
  <c r="AT84" i="13"/>
  <c r="AP84" i="13"/>
  <c r="AZ88" i="13"/>
  <c r="AY88" i="13"/>
  <c r="AR88" i="13"/>
  <c r="AQ88" i="13"/>
  <c r="AV88" i="13"/>
  <c r="AT88" i="13"/>
  <c r="AS88" i="13"/>
  <c r="AL88" i="13"/>
  <c r="AK88" i="13"/>
  <c r="AP88" i="13"/>
  <c r="AX88" i="13"/>
  <c r="BB88" i="13"/>
  <c r="AN88" i="13"/>
  <c r="AO88" i="13"/>
  <c r="AJ88" i="13"/>
  <c r="AU88" i="13"/>
  <c r="BA88" i="13"/>
  <c r="AM88" i="13"/>
  <c r="AW88" i="13"/>
  <c r="AP92" i="13"/>
  <c r="AU92" i="13"/>
  <c r="AN92" i="13"/>
  <c r="AW92" i="13"/>
  <c r="AK92" i="13"/>
  <c r="AJ92" i="13"/>
  <c r="AO92" i="13"/>
  <c r="AY92" i="13"/>
  <c r="AX92" i="13"/>
  <c r="BA92" i="13"/>
  <c r="AM92" i="13"/>
  <c r="BB92" i="13"/>
  <c r="AZ92" i="13"/>
  <c r="AR92" i="13"/>
  <c r="AS92" i="13"/>
  <c r="AV92" i="13"/>
  <c r="AL92" i="13"/>
  <c r="AQ92" i="13"/>
  <c r="AT92" i="13"/>
  <c r="AY96" i="13"/>
  <c r="AM96" i="13"/>
  <c r="AJ96" i="13"/>
  <c r="AS96" i="13"/>
  <c r="AX96" i="13"/>
  <c r="AW96" i="13"/>
  <c r="BB96" i="13"/>
  <c r="BA96" i="13"/>
  <c r="AZ96" i="13"/>
  <c r="AQ96" i="13"/>
  <c r="AU96" i="13"/>
  <c r="AK96" i="13"/>
  <c r="AT96" i="13"/>
  <c r="AV96" i="13"/>
  <c r="AN96" i="13"/>
  <c r="AR96" i="13"/>
  <c r="AP96" i="13"/>
  <c r="AL96" i="13"/>
  <c r="AO96" i="13"/>
  <c r="AN108" i="13"/>
  <c r="AM108" i="13"/>
  <c r="AL108" i="13"/>
  <c r="BB108" i="13"/>
  <c r="AO108" i="13"/>
  <c r="AU108" i="13"/>
  <c r="BA108" i="13"/>
  <c r="AW108" i="13"/>
  <c r="AV108" i="13"/>
  <c r="AT108" i="13"/>
  <c r="AR108" i="13"/>
  <c r="AJ108" i="13"/>
  <c r="AY108" i="13"/>
  <c r="AQ108" i="13"/>
  <c r="AX108" i="13"/>
  <c r="AK108" i="13"/>
  <c r="AZ108" i="13"/>
  <c r="AP108" i="13"/>
  <c r="AS108" i="13"/>
  <c r="BB112" i="13"/>
  <c r="AW112" i="13"/>
  <c r="AZ112" i="13"/>
  <c r="AY112" i="13"/>
  <c r="AR112" i="13"/>
  <c r="AV112" i="13"/>
  <c r="BA112" i="13"/>
  <c r="AT112" i="13"/>
  <c r="AS112" i="13"/>
  <c r="AL112" i="13"/>
  <c r="AO112" i="13"/>
  <c r="AX112" i="13"/>
  <c r="AP112" i="13"/>
  <c r="AN112" i="13"/>
  <c r="AK112" i="13"/>
  <c r="AU112" i="13"/>
  <c r="AQ112" i="13"/>
  <c r="AJ112" i="13"/>
  <c r="AM112" i="13"/>
  <c r="AR116" i="13"/>
  <c r="AK116" i="13"/>
  <c r="AJ116" i="13"/>
  <c r="AS116" i="13"/>
  <c r="AY116" i="13"/>
  <c r="AL116" i="13"/>
  <c r="BB116" i="13"/>
  <c r="BA116" i="13"/>
  <c r="AZ116" i="13"/>
  <c r="AM116" i="13"/>
  <c r="AV116" i="13"/>
  <c r="AT116" i="13"/>
  <c r="AX116" i="13"/>
  <c r="AU116" i="13"/>
  <c r="AW116" i="13"/>
  <c r="AO116" i="13"/>
  <c r="AQ116" i="13"/>
  <c r="AN116" i="13"/>
  <c r="AP116" i="13"/>
  <c r="AZ146" i="13"/>
  <c r="AS146" i="13"/>
  <c r="AL146" i="13"/>
  <c r="AK146" i="13"/>
  <c r="AJ146" i="13"/>
  <c r="AT146" i="13"/>
  <c r="AM146" i="13"/>
  <c r="AO146" i="13"/>
  <c r="BB146" i="13"/>
  <c r="BA146" i="13"/>
  <c r="AY146" i="13"/>
  <c r="AQ146" i="13"/>
  <c r="AX146" i="13"/>
  <c r="AV146" i="13"/>
  <c r="AN146" i="13"/>
  <c r="AU146" i="13"/>
  <c r="AR146" i="13"/>
  <c r="AW146" i="13"/>
  <c r="AP146" i="13"/>
  <c r="AP150" i="13"/>
  <c r="AU150" i="13"/>
  <c r="AT150" i="13"/>
  <c r="AM150" i="13"/>
  <c r="AL150" i="13"/>
  <c r="AJ150" i="13"/>
  <c r="AO150" i="13"/>
  <c r="AN150" i="13"/>
  <c r="AQ150" i="13"/>
  <c r="AV150" i="13"/>
  <c r="AZ150" i="13"/>
  <c r="AR150" i="13"/>
  <c r="AW150" i="13"/>
  <c r="AY150" i="13"/>
  <c r="BB150" i="13"/>
  <c r="AX150" i="13"/>
  <c r="BA150" i="13"/>
  <c r="AS150" i="13"/>
  <c r="AK150" i="13"/>
  <c r="AY154" i="13"/>
  <c r="AS154" i="13"/>
  <c r="AJ154" i="13"/>
  <c r="AM154" i="13"/>
  <c r="AX154" i="13"/>
  <c r="AW154" i="13"/>
  <c r="BB154" i="13"/>
  <c r="BA154" i="13"/>
  <c r="AZ154" i="13"/>
  <c r="AK154" i="13"/>
  <c r="AO154" i="13"/>
  <c r="AL154" i="13"/>
  <c r="AU154" i="13"/>
  <c r="AQ154" i="13"/>
  <c r="AT154" i="13"/>
  <c r="AV154" i="13"/>
  <c r="AN154" i="13"/>
  <c r="AR154" i="13"/>
  <c r="AP154" i="13"/>
  <c r="AN175" i="13"/>
  <c r="AO175" i="13"/>
  <c r="BA175" i="13"/>
  <c r="BB175" i="13"/>
  <c r="AU175" i="13"/>
  <c r="AY175" i="13"/>
  <c r="AX175" i="13"/>
  <c r="AW175" i="13"/>
  <c r="AV175" i="13"/>
  <c r="AM175" i="13"/>
  <c r="AK175" i="13"/>
  <c r="AP175" i="13"/>
  <c r="AZ175" i="13"/>
  <c r="AR175" i="13"/>
  <c r="AQ175" i="13"/>
  <c r="AT175" i="13"/>
  <c r="AJ175" i="13"/>
  <c r="AS175" i="13"/>
  <c r="AL175" i="13"/>
  <c r="BB179" i="13"/>
  <c r="AQ179" i="13"/>
  <c r="AZ179" i="13"/>
  <c r="AY179" i="13"/>
  <c r="AX179" i="13"/>
  <c r="AV179" i="13"/>
  <c r="BA179" i="13"/>
  <c r="AT179" i="13"/>
  <c r="AS179" i="13"/>
  <c r="AR179" i="13"/>
  <c r="AJ179" i="13"/>
  <c r="AW179" i="13"/>
  <c r="AU179" i="13"/>
  <c r="AM179" i="13"/>
  <c r="AN179" i="13"/>
  <c r="AK179" i="13"/>
  <c r="AO179" i="13"/>
  <c r="AL179" i="13"/>
  <c r="AP179" i="13"/>
  <c r="AR183" i="13"/>
  <c r="AK183" i="13"/>
  <c r="AP183" i="13"/>
  <c r="AU183" i="13"/>
  <c r="AN183" i="13"/>
  <c r="AL183" i="13"/>
  <c r="AM183" i="13"/>
  <c r="AJ183" i="13"/>
  <c r="AO183" i="13"/>
  <c r="AS183" i="13"/>
  <c r="AX183" i="13"/>
  <c r="AV183" i="13"/>
  <c r="AT183" i="13"/>
  <c r="BB183" i="13"/>
  <c r="AY183" i="13"/>
  <c r="AW183" i="13"/>
  <c r="BA183" i="13"/>
  <c r="AQ183" i="13"/>
  <c r="AZ183" i="13"/>
  <c r="AZ202" i="13"/>
  <c r="AY202" i="13"/>
  <c r="AX202" i="13"/>
  <c r="AQ202" i="13"/>
  <c r="AV202" i="13"/>
  <c r="AT202" i="13"/>
  <c r="AS202" i="13"/>
  <c r="AR202" i="13"/>
  <c r="AK202" i="13"/>
  <c r="AP202" i="13"/>
  <c r="AO202" i="13"/>
  <c r="BB202" i="13"/>
  <c r="AL202" i="13"/>
  <c r="AN202" i="13"/>
  <c r="AJ202" i="13"/>
  <c r="AM202" i="13"/>
  <c r="AW202" i="13"/>
  <c r="AU202" i="13"/>
  <c r="BA202" i="13"/>
  <c r="AP206" i="13"/>
  <c r="AU206" i="13"/>
  <c r="AT206" i="13"/>
  <c r="AM206" i="13"/>
  <c r="AW206" i="13"/>
  <c r="AJ206" i="13"/>
  <c r="AO206" i="13"/>
  <c r="AN206" i="13"/>
  <c r="AX206" i="13"/>
  <c r="BA206" i="13"/>
  <c r="AS206" i="13"/>
  <c r="BB206" i="13"/>
  <c r="AQ206" i="13"/>
  <c r="AR206" i="13"/>
  <c r="AK206" i="13"/>
  <c r="AZ206" i="13"/>
  <c r="AV206" i="13"/>
  <c r="AY206" i="13"/>
  <c r="AL206" i="13"/>
  <c r="AX5" i="13"/>
  <c r="AW5" i="13"/>
  <c r="AT5" i="13"/>
  <c r="AJ5" i="13"/>
  <c r="AY5" i="13"/>
  <c r="AR5" i="13"/>
  <c r="AQ5" i="13"/>
  <c r="BB5" i="13"/>
  <c r="AM5" i="13"/>
  <c r="AZ5" i="13"/>
  <c r="AU5" i="13"/>
  <c r="AV5" i="13"/>
  <c r="AO5" i="13"/>
  <c r="AL5" i="13"/>
  <c r="AS5" i="13"/>
  <c r="BA5" i="13"/>
  <c r="AN5" i="13"/>
  <c r="AK5" i="13"/>
  <c r="AP5" i="13"/>
  <c r="BA9" i="13"/>
  <c r="AT9" i="13"/>
  <c r="AS9" i="13"/>
  <c r="AR9" i="13"/>
  <c r="AQ9" i="13"/>
  <c r="AU9" i="13"/>
  <c r="AN9" i="13"/>
  <c r="AM9" i="13"/>
  <c r="AL9" i="13"/>
  <c r="AK9" i="13"/>
  <c r="AY9" i="13"/>
  <c r="AW9" i="13"/>
  <c r="AO9" i="13"/>
  <c r="BB9" i="13"/>
  <c r="AV9" i="13"/>
  <c r="AP9" i="13"/>
  <c r="AX9" i="13"/>
  <c r="AJ9" i="13"/>
  <c r="AZ9" i="13"/>
  <c r="AK13" i="13"/>
  <c r="AJ13" i="13"/>
  <c r="AR13" i="13"/>
  <c r="AL13" i="13"/>
  <c r="AX13" i="13"/>
  <c r="AV13" i="13"/>
  <c r="AO13" i="13"/>
  <c r="AY13" i="13"/>
  <c r="AW13" i="13"/>
  <c r="AP13" i="13"/>
  <c r="AZ13" i="13"/>
  <c r="AS13" i="13"/>
  <c r="AQ13" i="13"/>
  <c r="BA13" i="13"/>
  <c r="AT13" i="13"/>
  <c r="AM13" i="13"/>
  <c r="AU13" i="13"/>
  <c r="BB13" i="13"/>
  <c r="AN13" i="13"/>
  <c r="AS17" i="13"/>
  <c r="AL17" i="13"/>
  <c r="AK17" i="13"/>
  <c r="AP17" i="13"/>
  <c r="AO17" i="13"/>
  <c r="AY17" i="13"/>
  <c r="AN17" i="13"/>
  <c r="BB17" i="13"/>
  <c r="AU17" i="13"/>
  <c r="AW17" i="13"/>
  <c r="AV17" i="13"/>
  <c r="AM17" i="13"/>
  <c r="AZ17" i="13"/>
  <c r="AT17" i="13"/>
  <c r="AX17" i="13"/>
  <c r="AJ17" i="13"/>
  <c r="AR17" i="13"/>
  <c r="BA17" i="13"/>
  <c r="AQ17" i="13"/>
  <c r="AO21" i="13"/>
  <c r="AJ21" i="13"/>
  <c r="AP21" i="13"/>
  <c r="BB21" i="13"/>
  <c r="AV21" i="13"/>
  <c r="AZ21" i="13"/>
  <c r="AY21" i="13"/>
  <c r="AX21" i="13"/>
  <c r="AW21" i="13"/>
  <c r="AU21" i="13"/>
  <c r="AM21" i="13"/>
  <c r="AK21" i="13"/>
  <c r="AT21" i="13"/>
  <c r="AR21" i="13"/>
  <c r="BA21" i="13"/>
  <c r="AQ21" i="13"/>
  <c r="AN21" i="13"/>
  <c r="AL21" i="13"/>
  <c r="AS21" i="13"/>
  <c r="AW25" i="13"/>
  <c r="BB25" i="13"/>
  <c r="AX25" i="13"/>
  <c r="AZ25" i="13"/>
  <c r="AS25" i="13"/>
  <c r="AR25" i="13"/>
  <c r="BA25" i="13"/>
  <c r="AN25" i="13"/>
  <c r="AV25" i="13"/>
  <c r="AU25" i="13"/>
  <c r="AY25" i="13"/>
  <c r="AQ25" i="13"/>
  <c r="AP25" i="13"/>
  <c r="AO25" i="13"/>
  <c r="AM25" i="13"/>
  <c r="AT25" i="13"/>
  <c r="AL25" i="13"/>
  <c r="AK25" i="13"/>
  <c r="AJ25" i="13"/>
  <c r="AX29" i="13"/>
  <c r="AW29" i="13"/>
  <c r="AV29" i="13"/>
  <c r="BA29" i="13"/>
  <c r="AY29" i="13"/>
  <c r="AL29" i="13"/>
  <c r="BB29" i="13"/>
  <c r="AU29" i="13"/>
  <c r="AS29" i="13"/>
  <c r="AP29" i="13"/>
  <c r="AO29" i="13"/>
  <c r="AN29" i="13"/>
  <c r="AR29" i="13"/>
  <c r="AT29" i="13"/>
  <c r="AQ29" i="13"/>
  <c r="AZ29" i="13"/>
  <c r="AK29" i="13"/>
  <c r="AM29" i="13"/>
  <c r="AJ29" i="13"/>
  <c r="BA33" i="13"/>
  <c r="AT33" i="13"/>
  <c r="AM33" i="13"/>
  <c r="AL33" i="13"/>
  <c r="AK33" i="13"/>
  <c r="AU33" i="13"/>
  <c r="AN33" i="13"/>
  <c r="AP33" i="13"/>
  <c r="BB33" i="13"/>
  <c r="AV33" i="13"/>
  <c r="AZ33" i="13"/>
  <c r="AR33" i="13"/>
  <c r="AY33" i="13"/>
  <c r="AW33" i="13"/>
  <c r="AX33" i="13"/>
  <c r="AQ33" i="13"/>
  <c r="AS33" i="13"/>
  <c r="AJ33" i="13"/>
  <c r="AO33" i="13"/>
  <c r="AK37" i="13"/>
  <c r="AJ37" i="13"/>
  <c r="AO37" i="13"/>
  <c r="AR37" i="13"/>
  <c r="AL37" i="13"/>
  <c r="BB37" i="13"/>
  <c r="BA37" i="13"/>
  <c r="AN37" i="13"/>
  <c r="AV37" i="13"/>
  <c r="AU37" i="13"/>
  <c r="AY37" i="13"/>
  <c r="AW37" i="13"/>
  <c r="AP37" i="13"/>
  <c r="AZ37" i="13"/>
  <c r="AS37" i="13"/>
  <c r="AM37" i="13"/>
  <c r="AQ37" i="13"/>
  <c r="AX37" i="13"/>
  <c r="AT37" i="13"/>
  <c r="AS41" i="13"/>
  <c r="AR41" i="13"/>
  <c r="AK41" i="13"/>
  <c r="AP41" i="13"/>
  <c r="AO41" i="13"/>
  <c r="AX41" i="13"/>
  <c r="AT41" i="13"/>
  <c r="BA41" i="13"/>
  <c r="AY41" i="13"/>
  <c r="BB41" i="13"/>
  <c r="AU41" i="13"/>
  <c r="AL41" i="13"/>
  <c r="AQ41" i="13"/>
  <c r="AM41" i="13"/>
  <c r="AV41" i="13"/>
  <c r="AZ41" i="13"/>
  <c r="AJ41" i="13"/>
  <c r="AW41" i="13"/>
  <c r="AN41" i="13"/>
  <c r="AO45" i="13"/>
  <c r="AN45" i="13"/>
  <c r="AP45" i="13"/>
  <c r="AV45" i="13"/>
  <c r="AJ45" i="13"/>
  <c r="BB45" i="13"/>
  <c r="AY45" i="13"/>
  <c r="AX45" i="13"/>
  <c r="AW45" i="13"/>
  <c r="AT45" i="13"/>
  <c r="AL45" i="13"/>
  <c r="BA45" i="13"/>
  <c r="AS45" i="13"/>
  <c r="AQ45" i="13"/>
  <c r="AZ45" i="13"/>
  <c r="AM45" i="13"/>
  <c r="AU45" i="13"/>
  <c r="AR45" i="13"/>
  <c r="AK45" i="13"/>
  <c r="AW49" i="13"/>
  <c r="AV49" i="13"/>
  <c r="BA49" i="13"/>
  <c r="AT49" i="13"/>
  <c r="AM49" i="13"/>
  <c r="AK49" i="13"/>
  <c r="AL49" i="13"/>
  <c r="AN49" i="13"/>
  <c r="AR49" i="13"/>
  <c r="BB49" i="13"/>
  <c r="AU49" i="13"/>
  <c r="AY49" i="13"/>
  <c r="AP49" i="13"/>
  <c r="AO49" i="13"/>
  <c r="AS49" i="13"/>
  <c r="AQ49" i="13"/>
  <c r="AJ49" i="13"/>
  <c r="AZ49" i="13"/>
  <c r="AX49" i="13"/>
  <c r="AN53" i="13"/>
  <c r="AT53" i="13"/>
  <c r="BB53" i="13"/>
  <c r="BA53" i="13"/>
  <c r="AX53" i="13"/>
  <c r="AQ53" i="13"/>
  <c r="AJ53" i="13"/>
  <c r="AY53" i="13"/>
  <c r="AK53" i="13"/>
  <c r="AU53" i="13"/>
  <c r="AR53" i="13"/>
  <c r="AM53" i="13"/>
  <c r="AP53" i="13"/>
  <c r="AL53" i="13"/>
  <c r="AO53" i="13"/>
  <c r="AW53" i="13"/>
  <c r="AZ53" i="13"/>
  <c r="AS53" i="13"/>
  <c r="AV53" i="13"/>
  <c r="BA57" i="13"/>
  <c r="AZ57" i="13"/>
  <c r="AY57" i="13"/>
  <c r="AX57" i="13"/>
  <c r="AQ57" i="13"/>
  <c r="AU57" i="13"/>
  <c r="AT57" i="13"/>
  <c r="AS57" i="13"/>
  <c r="AR57" i="13"/>
  <c r="AK57" i="13"/>
  <c r="AJ57" i="13"/>
  <c r="AW57" i="13"/>
  <c r="AO57" i="13"/>
  <c r="AM57" i="13"/>
  <c r="AV57" i="13"/>
  <c r="AL57" i="13"/>
  <c r="AP57" i="13"/>
  <c r="AN57" i="13"/>
  <c r="BB57" i="13"/>
  <c r="AK61" i="13"/>
  <c r="AJ61" i="13"/>
  <c r="AO61" i="13"/>
  <c r="AN61" i="13"/>
  <c r="AM61" i="13"/>
  <c r="AQ61" i="13"/>
  <c r="AR61" i="13"/>
  <c r="AZ61" i="13"/>
  <c r="AS61" i="13"/>
  <c r="BB61" i="13"/>
  <c r="BA61" i="13"/>
  <c r="AT61" i="13"/>
  <c r="AV61" i="13"/>
  <c r="AU61" i="13"/>
  <c r="AX61" i="13"/>
  <c r="AP61" i="13"/>
  <c r="AW61" i="13"/>
  <c r="AL61" i="13"/>
  <c r="AY61" i="13"/>
  <c r="AS65" i="13"/>
  <c r="AL65" i="13"/>
  <c r="AZ65" i="13"/>
  <c r="AP65" i="13"/>
  <c r="AO65" i="13"/>
  <c r="AX65" i="13"/>
  <c r="AK65" i="13"/>
  <c r="AJ65" i="13"/>
  <c r="AR65" i="13"/>
  <c r="AN65" i="13"/>
  <c r="BA65" i="13"/>
  <c r="AQ65" i="13"/>
  <c r="AT65" i="13"/>
  <c r="AY65" i="13"/>
  <c r="BB65" i="13"/>
  <c r="AM65" i="13"/>
  <c r="AV65" i="13"/>
  <c r="AW65" i="13"/>
  <c r="AU65" i="13"/>
  <c r="AO69" i="13"/>
  <c r="AN69" i="13"/>
  <c r="AM69" i="13"/>
  <c r="AL69" i="13"/>
  <c r="AK69" i="13"/>
  <c r="BB69" i="13"/>
  <c r="AP69" i="13"/>
  <c r="AV69" i="13"/>
  <c r="AJ69" i="13"/>
  <c r="AU69" i="13"/>
  <c r="AS69" i="13"/>
  <c r="AQ69" i="13"/>
  <c r="AZ69" i="13"/>
  <c r="AX69" i="13"/>
  <c r="AY69" i="13"/>
  <c r="AR69" i="13"/>
  <c r="BA69" i="13"/>
  <c r="AW69" i="13"/>
  <c r="AT69" i="13"/>
  <c r="AW73" i="13"/>
  <c r="BB73" i="13"/>
  <c r="AX73" i="13"/>
  <c r="AZ73" i="13"/>
  <c r="AY73" i="13"/>
  <c r="AQ73" i="13"/>
  <c r="AP73" i="13"/>
  <c r="AO73" i="13"/>
  <c r="AS73" i="13"/>
  <c r="AL73" i="13"/>
  <c r="BA73" i="13"/>
  <c r="AN73" i="13"/>
  <c r="AJ73" i="13"/>
  <c r="AM73" i="13"/>
  <c r="AR73" i="13"/>
  <c r="AU73" i="13"/>
  <c r="AK73" i="13"/>
  <c r="AT73" i="13"/>
  <c r="AV73" i="13"/>
  <c r="AX77" i="13"/>
  <c r="AQ77" i="13"/>
  <c r="AV77" i="13"/>
  <c r="BA77" i="13"/>
  <c r="AM77" i="13"/>
  <c r="AK77" i="13"/>
  <c r="AJ77" i="13"/>
  <c r="AZ77" i="13"/>
  <c r="AR77" i="13"/>
  <c r="AT77" i="13"/>
  <c r="AN77" i="13"/>
  <c r="AS77" i="13"/>
  <c r="AL77" i="13"/>
  <c r="AU77" i="13"/>
  <c r="AW77" i="13"/>
  <c r="AO77" i="13"/>
  <c r="AY77" i="13"/>
  <c r="BB77" i="13"/>
  <c r="AP77" i="13"/>
  <c r="BA81" i="13"/>
  <c r="AZ81" i="13"/>
  <c r="AS81" i="13"/>
  <c r="AR81" i="13"/>
  <c r="AK81" i="13"/>
  <c r="AU81" i="13"/>
  <c r="AT81" i="13"/>
  <c r="AM81" i="13"/>
  <c r="AL81" i="13"/>
  <c r="AV81" i="13"/>
  <c r="BB81" i="13"/>
  <c r="AX81" i="13"/>
  <c r="AN81" i="13"/>
  <c r="AW81" i="13"/>
  <c r="AO81" i="13"/>
  <c r="AP81" i="13"/>
  <c r="AY81" i="13"/>
  <c r="AQ81" i="13"/>
  <c r="AJ81" i="13"/>
  <c r="AK85" i="13"/>
  <c r="AP85" i="13"/>
  <c r="AU85" i="13"/>
  <c r="AN85" i="13"/>
  <c r="AL85" i="13"/>
  <c r="AW85" i="13"/>
  <c r="AV85" i="13"/>
  <c r="AO85" i="13"/>
  <c r="AS85" i="13"/>
  <c r="AR85" i="13"/>
  <c r="AX85" i="13"/>
  <c r="AT85" i="13"/>
  <c r="AQ85" i="13"/>
  <c r="AZ85" i="13"/>
  <c r="BA85" i="13"/>
  <c r="BB85" i="13"/>
  <c r="AY85" i="13"/>
  <c r="AJ85" i="13"/>
  <c r="AM85" i="13"/>
  <c r="AS89" i="13"/>
  <c r="AR89" i="13"/>
  <c r="AK89" i="13"/>
  <c r="AJ89" i="13"/>
  <c r="AT89" i="13"/>
  <c r="AM89" i="13"/>
  <c r="AW89" i="13"/>
  <c r="AP89" i="13"/>
  <c r="AN89" i="13"/>
  <c r="AZ89" i="13"/>
  <c r="AQ89" i="13"/>
  <c r="BA89" i="13"/>
  <c r="BB89" i="13"/>
  <c r="AY89" i="13"/>
  <c r="AV89" i="13"/>
  <c r="AL89" i="13"/>
  <c r="AU89" i="13"/>
  <c r="AO89" i="13"/>
  <c r="AX89" i="13"/>
  <c r="AO93" i="13"/>
  <c r="AN93" i="13"/>
  <c r="AM93" i="13"/>
  <c r="AL93" i="13"/>
  <c r="AP93" i="13"/>
  <c r="BB93" i="13"/>
  <c r="AV93" i="13"/>
  <c r="AJ93" i="13"/>
  <c r="AW93" i="13"/>
  <c r="AT93" i="13"/>
  <c r="AR93" i="13"/>
  <c r="BA93" i="13"/>
  <c r="AY93" i="13"/>
  <c r="AQ93" i="13"/>
  <c r="AX93" i="13"/>
  <c r="AU93" i="13"/>
  <c r="AK93" i="13"/>
  <c r="AS93" i="13"/>
  <c r="AZ93" i="13"/>
  <c r="AW97" i="13"/>
  <c r="BB97" i="13"/>
  <c r="BA97" i="13"/>
  <c r="AZ97" i="13"/>
  <c r="AS97" i="13"/>
  <c r="AV97" i="13"/>
  <c r="AO97" i="13"/>
  <c r="AY97" i="13"/>
  <c r="AK97" i="13"/>
  <c r="AJ97" i="13"/>
  <c r="AT97" i="13"/>
  <c r="AL97" i="13"/>
  <c r="AP97" i="13"/>
  <c r="AM97" i="13"/>
  <c r="AN97" i="13"/>
  <c r="AU97" i="13"/>
  <c r="AQ97" i="13"/>
  <c r="AR97" i="13"/>
  <c r="AX97" i="13"/>
  <c r="AZ109" i="13"/>
  <c r="AW109" i="13"/>
  <c r="BB109" i="13"/>
  <c r="AT109" i="13"/>
  <c r="AS109" i="13"/>
  <c r="AL109" i="13"/>
  <c r="AV109" i="13"/>
  <c r="AU109" i="13"/>
  <c r="AM109" i="13"/>
  <c r="AQ109" i="13"/>
  <c r="AP109" i="13"/>
  <c r="AO109" i="13"/>
  <c r="AX109" i="13"/>
  <c r="AJ109" i="13"/>
  <c r="AR109" i="13"/>
  <c r="BA109" i="13"/>
  <c r="AN109" i="13"/>
  <c r="AY109" i="13"/>
  <c r="AK109" i="13"/>
  <c r="BA113" i="13"/>
  <c r="AT113" i="13"/>
  <c r="AS113" i="13"/>
  <c r="AR113" i="13"/>
  <c r="AQ113" i="13"/>
  <c r="AU113" i="13"/>
  <c r="AN113" i="13"/>
  <c r="AM113" i="13"/>
  <c r="AL113" i="13"/>
  <c r="AK113" i="13"/>
  <c r="AY113" i="13"/>
  <c r="AW113" i="13"/>
  <c r="AO113" i="13"/>
  <c r="BB113" i="13"/>
  <c r="AP113" i="13"/>
  <c r="AV113" i="13"/>
  <c r="AX113" i="13"/>
  <c r="AZ113" i="13"/>
  <c r="AJ113" i="13"/>
  <c r="AK117" i="13"/>
  <c r="AP117" i="13"/>
  <c r="AU117" i="13"/>
  <c r="AT117" i="13"/>
  <c r="AM117" i="13"/>
  <c r="BB117" i="13"/>
  <c r="BA117" i="13"/>
  <c r="AN117" i="13"/>
  <c r="AQ117" i="13"/>
  <c r="AJ117" i="13"/>
  <c r="AL117" i="13"/>
  <c r="AS117" i="13"/>
  <c r="AW117" i="13"/>
  <c r="AO117" i="13"/>
  <c r="AX117" i="13"/>
  <c r="AZ117" i="13"/>
  <c r="AV117" i="13"/>
  <c r="AY117" i="13"/>
  <c r="AR117" i="13"/>
  <c r="AS147" i="13"/>
  <c r="AR147" i="13"/>
  <c r="AK147" i="13"/>
  <c r="AP147" i="13"/>
  <c r="AU147" i="13"/>
  <c r="AY147" i="13"/>
  <c r="AL147" i="13"/>
  <c r="BB147" i="13"/>
  <c r="BA147" i="13"/>
  <c r="AM147" i="13"/>
  <c r="AW147" i="13"/>
  <c r="AV147" i="13"/>
  <c r="AO147" i="13"/>
  <c r="AQ147" i="13"/>
  <c r="AZ147" i="13"/>
  <c r="AN147" i="13"/>
  <c r="AT147" i="13"/>
  <c r="AX147" i="13"/>
  <c r="AJ147" i="13"/>
  <c r="AO151" i="13"/>
  <c r="AN151" i="13"/>
  <c r="AJ151" i="13"/>
  <c r="AP151" i="13"/>
  <c r="AV151" i="13"/>
  <c r="BB151" i="13"/>
  <c r="AY151" i="13"/>
  <c r="AX151" i="13"/>
  <c r="AW151" i="13"/>
  <c r="AU151" i="13"/>
  <c r="AM151" i="13"/>
  <c r="AK151" i="13"/>
  <c r="AZ151" i="13"/>
  <c r="AR151" i="13"/>
  <c r="BA151" i="13"/>
  <c r="AQ151" i="13"/>
  <c r="AT151" i="13"/>
  <c r="AS151" i="13"/>
  <c r="AL151" i="13"/>
  <c r="AW172" i="13"/>
  <c r="AV172" i="13"/>
  <c r="AU172" i="13"/>
  <c r="AT172" i="13"/>
  <c r="AM172" i="13"/>
  <c r="BB172" i="13"/>
  <c r="AO172" i="13"/>
  <c r="AY172" i="13"/>
  <c r="AQ172" i="13"/>
  <c r="AJ172" i="13"/>
  <c r="AZ172" i="13"/>
  <c r="AX172" i="13"/>
  <c r="AP172" i="13"/>
  <c r="AS172" i="13"/>
  <c r="AK172" i="13"/>
  <c r="BA172" i="13"/>
  <c r="AL172" i="13"/>
  <c r="AR172" i="13"/>
  <c r="AN172" i="13"/>
  <c r="AT176" i="13"/>
  <c r="AZ176" i="13"/>
  <c r="BB176" i="13"/>
  <c r="AN176" i="13"/>
  <c r="AY176" i="13"/>
  <c r="AR176" i="13"/>
  <c r="AK176" i="13"/>
  <c r="BA176" i="13"/>
  <c r="AS176" i="13"/>
  <c r="AL176" i="13"/>
  <c r="AV176" i="13"/>
  <c r="AU176" i="13"/>
  <c r="AM176" i="13"/>
  <c r="AP176" i="13"/>
  <c r="AX176" i="13"/>
  <c r="AJ176" i="13"/>
  <c r="AW176" i="13"/>
  <c r="AQ176" i="13"/>
  <c r="AO176" i="13"/>
  <c r="BA180" i="13"/>
  <c r="AZ180" i="13"/>
  <c r="AU180" i="13"/>
  <c r="BB180" i="13"/>
  <c r="AY180" i="13"/>
  <c r="AR180" i="13"/>
  <c r="AQ180" i="13"/>
  <c r="AT180" i="13"/>
  <c r="AS180" i="13"/>
  <c r="AL180" i="13"/>
  <c r="AK180" i="13"/>
  <c r="AJ180" i="13"/>
  <c r="AW180" i="13"/>
  <c r="AM180" i="13"/>
  <c r="AP180" i="13"/>
  <c r="AV180" i="13"/>
  <c r="AO180" i="13"/>
  <c r="AX180" i="13"/>
  <c r="AN180" i="13"/>
  <c r="AK184" i="13"/>
  <c r="AP184" i="13"/>
  <c r="AU184" i="13"/>
  <c r="AN184" i="13"/>
  <c r="AM184" i="13"/>
  <c r="AL184" i="13"/>
  <c r="AX184" i="13"/>
  <c r="AT184" i="13"/>
  <c r="AW184" i="13"/>
  <c r="AV184" i="13"/>
  <c r="AO184" i="13"/>
  <c r="AY184" i="13"/>
  <c r="BA184" i="13"/>
  <c r="AJ184" i="13"/>
  <c r="AQ184" i="13"/>
  <c r="AZ184" i="13"/>
  <c r="BB184" i="13"/>
  <c r="AR184" i="13"/>
  <c r="AS184" i="13"/>
  <c r="AS203" i="13"/>
  <c r="AL203" i="13"/>
  <c r="AK203" i="13"/>
  <c r="AP203" i="13"/>
  <c r="AO203" i="13"/>
  <c r="AR203" i="13"/>
  <c r="AN203" i="13"/>
  <c r="BA203" i="13"/>
  <c r="AY203" i="13"/>
  <c r="AT203" i="13"/>
  <c r="BB203" i="13"/>
  <c r="AU203" i="13"/>
  <c r="AW203" i="13"/>
  <c r="AZ203" i="13"/>
  <c r="AM203" i="13"/>
  <c r="AJ203" i="13"/>
  <c r="AX203" i="13"/>
  <c r="AQ203" i="13"/>
  <c r="AV203" i="13"/>
  <c r="AO207" i="13"/>
  <c r="AN207" i="13"/>
  <c r="AM207" i="13"/>
  <c r="AL207" i="13"/>
  <c r="AK207" i="13"/>
  <c r="AV207" i="13"/>
  <c r="BB207" i="13"/>
  <c r="AP207" i="13"/>
  <c r="AJ207" i="13"/>
  <c r="AU207" i="13"/>
  <c r="AS207" i="13"/>
  <c r="AQ207" i="13"/>
  <c r="AZ207" i="13"/>
  <c r="AX207" i="13"/>
  <c r="AY207" i="13"/>
  <c r="AR207" i="13"/>
  <c r="AT207" i="13"/>
  <c r="AW207" i="13"/>
  <c r="BA207" i="13"/>
  <c r="AX6" i="13"/>
  <c r="AW6" i="13"/>
  <c r="AV6" i="13"/>
  <c r="AU6" i="13"/>
  <c r="AT6" i="13"/>
  <c r="AQ6" i="13"/>
  <c r="AJ6" i="13"/>
  <c r="AZ6" i="13"/>
  <c r="AR6" i="13"/>
  <c r="AK6" i="13"/>
  <c r="BA6" i="13"/>
  <c r="AN6" i="13"/>
  <c r="AL6" i="13"/>
  <c r="AO6" i="13"/>
  <c r="AP6" i="13"/>
  <c r="AY6" i="13"/>
  <c r="AM6" i="13"/>
  <c r="AS6" i="13"/>
  <c r="BB6" i="13"/>
  <c r="AN10" i="13"/>
  <c r="AM10" i="13"/>
  <c r="AU10" i="13"/>
  <c r="BA10" i="13"/>
  <c r="AJ10" i="13"/>
  <c r="AO10" i="13"/>
  <c r="AX10" i="13"/>
  <c r="AW10" i="13"/>
  <c r="BB10" i="13"/>
  <c r="AT10" i="13"/>
  <c r="AL10" i="13"/>
  <c r="AP10" i="13"/>
  <c r="AY10" i="13"/>
  <c r="AQ10" i="13"/>
  <c r="AZ10" i="13"/>
  <c r="AV10" i="13"/>
  <c r="AS10" i="13"/>
  <c r="AK10" i="13"/>
  <c r="AR10" i="13"/>
  <c r="BB14" i="13"/>
  <c r="AQ14" i="13"/>
  <c r="AZ14" i="13"/>
  <c r="AY14" i="13"/>
  <c r="AR14" i="13"/>
  <c r="AV14" i="13"/>
  <c r="BA14" i="13"/>
  <c r="AT14" i="13"/>
  <c r="AS14" i="13"/>
  <c r="AL14" i="13"/>
  <c r="AU14" i="13"/>
  <c r="AM14" i="13"/>
  <c r="AO14" i="13"/>
  <c r="AX14" i="13"/>
  <c r="AJ14" i="13"/>
  <c r="AN14" i="13"/>
  <c r="AK14" i="13"/>
  <c r="AP14" i="13"/>
  <c r="AW14" i="13"/>
  <c r="AL18" i="13"/>
  <c r="AK18" i="13"/>
  <c r="AJ18" i="13"/>
  <c r="AO18" i="13"/>
  <c r="AN18" i="13"/>
  <c r="AW18" i="13"/>
  <c r="AP18" i="13"/>
  <c r="AM18" i="13"/>
  <c r="AX18" i="13"/>
  <c r="AQ18" i="13"/>
  <c r="AY18" i="13"/>
  <c r="AZ18" i="13"/>
  <c r="BB18" i="13"/>
  <c r="AT18" i="13"/>
  <c r="AR18" i="13"/>
  <c r="AU18" i="13"/>
  <c r="AS18" i="13"/>
  <c r="AV18" i="13"/>
  <c r="BA18" i="13"/>
  <c r="AZ22" i="13"/>
  <c r="AY22" i="13"/>
  <c r="AX22" i="13"/>
  <c r="AQ22" i="13"/>
  <c r="AP22" i="13"/>
  <c r="AS22" i="13"/>
  <c r="AL22" i="13"/>
  <c r="AV22" i="13"/>
  <c r="AT22" i="13"/>
  <c r="AM22" i="13"/>
  <c r="AW22" i="13"/>
  <c r="AJ22" i="13"/>
  <c r="BA22" i="13"/>
  <c r="BB22" i="13"/>
  <c r="AO22" i="13"/>
  <c r="AU22" i="13"/>
  <c r="AN22" i="13"/>
  <c r="AR22" i="13"/>
  <c r="AK22" i="13"/>
  <c r="AP26" i="13"/>
  <c r="AO26" i="13"/>
  <c r="AW26" i="13"/>
  <c r="AK26" i="13"/>
  <c r="AQ26" i="13"/>
  <c r="AJ26" i="13"/>
  <c r="AZ26" i="13"/>
  <c r="AY26" i="13"/>
  <c r="AX26" i="13"/>
  <c r="BB26" i="13"/>
  <c r="AT26" i="13"/>
  <c r="AR26" i="13"/>
  <c r="AV26" i="13"/>
  <c r="AN26" i="13"/>
  <c r="AL26" i="13"/>
  <c r="AM26" i="13"/>
  <c r="BA26" i="13"/>
  <c r="AS26" i="13"/>
  <c r="AU26" i="13"/>
  <c r="AX30" i="13"/>
  <c r="AW30" i="13"/>
  <c r="AV30" i="13"/>
  <c r="BA30" i="13"/>
  <c r="AT30" i="13"/>
  <c r="AR30" i="13"/>
  <c r="AQ30" i="13"/>
  <c r="AP30" i="13"/>
  <c r="AU30" i="13"/>
  <c r="AN30" i="13"/>
  <c r="AK30" i="13"/>
  <c r="AO30" i="13"/>
  <c r="AL30" i="13"/>
  <c r="AM30" i="13"/>
  <c r="AY30" i="13"/>
  <c r="AZ30" i="13"/>
  <c r="BB30" i="13"/>
  <c r="AS30" i="13"/>
  <c r="AJ30" i="13"/>
  <c r="AN34" i="13"/>
  <c r="AM34" i="13"/>
  <c r="AL34" i="13"/>
  <c r="AK34" i="13"/>
  <c r="AJ34" i="13"/>
  <c r="AY34" i="13"/>
  <c r="AR34" i="13"/>
  <c r="BB34" i="13"/>
  <c r="AZ34" i="13"/>
  <c r="AS34" i="13"/>
  <c r="BA34" i="13"/>
  <c r="AV34" i="13"/>
  <c r="AX34" i="13"/>
  <c r="AT34" i="13"/>
  <c r="AW34" i="13"/>
  <c r="AU34" i="13"/>
  <c r="AQ34" i="13"/>
  <c r="AP34" i="13"/>
  <c r="AO34" i="13"/>
  <c r="BB38" i="13"/>
  <c r="BA38" i="13"/>
  <c r="AZ38" i="13"/>
  <c r="AY38" i="13"/>
  <c r="AR38" i="13"/>
  <c r="AV38" i="13"/>
  <c r="AU38" i="13"/>
  <c r="AT38" i="13"/>
  <c r="AS38" i="13"/>
  <c r="AL38" i="13"/>
  <c r="AP38" i="13"/>
  <c r="AN38" i="13"/>
  <c r="AQ38" i="13"/>
  <c r="AJ38" i="13"/>
  <c r="AK38" i="13"/>
  <c r="AW38" i="13"/>
  <c r="AM38" i="13"/>
  <c r="AO38" i="13"/>
  <c r="AX38" i="13"/>
  <c r="AL42" i="13"/>
  <c r="AS42" i="13"/>
  <c r="AJ42" i="13"/>
  <c r="AO42" i="13"/>
  <c r="AM42" i="13"/>
  <c r="AW42" i="13"/>
  <c r="BB42" i="13"/>
  <c r="AY42" i="13"/>
  <c r="AZ42" i="13"/>
  <c r="AX42" i="13"/>
  <c r="AV42" i="13"/>
  <c r="AT42" i="13"/>
  <c r="AK42" i="13"/>
  <c r="AN42" i="13"/>
  <c r="AP42" i="13"/>
  <c r="AR42" i="13"/>
  <c r="BA42" i="13"/>
  <c r="AQ42" i="13"/>
  <c r="AU42" i="13"/>
  <c r="AZ46" i="13"/>
  <c r="AS46" i="13"/>
  <c r="AR46" i="13"/>
  <c r="AQ46" i="13"/>
  <c r="AP46" i="13"/>
  <c r="AY46" i="13"/>
  <c r="AL46" i="13"/>
  <c r="BB46" i="13"/>
  <c r="AM46" i="13"/>
  <c r="BA46" i="13"/>
  <c r="AV46" i="13"/>
  <c r="AN46" i="13"/>
  <c r="AK46" i="13"/>
  <c r="AU46" i="13"/>
  <c r="AJ46" i="13"/>
  <c r="AW46" i="13"/>
  <c r="AO46" i="13"/>
  <c r="AT46" i="13"/>
  <c r="AX46" i="13"/>
  <c r="AP50" i="13"/>
  <c r="AU50" i="13"/>
  <c r="AN50" i="13"/>
  <c r="AM50" i="13"/>
  <c r="AL50" i="13"/>
  <c r="AJ50" i="13"/>
  <c r="AO50" i="13"/>
  <c r="AK50" i="13"/>
  <c r="AQ50" i="13"/>
  <c r="AW50" i="13"/>
  <c r="AY50" i="13"/>
  <c r="BA50" i="13"/>
  <c r="AS50" i="13"/>
  <c r="AV50" i="13"/>
  <c r="AR50" i="13"/>
  <c r="AZ50" i="13"/>
  <c r="BB50" i="13"/>
  <c r="AT50" i="13"/>
  <c r="AX50" i="13"/>
  <c r="AX54" i="13"/>
  <c r="AQ54" i="13"/>
  <c r="AP54" i="13"/>
  <c r="AU54" i="13"/>
  <c r="AT54" i="13"/>
  <c r="AR54" i="13"/>
  <c r="AK54" i="13"/>
  <c r="AJ54" i="13"/>
  <c r="AO54" i="13"/>
  <c r="AN54" i="13"/>
  <c r="AL54" i="13"/>
  <c r="AS54" i="13"/>
  <c r="AM54" i="13"/>
  <c r="BA54" i="13"/>
  <c r="AW54" i="13"/>
  <c r="AY54" i="13"/>
  <c r="BB54" i="13"/>
  <c r="AZ54" i="13"/>
  <c r="AV54" i="13"/>
  <c r="AN58" i="13"/>
  <c r="AY58" i="13"/>
  <c r="AX58" i="13"/>
  <c r="AQ58" i="13"/>
  <c r="AV58" i="13"/>
  <c r="AS58" i="13"/>
  <c r="AR58" i="13"/>
  <c r="AK58" i="13"/>
  <c r="AP58" i="13"/>
  <c r="AU58" i="13"/>
  <c r="BB58" i="13"/>
  <c r="AZ58" i="13"/>
  <c r="AL58" i="13"/>
  <c r="AJ58" i="13"/>
  <c r="AO58" i="13"/>
  <c r="AT58" i="13"/>
  <c r="BA58" i="13"/>
  <c r="AM58" i="13"/>
  <c r="AW58" i="13"/>
  <c r="BB62" i="13"/>
  <c r="AK62" i="13"/>
  <c r="AZ62" i="13"/>
  <c r="AY62" i="13"/>
  <c r="AR62" i="13"/>
  <c r="AV62" i="13"/>
  <c r="BA62" i="13"/>
  <c r="AT62" i="13"/>
  <c r="AS62" i="13"/>
  <c r="AL62" i="13"/>
  <c r="AU62" i="13"/>
  <c r="AM62" i="13"/>
  <c r="AO62" i="13"/>
  <c r="AX62" i="13"/>
  <c r="AW62" i="13"/>
  <c r="AP62" i="13"/>
  <c r="AQ62" i="13"/>
  <c r="AJ62" i="13"/>
  <c r="AN62" i="13"/>
  <c r="AL66" i="13"/>
  <c r="AK66" i="13"/>
  <c r="AP66" i="13"/>
  <c r="AO66" i="13"/>
  <c r="AN66" i="13"/>
  <c r="AS66" i="13"/>
  <c r="AY66" i="13"/>
  <c r="AJ66" i="13"/>
  <c r="AM66" i="13"/>
  <c r="AW66" i="13"/>
  <c r="BA66" i="13"/>
  <c r="AQ66" i="13"/>
  <c r="AZ66" i="13"/>
  <c r="BB66" i="13"/>
  <c r="AT66" i="13"/>
  <c r="AX66" i="13"/>
  <c r="AV66" i="13"/>
  <c r="AR66" i="13"/>
  <c r="AU66" i="13"/>
  <c r="AT70" i="13"/>
  <c r="AM70" i="13"/>
  <c r="AU70" i="13"/>
  <c r="BA70" i="13"/>
  <c r="AJ70" i="13"/>
  <c r="AN70" i="13"/>
  <c r="AX70" i="13"/>
  <c r="AW70" i="13"/>
  <c r="BB70" i="13"/>
  <c r="AO70" i="13"/>
  <c r="AZ70" i="13"/>
  <c r="AL70" i="13"/>
  <c r="AP70" i="13"/>
  <c r="AY70" i="13"/>
  <c r="AQ70" i="13"/>
  <c r="AR70" i="13"/>
  <c r="AK70" i="13"/>
  <c r="AV70" i="13"/>
  <c r="AS70" i="13"/>
  <c r="AP74" i="13"/>
  <c r="AU74" i="13"/>
  <c r="AN74" i="13"/>
  <c r="AM74" i="13"/>
  <c r="AW74" i="13"/>
  <c r="AJ74" i="13"/>
  <c r="AO74" i="13"/>
  <c r="AQ74" i="13"/>
  <c r="AX74" i="13"/>
  <c r="BB74" i="13"/>
  <c r="AZ74" i="13"/>
  <c r="AR74" i="13"/>
  <c r="AV74" i="13"/>
  <c r="AT74" i="13"/>
  <c r="AL74" i="13"/>
  <c r="BA74" i="13"/>
  <c r="AY74" i="13"/>
  <c r="AK74" i="13"/>
  <c r="AS74" i="13"/>
  <c r="AX78" i="13"/>
  <c r="AW78" i="13"/>
  <c r="AV78" i="13"/>
  <c r="AU78" i="13"/>
  <c r="AT78" i="13"/>
  <c r="AR78" i="13"/>
  <c r="AQ78" i="13"/>
  <c r="AP78" i="13"/>
  <c r="AO78" i="13"/>
  <c r="AN78" i="13"/>
  <c r="AK78" i="13"/>
  <c r="AY78" i="13"/>
  <c r="AJ78" i="13"/>
  <c r="AL78" i="13"/>
  <c r="BA78" i="13"/>
  <c r="AS78" i="13"/>
  <c r="AZ78" i="13"/>
  <c r="BB78" i="13"/>
  <c r="AM78" i="13"/>
  <c r="AY82" i="13"/>
  <c r="AX82" i="13"/>
  <c r="AW82" i="13"/>
  <c r="BB82" i="13"/>
  <c r="AZ82" i="13"/>
  <c r="AS82" i="13"/>
  <c r="AR82" i="13"/>
  <c r="AQ82" i="13"/>
  <c r="AV82" i="13"/>
  <c r="AN82" i="13"/>
  <c r="BA82" i="13"/>
  <c r="AJ82" i="13"/>
  <c r="AM82" i="13"/>
  <c r="AK82" i="13"/>
  <c r="AT82" i="13"/>
  <c r="AP82" i="13"/>
  <c r="AO82" i="13"/>
  <c r="AL82" i="13"/>
  <c r="AU82" i="13"/>
  <c r="BB86" i="13"/>
  <c r="BA86" i="13"/>
  <c r="AT86" i="13"/>
  <c r="AS86" i="13"/>
  <c r="AR86" i="13"/>
  <c r="AV86" i="13"/>
  <c r="AU86" i="13"/>
  <c r="AN86" i="13"/>
  <c r="AM86" i="13"/>
  <c r="AP86" i="13"/>
  <c r="AW86" i="13"/>
  <c r="AL86" i="13"/>
  <c r="AJ86" i="13"/>
  <c r="AY86" i="13"/>
  <c r="AK86" i="13"/>
  <c r="AX86" i="13"/>
  <c r="AO86" i="13"/>
  <c r="AQ86" i="13"/>
  <c r="AZ86" i="13"/>
  <c r="AL90" i="13"/>
  <c r="AY90" i="13"/>
  <c r="AJ90" i="13"/>
  <c r="AO90" i="13"/>
  <c r="AN90" i="13"/>
  <c r="AW90" i="13"/>
  <c r="BB90" i="13"/>
  <c r="AM90" i="13"/>
  <c r="AS90" i="13"/>
  <c r="AX90" i="13"/>
  <c r="AV90" i="13"/>
  <c r="AZ90" i="13"/>
  <c r="AQ90" i="13"/>
  <c r="AU90" i="13"/>
  <c r="AK90" i="13"/>
  <c r="AT90" i="13"/>
  <c r="AP90" i="13"/>
  <c r="BA90" i="13"/>
  <c r="AR90" i="13"/>
  <c r="AT94" i="13"/>
  <c r="AS94" i="13"/>
  <c r="AL94" i="13"/>
  <c r="AU94" i="13"/>
  <c r="AJ94" i="13"/>
  <c r="AN94" i="13"/>
  <c r="AM94" i="13"/>
  <c r="AW94" i="13"/>
  <c r="BB94" i="13"/>
  <c r="BA94" i="13"/>
  <c r="AY94" i="13"/>
  <c r="AK94" i="13"/>
  <c r="AX94" i="13"/>
  <c r="AV94" i="13"/>
  <c r="AQ94" i="13"/>
  <c r="AZ94" i="13"/>
  <c r="AP94" i="13"/>
  <c r="AO94" i="13"/>
  <c r="AR94" i="13"/>
  <c r="AJ98" i="13"/>
  <c r="AW98" i="13"/>
  <c r="AY98" i="13"/>
  <c r="AX98" i="13"/>
  <c r="BB98" i="13"/>
  <c r="BA98" i="13"/>
  <c r="AZ98" i="13"/>
  <c r="AS98" i="13"/>
  <c r="AR98" i="13"/>
  <c r="AP98" i="13"/>
  <c r="AN98" i="13"/>
  <c r="AK98" i="13"/>
  <c r="AU98" i="13"/>
  <c r="AM98" i="13"/>
  <c r="AT98" i="13"/>
  <c r="AQ98" i="13"/>
  <c r="AO98" i="13"/>
  <c r="AL98" i="13"/>
  <c r="AV98" i="13"/>
  <c r="AX110" i="13"/>
  <c r="AQ110" i="13"/>
  <c r="AP110" i="13"/>
  <c r="AU110" i="13"/>
  <c r="AT110" i="13"/>
  <c r="AR110" i="13"/>
  <c r="AK110" i="13"/>
  <c r="AJ110" i="13"/>
  <c r="AO110" i="13"/>
  <c r="AN110" i="13"/>
  <c r="AL110" i="13"/>
  <c r="AS110" i="13"/>
  <c r="AM110" i="13"/>
  <c r="AV110" i="13"/>
  <c r="BA110" i="13"/>
  <c r="AW110" i="13"/>
  <c r="AY110" i="13"/>
  <c r="AZ110" i="13"/>
  <c r="BB110" i="13"/>
  <c r="AO114" i="13"/>
  <c r="AX114" i="13"/>
  <c r="AQ114" i="13"/>
  <c r="AV114" i="13"/>
  <c r="AZ114" i="13"/>
  <c r="AY114" i="13"/>
  <c r="AR114" i="13"/>
  <c r="AK114" i="13"/>
  <c r="AP114" i="13"/>
  <c r="AM114" i="13"/>
  <c r="BB114" i="13"/>
  <c r="AT114" i="13"/>
  <c r="AL114" i="13"/>
  <c r="AJ114" i="13"/>
  <c r="AS114" i="13"/>
  <c r="AW114" i="13"/>
  <c r="BA114" i="13"/>
  <c r="AN114" i="13"/>
  <c r="AU114" i="13"/>
  <c r="AV144" i="13"/>
  <c r="AU144" i="13"/>
  <c r="AN144" i="13"/>
  <c r="AM144" i="13"/>
  <c r="AL144" i="13"/>
  <c r="AP144" i="13"/>
  <c r="AO144" i="13"/>
  <c r="AW144" i="13"/>
  <c r="AQ144" i="13"/>
  <c r="AK144" i="13"/>
  <c r="BA144" i="13"/>
  <c r="AS144" i="13"/>
  <c r="AZ144" i="13"/>
  <c r="AX144" i="13"/>
  <c r="AJ144" i="13"/>
  <c r="AT144" i="13"/>
  <c r="BB144" i="13"/>
  <c r="AY144" i="13"/>
  <c r="AR144" i="13"/>
  <c r="AL148" i="13"/>
  <c r="AM148" i="13"/>
  <c r="AJ148" i="13"/>
  <c r="AY148" i="13"/>
  <c r="AS148" i="13"/>
  <c r="BB148" i="13"/>
  <c r="BA148" i="13"/>
  <c r="AZ148" i="13"/>
  <c r="AW148" i="13"/>
  <c r="AP148" i="13"/>
  <c r="AN148" i="13"/>
  <c r="AR148" i="13"/>
  <c r="AU148" i="13"/>
  <c r="AQ148" i="13"/>
  <c r="AO148" i="13"/>
  <c r="AK148" i="13"/>
  <c r="AT148" i="13"/>
  <c r="AX148" i="13"/>
  <c r="AV148" i="13"/>
  <c r="AT152" i="13"/>
  <c r="AM152" i="13"/>
  <c r="AL152" i="13"/>
  <c r="AU152" i="13"/>
  <c r="AJ152" i="13"/>
  <c r="AN152" i="13"/>
  <c r="AO152" i="13"/>
  <c r="AW152" i="13"/>
  <c r="BB152" i="13"/>
  <c r="BA152" i="13"/>
  <c r="AZ152" i="13"/>
  <c r="AR152" i="13"/>
  <c r="AP152" i="13"/>
  <c r="AY152" i="13"/>
  <c r="AQ152" i="13"/>
  <c r="AV152" i="13"/>
  <c r="AS152" i="13"/>
  <c r="AX152" i="13"/>
  <c r="AK152" i="13"/>
  <c r="AJ173" i="13"/>
  <c r="AO173" i="13"/>
  <c r="AN173" i="13"/>
  <c r="AK173" i="13"/>
  <c r="BB173" i="13"/>
  <c r="AQ173" i="13"/>
  <c r="AW173" i="13"/>
  <c r="AY173" i="13"/>
  <c r="AX173" i="13"/>
  <c r="AU173" i="13"/>
  <c r="AM173" i="13"/>
  <c r="AV173" i="13"/>
  <c r="AZ173" i="13"/>
  <c r="AR173" i="13"/>
  <c r="AS173" i="13"/>
  <c r="AP173" i="13"/>
  <c r="AL173" i="13"/>
  <c r="BA173" i="13"/>
  <c r="AT173" i="13"/>
  <c r="AX177" i="13"/>
  <c r="AW177" i="13"/>
  <c r="AV177" i="13"/>
  <c r="AU177" i="13"/>
  <c r="AT177" i="13"/>
  <c r="AR177" i="13"/>
  <c r="AQ177" i="13"/>
  <c r="AP177" i="13"/>
  <c r="AO177" i="13"/>
  <c r="AN177" i="13"/>
  <c r="AY177" i="13"/>
  <c r="BA177" i="13"/>
  <c r="AK177" i="13"/>
  <c r="AZ177" i="13"/>
  <c r="BB177" i="13"/>
  <c r="AS177" i="13"/>
  <c r="AJ177" i="13"/>
  <c r="AM177" i="13"/>
  <c r="AL177" i="13"/>
  <c r="AY181" i="13"/>
  <c r="AX181" i="13"/>
  <c r="AW181" i="13"/>
  <c r="AV181" i="13"/>
  <c r="AZ181" i="13"/>
  <c r="AS181" i="13"/>
  <c r="AR181" i="13"/>
  <c r="AQ181" i="13"/>
  <c r="AP181" i="13"/>
  <c r="AN181" i="13"/>
  <c r="AO181" i="13"/>
  <c r="BA181" i="13"/>
  <c r="AM181" i="13"/>
  <c r="AK181" i="13"/>
  <c r="AL181" i="13"/>
  <c r="BB181" i="13"/>
  <c r="AT181" i="13"/>
  <c r="AJ181" i="13"/>
  <c r="AU181" i="13"/>
  <c r="AV185" i="13"/>
  <c r="BA185" i="13"/>
  <c r="AT185" i="13"/>
  <c r="AS185" i="13"/>
  <c r="AL185" i="13"/>
  <c r="AP185" i="13"/>
  <c r="AU185" i="13"/>
  <c r="AN185" i="13"/>
  <c r="AM185" i="13"/>
  <c r="AK185" i="13"/>
  <c r="BB185" i="13"/>
  <c r="AZ185" i="13"/>
  <c r="AR185" i="13"/>
  <c r="AJ185" i="13"/>
  <c r="AW185" i="13"/>
  <c r="AO185" i="13"/>
  <c r="AY185" i="13"/>
  <c r="AX185" i="13"/>
  <c r="AQ185" i="13"/>
  <c r="AL204" i="13"/>
  <c r="AQ204" i="13"/>
  <c r="AV204" i="13"/>
  <c r="AU204" i="13"/>
  <c r="AN204" i="13"/>
  <c r="AS204" i="13"/>
  <c r="AK204" i="13"/>
  <c r="AP204" i="13"/>
  <c r="AO204" i="13"/>
  <c r="AW204" i="13"/>
  <c r="BA204" i="13"/>
  <c r="AX204" i="13"/>
  <c r="BB204" i="13"/>
  <c r="AR204" i="13"/>
  <c r="AJ204" i="13"/>
  <c r="AM204" i="13"/>
  <c r="AZ204" i="13"/>
  <c r="AY204" i="13"/>
  <c r="AT204" i="13"/>
  <c r="AQ7" i="13"/>
  <c r="AP7" i="13"/>
  <c r="AU7" i="13"/>
  <c r="AT7" i="13"/>
  <c r="AM7" i="13"/>
  <c r="AK7" i="13"/>
  <c r="AR7" i="13"/>
  <c r="AZ7" i="13"/>
  <c r="AX7" i="13"/>
  <c r="BB7" i="13"/>
  <c r="BA7" i="13"/>
  <c r="AN7" i="13"/>
  <c r="AV7" i="13"/>
  <c r="AO7" i="13"/>
  <c r="AY7" i="13"/>
  <c r="AJ7" i="13"/>
  <c r="AL7" i="13"/>
  <c r="AS7" i="13"/>
  <c r="AW7" i="13"/>
  <c r="AY11" i="13"/>
  <c r="AR11" i="13"/>
  <c r="AK11" i="13"/>
  <c r="AP11" i="13"/>
  <c r="AO11" i="13"/>
  <c r="AX11" i="13"/>
  <c r="AT11" i="13"/>
  <c r="BA11" i="13"/>
  <c r="BB11" i="13"/>
  <c r="AU11" i="13"/>
  <c r="AL11" i="13"/>
  <c r="AQ11" i="13"/>
  <c r="AN11" i="13"/>
  <c r="AS11" i="13"/>
  <c r="AV11" i="13"/>
  <c r="AM11" i="13"/>
  <c r="AJ11" i="13"/>
  <c r="AW11" i="13"/>
  <c r="AZ11" i="13"/>
  <c r="AU15" i="13"/>
  <c r="AN15" i="13"/>
  <c r="AM15" i="13"/>
  <c r="AL15" i="13"/>
  <c r="AK15" i="13"/>
  <c r="AO15" i="13"/>
  <c r="AJ15" i="13"/>
  <c r="AV15" i="13"/>
  <c r="AP15" i="13"/>
  <c r="BB15" i="13"/>
  <c r="AT15" i="13"/>
  <c r="AR15" i="13"/>
  <c r="AY15" i="13"/>
  <c r="AW15" i="13"/>
  <c r="AZ15" i="13"/>
  <c r="AS15" i="13"/>
  <c r="BA15" i="13"/>
  <c r="AX15" i="13"/>
  <c r="AQ15" i="13"/>
  <c r="BB19" i="13"/>
  <c r="AL19" i="13"/>
  <c r="AZ19" i="13"/>
  <c r="AS19" i="13"/>
  <c r="AQ19" i="13"/>
  <c r="AJ19" i="13"/>
  <c r="AT19" i="13"/>
  <c r="AX19" i="13"/>
  <c r="AK19" i="13"/>
  <c r="BA19" i="13"/>
  <c r="AN19" i="13"/>
  <c r="AR19" i="13"/>
  <c r="AV19" i="13"/>
  <c r="AU19" i="13"/>
  <c r="AY19" i="13"/>
  <c r="AO19" i="13"/>
  <c r="AM19" i="13"/>
  <c r="AW19" i="13"/>
  <c r="AP19" i="13"/>
  <c r="AM23" i="13"/>
  <c r="AW23" i="13"/>
  <c r="BB23" i="13"/>
  <c r="AT23" i="13"/>
  <c r="AZ23" i="13"/>
  <c r="AX23" i="13"/>
  <c r="AK23" i="13"/>
  <c r="AJ23" i="13"/>
  <c r="AR23" i="13"/>
  <c r="BA23" i="13"/>
  <c r="AN23" i="13"/>
  <c r="AS23" i="13"/>
  <c r="AP23" i="13"/>
  <c r="AL23" i="13"/>
  <c r="AU23" i="13"/>
  <c r="AQ23" i="13"/>
  <c r="AO23" i="13"/>
  <c r="AY23" i="13"/>
  <c r="AV23" i="13"/>
  <c r="AP27" i="13"/>
  <c r="AV27" i="13"/>
  <c r="AX27" i="13"/>
  <c r="AW27" i="13"/>
  <c r="BA27" i="13"/>
  <c r="AZ27" i="13"/>
  <c r="AY27" i="13"/>
  <c r="AR27" i="13"/>
  <c r="AQ27" i="13"/>
  <c r="AN27" i="13"/>
  <c r="BB27" i="13"/>
  <c r="AU27" i="13"/>
  <c r="AS27" i="13"/>
  <c r="AK27" i="13"/>
  <c r="AL27" i="13"/>
  <c r="AO27" i="13"/>
  <c r="AJ27" i="13"/>
  <c r="AT27" i="13"/>
  <c r="AM27" i="13"/>
  <c r="AQ31" i="13"/>
  <c r="AP31" i="13"/>
  <c r="AU31" i="13"/>
  <c r="AT31" i="13"/>
  <c r="AS31" i="13"/>
  <c r="AW31" i="13"/>
  <c r="AJ31" i="13"/>
  <c r="AX31" i="13"/>
  <c r="AY31" i="13"/>
  <c r="AK31" i="13"/>
  <c r="AL31" i="13"/>
  <c r="AZ31" i="13"/>
  <c r="AM31" i="13"/>
  <c r="BB31" i="13"/>
  <c r="BA31" i="13"/>
  <c r="AN31" i="13"/>
  <c r="AR31" i="13"/>
  <c r="AO31" i="13"/>
  <c r="AV31" i="13"/>
  <c r="AY35" i="13"/>
  <c r="AR35" i="13"/>
  <c r="AK35" i="13"/>
  <c r="AJ35" i="13"/>
  <c r="AT35" i="13"/>
  <c r="AM35" i="13"/>
  <c r="AQ35" i="13"/>
  <c r="BA35" i="13"/>
  <c r="AZ35" i="13"/>
  <c r="BB35" i="13"/>
  <c r="AU35" i="13"/>
  <c r="AX35" i="13"/>
  <c r="AW35" i="13"/>
  <c r="AN35" i="13"/>
  <c r="AV35" i="13"/>
  <c r="AS35" i="13"/>
  <c r="AP35" i="13"/>
  <c r="AL35" i="13"/>
  <c r="AO35" i="13"/>
  <c r="AU39" i="13"/>
  <c r="AT39" i="13"/>
  <c r="AM39" i="13"/>
  <c r="AL39" i="13"/>
  <c r="AJ39" i="13"/>
  <c r="AO39" i="13"/>
  <c r="AN39" i="13"/>
  <c r="BB39" i="13"/>
  <c r="AW39" i="13"/>
  <c r="AV39" i="13"/>
  <c r="BA39" i="13"/>
  <c r="AS39" i="13"/>
  <c r="AK39" i="13"/>
  <c r="AP39" i="13"/>
  <c r="AX39" i="13"/>
  <c r="AY39" i="13"/>
  <c r="AR39" i="13"/>
  <c r="AZ39" i="13"/>
  <c r="AQ39" i="13"/>
  <c r="BB43" i="13"/>
  <c r="BA43" i="13"/>
  <c r="AT43" i="13"/>
  <c r="AS43" i="13"/>
  <c r="AW43" i="13"/>
  <c r="AP43" i="13"/>
  <c r="AZ43" i="13"/>
  <c r="AM43" i="13"/>
  <c r="AQ43" i="13"/>
  <c r="AJ43" i="13"/>
  <c r="AN43" i="13"/>
  <c r="AX43" i="13"/>
  <c r="AK43" i="13"/>
  <c r="AU43" i="13"/>
  <c r="AR43" i="13"/>
  <c r="AL43" i="13"/>
  <c r="AY43" i="13"/>
  <c r="AV43" i="13"/>
  <c r="AO43" i="13"/>
  <c r="AM47" i="13"/>
  <c r="AW47" i="13"/>
  <c r="AV47" i="13"/>
  <c r="BA47" i="13"/>
  <c r="AT47" i="13"/>
  <c r="AS47" i="13"/>
  <c r="AQ47" i="13"/>
  <c r="AJ47" i="13"/>
  <c r="AN47" i="13"/>
  <c r="AK47" i="13"/>
  <c r="AZ47" i="13"/>
  <c r="AX47" i="13"/>
  <c r="AY47" i="13"/>
  <c r="AP47" i="13"/>
  <c r="AR47" i="13"/>
  <c r="AU47" i="13"/>
  <c r="AL47" i="13"/>
  <c r="AO47" i="13"/>
  <c r="BB47" i="13"/>
  <c r="AZ51" i="13"/>
  <c r="AY51" i="13"/>
  <c r="AR51" i="13"/>
  <c r="AK51" i="13"/>
  <c r="BA51" i="13"/>
  <c r="AT51" i="13"/>
  <c r="AS51" i="13"/>
  <c r="AL51" i="13"/>
  <c r="BB51" i="13"/>
  <c r="AO51" i="13"/>
  <c r="AX51" i="13"/>
  <c r="AP51" i="13"/>
  <c r="AN51" i="13"/>
  <c r="AW51" i="13"/>
  <c r="AU51" i="13"/>
  <c r="AJ51" i="13"/>
  <c r="AV51" i="13"/>
  <c r="AQ51" i="13"/>
  <c r="AM51" i="13"/>
  <c r="AQ55" i="13"/>
  <c r="AV55" i="13"/>
  <c r="BA55" i="13"/>
  <c r="AT55" i="13"/>
  <c r="AM55" i="13"/>
  <c r="BB55" i="13"/>
  <c r="AU55" i="13"/>
  <c r="AY55" i="13"/>
  <c r="AW55" i="13"/>
  <c r="AP55" i="13"/>
  <c r="AO55" i="13"/>
  <c r="AS55" i="13"/>
  <c r="AK55" i="13"/>
  <c r="AJ55" i="13"/>
  <c r="AZ55" i="13"/>
  <c r="AX55" i="13"/>
  <c r="AR55" i="13"/>
  <c r="AL55" i="13"/>
  <c r="AN55" i="13"/>
  <c r="AY59" i="13"/>
  <c r="AX59" i="13"/>
  <c r="AQ59" i="13"/>
  <c r="AV59" i="13"/>
  <c r="AU59" i="13"/>
  <c r="AS59" i="13"/>
  <c r="AL59" i="13"/>
  <c r="BB59" i="13"/>
  <c r="AO59" i="13"/>
  <c r="AM59" i="13"/>
  <c r="AW59" i="13"/>
  <c r="AP59" i="13"/>
  <c r="AZ59" i="13"/>
  <c r="AR59" i="13"/>
  <c r="BA59" i="13"/>
  <c r="AK59" i="13"/>
  <c r="AT59" i="13"/>
  <c r="AJ59" i="13"/>
  <c r="AN59" i="13"/>
  <c r="AU63" i="13"/>
  <c r="AN63" i="13"/>
  <c r="AJ63" i="13"/>
  <c r="BB63" i="13"/>
  <c r="AV63" i="13"/>
  <c r="AO63" i="13"/>
  <c r="AY63" i="13"/>
  <c r="AX63" i="13"/>
  <c r="AW63" i="13"/>
  <c r="AP63" i="13"/>
  <c r="AT63" i="13"/>
  <c r="AL63" i="13"/>
  <c r="AS63" i="13"/>
  <c r="AQ63" i="13"/>
  <c r="AR63" i="13"/>
  <c r="BA63" i="13"/>
  <c r="AK63" i="13"/>
  <c r="AM63" i="13"/>
  <c r="AZ63" i="13"/>
  <c r="BB67" i="13"/>
  <c r="BA67" i="13"/>
  <c r="AZ67" i="13"/>
  <c r="AS67" i="13"/>
  <c r="AV67" i="13"/>
  <c r="AO67" i="13"/>
  <c r="AY67" i="13"/>
  <c r="AW67" i="13"/>
  <c r="AQ67" i="13"/>
  <c r="AJ67" i="13"/>
  <c r="AT67" i="13"/>
  <c r="AL67" i="13"/>
  <c r="AP67" i="13"/>
  <c r="AM67" i="13"/>
  <c r="AN67" i="13"/>
  <c r="AU67" i="13"/>
  <c r="AX67" i="13"/>
  <c r="AR67" i="13"/>
  <c r="AK67" i="13"/>
  <c r="AM71" i="13"/>
  <c r="AL71" i="13"/>
  <c r="AT71" i="13"/>
  <c r="AJ71" i="13"/>
  <c r="AZ71" i="13"/>
  <c r="AY71" i="13"/>
  <c r="AR71" i="13"/>
  <c r="BB71" i="13"/>
  <c r="AU71" i="13"/>
  <c r="AS71" i="13"/>
  <c r="AW71" i="13"/>
  <c r="AV71" i="13"/>
  <c r="AO71" i="13"/>
  <c r="AK71" i="13"/>
  <c r="AN71" i="13"/>
  <c r="AP71" i="13"/>
  <c r="AX71" i="13"/>
  <c r="BA71" i="13"/>
  <c r="AQ71" i="13"/>
  <c r="AP75" i="13"/>
  <c r="AY75" i="13"/>
  <c r="AX75" i="13"/>
  <c r="AW75" i="13"/>
  <c r="BA75" i="13"/>
  <c r="AZ75" i="13"/>
  <c r="AS75" i="13"/>
  <c r="AR75" i="13"/>
  <c r="AQ75" i="13"/>
  <c r="AN75" i="13"/>
  <c r="AV75" i="13"/>
  <c r="AU75" i="13"/>
  <c r="AM75" i="13"/>
  <c r="AK75" i="13"/>
  <c r="AT75" i="13"/>
  <c r="BB75" i="13"/>
  <c r="AO75" i="13"/>
  <c r="AL75" i="13"/>
  <c r="AJ75" i="13"/>
  <c r="AQ79" i="13"/>
  <c r="AP79" i="13"/>
  <c r="AU79" i="13"/>
  <c r="AT79" i="13"/>
  <c r="AM79" i="13"/>
  <c r="BB79" i="13"/>
  <c r="BA79" i="13"/>
  <c r="AN79" i="13"/>
  <c r="AW79" i="13"/>
  <c r="AJ79" i="13"/>
  <c r="AX79" i="13"/>
  <c r="AS79" i="13"/>
  <c r="AO79" i="13"/>
  <c r="AK79" i="13"/>
  <c r="AZ79" i="13"/>
  <c r="AL79" i="13"/>
  <c r="AV79" i="13"/>
  <c r="AY79" i="13"/>
  <c r="AR79" i="13"/>
  <c r="AY83" i="13"/>
  <c r="AT83" i="13"/>
  <c r="AW83" i="13"/>
  <c r="AV83" i="13"/>
  <c r="AU83" i="13"/>
  <c r="AX83" i="13"/>
  <c r="AK83" i="13"/>
  <c r="BA83" i="13"/>
  <c r="AS83" i="13"/>
  <c r="AR83" i="13"/>
  <c r="BB83" i="13"/>
  <c r="AO83" i="13"/>
  <c r="AL83" i="13"/>
  <c r="AN83" i="13"/>
  <c r="AQ83" i="13"/>
  <c r="AZ83" i="13"/>
  <c r="AP83" i="13"/>
  <c r="AJ83" i="13"/>
  <c r="AM83" i="13"/>
  <c r="AU87" i="13"/>
  <c r="AZ87" i="13"/>
  <c r="AY87" i="13"/>
  <c r="AR87" i="13"/>
  <c r="AK87" i="13"/>
  <c r="AO87" i="13"/>
  <c r="AT87" i="13"/>
  <c r="AS87" i="13"/>
  <c r="AL87" i="13"/>
  <c r="AP87" i="13"/>
  <c r="BA87" i="13"/>
  <c r="BB87" i="13"/>
  <c r="AQ87" i="13"/>
  <c r="AV87" i="13"/>
  <c r="AM87" i="13"/>
  <c r="AW87" i="13"/>
  <c r="AJ87" i="13"/>
  <c r="AN87" i="13"/>
  <c r="AX87" i="13"/>
  <c r="AL91" i="13"/>
  <c r="AJ91" i="13"/>
  <c r="AX91" i="13"/>
  <c r="AY91" i="13"/>
  <c r="AK91" i="13"/>
  <c r="BA91" i="13"/>
  <c r="AT91" i="13"/>
  <c r="AR91" i="13"/>
  <c r="AW91" i="13"/>
  <c r="AV91" i="13"/>
  <c r="AO91" i="13"/>
  <c r="AS91" i="13"/>
  <c r="BB91" i="13"/>
  <c r="AN91" i="13"/>
  <c r="AZ91" i="13"/>
  <c r="AP91" i="13"/>
  <c r="AM91" i="13"/>
  <c r="AU91" i="13"/>
  <c r="AQ91" i="13"/>
  <c r="AM95" i="13"/>
  <c r="AL95" i="13"/>
  <c r="AT95" i="13"/>
  <c r="AJ95" i="13"/>
  <c r="AZ95" i="13"/>
  <c r="AX95" i="13"/>
  <c r="AK95" i="13"/>
  <c r="BA95" i="13"/>
  <c r="AY95" i="13"/>
  <c r="AR95" i="13"/>
  <c r="BB95" i="13"/>
  <c r="AU95" i="13"/>
  <c r="AS95" i="13"/>
  <c r="AV95" i="13"/>
  <c r="AN95" i="13"/>
  <c r="AP95" i="13"/>
  <c r="AQ95" i="13"/>
  <c r="AO95" i="13"/>
  <c r="AW95" i="13"/>
  <c r="AJ107" i="13"/>
  <c r="AY107" i="13"/>
  <c r="AX107" i="13"/>
  <c r="AW107" i="13"/>
  <c r="BA107" i="13"/>
  <c r="AZ107" i="13"/>
  <c r="AS107" i="13"/>
  <c r="AR107" i="13"/>
  <c r="AQ107" i="13"/>
  <c r="AO107" i="13"/>
  <c r="AV107" i="13"/>
  <c r="AP107" i="13"/>
  <c r="AT107" i="13"/>
  <c r="AL107" i="13"/>
  <c r="AM107" i="13"/>
  <c r="BB107" i="13"/>
  <c r="AU107" i="13"/>
  <c r="AN107" i="13"/>
  <c r="AK107" i="13"/>
  <c r="AQ111" i="13"/>
  <c r="AV111" i="13"/>
  <c r="BA111" i="13"/>
  <c r="AT111" i="13"/>
  <c r="AM111" i="13"/>
  <c r="AK111" i="13"/>
  <c r="AJ111" i="13"/>
  <c r="AZ111" i="13"/>
  <c r="AX111" i="13"/>
  <c r="BB111" i="13"/>
  <c r="AU111" i="13"/>
  <c r="AY111" i="13"/>
  <c r="AL111" i="13"/>
  <c r="AS111" i="13"/>
  <c r="AW111" i="13"/>
  <c r="AO111" i="13"/>
  <c r="AR111" i="13"/>
  <c r="AN111" i="13"/>
  <c r="AP111" i="13"/>
  <c r="AY115" i="13"/>
  <c r="AX115" i="13"/>
  <c r="AW115" i="13"/>
  <c r="BB115" i="13"/>
  <c r="BA115" i="13"/>
  <c r="AZ115" i="13"/>
  <c r="AQ115" i="13"/>
  <c r="AP115" i="13"/>
  <c r="AR115" i="13"/>
  <c r="AK115" i="13"/>
  <c r="AJ115" i="13"/>
  <c r="AL115" i="13"/>
  <c r="AU115" i="13"/>
  <c r="AT115" i="13"/>
  <c r="AO115" i="13"/>
  <c r="AV115" i="13"/>
  <c r="AS115" i="13"/>
  <c r="AM115" i="13"/>
  <c r="AN115" i="13"/>
  <c r="AU145" i="13"/>
  <c r="AT145" i="13"/>
  <c r="AS145" i="13"/>
  <c r="AL145" i="13"/>
  <c r="AK145" i="13"/>
  <c r="AO145" i="13"/>
  <c r="AN145" i="13"/>
  <c r="AM145" i="13"/>
  <c r="AV145" i="13"/>
  <c r="AJ145" i="13"/>
  <c r="AZ145" i="13"/>
  <c r="AR145" i="13"/>
  <c r="BB145" i="13"/>
  <c r="AW145" i="13"/>
  <c r="AP145" i="13"/>
  <c r="AY145" i="13"/>
  <c r="AQ145" i="13"/>
  <c r="AX145" i="13"/>
  <c r="BA145" i="13"/>
  <c r="AL149" i="13"/>
  <c r="AJ149" i="13"/>
  <c r="AR149" i="13"/>
  <c r="AY149" i="13"/>
  <c r="AQ149" i="13"/>
  <c r="AP149" i="13"/>
  <c r="AZ149" i="13"/>
  <c r="AM149" i="13"/>
  <c r="BB149" i="13"/>
  <c r="AU149" i="13"/>
  <c r="AN149" i="13"/>
  <c r="AK149" i="13"/>
  <c r="AT149" i="13"/>
  <c r="AW149" i="13"/>
  <c r="AV149" i="13"/>
  <c r="AS149" i="13"/>
  <c r="BA149" i="13"/>
  <c r="AX149" i="13"/>
  <c r="AO149" i="13"/>
  <c r="AM153" i="13"/>
  <c r="AL153" i="13"/>
  <c r="AN153" i="13"/>
  <c r="AJ153" i="13"/>
  <c r="AZ153" i="13"/>
  <c r="AT153" i="13"/>
  <c r="AQ153" i="13"/>
  <c r="AP153" i="13"/>
  <c r="AX153" i="13"/>
  <c r="AK153" i="13"/>
  <c r="BA153" i="13"/>
  <c r="AY153" i="13"/>
  <c r="BB153" i="13"/>
  <c r="AS153" i="13"/>
  <c r="AV153" i="13"/>
  <c r="AO153" i="13"/>
  <c r="AR153" i="13"/>
  <c r="AW153" i="13"/>
  <c r="AU153" i="13"/>
  <c r="BB174" i="13"/>
  <c r="AY174" i="13"/>
  <c r="AX174" i="13"/>
  <c r="AW174" i="13"/>
  <c r="BA174" i="13"/>
  <c r="AZ174" i="13"/>
  <c r="AS174" i="13"/>
  <c r="AR174" i="13"/>
  <c r="AQ174" i="13"/>
  <c r="AN174" i="13"/>
  <c r="AV174" i="13"/>
  <c r="AU174" i="13"/>
  <c r="AM174" i="13"/>
  <c r="AK174" i="13"/>
  <c r="AL174" i="13"/>
  <c r="AO174" i="13"/>
  <c r="AP174" i="13"/>
  <c r="AJ174" i="13"/>
  <c r="AT174" i="13"/>
  <c r="AQ178" i="13"/>
  <c r="AP178" i="13"/>
  <c r="AU178" i="13"/>
  <c r="AT178" i="13"/>
  <c r="AM178" i="13"/>
  <c r="AW178" i="13"/>
  <c r="AJ178" i="13"/>
  <c r="AL178" i="13"/>
  <c r="AS178" i="13"/>
  <c r="BB178" i="13"/>
  <c r="BA178" i="13"/>
  <c r="AN178" i="13"/>
  <c r="AR178" i="13"/>
  <c r="AX178" i="13"/>
  <c r="AO178" i="13"/>
  <c r="AK178" i="13"/>
  <c r="AZ178" i="13"/>
  <c r="AV178" i="13"/>
  <c r="AY178" i="13"/>
  <c r="AY182" i="13"/>
  <c r="AX182" i="13"/>
  <c r="AQ182" i="13"/>
  <c r="AP182" i="13"/>
  <c r="AU182" i="13"/>
  <c r="AM182" i="13"/>
  <c r="AW182" i="13"/>
  <c r="AJ182" i="13"/>
  <c r="AN182" i="13"/>
  <c r="AT182" i="13"/>
  <c r="AK182" i="13"/>
  <c r="AZ182" i="13"/>
  <c r="AR182" i="13"/>
  <c r="BA182" i="13"/>
  <c r="AL182" i="13"/>
  <c r="AS182" i="13"/>
  <c r="BB182" i="13"/>
  <c r="AV182" i="13"/>
  <c r="AO182" i="13"/>
  <c r="AU201" i="13"/>
  <c r="AT201" i="13"/>
  <c r="AS201" i="13"/>
  <c r="AL201" i="13"/>
  <c r="AK201" i="13"/>
  <c r="AO201" i="13"/>
  <c r="AN201" i="13"/>
  <c r="AM201" i="13"/>
  <c r="AJ201" i="13"/>
  <c r="BB201" i="13"/>
  <c r="AZ201" i="13"/>
  <c r="AR201" i="13"/>
  <c r="AP201" i="13"/>
  <c r="AW201" i="13"/>
  <c r="AX201" i="13"/>
  <c r="BA201" i="13"/>
  <c r="AQ201" i="13"/>
  <c r="AV201" i="13"/>
  <c r="AY201" i="13"/>
  <c r="BB205" i="13"/>
  <c r="BA205" i="13"/>
  <c r="AZ205" i="13"/>
  <c r="AY205" i="13"/>
  <c r="AW205" i="13"/>
  <c r="AP205" i="13"/>
  <c r="AK205" i="13"/>
  <c r="AQ205" i="13"/>
  <c r="AO205" i="13"/>
  <c r="AL205" i="13"/>
  <c r="AR205" i="13"/>
  <c r="AV205" i="13"/>
  <c r="AX205" i="13"/>
  <c r="AS205" i="13"/>
  <c r="AU205" i="13"/>
  <c r="AJ205" i="13"/>
  <c r="AT205" i="13"/>
  <c r="AM205" i="13"/>
  <c r="AN205" i="13"/>
  <c r="BN8" i="13"/>
  <c r="BG8" i="13"/>
  <c r="BW8" i="13"/>
  <c r="BV8" i="13"/>
  <c r="BO8" i="13"/>
  <c r="BH8" i="13"/>
  <c r="BR8" i="13"/>
  <c r="BQ8" i="13"/>
  <c r="BP8" i="13"/>
  <c r="BI8" i="13"/>
  <c r="BM8" i="13"/>
  <c r="BE8" i="13"/>
  <c r="BL8" i="13"/>
  <c r="BJ8" i="13"/>
  <c r="BT8" i="13"/>
  <c r="BF8" i="13"/>
  <c r="BU8" i="13"/>
  <c r="BK8" i="13"/>
  <c r="BS8" i="13"/>
  <c r="BU12" i="13"/>
  <c r="BN12" i="13"/>
  <c r="BG12" i="13"/>
  <c r="BW12" i="13"/>
  <c r="BV12" i="13"/>
  <c r="BO12" i="13"/>
  <c r="BH12" i="13"/>
  <c r="BR12" i="13"/>
  <c r="BQ12" i="13"/>
  <c r="BJ12" i="13"/>
  <c r="BM12" i="13"/>
  <c r="BE12" i="13"/>
  <c r="BI12" i="13"/>
  <c r="BL12" i="13"/>
  <c r="BP12" i="13"/>
  <c r="BK12" i="13"/>
  <c r="BT12" i="13"/>
  <c r="BS12" i="13"/>
  <c r="BF12" i="13"/>
  <c r="BW16" i="13"/>
  <c r="BV16" i="13"/>
  <c r="BO16" i="13"/>
  <c r="BH16" i="13"/>
  <c r="BL16" i="13"/>
  <c r="BE16" i="13"/>
  <c r="BI16" i="13"/>
  <c r="BM16" i="13"/>
  <c r="BQ16" i="13"/>
  <c r="BJ16" i="13"/>
  <c r="BN16" i="13"/>
  <c r="BK16" i="13"/>
  <c r="BR16" i="13"/>
  <c r="BU16" i="13"/>
  <c r="BS16" i="13"/>
  <c r="BP16" i="13"/>
  <c r="BT16" i="13"/>
  <c r="BG16" i="13"/>
  <c r="BF16" i="13"/>
  <c r="BS20" i="13"/>
  <c r="BL20" i="13"/>
  <c r="BK20" i="13"/>
  <c r="BJ20" i="13"/>
  <c r="BT20" i="13"/>
  <c r="BM20" i="13"/>
  <c r="BF20" i="13"/>
  <c r="BE20" i="13"/>
  <c r="BU20" i="13"/>
  <c r="BR20" i="13"/>
  <c r="BP20" i="13"/>
  <c r="BN20" i="13"/>
  <c r="BW20" i="13"/>
  <c r="BO20" i="13"/>
  <c r="BH20" i="13"/>
  <c r="BQ20" i="13"/>
  <c r="BI20" i="13"/>
  <c r="BG20" i="13"/>
  <c r="BV20" i="13"/>
  <c r="BP24" i="13"/>
  <c r="BI24" i="13"/>
  <c r="BS24" i="13"/>
  <c r="BL24" i="13"/>
  <c r="BK24" i="13"/>
  <c r="BJ24" i="13"/>
  <c r="BT24" i="13"/>
  <c r="BM24" i="13"/>
  <c r="BF24" i="13"/>
  <c r="BE24" i="13"/>
  <c r="BO24" i="13"/>
  <c r="BR24" i="13"/>
  <c r="BN24" i="13"/>
  <c r="BW24" i="13"/>
  <c r="BG24" i="13"/>
  <c r="BV24" i="13"/>
  <c r="BQ24" i="13"/>
  <c r="BU24" i="13"/>
  <c r="BH24" i="13"/>
  <c r="BL28" i="13"/>
  <c r="BK28" i="13"/>
  <c r="BJ28" i="13"/>
  <c r="BT28" i="13"/>
  <c r="BM28" i="13"/>
  <c r="BR28" i="13"/>
  <c r="BE28" i="13"/>
  <c r="BO28" i="13"/>
  <c r="BS28" i="13"/>
  <c r="BW28" i="13"/>
  <c r="BP28" i="13"/>
  <c r="BN28" i="13"/>
  <c r="BU28" i="13"/>
  <c r="BQ28" i="13"/>
  <c r="BH28" i="13"/>
  <c r="BI28" i="13"/>
  <c r="BG28" i="13"/>
  <c r="BF28" i="13"/>
  <c r="BV28" i="13"/>
  <c r="BN32" i="13"/>
  <c r="BG32" i="13"/>
  <c r="BW32" i="13"/>
  <c r="BV32" i="13"/>
  <c r="BO32" i="13"/>
  <c r="BH32" i="13"/>
  <c r="BR32" i="13"/>
  <c r="BQ32" i="13"/>
  <c r="BP32" i="13"/>
  <c r="BI32" i="13"/>
  <c r="BT32" i="13"/>
  <c r="BF32" i="13"/>
  <c r="BU32" i="13"/>
  <c r="BS32" i="13"/>
  <c r="BK32" i="13"/>
  <c r="BM32" i="13"/>
  <c r="BE32" i="13"/>
  <c r="BL32" i="13"/>
  <c r="BJ32" i="13"/>
  <c r="BU36" i="13"/>
  <c r="BN36" i="13"/>
  <c r="BG36" i="13"/>
  <c r="BW36" i="13"/>
  <c r="BV36" i="13"/>
  <c r="BO36" i="13"/>
  <c r="BH36" i="13"/>
  <c r="BR36" i="13"/>
  <c r="BQ36" i="13"/>
  <c r="BT36" i="13"/>
  <c r="BF36" i="13"/>
  <c r="BP36" i="13"/>
  <c r="BS36" i="13"/>
  <c r="BK36" i="13"/>
  <c r="BI36" i="13"/>
  <c r="BM36" i="13"/>
  <c r="BL36" i="13"/>
  <c r="BJ36" i="13"/>
  <c r="BE36" i="13"/>
  <c r="BW40" i="13"/>
  <c r="BV40" i="13"/>
  <c r="BO40" i="13"/>
  <c r="BH40" i="13"/>
  <c r="BR40" i="13"/>
  <c r="BK40" i="13"/>
  <c r="BU40" i="13"/>
  <c r="BS40" i="13"/>
  <c r="BF40" i="13"/>
  <c r="BP40" i="13"/>
  <c r="BT40" i="13"/>
  <c r="BG40" i="13"/>
  <c r="BQ40" i="13"/>
  <c r="BN40" i="13"/>
  <c r="BJ40" i="13"/>
  <c r="BM40" i="13"/>
  <c r="BE40" i="13"/>
  <c r="BL40" i="13"/>
  <c r="BI40" i="13"/>
  <c r="BS44" i="13"/>
  <c r="BL44" i="13"/>
  <c r="BK44" i="13"/>
  <c r="BJ44" i="13"/>
  <c r="BT44" i="13"/>
  <c r="BM44" i="13"/>
  <c r="BF44" i="13"/>
  <c r="BE44" i="13"/>
  <c r="BU44" i="13"/>
  <c r="BH44" i="13"/>
  <c r="BQ44" i="13"/>
  <c r="BI44" i="13"/>
  <c r="BG44" i="13"/>
  <c r="BV44" i="13"/>
  <c r="BR44" i="13"/>
  <c r="BP44" i="13"/>
  <c r="BN44" i="13"/>
  <c r="BW44" i="13"/>
  <c r="BO44" i="13"/>
  <c r="BP48" i="13"/>
  <c r="BI48" i="13"/>
  <c r="BS48" i="13"/>
  <c r="BL48" i="13"/>
  <c r="BK48" i="13"/>
  <c r="BJ48" i="13"/>
  <c r="BT48" i="13"/>
  <c r="BM48" i="13"/>
  <c r="BF48" i="13"/>
  <c r="BE48" i="13"/>
  <c r="BV48" i="13"/>
  <c r="BH48" i="13"/>
  <c r="BQ48" i="13"/>
  <c r="BU48" i="13"/>
  <c r="BG48" i="13"/>
  <c r="BW48" i="13"/>
  <c r="BO48" i="13"/>
  <c r="BN48" i="13"/>
  <c r="BR48" i="13"/>
  <c r="BL52" i="13"/>
  <c r="BK52" i="13"/>
  <c r="BJ52" i="13"/>
  <c r="BT52" i="13"/>
  <c r="BM52" i="13"/>
  <c r="BQ52" i="13"/>
  <c r="BU52" i="13"/>
  <c r="BH52" i="13"/>
  <c r="BF52" i="13"/>
  <c r="BV52" i="13"/>
  <c r="BI52" i="13"/>
  <c r="BG52" i="13"/>
  <c r="BP52" i="13"/>
  <c r="BW52" i="13"/>
  <c r="BN52" i="13"/>
  <c r="BR52" i="13"/>
  <c r="BE52" i="13"/>
  <c r="BO52" i="13"/>
  <c r="BS52" i="13"/>
  <c r="BN56" i="13"/>
  <c r="BG56" i="13"/>
  <c r="BW56" i="13"/>
  <c r="BV56" i="13"/>
  <c r="BO56" i="13"/>
  <c r="BH56" i="13"/>
  <c r="BR56" i="13"/>
  <c r="BQ56" i="13"/>
  <c r="BP56" i="13"/>
  <c r="BI56" i="13"/>
  <c r="BM56" i="13"/>
  <c r="BE56" i="13"/>
  <c r="BL56" i="13"/>
  <c r="BJ56" i="13"/>
  <c r="BT56" i="13"/>
  <c r="BF56" i="13"/>
  <c r="BU56" i="13"/>
  <c r="BS56" i="13"/>
  <c r="BK56" i="13"/>
  <c r="BU60" i="13"/>
  <c r="BN60" i="13"/>
  <c r="BG60" i="13"/>
  <c r="BW60" i="13"/>
  <c r="BV60" i="13"/>
  <c r="BO60" i="13"/>
  <c r="BH60" i="13"/>
  <c r="BR60" i="13"/>
  <c r="BQ60" i="13"/>
  <c r="BJ60" i="13"/>
  <c r="BM60" i="13"/>
  <c r="BE60" i="13"/>
  <c r="BI60" i="13"/>
  <c r="BL60" i="13"/>
  <c r="BS60" i="13"/>
  <c r="BF60" i="13"/>
  <c r="BP60" i="13"/>
  <c r="BK60" i="13"/>
  <c r="BT60" i="13"/>
  <c r="BW64" i="13"/>
  <c r="BV64" i="13"/>
  <c r="BO64" i="13"/>
  <c r="BH64" i="13"/>
  <c r="BQ64" i="13"/>
  <c r="BJ64" i="13"/>
  <c r="BN64" i="13"/>
  <c r="BL64" i="13"/>
  <c r="BE64" i="13"/>
  <c r="BI64" i="13"/>
  <c r="BM64" i="13"/>
  <c r="BP64" i="13"/>
  <c r="BT64" i="13"/>
  <c r="BF64" i="13"/>
  <c r="BG64" i="13"/>
  <c r="BK64" i="13"/>
  <c r="BU64" i="13"/>
  <c r="BS64" i="13"/>
  <c r="BR64" i="13"/>
  <c r="BS68" i="13"/>
  <c r="BL68" i="13"/>
  <c r="BK68" i="13"/>
  <c r="BJ68" i="13"/>
  <c r="BT68" i="13"/>
  <c r="BM68" i="13"/>
  <c r="BF68" i="13"/>
  <c r="BE68" i="13"/>
  <c r="BU68" i="13"/>
  <c r="BR68" i="13"/>
  <c r="BP68" i="13"/>
  <c r="BN68" i="13"/>
  <c r="BW68" i="13"/>
  <c r="BO68" i="13"/>
  <c r="BH68" i="13"/>
  <c r="BQ68" i="13"/>
  <c r="BI68" i="13"/>
  <c r="BV68" i="13"/>
  <c r="BG68" i="13"/>
  <c r="BP72" i="13"/>
  <c r="BI72" i="13"/>
  <c r="BS72" i="13"/>
  <c r="BL72" i="13"/>
  <c r="BK72" i="13"/>
  <c r="BJ72" i="13"/>
  <c r="BT72" i="13"/>
  <c r="BM72" i="13"/>
  <c r="BF72" i="13"/>
  <c r="BE72" i="13"/>
  <c r="BO72" i="13"/>
  <c r="BR72" i="13"/>
  <c r="BN72" i="13"/>
  <c r="BW72" i="13"/>
  <c r="BU72" i="13"/>
  <c r="BH72" i="13"/>
  <c r="BG72" i="13"/>
  <c r="BV72" i="13"/>
  <c r="BQ72" i="13"/>
  <c r="BL76" i="13"/>
  <c r="BK76" i="13"/>
  <c r="BJ76" i="13"/>
  <c r="BT76" i="13"/>
  <c r="BM76" i="13"/>
  <c r="BW76" i="13"/>
  <c r="BP76" i="13"/>
  <c r="BN76" i="13"/>
  <c r="BR76" i="13"/>
  <c r="BE76" i="13"/>
  <c r="BO76" i="13"/>
  <c r="BS76" i="13"/>
  <c r="BV76" i="13"/>
  <c r="BG76" i="13"/>
  <c r="BF76" i="13"/>
  <c r="BI76" i="13"/>
  <c r="BU76" i="13"/>
  <c r="BH76" i="13"/>
  <c r="BQ76" i="13"/>
  <c r="BN80" i="13"/>
  <c r="BG80" i="13"/>
  <c r="BW80" i="13"/>
  <c r="BV80" i="13"/>
  <c r="BO80" i="13"/>
  <c r="BH80" i="13"/>
  <c r="BR80" i="13"/>
  <c r="BQ80" i="13"/>
  <c r="BP80" i="13"/>
  <c r="BI80" i="13"/>
  <c r="BT80" i="13"/>
  <c r="BF80" i="13"/>
  <c r="BU80" i="13"/>
  <c r="BS80" i="13"/>
  <c r="BK80" i="13"/>
  <c r="BM80" i="13"/>
  <c r="BE80" i="13"/>
  <c r="BL80" i="13"/>
  <c r="BJ80" i="13"/>
  <c r="BU84" i="13"/>
  <c r="BN84" i="13"/>
  <c r="BG84" i="13"/>
  <c r="BW84" i="13"/>
  <c r="BV84" i="13"/>
  <c r="BO84" i="13"/>
  <c r="BH84" i="13"/>
  <c r="BR84" i="13"/>
  <c r="BQ84" i="13"/>
  <c r="BT84" i="13"/>
  <c r="BF84" i="13"/>
  <c r="BP84" i="13"/>
  <c r="BS84" i="13"/>
  <c r="BK84" i="13"/>
  <c r="BL84" i="13"/>
  <c r="BJ84" i="13"/>
  <c r="BE84" i="13"/>
  <c r="BI84" i="13"/>
  <c r="BM84" i="13"/>
  <c r="BW88" i="13"/>
  <c r="BV88" i="13"/>
  <c r="BO88" i="13"/>
  <c r="BH88" i="13"/>
  <c r="BF88" i="13"/>
  <c r="BP88" i="13"/>
  <c r="BT88" i="13"/>
  <c r="BG88" i="13"/>
  <c r="BR88" i="13"/>
  <c r="BK88" i="13"/>
  <c r="BU88" i="13"/>
  <c r="BS88" i="13"/>
  <c r="BE88" i="13"/>
  <c r="BM88" i="13"/>
  <c r="BL88" i="13"/>
  <c r="BI88" i="13"/>
  <c r="BN88" i="13"/>
  <c r="BQ88" i="13"/>
  <c r="BJ88" i="13"/>
  <c r="BS92" i="13"/>
  <c r="BL92" i="13"/>
  <c r="BK92" i="13"/>
  <c r="BJ92" i="13"/>
  <c r="BT92" i="13"/>
  <c r="BM92" i="13"/>
  <c r="BF92" i="13"/>
  <c r="BE92" i="13"/>
  <c r="BU92" i="13"/>
  <c r="BH92" i="13"/>
  <c r="BQ92" i="13"/>
  <c r="BI92" i="13"/>
  <c r="BG92" i="13"/>
  <c r="BV92" i="13"/>
  <c r="BR92" i="13"/>
  <c r="BP92" i="13"/>
  <c r="BN92" i="13"/>
  <c r="BW92" i="13"/>
  <c r="BO92" i="13"/>
  <c r="BP96" i="13"/>
  <c r="BI96" i="13"/>
  <c r="BS96" i="13"/>
  <c r="BL96" i="13"/>
  <c r="BK96" i="13"/>
  <c r="BJ96" i="13"/>
  <c r="BT96" i="13"/>
  <c r="BM96" i="13"/>
  <c r="BF96" i="13"/>
  <c r="BE96" i="13"/>
  <c r="BV96" i="13"/>
  <c r="BH96" i="13"/>
  <c r="BQ96" i="13"/>
  <c r="BU96" i="13"/>
  <c r="BG96" i="13"/>
  <c r="BN96" i="13"/>
  <c r="BR96" i="13"/>
  <c r="BW96" i="13"/>
  <c r="BO96" i="13"/>
  <c r="BL108" i="13"/>
  <c r="BK108" i="13"/>
  <c r="BJ108" i="13"/>
  <c r="BT108" i="13"/>
  <c r="BM108" i="13"/>
  <c r="BF108" i="13"/>
  <c r="BV108" i="13"/>
  <c r="BI108" i="13"/>
  <c r="BG108" i="13"/>
  <c r="BQ108" i="13"/>
  <c r="BU108" i="13"/>
  <c r="BH108" i="13"/>
  <c r="BE108" i="13"/>
  <c r="BR108" i="13"/>
  <c r="BO108" i="13"/>
  <c r="BS108" i="13"/>
  <c r="BP108" i="13"/>
  <c r="BW108" i="13"/>
  <c r="BN108" i="13"/>
  <c r="BN112" i="13"/>
  <c r="BG112" i="13"/>
  <c r="BW112" i="13"/>
  <c r="BV112" i="13"/>
  <c r="BO112" i="13"/>
  <c r="BH112" i="13"/>
  <c r="BR112" i="13"/>
  <c r="BQ112" i="13"/>
  <c r="BP112" i="13"/>
  <c r="BI112" i="13"/>
  <c r="BM112" i="13"/>
  <c r="BE112" i="13"/>
  <c r="BL112" i="13"/>
  <c r="BJ112" i="13"/>
  <c r="BT112" i="13"/>
  <c r="BF112" i="13"/>
  <c r="BU112" i="13"/>
  <c r="BS112" i="13"/>
  <c r="BK112" i="13"/>
  <c r="BU116" i="13"/>
  <c r="BN116" i="13"/>
  <c r="BG116" i="13"/>
  <c r="BW116" i="13"/>
  <c r="BV116" i="13"/>
  <c r="BO116" i="13"/>
  <c r="BH116" i="13"/>
  <c r="BR116" i="13"/>
  <c r="BQ116" i="13"/>
  <c r="BJ116" i="13"/>
  <c r="BM116" i="13"/>
  <c r="BE116" i="13"/>
  <c r="BI116" i="13"/>
  <c r="BL116" i="13"/>
  <c r="BP116" i="13"/>
  <c r="BK116" i="13"/>
  <c r="BT116" i="13"/>
  <c r="BS116" i="13"/>
  <c r="BF116" i="13"/>
  <c r="BW146" i="13"/>
  <c r="BV146" i="13"/>
  <c r="BO146" i="13"/>
  <c r="BH146" i="13"/>
  <c r="BL146" i="13"/>
  <c r="BE146" i="13"/>
  <c r="BI146" i="13"/>
  <c r="BM146" i="13"/>
  <c r="BQ146" i="13"/>
  <c r="BJ146" i="13"/>
  <c r="BN146" i="13"/>
  <c r="BR146" i="13"/>
  <c r="BS146" i="13"/>
  <c r="BK146" i="13"/>
  <c r="BU146" i="13"/>
  <c r="BF146" i="13"/>
  <c r="BP146" i="13"/>
  <c r="BT146" i="13"/>
  <c r="BG146" i="13"/>
  <c r="BS150" i="13"/>
  <c r="BL150" i="13"/>
  <c r="BK150" i="13"/>
  <c r="BJ150" i="13"/>
  <c r="BT150" i="13"/>
  <c r="BM150" i="13"/>
  <c r="BF150" i="13"/>
  <c r="BE150" i="13"/>
  <c r="BU150" i="13"/>
  <c r="BR150" i="13"/>
  <c r="BP150" i="13"/>
  <c r="BN150" i="13"/>
  <c r="BW150" i="13"/>
  <c r="BO150" i="13"/>
  <c r="BH150" i="13"/>
  <c r="BQ150" i="13"/>
  <c r="BI150" i="13"/>
  <c r="BG150" i="13"/>
  <c r="BV150" i="13"/>
  <c r="BP154" i="13"/>
  <c r="BI154" i="13"/>
  <c r="BS154" i="13"/>
  <c r="BL154" i="13"/>
  <c r="BK154" i="13"/>
  <c r="BJ154" i="13"/>
  <c r="BT154" i="13"/>
  <c r="BM154" i="13"/>
  <c r="BF154" i="13"/>
  <c r="BE154" i="13"/>
  <c r="BO154" i="13"/>
  <c r="BR154" i="13"/>
  <c r="BN154" i="13"/>
  <c r="BW154" i="13"/>
  <c r="BV154" i="13"/>
  <c r="BH154" i="13"/>
  <c r="BQ154" i="13"/>
  <c r="BG154" i="13"/>
  <c r="BU154" i="13"/>
  <c r="BW175" i="13"/>
  <c r="BV175" i="13"/>
  <c r="BO175" i="13"/>
  <c r="BH175" i="13"/>
  <c r="BL175" i="13"/>
  <c r="BK175" i="13"/>
  <c r="BJ175" i="13"/>
  <c r="BT175" i="13"/>
  <c r="BM175" i="13"/>
  <c r="BF175" i="13"/>
  <c r="BU175" i="13"/>
  <c r="BG175" i="13"/>
  <c r="BE175" i="13"/>
  <c r="BN175" i="13"/>
  <c r="BR175" i="13"/>
  <c r="BS175" i="13"/>
  <c r="BQ175" i="13"/>
  <c r="BP175" i="13"/>
  <c r="BI175" i="13"/>
  <c r="BH179" i="13"/>
  <c r="BR179" i="13"/>
  <c r="BQ179" i="13"/>
  <c r="BP179" i="13"/>
  <c r="BI179" i="13"/>
  <c r="BM179" i="13"/>
  <c r="BW179" i="13"/>
  <c r="BJ179" i="13"/>
  <c r="BT179" i="13"/>
  <c r="BG179" i="13"/>
  <c r="BK179" i="13"/>
  <c r="BU179" i="13"/>
  <c r="BN179" i="13"/>
  <c r="BL179" i="13"/>
  <c r="BE179" i="13"/>
  <c r="BO179" i="13"/>
  <c r="BS179" i="13"/>
  <c r="BF179" i="13"/>
  <c r="BV179" i="13"/>
  <c r="BU183" i="13"/>
  <c r="BN183" i="13"/>
  <c r="BG183" i="13"/>
  <c r="BW183" i="13"/>
  <c r="BV183" i="13"/>
  <c r="BO183" i="13"/>
  <c r="BH183" i="13"/>
  <c r="BR183" i="13"/>
  <c r="BQ183" i="13"/>
  <c r="BT183" i="13"/>
  <c r="BF183" i="13"/>
  <c r="BP183" i="13"/>
  <c r="BS183" i="13"/>
  <c r="BK183" i="13"/>
  <c r="BJ183" i="13"/>
  <c r="BM183" i="13"/>
  <c r="BE183" i="13"/>
  <c r="BI183" i="13"/>
  <c r="BL183" i="13"/>
  <c r="BL202" i="13"/>
  <c r="BK202" i="13"/>
  <c r="BJ202" i="13"/>
  <c r="BT202" i="13"/>
  <c r="BM202" i="13"/>
  <c r="BW202" i="13"/>
  <c r="BV202" i="13"/>
  <c r="BO202" i="13"/>
  <c r="BH202" i="13"/>
  <c r="BQ202" i="13"/>
  <c r="BS202" i="13"/>
  <c r="BR202" i="13"/>
  <c r="BP202" i="13"/>
  <c r="BI202" i="13"/>
  <c r="BU202" i="13"/>
  <c r="BF202" i="13"/>
  <c r="BN202" i="13"/>
  <c r="BG202" i="13"/>
  <c r="BE202" i="13"/>
  <c r="BT206" i="13"/>
  <c r="BM206" i="13"/>
  <c r="BF206" i="13"/>
  <c r="BE206" i="13"/>
  <c r="BU206" i="13"/>
  <c r="BS206" i="13"/>
  <c r="BW206" i="13"/>
  <c r="BP206" i="13"/>
  <c r="BG206" i="13"/>
  <c r="BQ206" i="13"/>
  <c r="BJ206" i="13"/>
  <c r="BN206" i="13"/>
  <c r="BR206" i="13"/>
  <c r="BK206" i="13"/>
  <c r="BO206" i="13"/>
  <c r="BL206" i="13"/>
  <c r="BV206" i="13"/>
  <c r="BI206" i="13"/>
  <c r="BH206" i="13"/>
  <c r="BK5" i="13"/>
  <c r="BJ5" i="13"/>
  <c r="BT5" i="13"/>
  <c r="BM5" i="13"/>
  <c r="BF5" i="13"/>
  <c r="BV5" i="13"/>
  <c r="BI5" i="13"/>
  <c r="BG5" i="13"/>
  <c r="BW5" i="13"/>
  <c r="BP5" i="13"/>
  <c r="BN5" i="13"/>
  <c r="BR5" i="13"/>
  <c r="BO5" i="13"/>
  <c r="BQ5" i="13"/>
  <c r="BH5" i="13"/>
  <c r="BE5" i="13"/>
  <c r="BS5" i="13"/>
  <c r="BU5" i="13"/>
  <c r="BL5" i="13"/>
  <c r="BR9" i="13"/>
  <c r="BQ9" i="13"/>
  <c r="BP9" i="13"/>
  <c r="BI9" i="13"/>
  <c r="BS9" i="13"/>
  <c r="BL9" i="13"/>
  <c r="BK9" i="13"/>
  <c r="BJ9" i="13"/>
  <c r="BT9" i="13"/>
  <c r="BF9" i="13"/>
  <c r="BU9" i="13"/>
  <c r="BO9" i="13"/>
  <c r="BM9" i="13"/>
  <c r="BE9" i="13"/>
  <c r="BN9" i="13"/>
  <c r="BW9" i="13"/>
  <c r="BG9" i="13"/>
  <c r="BV9" i="13"/>
  <c r="BH9" i="13"/>
  <c r="BO13" i="13"/>
  <c r="BH13" i="13"/>
  <c r="BR13" i="13"/>
  <c r="BQ13" i="13"/>
  <c r="BP13" i="13"/>
  <c r="BU13" i="13"/>
  <c r="BS13" i="13"/>
  <c r="BF13" i="13"/>
  <c r="BV13" i="13"/>
  <c r="BN13" i="13"/>
  <c r="BL13" i="13"/>
  <c r="BE13" i="13"/>
  <c r="BI13" i="13"/>
  <c r="BW13" i="13"/>
  <c r="BT13" i="13"/>
  <c r="BK13" i="13"/>
  <c r="BG13" i="13"/>
  <c r="BJ13" i="13"/>
  <c r="BM13" i="13"/>
  <c r="BW17" i="13"/>
  <c r="BV17" i="13"/>
  <c r="BO17" i="13"/>
  <c r="BH17" i="13"/>
  <c r="BR17" i="13"/>
  <c r="BE17" i="13"/>
  <c r="BI17" i="13"/>
  <c r="BM17" i="13"/>
  <c r="BP17" i="13"/>
  <c r="BT17" i="13"/>
  <c r="BG17" i="13"/>
  <c r="BK17" i="13"/>
  <c r="BS17" i="13"/>
  <c r="BJ17" i="13"/>
  <c r="BL17" i="13"/>
  <c r="BU17" i="13"/>
  <c r="BF17" i="13"/>
  <c r="BQ17" i="13"/>
  <c r="BN17" i="13"/>
  <c r="BM21" i="13"/>
  <c r="BF21" i="13"/>
  <c r="BE21" i="13"/>
  <c r="BU21" i="13"/>
  <c r="BN21" i="13"/>
  <c r="BG21" i="13"/>
  <c r="BW21" i="13"/>
  <c r="BV21" i="13"/>
  <c r="BO21" i="13"/>
  <c r="BH21" i="13"/>
  <c r="BQ21" i="13"/>
  <c r="BI21" i="13"/>
  <c r="BT21" i="13"/>
  <c r="BR21" i="13"/>
  <c r="BP21" i="13"/>
  <c r="BS21" i="13"/>
  <c r="BL21" i="13"/>
  <c r="BJ21" i="13"/>
  <c r="BK21" i="13"/>
  <c r="BT25" i="13"/>
  <c r="BM25" i="13"/>
  <c r="BF25" i="13"/>
  <c r="BE25" i="13"/>
  <c r="BU25" i="13"/>
  <c r="BH25" i="13"/>
  <c r="BL25" i="13"/>
  <c r="BV25" i="13"/>
  <c r="BN25" i="13"/>
  <c r="BR25" i="13"/>
  <c r="BK25" i="13"/>
  <c r="BS25" i="13"/>
  <c r="BP25" i="13"/>
  <c r="BG25" i="13"/>
  <c r="BJ25" i="13"/>
  <c r="BI25" i="13"/>
  <c r="BQ25" i="13"/>
  <c r="BO25" i="13"/>
  <c r="BW25" i="13"/>
  <c r="BK29" i="13"/>
  <c r="BJ29" i="13"/>
  <c r="BT29" i="13"/>
  <c r="BM29" i="13"/>
  <c r="BF29" i="13"/>
  <c r="BE29" i="13"/>
  <c r="BO29" i="13"/>
  <c r="BS29" i="13"/>
  <c r="BV29" i="13"/>
  <c r="BI29" i="13"/>
  <c r="BG29" i="13"/>
  <c r="BU29" i="13"/>
  <c r="BL29" i="13"/>
  <c r="BW29" i="13"/>
  <c r="BN29" i="13"/>
  <c r="BQ29" i="13"/>
  <c r="BH29" i="13"/>
  <c r="BP29" i="13"/>
  <c r="BR29" i="13"/>
  <c r="BR33" i="13"/>
  <c r="BQ33" i="13"/>
  <c r="BP33" i="13"/>
  <c r="BI33" i="13"/>
  <c r="BS33" i="13"/>
  <c r="BL33" i="13"/>
  <c r="BK33" i="13"/>
  <c r="BJ33" i="13"/>
  <c r="BT33" i="13"/>
  <c r="BM33" i="13"/>
  <c r="BE33" i="13"/>
  <c r="BN33" i="13"/>
  <c r="BG33" i="13"/>
  <c r="BF33" i="13"/>
  <c r="BU33" i="13"/>
  <c r="BV33" i="13"/>
  <c r="BW33" i="13"/>
  <c r="BO33" i="13"/>
  <c r="BH33" i="13"/>
  <c r="BO37" i="13"/>
  <c r="BH37" i="13"/>
  <c r="BR37" i="13"/>
  <c r="BQ37" i="13"/>
  <c r="BP37" i="13"/>
  <c r="BN37" i="13"/>
  <c r="BL37" i="13"/>
  <c r="BE37" i="13"/>
  <c r="BT37" i="13"/>
  <c r="BG37" i="13"/>
  <c r="BK37" i="13"/>
  <c r="BU37" i="13"/>
  <c r="BF37" i="13"/>
  <c r="BI37" i="13"/>
  <c r="BW37" i="13"/>
  <c r="BM37" i="13"/>
  <c r="BJ37" i="13"/>
  <c r="BS37" i="13"/>
  <c r="BV37" i="13"/>
  <c r="BW41" i="13"/>
  <c r="BV41" i="13"/>
  <c r="BO41" i="13"/>
  <c r="BH41" i="13"/>
  <c r="BR41" i="13"/>
  <c r="BK41" i="13"/>
  <c r="BU41" i="13"/>
  <c r="BS41" i="13"/>
  <c r="BF41" i="13"/>
  <c r="BE41" i="13"/>
  <c r="BI41" i="13"/>
  <c r="BM41" i="13"/>
  <c r="BQ41" i="13"/>
  <c r="BN41" i="13"/>
  <c r="BP41" i="13"/>
  <c r="BG41" i="13"/>
  <c r="BJ41" i="13"/>
  <c r="BL41" i="13"/>
  <c r="BT41" i="13"/>
  <c r="BM45" i="13"/>
  <c r="BF45" i="13"/>
  <c r="BE45" i="13"/>
  <c r="BU45" i="13"/>
  <c r="BN45" i="13"/>
  <c r="BG45" i="13"/>
  <c r="BW45" i="13"/>
  <c r="BV45" i="13"/>
  <c r="BO45" i="13"/>
  <c r="BH45" i="13"/>
  <c r="BR45" i="13"/>
  <c r="BP45" i="13"/>
  <c r="BQ45" i="13"/>
  <c r="BI45" i="13"/>
  <c r="BL45" i="13"/>
  <c r="BS45" i="13"/>
  <c r="BK45" i="13"/>
  <c r="BT45" i="13"/>
  <c r="BJ45" i="13"/>
  <c r="BT49" i="13"/>
  <c r="BM49" i="13"/>
  <c r="BF49" i="13"/>
  <c r="BE49" i="13"/>
  <c r="BN49" i="13"/>
  <c r="BR49" i="13"/>
  <c r="BK49" i="13"/>
  <c r="BI49" i="13"/>
  <c r="BG49" i="13"/>
  <c r="BQ49" i="13"/>
  <c r="BJ49" i="13"/>
  <c r="BH49" i="13"/>
  <c r="BV49" i="13"/>
  <c r="BS49" i="13"/>
  <c r="BP49" i="13"/>
  <c r="BO49" i="13"/>
  <c r="BW49" i="13"/>
  <c r="BU49" i="13"/>
  <c r="BL49" i="13"/>
  <c r="BK53" i="13"/>
  <c r="BJ53" i="13"/>
  <c r="BT53" i="13"/>
  <c r="BM53" i="13"/>
  <c r="BF53" i="13"/>
  <c r="BQ53" i="13"/>
  <c r="BU53" i="13"/>
  <c r="BH53" i="13"/>
  <c r="BL53" i="13"/>
  <c r="BE53" i="13"/>
  <c r="BO53" i="13"/>
  <c r="BS53" i="13"/>
  <c r="BP53" i="13"/>
  <c r="BR53" i="13"/>
  <c r="BI53" i="13"/>
  <c r="BW53" i="13"/>
  <c r="BN53" i="13"/>
  <c r="BV53" i="13"/>
  <c r="BG53" i="13"/>
  <c r="BR57" i="13"/>
  <c r="BQ57" i="13"/>
  <c r="BP57" i="13"/>
  <c r="BI57" i="13"/>
  <c r="BS57" i="13"/>
  <c r="BL57" i="13"/>
  <c r="BK57" i="13"/>
  <c r="BJ57" i="13"/>
  <c r="BT57" i="13"/>
  <c r="BF57" i="13"/>
  <c r="BU57" i="13"/>
  <c r="BO57" i="13"/>
  <c r="BM57" i="13"/>
  <c r="BE57" i="13"/>
  <c r="BN57" i="13"/>
  <c r="BW57" i="13"/>
  <c r="BG57" i="13"/>
  <c r="BV57" i="13"/>
  <c r="BH57" i="13"/>
  <c r="BO61" i="13"/>
  <c r="BH61" i="13"/>
  <c r="BR61" i="13"/>
  <c r="BQ61" i="13"/>
  <c r="BP61" i="13"/>
  <c r="BT61" i="13"/>
  <c r="BG61" i="13"/>
  <c r="BK61" i="13"/>
  <c r="BI61" i="13"/>
  <c r="BM61" i="13"/>
  <c r="BW61" i="13"/>
  <c r="BJ61" i="13"/>
  <c r="BL61" i="13"/>
  <c r="BU61" i="13"/>
  <c r="BF61" i="13"/>
  <c r="BS61" i="13"/>
  <c r="BV61" i="13"/>
  <c r="BN61" i="13"/>
  <c r="BE61" i="13"/>
  <c r="BW65" i="13"/>
  <c r="BV65" i="13"/>
  <c r="BO65" i="13"/>
  <c r="BH65" i="13"/>
  <c r="BR65" i="13"/>
  <c r="BQ65" i="13"/>
  <c r="BJ65" i="13"/>
  <c r="BN65" i="13"/>
  <c r="BL65" i="13"/>
  <c r="BK65" i="13"/>
  <c r="BU65" i="13"/>
  <c r="BS65" i="13"/>
  <c r="BF65" i="13"/>
  <c r="BT65" i="13"/>
  <c r="BE65" i="13"/>
  <c r="BM65" i="13"/>
  <c r="BP65" i="13"/>
  <c r="BG65" i="13"/>
  <c r="BI65" i="13"/>
  <c r="BM69" i="13"/>
  <c r="BF69" i="13"/>
  <c r="BE69" i="13"/>
  <c r="BU69" i="13"/>
  <c r="BN69" i="13"/>
  <c r="BG69" i="13"/>
  <c r="BW69" i="13"/>
  <c r="BV69" i="13"/>
  <c r="BO69" i="13"/>
  <c r="BH69" i="13"/>
  <c r="BQ69" i="13"/>
  <c r="BI69" i="13"/>
  <c r="BK69" i="13"/>
  <c r="BR69" i="13"/>
  <c r="BP69" i="13"/>
  <c r="BS69" i="13"/>
  <c r="BL69" i="13"/>
  <c r="BJ69" i="13"/>
  <c r="BT69" i="13"/>
  <c r="BT73" i="13"/>
  <c r="BM73" i="13"/>
  <c r="BF73" i="13"/>
  <c r="BE73" i="13"/>
  <c r="BI73" i="13"/>
  <c r="BG73" i="13"/>
  <c r="BQ73" i="13"/>
  <c r="BJ73" i="13"/>
  <c r="BO73" i="13"/>
  <c r="BS73" i="13"/>
  <c r="BW73" i="13"/>
  <c r="BP73" i="13"/>
  <c r="BN73" i="13"/>
  <c r="BK73" i="13"/>
  <c r="BH73" i="13"/>
  <c r="BV73" i="13"/>
  <c r="BU73" i="13"/>
  <c r="BL73" i="13"/>
  <c r="BR73" i="13"/>
  <c r="BK77" i="13"/>
  <c r="BJ77" i="13"/>
  <c r="BT77" i="13"/>
  <c r="BM77" i="13"/>
  <c r="BF77" i="13"/>
  <c r="BW77" i="13"/>
  <c r="BP77" i="13"/>
  <c r="BN77" i="13"/>
  <c r="BR77" i="13"/>
  <c r="BQ77" i="13"/>
  <c r="BU77" i="13"/>
  <c r="BH77" i="13"/>
  <c r="BL77" i="13"/>
  <c r="BV77" i="13"/>
  <c r="BG77" i="13"/>
  <c r="BO77" i="13"/>
  <c r="BI77" i="13"/>
  <c r="BE77" i="13"/>
  <c r="BS77" i="13"/>
  <c r="BR81" i="13"/>
  <c r="BQ81" i="13"/>
  <c r="BP81" i="13"/>
  <c r="BI81" i="13"/>
  <c r="BS81" i="13"/>
  <c r="BL81" i="13"/>
  <c r="BK81" i="13"/>
  <c r="BJ81" i="13"/>
  <c r="BT81" i="13"/>
  <c r="BM81" i="13"/>
  <c r="BE81" i="13"/>
  <c r="BN81" i="13"/>
  <c r="BF81" i="13"/>
  <c r="BU81" i="13"/>
  <c r="BW81" i="13"/>
  <c r="BO81" i="13"/>
  <c r="BG81" i="13"/>
  <c r="BV81" i="13"/>
  <c r="BH81" i="13"/>
  <c r="BO85" i="13"/>
  <c r="BH85" i="13"/>
  <c r="BR85" i="13"/>
  <c r="BQ85" i="13"/>
  <c r="BP85" i="13"/>
  <c r="BI85" i="13"/>
  <c r="BM85" i="13"/>
  <c r="BW85" i="13"/>
  <c r="BJ85" i="13"/>
  <c r="BU85" i="13"/>
  <c r="BS85" i="13"/>
  <c r="BF85" i="13"/>
  <c r="BV85" i="13"/>
  <c r="BG85" i="13"/>
  <c r="BL85" i="13"/>
  <c r="BN85" i="13"/>
  <c r="BE85" i="13"/>
  <c r="BT85" i="13"/>
  <c r="BK85" i="13"/>
  <c r="BW89" i="13"/>
  <c r="BV89" i="13"/>
  <c r="BO89" i="13"/>
  <c r="BH89" i="13"/>
  <c r="BR89" i="13"/>
  <c r="BP89" i="13"/>
  <c r="BT89" i="13"/>
  <c r="BG89" i="13"/>
  <c r="BQ89" i="13"/>
  <c r="BJ89" i="13"/>
  <c r="BN89" i="13"/>
  <c r="BL89" i="13"/>
  <c r="BI89" i="13"/>
  <c r="BK89" i="13"/>
  <c r="BS89" i="13"/>
  <c r="BE89" i="13"/>
  <c r="BM89" i="13"/>
  <c r="BU89" i="13"/>
  <c r="BF89" i="13"/>
  <c r="BM93" i="13"/>
  <c r="BF93" i="13"/>
  <c r="BE93" i="13"/>
  <c r="BU93" i="13"/>
  <c r="BN93" i="13"/>
  <c r="BG93" i="13"/>
  <c r="BW93" i="13"/>
  <c r="BV93" i="13"/>
  <c r="BO93" i="13"/>
  <c r="BH93" i="13"/>
  <c r="BR93" i="13"/>
  <c r="BP93" i="13"/>
  <c r="BQ93" i="13"/>
  <c r="BI93" i="13"/>
  <c r="BS93" i="13"/>
  <c r="BK93" i="13"/>
  <c r="BT93" i="13"/>
  <c r="BL93" i="13"/>
  <c r="BJ93" i="13"/>
  <c r="BT97" i="13"/>
  <c r="BM97" i="13"/>
  <c r="BF97" i="13"/>
  <c r="BE97" i="13"/>
  <c r="BO97" i="13"/>
  <c r="BS97" i="13"/>
  <c r="BW97" i="13"/>
  <c r="BP97" i="13"/>
  <c r="BU97" i="13"/>
  <c r="BH97" i="13"/>
  <c r="BL97" i="13"/>
  <c r="BV97" i="13"/>
  <c r="BI97" i="13"/>
  <c r="BQ97" i="13"/>
  <c r="BN97" i="13"/>
  <c r="BK97" i="13"/>
  <c r="BR97" i="13"/>
  <c r="BG97" i="13"/>
  <c r="BJ97" i="13"/>
  <c r="BK109" i="13"/>
  <c r="BJ109" i="13"/>
  <c r="BT109" i="13"/>
  <c r="BM109" i="13"/>
  <c r="BF109" i="13"/>
  <c r="BE109" i="13"/>
  <c r="BU109" i="13"/>
  <c r="BN109" i="13"/>
  <c r="BG109" i="13"/>
  <c r="BP109" i="13"/>
  <c r="BS109" i="13"/>
  <c r="BW109" i="13"/>
  <c r="BO109" i="13"/>
  <c r="BR109" i="13"/>
  <c r="BQ109" i="13"/>
  <c r="BI109" i="13"/>
  <c r="BL109" i="13"/>
  <c r="BV109" i="13"/>
  <c r="BH109" i="13"/>
  <c r="BR113" i="13"/>
  <c r="BQ113" i="13"/>
  <c r="BP113" i="13"/>
  <c r="BI113" i="13"/>
  <c r="BS113" i="13"/>
  <c r="BL113" i="13"/>
  <c r="BK113" i="13"/>
  <c r="BJ113" i="13"/>
  <c r="BT113" i="13"/>
  <c r="BF113" i="13"/>
  <c r="BU113" i="13"/>
  <c r="BM113" i="13"/>
  <c r="BE113" i="13"/>
  <c r="BN113" i="13"/>
  <c r="BG113" i="13"/>
  <c r="BV113" i="13"/>
  <c r="BH113" i="13"/>
  <c r="BO113" i="13"/>
  <c r="BW113" i="13"/>
  <c r="BO117" i="13"/>
  <c r="BH117" i="13"/>
  <c r="BR117" i="13"/>
  <c r="BQ117" i="13"/>
  <c r="BP117" i="13"/>
  <c r="BU117" i="13"/>
  <c r="BS117" i="13"/>
  <c r="BF117" i="13"/>
  <c r="BV117" i="13"/>
  <c r="BN117" i="13"/>
  <c r="BL117" i="13"/>
  <c r="BM117" i="13"/>
  <c r="BE117" i="13"/>
  <c r="BG117" i="13"/>
  <c r="BJ117" i="13"/>
  <c r="BT117" i="13"/>
  <c r="BK117" i="13"/>
  <c r="BW117" i="13"/>
  <c r="BI117" i="13"/>
  <c r="BW147" i="13"/>
  <c r="BV147" i="13"/>
  <c r="BO147" i="13"/>
  <c r="BH147" i="13"/>
  <c r="BR147" i="13"/>
  <c r="BQ147" i="13"/>
  <c r="BP147" i="13"/>
  <c r="BI147" i="13"/>
  <c r="BS147" i="13"/>
  <c r="BL147" i="13"/>
  <c r="BU147" i="13"/>
  <c r="BG147" i="13"/>
  <c r="BK147" i="13"/>
  <c r="BT147" i="13"/>
  <c r="BF147" i="13"/>
  <c r="BE147" i="13"/>
  <c r="BN147" i="13"/>
  <c r="BJ147" i="13"/>
  <c r="BM147" i="13"/>
  <c r="BM151" i="13"/>
  <c r="BF151" i="13"/>
  <c r="BE151" i="13"/>
  <c r="BU151" i="13"/>
  <c r="BN151" i="13"/>
  <c r="BG151" i="13"/>
  <c r="BW151" i="13"/>
  <c r="BV151" i="13"/>
  <c r="BO151" i="13"/>
  <c r="BH151" i="13"/>
  <c r="BQ151" i="13"/>
  <c r="BI151" i="13"/>
  <c r="BR151" i="13"/>
  <c r="BP151" i="13"/>
  <c r="BL151" i="13"/>
  <c r="BJ151" i="13"/>
  <c r="BK151" i="13"/>
  <c r="BT151" i="13"/>
  <c r="BS151" i="13"/>
  <c r="BT172" i="13"/>
  <c r="BM172" i="13"/>
  <c r="BF172" i="13"/>
  <c r="BE172" i="13"/>
  <c r="BU172" i="13"/>
  <c r="BH172" i="13"/>
  <c r="BL172" i="13"/>
  <c r="BV172" i="13"/>
  <c r="BS172" i="13"/>
  <c r="BQ172" i="13"/>
  <c r="BO172" i="13"/>
  <c r="BG172" i="13"/>
  <c r="BK172" i="13"/>
  <c r="BN172" i="13"/>
  <c r="BW172" i="13"/>
  <c r="BJ172" i="13"/>
  <c r="BI172" i="13"/>
  <c r="BR172" i="13"/>
  <c r="BP172" i="13"/>
  <c r="BE176" i="13"/>
  <c r="BU176" i="13"/>
  <c r="BN176" i="13"/>
  <c r="BG176" i="13"/>
  <c r="BK176" i="13"/>
  <c r="BO176" i="13"/>
  <c r="BS176" i="13"/>
  <c r="BF176" i="13"/>
  <c r="BV176" i="13"/>
  <c r="BI176" i="13"/>
  <c r="BM176" i="13"/>
  <c r="BW176" i="13"/>
  <c r="BP176" i="13"/>
  <c r="BT176" i="13"/>
  <c r="BR176" i="13"/>
  <c r="BQ176" i="13"/>
  <c r="BJ176" i="13"/>
  <c r="BH176" i="13"/>
  <c r="BL176" i="13"/>
  <c r="BR180" i="13"/>
  <c r="BQ180" i="13"/>
  <c r="BP180" i="13"/>
  <c r="BI180" i="13"/>
  <c r="BS180" i="13"/>
  <c r="BL180" i="13"/>
  <c r="BK180" i="13"/>
  <c r="BJ180" i="13"/>
  <c r="BT180" i="13"/>
  <c r="BM180" i="13"/>
  <c r="BE180" i="13"/>
  <c r="BN180" i="13"/>
  <c r="BF180" i="13"/>
  <c r="BU180" i="13"/>
  <c r="BW180" i="13"/>
  <c r="BO180" i="13"/>
  <c r="BG180" i="13"/>
  <c r="BV180" i="13"/>
  <c r="BH180" i="13"/>
  <c r="BO184" i="13"/>
  <c r="BH184" i="13"/>
  <c r="BR184" i="13"/>
  <c r="BQ184" i="13"/>
  <c r="BP184" i="13"/>
  <c r="BN184" i="13"/>
  <c r="BL184" i="13"/>
  <c r="BE184" i="13"/>
  <c r="BT184" i="13"/>
  <c r="BF184" i="13"/>
  <c r="BJ184" i="13"/>
  <c r="BS184" i="13"/>
  <c r="BW184" i="13"/>
  <c r="BI184" i="13"/>
  <c r="BG184" i="13"/>
  <c r="BV184" i="13"/>
  <c r="BU184" i="13"/>
  <c r="BM184" i="13"/>
  <c r="BK184" i="13"/>
  <c r="BQ203" i="13"/>
  <c r="BP203" i="13"/>
  <c r="BI203" i="13"/>
  <c r="BS203" i="13"/>
  <c r="BL203" i="13"/>
  <c r="BK203" i="13"/>
  <c r="BU203" i="13"/>
  <c r="BH203" i="13"/>
  <c r="BF203" i="13"/>
  <c r="BE203" i="13"/>
  <c r="BO203" i="13"/>
  <c r="BM203" i="13"/>
  <c r="BV203" i="13"/>
  <c r="BT203" i="13"/>
  <c r="BG203" i="13"/>
  <c r="BW203" i="13"/>
  <c r="BJ203" i="13"/>
  <c r="BN203" i="13"/>
  <c r="BR203" i="13"/>
  <c r="BM207" i="13"/>
  <c r="BF207" i="13"/>
  <c r="BE207" i="13"/>
  <c r="BU207" i="13"/>
  <c r="BN207" i="13"/>
  <c r="BG207" i="13"/>
  <c r="BW207" i="13"/>
  <c r="BV207" i="13"/>
  <c r="BO207" i="13"/>
  <c r="BH207" i="13"/>
  <c r="BR207" i="13"/>
  <c r="BP207" i="13"/>
  <c r="BQ207" i="13"/>
  <c r="BI207" i="13"/>
  <c r="BS207" i="13"/>
  <c r="BK207" i="13"/>
  <c r="BT207" i="13"/>
  <c r="BL207" i="13"/>
  <c r="BJ207" i="13"/>
  <c r="BJ6" i="13"/>
  <c r="BT6" i="13"/>
  <c r="BM6" i="13"/>
  <c r="BF6" i="13"/>
  <c r="BE6" i="13"/>
  <c r="BU6" i="13"/>
  <c r="BN6" i="13"/>
  <c r="BG6" i="13"/>
  <c r="BW6" i="13"/>
  <c r="BI6" i="13"/>
  <c r="BL6" i="13"/>
  <c r="BV6" i="13"/>
  <c r="BH6" i="13"/>
  <c r="BQ6" i="13"/>
  <c r="BO6" i="13"/>
  <c r="BS6" i="13"/>
  <c r="BR6" i="13"/>
  <c r="BP6" i="13"/>
  <c r="BK6" i="13"/>
  <c r="BF10" i="13"/>
  <c r="BE10" i="13"/>
  <c r="BU10" i="13"/>
  <c r="BN10" i="13"/>
  <c r="BG10" i="13"/>
  <c r="BQ10" i="13"/>
  <c r="BJ10" i="13"/>
  <c r="BH10" i="13"/>
  <c r="BL10" i="13"/>
  <c r="BV10" i="13"/>
  <c r="BI10" i="13"/>
  <c r="BM10" i="13"/>
  <c r="BW10" i="13"/>
  <c r="BP10" i="13"/>
  <c r="BT10" i="13"/>
  <c r="BK10" i="13"/>
  <c r="BS10" i="13"/>
  <c r="BO10" i="13"/>
  <c r="BR10" i="13"/>
  <c r="BH14" i="13"/>
  <c r="BR14" i="13"/>
  <c r="BQ14" i="13"/>
  <c r="BP14" i="13"/>
  <c r="BI14" i="13"/>
  <c r="BS14" i="13"/>
  <c r="BL14" i="13"/>
  <c r="BK14" i="13"/>
  <c r="BJ14" i="13"/>
  <c r="BN14" i="13"/>
  <c r="BW14" i="13"/>
  <c r="BO14" i="13"/>
  <c r="BM14" i="13"/>
  <c r="BE14" i="13"/>
  <c r="BG14" i="13"/>
  <c r="BV14" i="13"/>
  <c r="BT14" i="13"/>
  <c r="BF14" i="13"/>
  <c r="BU14" i="13"/>
  <c r="BV18" i="13"/>
  <c r="BO18" i="13"/>
  <c r="BH18" i="13"/>
  <c r="BR18" i="13"/>
  <c r="BQ18" i="13"/>
  <c r="BP18" i="13"/>
  <c r="BI18" i="13"/>
  <c r="BS18" i="13"/>
  <c r="BL18" i="13"/>
  <c r="BK18" i="13"/>
  <c r="BN18" i="13"/>
  <c r="BW18" i="13"/>
  <c r="BJ18" i="13"/>
  <c r="BM18" i="13"/>
  <c r="BE18" i="13"/>
  <c r="BF18" i="13"/>
  <c r="BU18" i="13"/>
  <c r="BT18" i="13"/>
  <c r="BG18" i="13"/>
  <c r="BR22" i="13"/>
  <c r="BQ22" i="13"/>
  <c r="BP22" i="13"/>
  <c r="BI22" i="13"/>
  <c r="BS22" i="13"/>
  <c r="BW22" i="13"/>
  <c r="BJ22" i="13"/>
  <c r="BN22" i="13"/>
  <c r="BL22" i="13"/>
  <c r="BE22" i="13"/>
  <c r="BO22" i="13"/>
  <c r="BM22" i="13"/>
  <c r="BF22" i="13"/>
  <c r="BT22" i="13"/>
  <c r="BV22" i="13"/>
  <c r="BG22" i="13"/>
  <c r="BU22" i="13"/>
  <c r="BH22" i="13"/>
  <c r="BK22" i="13"/>
  <c r="BT26" i="13"/>
  <c r="BM26" i="13"/>
  <c r="BF26" i="13"/>
  <c r="BE26" i="13"/>
  <c r="BU26" i="13"/>
  <c r="BN26" i="13"/>
  <c r="BG26" i="13"/>
  <c r="BW26" i="13"/>
  <c r="BV26" i="13"/>
  <c r="BO26" i="13"/>
  <c r="BS26" i="13"/>
  <c r="BK26" i="13"/>
  <c r="BR26" i="13"/>
  <c r="BP26" i="13"/>
  <c r="BL26" i="13"/>
  <c r="BJ26" i="13"/>
  <c r="BI26" i="13"/>
  <c r="BH26" i="13"/>
  <c r="BQ26" i="13"/>
  <c r="BJ30" i="13"/>
  <c r="BT30" i="13"/>
  <c r="BM30" i="13"/>
  <c r="BF30" i="13"/>
  <c r="BE30" i="13"/>
  <c r="BU30" i="13"/>
  <c r="BN30" i="13"/>
  <c r="BG30" i="13"/>
  <c r="BW30" i="13"/>
  <c r="BP30" i="13"/>
  <c r="BS30" i="13"/>
  <c r="BK30" i="13"/>
  <c r="BO30" i="13"/>
  <c r="BR30" i="13"/>
  <c r="BH30" i="13"/>
  <c r="BL30" i="13"/>
  <c r="BV30" i="13"/>
  <c r="BQ30" i="13"/>
  <c r="BI30" i="13"/>
  <c r="BF34" i="13"/>
  <c r="BE34" i="13"/>
  <c r="BU34" i="13"/>
  <c r="BN34" i="13"/>
  <c r="BG34" i="13"/>
  <c r="BW34" i="13"/>
  <c r="BP34" i="13"/>
  <c r="BT34" i="13"/>
  <c r="BR34" i="13"/>
  <c r="BK34" i="13"/>
  <c r="BO34" i="13"/>
  <c r="BS34" i="13"/>
  <c r="BV34" i="13"/>
  <c r="BI34" i="13"/>
  <c r="BL34" i="13"/>
  <c r="BM34" i="13"/>
  <c r="BH34" i="13"/>
  <c r="BQ34" i="13"/>
  <c r="BJ34" i="13"/>
  <c r="BH38" i="13"/>
  <c r="BR38" i="13"/>
  <c r="BQ38" i="13"/>
  <c r="BP38" i="13"/>
  <c r="BI38" i="13"/>
  <c r="BS38" i="13"/>
  <c r="BL38" i="13"/>
  <c r="BK38" i="13"/>
  <c r="BJ38" i="13"/>
  <c r="BG38" i="13"/>
  <c r="BV38" i="13"/>
  <c r="BT38" i="13"/>
  <c r="BF38" i="13"/>
  <c r="BU38" i="13"/>
  <c r="BN38" i="13"/>
  <c r="BW38" i="13"/>
  <c r="BO38" i="13"/>
  <c r="BE38" i="13"/>
  <c r="BM38" i="13"/>
  <c r="BV42" i="13"/>
  <c r="BO42" i="13"/>
  <c r="BH42" i="13"/>
  <c r="BR42" i="13"/>
  <c r="BQ42" i="13"/>
  <c r="BP42" i="13"/>
  <c r="BI42" i="13"/>
  <c r="BS42" i="13"/>
  <c r="BL42" i="13"/>
  <c r="BK42" i="13"/>
  <c r="BU42" i="13"/>
  <c r="BG42" i="13"/>
  <c r="BT42" i="13"/>
  <c r="BF42" i="13"/>
  <c r="BJ42" i="13"/>
  <c r="BE42" i="13"/>
  <c r="BN42" i="13"/>
  <c r="BM42" i="13"/>
  <c r="BW42" i="13"/>
  <c r="BR46" i="13"/>
  <c r="BQ46" i="13"/>
  <c r="BP46" i="13"/>
  <c r="BI46" i="13"/>
  <c r="BS46" i="13"/>
  <c r="BF46" i="13"/>
  <c r="BV46" i="13"/>
  <c r="BT46" i="13"/>
  <c r="BG46" i="13"/>
  <c r="BK46" i="13"/>
  <c r="BU46" i="13"/>
  <c r="BH46" i="13"/>
  <c r="BE46" i="13"/>
  <c r="BM46" i="13"/>
  <c r="BL46" i="13"/>
  <c r="BO46" i="13"/>
  <c r="BW46" i="13"/>
  <c r="BJ46" i="13"/>
  <c r="BN46" i="13"/>
  <c r="BT50" i="13"/>
  <c r="BM50" i="13"/>
  <c r="BF50" i="13"/>
  <c r="BE50" i="13"/>
  <c r="BU50" i="13"/>
  <c r="BN50" i="13"/>
  <c r="BG50" i="13"/>
  <c r="BW50" i="13"/>
  <c r="BV50" i="13"/>
  <c r="BO50" i="13"/>
  <c r="BL50" i="13"/>
  <c r="BJ50" i="13"/>
  <c r="BH50" i="13"/>
  <c r="BQ50" i="13"/>
  <c r="BI50" i="13"/>
  <c r="BS50" i="13"/>
  <c r="BK50" i="13"/>
  <c r="BR50" i="13"/>
  <c r="BP50" i="13"/>
  <c r="BJ54" i="13"/>
  <c r="BT54" i="13"/>
  <c r="BM54" i="13"/>
  <c r="BF54" i="13"/>
  <c r="BE54" i="13"/>
  <c r="BU54" i="13"/>
  <c r="BN54" i="13"/>
  <c r="BG54" i="13"/>
  <c r="BW54" i="13"/>
  <c r="BI54" i="13"/>
  <c r="BL54" i="13"/>
  <c r="BV54" i="13"/>
  <c r="BH54" i="13"/>
  <c r="BQ54" i="13"/>
  <c r="BR54" i="13"/>
  <c r="BP54" i="13"/>
  <c r="BK54" i="13"/>
  <c r="BO54" i="13"/>
  <c r="BS54" i="13"/>
  <c r="BF58" i="13"/>
  <c r="BE58" i="13"/>
  <c r="BU58" i="13"/>
  <c r="BN58" i="13"/>
  <c r="BG58" i="13"/>
  <c r="BL58" i="13"/>
  <c r="BV58" i="13"/>
  <c r="BI58" i="13"/>
  <c r="BM58" i="13"/>
  <c r="BQ58" i="13"/>
  <c r="BJ58" i="13"/>
  <c r="BH58" i="13"/>
  <c r="BR58" i="13"/>
  <c r="BK58" i="13"/>
  <c r="BS58" i="13"/>
  <c r="BO58" i="13"/>
  <c r="BW58" i="13"/>
  <c r="BT58" i="13"/>
  <c r="BP58" i="13"/>
  <c r="BH62" i="13"/>
  <c r="BR62" i="13"/>
  <c r="BQ62" i="13"/>
  <c r="BP62" i="13"/>
  <c r="BI62" i="13"/>
  <c r="BS62" i="13"/>
  <c r="BL62" i="13"/>
  <c r="BK62" i="13"/>
  <c r="BJ62" i="13"/>
  <c r="BN62" i="13"/>
  <c r="BW62" i="13"/>
  <c r="BO62" i="13"/>
  <c r="BM62" i="13"/>
  <c r="BE62" i="13"/>
  <c r="BG62" i="13"/>
  <c r="BV62" i="13"/>
  <c r="BT62" i="13"/>
  <c r="BF62" i="13"/>
  <c r="BU62" i="13"/>
  <c r="BV66" i="13"/>
  <c r="BO66" i="13"/>
  <c r="BH66" i="13"/>
  <c r="BR66" i="13"/>
  <c r="BQ66" i="13"/>
  <c r="BP66" i="13"/>
  <c r="BI66" i="13"/>
  <c r="BS66" i="13"/>
  <c r="BL66" i="13"/>
  <c r="BK66" i="13"/>
  <c r="BN66" i="13"/>
  <c r="BW66" i="13"/>
  <c r="BJ66" i="13"/>
  <c r="BM66" i="13"/>
  <c r="BE66" i="13"/>
  <c r="BT66" i="13"/>
  <c r="BG66" i="13"/>
  <c r="BF66" i="13"/>
  <c r="BU66" i="13"/>
  <c r="BR70" i="13"/>
  <c r="BQ70" i="13"/>
  <c r="BP70" i="13"/>
  <c r="BI70" i="13"/>
  <c r="BS70" i="13"/>
  <c r="BL70" i="13"/>
  <c r="BE70" i="13"/>
  <c r="BO70" i="13"/>
  <c r="BM70" i="13"/>
  <c r="BW70" i="13"/>
  <c r="BJ70" i="13"/>
  <c r="BN70" i="13"/>
  <c r="BK70" i="13"/>
  <c r="BH70" i="13"/>
  <c r="BU70" i="13"/>
  <c r="BV70" i="13"/>
  <c r="BG70" i="13"/>
  <c r="BT70" i="13"/>
  <c r="BF70" i="13"/>
  <c r="BT74" i="13"/>
  <c r="BM74" i="13"/>
  <c r="BF74" i="13"/>
  <c r="BE74" i="13"/>
  <c r="BU74" i="13"/>
  <c r="BN74" i="13"/>
  <c r="BG74" i="13"/>
  <c r="BW74" i="13"/>
  <c r="BV74" i="13"/>
  <c r="BO74" i="13"/>
  <c r="BS74" i="13"/>
  <c r="BK74" i="13"/>
  <c r="BR74" i="13"/>
  <c r="BP74" i="13"/>
  <c r="BL74" i="13"/>
  <c r="BJ74" i="13"/>
  <c r="BH74" i="13"/>
  <c r="BQ74" i="13"/>
  <c r="BI74" i="13"/>
  <c r="BJ78" i="13"/>
  <c r="BT78" i="13"/>
  <c r="BM78" i="13"/>
  <c r="BF78" i="13"/>
  <c r="BE78" i="13"/>
  <c r="BU78" i="13"/>
  <c r="BN78" i="13"/>
  <c r="BG78" i="13"/>
  <c r="BW78" i="13"/>
  <c r="BP78" i="13"/>
  <c r="BS78" i="13"/>
  <c r="BK78" i="13"/>
  <c r="BO78" i="13"/>
  <c r="BR78" i="13"/>
  <c r="BV78" i="13"/>
  <c r="BQ78" i="13"/>
  <c r="BI78" i="13"/>
  <c r="BH78" i="13"/>
  <c r="BL78" i="13"/>
  <c r="BF82" i="13"/>
  <c r="BE82" i="13"/>
  <c r="BU82" i="13"/>
  <c r="BN82" i="13"/>
  <c r="BG82" i="13"/>
  <c r="BR82" i="13"/>
  <c r="BK82" i="13"/>
  <c r="BO82" i="13"/>
  <c r="BS82" i="13"/>
  <c r="BW82" i="13"/>
  <c r="BP82" i="13"/>
  <c r="BT82" i="13"/>
  <c r="BQ82" i="13"/>
  <c r="BH82" i="13"/>
  <c r="BJ82" i="13"/>
  <c r="BI82" i="13"/>
  <c r="BM82" i="13"/>
  <c r="BL82" i="13"/>
  <c r="BV82" i="13"/>
  <c r="BH86" i="13"/>
  <c r="BR86" i="13"/>
  <c r="BQ86" i="13"/>
  <c r="BP86" i="13"/>
  <c r="BI86" i="13"/>
  <c r="BS86" i="13"/>
  <c r="BL86" i="13"/>
  <c r="BK86" i="13"/>
  <c r="BJ86" i="13"/>
  <c r="BG86" i="13"/>
  <c r="BV86" i="13"/>
  <c r="BT86" i="13"/>
  <c r="BF86" i="13"/>
  <c r="BU86" i="13"/>
  <c r="BN86" i="13"/>
  <c r="BW86" i="13"/>
  <c r="BO86" i="13"/>
  <c r="BM86" i="13"/>
  <c r="BE86" i="13"/>
  <c r="BV90" i="13"/>
  <c r="BO90" i="13"/>
  <c r="BH90" i="13"/>
  <c r="BR90" i="13"/>
  <c r="BQ90" i="13"/>
  <c r="BP90" i="13"/>
  <c r="BI90" i="13"/>
  <c r="BS90" i="13"/>
  <c r="BL90" i="13"/>
  <c r="BK90" i="13"/>
  <c r="BU90" i="13"/>
  <c r="BG90" i="13"/>
  <c r="BT90" i="13"/>
  <c r="BF90" i="13"/>
  <c r="BM90" i="13"/>
  <c r="BW90" i="13"/>
  <c r="BJ90" i="13"/>
  <c r="BE90" i="13"/>
  <c r="BN90" i="13"/>
  <c r="BR94" i="13"/>
  <c r="BQ94" i="13"/>
  <c r="BP94" i="13"/>
  <c r="BI94" i="13"/>
  <c r="BS94" i="13"/>
  <c r="BK94" i="13"/>
  <c r="BU94" i="13"/>
  <c r="BH94" i="13"/>
  <c r="BF94" i="13"/>
  <c r="BV94" i="13"/>
  <c r="BT94" i="13"/>
  <c r="BG94" i="13"/>
  <c r="BW94" i="13"/>
  <c r="BN94" i="13"/>
  <c r="BJ94" i="13"/>
  <c r="BM94" i="13"/>
  <c r="BL94" i="13"/>
  <c r="BE94" i="13"/>
  <c r="BO94" i="13"/>
  <c r="BT98" i="13"/>
  <c r="BM98" i="13"/>
  <c r="BF98" i="13"/>
  <c r="BE98" i="13"/>
  <c r="BU98" i="13"/>
  <c r="BN98" i="13"/>
  <c r="BG98" i="13"/>
  <c r="BW98" i="13"/>
  <c r="BV98" i="13"/>
  <c r="BO98" i="13"/>
  <c r="BL98" i="13"/>
  <c r="BJ98" i="13"/>
  <c r="BH98" i="13"/>
  <c r="BQ98" i="13"/>
  <c r="BI98" i="13"/>
  <c r="BS98" i="13"/>
  <c r="BK98" i="13"/>
  <c r="BP98" i="13"/>
  <c r="BR98" i="13"/>
  <c r="BJ110" i="13"/>
  <c r="BT110" i="13"/>
  <c r="BM110" i="13"/>
  <c r="BF110" i="13"/>
  <c r="BE110" i="13"/>
  <c r="BU110" i="13"/>
  <c r="BN110" i="13"/>
  <c r="BG110" i="13"/>
  <c r="BW110" i="13"/>
  <c r="BI110" i="13"/>
  <c r="BL110" i="13"/>
  <c r="BV110" i="13"/>
  <c r="BH110" i="13"/>
  <c r="BQ110" i="13"/>
  <c r="BO110" i="13"/>
  <c r="BS110" i="13"/>
  <c r="BR110" i="13"/>
  <c r="BK110" i="13"/>
  <c r="BP110" i="13"/>
  <c r="BF114" i="13"/>
  <c r="BE114" i="13"/>
  <c r="BU114" i="13"/>
  <c r="BN114" i="13"/>
  <c r="BG114" i="13"/>
  <c r="BQ114" i="13"/>
  <c r="BJ114" i="13"/>
  <c r="BH114" i="13"/>
  <c r="BL114" i="13"/>
  <c r="BV114" i="13"/>
  <c r="BI114" i="13"/>
  <c r="BM114" i="13"/>
  <c r="BW114" i="13"/>
  <c r="BP114" i="13"/>
  <c r="BT114" i="13"/>
  <c r="BR114" i="13"/>
  <c r="BK114" i="13"/>
  <c r="BO114" i="13"/>
  <c r="BS114" i="13"/>
  <c r="BH144" i="13"/>
  <c r="BR144" i="13"/>
  <c r="BQ144" i="13"/>
  <c r="BP144" i="13"/>
  <c r="BI144" i="13"/>
  <c r="BS144" i="13"/>
  <c r="BL144" i="13"/>
  <c r="BK144" i="13"/>
  <c r="BJ144" i="13"/>
  <c r="BN144" i="13"/>
  <c r="BW144" i="13"/>
  <c r="BO144" i="13"/>
  <c r="BM144" i="13"/>
  <c r="BE144" i="13"/>
  <c r="BG144" i="13"/>
  <c r="BV144" i="13"/>
  <c r="BF144" i="13"/>
  <c r="BU144" i="13"/>
  <c r="BT144" i="13"/>
  <c r="BV148" i="13"/>
  <c r="BO148" i="13"/>
  <c r="BH148" i="13"/>
  <c r="BR148" i="13"/>
  <c r="BQ148" i="13"/>
  <c r="BP148" i="13"/>
  <c r="BI148" i="13"/>
  <c r="BS148" i="13"/>
  <c r="BL148" i="13"/>
  <c r="BN148" i="13"/>
  <c r="BW148" i="13"/>
  <c r="BJ148" i="13"/>
  <c r="BM148" i="13"/>
  <c r="BK148" i="13"/>
  <c r="BF148" i="13"/>
  <c r="BU148" i="13"/>
  <c r="BE148" i="13"/>
  <c r="BT148" i="13"/>
  <c r="BG148" i="13"/>
  <c r="BF152" i="13"/>
  <c r="BE152" i="13"/>
  <c r="BU152" i="13"/>
  <c r="BN152" i="13"/>
  <c r="BG152" i="13"/>
  <c r="BR152" i="13"/>
  <c r="BQ152" i="13"/>
  <c r="BP152" i="13"/>
  <c r="BI152" i="13"/>
  <c r="BS152" i="13"/>
  <c r="BL152" i="13"/>
  <c r="BJ152" i="13"/>
  <c r="BT152" i="13"/>
  <c r="BM152" i="13"/>
  <c r="BK152" i="13"/>
  <c r="BW152" i="13"/>
  <c r="BO152" i="13"/>
  <c r="BV152" i="13"/>
  <c r="BH152" i="13"/>
  <c r="BN173" i="13"/>
  <c r="BG173" i="13"/>
  <c r="BW173" i="13"/>
  <c r="BV173" i="13"/>
  <c r="BO173" i="13"/>
  <c r="BH173" i="13"/>
  <c r="BL173" i="13"/>
  <c r="BE173" i="13"/>
  <c r="BI173" i="13"/>
  <c r="BS173" i="13"/>
  <c r="BF173" i="13"/>
  <c r="BP173" i="13"/>
  <c r="BM173" i="13"/>
  <c r="BQ173" i="13"/>
  <c r="BJ173" i="13"/>
  <c r="BT173" i="13"/>
  <c r="BR173" i="13"/>
  <c r="BK173" i="13"/>
  <c r="BU173" i="13"/>
  <c r="BJ177" i="13"/>
  <c r="BT177" i="13"/>
  <c r="BM177" i="13"/>
  <c r="BF177" i="13"/>
  <c r="BE177" i="13"/>
  <c r="BU177" i="13"/>
  <c r="BN177" i="13"/>
  <c r="BG177" i="13"/>
  <c r="BW177" i="13"/>
  <c r="BP177" i="13"/>
  <c r="BS177" i="13"/>
  <c r="BK177" i="13"/>
  <c r="BO177" i="13"/>
  <c r="BR177" i="13"/>
  <c r="BI177" i="13"/>
  <c r="BL177" i="13"/>
  <c r="BV177" i="13"/>
  <c r="BH177" i="13"/>
  <c r="BQ177" i="13"/>
  <c r="BR181" i="13"/>
  <c r="BQ181" i="13"/>
  <c r="BP181" i="13"/>
  <c r="BI181" i="13"/>
  <c r="BS181" i="13"/>
  <c r="BF181" i="13"/>
  <c r="BE181" i="13"/>
  <c r="BU181" i="13"/>
  <c r="BN181" i="13"/>
  <c r="BG181" i="13"/>
  <c r="BV181" i="13"/>
  <c r="BH181" i="13"/>
  <c r="BW181" i="13"/>
  <c r="BO181" i="13"/>
  <c r="BT181" i="13"/>
  <c r="BL181" i="13"/>
  <c r="BM181" i="13"/>
  <c r="BK181" i="13"/>
  <c r="BJ181" i="13"/>
  <c r="BS185" i="13"/>
  <c r="BL185" i="13"/>
  <c r="BK185" i="13"/>
  <c r="BJ185" i="13"/>
  <c r="BN185" i="13"/>
  <c r="BR185" i="13"/>
  <c r="BE185" i="13"/>
  <c r="BO185" i="13"/>
  <c r="BH185" i="13"/>
  <c r="BF185" i="13"/>
  <c r="BV185" i="13"/>
  <c r="BI185" i="13"/>
  <c r="BM185" i="13"/>
  <c r="BW185" i="13"/>
  <c r="BP185" i="13"/>
  <c r="BG185" i="13"/>
  <c r="BQ185" i="13"/>
  <c r="BU185" i="13"/>
  <c r="BT185" i="13"/>
  <c r="BV204" i="13"/>
  <c r="BO204" i="13"/>
  <c r="BH204" i="13"/>
  <c r="BR204" i="13"/>
  <c r="BQ204" i="13"/>
  <c r="BP204" i="13"/>
  <c r="BI204" i="13"/>
  <c r="BS204" i="13"/>
  <c r="BL204" i="13"/>
  <c r="BK204" i="13"/>
  <c r="BU204" i="13"/>
  <c r="BG204" i="13"/>
  <c r="BT204" i="13"/>
  <c r="BF204" i="13"/>
  <c r="BN204" i="13"/>
  <c r="BW204" i="13"/>
  <c r="BE204" i="13"/>
  <c r="BJ204" i="13"/>
  <c r="BM204" i="13"/>
  <c r="BU7" i="13"/>
  <c r="BN7" i="13"/>
  <c r="BG7" i="13"/>
  <c r="BW7" i="13"/>
  <c r="BV7" i="13"/>
  <c r="BT7" i="13"/>
  <c r="BR7" i="13"/>
  <c r="BK7" i="13"/>
  <c r="BI7" i="13"/>
  <c r="BM7" i="13"/>
  <c r="BQ7" i="13"/>
  <c r="BJ7" i="13"/>
  <c r="BL7" i="13"/>
  <c r="BO7" i="13"/>
  <c r="BF7" i="13"/>
  <c r="BS7" i="13"/>
  <c r="BP7" i="13"/>
  <c r="BH7" i="13"/>
  <c r="BE7" i="13"/>
  <c r="BE11" i="13"/>
  <c r="BU11" i="13"/>
  <c r="BN11" i="13"/>
  <c r="BG11" i="13"/>
  <c r="BQ11" i="13"/>
  <c r="BJ11" i="13"/>
  <c r="BH11" i="13"/>
  <c r="BL11" i="13"/>
  <c r="BK11" i="13"/>
  <c r="BO11" i="13"/>
  <c r="BS11" i="13"/>
  <c r="BF11" i="13"/>
  <c r="BW11" i="13"/>
  <c r="BT11" i="13"/>
  <c r="BV11" i="13"/>
  <c r="BM11" i="13"/>
  <c r="BP11" i="13"/>
  <c r="BR11" i="13"/>
  <c r="BI11" i="13"/>
  <c r="BS15" i="13"/>
  <c r="BL15" i="13"/>
  <c r="BK15" i="13"/>
  <c r="BJ15" i="13"/>
  <c r="BT15" i="13"/>
  <c r="BM15" i="13"/>
  <c r="BF15" i="13"/>
  <c r="BE15" i="13"/>
  <c r="BU15" i="13"/>
  <c r="BN15" i="13"/>
  <c r="BG15" i="13"/>
  <c r="BV15" i="13"/>
  <c r="BH15" i="13"/>
  <c r="BP15" i="13"/>
  <c r="BW15" i="13"/>
  <c r="BO15" i="13"/>
  <c r="BQ15" i="13"/>
  <c r="BI15" i="13"/>
  <c r="BR15" i="13"/>
  <c r="BI19" i="13"/>
  <c r="BS19" i="13"/>
  <c r="BL19" i="13"/>
  <c r="BK19" i="13"/>
  <c r="BJ19" i="13"/>
  <c r="BT19" i="13"/>
  <c r="BG19" i="13"/>
  <c r="BQ19" i="13"/>
  <c r="BO19" i="13"/>
  <c r="BM19" i="13"/>
  <c r="BW19" i="13"/>
  <c r="BP19" i="13"/>
  <c r="BN19" i="13"/>
  <c r="BE19" i="13"/>
  <c r="BH19" i="13"/>
  <c r="BV19" i="13"/>
  <c r="BU19" i="13"/>
  <c r="BF19" i="13"/>
  <c r="BR19" i="13"/>
  <c r="BQ23" i="13"/>
  <c r="BP23" i="13"/>
  <c r="BI23" i="13"/>
  <c r="BS23" i="13"/>
  <c r="BL23" i="13"/>
  <c r="BW23" i="13"/>
  <c r="BJ23" i="13"/>
  <c r="BN23" i="13"/>
  <c r="BR23" i="13"/>
  <c r="BK23" i="13"/>
  <c r="BU23" i="13"/>
  <c r="BH23" i="13"/>
  <c r="BF23" i="13"/>
  <c r="BV23" i="13"/>
  <c r="BG23" i="13"/>
  <c r="BO23" i="13"/>
  <c r="BT23" i="13"/>
  <c r="BE23" i="13"/>
  <c r="BM23" i="13"/>
  <c r="BG27" i="13"/>
  <c r="BW27" i="13"/>
  <c r="BV27" i="13"/>
  <c r="BO27" i="13"/>
  <c r="BH27" i="13"/>
  <c r="BR27" i="13"/>
  <c r="BQ27" i="13"/>
  <c r="BP27" i="13"/>
  <c r="BI27" i="13"/>
  <c r="BL27" i="13"/>
  <c r="BJ27" i="13"/>
  <c r="BS27" i="13"/>
  <c r="BK27" i="13"/>
  <c r="BT27" i="13"/>
  <c r="BF27" i="13"/>
  <c r="BM27" i="13"/>
  <c r="BE27" i="13"/>
  <c r="BN27" i="13"/>
  <c r="BU27" i="13"/>
  <c r="BU31" i="13"/>
  <c r="BN31" i="13"/>
  <c r="BG31" i="13"/>
  <c r="BW31" i="13"/>
  <c r="BV31" i="13"/>
  <c r="BI31" i="13"/>
  <c r="BM31" i="13"/>
  <c r="BQ31" i="13"/>
  <c r="BJ31" i="13"/>
  <c r="BO31" i="13"/>
  <c r="BS31" i="13"/>
  <c r="BF31" i="13"/>
  <c r="BP31" i="13"/>
  <c r="BR31" i="13"/>
  <c r="BL31" i="13"/>
  <c r="BH31" i="13"/>
  <c r="BE31" i="13"/>
  <c r="BT31" i="13"/>
  <c r="BK31" i="13"/>
  <c r="BE35" i="13"/>
  <c r="BU35" i="13"/>
  <c r="BN35" i="13"/>
  <c r="BG35" i="13"/>
  <c r="BW35" i="13"/>
  <c r="BP35" i="13"/>
  <c r="BT35" i="13"/>
  <c r="BR35" i="13"/>
  <c r="BQ35" i="13"/>
  <c r="BJ35" i="13"/>
  <c r="BH35" i="13"/>
  <c r="BL35" i="13"/>
  <c r="BI35" i="13"/>
  <c r="BK35" i="13"/>
  <c r="BS35" i="13"/>
  <c r="BV35" i="13"/>
  <c r="BM35" i="13"/>
  <c r="BO35" i="13"/>
  <c r="BF35" i="13"/>
  <c r="BS39" i="13"/>
  <c r="BL39" i="13"/>
  <c r="BK39" i="13"/>
  <c r="BJ39" i="13"/>
  <c r="BT39" i="13"/>
  <c r="BM39" i="13"/>
  <c r="BF39" i="13"/>
  <c r="BE39" i="13"/>
  <c r="BU39" i="13"/>
  <c r="BN39" i="13"/>
  <c r="BW39" i="13"/>
  <c r="BO39" i="13"/>
  <c r="BQ39" i="13"/>
  <c r="BI39" i="13"/>
  <c r="BG39" i="13"/>
  <c r="BV39" i="13"/>
  <c r="BH39" i="13"/>
  <c r="BR39" i="13"/>
  <c r="BP39" i="13"/>
  <c r="BI43" i="13"/>
  <c r="BS43" i="13"/>
  <c r="BL43" i="13"/>
  <c r="BK43" i="13"/>
  <c r="BJ43" i="13"/>
  <c r="BO43" i="13"/>
  <c r="BM43" i="13"/>
  <c r="BW43" i="13"/>
  <c r="BP43" i="13"/>
  <c r="BU43" i="13"/>
  <c r="BH43" i="13"/>
  <c r="BF43" i="13"/>
  <c r="BV43" i="13"/>
  <c r="BT43" i="13"/>
  <c r="BQ43" i="13"/>
  <c r="BN43" i="13"/>
  <c r="BE43" i="13"/>
  <c r="BR43" i="13"/>
  <c r="BG43" i="13"/>
  <c r="BQ47" i="13"/>
  <c r="BP47" i="13"/>
  <c r="BI47" i="13"/>
  <c r="BS47" i="13"/>
  <c r="BL47" i="13"/>
  <c r="BV47" i="13"/>
  <c r="BT47" i="13"/>
  <c r="BG47" i="13"/>
  <c r="BW47" i="13"/>
  <c r="BJ47" i="13"/>
  <c r="BN47" i="13"/>
  <c r="BR47" i="13"/>
  <c r="BE47" i="13"/>
  <c r="BM47" i="13"/>
  <c r="BU47" i="13"/>
  <c r="BF47" i="13"/>
  <c r="BO47" i="13"/>
  <c r="BK47" i="13"/>
  <c r="BH47" i="13"/>
  <c r="BG51" i="13"/>
  <c r="BW51" i="13"/>
  <c r="BV51" i="13"/>
  <c r="BO51" i="13"/>
  <c r="BH51" i="13"/>
  <c r="BR51" i="13"/>
  <c r="BQ51" i="13"/>
  <c r="BP51" i="13"/>
  <c r="BI51" i="13"/>
  <c r="BS51" i="13"/>
  <c r="BK51" i="13"/>
  <c r="BT51" i="13"/>
  <c r="BN51" i="13"/>
  <c r="BE51" i="13"/>
  <c r="BL51" i="13"/>
  <c r="BJ51" i="13"/>
  <c r="BM51" i="13"/>
  <c r="BF51" i="13"/>
  <c r="BU51" i="13"/>
  <c r="BU55" i="13"/>
  <c r="BN55" i="13"/>
  <c r="BG55" i="13"/>
  <c r="BW55" i="13"/>
  <c r="BV55" i="13"/>
  <c r="BO55" i="13"/>
  <c r="BS55" i="13"/>
  <c r="BF55" i="13"/>
  <c r="BP55" i="13"/>
  <c r="BH55" i="13"/>
  <c r="BL55" i="13"/>
  <c r="BE55" i="13"/>
  <c r="BM55" i="13"/>
  <c r="BJ55" i="13"/>
  <c r="BR55" i="13"/>
  <c r="BT55" i="13"/>
  <c r="BK55" i="13"/>
  <c r="BQ55" i="13"/>
  <c r="BI55" i="13"/>
  <c r="BE59" i="13"/>
  <c r="BU59" i="13"/>
  <c r="BN59" i="13"/>
  <c r="BG59" i="13"/>
  <c r="BV59" i="13"/>
  <c r="BI59" i="13"/>
  <c r="BM59" i="13"/>
  <c r="BW59" i="13"/>
  <c r="BP59" i="13"/>
  <c r="BT59" i="13"/>
  <c r="BR59" i="13"/>
  <c r="BO59" i="13"/>
  <c r="BF59" i="13"/>
  <c r="BQ59" i="13"/>
  <c r="BH59" i="13"/>
  <c r="BK59" i="13"/>
  <c r="BS59" i="13"/>
  <c r="BJ59" i="13"/>
  <c r="BL59" i="13"/>
  <c r="BS63" i="13"/>
  <c r="BL63" i="13"/>
  <c r="BK63" i="13"/>
  <c r="BJ63" i="13"/>
  <c r="BT63" i="13"/>
  <c r="BM63" i="13"/>
  <c r="BF63" i="13"/>
  <c r="BE63" i="13"/>
  <c r="BU63" i="13"/>
  <c r="BN63" i="13"/>
  <c r="BG63" i="13"/>
  <c r="BV63" i="13"/>
  <c r="BH63" i="13"/>
  <c r="BP63" i="13"/>
  <c r="BW63" i="13"/>
  <c r="BO63" i="13"/>
  <c r="BQ63" i="13"/>
  <c r="BI63" i="13"/>
  <c r="BR63" i="13"/>
  <c r="BI67" i="13"/>
  <c r="BS67" i="13"/>
  <c r="BL67" i="13"/>
  <c r="BK67" i="13"/>
  <c r="BJ67" i="13"/>
  <c r="BU67" i="13"/>
  <c r="BH67" i="13"/>
  <c r="BF67" i="13"/>
  <c r="BV67" i="13"/>
  <c r="BN67" i="13"/>
  <c r="BR67" i="13"/>
  <c r="BE67" i="13"/>
  <c r="BO67" i="13"/>
  <c r="BW67" i="13"/>
  <c r="BT67" i="13"/>
  <c r="BQ67" i="13"/>
  <c r="BG67" i="13"/>
  <c r="BP67" i="13"/>
  <c r="BM67" i="13"/>
  <c r="BQ71" i="13"/>
  <c r="BP71" i="13"/>
  <c r="BI71" i="13"/>
  <c r="BS71" i="13"/>
  <c r="BL71" i="13"/>
  <c r="BE71" i="13"/>
  <c r="BO71" i="13"/>
  <c r="BM71" i="13"/>
  <c r="BV71" i="13"/>
  <c r="BT71" i="13"/>
  <c r="BG71" i="13"/>
  <c r="BK71" i="13"/>
  <c r="BH71" i="13"/>
  <c r="BJ71" i="13"/>
  <c r="BR71" i="13"/>
  <c r="BU71" i="13"/>
  <c r="BF71" i="13"/>
  <c r="BW71" i="13"/>
  <c r="BN71" i="13"/>
  <c r="BG75" i="13"/>
  <c r="BW75" i="13"/>
  <c r="BV75" i="13"/>
  <c r="BO75" i="13"/>
  <c r="BH75" i="13"/>
  <c r="BR75" i="13"/>
  <c r="BQ75" i="13"/>
  <c r="BP75" i="13"/>
  <c r="BI75" i="13"/>
  <c r="BL75" i="13"/>
  <c r="BJ75" i="13"/>
  <c r="BS75" i="13"/>
  <c r="BK75" i="13"/>
  <c r="BT75" i="13"/>
  <c r="BM75" i="13"/>
  <c r="BE75" i="13"/>
  <c r="BN75" i="13"/>
  <c r="BU75" i="13"/>
  <c r="BF75" i="13"/>
  <c r="BU79" i="13"/>
  <c r="BN79" i="13"/>
  <c r="BG79" i="13"/>
  <c r="BW79" i="13"/>
  <c r="BV79" i="13"/>
  <c r="BH79" i="13"/>
  <c r="BL79" i="13"/>
  <c r="BE79" i="13"/>
  <c r="BT79" i="13"/>
  <c r="BR79" i="13"/>
  <c r="BK79" i="13"/>
  <c r="BS79" i="13"/>
  <c r="BP79" i="13"/>
  <c r="BM79" i="13"/>
  <c r="BJ79" i="13"/>
  <c r="BI79" i="13"/>
  <c r="BQ79" i="13"/>
  <c r="BO79" i="13"/>
  <c r="BF79" i="13"/>
  <c r="BE83" i="13"/>
  <c r="BU83" i="13"/>
  <c r="BN83" i="13"/>
  <c r="BG83" i="13"/>
  <c r="BK83" i="13"/>
  <c r="BO83" i="13"/>
  <c r="BS83" i="13"/>
  <c r="BF83" i="13"/>
  <c r="BV83" i="13"/>
  <c r="BI83" i="13"/>
  <c r="BM83" i="13"/>
  <c r="BJ83" i="13"/>
  <c r="BL83" i="13"/>
  <c r="BW83" i="13"/>
  <c r="BT83" i="13"/>
  <c r="BQ83" i="13"/>
  <c r="BH83" i="13"/>
  <c r="BP83" i="13"/>
  <c r="BR83" i="13"/>
  <c r="BS87" i="13"/>
  <c r="BL87" i="13"/>
  <c r="BK87" i="13"/>
  <c r="BJ87" i="13"/>
  <c r="BT87" i="13"/>
  <c r="BM87" i="13"/>
  <c r="BF87" i="13"/>
  <c r="BE87" i="13"/>
  <c r="BU87" i="13"/>
  <c r="BN87" i="13"/>
  <c r="BW87" i="13"/>
  <c r="BO87" i="13"/>
  <c r="BG87" i="13"/>
  <c r="BV87" i="13"/>
  <c r="BH87" i="13"/>
  <c r="BR87" i="13"/>
  <c r="BP87" i="13"/>
  <c r="BQ87" i="13"/>
  <c r="BI87" i="13"/>
  <c r="BI91" i="13"/>
  <c r="BS91" i="13"/>
  <c r="BL91" i="13"/>
  <c r="BK91" i="13"/>
  <c r="BJ91" i="13"/>
  <c r="BN91" i="13"/>
  <c r="BR91" i="13"/>
  <c r="BE91" i="13"/>
  <c r="BT91" i="13"/>
  <c r="BG91" i="13"/>
  <c r="BQ91" i="13"/>
  <c r="BU91" i="13"/>
  <c r="BF91" i="13"/>
  <c r="BO91" i="13"/>
  <c r="BW91" i="13"/>
  <c r="BM91" i="13"/>
  <c r="BP91" i="13"/>
  <c r="BH91" i="13"/>
  <c r="BV91" i="13"/>
  <c r="BQ95" i="13"/>
  <c r="BP95" i="13"/>
  <c r="BI95" i="13"/>
  <c r="BS95" i="13"/>
  <c r="BL95" i="13"/>
  <c r="BK95" i="13"/>
  <c r="BJ95" i="13"/>
  <c r="BT95" i="13"/>
  <c r="BM95" i="13"/>
  <c r="BF95" i="13"/>
  <c r="BW95" i="13"/>
  <c r="BO95" i="13"/>
  <c r="BR95" i="13"/>
  <c r="BE95" i="13"/>
  <c r="BN95" i="13"/>
  <c r="BV95" i="13"/>
  <c r="BH95" i="13"/>
  <c r="BU95" i="13"/>
  <c r="BG95" i="13"/>
  <c r="BG107" i="13"/>
  <c r="BW107" i="13"/>
  <c r="BV107" i="13"/>
  <c r="BO107" i="13"/>
  <c r="BH107" i="13"/>
  <c r="BR107" i="13"/>
  <c r="BQ107" i="13"/>
  <c r="BP107" i="13"/>
  <c r="BI107" i="13"/>
  <c r="BS107" i="13"/>
  <c r="BK107" i="13"/>
  <c r="BT107" i="13"/>
  <c r="BL107" i="13"/>
  <c r="BJ107" i="13"/>
  <c r="BF107" i="13"/>
  <c r="BU107" i="13"/>
  <c r="BM107" i="13"/>
  <c r="BE107" i="13"/>
  <c r="BN107" i="13"/>
  <c r="BU111" i="13"/>
  <c r="BN111" i="13"/>
  <c r="BG111" i="13"/>
  <c r="BW111" i="13"/>
  <c r="BV111" i="13"/>
  <c r="BT111" i="13"/>
  <c r="BR111" i="13"/>
  <c r="BK111" i="13"/>
  <c r="BI111" i="13"/>
  <c r="BM111" i="13"/>
  <c r="BQ111" i="13"/>
  <c r="BJ111" i="13"/>
  <c r="BH111" i="13"/>
  <c r="BE111" i="13"/>
  <c r="BS111" i="13"/>
  <c r="BP111" i="13"/>
  <c r="BO111" i="13"/>
  <c r="BF111" i="13"/>
  <c r="BL111" i="13"/>
  <c r="BE115" i="13"/>
  <c r="BU115" i="13"/>
  <c r="BN115" i="13"/>
  <c r="BG115" i="13"/>
  <c r="BW115" i="13"/>
  <c r="BV115" i="13"/>
  <c r="BO115" i="13"/>
  <c r="BH115" i="13"/>
  <c r="BR115" i="13"/>
  <c r="BK115" i="13"/>
  <c r="BT115" i="13"/>
  <c r="BF115" i="13"/>
  <c r="BP115" i="13"/>
  <c r="BS115" i="13"/>
  <c r="BJ115" i="13"/>
  <c r="BM115" i="13"/>
  <c r="BQ115" i="13"/>
  <c r="BI115" i="13"/>
  <c r="BL115" i="13"/>
  <c r="BS145" i="13"/>
  <c r="BL145" i="13"/>
  <c r="BK145" i="13"/>
  <c r="BJ145" i="13"/>
  <c r="BT145" i="13"/>
  <c r="BM145" i="13"/>
  <c r="BF145" i="13"/>
  <c r="BE145" i="13"/>
  <c r="BU145" i="13"/>
  <c r="BN145" i="13"/>
  <c r="BG145" i="13"/>
  <c r="BV145" i="13"/>
  <c r="BH145" i="13"/>
  <c r="BW145" i="13"/>
  <c r="BO145" i="13"/>
  <c r="BQ145" i="13"/>
  <c r="BI145" i="13"/>
  <c r="BR145" i="13"/>
  <c r="BP145" i="13"/>
  <c r="BI149" i="13"/>
  <c r="BS149" i="13"/>
  <c r="BL149" i="13"/>
  <c r="BK149" i="13"/>
  <c r="BJ149" i="13"/>
  <c r="BT149" i="13"/>
  <c r="BG149" i="13"/>
  <c r="BQ149" i="13"/>
  <c r="BN149" i="13"/>
  <c r="BF149" i="13"/>
  <c r="BP149" i="13"/>
  <c r="BH149" i="13"/>
  <c r="BW149" i="13"/>
  <c r="BO149" i="13"/>
  <c r="BR149" i="13"/>
  <c r="BV149" i="13"/>
  <c r="BU149" i="13"/>
  <c r="BM149" i="13"/>
  <c r="BE149" i="13"/>
  <c r="BQ153" i="13"/>
  <c r="BP153" i="13"/>
  <c r="BK153" i="13"/>
  <c r="BJ153" i="13"/>
  <c r="BT153" i="13"/>
  <c r="BM153" i="13"/>
  <c r="BF153" i="13"/>
  <c r="BV153" i="13"/>
  <c r="BN153" i="13"/>
  <c r="BR153" i="13"/>
  <c r="BU153" i="13"/>
  <c r="BH153" i="13"/>
  <c r="BL153" i="13"/>
  <c r="BW153" i="13"/>
  <c r="BO153" i="13"/>
  <c r="BS153" i="13"/>
  <c r="BE153" i="13"/>
  <c r="BI153" i="13"/>
  <c r="BG153" i="13"/>
  <c r="BG174" i="13"/>
  <c r="BW174" i="13"/>
  <c r="BV174" i="13"/>
  <c r="BO174" i="13"/>
  <c r="BH174" i="13"/>
  <c r="BR174" i="13"/>
  <c r="BQ174" i="13"/>
  <c r="BP174" i="13"/>
  <c r="BI174" i="13"/>
  <c r="BL174" i="13"/>
  <c r="BJ174" i="13"/>
  <c r="BS174" i="13"/>
  <c r="BK174" i="13"/>
  <c r="BT174" i="13"/>
  <c r="BM174" i="13"/>
  <c r="BE174" i="13"/>
  <c r="BN174" i="13"/>
  <c r="BF174" i="13"/>
  <c r="BU174" i="13"/>
  <c r="BU178" i="13"/>
  <c r="BN178" i="13"/>
  <c r="BG178" i="13"/>
  <c r="BW178" i="13"/>
  <c r="BV178" i="13"/>
  <c r="BI178" i="13"/>
  <c r="BM178" i="13"/>
  <c r="BQ178" i="13"/>
  <c r="BJ178" i="13"/>
  <c r="BO178" i="13"/>
  <c r="BR178" i="13"/>
  <c r="BE178" i="13"/>
  <c r="BT178" i="13"/>
  <c r="BL178" i="13"/>
  <c r="BP178" i="13"/>
  <c r="BS178" i="13"/>
  <c r="BK178" i="13"/>
  <c r="BF178" i="13"/>
  <c r="BH178" i="13"/>
  <c r="BW182" i="13"/>
  <c r="BV182" i="13"/>
  <c r="BO182" i="13"/>
  <c r="BH182" i="13"/>
  <c r="BR182" i="13"/>
  <c r="BP182" i="13"/>
  <c r="BT182" i="13"/>
  <c r="BG182" i="13"/>
  <c r="BQ182" i="13"/>
  <c r="BJ182" i="13"/>
  <c r="BN182" i="13"/>
  <c r="BL182" i="13"/>
  <c r="BK182" i="13"/>
  <c r="BU182" i="13"/>
  <c r="BS182" i="13"/>
  <c r="BF182" i="13"/>
  <c r="BE182" i="13"/>
  <c r="BI182" i="13"/>
  <c r="BM182" i="13"/>
  <c r="BS201" i="13"/>
  <c r="BL201" i="13"/>
  <c r="BK201" i="13"/>
  <c r="BJ201" i="13"/>
  <c r="BT201" i="13"/>
  <c r="BM201" i="13"/>
  <c r="BF201" i="13"/>
  <c r="BE201" i="13"/>
  <c r="BU201" i="13"/>
  <c r="BN201" i="13"/>
  <c r="BW201" i="13"/>
  <c r="BO201" i="13"/>
  <c r="BG201" i="13"/>
  <c r="BV201" i="13"/>
  <c r="BH201" i="13"/>
  <c r="BR201" i="13"/>
  <c r="BP201" i="13"/>
  <c r="BI201" i="13"/>
  <c r="BQ201" i="13"/>
  <c r="BI205" i="13"/>
  <c r="BS205" i="13"/>
  <c r="BL205" i="13"/>
  <c r="BK205" i="13"/>
  <c r="BJ205" i="13"/>
  <c r="BO205" i="13"/>
  <c r="BM205" i="13"/>
  <c r="BW205" i="13"/>
  <c r="BP205" i="13"/>
  <c r="BH205" i="13"/>
  <c r="BQ205" i="13"/>
  <c r="BU205" i="13"/>
  <c r="BG205" i="13"/>
  <c r="BE205" i="13"/>
  <c r="BN205" i="13"/>
  <c r="BF205" i="13"/>
  <c r="BT205" i="13"/>
  <c r="BR205" i="13"/>
  <c r="BV205" i="13"/>
  <c r="B207" i="13"/>
  <c r="B206" i="13"/>
  <c r="B205" i="13"/>
  <c r="B204" i="13"/>
  <c r="B203" i="13"/>
  <c r="B202" i="13"/>
  <c r="B201" i="13"/>
  <c r="B185" i="13"/>
  <c r="B184" i="13"/>
  <c r="B183" i="13"/>
  <c r="B182" i="13"/>
  <c r="B181" i="13"/>
  <c r="B180" i="13"/>
  <c r="B179" i="13"/>
  <c r="B178" i="13"/>
  <c r="B177" i="13"/>
  <c r="B176" i="13"/>
  <c r="B175" i="13"/>
  <c r="B174" i="13"/>
  <c r="B173" i="13"/>
  <c r="B172" i="13"/>
  <c r="B154" i="13"/>
  <c r="B153" i="13"/>
  <c r="B152" i="13"/>
  <c r="B151" i="13"/>
  <c r="B150" i="13"/>
  <c r="B149" i="13"/>
  <c r="B148" i="13"/>
  <c r="B147" i="13"/>
  <c r="B146" i="13"/>
  <c r="B145" i="13"/>
  <c r="B144" i="13"/>
  <c r="B117" i="13"/>
  <c r="B116" i="13"/>
  <c r="B115" i="13"/>
  <c r="B114" i="13"/>
  <c r="B113" i="13"/>
  <c r="B112" i="13"/>
  <c r="B111" i="13"/>
  <c r="B110" i="13"/>
  <c r="B109" i="13"/>
  <c r="B108"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3" i="38" l="1"/>
  <c r="H23" i="38" s="1"/>
  <c r="I23" i="38" s="1"/>
  <c r="D23" i="38"/>
  <c r="B23" i="38"/>
  <c r="F22" i="38"/>
  <c r="H22" i="38" s="1"/>
  <c r="I22" i="38" s="1"/>
  <c r="D22" i="38"/>
  <c r="B22" i="38"/>
  <c r="F21" i="38"/>
  <c r="H21" i="38" s="1"/>
  <c r="I21" i="38" s="1"/>
  <c r="D21" i="38"/>
  <c r="B21" i="38"/>
  <c r="F20" i="38"/>
  <c r="D20" i="38"/>
  <c r="B20" i="38"/>
  <c r="D23" i="19" l="1"/>
  <c r="D24" i="19"/>
  <c r="D25" i="19"/>
  <c r="D26" i="19"/>
  <c r="D29" i="19"/>
  <c r="D28" i="19"/>
  <c r="D31" i="19"/>
  <c r="D30" i="19"/>
  <c r="H20" i="38"/>
  <c r="D22" i="19" s="1"/>
  <c r="I20" i="38" l="1"/>
  <c r="I90" i="38" s="1"/>
  <c r="D27" i="19"/>
  <c r="D32" i="19" s="1"/>
  <c r="H90" i="38"/>
  <c r="B27" i="19" l="1"/>
  <c r="D15" i="19" l="1"/>
  <c r="K108" i="13"/>
  <c r="K107" i="13"/>
  <c r="K98" i="13"/>
  <c r="D14" i="19" l="1"/>
  <c r="K5" i="13"/>
  <c r="K6" i="13"/>
  <c r="K7" i="13"/>
  <c r="K8" i="13"/>
  <c r="K9" i="13"/>
  <c r="K10" i="13"/>
  <c r="K11" i="13"/>
  <c r="K12" i="13"/>
  <c r="K13" i="13"/>
  <c r="K14" i="13"/>
  <c r="K15" i="13"/>
  <c r="K16" i="13" l="1"/>
  <c r="K17" i="13"/>
  <c r="K18" i="13"/>
  <c r="K19" i="13"/>
  <c r="K20" i="13"/>
  <c r="K21" i="13"/>
  <c r="K22" i="13"/>
  <c r="K23" i="13"/>
  <c r="K24" i="13"/>
  <c r="K25" i="13"/>
  <c r="K26"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109" i="13"/>
  <c r="K110" i="13"/>
  <c r="K111" i="13"/>
  <c r="K112" i="13"/>
  <c r="K113" i="13"/>
  <c r="K114" i="13"/>
  <c r="K115" i="13"/>
  <c r="K116" i="13"/>
  <c r="K117" i="13"/>
  <c r="K144" i="13"/>
  <c r="K145" i="13"/>
  <c r="K146" i="13"/>
  <c r="K147" i="13"/>
  <c r="K148" i="13"/>
  <c r="K149" i="13"/>
  <c r="K150" i="13"/>
  <c r="K151" i="13"/>
  <c r="K152" i="13"/>
  <c r="K153" i="13"/>
  <c r="K154" i="13"/>
  <c r="K172" i="13"/>
  <c r="K173" i="13"/>
  <c r="K174" i="13"/>
  <c r="K175" i="13"/>
  <c r="K176" i="13"/>
  <c r="K177" i="13"/>
  <c r="K178" i="13"/>
  <c r="K179" i="13"/>
  <c r="K180" i="13"/>
  <c r="K181" i="13"/>
  <c r="K182" i="13"/>
  <c r="K183" i="13"/>
  <c r="K184" i="13"/>
  <c r="K185" i="13"/>
  <c r="K201" i="13"/>
  <c r="K202" i="13"/>
  <c r="K203" i="13"/>
  <c r="K204" i="13"/>
  <c r="K205" i="13"/>
  <c r="K206" i="13"/>
  <c r="K207" i="13"/>
  <c r="G18" i="32" l="1"/>
  <c r="G24" i="32" s="1"/>
  <c r="E22" i="19"/>
  <c r="E28" i="19"/>
  <c r="E25" i="19"/>
  <c r="E24" i="19"/>
  <c r="E23" i="19"/>
  <c r="E30" i="19"/>
  <c r="E31" i="19"/>
  <c r="E29" i="19"/>
  <c r="F22" i="19"/>
  <c r="F27" i="19"/>
  <c r="H75" i="22"/>
  <c r="G75" i="22"/>
  <c r="F32" i="19" l="1"/>
  <c r="H18" i="32"/>
  <c r="H24" i="32" s="1"/>
  <c r="E26" i="19"/>
  <c r="E15" i="19"/>
  <c r="F15" i="19" s="1"/>
  <c r="E14" i="19" l="1"/>
  <c r="F14" i="19" s="1"/>
  <c r="E27" i="19" l="1"/>
  <c r="E32" i="19" s="1"/>
  <c r="D13" i="19" l="1"/>
  <c r="D7" i="19"/>
  <c r="C17" i="19" l="1"/>
  <c r="E7" i="19" l="1"/>
  <c r="F7" i="19" s="1"/>
  <c r="C22" i="19"/>
  <c r="C26" i="19"/>
  <c r="G26" i="19" s="1"/>
  <c r="C25" i="19"/>
  <c r="G25" i="19" s="1"/>
  <c r="C24" i="19"/>
  <c r="G24" i="19" s="1"/>
  <c r="C23" i="19"/>
  <c r="G23" i="19" s="1"/>
  <c r="C27" i="19"/>
  <c r="G27" i="19" s="1"/>
  <c r="E13" i="19"/>
  <c r="F13" i="19" s="1"/>
  <c r="C30" i="19"/>
  <c r="G30" i="19" s="1"/>
  <c r="C28" i="19"/>
  <c r="G28" i="19" s="1"/>
  <c r="C31" i="19"/>
  <c r="G31" i="19" s="1"/>
  <c r="C29" i="19"/>
  <c r="G29" i="19" s="1"/>
  <c r="G22" i="19" l="1"/>
  <c r="G32" i="19" s="1"/>
  <c r="C32" i="19"/>
  <c r="D17" i="19"/>
  <c r="E17" i="19"/>
  <c r="F17" i="19" l="1"/>
  <c r="E45" i="19" l="1"/>
</calcChain>
</file>

<file path=xl/sharedStrings.xml><?xml version="1.0" encoding="utf-8"?>
<sst xmlns="http://schemas.openxmlformats.org/spreadsheetml/2006/main" count="32458" uniqueCount="2612">
  <si>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</si>
  <si>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</si>
  <si>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</si>
  <si>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</si>
  <si>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</si>
  <si>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</si>
  <si>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</si>
  <si>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</si>
  <si>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</si>
  <si>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</si>
  <si>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</si>
  <si>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</si>
  <si>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</si>
  <si>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</si>
  <si>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</si>
  <si>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</si>
  <si>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</si>
  <si>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</si>
  <si>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</si>
  <si>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</si>
  <si>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</si>
  <si>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</si>
  <si>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</si>
  <si>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</si>
  <si>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</si>
  <si>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</si>
  <si>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</si>
  <si>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</si>
  <si>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</si>
  <si>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</si>
  <si>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</si>
  <si>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</si>
  <si>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</si>
  <si>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</si>
  <si>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</si>
  <si>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</si>
  <si>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</si>
  <si>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</si>
  <si>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</si>
  <si>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</si>
  <si>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</si>
  <si>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</si>
  <si>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</si>
  <si>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</si>
  <si>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</si>
  <si>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</si>
  <si>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</si>
  <si>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</si>
  <si>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</si>
  <si>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</si>
  <si>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</si>
  <si>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</si>
  <si>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</si>
  <si>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</si>
  <si>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</si>
  <si>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</si>
  <si>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</si>
  <si>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</si>
  <si>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</si>
  <si>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</si>
  <si>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</si>
  <si>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</si>
  <si>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</si>
  <si>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</si>
  <si>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</si>
  <si>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</si>
  <si>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</si>
  <si>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</si>
  <si>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</si>
  <si>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</si>
  <si>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</si>
  <si>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</si>
  <si>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</si>
  <si>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</si>
  <si>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</si>
  <si>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</si>
  <si>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</si>
  <si>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</si>
  <si>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</si>
  <si>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</si>
  <si>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</si>
  <si>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</si>
  <si>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</si>
  <si>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</si>
  <si>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</si>
  <si>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</si>
  <si>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</si>
  <si>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</si>
  <si>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</si>
  <si>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</si>
  <si>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</si>
  <si>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</si>
  <si>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</si>
  <si>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</si>
  <si>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</si>
  <si>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</si>
  <si>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</si>
  <si>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</si>
  <si>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</si>
  <si>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</si>
  <si>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</si>
  <si>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</si>
  <si>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</si>
  <si>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</si>
  <si>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</si>
  <si>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</si>
  <si>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</si>
  <si>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</si>
  <si>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</si>
  <si>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</si>
  <si>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</si>
  <si>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</si>
  <si>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</si>
  <si>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</si>
  <si>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</si>
  <si>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</si>
  <si>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</si>
  <si>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</si>
  <si>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</si>
  <si>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</si>
  <si>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</si>
  <si>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</si>
  <si>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</si>
  <si>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</si>
  <si>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</si>
  <si>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</si>
  <si>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</si>
  <si>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</si>
  <si>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</si>
  <si>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</si>
  <si>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</si>
  <si>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</si>
  <si>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</si>
  <si>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</si>
  <si>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</si>
  <si>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</si>
  <si>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</si>
  <si>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</si>
  <si>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</si>
  <si>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</si>
  <si>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</si>
  <si>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</si>
  <si>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</si>
  <si>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</si>
  <si>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</si>
  <si>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</si>
  <si>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</si>
  <si>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</si>
  <si>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</si>
  <si>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</si>
  <si>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</si>
  <si>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</si>
  <si>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</si>
  <si>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</si>
  <si>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</si>
  <si>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</si>
  <si>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</si>
  <si>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</si>
  <si>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</si>
  <si>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</si>
  <si>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</si>
  <si>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</si>
  <si>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</si>
  <si>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</si>
  <si>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</si>
  <si>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</si>
  <si>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</si>
  <si>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</si>
  <si>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</si>
  <si>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</si>
  <si>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</si>
  <si>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</si>
  <si>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</si>
  <si>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</si>
  <si>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</si>
  <si>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</si>
  <si>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</si>
  <si>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</si>
  <si>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</si>
  <si>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</si>
  <si>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</si>
  <si>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</si>
  <si>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</si>
  <si>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</si>
  <si>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</si>
  <si>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</si>
  <si>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</si>
  <si>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</si>
  <si>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</si>
  <si>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</si>
  <si>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</si>
  <si>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</si>
  <si>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</si>
  <si>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</si>
  <si>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</si>
  <si>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</si>
  <si>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</si>
  <si>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</si>
  <si>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</si>
  <si>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</si>
  <si>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</si>
  <si>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</si>
  <si>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</si>
  <si>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</si>
  <si>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</si>
  <si>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</si>
  <si>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</si>
  <si>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</si>
  <si>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</si>
  <si>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</si>
  <si>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</si>
  <si>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</si>
  <si>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</si>
  <si>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</si>
  <si>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</si>
  <si>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</si>
  <si>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</si>
  <si>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</si>
  <si>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</si>
  <si>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</si>
  <si>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</si>
  <si>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</si>
  <si>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</si>
  <si>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</si>
  <si>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</si>
  <si>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</si>
  <si>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</si>
  <si>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</si>
  <si>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</si>
  <si>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</si>
  <si>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</si>
  <si>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</si>
  <si>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</si>
  <si>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</si>
  <si>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</si>
  <si>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</si>
  <si>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</si>
  <si>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</si>
  <si>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</si>
  <si>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</si>
  <si>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</si>
  <si>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</si>
  <si>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</si>
  <si>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</si>
  <si>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</si>
  <si>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</si>
  <si>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</si>
  <si>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</si>
  <si>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</si>
  <si>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</si>
  <si>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</si>
  <si>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</si>
  <si>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</si>
  <si>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</si>
  <si>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</si>
  <si>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</si>
  <si>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</si>
  <si>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</si>
  <si>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</si>
  <si>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</si>
  <si>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</si>
  <si>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</si>
  <si>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</si>
  <si>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</si>
  <si>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Ruimte- 
nummer</t>
  </si>
  <si>
    <r>
      <t xml:space="preserve">Alle groen gearceerde velden dienen ingevuld te worden, overige cellen mogen niet gewijzigd worden    </t>
    </r>
    <r>
      <rPr>
        <b/>
        <sz val="9"/>
        <color rgb="FFFF0000"/>
        <rFont val="Verdana"/>
        <family val="2"/>
      </rPr>
      <t xml:space="preserve"> </t>
    </r>
  </si>
  <si>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</si>
  <si>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</si>
  <si>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</si>
  <si>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</si>
  <si>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</si>
  <si>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</si>
  <si>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</si>
  <si>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</si>
  <si>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</si>
  <si>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</si>
  <si>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</si>
  <si>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</si>
  <si>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</si>
  <si>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</si>
  <si>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</si>
  <si>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</si>
  <si>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</si>
  <si>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</si>
  <si>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</si>
  <si>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</si>
  <si>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</si>
  <si>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</si>
  <si>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</si>
  <si>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</si>
  <si>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</si>
  <si>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</si>
  <si>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</si>
  <si>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</si>
  <si>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</si>
  <si>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</si>
  <si>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</si>
  <si>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</si>
  <si>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</si>
  <si>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</si>
  <si>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</si>
  <si>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</si>
  <si>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</si>
  <si>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</si>
  <si>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</si>
  <si>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</si>
  <si>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</si>
  <si>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</si>
  <si>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</si>
  <si>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</si>
  <si>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</si>
  <si>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</si>
  <si>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</si>
  <si>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</si>
  <si>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</si>
  <si>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</si>
  <si>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</si>
  <si>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</si>
  <si>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</si>
  <si>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</si>
  <si>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</si>
  <si>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</si>
  <si>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</si>
  <si>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</si>
  <si>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</si>
  <si>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</si>
  <si>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</si>
  <si>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</si>
  <si>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</si>
  <si>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</si>
  <si>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</si>
  <si>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</si>
  <si>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</si>
  <si>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</si>
  <si>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</si>
  <si>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</si>
  <si>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</si>
  <si>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</si>
  <si>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</si>
  <si>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</si>
  <si>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</si>
  <si>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</si>
  <si>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</si>
  <si>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</si>
  <si>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</si>
  <si>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</si>
  <si>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</si>
  <si>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</si>
  <si>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</si>
  <si>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</si>
  <si>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</si>
  <si>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</si>
  <si>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</si>
  <si>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</si>
  <si>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</si>
  <si>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</si>
  <si>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</si>
  <si>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</si>
  <si>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</si>
  <si>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</si>
  <si>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</si>
  <si>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</si>
  <si>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</si>
  <si>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</si>
  <si>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</si>
  <si>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</si>
  <si>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</si>
  <si>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</si>
  <si>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</si>
  <si>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</si>
  <si>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</si>
  <si>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</si>
  <si>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</si>
  <si>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</si>
  <si>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</si>
  <si>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</si>
  <si>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</si>
  <si>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</si>
  <si>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</si>
  <si>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</si>
  <si>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</si>
  <si>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</si>
  <si>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</si>
  <si>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</si>
  <si>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</si>
  <si>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</si>
  <si>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</si>
  <si>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</si>
  <si>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</si>
  <si>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</si>
  <si>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</si>
  <si>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</si>
  <si>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</si>
  <si>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</si>
  <si>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</si>
  <si>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</si>
  <si>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</si>
  <si>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</si>
  <si>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</si>
  <si>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</si>
  <si>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</si>
  <si>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</si>
  <si>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</si>
  <si>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</si>
  <si>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</si>
  <si>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</si>
  <si>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</si>
  <si>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</si>
  <si>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</si>
  <si>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</si>
  <si>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</si>
  <si>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</si>
  <si>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</si>
  <si>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</si>
  <si>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</si>
  <si>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</si>
  <si>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</si>
  <si>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</si>
  <si>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</si>
  <si>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</si>
  <si>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</si>
  <si>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</si>
  <si>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</si>
  <si>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</si>
  <si>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</si>
  <si>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</si>
  <si>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</si>
  <si>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</si>
  <si>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</si>
  <si>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</si>
  <si>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</si>
  <si>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</si>
  <si>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</si>
  <si>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</si>
  <si>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</si>
  <si>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</si>
  <si>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</si>
  <si>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</si>
  <si>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</si>
  <si>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</si>
  <si>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</si>
  <si>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</si>
  <si>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</si>
  <si>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</si>
  <si>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</si>
  <si>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</si>
  <si>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</si>
  <si>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</si>
  <si>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</si>
  <si>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</si>
  <si>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</si>
  <si>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</si>
  <si>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</si>
  <si>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</si>
  <si>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</si>
  <si>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</si>
  <si>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</si>
  <si>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</si>
  <si>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</si>
  <si>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</si>
  <si>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</si>
  <si>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</si>
  <si>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</si>
  <si>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</si>
  <si>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</si>
  <si>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</si>
  <si>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</si>
  <si>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</si>
  <si>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</si>
  <si>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</si>
  <si>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</si>
  <si>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</si>
  <si>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</si>
  <si>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</si>
  <si>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</si>
  <si>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</si>
  <si>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</si>
  <si>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</si>
  <si>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</si>
  <si>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</si>
  <si>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</si>
  <si>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</si>
  <si>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</si>
  <si>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</si>
  <si>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</si>
  <si>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</si>
  <si>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</si>
  <si>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</si>
  <si>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</si>
  <si>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</si>
  <si>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</si>
  <si>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</si>
  <si>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</si>
  <si>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</si>
  <si>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</si>
  <si>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</si>
  <si>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</si>
  <si>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</si>
  <si>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</si>
  <si>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</si>
  <si>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</si>
  <si>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</si>
  <si>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</si>
  <si>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</si>
  <si>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</si>
  <si>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</si>
  <si>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</si>
  <si>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</si>
  <si>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</si>
  <si>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</si>
  <si>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</si>
  <si>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</si>
  <si>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</si>
  <si>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</si>
  <si>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</si>
  <si>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</si>
  <si>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</si>
  <si>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</si>
  <si>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</si>
  <si>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</si>
  <si>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</si>
  <si>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</si>
  <si>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</si>
  <si>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</si>
  <si>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</si>
  <si>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</si>
  <si>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</si>
  <si>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</si>
  <si>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</si>
  <si>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</si>
  <si>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</si>
  <si>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</si>
  <si>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</si>
  <si>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</si>
  <si>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</si>
  <si>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</si>
  <si>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</si>
  <si>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</si>
  <si>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</si>
  <si>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</si>
  <si>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</si>
  <si>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</si>
  <si>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</si>
  <si>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</si>
  <si>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</si>
  <si>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</si>
  <si>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</si>
  <si>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</si>
  <si>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</si>
  <si>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</si>
  <si>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</si>
  <si>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</si>
  <si>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</si>
  <si>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</si>
  <si>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</si>
  <si>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</si>
  <si>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</si>
  <si>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</si>
  <si>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</si>
  <si>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</si>
  <si>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</si>
  <si>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</si>
  <si>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</si>
  <si>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</si>
  <si>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</si>
  <si>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</si>
  <si>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</si>
  <si>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</si>
  <si>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</si>
  <si>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</si>
  <si>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</si>
  <si>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</si>
  <si>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</si>
  <si>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</si>
  <si>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</si>
  <si>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</si>
  <si>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</si>
  <si>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</si>
  <si>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</si>
  <si>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</si>
  <si>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</si>
  <si>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</si>
  <si>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</si>
  <si>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</si>
  <si>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</si>
  <si>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</si>
  <si>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</si>
  <si>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</si>
  <si>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</si>
  <si>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</si>
  <si>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</si>
  <si>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</si>
  <si>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</si>
  <si>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</si>
  <si>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</si>
  <si>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</si>
  <si>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</si>
  <si>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</si>
  <si>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</si>
  <si>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</si>
  <si>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</si>
  <si>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</si>
  <si>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</si>
  <si>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</si>
  <si>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</si>
  <si>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</si>
  <si>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</si>
  <si>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</si>
  <si>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</si>
  <si>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</si>
  <si>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</si>
  <si>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</si>
  <si>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</si>
  <si>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</si>
  <si>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</si>
  <si>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</si>
  <si>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</si>
  <si>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</si>
  <si>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</si>
  <si>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</si>
  <si>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</si>
  <si>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</si>
  <si>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</si>
  <si>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</si>
  <si>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</si>
  <si>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</si>
  <si>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</si>
  <si>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</si>
  <si>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</si>
  <si>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</si>
  <si>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</si>
  <si>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</si>
  <si>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</si>
  <si>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</si>
  <si>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</si>
  <si>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</si>
  <si>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</si>
  <si>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</si>
  <si>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</si>
  <si>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</si>
  <si>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</si>
  <si>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</si>
  <si>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</si>
  <si>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</si>
  <si>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</si>
  <si>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</si>
  <si>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</si>
  <si>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</si>
  <si>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</si>
  <si>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</si>
  <si>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</si>
  <si>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</si>
  <si>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</si>
  <si>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</si>
  <si>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</si>
  <si>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</si>
  <si>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</si>
  <si>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</si>
  <si>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</si>
  <si>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</si>
  <si>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</si>
  <si>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</si>
  <si>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</si>
  <si>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</si>
  <si>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</si>
  <si>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</si>
  <si>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</si>
  <si>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</si>
  <si>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</si>
  <si>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</si>
  <si>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</si>
  <si>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</si>
  <si>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</si>
  <si>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</si>
  <si>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</si>
  <si>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</si>
  <si>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</si>
  <si>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</si>
  <si>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</si>
  <si>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</si>
  <si>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</si>
  <si>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</si>
  <si>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</si>
  <si>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</si>
  <si>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</si>
  <si>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</si>
  <si>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</si>
  <si>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</si>
  <si>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</si>
  <si>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</si>
  <si>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</si>
  <si>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</si>
  <si>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</si>
  <si>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</si>
  <si>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</si>
  <si>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</si>
  <si>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</si>
  <si>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</si>
  <si>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</si>
  <si>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</si>
  <si>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</si>
  <si>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</si>
  <si>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</si>
  <si>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</si>
  <si>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</si>
  <si>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</si>
  <si>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</si>
  <si>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</si>
  <si>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</si>
  <si>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</si>
  <si>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</si>
  <si>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</si>
  <si>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</si>
  <si>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</si>
  <si>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</si>
  <si>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</si>
  <si>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</si>
  <si>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</si>
  <si>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</si>
  <si>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</si>
  <si>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</si>
  <si>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</si>
  <si>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</si>
  <si>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</si>
  <si>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</si>
  <si>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</si>
  <si>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</si>
  <si>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</si>
  <si>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</si>
  <si>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</si>
  <si>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</si>
  <si>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</si>
  <si>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</si>
  <si>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</si>
  <si>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</si>
  <si>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</si>
  <si>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</si>
  <si>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</si>
  <si>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</si>
  <si>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</si>
  <si>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</si>
  <si>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</si>
  <si>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</si>
  <si>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</si>
  <si>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</si>
  <si>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</si>
  <si>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</si>
  <si>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</si>
  <si>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</si>
  <si>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</si>
  <si>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</si>
  <si>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</si>
  <si>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</si>
  <si>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</si>
  <si>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</si>
  <si>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</si>
  <si>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</si>
  <si>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</si>
  <si>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</si>
  <si>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</si>
  <si>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</si>
  <si>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</si>
  <si>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</si>
  <si>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</si>
  <si>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</si>
  <si>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</si>
  <si>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</si>
  <si>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</si>
  <si>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</si>
  <si>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</si>
  <si>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</si>
  <si>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</si>
  <si>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</si>
  <si>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</si>
  <si>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</si>
  <si>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</si>
  <si>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</si>
  <si>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</si>
  <si>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</si>
  <si>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</si>
  <si>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</si>
  <si>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</si>
  <si>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</si>
  <si>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</si>
  <si>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</si>
  <si>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</si>
  <si>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</si>
  <si>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</si>
  <si>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</si>
  <si>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</si>
  <si>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</si>
  <si>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</si>
  <si>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</si>
  <si>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</si>
  <si>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</si>
  <si>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</si>
  <si>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</si>
  <si>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</si>
  <si>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</si>
  <si>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</si>
  <si>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</si>
  <si>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</si>
  <si>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</si>
  <si>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</si>
  <si>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</si>
  <si>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</si>
  <si>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</si>
  <si>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</si>
  <si>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</si>
  <si>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</si>
  <si>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</si>
  <si>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</si>
  <si>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</si>
  <si>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</si>
  <si>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</si>
  <si>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</si>
  <si>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</si>
  <si>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</si>
  <si>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</si>
  <si>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</si>
  <si>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</si>
  <si>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</si>
  <si>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</si>
  <si>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</si>
  <si>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</si>
  <si>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</si>
  <si>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</si>
  <si>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</si>
  <si>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</si>
  <si>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</si>
  <si>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</si>
  <si>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</si>
  <si>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</si>
  <si>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</si>
  <si>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</si>
  <si>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</si>
  <si>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</si>
  <si>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</si>
  <si>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</si>
  <si>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</si>
  <si>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</si>
  <si>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</si>
  <si>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</si>
  <si>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</si>
  <si>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</si>
  <si>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</si>
  <si>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</si>
  <si>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</si>
  <si>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</si>
  <si>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</si>
  <si>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</si>
  <si>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</si>
  <si>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</si>
  <si>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</si>
  <si>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</si>
  <si>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</si>
  <si>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</si>
  <si>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</si>
  <si>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</si>
  <si>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</si>
  <si>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</si>
  <si>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</si>
  <si>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</si>
  <si>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</si>
  <si>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</si>
  <si>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</si>
  <si>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</si>
  <si>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</si>
  <si>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</si>
  <si>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</si>
  <si>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</si>
  <si>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</si>
  <si>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</si>
  <si>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</si>
  <si>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</si>
  <si>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</si>
  <si>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</si>
  <si>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</si>
  <si>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</si>
  <si>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</si>
  <si>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</si>
  <si>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</si>
  <si>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</si>
  <si>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</si>
  <si>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</si>
  <si>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</si>
  <si>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</si>
  <si>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</si>
  <si>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</si>
  <si>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</si>
  <si>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</si>
  <si>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</si>
  <si>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</si>
  <si>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</si>
  <si>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</si>
  <si>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</si>
  <si>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</si>
  <si>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</si>
  <si>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</si>
  <si>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</si>
  <si>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</si>
  <si>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</si>
  <si>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</si>
  <si>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</si>
  <si>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</si>
  <si>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</si>
  <si>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</si>
  <si>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</si>
  <si>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</si>
  <si>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</si>
  <si>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</si>
  <si>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</si>
  <si>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</si>
  <si>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</si>
  <si>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</si>
  <si>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</si>
  <si>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</si>
  <si>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</si>
  <si>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</si>
  <si>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</si>
  <si>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</si>
  <si>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</si>
  <si>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</si>
  <si>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</si>
  <si>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</si>
  <si>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</si>
  <si>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</si>
  <si>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</si>
  <si>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</si>
  <si>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</si>
  <si>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</si>
  <si>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</si>
  <si>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</si>
  <si>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</si>
  <si>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</si>
  <si>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</si>
  <si>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</si>
  <si>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</si>
  <si>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</si>
  <si>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</si>
  <si>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</si>
  <si>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</si>
  <si>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</si>
  <si>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</si>
  <si>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</si>
  <si>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</si>
  <si>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</si>
  <si>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</si>
  <si>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</si>
  <si>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</si>
  <si>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</si>
  <si>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</si>
  <si>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</si>
  <si>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</si>
  <si>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</si>
  <si>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</si>
  <si>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</si>
  <si>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</si>
  <si>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</si>
  <si>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</si>
  <si>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</si>
  <si>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</si>
  <si>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</si>
  <si>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</si>
  <si>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</si>
  <si>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</si>
  <si>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</si>
  <si>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</si>
  <si>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</si>
  <si>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</si>
  <si>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</si>
  <si>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</si>
  <si>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</si>
  <si>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</si>
  <si>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</si>
  <si>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</si>
  <si>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</si>
  <si>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</si>
  <si>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</si>
  <si>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</si>
  <si>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</si>
  <si>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</si>
  <si>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</si>
  <si>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</si>
  <si>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</si>
  <si>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</si>
  <si>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</si>
  <si>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</si>
  <si>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</si>
  <si>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</si>
  <si>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</si>
  <si>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</si>
  <si>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</si>
  <si>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</si>
  <si>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</si>
  <si>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</si>
  <si>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</si>
  <si>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</si>
  <si>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</si>
  <si>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</si>
  <si>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</si>
  <si>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</si>
  <si>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</si>
  <si>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</si>
  <si>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</si>
  <si>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</si>
  <si>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</si>
  <si>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</si>
  <si>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</si>
  <si>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</si>
  <si>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</si>
  <si>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</si>
  <si>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</si>
  <si>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</si>
  <si>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</si>
  <si>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</si>
  <si>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</si>
  <si>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</si>
  <si>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</si>
  <si>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</si>
  <si>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</si>
  <si>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</si>
  <si>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</si>
  <si>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</si>
  <si>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</si>
  <si>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</si>
  <si>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</si>
  <si>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</si>
  <si>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</si>
  <si>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</si>
  <si>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</si>
  <si>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</si>
  <si>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</si>
  <si>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</si>
  <si>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</si>
  <si>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</si>
  <si>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</si>
  <si>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</si>
  <si>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</si>
  <si>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</si>
  <si>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</si>
  <si>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</si>
  <si>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</si>
  <si>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</si>
  <si>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</si>
  <si>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</si>
  <si>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</si>
  <si>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</si>
  <si>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</si>
  <si>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</si>
  <si>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</si>
  <si>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</si>
  <si>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</si>
  <si>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</si>
  <si>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</si>
  <si>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</si>
  <si>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</si>
  <si>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</si>
  <si>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</si>
  <si>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</si>
  <si>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</si>
  <si>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</si>
  <si>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</si>
  <si>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</si>
  <si>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</si>
  <si>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</si>
  <si>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</si>
  <si>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</si>
  <si>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</si>
  <si>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</si>
  <si>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</si>
  <si>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</si>
  <si>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</si>
  <si>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</si>
  <si>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</si>
  <si>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</si>
  <si>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</si>
  <si>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</si>
  <si>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</si>
  <si>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</si>
  <si>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</si>
  <si>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</si>
  <si>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</si>
  <si>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</si>
  <si>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</si>
  <si>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</si>
  <si>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</si>
  <si>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</si>
  <si>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</si>
  <si>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</si>
  <si>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</si>
  <si>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</si>
  <si>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</si>
  <si>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</si>
  <si>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</si>
  <si>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</si>
  <si>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</si>
  <si>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</si>
  <si>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</si>
  <si>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</si>
  <si>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</si>
  <si>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</si>
  <si>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</si>
  <si>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</si>
  <si>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</si>
  <si>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</si>
  <si>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</si>
  <si>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</si>
  <si>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</si>
  <si>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</si>
  <si>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</si>
  <si>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</si>
  <si>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</si>
  <si>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</si>
  <si>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</si>
  <si>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</si>
  <si>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</si>
  <si>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</si>
  <si>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</si>
  <si>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</si>
  <si>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</si>
  <si>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</si>
  <si>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</si>
  <si>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</si>
  <si>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</si>
  <si>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</si>
  <si>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</si>
  <si>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</si>
  <si>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</si>
  <si>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</si>
  <si>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</si>
  <si>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</si>
  <si>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</si>
  <si>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</si>
  <si>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</si>
  <si>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</si>
  <si>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</si>
  <si>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</si>
  <si>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</si>
  <si>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</si>
  <si>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</si>
  <si>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</si>
  <si>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</si>
  <si>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</si>
  <si>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</si>
  <si>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</si>
  <si>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</si>
  <si>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</si>
  <si>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</si>
  <si>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</si>
  <si>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</si>
  <si>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</si>
  <si>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</si>
  <si>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</si>
  <si>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</si>
  <si>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</si>
  <si>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</si>
  <si>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</si>
  <si>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</si>
  <si>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</si>
  <si>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</si>
  <si>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</si>
  <si>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</si>
  <si>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</si>
  <si>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</si>
  <si>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</si>
  <si>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</si>
  <si>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</si>
  <si>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</si>
  <si>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</si>
  <si>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</si>
  <si>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</si>
  <si>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</si>
  <si>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</si>
  <si>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</si>
  <si>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</si>
  <si>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</si>
  <si>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</si>
  <si>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</si>
  <si>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</si>
  <si>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</si>
  <si>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</si>
  <si>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</si>
  <si>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</si>
  <si>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</si>
  <si>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</si>
  <si>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</si>
  <si>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</si>
  <si>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</si>
  <si>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</si>
  <si>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</si>
  <si>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</si>
  <si>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</si>
  <si>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</si>
  <si>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</si>
  <si>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</si>
  <si>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</si>
  <si>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</si>
  <si>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</si>
  <si>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</si>
  <si>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</si>
  <si>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</si>
  <si>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</si>
  <si>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</si>
  <si>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</si>
  <si>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</si>
  <si>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</si>
  <si>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</si>
  <si>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</si>
  <si>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</si>
  <si>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</si>
  <si>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</si>
  <si>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</si>
  <si>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</si>
  <si>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</si>
  <si>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</si>
  <si>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</si>
  <si>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</si>
  <si>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</si>
  <si>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</si>
  <si>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</si>
  <si>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</si>
  <si>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</si>
  <si>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</si>
  <si>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</si>
  <si>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</si>
  <si>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</si>
  <si>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</si>
  <si>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</si>
  <si>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</si>
  <si>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</si>
  <si>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</si>
  <si>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</si>
  <si>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</si>
  <si>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</si>
  <si>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</si>
  <si>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</si>
  <si>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</si>
  <si>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</si>
  <si>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</si>
  <si>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</si>
  <si>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</si>
  <si>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</si>
  <si>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</si>
  <si>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</si>
  <si>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</si>
  <si>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</si>
  <si>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</si>
  <si>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</si>
  <si>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</si>
  <si>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</si>
  <si>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</si>
  <si>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</si>
  <si>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</si>
  <si>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</si>
  <si>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</si>
  <si>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</si>
  <si>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</si>
  <si>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</si>
  <si>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</si>
  <si>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</si>
  <si>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</si>
  <si>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</si>
  <si>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</si>
  <si>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</si>
  <si>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</si>
  <si>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</si>
  <si>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</si>
  <si>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</si>
  <si>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</si>
  <si>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</si>
  <si>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</si>
  <si>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</si>
  <si>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</si>
  <si>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</si>
  <si>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</si>
  <si>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</si>
  <si>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</si>
  <si>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</si>
  <si>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</si>
  <si>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</si>
  <si>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</si>
  <si>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</si>
  <si>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</si>
  <si>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</si>
  <si>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</si>
  <si>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Beplating wassen</t>
  </si>
  <si>
    <t>Toestelberging</t>
  </si>
  <si>
    <t>Gymzaal</t>
  </si>
  <si>
    <t>Niet in Onderhoud</t>
  </si>
  <si>
    <t>Le</t>
  </si>
  <si>
    <t>Ve</t>
  </si>
  <si>
    <t>Bu</t>
  </si>
  <si>
    <t>Sa</t>
  </si>
  <si>
    <t>kleedruimten</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</si>
  <si>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</si>
  <si>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</si>
  <si>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</si>
  <si>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</si>
  <si>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</si>
  <si>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</si>
  <si>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</si>
  <si>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</si>
  <si>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</si>
  <si>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</si>
  <si>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</si>
  <si>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</si>
  <si>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</si>
  <si>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</si>
  <si>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</si>
  <si>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</si>
  <si>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</si>
  <si>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</si>
  <si>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</si>
  <si>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</si>
  <si>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</si>
  <si>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</si>
  <si>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</si>
  <si>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</si>
  <si>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</si>
  <si>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</si>
  <si>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</si>
  <si>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</si>
  <si>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</si>
  <si>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</si>
  <si>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</si>
  <si>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</si>
  <si>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</si>
  <si>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</si>
  <si>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</si>
  <si>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</si>
  <si>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</si>
  <si>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</si>
  <si>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</si>
  <si>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</si>
  <si>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</si>
  <si>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</si>
  <si>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</si>
  <si>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</si>
  <si>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</si>
  <si>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</si>
  <si>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</si>
  <si>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</si>
  <si>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</si>
  <si>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</si>
  <si>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</si>
  <si>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</si>
  <si>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</si>
  <si>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</si>
  <si>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</si>
  <si>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</si>
  <si>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</si>
  <si>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</si>
  <si>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</si>
  <si>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</si>
  <si>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</si>
  <si>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</si>
  <si>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</si>
  <si>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</si>
  <si>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</si>
  <si>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</si>
  <si>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</si>
  <si>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</si>
  <si>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</si>
  <si>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</si>
  <si>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</si>
  <si>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</si>
  <si>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</si>
  <si>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</si>
  <si>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</si>
  <si>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</si>
  <si>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</si>
  <si>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</si>
  <si>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</si>
  <si>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</si>
  <si>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</si>
  <si>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</si>
  <si>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</si>
  <si>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</si>
  <si>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</si>
  <si>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</si>
  <si>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</si>
  <si>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</si>
  <si>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</si>
  <si>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</si>
  <si>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</si>
  <si>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</si>
  <si>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</si>
  <si>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</si>
  <si>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</si>
  <si>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</si>
  <si>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</si>
  <si>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</si>
  <si>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</si>
  <si>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</si>
  <si>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</si>
  <si>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</si>
  <si>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</si>
  <si>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</si>
  <si>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</si>
  <si>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</si>
  <si>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</si>
  <si>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</si>
  <si>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</si>
  <si>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</si>
  <si>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</si>
  <si>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</si>
  <si>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</si>
  <si>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</si>
  <si>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</si>
  <si>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</si>
  <si>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</si>
  <si>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</si>
  <si>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</si>
  <si>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</si>
  <si>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</si>
  <si>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</si>
  <si>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</si>
  <si>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</si>
  <si>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</si>
  <si>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</si>
  <si>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</si>
  <si>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</si>
  <si>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</si>
  <si>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</si>
  <si>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</si>
  <si>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</si>
  <si>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</si>
  <si>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</si>
  <si>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</si>
  <si>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</si>
  <si>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</si>
  <si>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</si>
  <si>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</si>
  <si>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</si>
  <si>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</si>
  <si>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</si>
  <si>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</si>
  <si>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</si>
  <si>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</si>
  <si>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</si>
  <si>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</si>
  <si>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</si>
  <si>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</si>
  <si>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</si>
  <si>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</si>
  <si>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</si>
  <si>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</si>
  <si>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</si>
  <si>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</si>
  <si>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</si>
  <si>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</si>
  <si>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</si>
  <si>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</si>
  <si>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</si>
  <si>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</si>
  <si>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</si>
  <si>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</si>
  <si>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</si>
  <si>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</si>
  <si>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</si>
  <si>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</si>
  <si>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</si>
  <si>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</si>
  <si>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</si>
  <si>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</si>
  <si>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</si>
  <si>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</si>
  <si>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</si>
  <si>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</si>
  <si>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</si>
  <si>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</si>
  <si>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</si>
  <si>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</si>
  <si>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</si>
  <si>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</si>
  <si>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</si>
  <si>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</si>
  <si>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</si>
  <si>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</si>
  <si>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</si>
  <si>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</si>
  <si>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</si>
  <si>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</si>
  <si>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</si>
  <si>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</si>
  <si>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</si>
  <si>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</si>
  <si>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</si>
  <si>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</si>
  <si>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</si>
  <si>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</si>
  <si>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</si>
  <si>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</si>
  <si>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</si>
  <si>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</si>
  <si>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</si>
  <si>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</si>
  <si>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</si>
  <si>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</si>
  <si>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</si>
  <si>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</si>
  <si>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</si>
  <si>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</si>
  <si>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</si>
  <si>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</si>
  <si>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</si>
  <si>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</si>
  <si>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</si>
  <si>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</si>
  <si>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</si>
  <si>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</si>
  <si>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</si>
  <si>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</si>
  <si>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</si>
  <si>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</si>
  <si>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</si>
  <si>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</si>
  <si>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</si>
  <si>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</si>
  <si>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</si>
  <si>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</si>
  <si>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</si>
  <si>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</si>
  <si>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</si>
  <si>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</si>
  <si>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</si>
  <si>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</si>
  <si>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</si>
  <si>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</si>
  <si>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</si>
  <si>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</si>
  <si>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</si>
  <si>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</si>
  <si>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</si>
  <si>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</si>
  <si>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</si>
  <si>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</si>
  <si>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</si>
  <si>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</si>
  <si>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</si>
  <si>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</si>
  <si>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</si>
  <si>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</si>
  <si>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</si>
  <si>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</si>
  <si>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</si>
  <si>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</si>
  <si>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</si>
  <si>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</si>
  <si>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</si>
  <si>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</si>
  <si>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</si>
  <si>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</si>
  <si>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</si>
  <si>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</si>
  <si>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</si>
  <si>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</si>
  <si>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</si>
  <si>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</si>
  <si>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</si>
  <si>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</si>
  <si>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</si>
  <si>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</si>
  <si>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</si>
  <si>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</si>
  <si>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</si>
  <si>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</si>
  <si>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</si>
  <si>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</si>
  <si>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</si>
  <si>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</si>
  <si>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</si>
  <si>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</si>
  <si>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</si>
  <si>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</si>
  <si>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</si>
  <si>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</si>
  <si>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</si>
  <si>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</si>
  <si>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</si>
  <si>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</si>
  <si>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</si>
  <si>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</si>
  <si>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</si>
  <si>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</si>
  <si>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</si>
  <si>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</si>
  <si>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</si>
  <si>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</si>
  <si>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</si>
  <si>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</si>
  <si>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</si>
  <si>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</si>
  <si>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</si>
  <si>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</si>
  <si>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</si>
  <si>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</si>
  <si>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</si>
  <si>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CBS DPI</t>
  </si>
  <si>
    <t>Prijs per dag</t>
  </si>
  <si>
    <t>Olieen houten vloer</t>
  </si>
  <si>
    <t>Veurs Lyceum</t>
  </si>
  <si>
    <t>Gymnasium Novum</t>
  </si>
  <si>
    <t>Voorburg</t>
  </si>
  <si>
    <t>Klaas Voskuildreef 135</t>
  </si>
  <si>
    <t>2492 JJ</t>
  </si>
  <si>
    <t>Den Haag</t>
  </si>
  <si>
    <t xml:space="preserve">Aart v.d. Leeuwkade 14 </t>
  </si>
  <si>
    <t>2274 KX</t>
  </si>
  <si>
    <t>Granaathorst 20</t>
  </si>
  <si>
    <t>2592 TD</t>
  </si>
  <si>
    <t>Burg. Kolfschotenlaan 5</t>
  </si>
  <si>
    <t xml:space="preserve">2262 EZ </t>
  </si>
  <si>
    <t>Leidschendam</t>
  </si>
  <si>
    <t>Aart v.d. Leeuwkade 1</t>
  </si>
  <si>
    <t>Loolaan 125</t>
  </si>
  <si>
    <t xml:space="preserve">2271 TM </t>
  </si>
  <si>
    <t>Marcellus Emantslaan 2a</t>
  </si>
  <si>
    <t>2247 XL</t>
  </si>
  <si>
    <t>Delflandlaan 4</t>
  </si>
  <si>
    <t>2273 CS</t>
  </si>
  <si>
    <t>Henri Faasdreef 200</t>
  </si>
  <si>
    <t>2492 JP</t>
  </si>
  <si>
    <t>1e</t>
  </si>
  <si>
    <t>Gang</t>
  </si>
  <si>
    <t>Vergaderzaal</t>
  </si>
  <si>
    <t>Toilet</t>
  </si>
  <si>
    <t>Spreekkamer</t>
  </si>
  <si>
    <t>Kopieerruimte</t>
  </si>
  <si>
    <t>Kantine</t>
  </si>
  <si>
    <t>Kantoor</t>
  </si>
  <si>
    <t>BG</t>
  </si>
  <si>
    <t>Entrée</t>
  </si>
  <si>
    <t>Centrale hal</t>
  </si>
  <si>
    <t>Concierge</t>
  </si>
  <si>
    <t>Aula</t>
  </si>
  <si>
    <t>Lift</t>
  </si>
  <si>
    <t>MIVA</t>
  </si>
  <si>
    <t>Toilet H</t>
  </si>
  <si>
    <t>Toilet D</t>
  </si>
  <si>
    <t>Muziek/ toneel</t>
  </si>
  <si>
    <t>Keuken</t>
  </si>
  <si>
    <t>Locker gedeelte</t>
  </si>
  <si>
    <t>Berging</t>
  </si>
  <si>
    <t>Directie (002)</t>
  </si>
  <si>
    <t>Studie ruimte (001)</t>
  </si>
  <si>
    <t>Docentenkamer (003)</t>
  </si>
  <si>
    <t>Garderobe</t>
  </si>
  <si>
    <t>Beeldende Vorming (004)</t>
  </si>
  <si>
    <t>Zorg en welzijn (005)</t>
  </si>
  <si>
    <t>Containerruimte</t>
  </si>
  <si>
    <t>Repro</t>
  </si>
  <si>
    <t>Administratie</t>
  </si>
  <si>
    <t>1.01</t>
  </si>
  <si>
    <t>Hoofdtrap</t>
  </si>
  <si>
    <t>1.02</t>
  </si>
  <si>
    <t>Trap</t>
  </si>
  <si>
    <t>1.03</t>
  </si>
  <si>
    <t>1.04</t>
  </si>
  <si>
    <t>Studieplein</t>
  </si>
  <si>
    <t>1.05</t>
  </si>
  <si>
    <t>Vergaderzaal (111)</t>
  </si>
  <si>
    <t>1.06</t>
  </si>
  <si>
    <t>1.07</t>
  </si>
  <si>
    <t>1.08</t>
  </si>
  <si>
    <t>1.09</t>
  </si>
  <si>
    <t>1.10</t>
  </si>
  <si>
    <t>1.11</t>
  </si>
  <si>
    <t>Leslokaal(102)</t>
  </si>
  <si>
    <t>1.12</t>
  </si>
  <si>
    <t>Leslokaal (103)</t>
  </si>
  <si>
    <t>1.13</t>
  </si>
  <si>
    <t>Leslokaal (104)</t>
  </si>
  <si>
    <t>1.14</t>
  </si>
  <si>
    <t>Leslokaal (105)</t>
  </si>
  <si>
    <t>1.15</t>
  </si>
  <si>
    <t>Leslokaal(106) Nat/Sch</t>
  </si>
  <si>
    <t>1.16</t>
  </si>
  <si>
    <t>Kabinet(106a)</t>
  </si>
  <si>
    <t>1.17</t>
  </si>
  <si>
    <t>1.18</t>
  </si>
  <si>
    <t>Leslokaal- Biologie</t>
  </si>
  <si>
    <t>1.19</t>
  </si>
  <si>
    <t>Leslokaal-Mens/ Natuur</t>
  </si>
  <si>
    <t>1.20</t>
  </si>
  <si>
    <t>Leslokaal (116)</t>
  </si>
  <si>
    <t>1.21</t>
  </si>
  <si>
    <t>Kantoor teamleider(115)</t>
  </si>
  <si>
    <t>1.22</t>
  </si>
  <si>
    <t>kantoor teamleider(114)</t>
  </si>
  <si>
    <t>1.23</t>
  </si>
  <si>
    <t>Docentenkamer (113)</t>
  </si>
  <si>
    <t>1.24</t>
  </si>
  <si>
    <t>Spreekkamer(112)</t>
  </si>
  <si>
    <t>1.25</t>
  </si>
  <si>
    <t>Leslokaal(110)</t>
  </si>
  <si>
    <t>1.26</t>
  </si>
  <si>
    <t>Leslokaal(109)</t>
  </si>
  <si>
    <t>1.27</t>
  </si>
  <si>
    <t>Hal/gang</t>
  </si>
  <si>
    <t>1.28</t>
  </si>
  <si>
    <t>Leslokaal</t>
  </si>
  <si>
    <t>1.29</t>
  </si>
  <si>
    <t>1.30</t>
  </si>
  <si>
    <t>1.31</t>
  </si>
  <si>
    <t>2e</t>
  </si>
  <si>
    <t>2.01</t>
  </si>
  <si>
    <t>2.02</t>
  </si>
  <si>
    <t>2.03</t>
  </si>
  <si>
    <t>2.04</t>
  </si>
  <si>
    <t>2.05</t>
  </si>
  <si>
    <t>Stilteruimte</t>
  </si>
  <si>
    <t>2.06</t>
  </si>
  <si>
    <t>2.07</t>
  </si>
  <si>
    <t>2.08</t>
  </si>
  <si>
    <t>2.10</t>
  </si>
  <si>
    <t>2.11</t>
  </si>
  <si>
    <t>2.12</t>
  </si>
  <si>
    <t>Leslokaal ( 202)</t>
  </si>
  <si>
    <t>2.13</t>
  </si>
  <si>
    <t>Leslokaal ( 203)</t>
  </si>
  <si>
    <t>2.14</t>
  </si>
  <si>
    <t>Leslokaal ( 204)</t>
  </si>
  <si>
    <t>2.15</t>
  </si>
  <si>
    <t>Leslokaal ( 205)</t>
  </si>
  <si>
    <t>2.16</t>
  </si>
  <si>
    <t>Leslokaal ( 206)</t>
  </si>
  <si>
    <t>2.17</t>
  </si>
  <si>
    <t>Leslokaal ( 207)</t>
  </si>
  <si>
    <t>2.18</t>
  </si>
  <si>
    <t>Leslokaal handel/ adm.</t>
  </si>
  <si>
    <t>2.19</t>
  </si>
  <si>
    <t>Leslokaal ( 214)</t>
  </si>
  <si>
    <t>2.20</t>
  </si>
  <si>
    <t>Decaan (213)</t>
  </si>
  <si>
    <t>2.21</t>
  </si>
  <si>
    <t>Teamleider(212)</t>
  </si>
  <si>
    <t>2.22</t>
  </si>
  <si>
    <t>Zorgcoordinator(211)</t>
  </si>
  <si>
    <t>2.23</t>
  </si>
  <si>
    <t>Roostermaker (210)</t>
  </si>
  <si>
    <t>2.24</t>
  </si>
  <si>
    <t>Leslokaal(209)</t>
  </si>
  <si>
    <t>2.25</t>
  </si>
  <si>
    <t>Systeembeheer</t>
  </si>
  <si>
    <t>2.26</t>
  </si>
  <si>
    <t>Technische ruimte</t>
  </si>
  <si>
    <t>Dependance</t>
  </si>
  <si>
    <t>bg</t>
  </si>
  <si>
    <t>DX.0.31</t>
  </si>
  <si>
    <t>DX.0.30</t>
  </si>
  <si>
    <t>Ontvangst</t>
  </si>
  <si>
    <t>DX.0.29</t>
  </si>
  <si>
    <t>Receptie</t>
  </si>
  <si>
    <t>D.0.07</t>
  </si>
  <si>
    <t>trappenhuis</t>
  </si>
  <si>
    <t>D.0.05</t>
  </si>
  <si>
    <t>D.2.05</t>
  </si>
  <si>
    <t>D.2.07</t>
  </si>
  <si>
    <t>D.2.04</t>
  </si>
  <si>
    <t>Verkeersruimte</t>
  </si>
  <si>
    <t>D.2.13</t>
  </si>
  <si>
    <t>Werkkast</t>
  </si>
  <si>
    <t>D.2.06</t>
  </si>
  <si>
    <t>Toilet Heren</t>
  </si>
  <si>
    <t>Toilet Dames</t>
  </si>
  <si>
    <t>D.2.15</t>
  </si>
  <si>
    <t>Spreekkamer (incl. pantry)</t>
  </si>
  <si>
    <t>D.2.03</t>
  </si>
  <si>
    <t>Techniek</t>
  </si>
  <si>
    <t>D.2.01</t>
  </si>
  <si>
    <t>D.2.02</t>
  </si>
  <si>
    <t>D.2.16</t>
  </si>
  <si>
    <t>Leerplein</t>
  </si>
  <si>
    <t>D.2.08</t>
  </si>
  <si>
    <t>Lokaal</t>
  </si>
  <si>
    <t>D.2.09</t>
  </si>
  <si>
    <t>D.2.10</t>
  </si>
  <si>
    <t>D.2.14</t>
  </si>
  <si>
    <t>Coördinatoren</t>
  </si>
  <si>
    <t>D.2.11</t>
  </si>
  <si>
    <t>Vaklokaal</t>
  </si>
  <si>
    <t>D.2.12</t>
  </si>
  <si>
    <t>3e</t>
  </si>
  <si>
    <t>D.3.07</t>
  </si>
  <si>
    <t>D.3.04</t>
  </si>
  <si>
    <t>D.3.13</t>
  </si>
  <si>
    <t>D.3.06</t>
  </si>
  <si>
    <t>D.3.05</t>
  </si>
  <si>
    <t>D.3.15</t>
  </si>
  <si>
    <t>Uitgifte keuken</t>
  </si>
  <si>
    <t>D.3.03</t>
  </si>
  <si>
    <t>D.3.01</t>
  </si>
  <si>
    <t>D.3.16</t>
  </si>
  <si>
    <t>Pauzeruimte</t>
  </si>
  <si>
    <t>D.3.08</t>
  </si>
  <si>
    <t>D.3.09</t>
  </si>
  <si>
    <t>D.3.10</t>
  </si>
  <si>
    <t>D.3.11</t>
  </si>
  <si>
    <t>D.3.12</t>
  </si>
  <si>
    <t>Op de Hoek</t>
  </si>
  <si>
    <t>D.0.11</t>
  </si>
  <si>
    <t>D.0.12</t>
  </si>
  <si>
    <t>D.0.07+D.05</t>
  </si>
  <si>
    <t>Trappenhuis</t>
  </si>
  <si>
    <t>D.0.14</t>
  </si>
  <si>
    <t>Hal</t>
  </si>
  <si>
    <t>D.0.16</t>
  </si>
  <si>
    <t>Winkelruimte</t>
  </si>
  <si>
    <t>D.0.17</t>
  </si>
  <si>
    <t>Simulatienis</t>
  </si>
  <si>
    <t>D.0.18</t>
  </si>
  <si>
    <t>D.01</t>
  </si>
  <si>
    <t>D.0.21</t>
  </si>
  <si>
    <t>D.0.15</t>
  </si>
  <si>
    <t>Vrije praktijkzone</t>
  </si>
  <si>
    <t>D.0.10</t>
  </si>
  <si>
    <t>Dramalokaal</t>
  </si>
  <si>
    <t>D.0.22</t>
  </si>
  <si>
    <t xml:space="preserve">Kleedruimte </t>
  </si>
  <si>
    <t>D.0.23</t>
  </si>
  <si>
    <t>D.0.09</t>
  </si>
  <si>
    <t>Theorielokaal</t>
  </si>
  <si>
    <t>D.0.08</t>
  </si>
  <si>
    <t>D.0.08a</t>
  </si>
  <si>
    <t>Entree externe bezoekers</t>
  </si>
  <si>
    <t>D.0.06</t>
  </si>
  <si>
    <t>Toilet heren</t>
  </si>
  <si>
    <t>D.0.19</t>
  </si>
  <si>
    <t>D.0.20</t>
  </si>
  <si>
    <t>Opslag</t>
  </si>
  <si>
    <t>D.0.04</t>
  </si>
  <si>
    <t>D.0.03</t>
  </si>
  <si>
    <t>D.0.02</t>
  </si>
  <si>
    <t>D3</t>
  </si>
  <si>
    <t>D.0.01</t>
  </si>
  <si>
    <t>Hydrofor</t>
  </si>
  <si>
    <t>E-kast</t>
  </si>
  <si>
    <t>Gasmeter</t>
  </si>
  <si>
    <t>D.02</t>
  </si>
  <si>
    <t>D.1.01+D.02</t>
  </si>
  <si>
    <t>D.1.09</t>
  </si>
  <si>
    <t>Vergaderen</t>
  </si>
  <si>
    <t>D.1.10</t>
  </si>
  <si>
    <t>Werkplekken</t>
  </si>
  <si>
    <t>D.1.13</t>
  </si>
  <si>
    <t>D.1.15</t>
  </si>
  <si>
    <t>D.1.16</t>
  </si>
  <si>
    <t>D.1.22</t>
  </si>
  <si>
    <t>D.1.12</t>
  </si>
  <si>
    <t>D.1.07+D.05</t>
  </si>
  <si>
    <t>D.1.04</t>
  </si>
  <si>
    <t>D.1.14</t>
  </si>
  <si>
    <t>D.1.06</t>
  </si>
  <si>
    <t>Toilet dames</t>
  </si>
  <si>
    <t>D.1.05</t>
  </si>
  <si>
    <t>D.1.03</t>
  </si>
  <si>
    <t>D.1.02</t>
  </si>
  <si>
    <t>Kelder</t>
  </si>
  <si>
    <t>opslag</t>
  </si>
  <si>
    <t>technische ruimten</t>
  </si>
  <si>
    <t>entrée</t>
  </si>
  <si>
    <t>Kantoor decaan</t>
  </si>
  <si>
    <t>Kantoor docent</t>
  </si>
  <si>
    <t>Toilet/ douches</t>
  </si>
  <si>
    <t>Toilet gym</t>
  </si>
  <si>
    <t>Sporthal</t>
  </si>
  <si>
    <t xml:space="preserve">Gang </t>
  </si>
  <si>
    <t>Kantoor administratie</t>
  </si>
  <si>
    <t>kantoor rector</t>
  </si>
  <si>
    <t>aula</t>
  </si>
  <si>
    <t>Podium bij aula</t>
  </si>
  <si>
    <t>Hal plein</t>
  </si>
  <si>
    <t>Gang bij lockerruimte</t>
  </si>
  <si>
    <t>lockerruimte</t>
  </si>
  <si>
    <t>Trappenhuis (gymvleugel)</t>
  </si>
  <si>
    <t>Leslokaal 003</t>
  </si>
  <si>
    <t>Leslokaal 004</t>
  </si>
  <si>
    <t xml:space="preserve">Containerruimte </t>
  </si>
  <si>
    <t>Kantoor toezicht</t>
  </si>
  <si>
    <t>Kantoor concierge</t>
  </si>
  <si>
    <t>Leslokaal 005</t>
  </si>
  <si>
    <t>Leslokaal 006</t>
  </si>
  <si>
    <t>Kabinet naast 006</t>
  </si>
  <si>
    <t>Leslokaal 007</t>
  </si>
  <si>
    <t>Leslokaal 008</t>
  </si>
  <si>
    <t>Gang nieuwbouw</t>
  </si>
  <si>
    <t>Opslag catering</t>
  </si>
  <si>
    <t>Opslag boeken</t>
  </si>
  <si>
    <t>Kantine uitgifte</t>
  </si>
  <si>
    <t>Muziekruimte (kapel)</t>
  </si>
  <si>
    <t>Vergaderruimte</t>
  </si>
  <si>
    <t>Torenkamer</t>
  </si>
  <si>
    <t>Leslokaal 125</t>
  </si>
  <si>
    <t>Leslokaal 127</t>
  </si>
  <si>
    <t>Leslokaal tekenen 123</t>
  </si>
  <si>
    <t>Leslokaal 124</t>
  </si>
  <si>
    <t>Computerlokaal 126</t>
  </si>
  <si>
    <t>Mediatheek</t>
  </si>
  <si>
    <t>Opslag lokaal 121</t>
  </si>
  <si>
    <t>Gang bij mediatheek</t>
  </si>
  <si>
    <t>Leslokaal Biologie 106</t>
  </si>
  <si>
    <t>Leslokaal Verzorging 105</t>
  </si>
  <si>
    <t>Leslokaal Natuurkunde 107</t>
  </si>
  <si>
    <t>Leslokaal Biologie 108</t>
  </si>
  <si>
    <t>Toiletten</t>
  </si>
  <si>
    <t>Toiletten D</t>
  </si>
  <si>
    <t>Toiletten H</t>
  </si>
  <si>
    <t>Kantoor afd.leider</t>
  </si>
  <si>
    <t>Kabinet Biologie</t>
  </si>
  <si>
    <t>Serverruimte</t>
  </si>
  <si>
    <t>Personeelswerkplek</t>
  </si>
  <si>
    <t>Kantoor gym</t>
  </si>
  <si>
    <t>Kantoor remedial teacher</t>
  </si>
  <si>
    <t>1.33</t>
  </si>
  <si>
    <t>1.34</t>
  </si>
  <si>
    <t>Personeelskamer</t>
  </si>
  <si>
    <t>1.35</t>
  </si>
  <si>
    <t>Kleedruimten D</t>
  </si>
  <si>
    <t>1.36</t>
  </si>
  <si>
    <t>Douches D</t>
  </si>
  <si>
    <t>1.37</t>
  </si>
  <si>
    <t>Leslokaal 111</t>
  </si>
  <si>
    <t>1.38</t>
  </si>
  <si>
    <t>Leslokaal 112</t>
  </si>
  <si>
    <t>1.39</t>
  </si>
  <si>
    <t>Leslokaal 113</t>
  </si>
  <si>
    <t>1.40</t>
  </si>
  <si>
    <t>Leslokaal 114</t>
  </si>
  <si>
    <t>1.41</t>
  </si>
  <si>
    <t>Leslokaal 115</t>
  </si>
  <si>
    <t>1.42</t>
  </si>
  <si>
    <t>Leslokaal 116</t>
  </si>
  <si>
    <t>1.43</t>
  </si>
  <si>
    <t>Leslokaal 117</t>
  </si>
  <si>
    <t>1.44</t>
  </si>
  <si>
    <t>Leslokaal 118</t>
  </si>
  <si>
    <t>1.45</t>
  </si>
  <si>
    <t>Leslokaal 119</t>
  </si>
  <si>
    <t>1.46</t>
  </si>
  <si>
    <t>Leslokaal 120</t>
  </si>
  <si>
    <t>1.47</t>
  </si>
  <si>
    <t>Leslokaal 121</t>
  </si>
  <si>
    <t>1.48</t>
  </si>
  <si>
    <t>Lifthal</t>
  </si>
  <si>
    <t>1.49</t>
  </si>
  <si>
    <t>1.50</t>
  </si>
  <si>
    <t>Balkon aula</t>
  </si>
  <si>
    <t>1.51</t>
  </si>
  <si>
    <t>1.52</t>
  </si>
  <si>
    <t>1.53</t>
  </si>
  <si>
    <t>Gang gym</t>
  </si>
  <si>
    <t>Leslokaal 222</t>
  </si>
  <si>
    <t>Collegezaal 223</t>
  </si>
  <si>
    <t>Leslokaal 224</t>
  </si>
  <si>
    <t>Leslokaal 225</t>
  </si>
  <si>
    <t>Leslokaal 226</t>
  </si>
  <si>
    <t>Leslokaal 227</t>
  </si>
  <si>
    <t>2.09</t>
  </si>
  <si>
    <t>Gebedsruimte</t>
  </si>
  <si>
    <t>Leslokaal 219</t>
  </si>
  <si>
    <t>Leslokaal 220</t>
  </si>
  <si>
    <t>Leslokaal taalprac221</t>
  </si>
  <si>
    <t>Leslokaal 211</t>
  </si>
  <si>
    <t>Leslokaal 212</t>
  </si>
  <si>
    <t>Leslokaal 213</t>
  </si>
  <si>
    <t>Leslokaal 214</t>
  </si>
  <si>
    <t>Leslokaal 215</t>
  </si>
  <si>
    <t>2.27</t>
  </si>
  <si>
    <t>Leslokaal 216</t>
  </si>
  <si>
    <t>2.28</t>
  </si>
  <si>
    <t>Leslokaal 217</t>
  </si>
  <si>
    <t>2.29</t>
  </si>
  <si>
    <t>Leslokaal 218</t>
  </si>
  <si>
    <t>2.30</t>
  </si>
  <si>
    <t>2.31</t>
  </si>
  <si>
    <t>3.01</t>
  </si>
  <si>
    <t>3.02</t>
  </si>
  <si>
    <t>3.03</t>
  </si>
  <si>
    <t>3.04</t>
  </si>
  <si>
    <t>Lokaal tekenen 320</t>
  </si>
  <si>
    <t>3.05</t>
  </si>
  <si>
    <t>Berging lokaal 320</t>
  </si>
  <si>
    <t>3.06</t>
  </si>
  <si>
    <t>3.07</t>
  </si>
  <si>
    <t>3.08</t>
  </si>
  <si>
    <t>3.09</t>
  </si>
  <si>
    <t>Opslagruimte</t>
  </si>
  <si>
    <t>3.10</t>
  </si>
  <si>
    <t>Leslokaal 311</t>
  </si>
  <si>
    <t>3.11</t>
  </si>
  <si>
    <t>Leslokaal 312</t>
  </si>
  <si>
    <t>3.12</t>
  </si>
  <si>
    <t>Leslokaal 313</t>
  </si>
  <si>
    <t>3.13</t>
  </si>
  <si>
    <t>Leslokaal 314</t>
  </si>
  <si>
    <t>3.14</t>
  </si>
  <si>
    <t>Leslokaal 315</t>
  </si>
  <si>
    <t>3.15</t>
  </si>
  <si>
    <t>Leslokaal 316</t>
  </si>
  <si>
    <t>3.16</t>
  </si>
  <si>
    <t>Leslokaal 317</t>
  </si>
  <si>
    <t>3.17</t>
  </si>
  <si>
    <t>Leslokaal 318</t>
  </si>
  <si>
    <t>3.18</t>
  </si>
  <si>
    <t>Leslokaal 319</t>
  </si>
  <si>
    <t>Leslokaal 320</t>
  </si>
  <si>
    <t>Kleedruimte H</t>
  </si>
  <si>
    <t>Kleedruimte D</t>
  </si>
  <si>
    <t>Kleedruimte Docent</t>
  </si>
  <si>
    <t>Lockers gedeelte</t>
  </si>
  <si>
    <t xml:space="preserve">Vide </t>
  </si>
  <si>
    <t>Office KE1</t>
  </si>
  <si>
    <t>Toiletruimte bezoekers</t>
  </si>
  <si>
    <t>Restaurant</t>
  </si>
  <si>
    <t>Gang restaurant</t>
  </si>
  <si>
    <t>Keuken 3</t>
  </si>
  <si>
    <t>Broodbakkerij (BRO)</t>
  </si>
  <si>
    <t>Banketbakkerij(BAN)</t>
  </si>
  <si>
    <t>Opslag BAN</t>
  </si>
  <si>
    <t>Spoelkeuken (BAN)</t>
  </si>
  <si>
    <t>Keuken 2</t>
  </si>
  <si>
    <t>Spoelkeuken KE2</t>
  </si>
  <si>
    <t>Keuken 1</t>
  </si>
  <si>
    <t>Informatica (019IT)</t>
  </si>
  <si>
    <t>Aula/ruimte catering</t>
  </si>
  <si>
    <t>Kantoor docent KE2</t>
  </si>
  <si>
    <t>Kantoor docent KE1</t>
  </si>
  <si>
    <t>Kantoor docent bakkerij</t>
  </si>
  <si>
    <t>Teamleiders</t>
  </si>
  <si>
    <t>Directie</t>
  </si>
  <si>
    <t>Conferentieruimte</t>
  </si>
  <si>
    <t>Spreekkamer naast Dir.</t>
  </si>
  <si>
    <t>Electra ruimte</t>
  </si>
  <si>
    <t>Luchtbehandeling</t>
  </si>
  <si>
    <t>Winkeltje</t>
  </si>
  <si>
    <t>Trap links</t>
  </si>
  <si>
    <t>Trap midden</t>
  </si>
  <si>
    <t>Trap rechts</t>
  </si>
  <si>
    <t>Vluchtgang Gymzaal</t>
  </si>
  <si>
    <t>CV Ruimte</t>
  </si>
  <si>
    <t>Toilet D en H t.o. (gymzaal)</t>
  </si>
  <si>
    <t>Kleedruimte/ douche D</t>
  </si>
  <si>
    <t>Kleedruimte/ douche H</t>
  </si>
  <si>
    <t>Kleedruimte/ douche Doc</t>
  </si>
  <si>
    <t>Docentruimte</t>
  </si>
  <si>
    <t>Gymopslag</t>
  </si>
  <si>
    <t>Kantoor Stage en Decaan</t>
  </si>
  <si>
    <t>Kantoor roostermaker</t>
  </si>
  <si>
    <t>Kantoor zorg en LL begel.</t>
  </si>
  <si>
    <t>Leslokaal (101)</t>
  </si>
  <si>
    <t>Leslokaal (102)</t>
  </si>
  <si>
    <t>Kantoor DIP</t>
  </si>
  <si>
    <t>Balkon bij pers.kamer</t>
  </si>
  <si>
    <t>Leslokaal (106)</t>
  </si>
  <si>
    <t>Leslokaal (107)</t>
  </si>
  <si>
    <t>Leslokaal (108)</t>
  </si>
  <si>
    <t>1.32</t>
  </si>
  <si>
    <t>Leslokaal (109)</t>
  </si>
  <si>
    <t>Leslokaal (110)</t>
  </si>
  <si>
    <t>Toilet personeel</t>
  </si>
  <si>
    <t>Leslokaal (111)</t>
  </si>
  <si>
    <t>Kamer teamleiders</t>
  </si>
  <si>
    <t>Ruimte chromebookkarren</t>
  </si>
  <si>
    <t>Leslokaal(112IT)</t>
  </si>
  <si>
    <t>Leslokaal (113)</t>
  </si>
  <si>
    <t>Opslag tussen 114-115</t>
  </si>
  <si>
    <t>Leslokaal (114)</t>
  </si>
  <si>
    <t>Leslokaal (115)</t>
  </si>
  <si>
    <t>Opslag tussen 116-117TK</t>
  </si>
  <si>
    <t>Leslokaal (118)</t>
  </si>
  <si>
    <t>Magazijn repro</t>
  </si>
  <si>
    <t>Meldkamer</t>
  </si>
  <si>
    <t xml:space="preserve">Kluis </t>
  </si>
  <si>
    <t>Vergaderruimte(15)</t>
  </si>
  <si>
    <t>Docentenkamer(16)</t>
  </si>
  <si>
    <t>Roostermaker(19)</t>
  </si>
  <si>
    <t>KantoorICT (29)</t>
  </si>
  <si>
    <t>Kantoor conrector onderwijs 30</t>
  </si>
  <si>
    <t>Vergaderkamer 31</t>
  </si>
  <si>
    <t>Kantoor Rector 32</t>
  </si>
  <si>
    <t>Kantoor conrector bedrijfsvering 33</t>
  </si>
  <si>
    <t>Kantoor administratie 34</t>
  </si>
  <si>
    <t>Video Conferentie(001)</t>
  </si>
  <si>
    <t>Mediatheek (001)</t>
  </si>
  <si>
    <t>Mediatheek (001a)</t>
  </si>
  <si>
    <t>Mediatheek(001b) kantoor</t>
  </si>
  <si>
    <t>Mediatheek(001c) opslag</t>
  </si>
  <si>
    <t>Toiletruimte(44)</t>
  </si>
  <si>
    <t>Kantoor ICT(4)</t>
  </si>
  <si>
    <t>Concierge werkplaats</t>
  </si>
  <si>
    <t>Muzieklokaal(006)</t>
  </si>
  <si>
    <t>Opslag drumstel(006a)</t>
  </si>
  <si>
    <t>Sciencelokaal (007)</t>
  </si>
  <si>
    <t>Bergruimte naast 007</t>
  </si>
  <si>
    <t>Technasium</t>
  </si>
  <si>
    <t>Docenten werkkamer</t>
  </si>
  <si>
    <t>HV Lokaal 014</t>
  </si>
  <si>
    <t>Bergruimte bij 014</t>
  </si>
  <si>
    <t>Personeelsruimte</t>
  </si>
  <si>
    <t>Opslag cateraar</t>
  </si>
  <si>
    <t>Podium Aula</t>
  </si>
  <si>
    <t>Regieruimte aula</t>
  </si>
  <si>
    <t>Stoelenopslag Aula</t>
  </si>
  <si>
    <t>Kleedruimten Aula</t>
  </si>
  <si>
    <t>Toilet bij aula</t>
  </si>
  <si>
    <t>Keuken uitgifte</t>
  </si>
  <si>
    <t>Berging 21</t>
  </si>
  <si>
    <t>Berging 22</t>
  </si>
  <si>
    <t>Berging 04</t>
  </si>
  <si>
    <t>Leslokaal 101</t>
  </si>
  <si>
    <t>Computelokaal 102</t>
  </si>
  <si>
    <t>Leslokaal 103</t>
  </si>
  <si>
    <t>Leslokaal 104</t>
  </si>
  <si>
    <t>Leslokaal 105</t>
  </si>
  <si>
    <t>Leslokaal 106</t>
  </si>
  <si>
    <t>Leslokaal 107</t>
  </si>
  <si>
    <t>Kantoor (124) Teamleiders</t>
  </si>
  <si>
    <t>Kantoor(125) Teamleiders</t>
  </si>
  <si>
    <t>Kantoor(126) Teamleiders</t>
  </si>
  <si>
    <t>Kantoor(127) zorgcoordinator</t>
  </si>
  <si>
    <t>Kantoor(128) Roosteraar</t>
  </si>
  <si>
    <t>Europlein</t>
  </si>
  <si>
    <t>Leslokaal natuurkunde</t>
  </si>
  <si>
    <t>Kabinet</t>
  </si>
  <si>
    <t>Laboratorium</t>
  </si>
  <si>
    <t>Leslokaal verzorging</t>
  </si>
  <si>
    <t>Leslokaal biologie</t>
  </si>
  <si>
    <t>Leslokaal scheikunde</t>
  </si>
  <si>
    <t>Garderobehal</t>
  </si>
  <si>
    <t>Toilettengang</t>
  </si>
  <si>
    <t>Berging gamma</t>
  </si>
  <si>
    <t>Docentenruimte</t>
  </si>
  <si>
    <t>Berging delta</t>
  </si>
  <si>
    <t>Archief</t>
  </si>
  <si>
    <t>Traphal</t>
  </si>
  <si>
    <t>Lokaal natuurkunde</t>
  </si>
  <si>
    <t>Leslokaal practicum</t>
  </si>
  <si>
    <t>Leslokaal nat/ wis</t>
  </si>
  <si>
    <t>Kantoor docenten</t>
  </si>
  <si>
    <t>Leslokaal wiskunde</t>
  </si>
  <si>
    <t>Tribune</t>
  </si>
  <si>
    <t xml:space="preserve">Magazijn </t>
  </si>
  <si>
    <t>Toneel</t>
  </si>
  <si>
    <t>Instrumentenopslag</t>
  </si>
  <si>
    <t>Tochtportaal</t>
  </si>
  <si>
    <t>HV Lokaal</t>
  </si>
  <si>
    <t>Berging HV</t>
  </si>
  <si>
    <t>Leerplein 1-2-3</t>
  </si>
  <si>
    <t>Roostermaker</t>
  </si>
  <si>
    <t>Conrector</t>
  </si>
  <si>
    <t>Rector</t>
  </si>
  <si>
    <t>MFR</t>
  </si>
  <si>
    <t>LL Begeleiding</t>
  </si>
  <si>
    <t>Decaan</t>
  </si>
  <si>
    <t xml:space="preserve">Keuken </t>
  </si>
  <si>
    <t>Opslag keuken</t>
  </si>
  <si>
    <t>Kantoor management(111)</t>
  </si>
  <si>
    <t>Kantoor onderbouw(110)</t>
  </si>
  <si>
    <t>Kantoor onderbouw(109)</t>
  </si>
  <si>
    <t>Kantoor management(108)</t>
  </si>
  <si>
    <t>Berging A</t>
  </si>
  <si>
    <t>Leslokaal( 106)</t>
  </si>
  <si>
    <t>Leslokaal(105)</t>
  </si>
  <si>
    <t>Leslokaal(104)</t>
  </si>
  <si>
    <t>Leslokaal(103)</t>
  </si>
  <si>
    <t>Leslokaal(101)</t>
  </si>
  <si>
    <t>Kantoor zorgcoordinator(118)</t>
  </si>
  <si>
    <t>Trap naar zolder</t>
  </si>
  <si>
    <t>Leeromgeving</t>
  </si>
  <si>
    <t>Open leerplekken</t>
  </si>
  <si>
    <t>Mediatheek(120)</t>
  </si>
  <si>
    <t>Flexplekken docenten(121)</t>
  </si>
  <si>
    <t>Kantoor server</t>
  </si>
  <si>
    <t>Kantoor systeembeheer (124)</t>
  </si>
  <si>
    <t>personeelskamer(152)</t>
  </si>
  <si>
    <t>Hal/ Gang</t>
  </si>
  <si>
    <t>Leslokaal scheikunde(156)</t>
  </si>
  <si>
    <t xml:space="preserve">Lokaal </t>
  </si>
  <si>
    <t>Opslag chemie</t>
  </si>
  <si>
    <t>Practicum biologie</t>
  </si>
  <si>
    <t>Berging practicum</t>
  </si>
  <si>
    <t>Stafruimte</t>
  </si>
  <si>
    <t>Collegezaal</t>
  </si>
  <si>
    <t>Gang/sluis</t>
  </si>
  <si>
    <t>Zoldergang</t>
  </si>
  <si>
    <t>Noodgebouw</t>
  </si>
  <si>
    <t>E1</t>
  </si>
  <si>
    <t>Entree 1</t>
  </si>
  <si>
    <t>L1</t>
  </si>
  <si>
    <t>Lokaal 1</t>
  </si>
  <si>
    <t>B1</t>
  </si>
  <si>
    <t>L2</t>
  </si>
  <si>
    <t>Lokaal 2</t>
  </si>
  <si>
    <t>E2</t>
  </si>
  <si>
    <t>Entree 2</t>
  </si>
  <si>
    <t>B2</t>
  </si>
  <si>
    <t>L3</t>
  </si>
  <si>
    <t>Lokaal 3</t>
  </si>
  <si>
    <t>Kleedruimte</t>
  </si>
  <si>
    <t>Lerarenkamer</t>
  </si>
  <si>
    <t>Hal/ entrée</t>
  </si>
  <si>
    <t>Catering keuken</t>
  </si>
  <si>
    <t>Catering opslag</t>
  </si>
  <si>
    <t>Catering kantoor</t>
  </si>
  <si>
    <t>Kantoor/ pantry</t>
  </si>
  <si>
    <t>Kantoor receptie</t>
  </si>
  <si>
    <t>Kantoor rector( 404)</t>
  </si>
  <si>
    <t>Kantoor directie(403)</t>
  </si>
  <si>
    <t>Kantoor afd.leider(402)</t>
  </si>
  <si>
    <t>Kantoor info/ decaan(401)</t>
  </si>
  <si>
    <t>Hal/trap bij 402</t>
  </si>
  <si>
    <t>Gang centrale</t>
  </si>
  <si>
    <t>Gang/overloop(gymzaal)(001)</t>
  </si>
  <si>
    <t>Doucheruimte</t>
  </si>
  <si>
    <t>Kantoor gymleraar</t>
  </si>
  <si>
    <t>Toestellenberging</t>
  </si>
  <si>
    <t>Gang/ overloop(gymzaal)(002)</t>
  </si>
  <si>
    <t>Gang(gymzaal)(003)</t>
  </si>
  <si>
    <t>Toilet D/ H</t>
  </si>
  <si>
    <t>Kantoor afd.leider(105)</t>
  </si>
  <si>
    <t>Kantoor afd.leider(106)</t>
  </si>
  <si>
    <t>Trap/hal</t>
  </si>
  <si>
    <t>Leslokaal(201)</t>
  </si>
  <si>
    <t>Leslokaal(202)</t>
  </si>
  <si>
    <t>Leslokaal(203)</t>
  </si>
  <si>
    <t>Leslokaal(204)</t>
  </si>
  <si>
    <t>Kantoor (206)</t>
  </si>
  <si>
    <t>Kantoor(207)</t>
  </si>
  <si>
    <t>Oefenruimte A</t>
  </si>
  <si>
    <t>Oefenruimte B</t>
  </si>
  <si>
    <t>Muzieklokaal</t>
  </si>
  <si>
    <t>Opslagruimten</t>
  </si>
  <si>
    <t>Leslokaal TOA</t>
  </si>
  <si>
    <t>Berging Onbekende locatie</t>
  </si>
  <si>
    <t>Leslokaal natuurkunde(411-412)</t>
  </si>
  <si>
    <t>Berging schoonmaak</t>
  </si>
  <si>
    <t>Lokaal Bio( 416-415)</t>
  </si>
  <si>
    <t>Lokaal Scheikunde(414)</t>
  </si>
  <si>
    <t>Leslokaal Natuurkunde(413)</t>
  </si>
  <si>
    <t>Leslokaal Natuurkunde(417)</t>
  </si>
  <si>
    <t>Gang lokalen</t>
  </si>
  <si>
    <t>Podium</t>
  </si>
  <si>
    <t>Glazen ruimte</t>
  </si>
  <si>
    <t>Balkon</t>
  </si>
  <si>
    <t>Overloop langs aula</t>
  </si>
  <si>
    <t>Computerlokaal</t>
  </si>
  <si>
    <t>Gang/trap</t>
  </si>
  <si>
    <t>Leslokaal IT(110)</t>
  </si>
  <si>
    <t>Leslokaal(111)</t>
  </si>
  <si>
    <t>Kantoor LL begeleiding(115)</t>
  </si>
  <si>
    <t>Vergaderruimte(117)</t>
  </si>
  <si>
    <t>Leslokaal(112)</t>
  </si>
  <si>
    <t>Leslokaal(113)</t>
  </si>
  <si>
    <t>Leslokaal(114)</t>
  </si>
  <si>
    <t>1.54</t>
  </si>
  <si>
    <t>1.55</t>
  </si>
  <si>
    <t>1.56</t>
  </si>
  <si>
    <t>1.57</t>
  </si>
  <si>
    <t>Leslokaal (210)</t>
  </si>
  <si>
    <t>1.58</t>
  </si>
  <si>
    <t>Leslokaal(211)</t>
  </si>
  <si>
    <t>1.59</t>
  </si>
  <si>
    <t>1.60</t>
  </si>
  <si>
    <t>1.61</t>
  </si>
  <si>
    <t>LL ruimte (218)</t>
  </si>
  <si>
    <t>1.62</t>
  </si>
  <si>
    <t>Leslokaal (217)</t>
  </si>
  <si>
    <t>1.63</t>
  </si>
  <si>
    <t>1.64</t>
  </si>
  <si>
    <t>1.65</t>
  </si>
  <si>
    <t>Leslokaal(212)</t>
  </si>
  <si>
    <t>1.66</t>
  </si>
  <si>
    <t>Leslokaal(213)</t>
  </si>
  <si>
    <t>1.67</t>
  </si>
  <si>
    <t>Leslokaal(214)</t>
  </si>
  <si>
    <t>1.68</t>
  </si>
  <si>
    <t>1.69</t>
  </si>
  <si>
    <t>1.70</t>
  </si>
  <si>
    <t>HV lokaal (311)</t>
  </si>
  <si>
    <t>1.71</t>
  </si>
  <si>
    <t>HV lokaal(313)</t>
  </si>
  <si>
    <t>1.72</t>
  </si>
  <si>
    <t>1.73</t>
  </si>
  <si>
    <t>LL kantoor(316</t>
  </si>
  <si>
    <t>1.74</t>
  </si>
  <si>
    <t>LL kantoor (314)</t>
  </si>
  <si>
    <t>1.75</t>
  </si>
  <si>
    <t xml:space="preserve">Toilet </t>
  </si>
  <si>
    <t>1.76</t>
  </si>
  <si>
    <t>1.77</t>
  </si>
  <si>
    <t>1.78</t>
  </si>
  <si>
    <t>1.79</t>
  </si>
  <si>
    <t>Opgang</t>
  </si>
  <si>
    <t>1.80</t>
  </si>
  <si>
    <t>1.81</t>
  </si>
  <si>
    <t>Toilet pers.</t>
  </si>
  <si>
    <t>1.82</t>
  </si>
  <si>
    <t>1.83</t>
  </si>
  <si>
    <t>Leslokaal (120)</t>
  </si>
  <si>
    <t>Leslokaal(121)</t>
  </si>
  <si>
    <t xml:space="preserve">Kantoor </t>
  </si>
  <si>
    <t>Kantoor(128)</t>
  </si>
  <si>
    <t>Leslokaal(122)</t>
  </si>
  <si>
    <t>Leslokaal(123)</t>
  </si>
  <si>
    <t>Leslokaal(124)</t>
  </si>
  <si>
    <t>Leslokaal (221)</t>
  </si>
  <si>
    <t>Leslokaal(222)</t>
  </si>
  <si>
    <t>Spreekkamer(228)</t>
  </si>
  <si>
    <t>Vergaderruimte(227)</t>
  </si>
  <si>
    <t>Spreekkamer(225)</t>
  </si>
  <si>
    <t>Leslokaal (223)</t>
  </si>
  <si>
    <t>Leslokaal(224)</t>
  </si>
  <si>
    <t>Leslokaal muziek(321)</t>
  </si>
  <si>
    <t>Leslokaal (323)</t>
  </si>
  <si>
    <t>LL ruimte (327)</t>
  </si>
  <si>
    <t>2.32</t>
  </si>
  <si>
    <t>2.33</t>
  </si>
  <si>
    <t>2.34</t>
  </si>
  <si>
    <t>2.35</t>
  </si>
  <si>
    <t>2.36</t>
  </si>
  <si>
    <t>Leslokalen 222-224</t>
  </si>
  <si>
    <t>0.01</t>
  </si>
  <si>
    <t>Entree A</t>
  </si>
  <si>
    <t>0.02</t>
  </si>
  <si>
    <t>Middengang</t>
  </si>
  <si>
    <t>0.03</t>
  </si>
  <si>
    <t>Entree B</t>
  </si>
  <si>
    <t>0.04</t>
  </si>
  <si>
    <t>Docentenruimte A</t>
  </si>
  <si>
    <t>0.05</t>
  </si>
  <si>
    <t>Toilet miva</t>
  </si>
  <si>
    <t>0.06</t>
  </si>
  <si>
    <t>Installatieruimte</t>
  </si>
  <si>
    <t>0.07</t>
  </si>
  <si>
    <t>Toilet heren A</t>
  </si>
  <si>
    <t>0.08</t>
  </si>
  <si>
    <t>Toilet dames A</t>
  </si>
  <si>
    <t>0.09A</t>
  </si>
  <si>
    <t>Kleedkamer A</t>
  </si>
  <si>
    <t>0.09B</t>
  </si>
  <si>
    <t>Douches A</t>
  </si>
  <si>
    <t>0.10A</t>
  </si>
  <si>
    <t>Kleedkamer B</t>
  </si>
  <si>
    <t>0.10B</t>
  </si>
  <si>
    <t>Douches B</t>
  </si>
  <si>
    <t>0.11A</t>
  </si>
  <si>
    <t>Kleedkamer C</t>
  </si>
  <si>
    <t>0.11B</t>
  </si>
  <si>
    <t>Douches C</t>
  </si>
  <si>
    <t>0.12</t>
  </si>
  <si>
    <t>0.13</t>
  </si>
  <si>
    <t>Toiletgroep</t>
  </si>
  <si>
    <t>0.14A</t>
  </si>
  <si>
    <t>Kleedkamer D</t>
  </si>
  <si>
    <t>0.14B</t>
  </si>
  <si>
    <t>0.15A</t>
  </si>
  <si>
    <t>Kleedkamer E</t>
  </si>
  <si>
    <t>0.15B</t>
  </si>
  <si>
    <t>Douches E</t>
  </si>
  <si>
    <t>0.16</t>
  </si>
  <si>
    <t>0.17A</t>
  </si>
  <si>
    <t>Kleedkamer F</t>
  </si>
  <si>
    <t>0.17B</t>
  </si>
  <si>
    <t>Douches F</t>
  </si>
  <si>
    <t>0.18</t>
  </si>
  <si>
    <t>Toilet heren B</t>
  </si>
  <si>
    <t>0.19</t>
  </si>
  <si>
    <t>0.20</t>
  </si>
  <si>
    <t>Toilet dames B</t>
  </si>
  <si>
    <t>0.21</t>
  </si>
  <si>
    <t>Docentenruimte B</t>
  </si>
  <si>
    <t>0.22A</t>
  </si>
  <si>
    <t>Gymzaal 1</t>
  </si>
  <si>
    <t>0.22B</t>
  </si>
  <si>
    <t>Gymzaal 2</t>
  </si>
  <si>
    <t>0.22C</t>
  </si>
  <si>
    <t>Gymzaal 3</t>
  </si>
  <si>
    <t>0.23A</t>
  </si>
  <si>
    <t>Toestellenberging A</t>
  </si>
  <si>
    <t>0.23B</t>
  </si>
  <si>
    <t>Toestellenberging B</t>
  </si>
  <si>
    <t>0.23C</t>
  </si>
  <si>
    <t>Toestellenberging C</t>
  </si>
  <si>
    <t>Trapbordes (in entree A)</t>
  </si>
  <si>
    <t>multifuncionele ruimte</t>
  </si>
  <si>
    <t>Hoofdentree</t>
  </si>
  <si>
    <t>Spreekkamer/ontvangstruimte</t>
  </si>
  <si>
    <t>ontvangsbalie/toezichthouder</t>
  </si>
  <si>
    <t>Miva</t>
  </si>
  <si>
    <t>Opslag technische dienst</t>
  </si>
  <si>
    <t>Zieken en kinderverzorging</t>
  </si>
  <si>
    <t>Kleinkeuken</t>
  </si>
  <si>
    <t>0.09</t>
  </si>
  <si>
    <t>0.10</t>
  </si>
  <si>
    <t>0.11</t>
  </si>
  <si>
    <t>studiewerkplekken Z&amp;W</t>
  </si>
  <si>
    <t>Winkelruimte &amp; etalage</t>
  </si>
  <si>
    <t>Wijkrestaurant</t>
  </si>
  <si>
    <t>0.14</t>
  </si>
  <si>
    <t>Praktijkstimulatie textiel</t>
  </si>
  <si>
    <t>0.15</t>
  </si>
  <si>
    <t>Kleedruimten</t>
  </si>
  <si>
    <t>Opslagruimte proviand 1</t>
  </si>
  <si>
    <t>0.17</t>
  </si>
  <si>
    <t>Grootkeuken</t>
  </si>
  <si>
    <t>Werkruimte personeel</t>
  </si>
  <si>
    <t>Wc leerlingen 1</t>
  </si>
  <si>
    <t>Uiterlijke verzorging</t>
  </si>
  <si>
    <t>T.HVK ruimte</t>
  </si>
  <si>
    <t>0.22</t>
  </si>
  <si>
    <t>T. WKO</t>
  </si>
  <si>
    <t>0.23</t>
  </si>
  <si>
    <t>Datacenter en patchruimte</t>
  </si>
  <si>
    <t>0.24</t>
  </si>
  <si>
    <t>Catering en uitgiftebalie kantine, inclusief berging</t>
  </si>
  <si>
    <t>0.25</t>
  </si>
  <si>
    <t>Ruimte conciërge en technische dienst - EHBO</t>
  </si>
  <si>
    <t>0.26</t>
  </si>
  <si>
    <t>Wc leerlingen 2</t>
  </si>
  <si>
    <t>0.27</t>
  </si>
  <si>
    <t>Wc personeel</t>
  </si>
  <si>
    <t>0.28</t>
  </si>
  <si>
    <t>Trappenhuis 2</t>
  </si>
  <si>
    <t>0.29</t>
  </si>
  <si>
    <t>Expeditie</t>
  </si>
  <si>
    <t>0.30</t>
  </si>
  <si>
    <t>0.31</t>
  </si>
  <si>
    <t>Opslag Technische dienst 2</t>
  </si>
  <si>
    <t>0.32</t>
  </si>
  <si>
    <t>Kluis</t>
  </si>
  <si>
    <t>0.33</t>
  </si>
  <si>
    <t>Ruimte zorgcoördinator</t>
  </si>
  <si>
    <t>0.34</t>
  </si>
  <si>
    <t>0.35</t>
  </si>
  <si>
    <t>Directieruimte - locatiedirecteur</t>
  </si>
  <si>
    <t>0.36</t>
  </si>
  <si>
    <t>0.37</t>
  </si>
  <si>
    <t>Directieruimte - algemeen</t>
  </si>
  <si>
    <t>0.38</t>
  </si>
  <si>
    <t>Extra spreekruimte</t>
  </si>
  <si>
    <t>0.39</t>
  </si>
  <si>
    <t>0.40</t>
  </si>
  <si>
    <t>Archiefruimte 01</t>
  </si>
  <si>
    <t>0.41</t>
  </si>
  <si>
    <t>Ruimte ict en automatisering</t>
  </si>
  <si>
    <t>0.42</t>
  </si>
  <si>
    <t>Instructie verzorging</t>
  </si>
  <si>
    <t>0.43</t>
  </si>
  <si>
    <t>Opslagruimte bewegingsruimte</t>
  </si>
  <si>
    <t>0.44</t>
  </si>
  <si>
    <t>Bewegingsruimte</t>
  </si>
  <si>
    <t>0.45</t>
  </si>
  <si>
    <t>Centrale ontmoetingsruimte - aula</t>
  </si>
  <si>
    <t>0.45a</t>
  </si>
  <si>
    <t>Tribune trap</t>
  </si>
  <si>
    <t>0.46</t>
  </si>
  <si>
    <t>Opslagaula - stoelberging</t>
  </si>
  <si>
    <t>Ruimte dagwacht</t>
  </si>
  <si>
    <t>Spreekkamer waarvan 1 remed. Teach</t>
  </si>
  <si>
    <t>Flexwerkruimte decanaat en remedial teaching</t>
  </si>
  <si>
    <t>Theorielokalen AVO</t>
  </si>
  <si>
    <t>Computerlokaal - (examenlokaal voor digitale toetsen)</t>
  </si>
  <si>
    <t>Trappenhuis 1</t>
  </si>
  <si>
    <t>Studiewerkplekken E&amp;O</t>
  </si>
  <si>
    <t>Werkruimte personeel 2</t>
  </si>
  <si>
    <t>Praktijklokaal E&amp;O 24 lln</t>
  </si>
  <si>
    <t>Overleg- en theorieruimte E&amp;O</t>
  </si>
  <si>
    <t xml:space="preserve">Verkeersruimte </t>
  </si>
  <si>
    <t>WC leerlingen 3</t>
  </si>
  <si>
    <t>WC leerlingen 4</t>
  </si>
  <si>
    <t>Garderobe en postvakken</t>
  </si>
  <si>
    <t>Personeelsruimte met pantry</t>
  </si>
  <si>
    <t>Kleedruimte docenten</t>
  </si>
  <si>
    <t>1.30a</t>
  </si>
  <si>
    <t>wasruimte docenten</t>
  </si>
  <si>
    <t>WC personeel 4</t>
  </si>
  <si>
    <t>Spreekkamer teamleiders</t>
  </si>
  <si>
    <t>Werkruimte personeel 3</t>
  </si>
  <si>
    <t xml:space="preserve">Droogruimte/oven </t>
  </si>
  <si>
    <t>WC leerlingen 6</t>
  </si>
  <si>
    <t>WC leerlingen 5</t>
  </si>
  <si>
    <t>Praktijklokaal Beeldende vorming/CKV</t>
  </si>
  <si>
    <t>Techniekzone</t>
  </si>
  <si>
    <t>Studieplekken D&amp;P</t>
  </si>
  <si>
    <t>Praktijklokaal D&amp;P</t>
  </si>
  <si>
    <t>Team-werkruimte D&amp;P (gemengde theoretische leerweg)</t>
  </si>
  <si>
    <t>Praktijklokaal ANW- Biologie</t>
  </si>
  <si>
    <t>Facilitaire ruimte ANW- biologie</t>
  </si>
  <si>
    <t>Biologie - Avo</t>
  </si>
  <si>
    <t>WC personeel 3</t>
  </si>
  <si>
    <t>giet</t>
  </si>
  <si>
    <t>tapijt</t>
  </si>
  <si>
    <t>mat</t>
  </si>
  <si>
    <t>linoleum</t>
  </si>
  <si>
    <t>gietvloer</t>
  </si>
  <si>
    <t>surestep</t>
  </si>
  <si>
    <t>rubber</t>
  </si>
  <si>
    <t>beton</t>
  </si>
  <si>
    <t>Schoonloopmat</t>
  </si>
  <si>
    <t>s</t>
  </si>
  <si>
    <t>tegels</t>
  </si>
  <si>
    <t>t</t>
  </si>
  <si>
    <t>l</t>
  </si>
  <si>
    <t>hout</t>
  </si>
  <si>
    <t>Linoleum</t>
  </si>
  <si>
    <t>linoleum/ tapijt</t>
  </si>
  <si>
    <t>sportvloer</t>
  </si>
  <si>
    <t>steen</t>
  </si>
  <si>
    <t>parket</t>
  </si>
  <si>
    <t>linoleum/tapijt</t>
  </si>
  <si>
    <t>Coating/surestep</t>
  </si>
  <si>
    <t>cement</t>
  </si>
  <si>
    <t>dycem</t>
  </si>
  <si>
    <t>betontegels</t>
  </si>
  <si>
    <t>lino</t>
  </si>
  <si>
    <t>Laminaat</t>
  </si>
  <si>
    <t>Gietvloer</t>
  </si>
  <si>
    <t>Giet</t>
  </si>
  <si>
    <t>steen/ laminaat</t>
  </si>
  <si>
    <t xml:space="preserve">tapijt </t>
  </si>
  <si>
    <t>lino/ PVC</t>
  </si>
  <si>
    <t>linoleun</t>
  </si>
  <si>
    <t>tegel</t>
  </si>
  <si>
    <t>linoleum/ steen</t>
  </si>
  <si>
    <t>laminaat</t>
  </si>
  <si>
    <t>Troffelvloer</t>
  </si>
  <si>
    <t>Hout PVC</t>
  </si>
  <si>
    <t>Carborundum</t>
  </si>
  <si>
    <t>3W</t>
  </si>
  <si>
    <t>Opmerking</t>
  </si>
  <si>
    <t>nio</t>
  </si>
  <si>
    <t>nieuw</t>
  </si>
  <si>
    <t>onder podium</t>
  </si>
  <si>
    <t>diversen</t>
  </si>
  <si>
    <t>wel lino-onderhoud</t>
  </si>
  <si>
    <t>administratie</t>
  </si>
  <si>
    <t>naar keldertrap</t>
  </si>
  <si>
    <t>bij repro</t>
  </si>
  <si>
    <t>bij lockers</t>
  </si>
  <si>
    <t>systeembeheer</t>
  </si>
  <si>
    <t>concierges</t>
  </si>
  <si>
    <t>diverse</t>
  </si>
  <si>
    <t>wordt afgebroken</t>
  </si>
  <si>
    <t>achter patiolokaal</t>
  </si>
  <si>
    <t>financien</t>
  </si>
  <si>
    <t>achter podium</t>
  </si>
  <si>
    <t>buiten</t>
  </si>
  <si>
    <t>docentenkamer</t>
  </si>
  <si>
    <t>coordinator</t>
  </si>
  <si>
    <t>bibliotheek</t>
  </si>
  <si>
    <t>Rolluik (restaurant F.Vatelschool)</t>
  </si>
  <si>
    <t>Noodlokalen</t>
  </si>
  <si>
    <t>Liftschacht (enkelzijdig, alleen buitenzijde)</t>
  </si>
  <si>
    <t>Dakglas (enkel gemeten, dubbel te wassen)</t>
  </si>
  <si>
    <t>Mediatheek / OLC</t>
  </si>
  <si>
    <t>Publieksruimte</t>
  </si>
  <si>
    <t>Kooklokaal/leskeuken</t>
  </si>
  <si>
    <t>HV/Technieklokaal</t>
  </si>
  <si>
    <t>Praktijklokalen binas/zorg</t>
  </si>
  <si>
    <t>Leslokalen theorie</t>
  </si>
  <si>
    <r>
      <t>vl1</t>
    </r>
    <r>
      <rPr>
        <sz val="9"/>
        <color theme="6"/>
        <rFont val="Arial"/>
        <family val="2"/>
      </rPr>
      <t>2</t>
    </r>
  </si>
  <si>
    <r>
      <t>vl2</t>
    </r>
    <r>
      <rPr>
        <sz val="9"/>
        <color theme="6"/>
        <rFont val="Arial"/>
        <family val="2"/>
      </rPr>
      <t>3</t>
    </r>
  </si>
  <si>
    <r>
      <t>vl3</t>
    </r>
    <r>
      <rPr>
        <sz val="9"/>
        <color theme="6"/>
        <rFont val="Arial"/>
        <family val="2"/>
      </rPr>
      <t>4</t>
    </r>
  </si>
  <si>
    <r>
      <t>vl4</t>
    </r>
    <r>
      <rPr>
        <sz val="9"/>
        <color theme="6"/>
        <rFont val="Arial"/>
        <family val="2"/>
      </rPr>
      <t>5</t>
    </r>
  </si>
  <si>
    <r>
      <t>vl5</t>
    </r>
    <r>
      <rPr>
        <sz val="9"/>
        <color theme="6"/>
        <rFont val="Arial"/>
        <family val="2"/>
      </rPr>
      <t>6</t>
    </r>
  </si>
  <si>
    <r>
      <t>vl6</t>
    </r>
    <r>
      <rPr>
        <sz val="9"/>
        <color theme="6"/>
        <rFont val="Arial"/>
        <family val="2"/>
      </rPr>
      <t>7</t>
    </r>
  </si>
  <si>
    <r>
      <t>vl7</t>
    </r>
    <r>
      <rPr>
        <sz val="9"/>
        <color theme="6"/>
        <rFont val="Arial"/>
        <family val="2"/>
      </rPr>
      <t>8</t>
    </r>
  </si>
  <si>
    <r>
      <t>vnl</t>
    </r>
    <r>
      <rPr>
        <sz val="9"/>
        <color theme="6"/>
        <rFont val="Arial"/>
        <family val="2"/>
      </rPr>
      <t>9</t>
    </r>
  </si>
  <si>
    <r>
      <t>i8</t>
    </r>
    <r>
      <rPr>
        <sz val="9"/>
        <color theme="4" tint="0.39997558519241921"/>
        <rFont val="Arial"/>
        <family val="2"/>
      </rPr>
      <t>10</t>
    </r>
  </si>
  <si>
    <r>
      <t>i9</t>
    </r>
    <r>
      <rPr>
        <sz val="9"/>
        <color theme="4" tint="0.39997558519241921"/>
        <rFont val="Arial"/>
        <family val="2"/>
      </rPr>
      <t>11</t>
    </r>
  </si>
  <si>
    <r>
      <t>i10</t>
    </r>
    <r>
      <rPr>
        <sz val="9"/>
        <color theme="3" tint="0.59999389629810485"/>
        <rFont val="Arial"/>
        <family val="2"/>
      </rPr>
      <t>2</t>
    </r>
  </si>
  <si>
    <r>
      <rPr>
        <sz val="9"/>
        <rFont val="Arial"/>
        <family val="2"/>
      </rPr>
      <t>i11</t>
    </r>
    <r>
      <rPr>
        <sz val="9"/>
        <color theme="4" tint="0.39997558519241921"/>
        <rFont val="Arial"/>
        <family val="2"/>
      </rPr>
      <t>2</t>
    </r>
  </si>
  <si>
    <r>
      <t>i12</t>
    </r>
    <r>
      <rPr>
        <sz val="9"/>
        <color theme="3" tint="0.59999389629810485"/>
        <rFont val="Arial"/>
        <family val="2"/>
      </rPr>
      <t>2</t>
    </r>
  </si>
  <si>
    <r>
      <t>i13</t>
    </r>
    <r>
      <rPr>
        <sz val="9"/>
        <color theme="3" tint="0.59999389629810485"/>
        <rFont val="Arial"/>
        <family val="2"/>
      </rPr>
      <t>2</t>
    </r>
  </si>
  <si>
    <r>
      <t>i14</t>
    </r>
    <r>
      <rPr>
        <sz val="9"/>
        <color theme="3" tint="0.59999389629810485"/>
        <rFont val="Arial"/>
        <family val="2"/>
      </rPr>
      <t>2</t>
    </r>
  </si>
  <si>
    <r>
      <t>inl</t>
    </r>
    <r>
      <rPr>
        <sz val="9"/>
        <color theme="3" tint="0.59999389629810485"/>
        <rFont val="Arial"/>
        <family val="2"/>
      </rPr>
      <t>2</t>
    </r>
  </si>
  <si>
    <r>
      <t>s15</t>
    </r>
    <r>
      <rPr>
        <sz val="9"/>
        <color theme="5" tint="0.39997558519241921"/>
        <rFont val="Arial"/>
        <family val="2"/>
      </rPr>
      <t>2</t>
    </r>
  </si>
  <si>
    <r>
      <t>s16</t>
    </r>
    <r>
      <rPr>
        <sz val="9"/>
        <color theme="5" tint="0.39997558519241921"/>
        <rFont val="Arial"/>
        <family val="2"/>
      </rPr>
      <t>2</t>
    </r>
  </si>
  <si>
    <r>
      <t>snl</t>
    </r>
    <r>
      <rPr>
        <sz val="9"/>
        <color theme="5" tint="0.39997558519241921"/>
        <rFont val="Arial"/>
        <family val="2"/>
      </rPr>
      <t>2</t>
    </r>
  </si>
  <si>
    <t>Sint-Maartenscollege</t>
  </si>
  <si>
    <t>François Vatel vmbo</t>
  </si>
  <si>
    <t>Dalton College</t>
  </si>
  <si>
    <t>Novum-Maartenshal</t>
  </si>
  <si>
    <t>Veurs Voorburg vmbo</t>
  </si>
  <si>
    <t>Naloopronde (werkzaamheden in overleg)</t>
  </si>
  <si>
    <t>Stationsplein 4</t>
  </si>
  <si>
    <t>2275 AZ</t>
  </si>
  <si>
    <t>2030</t>
  </si>
  <si>
    <t>'s Gravendreef College</t>
  </si>
  <si>
    <t>'s Gravendreef College - Dependance</t>
  </si>
  <si>
    <t>Het volledig in- en uitwendig reinigen en ontvetten van vloeren, wanden, deuren, vensterbanken, verwarmingselementen, armaturen, leidingen, randen/richels, wand-/plafondroosters, fornuizen, keukenblokken, werkbanken, putjes, afzuigkappen en apparatuur en het met RVS olie behandelen van alle RVS oppervlakken in de ruimte.</t>
  </si>
  <si>
    <t>Buro Scholengroep Spinoza *</t>
  </si>
  <si>
    <t>* Deze locatie wordt na gunning toegevoegd, zie ook de toelichting in de Aanbestedingsleidraad.</t>
  </si>
  <si>
    <t>Alle ruimtes in schoolvakanties reinigen 1x per week</t>
  </si>
  <si>
    <t>Dieptereiniging grootkeukens (zie toelichting onderaan)</t>
  </si>
  <si>
    <t>Dieptereiniging keukens praktijklokalen (zie toelichting onderaan)</t>
  </si>
  <si>
    <t>Toelichting werkzaamheden Code Taak 1 "Dieptereiniging grootkeukens" en Code Taak 2 "Dieptereiniging keukens praktijklokalen"</t>
  </si>
  <si>
    <t>Prijs per dieptereinigingsbeurt</t>
  </si>
  <si>
    <t>Scholencontract</t>
  </si>
  <si>
    <t>Dagkracht (werkzaamheden in overleg)</t>
  </si>
  <si>
    <t>Beurt/uren</t>
  </si>
  <si>
    <t>Onbepaalde tijd</t>
  </si>
  <si>
    <t>Ja</t>
  </si>
  <si>
    <t>Medewerker algemeen SO l</t>
  </si>
  <si>
    <t>Bepaalde tijd</t>
  </si>
  <si>
    <t>Nee</t>
  </si>
  <si>
    <t>Meew. Voorman algmeen SO l</t>
  </si>
  <si>
    <t>Medewerker algmeen SO ll</t>
  </si>
  <si>
    <t>Bestuursbureau Spinoza</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</si>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</sst>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5">
    <font>
      <sz val="10"/>
      <name val="Arial"/>
    </font>
    <font>
      <sz val="11"/>
      <color theme="1"/>
      <name val="Calibri"/>
      <family val="2"/>
      <scheme val="minor"/>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10"/>
      <color theme="1"/>
      <name val="Verdana"/>
      <family val="2"/>
    </font>
    <font>
      <sz val="10"/>
      <name val="Arial"/>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
      <sz val="9"/>
      <color theme="6"/>
      <name val="Arial"/>
      <family val="2"/>
    </font>
    <font>
      <sz val="9"/>
      <color theme="4" tint="0.39997558519241921"/>
      <name val="Arial"/>
      <family val="2"/>
    </font>
    <font>
      <sz val="9"/>
      <color theme="3" tint="0.59999389629810485"/>
      <name val="Arial"/>
      <family val="2"/>
    </font>
    <font>
      <sz val="9"/>
      <color theme="5" tint="0.39997558519241921"/>
      <name val="Arial"/>
      <family val="2"/>
    </font>
    <font>
      <i/>
      <sz val="9"/>
      <name val="Verdana"/>
      <family val="2"/>
    </font>
    <font>
      <b/>
      <sz val="9"/>
      <color rgb="FFFFFFFF"/>
      <name val="Verdana"/>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5">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0"/>
      </right>
      <top style="thin">
        <color theme="0"/>
      </top>
      <bottom/>
      <diagonal/>
    </border>
    <border>
      <left style="thin">
        <color theme="0"/>
      </left>
      <right/>
      <top style="thin">
        <color theme="0"/>
      </top>
      <bottom/>
      <diagonal/>
    </border>
    <border>
      <left style="thin">
        <color theme="0"/>
      </left>
      <right/>
      <top/>
      <bottom/>
      <diagonal/>
    </border>
  </borders>
  <cellStyleXfs count="79">
    <xf numFmtId="0" fontId="0" fillId="0" borderId="0"/>
    <xf numFmtId="0" fontId="15" fillId="0" borderId="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4" fontId="21"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16" fillId="0" borderId="0" applyNumberFormat="0" applyFill="0" applyBorder="0" applyAlignment="0" applyProtection="0">
      <alignment vertical="top"/>
      <protection locked="0"/>
    </xf>
    <xf numFmtId="168" fontId="8" fillId="0" borderId="0" applyFont="0" applyFill="0" applyBorder="0" applyAlignment="0" applyProtection="0"/>
    <xf numFmtId="168" fontId="7" fillId="0" borderId="0" applyFont="0" applyFill="0" applyBorder="0" applyAlignment="0" applyProtection="0"/>
    <xf numFmtId="165" fontId="10" fillId="0" borderId="0">
      <alignment horizontal="center" vertical="center" textRotation="90" wrapText="1"/>
    </xf>
    <xf numFmtId="0" fontId="17" fillId="2" borderId="1"/>
    <xf numFmtId="174" fontId="11" fillId="0" borderId="0"/>
    <xf numFmtId="0" fontId="18" fillId="0" borderId="0" applyNumberFormat="0" applyBorder="0">
      <protection locked="0"/>
    </xf>
    <xf numFmtId="0" fontId="19" fillId="0" borderId="0"/>
    <xf numFmtId="0" fontId="20" fillId="3" borderId="2" applyNumberFormat="0" applyFont="0" applyFill="0" applyBorder="0" applyAlignment="0">
      <alignment horizontal="right"/>
    </xf>
    <xf numFmtId="0" fontId="17" fillId="4" borderId="3" applyNumberFormat="0" applyFont="0" applyBorder="0">
      <alignment horizontal="center"/>
    </xf>
    <xf numFmtId="0" fontId="13" fillId="0" borderId="0"/>
    <xf numFmtId="0" fontId="24" fillId="0" borderId="0"/>
    <xf numFmtId="0" fontId="7" fillId="0" borderId="0"/>
    <xf numFmtId="167" fontId="7" fillId="0" borderId="0" applyFont="0" applyFill="0" applyBorder="0" applyAlignment="0" applyProtection="0"/>
    <xf numFmtId="175" fontId="15" fillId="0" borderId="0" applyFont="0" applyFill="0" applyBorder="0" applyAlignment="0" applyProtection="0"/>
    <xf numFmtId="176" fontId="15" fillId="0" borderId="0" applyFont="0" applyFill="0" applyBorder="0" applyAlignment="0" applyProtection="0"/>
    <xf numFmtId="0" fontId="25" fillId="0" borderId="0"/>
    <xf numFmtId="9" fontId="25" fillId="0" borderId="0" applyFont="0" applyFill="0" applyBorder="0" applyAlignment="0" applyProtection="0"/>
    <xf numFmtId="44" fontId="25" fillId="0" borderId="0" applyFont="0" applyFill="0" applyBorder="0" applyAlignment="0" applyProtection="0"/>
    <xf numFmtId="43" fontId="25" fillId="0" borderId="0" applyFont="0" applyFill="0" applyBorder="0" applyAlignment="0" applyProtection="0"/>
    <xf numFmtId="9" fontId="26" fillId="0" borderId="0" applyFont="0" applyFill="0" applyBorder="0" applyAlignment="0" applyProtection="0"/>
    <xf numFmtId="0" fontId="7" fillId="0" borderId="0"/>
    <xf numFmtId="164" fontId="7" fillId="0" borderId="0" applyFont="0" applyFill="0" applyBorder="0" applyAlignment="0" applyProtection="0"/>
    <xf numFmtId="0" fontId="11" fillId="2" borderId="1"/>
    <xf numFmtId="0" fontId="7" fillId="0" borderId="0"/>
    <xf numFmtId="0" fontId="6" fillId="0" borderId="0"/>
    <xf numFmtId="9"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0" fontId="5" fillId="0" borderId="0"/>
    <xf numFmtId="0" fontId="5" fillId="0" borderId="0"/>
    <xf numFmtId="0" fontId="5" fillId="0" borderId="0"/>
    <xf numFmtId="0" fontId="4" fillId="0" borderId="0"/>
    <xf numFmtId="44" fontId="42" fillId="0" borderId="0" applyFont="0" applyFill="0" applyBorder="0" applyAlignment="0" applyProtection="0"/>
    <xf numFmtId="0" fontId="44"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43" fontId="7" fillId="0" borderId="0" applyFont="0" applyFill="0" applyBorder="0" applyAlignment="0" applyProtection="0"/>
    <xf numFmtId="0" fontId="3" fillId="0" borderId="0"/>
    <xf numFmtId="44" fontId="25" fillId="0" borderId="0" applyFont="0" applyFill="0" applyBorder="0" applyAlignment="0" applyProtection="0"/>
    <xf numFmtId="43" fontId="25" fillId="0" borderId="0" applyFont="0" applyFill="0" applyBorder="0" applyAlignment="0" applyProtection="0"/>
    <xf numFmtId="0" fontId="3" fillId="0" borderId="0"/>
    <xf numFmtId="0" fontId="3" fillId="0" borderId="0"/>
    <xf numFmtId="44" fontId="7" fillId="0" borderId="0" applyFont="0" applyFill="0" applyBorder="0" applyAlignment="0" applyProtection="0"/>
    <xf numFmtId="0" fontId="3" fillId="0" borderId="0"/>
    <xf numFmtId="44"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2" fillId="0" borderId="0"/>
    <xf numFmtId="0" fontId="1" fillId="0" borderId="0"/>
    <xf numFmtId="44" fontId="7" fillId="0" borderId="0" applyFont="0" applyFill="0" applyBorder="0" applyAlignment="0" applyProtection="0"/>
  </cellStyleXfs>
  <cellXfs count="473">
    <xf numFmtId="0" fontId="0" fillId="0" borderId="0" xfId="0"/>
    <xf numFmtId="0" fontId="27" fillId="0" borderId="0" xfId="0" applyFont="1" applyAlignment="1">
      <alignment horizontal="center"/>
    </xf>
    <xf numFmtId="0" fontId="27" fillId="0" borderId="0" xfId="0" applyFont="1"/>
    <xf numFmtId="0" fontId="33" fillId="0" borderId="0" xfId="29" applyFont="1"/>
    <xf numFmtId="0" fontId="27" fillId="0" borderId="0" xfId="0" applyFont="1" applyAlignment="1">
      <alignment vertical="center"/>
    </xf>
    <xf numFmtId="0" fontId="29" fillId="0" borderId="0" xfId="0" applyFont="1" applyAlignment="1">
      <alignment horizontal="center"/>
    </xf>
    <xf numFmtId="169" fontId="27" fillId="0" borderId="0" xfId="0" applyNumberFormat="1" applyFont="1"/>
    <xf numFmtId="2" fontId="27" fillId="0" borderId="0" xfId="0" applyNumberFormat="1" applyFont="1"/>
    <xf numFmtId="0" fontId="27" fillId="0" borderId="0" xfId="0" applyFont="1" applyAlignment="1">
      <alignment vertical="center" wrapText="1"/>
    </xf>
    <xf numFmtId="0" fontId="27" fillId="0" borderId="0" xfId="30" applyFont="1" applyAlignment="1">
      <alignment vertical="center"/>
    </xf>
    <xf numFmtId="164" fontId="27" fillId="5" borderId="9" xfId="0" applyNumberFormat="1" applyFont="1" applyFill="1" applyBorder="1" applyAlignment="1">
      <alignment horizontal="left" vertical="center"/>
    </xf>
    <xf numFmtId="10" fontId="27" fillId="5" borderId="9" xfId="0" applyNumberFormat="1" applyFont="1" applyFill="1" applyBorder="1" applyAlignment="1">
      <alignment horizontal="center" vertical="center"/>
    </xf>
    <xf numFmtId="173" fontId="27" fillId="0" borderId="9" xfId="0" applyNumberFormat="1" applyFont="1" applyBorder="1" applyAlignment="1">
      <alignment vertical="center"/>
    </xf>
    <xf numFmtId="10" fontId="27" fillId="0" borderId="9" xfId="0" applyNumberFormat="1" applyFont="1" applyBorder="1" applyAlignment="1">
      <alignment horizontal="center" vertical="center"/>
    </xf>
    <xf numFmtId="171" fontId="27" fillId="0" borderId="9" xfId="2" applyFont="1" applyBorder="1" applyAlignment="1" applyProtection="1">
      <alignment horizontal="left" vertical="center"/>
      <protection locked="0"/>
    </xf>
    <xf numFmtId="172" fontId="27" fillId="0" borderId="9" xfId="31" applyNumberFormat="1" applyFont="1" applyBorder="1" applyAlignment="1" applyProtection="1">
      <alignment horizontal="left" vertical="center"/>
      <protection hidden="1"/>
    </xf>
    <xf numFmtId="0" fontId="31" fillId="0" borderId="0" xfId="0" applyFont="1" applyAlignment="1">
      <alignment vertical="center"/>
    </xf>
    <xf numFmtId="0" fontId="29" fillId="0" borderId="0" xfId="0" applyFont="1" applyAlignment="1">
      <alignment horizontal="center" vertical="center"/>
    </xf>
    <xf numFmtId="170" fontId="27" fillId="0" borderId="0" xfId="0" applyNumberFormat="1" applyFont="1" applyAlignment="1">
      <alignment vertical="center"/>
    </xf>
    <xf numFmtId="170" fontId="27" fillId="0" borderId="0" xfId="0" applyNumberFormat="1" applyFont="1" applyAlignment="1" applyProtection="1">
      <alignment horizontal="center" vertical="center"/>
      <protection locked="0"/>
    </xf>
    <xf numFmtId="166" fontId="27" fillId="0" borderId="0" xfId="0" applyNumberFormat="1" applyFont="1" applyAlignment="1" applyProtection="1">
      <alignment horizontal="left" vertical="center"/>
      <protection hidden="1"/>
    </xf>
    <xf numFmtId="0" fontId="27" fillId="0" borderId="0" xfId="0" applyFont="1" applyAlignment="1">
      <alignment horizontal="center" vertical="center"/>
    </xf>
    <xf numFmtId="170" fontId="27" fillId="0" borderId="0" xfId="0" applyNumberFormat="1" applyFont="1" applyAlignment="1">
      <alignment horizontal="center" vertical="center"/>
    </xf>
    <xf numFmtId="172" fontId="27" fillId="0" borderId="0" xfId="31" applyNumberFormat="1" applyFont="1" applyAlignment="1" applyProtection="1">
      <alignment horizontal="left" vertical="center"/>
      <protection hidden="1"/>
    </xf>
    <xf numFmtId="171" fontId="27" fillId="0" borderId="0" xfId="2" applyFont="1" applyAlignment="1" applyProtection="1">
      <alignment horizontal="left" vertical="center"/>
      <protection locked="0"/>
    </xf>
    <xf numFmtId="9" fontId="27" fillId="0" borderId="9" xfId="0" applyNumberFormat="1" applyFont="1" applyBorder="1" applyAlignment="1">
      <alignment horizontal="center" vertical="center"/>
    </xf>
    <xf numFmtId="173" fontId="27" fillId="0" borderId="9" xfId="0" applyNumberFormat="1" applyFont="1" applyBorder="1" applyAlignment="1" applyProtection="1">
      <alignment vertical="center"/>
      <protection locked="0"/>
    </xf>
    <xf numFmtId="173" fontId="27" fillId="0" borderId="9" xfId="2" applyNumberFormat="1" applyFont="1" applyBorder="1" applyAlignment="1" applyProtection="1">
      <alignment horizontal="left" vertical="center"/>
      <protection hidden="1"/>
    </xf>
    <xf numFmtId="173" fontId="27" fillId="0" borderId="0" xfId="0" applyNumberFormat="1" applyFont="1" applyAlignment="1">
      <alignment vertical="center"/>
    </xf>
    <xf numFmtId="0" fontId="27" fillId="0" borderId="0" xfId="30" applyFont="1" applyAlignment="1">
      <alignment vertical="center" wrapText="1"/>
    </xf>
    <xf numFmtId="0" fontId="27" fillId="0" borderId="0" xfId="30" applyFont="1" applyAlignment="1">
      <alignment horizontal="center" vertical="center"/>
    </xf>
    <xf numFmtId="0" fontId="27" fillId="0" borderId="0" xfId="0" applyFont="1" applyAlignment="1">
      <alignment wrapText="1"/>
    </xf>
    <xf numFmtId="2" fontId="27" fillId="0" borderId="0" xfId="0" applyNumberFormat="1" applyFont="1" applyAlignment="1">
      <alignment vertical="center" wrapText="1"/>
    </xf>
    <xf numFmtId="0" fontId="27" fillId="0" borderId="0" xfId="0" applyFont="1" applyAlignment="1">
      <alignment horizontal="center" vertical="center" wrapText="1"/>
    </xf>
    <xf numFmtId="4" fontId="27" fillId="0" borderId="0" xfId="0" applyNumberFormat="1" applyFont="1" applyAlignment="1">
      <alignment vertical="center"/>
    </xf>
    <xf numFmtId="4" fontId="27" fillId="0" borderId="0" xfId="0" applyNumberFormat="1" applyFont="1" applyAlignment="1">
      <alignment horizontal="center" vertical="center"/>
    </xf>
    <xf numFmtId="164" fontId="27" fillId="0" borderId="0" xfId="8" applyFont="1" applyAlignment="1">
      <alignment vertical="center"/>
    </xf>
    <xf numFmtId="0" fontId="29" fillId="0" borderId="0" xfId="0" applyFont="1" applyAlignment="1">
      <alignment vertical="center"/>
    </xf>
    <xf numFmtId="3" fontId="27" fillId="0" borderId="0" xfId="0" applyNumberFormat="1" applyFont="1" applyAlignment="1">
      <alignment horizontal="center" vertical="center"/>
    </xf>
    <xf numFmtId="2" fontId="30" fillId="0" borderId="0" xfId="0" applyNumberFormat="1" applyFont="1" applyAlignment="1">
      <alignment horizontal="left" vertical="center"/>
    </xf>
    <xf numFmtId="164" fontId="27" fillId="6" borderId="0" xfId="0" applyNumberFormat="1" applyFont="1" applyFill="1" applyAlignment="1">
      <alignment horizontal="center" vertical="center"/>
    </xf>
    <xf numFmtId="3" fontId="27" fillId="0" borderId="0" xfId="8" applyNumberFormat="1" applyFont="1" applyAlignment="1">
      <alignment vertical="center"/>
    </xf>
    <xf numFmtId="0" fontId="27" fillId="0" borderId="5" xfId="30" applyFont="1" applyBorder="1" applyAlignment="1">
      <alignment vertical="center"/>
    </xf>
    <xf numFmtId="0" fontId="27" fillId="0" borderId="10" xfId="30" applyFont="1" applyBorder="1" applyAlignment="1">
      <alignment vertical="center"/>
    </xf>
    <xf numFmtId="0" fontId="34" fillId="0" borderId="0" xfId="29" applyFont="1"/>
    <xf numFmtId="0" fontId="33" fillId="0" borderId="0" xfId="29" applyFont="1" applyAlignment="1">
      <alignment horizontal="center" vertical="center"/>
    </xf>
    <xf numFmtId="173" fontId="37" fillId="9" borderId="13" xfId="0" applyNumberFormat="1" applyFont="1" applyFill="1" applyBorder="1" applyAlignment="1">
      <alignment horizontal="center" vertical="center" wrapText="1"/>
    </xf>
    <xf numFmtId="0" fontId="37" fillId="9" borderId="0" xfId="0" applyFont="1" applyFill="1" applyAlignment="1">
      <alignment horizontal="center" vertical="center" wrapText="1"/>
    </xf>
    <xf numFmtId="0" fontId="37" fillId="9" borderId="0" xfId="0" applyFont="1" applyFill="1" applyAlignment="1">
      <alignment vertical="center" wrapText="1"/>
    </xf>
    <xf numFmtId="164" fontId="37" fillId="9" borderId="0" xfId="0" applyNumberFormat="1" applyFont="1" applyFill="1" applyAlignment="1">
      <alignment horizontal="center" vertical="center" wrapText="1"/>
    </xf>
    <xf numFmtId="164" fontId="38" fillId="5" borderId="0" xfId="0" applyNumberFormat="1" applyFont="1" applyFill="1" applyAlignment="1">
      <alignment horizontal="center" vertical="center"/>
    </xf>
    <xf numFmtId="4" fontId="37" fillId="9" borderId="0" xfId="0" applyNumberFormat="1" applyFont="1" applyFill="1" applyAlignment="1">
      <alignment horizontal="center" vertical="center" wrapText="1"/>
    </xf>
    <xf numFmtId="164" fontId="37" fillId="9" borderId="0" xfId="8" applyFont="1" applyFill="1" applyAlignment="1">
      <alignment horizontal="center" vertical="center" wrapText="1"/>
    </xf>
    <xf numFmtId="0" fontId="27" fillId="6" borderId="0" xfId="0" applyFont="1" applyFill="1"/>
    <xf numFmtId="0" fontId="27" fillId="6" borderId="0" xfId="0" applyFont="1" applyFill="1" applyAlignment="1">
      <alignment horizontal="center"/>
    </xf>
    <xf numFmtId="0" fontId="27" fillId="6" borderId="0" xfId="0" applyFont="1" applyFill="1" applyAlignment="1">
      <alignment wrapText="1"/>
    </xf>
    <xf numFmtId="0" fontId="29" fillId="0" borderId="0" xfId="0" applyFont="1" applyAlignment="1">
      <alignment horizontal="center" vertical="center" wrapText="1"/>
    </xf>
    <xf numFmtId="0" fontId="36" fillId="9" borderId="0" xfId="0" applyFont="1" applyFill="1" applyAlignment="1">
      <alignment horizontal="center" vertical="center" wrapText="1"/>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7" fillId="0" borderId="0" xfId="0" applyFont="1" applyAlignment="1">
      <alignment horizontal="center" vertical="center" textRotation="90"/>
    </xf>
    <xf numFmtId="0" fontId="35" fillId="0" borderId="0" xfId="30" applyFont="1" applyAlignment="1">
      <alignment vertical="center"/>
    </xf>
    <xf numFmtId="0" fontId="27" fillId="0" borderId="0" xfId="0" applyFont="1" applyAlignment="1">
      <alignment horizontal="left" vertical="center"/>
    </xf>
    <xf numFmtId="0" fontId="27" fillId="0" borderId="0" xfId="0" applyFont="1" applyAlignment="1">
      <alignment horizontal="left" vertical="center" wrapText="1"/>
    </xf>
    <xf numFmtId="0" fontId="27" fillId="0" borderId="0" xfId="0" applyFont="1" applyAlignment="1">
      <alignment horizontal="center" vertical="center" textRotation="90" wrapText="1"/>
    </xf>
    <xf numFmtId="173" fontId="27" fillId="5" borderId="0" xfId="0" applyNumberFormat="1" applyFont="1" applyFill="1" applyAlignment="1">
      <alignment vertical="center"/>
    </xf>
    <xf numFmtId="0" fontId="27" fillId="6" borderId="0" xfId="0" applyFont="1" applyFill="1" applyAlignment="1">
      <alignment horizontal="center" vertical="center" textRotation="90"/>
    </xf>
    <xf numFmtId="0" fontId="27" fillId="6" borderId="0" xfId="0" applyFont="1" applyFill="1" applyAlignment="1">
      <alignment vertical="center"/>
    </xf>
    <xf numFmtId="168" fontId="27" fillId="0" borderId="0" xfId="19" applyFont="1" applyAlignment="1">
      <alignment horizontal="center" vertical="center" wrapText="1"/>
    </xf>
    <xf numFmtId="173" fontId="27" fillId="0" borderId="0" xfId="0" applyNumberFormat="1" applyFont="1" applyAlignment="1">
      <alignment horizontal="center" vertical="center" wrapText="1"/>
    </xf>
    <xf numFmtId="0" fontId="27" fillId="6" borderId="0" xfId="0" applyFont="1" applyFill="1" applyAlignment="1">
      <alignment vertical="center" wrapText="1"/>
    </xf>
    <xf numFmtId="2" fontId="27" fillId="6" borderId="0" xfId="0" applyNumberFormat="1" applyFont="1" applyFill="1"/>
    <xf numFmtId="169" fontId="27" fillId="6" borderId="0" xfId="0" applyNumberFormat="1" applyFont="1" applyFill="1"/>
    <xf numFmtId="17" fontId="27" fillId="6" borderId="0" xfId="0" applyNumberFormat="1" applyFont="1" applyFill="1" applyAlignment="1">
      <alignment horizontal="center"/>
    </xf>
    <xf numFmtId="2" fontId="29" fillId="6" borderId="0" xfId="0" applyNumberFormat="1" applyFont="1" applyFill="1" applyAlignment="1">
      <alignment vertical="center"/>
    </xf>
    <xf numFmtId="169" fontId="27" fillId="6" borderId="0" xfId="0" applyNumberFormat="1" applyFont="1" applyFill="1" applyAlignment="1">
      <alignment vertical="center"/>
    </xf>
    <xf numFmtId="0" fontId="27" fillId="6" borderId="0" xfId="0" applyFont="1" applyFill="1" applyAlignment="1">
      <alignment horizontal="center" vertical="center"/>
    </xf>
    <xf numFmtId="169" fontId="27" fillId="6" borderId="0" xfId="0" applyNumberFormat="1" applyFont="1" applyFill="1" applyAlignment="1">
      <alignment wrapText="1"/>
    </xf>
    <xf numFmtId="0" fontId="37" fillId="10" borderId="9" xfId="0" applyFont="1" applyFill="1" applyBorder="1" applyAlignment="1">
      <alignment horizontal="center" vertical="center" wrapText="1"/>
    </xf>
    <xf numFmtId="170" fontId="37" fillId="10" borderId="9" xfId="0" applyNumberFormat="1" applyFont="1" applyFill="1" applyBorder="1" applyAlignment="1">
      <alignment horizontal="center" vertical="center" wrapText="1"/>
    </xf>
    <xf numFmtId="0" fontId="36" fillId="10" borderId="7" xfId="0" applyFont="1" applyFill="1" applyBorder="1" applyAlignment="1">
      <alignment vertical="center" wrapText="1"/>
    </xf>
    <xf numFmtId="0" fontId="36" fillId="10" borderId="4" xfId="0" applyFont="1" applyFill="1" applyBorder="1" applyAlignment="1">
      <alignment vertical="center" wrapText="1"/>
    </xf>
    <xf numFmtId="0" fontId="27" fillId="0" borderId="0" xfId="30" applyFont="1" applyAlignment="1">
      <alignment horizontal="center" vertical="center" wrapText="1"/>
    </xf>
    <xf numFmtId="0" fontId="29" fillId="6" borderId="0" xfId="0" applyFont="1" applyFill="1" applyAlignment="1">
      <alignment horizontal="left" vertical="center"/>
    </xf>
    <xf numFmtId="0" fontId="28" fillId="0" borderId="0" xfId="30" applyFont="1" applyAlignment="1">
      <alignment horizontal="center" vertical="center"/>
    </xf>
    <xf numFmtId="9" fontId="29" fillId="5" borderId="0" xfId="38" applyFont="1" applyFill="1" applyAlignment="1">
      <alignment horizontal="center" vertical="center"/>
    </xf>
    <xf numFmtId="2" fontId="27" fillId="6" borderId="0" xfId="0" applyNumberFormat="1" applyFont="1" applyFill="1" applyAlignment="1">
      <alignment vertical="center"/>
    </xf>
    <xf numFmtId="17" fontId="27" fillId="6" borderId="0" xfId="0" applyNumberFormat="1" applyFont="1" applyFill="1" applyAlignment="1">
      <alignment horizontal="center" vertical="center"/>
    </xf>
    <xf numFmtId="177" fontId="27" fillId="6" borderId="0" xfId="0" applyNumberFormat="1" applyFont="1" applyFill="1" applyAlignment="1">
      <alignment vertical="center"/>
    </xf>
    <xf numFmtId="177" fontId="27" fillId="6" borderId="0" xfId="0" applyNumberFormat="1" applyFont="1" applyFill="1" applyAlignment="1">
      <alignment horizontal="center" vertical="center"/>
    </xf>
    <xf numFmtId="177" fontId="27" fillId="0" borderId="0" xfId="0" applyNumberFormat="1" applyFont="1" applyAlignment="1">
      <alignment vertical="center"/>
    </xf>
    <xf numFmtId="177" fontId="27" fillId="0" borderId="0" xfId="0" applyNumberFormat="1" applyFont="1" applyAlignment="1">
      <alignment horizontal="center" vertical="center"/>
    </xf>
    <xf numFmtId="0" fontId="27" fillId="0" borderId="0" xfId="0" applyFont="1" applyAlignment="1" applyProtection="1">
      <alignment vertical="center"/>
      <protection hidden="1"/>
    </xf>
    <xf numFmtId="169" fontId="27" fillId="0" borderId="0" xfId="0" applyNumberFormat="1" applyFont="1" applyAlignment="1" applyProtection="1">
      <alignment vertical="center"/>
      <protection hidden="1"/>
    </xf>
    <xf numFmtId="2" fontId="27" fillId="0" borderId="0" xfId="0" applyNumberFormat="1" applyFont="1" applyAlignment="1" applyProtection="1">
      <alignment vertical="center"/>
      <protection hidden="1"/>
    </xf>
    <xf numFmtId="168" fontId="27" fillId="0" borderId="0" xfId="19" applyFont="1" applyAlignment="1">
      <alignment vertical="center"/>
    </xf>
    <xf numFmtId="169" fontId="27" fillId="0" borderId="0" xfId="0" applyNumberFormat="1" applyFont="1" applyAlignment="1">
      <alignment vertical="center"/>
    </xf>
    <xf numFmtId="2" fontId="27" fillId="0" borderId="0" xfId="0" applyNumberFormat="1" applyFont="1" applyAlignment="1">
      <alignment horizontal="center" vertical="center" wrapText="1"/>
    </xf>
    <xf numFmtId="170" fontId="27" fillId="5" borderId="0" xfId="0" applyNumberFormat="1" applyFont="1" applyFill="1" applyAlignment="1">
      <alignment vertical="center"/>
    </xf>
    <xf numFmtId="0" fontId="27" fillId="6" borderId="0" xfId="0" applyFont="1" applyFill="1" applyAlignment="1">
      <alignment horizontal="left" vertical="center"/>
    </xf>
    <xf numFmtId="0" fontId="27" fillId="6" borderId="0" xfId="0" applyFont="1" applyFill="1" applyAlignment="1">
      <alignment horizontal="center" wrapText="1"/>
    </xf>
    <xf numFmtId="17" fontId="29" fillId="6" borderId="0" xfId="0" applyNumberFormat="1" applyFont="1" applyFill="1" applyAlignment="1">
      <alignment horizontal="center"/>
    </xf>
    <xf numFmtId="0" fontId="29" fillId="6" borderId="0" xfId="0" applyFont="1" applyFill="1" applyAlignment="1">
      <alignment horizontal="center"/>
    </xf>
    <xf numFmtId="0" fontId="37" fillId="9" borderId="9" xfId="0" applyFont="1" applyFill="1" applyBorder="1" applyAlignment="1">
      <alignment horizontal="center" vertical="center" wrapText="1"/>
    </xf>
    <xf numFmtId="0" fontId="37" fillId="9" borderId="9" xfId="0" applyFont="1" applyFill="1" applyBorder="1" applyAlignment="1">
      <alignment horizontal="left" vertical="center" wrapText="1"/>
    </xf>
    <xf numFmtId="168" fontId="37" fillId="9" borderId="9" xfId="19" applyFont="1" applyFill="1" applyBorder="1" applyAlignment="1">
      <alignment horizontal="center" vertical="center" wrapText="1"/>
    </xf>
    <xf numFmtId="173" fontId="37" fillId="9" borderId="9" xfId="0" applyNumberFormat="1" applyFont="1" applyFill="1" applyBorder="1" applyAlignment="1">
      <alignment horizontal="center" vertical="center" wrapText="1"/>
    </xf>
    <xf numFmtId="0" fontId="33" fillId="0" borderId="0" xfId="29" applyFont="1" applyAlignment="1">
      <alignment horizontal="center"/>
    </xf>
    <xf numFmtId="0" fontId="38" fillId="7" borderId="9" xfId="0" applyFont="1" applyFill="1" applyBorder="1" applyAlignment="1">
      <alignment horizontal="left" vertical="center"/>
    </xf>
    <xf numFmtId="0" fontId="38" fillId="8" borderId="9" xfId="0" applyFont="1" applyFill="1" applyBorder="1" applyAlignment="1">
      <alignment horizontal="left" vertical="center"/>
    </xf>
    <xf numFmtId="0" fontId="27" fillId="7" borderId="9" xfId="0" applyFont="1" applyFill="1" applyBorder="1" applyAlignment="1">
      <alignment vertical="center"/>
    </xf>
    <xf numFmtId="182" fontId="27" fillId="7" borderId="9" xfId="0" applyNumberFormat="1" applyFont="1" applyFill="1" applyBorder="1" applyAlignment="1">
      <alignment horizontal="center" vertical="center"/>
    </xf>
    <xf numFmtId="0" fontId="27" fillId="7" borderId="7" xfId="0" applyFont="1" applyFill="1" applyBorder="1" applyAlignment="1">
      <alignment vertical="center"/>
    </xf>
    <xf numFmtId="0" fontId="27" fillId="7" borderId="4" xfId="0" applyFont="1" applyFill="1" applyBorder="1" applyAlignment="1">
      <alignment vertical="center"/>
    </xf>
    <xf numFmtId="0" fontId="27" fillId="7" borderId="14" xfId="0" applyFont="1" applyFill="1" applyBorder="1" applyAlignment="1">
      <alignment vertical="center"/>
    </xf>
    <xf numFmtId="0" fontId="38" fillId="0" borderId="0" xfId="0" applyFont="1" applyAlignment="1">
      <alignment horizontal="center" vertical="center" textRotation="90"/>
    </xf>
    <xf numFmtId="0" fontId="38" fillId="0" borderId="0" xfId="0" applyFont="1"/>
    <xf numFmtId="173" fontId="40" fillId="13" borderId="9" xfId="0" applyNumberFormat="1" applyFont="1" applyFill="1" applyBorder="1" applyAlignment="1">
      <alignment vertical="center"/>
    </xf>
    <xf numFmtId="2" fontId="27" fillId="0" borderId="0" xfId="0" applyNumberFormat="1" applyFont="1" applyAlignment="1">
      <alignment horizontal="center" vertical="center"/>
    </xf>
    <xf numFmtId="0" fontId="27" fillId="0" borderId="0" xfId="0" applyFont="1" applyAlignment="1">
      <alignment horizontal="right" vertical="center"/>
    </xf>
    <xf numFmtId="164" fontId="27" fillId="0" borderId="0" xfId="8" applyFont="1" applyAlignment="1">
      <alignment horizontal="right" vertical="center"/>
    </xf>
    <xf numFmtId="2" fontId="30" fillId="0" borderId="0" xfId="0" applyNumberFormat="1" applyFont="1" applyAlignment="1">
      <alignment horizontal="right" vertical="center"/>
    </xf>
    <xf numFmtId="4" fontId="27" fillId="0" borderId="0" xfId="0" applyNumberFormat="1" applyFont="1" applyAlignment="1">
      <alignment horizontal="right" vertical="center"/>
    </xf>
    <xf numFmtId="4" fontId="37" fillId="9" borderId="0" xfId="0" applyNumberFormat="1" applyFont="1" applyFill="1" applyAlignment="1">
      <alignment horizontal="right" vertical="center" wrapText="1"/>
    </xf>
    <xf numFmtId="49" fontId="27" fillId="6" borderId="0" xfId="0" applyNumberFormat="1" applyFont="1" applyFill="1" applyAlignment="1">
      <alignment horizontal="center" vertical="center"/>
    </xf>
    <xf numFmtId="49" fontId="27"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8" fillId="0" borderId="9" xfId="0" applyFont="1" applyBorder="1" applyAlignment="1">
      <alignment horizontal="center" vertical="center"/>
    </xf>
    <xf numFmtId="0" fontId="38" fillId="0" borderId="9" xfId="0" applyFont="1" applyBorder="1" applyAlignment="1">
      <alignment vertical="center"/>
    </xf>
    <xf numFmtId="3" fontId="38" fillId="0" borderId="9" xfId="0" applyNumberFormat="1" applyFont="1" applyBorder="1" applyAlignment="1">
      <alignment vertical="center"/>
    </xf>
    <xf numFmtId="179" fontId="38" fillId="0" borderId="9" xfId="0" applyNumberFormat="1" applyFont="1" applyBorder="1" applyAlignment="1">
      <alignment vertical="center"/>
    </xf>
    <xf numFmtId="173" fontId="38" fillId="0" borderId="9" xfId="0" applyNumberFormat="1" applyFont="1" applyBorder="1" applyAlignment="1">
      <alignment vertical="center"/>
    </xf>
    <xf numFmtId="173" fontId="38" fillId="0" borderId="14" xfId="0" applyNumberFormat="1" applyFont="1" applyBorder="1" applyAlignment="1">
      <alignment vertical="center"/>
    </xf>
    <xf numFmtId="0" fontId="38" fillId="0" borderId="0" xfId="0" applyFont="1" applyAlignment="1">
      <alignment horizontal="center"/>
    </xf>
    <xf numFmtId="0" fontId="27" fillId="6" borderId="5" xfId="30" applyFont="1" applyFill="1" applyBorder="1" applyAlignment="1">
      <alignment vertical="center"/>
    </xf>
    <xf numFmtId="178" fontId="27" fillId="0" borderId="0" xfId="0" applyNumberFormat="1" applyFont="1" applyAlignment="1">
      <alignment vertical="center"/>
    </xf>
    <xf numFmtId="0" fontId="7" fillId="0" borderId="0" xfId="42" applyAlignment="1">
      <alignment wrapText="1"/>
    </xf>
    <xf numFmtId="10" fontId="37" fillId="10" borderId="9" xfId="0" applyNumberFormat="1" applyFont="1" applyFill="1" applyBorder="1" applyAlignment="1">
      <alignment horizontal="center" vertical="center" wrapText="1"/>
    </xf>
    <xf numFmtId="44" fontId="27" fillId="5" borderId="9" xfId="48" applyFont="1" applyFill="1" applyBorder="1" applyAlignment="1">
      <alignment horizontal="center" vertical="center"/>
    </xf>
    <xf numFmtId="170" fontId="27" fillId="0" borderId="9" xfId="44" applyNumberFormat="1" applyFont="1" applyFill="1" applyBorder="1" applyAlignment="1">
      <alignment horizontal="center" vertical="center"/>
    </xf>
    <xf numFmtId="170" fontId="27" fillId="0" borderId="9" xfId="0" applyNumberFormat="1" applyFont="1" applyBorder="1" applyAlignment="1">
      <alignment horizontal="center" vertical="center"/>
    </xf>
    <xf numFmtId="0" fontId="36" fillId="10" borderId="9" xfId="0" applyFont="1" applyFill="1" applyBorder="1" applyAlignment="1">
      <alignment vertical="center" wrapText="1"/>
    </xf>
    <xf numFmtId="168" fontId="27" fillId="6" borderId="0" xfId="19" applyFont="1" applyFill="1" applyAlignment="1">
      <alignment vertical="center"/>
    </xf>
    <xf numFmtId="168" fontId="27" fillId="0" borderId="0" xfId="19" applyFont="1" applyAlignment="1" applyProtection="1">
      <alignment vertical="center"/>
      <protection hidden="1"/>
    </xf>
    <xf numFmtId="44" fontId="27" fillId="6" borderId="0" xfId="54" applyFont="1" applyFill="1" applyAlignment="1">
      <alignment vertical="center"/>
    </xf>
    <xf numFmtId="44" fontId="27" fillId="0" borderId="0" xfId="54" applyFont="1" applyAlignment="1">
      <alignment horizontal="center" vertical="center" wrapText="1"/>
    </xf>
    <xf numFmtId="44" fontId="29" fillId="0" borderId="0" xfId="54" applyFont="1" applyAlignment="1">
      <alignment horizontal="center" vertical="center"/>
    </xf>
    <xf numFmtId="173" fontId="0" fillId="0" borderId="9" xfId="0" applyNumberFormat="1" applyBorder="1" applyAlignment="1">
      <alignment vertical="center"/>
    </xf>
    <xf numFmtId="173" fontId="37" fillId="9" borderId="14" xfId="0" applyNumberFormat="1" applyFont="1" applyFill="1" applyBorder="1" applyAlignment="1">
      <alignment horizontal="center" vertical="center" wrapText="1"/>
    </xf>
    <xf numFmtId="168" fontId="27" fillId="0" borderId="0" xfId="19" applyFont="1" applyFill="1" applyAlignment="1">
      <alignment horizontal="center" vertical="center" wrapText="1"/>
    </xf>
    <xf numFmtId="44" fontId="27" fillId="0" borderId="0" xfId="54" applyFont="1" applyFill="1" applyAlignment="1">
      <alignment horizontal="center" vertical="center" wrapText="1"/>
    </xf>
    <xf numFmtId="0" fontId="27" fillId="6" borderId="0" xfId="0" applyFont="1" applyFill="1" applyAlignment="1">
      <alignment horizontal="left" vertical="top"/>
    </xf>
    <xf numFmtId="0" fontId="27" fillId="0" borderId="0" xfId="0" applyFont="1" applyAlignment="1">
      <alignment horizontal="left" vertical="top"/>
    </xf>
    <xf numFmtId="9" fontId="27" fillId="0" borderId="0" xfId="38" applyFont="1" applyAlignment="1">
      <alignment vertical="center"/>
    </xf>
    <xf numFmtId="9" fontId="33" fillId="0" borderId="0" xfId="38" applyFont="1"/>
    <xf numFmtId="173" fontId="33" fillId="0" borderId="0" xfId="29" applyNumberFormat="1" applyFont="1"/>
    <xf numFmtId="44" fontId="33" fillId="0" borderId="0" xfId="54" applyFont="1"/>
    <xf numFmtId="1" fontId="29" fillId="5" borderId="0" xfId="0" applyNumberFormat="1" applyFont="1" applyFill="1" applyAlignment="1">
      <alignment horizontal="center" vertical="center"/>
    </xf>
    <xf numFmtId="44" fontId="27" fillId="0" borderId="0" xfId="0" applyNumberFormat="1" applyFont="1" applyAlignment="1">
      <alignment vertical="center"/>
    </xf>
    <xf numFmtId="2" fontId="29" fillId="0" borderId="15" xfId="0" applyNumberFormat="1" applyFont="1" applyBorder="1" applyAlignment="1">
      <alignment vertical="center" wrapText="1"/>
    </xf>
    <xf numFmtId="2" fontId="29" fillId="0" borderId="16" xfId="0" applyNumberFormat="1" applyFont="1" applyBorder="1" applyAlignment="1">
      <alignment vertical="center" wrapText="1"/>
    </xf>
    <xf numFmtId="0" fontId="29" fillId="9" borderId="17" xfId="0" applyFont="1" applyFill="1" applyBorder="1" applyAlignment="1">
      <alignment horizontal="center" vertical="center" wrapText="1"/>
    </xf>
    <xf numFmtId="0" fontId="29" fillId="0" borderId="16" xfId="0" applyFont="1" applyBorder="1" applyAlignment="1">
      <alignment vertical="center" wrapText="1"/>
    </xf>
    <xf numFmtId="183" fontId="29" fillId="5" borderId="20" xfId="38" applyNumberFormat="1" applyFont="1" applyFill="1" applyBorder="1" applyAlignment="1">
      <alignment horizontal="center" vertical="center"/>
    </xf>
    <xf numFmtId="1" fontId="27" fillId="8" borderId="0" xfId="30" applyNumberFormat="1" applyFont="1" applyFill="1" applyAlignment="1">
      <alignment horizontal="center" vertical="center"/>
    </xf>
    <xf numFmtId="0" fontId="27" fillId="8" borderId="0" xfId="30" applyFont="1" applyFill="1" applyAlignment="1">
      <alignment horizontal="left" vertical="center"/>
    </xf>
    <xf numFmtId="1" fontId="27" fillId="7" borderId="0" xfId="30" applyNumberFormat="1" applyFont="1" applyFill="1" applyAlignment="1">
      <alignment horizontal="center" vertical="center"/>
    </xf>
    <xf numFmtId="0" fontId="27" fillId="7" borderId="0" xfId="30" applyFont="1" applyFill="1" applyAlignment="1">
      <alignment horizontal="left" vertical="center"/>
    </xf>
    <xf numFmtId="184" fontId="27" fillId="0" borderId="0" xfId="0" applyNumberFormat="1" applyFont="1" applyAlignment="1">
      <alignment vertical="center"/>
    </xf>
    <xf numFmtId="44" fontId="27" fillId="0" borderId="0" xfId="0" applyNumberFormat="1" applyFont="1" applyAlignment="1">
      <alignment vertical="center" wrapText="1"/>
    </xf>
    <xf numFmtId="1" fontId="27" fillId="0" borderId="0" xfId="0" applyNumberFormat="1" applyFont="1" applyAlignment="1">
      <alignment vertical="center"/>
    </xf>
    <xf numFmtId="10" fontId="27" fillId="6" borderId="0" xfId="0" applyNumberFormat="1" applyFont="1" applyFill="1"/>
    <xf numFmtId="1" fontId="27" fillId="6" borderId="0" xfId="0" applyNumberFormat="1" applyFont="1" applyFill="1"/>
    <xf numFmtId="1" fontId="27" fillId="6" borderId="0" xfId="0" applyNumberFormat="1" applyFont="1" applyFill="1" applyAlignment="1">
      <alignment vertical="center"/>
    </xf>
    <xf numFmtId="1" fontId="27" fillId="6" borderId="0" xfId="0" applyNumberFormat="1" applyFont="1" applyFill="1" applyAlignment="1">
      <alignment wrapText="1"/>
    </xf>
    <xf numFmtId="44" fontId="27" fillId="6" borderId="0" xfId="0" applyNumberFormat="1" applyFont="1" applyFill="1"/>
    <xf numFmtId="44" fontId="27" fillId="6" borderId="0" xfId="0" applyNumberFormat="1" applyFont="1" applyFill="1" applyAlignment="1">
      <alignment wrapText="1"/>
    </xf>
    <xf numFmtId="44" fontId="27" fillId="6" borderId="0" xfId="54" applyFont="1" applyFill="1" applyAlignment="1">
      <alignment wrapText="1"/>
    </xf>
    <xf numFmtId="44" fontId="27" fillId="6" borderId="0" xfId="0" applyNumberFormat="1" applyFont="1" applyFill="1" applyAlignment="1">
      <alignment horizontal="center"/>
    </xf>
    <xf numFmtId="0" fontId="29" fillId="6" borderId="0" xfId="0" applyFont="1" applyFill="1" applyAlignment="1">
      <alignment vertical="center"/>
    </xf>
    <xf numFmtId="44" fontId="27" fillId="6" borderId="0" xfId="0" applyNumberFormat="1" applyFont="1" applyFill="1" applyAlignment="1">
      <alignment vertical="center"/>
    </xf>
    <xf numFmtId="44" fontId="27" fillId="6" borderId="0" xfId="54" applyFont="1" applyFill="1"/>
    <xf numFmtId="44" fontId="27" fillId="6" borderId="0" xfId="54" applyFont="1" applyFill="1" applyAlignment="1">
      <alignment horizontal="center" vertical="center"/>
    </xf>
    <xf numFmtId="44" fontId="27" fillId="6" borderId="0" xfId="54" applyFont="1" applyFill="1" applyAlignment="1">
      <alignment horizontal="center" wrapText="1"/>
    </xf>
    <xf numFmtId="44" fontId="27" fillId="0" borderId="0" xfId="54" applyFont="1" applyAlignment="1">
      <alignment wrapText="1"/>
    </xf>
    <xf numFmtId="9" fontId="29" fillId="5" borderId="0" xfId="44" applyFont="1" applyFill="1" applyAlignment="1">
      <alignment horizontal="center" vertical="center"/>
    </xf>
    <xf numFmtId="0" fontId="2" fillId="12" borderId="0" xfId="0" applyFont="1" applyFill="1" applyAlignment="1">
      <alignment horizontal="center" vertical="center"/>
    </xf>
    <xf numFmtId="0" fontId="2" fillId="12" borderId="0" xfId="0" applyFont="1" applyFill="1" applyAlignment="1">
      <alignment horizontal="left" vertical="center"/>
    </xf>
    <xf numFmtId="0" fontId="2" fillId="12" borderId="0" xfId="0" applyFont="1" applyFill="1" applyAlignment="1">
      <alignment vertical="center"/>
    </xf>
    <xf numFmtId="0" fontId="2" fillId="12" borderId="0" xfId="0" applyFont="1" applyFill="1" applyAlignment="1">
      <alignment horizontal="right" vertical="center"/>
    </xf>
    <xf numFmtId="173" fontId="2" fillId="12" borderId="0" xfId="0" applyNumberFormat="1" applyFont="1" applyFill="1" applyAlignment="1">
      <alignment horizontal="center" vertical="center"/>
    </xf>
    <xf numFmtId="184" fontId="33" fillId="0" borderId="0" xfId="29" applyNumberFormat="1" applyFont="1"/>
    <xf numFmtId="0" fontId="27" fillId="0" borderId="18" xfId="30" applyFont="1" applyBorder="1" applyAlignment="1">
      <alignment horizontal="center" vertical="center"/>
    </xf>
    <xf numFmtId="0" fontId="38" fillId="0" borderId="0" xfId="0" applyFont="1" applyAlignment="1">
      <alignment horizontal="center" vertical="center"/>
    </xf>
    <xf numFmtId="0" fontId="38" fillId="0" borderId="0" xfId="0" applyFont="1" applyAlignment="1">
      <alignment horizontal="left" vertical="center"/>
    </xf>
    <xf numFmtId="4" fontId="38" fillId="0" borderId="0" xfId="0" applyNumberFormat="1" applyFont="1" applyAlignment="1">
      <alignment vertical="center"/>
    </xf>
    <xf numFmtId="4" fontId="38" fillId="0" borderId="0" xfId="0" applyNumberFormat="1" applyFont="1" applyAlignment="1">
      <alignment horizontal="center" vertical="center"/>
    </xf>
    <xf numFmtId="4" fontId="38" fillId="0" borderId="0" xfId="0" applyNumberFormat="1" applyFont="1" applyAlignment="1">
      <alignment horizontal="right" vertical="center"/>
    </xf>
    <xf numFmtId="173" fontId="38" fillId="0" borderId="0" xfId="0" applyNumberFormat="1" applyFont="1" applyAlignment="1">
      <alignment horizontal="center" vertical="center"/>
    </xf>
    <xf numFmtId="0" fontId="35" fillId="0" borderId="0" xfId="30" applyFont="1" applyAlignment="1">
      <alignment horizontal="center" vertical="center"/>
    </xf>
    <xf numFmtId="0" fontId="0" fillId="0" borderId="0" xfId="0" applyAlignment="1">
      <alignment horizontal="center" wrapText="1"/>
    </xf>
    <xf numFmtId="0" fontId="46" fillId="6" borderId="0" xfId="0" applyFont="1" applyFill="1" applyAlignment="1">
      <alignment horizontal="center" wrapText="1"/>
    </xf>
    <xf numFmtId="0" fontId="49" fillId="6" borderId="0" xfId="0" applyFont="1" applyFill="1" applyAlignment="1">
      <alignment horizontal="center" wrapText="1"/>
    </xf>
    <xf numFmtId="0" fontId="50" fillId="0" borderId="0" xfId="0" applyFont="1" applyAlignment="1">
      <alignment horizontal="left"/>
    </xf>
    <xf numFmtId="0" fontId="0" fillId="0" borderId="0" xfId="0" applyAlignment="1">
      <alignment horizontal="center"/>
    </xf>
    <xf numFmtId="0" fontId="7" fillId="0" borderId="13" xfId="0" applyFont="1" applyBorder="1" applyAlignment="1">
      <alignment horizontal="center"/>
    </xf>
    <xf numFmtId="0" fontId="7" fillId="0" borderId="10" xfId="0" applyFont="1" applyBorder="1"/>
    <xf numFmtId="0" fontId="7" fillId="0" borderId="10" xfId="0" applyFont="1" applyBorder="1" applyAlignment="1">
      <alignment horizontal="center"/>
    </xf>
    <xf numFmtId="0" fontId="52" fillId="25" borderId="9" xfId="0" applyFont="1" applyFill="1" applyBorder="1" applyAlignment="1">
      <alignment horizontal="left" vertical="top" textRotation="90"/>
    </xf>
    <xf numFmtId="0" fontId="25" fillId="17" borderId="9" xfId="0" applyFont="1" applyFill="1" applyBorder="1" applyAlignment="1">
      <alignment horizontal="left" vertical="top" textRotation="90"/>
    </xf>
    <xf numFmtId="0" fontId="25"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7" fillId="0" borderId="9" xfId="0" applyFont="1" applyBorder="1" applyAlignment="1">
      <alignment horizontal="center"/>
    </xf>
    <xf numFmtId="0" fontId="7"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7" fillId="23" borderId="9" xfId="0" applyFont="1" applyFill="1" applyBorder="1" applyAlignment="1">
      <alignment horizontal="center"/>
    </xf>
    <xf numFmtId="0" fontId="0" fillId="0" borderId="23" xfId="0" applyBorder="1" applyAlignment="1">
      <alignment horizontal="center"/>
    </xf>
    <xf numFmtId="0" fontId="53" fillId="0" borderId="0" xfId="30" applyFont="1"/>
    <xf numFmtId="0" fontId="54" fillId="0" borderId="0" xfId="30" applyFont="1"/>
    <xf numFmtId="0" fontId="55" fillId="0" borderId="0" xfId="30" applyFont="1" applyAlignment="1">
      <alignment vertical="top" wrapText="1"/>
    </xf>
    <xf numFmtId="0" fontId="54" fillId="0" borderId="24" xfId="30" applyFont="1" applyBorder="1"/>
    <xf numFmtId="0" fontId="54" fillId="0" borderId="25" xfId="30" applyFont="1" applyBorder="1" applyAlignment="1">
      <alignment vertical="top" wrapText="1"/>
    </xf>
    <xf numFmtId="0" fontId="54" fillId="0" borderId="25" xfId="30" applyFont="1" applyBorder="1"/>
    <xf numFmtId="0" fontId="54" fillId="0" borderId="0" xfId="30" applyFont="1" applyAlignment="1">
      <alignment wrapText="1"/>
    </xf>
    <xf numFmtId="0" fontId="27" fillId="0" borderId="25" xfId="30" applyFont="1" applyBorder="1" applyAlignment="1">
      <alignment vertical="center"/>
    </xf>
    <xf numFmtId="0" fontId="27" fillId="0" borderId="18" xfId="30" applyFont="1" applyBorder="1" applyAlignment="1">
      <alignment horizontal="left" vertical="center"/>
    </xf>
    <xf numFmtId="0" fontId="29" fillId="13" borderId="0" xfId="0" applyFont="1" applyFill="1" applyAlignment="1">
      <alignment horizontal="center" vertical="center"/>
    </xf>
    <xf numFmtId="0" fontId="7" fillId="24" borderId="9" xfId="0" applyFont="1" applyFill="1" applyBorder="1" applyAlignment="1">
      <alignment horizontal="center"/>
    </xf>
    <xf numFmtId="0" fontId="27" fillId="0" borderId="0" xfId="30" applyFont="1" applyAlignment="1">
      <alignment horizontal="left" vertical="center"/>
    </xf>
    <xf numFmtId="0" fontId="7" fillId="0" borderId="9" xfId="0" applyFont="1" applyBorder="1"/>
    <xf numFmtId="0" fontId="2" fillId="0" borderId="0" xfId="0" applyFont="1" applyAlignment="1">
      <alignment horizontal="left" vertical="center"/>
    </xf>
    <xf numFmtId="44" fontId="2" fillId="0" borderId="20" xfId="54" applyFont="1" applyFill="1" applyBorder="1" applyAlignment="1">
      <alignment horizontal="left" vertical="center"/>
    </xf>
    <xf numFmtId="44" fontId="38" fillId="0" borderId="20" xfId="54" applyFont="1" applyFill="1" applyBorder="1" applyAlignment="1">
      <alignment horizontal="left" vertical="center"/>
    </xf>
    <xf numFmtId="0" fontId="2" fillId="0" borderId="0" xfId="0" applyFont="1" applyAlignment="1">
      <alignment horizontal="center" vertical="center"/>
    </xf>
    <xf numFmtId="173" fontId="2" fillId="0" borderId="0" xfId="0" applyNumberFormat="1" applyFont="1" applyAlignment="1">
      <alignment horizontal="center" vertical="center"/>
    </xf>
    <xf numFmtId="0" fontId="2" fillId="11" borderId="0" xfId="0" applyFont="1" applyFill="1" applyAlignment="1">
      <alignment horizontal="center" vertical="center"/>
    </xf>
    <xf numFmtId="4" fontId="36" fillId="9" borderId="5" xfId="8" applyNumberFormat="1" applyFont="1" applyFill="1" applyBorder="1" applyAlignment="1">
      <alignment horizontal="center" vertical="center" wrapText="1"/>
    </xf>
    <xf numFmtId="0" fontId="2" fillId="11" borderId="0" xfId="0" applyFont="1" applyFill="1" applyAlignment="1">
      <alignment horizontal="left" vertical="center"/>
    </xf>
    <xf numFmtId="0" fontId="2" fillId="11" borderId="0" xfId="0" applyFont="1" applyFill="1" applyAlignment="1">
      <alignment vertical="center"/>
    </xf>
    <xf numFmtId="173" fontId="2" fillId="11" borderId="0" xfId="0" applyNumberFormat="1" applyFont="1" applyFill="1" applyAlignment="1">
      <alignment horizontal="center" vertical="center"/>
    </xf>
    <xf numFmtId="4" fontId="36" fillId="9" borderId="5" xfId="0" applyNumberFormat="1" applyFont="1" applyFill="1" applyBorder="1" applyAlignment="1">
      <alignment horizontal="center" vertical="center" wrapText="1"/>
    </xf>
    <xf numFmtId="173" fontId="27" fillId="0" borderId="19" xfId="0" applyNumberFormat="1" applyFont="1" applyBorder="1" applyAlignment="1">
      <alignment horizontal="center" vertical="center" wrapText="1"/>
    </xf>
    <xf numFmtId="173" fontId="27" fillId="0" borderId="0" xfId="0" applyNumberFormat="1" applyFont="1" applyAlignment="1">
      <alignment horizontal="center" vertical="center"/>
    </xf>
    <xf numFmtId="173" fontId="27" fillId="0" borderId="16" xfId="0" applyNumberFormat="1" applyFont="1" applyBorder="1" applyAlignment="1">
      <alignment horizontal="center" vertical="center" wrapText="1"/>
    </xf>
    <xf numFmtId="0" fontId="27" fillId="0" borderId="9" xfId="0" applyFont="1" applyBorder="1" applyAlignment="1">
      <alignment horizontal="center" vertical="center" wrapText="1"/>
    </xf>
    <xf numFmtId="44" fontId="38" fillId="0" borderId="0" xfId="54" applyFont="1" applyFill="1" applyAlignment="1">
      <alignment horizontal="center" vertical="center"/>
    </xf>
    <xf numFmtId="4" fontId="2" fillId="0" borderId="0" xfId="0" applyNumberFormat="1" applyFont="1" applyAlignment="1">
      <alignment horizontal="center" vertical="center"/>
    </xf>
    <xf numFmtId="0" fontId="7" fillId="24" borderId="7" xfId="0" applyFont="1" applyFill="1" applyBorder="1" applyAlignment="1">
      <alignment horizontal="center"/>
    </xf>
    <xf numFmtId="168" fontId="7" fillId="22" borderId="9" xfId="19" applyFont="1" applyFill="1" applyBorder="1" applyAlignment="1">
      <alignment horizontal="center"/>
    </xf>
    <xf numFmtId="0" fontId="45" fillId="28" borderId="0" xfId="0" applyFont="1" applyFill="1" applyAlignment="1">
      <alignment horizontal="left" vertical="center"/>
    </xf>
    <xf numFmtId="0" fontId="45" fillId="28" borderId="0" xfId="0" applyFont="1" applyFill="1" applyAlignment="1">
      <alignment horizontal="center" vertical="center"/>
    </xf>
    <xf numFmtId="164" fontId="2" fillId="5" borderId="0" xfId="0" applyNumberFormat="1" applyFont="1" applyFill="1" applyAlignment="1">
      <alignment horizontal="center" vertical="center"/>
    </xf>
    <xf numFmtId="0" fontId="38" fillId="0" borderId="0" xfId="0" applyFont="1" applyAlignment="1">
      <alignment vertical="center"/>
    </xf>
    <xf numFmtId="0" fontId="2" fillId="0" borderId="0" xfId="0" applyFont="1" applyAlignment="1">
      <alignment vertical="center"/>
    </xf>
    <xf numFmtId="0" fontId="43" fillId="0" borderId="0" xfId="0" applyFont="1" applyAlignment="1">
      <alignment horizontal="left" vertical="center"/>
    </xf>
    <xf numFmtId="0" fontId="27" fillId="0" borderId="9" xfId="0" applyFont="1" applyBorder="1" applyAlignment="1">
      <alignment vertical="center"/>
    </xf>
    <xf numFmtId="0" fontId="27" fillId="0" borderId="9" xfId="0" applyFont="1" applyBorder="1" applyAlignment="1">
      <alignment horizontal="left" vertical="center"/>
    </xf>
    <xf numFmtId="170" fontId="27" fillId="5" borderId="9" xfId="0" applyNumberFormat="1" applyFont="1" applyFill="1" applyBorder="1" applyAlignment="1">
      <alignment horizontal="center" vertical="center"/>
    </xf>
    <xf numFmtId="0" fontId="29" fillId="0" borderId="0" xfId="0" applyFont="1" applyAlignment="1">
      <alignment vertical="center" wrapText="1"/>
    </xf>
    <xf numFmtId="0" fontId="43" fillId="0" borderId="0" xfId="0" applyFont="1" applyAlignment="1">
      <alignment vertical="center"/>
    </xf>
    <xf numFmtId="0" fontId="45" fillId="0" borderId="0" xfId="0" applyFont="1" applyAlignment="1">
      <alignment vertical="center"/>
    </xf>
    <xf numFmtId="9" fontId="27" fillId="0" borderId="9" xfId="0" applyNumberFormat="1" applyFont="1" applyBorder="1" applyAlignment="1">
      <alignment vertical="center"/>
    </xf>
    <xf numFmtId="170" fontId="2" fillId="13" borderId="9" xfId="0" applyNumberFormat="1" applyFont="1" applyFill="1" applyBorder="1" applyAlignment="1">
      <alignment horizontal="center" vertical="center"/>
    </xf>
    <xf numFmtId="172" fontId="2" fillId="13" borderId="9" xfId="31" applyNumberFormat="1" applyFont="1" applyFill="1" applyBorder="1" applyAlignment="1" applyProtection="1">
      <alignment horizontal="left" vertical="center"/>
      <protection hidden="1"/>
    </xf>
    <xf numFmtId="182" fontId="27" fillId="0" borderId="9" xfId="0" applyNumberFormat="1" applyFont="1" applyBorder="1" applyAlignment="1">
      <alignment vertical="center"/>
    </xf>
    <xf numFmtId="9" fontId="27" fillId="0" borderId="9" xfId="44" applyFont="1" applyBorder="1" applyAlignment="1">
      <alignment vertical="center"/>
    </xf>
    <xf numFmtId="170" fontId="2" fillId="13" borderId="9" xfId="0" applyNumberFormat="1" applyFont="1" applyFill="1" applyBorder="1" applyAlignment="1" applyProtection="1">
      <alignment horizontal="center" vertical="center"/>
      <protection locked="0"/>
    </xf>
    <xf numFmtId="172" fontId="2" fillId="13" borderId="9" xfId="2" applyNumberFormat="1" applyFont="1" applyFill="1" applyBorder="1" applyAlignment="1" applyProtection="1">
      <alignment horizontal="left" vertical="center"/>
      <protection hidden="1"/>
    </xf>
    <xf numFmtId="171" fontId="27" fillId="0" borderId="9" xfId="0" applyNumberFormat="1" applyFont="1" applyBorder="1" applyAlignment="1">
      <alignment vertical="center"/>
    </xf>
    <xf numFmtId="171" fontId="2" fillId="13" borderId="9" xfId="2" applyFont="1" applyFill="1" applyBorder="1" applyAlignment="1" applyProtection="1">
      <alignment horizontal="left" vertical="center"/>
      <protection locked="0"/>
    </xf>
    <xf numFmtId="14" fontId="2" fillId="0" borderId="9" xfId="0" applyNumberFormat="1" applyFont="1" applyBorder="1" applyAlignment="1">
      <alignment vertical="center"/>
    </xf>
    <xf numFmtId="0" fontId="2" fillId="0" borderId="9" xfId="0" applyFont="1" applyBorder="1" applyAlignment="1">
      <alignment vertical="center"/>
    </xf>
    <xf numFmtId="168" fontId="2" fillId="0" borderId="9" xfId="20" applyFont="1" applyBorder="1" applyAlignment="1">
      <alignment horizontal="right" vertical="center"/>
    </xf>
    <xf numFmtId="0" fontId="2" fillId="0" borderId="9" xfId="0" applyFont="1" applyBorder="1" applyAlignment="1">
      <alignment horizontal="center" vertical="center"/>
    </xf>
    <xf numFmtId="185" fontId="2" fillId="0" borderId="9" xfId="48" applyNumberFormat="1" applyFont="1" applyBorder="1" applyAlignment="1">
      <alignment horizontal="center" vertical="center"/>
    </xf>
    <xf numFmtId="44" fontId="2" fillId="0" borderId="9" xfId="48" applyFont="1" applyBorder="1" applyAlignment="1">
      <alignment vertical="center"/>
    </xf>
    <xf numFmtId="186" fontId="2" fillId="0" borderId="9" xfId="20" applyNumberFormat="1" applyFont="1" applyBorder="1" applyAlignment="1">
      <alignment vertical="center"/>
    </xf>
    <xf numFmtId="0" fontId="2" fillId="0" borderId="9" xfId="0" applyFont="1" applyBorder="1" applyAlignment="1">
      <alignment horizontal="right" vertical="center"/>
    </xf>
    <xf numFmtId="0" fontId="37" fillId="0" borderId="0" xfId="0" applyFont="1" applyAlignment="1">
      <alignment vertical="center"/>
    </xf>
    <xf numFmtId="173" fontId="37" fillId="0" borderId="0" xfId="0" applyNumberFormat="1" applyFont="1" applyAlignment="1">
      <alignment horizontal="center" vertical="center" wrapText="1"/>
    </xf>
    <xf numFmtId="0" fontId="27" fillId="5" borderId="0" xfId="0" applyFont="1" applyFill="1" applyAlignment="1">
      <alignment horizontal="center" vertical="center"/>
    </xf>
    <xf numFmtId="0" fontId="27" fillId="0" borderId="26" xfId="0" applyFont="1" applyBorder="1" applyAlignment="1">
      <alignment vertical="center"/>
    </xf>
    <xf numFmtId="0" fontId="27" fillId="0" borderId="19" xfId="0" applyFont="1" applyBorder="1" applyAlignment="1">
      <alignment vertical="center"/>
    </xf>
    <xf numFmtId="1" fontId="27" fillId="0" borderId="0" xfId="0" applyNumberFormat="1" applyFont="1" applyAlignment="1">
      <alignment horizontal="center" vertical="center"/>
    </xf>
    <xf numFmtId="178" fontId="2" fillId="0" borderId="0" xfId="0" applyNumberFormat="1" applyFont="1" applyAlignment="1">
      <alignment vertical="center"/>
    </xf>
    <xf numFmtId="173" fontId="27" fillId="0" borderId="9" xfId="0" applyNumberFormat="1" applyFont="1" applyBorder="1" applyAlignment="1">
      <alignment horizontal="center" vertical="center"/>
    </xf>
    <xf numFmtId="4" fontId="2" fillId="0" borderId="0" xfId="0" applyNumberFormat="1" applyFont="1" applyAlignment="1">
      <alignment vertical="center"/>
    </xf>
    <xf numFmtId="4" fontId="2" fillId="0" borderId="0" xfId="0" applyNumberFormat="1" applyFont="1" applyAlignment="1">
      <alignment horizontal="right" vertical="center"/>
    </xf>
    <xf numFmtId="44" fontId="2" fillId="0" borderId="0" xfId="54" applyFont="1" applyFill="1" applyAlignment="1">
      <alignment horizontal="center" vertical="center"/>
    </xf>
    <xf numFmtId="1" fontId="2" fillId="0" borderId="0" xfId="0" applyNumberFormat="1" applyFont="1" applyAlignment="1">
      <alignment horizontal="center" vertical="center"/>
    </xf>
    <xf numFmtId="3" fontId="2" fillId="0" borderId="0" xfId="58" applyNumberFormat="1" applyFont="1" applyAlignment="1">
      <alignment horizontal="center" vertical="center"/>
    </xf>
    <xf numFmtId="0" fontId="57" fillId="25" borderId="23" xfId="30" applyFont="1" applyFill="1" applyBorder="1"/>
    <xf numFmtId="0" fontId="56" fillId="25" borderId="10" xfId="30" applyFont="1" applyFill="1" applyBorder="1"/>
    <xf numFmtId="0" fontId="58" fillId="25" borderId="10" xfId="30" applyFont="1" applyFill="1" applyBorder="1" applyAlignment="1">
      <alignment vertical="top" wrapText="1"/>
    </xf>
    <xf numFmtId="0" fontId="54" fillId="0" borderId="5" xfId="30" applyFont="1" applyBorder="1"/>
    <xf numFmtId="0" fontId="54" fillId="0" borderId="5" xfId="30" applyFont="1" applyBorder="1" applyAlignment="1">
      <alignment vertical="top" wrapText="1"/>
    </xf>
    <xf numFmtId="0" fontId="56" fillId="25" borderId="9" xfId="30" applyFont="1" applyFill="1" applyBorder="1"/>
    <xf numFmtId="0" fontId="58" fillId="25" borderId="9" xfId="30" applyFont="1" applyFill="1" applyBorder="1" applyAlignment="1">
      <alignment vertical="top" wrapText="1"/>
    </xf>
    <xf numFmtId="0" fontId="63" fillId="25" borderId="9" xfId="30" applyFont="1" applyFill="1" applyBorder="1" applyAlignment="1">
      <alignment vertical="top" wrapText="1"/>
    </xf>
    <xf numFmtId="0" fontId="54" fillId="0" borderId="10" xfId="30" applyFont="1" applyBorder="1"/>
    <xf numFmtId="0" fontId="54" fillId="0" borderId="10" xfId="30" applyFont="1" applyBorder="1" applyAlignment="1">
      <alignment vertical="top" wrapText="1"/>
    </xf>
    <xf numFmtId="0" fontId="59" fillId="0" borderId="24" xfId="30" applyFont="1" applyBorder="1"/>
    <xf numFmtId="0" fontId="56" fillId="26" borderId="9" xfId="30" applyFont="1" applyFill="1" applyBorder="1"/>
    <xf numFmtId="0" fontId="57" fillId="26" borderId="9" xfId="30" applyFont="1" applyFill="1" applyBorder="1"/>
    <xf numFmtId="0" fontId="54" fillId="0" borderId="5" xfId="30" applyFont="1" applyBorder="1" applyAlignment="1">
      <alignment wrapText="1"/>
    </xf>
    <xf numFmtId="0" fontId="58" fillId="26" borderId="9" xfId="30" applyFont="1" applyFill="1" applyBorder="1" applyAlignment="1">
      <alignment vertical="top" wrapText="1"/>
    </xf>
    <xf numFmtId="0" fontId="63" fillId="26" borderId="9" xfId="30" applyFont="1" applyFill="1" applyBorder="1" applyAlignment="1">
      <alignment vertical="top" wrapText="1"/>
    </xf>
    <xf numFmtId="0" fontId="54" fillId="0" borderId="10" xfId="30" applyFont="1" applyBorder="1" applyAlignment="1">
      <alignment wrapText="1"/>
    </xf>
    <xf numFmtId="0" fontId="59" fillId="27" borderId="23" xfId="30" applyFont="1" applyFill="1" applyBorder="1"/>
    <xf numFmtId="0" fontId="57" fillId="27" borderId="23" xfId="30" applyFont="1" applyFill="1" applyBorder="1"/>
    <xf numFmtId="0" fontId="59" fillId="27" borderId="10" xfId="30" applyFont="1" applyFill="1" applyBorder="1"/>
    <xf numFmtId="0" fontId="58" fillId="27" borderId="10" xfId="30" applyFont="1" applyFill="1" applyBorder="1"/>
    <xf numFmtId="0" fontId="59" fillId="0" borderId="5" xfId="30" applyFont="1" applyBorder="1"/>
    <xf numFmtId="0" fontId="59" fillId="27" borderId="9" xfId="30" applyFont="1" applyFill="1" applyBorder="1"/>
    <xf numFmtId="0" fontId="58" fillId="27" borderId="9" xfId="30" applyFont="1" applyFill="1" applyBorder="1"/>
    <xf numFmtId="0" fontId="61" fillId="16" borderId="8" xfId="30" applyFont="1" applyFill="1" applyBorder="1"/>
    <xf numFmtId="0" fontId="61" fillId="16" borderId="22" xfId="30" applyFont="1" applyFill="1" applyBorder="1"/>
    <xf numFmtId="0" fontId="61" fillId="16" borderId="12" xfId="30" applyFont="1" applyFill="1" applyBorder="1"/>
    <xf numFmtId="0" fontId="61" fillId="16" borderId="13" xfId="30" applyFont="1" applyFill="1" applyBorder="1"/>
    <xf numFmtId="0" fontId="62" fillId="0" borderId="7" xfId="0" applyFont="1" applyBorder="1" applyAlignment="1">
      <alignment vertical="center" wrapText="1"/>
    </xf>
    <xf numFmtId="0" fontId="60" fillId="0" borderId="9" xfId="0" applyFont="1" applyBorder="1" applyAlignment="1">
      <alignment vertical="center" wrapText="1"/>
    </xf>
    <xf numFmtId="0" fontId="62" fillId="0" borderId="0" xfId="0" applyFont="1" applyAlignment="1">
      <alignment vertical="center" wrapText="1"/>
    </xf>
    <xf numFmtId="0" fontId="60" fillId="0" borderId="23" xfId="0" applyFont="1" applyBorder="1" applyAlignment="1">
      <alignment vertical="top" wrapText="1"/>
    </xf>
    <xf numFmtId="0" fontId="60" fillId="0" borderId="5" xfId="0" applyFont="1" applyBorder="1" applyAlignment="1">
      <alignment vertical="center" wrapText="1"/>
    </xf>
    <xf numFmtId="0" fontId="60" fillId="0" borderId="10" xfId="0" applyFont="1" applyBorder="1" applyAlignment="1">
      <alignment vertical="center" wrapText="1"/>
    </xf>
    <xf numFmtId="0" fontId="62" fillId="0" borderId="9" xfId="0" applyFont="1" applyBorder="1" applyAlignment="1">
      <alignment vertical="center" wrapText="1"/>
    </xf>
    <xf numFmtId="0" fontId="60" fillId="0" borderId="23" xfId="0" applyFont="1" applyBorder="1" applyAlignment="1">
      <alignment vertical="center" wrapText="1"/>
    </xf>
    <xf numFmtId="0" fontId="65" fillId="0" borderId="27" xfId="0" applyFont="1" applyBorder="1" applyAlignment="1">
      <alignment horizontal="center"/>
    </xf>
    <xf numFmtId="0" fontId="66" fillId="0" borderId="2" xfId="0" applyFont="1" applyBorder="1"/>
    <xf numFmtId="0" fontId="65" fillId="0" borderId="28" xfId="0" applyFont="1" applyBorder="1"/>
    <xf numFmtId="0" fontId="65" fillId="0" borderId="24" xfId="0" applyFont="1" applyBorder="1" applyAlignment="1">
      <alignment horizontal="center"/>
    </xf>
    <xf numFmtId="0" fontId="65" fillId="0" borderId="0" xfId="0" applyFont="1"/>
    <xf numFmtId="0" fontId="65" fillId="0" borderId="25" xfId="0" applyFont="1" applyBorder="1"/>
    <xf numFmtId="0" fontId="67" fillId="0" borderId="0" xfId="0" applyFont="1"/>
    <xf numFmtId="0" fontId="68" fillId="0" borderId="0" xfId="0" applyFont="1"/>
    <xf numFmtId="0" fontId="65" fillId="0" borderId="24" xfId="0" applyFont="1" applyBorder="1" applyAlignment="1">
      <alignment horizontal="center" vertical="center"/>
    </xf>
    <xf numFmtId="0" fontId="65" fillId="0" borderId="0" xfId="0" applyFont="1" applyAlignment="1">
      <alignment horizontal="left" indent="1"/>
    </xf>
    <xf numFmtId="0" fontId="68" fillId="0" borderId="0" xfId="0" applyFont="1" applyAlignment="1">
      <alignment horizontal="left" indent="1"/>
    </xf>
    <xf numFmtId="0" fontId="65" fillId="0" borderId="29" xfId="0" applyFont="1" applyBorder="1" applyAlignment="1">
      <alignment horizontal="center" vertical="center"/>
    </xf>
    <xf numFmtId="0" fontId="2" fillId="13" borderId="0" xfId="0" applyFont="1" applyFill="1" applyAlignment="1">
      <alignment horizontal="left" vertical="center" wrapText="1"/>
    </xf>
    <xf numFmtId="173" fontId="27" fillId="0" borderId="19" xfId="0" applyNumberFormat="1" applyFont="1" applyBorder="1" applyAlignment="1">
      <alignment horizontal="left" vertical="center" wrapText="1"/>
    </xf>
    <xf numFmtId="0" fontId="62" fillId="6" borderId="9" xfId="0" applyFont="1" applyFill="1" applyBorder="1" applyAlignment="1">
      <alignment vertical="center" wrapText="1"/>
    </xf>
    <xf numFmtId="0" fontId="60" fillId="6" borderId="9" xfId="0" applyFont="1" applyFill="1" applyBorder="1" applyAlignment="1">
      <alignment vertical="center" wrapText="1"/>
    </xf>
    <xf numFmtId="0" fontId="2" fillId="5" borderId="0" xfId="0" applyFont="1" applyFill="1" applyAlignment="1">
      <alignment horizontal="center" vertical="center"/>
    </xf>
    <xf numFmtId="0" fontId="35" fillId="0" borderId="0" xfId="30" applyFont="1" applyAlignment="1">
      <alignment horizontal="left" vertical="center"/>
    </xf>
    <xf numFmtId="4" fontId="38" fillId="0" borderId="0" xfId="0" applyNumberFormat="1" applyFont="1" applyAlignment="1">
      <alignment horizontal="left" vertical="center"/>
    </xf>
    <xf numFmtId="44" fontId="38" fillId="0" borderId="20" xfId="0" applyNumberFormat="1" applyFont="1" applyBorder="1" applyAlignment="1">
      <alignment horizontal="left" vertical="center"/>
    </xf>
    <xf numFmtId="0" fontId="27" fillId="11" borderId="0" xfId="0" applyFont="1" applyFill="1" applyAlignment="1">
      <alignment horizontal="center" vertical="center"/>
    </xf>
    <xf numFmtId="173" fontId="60" fillId="0" borderId="9" xfId="0" applyNumberFormat="1" applyFont="1" applyBorder="1" applyAlignment="1">
      <alignment horizontal="center" vertical="center"/>
    </xf>
    <xf numFmtId="0" fontId="2" fillId="0" borderId="19" xfId="0" applyFont="1" applyBorder="1" applyAlignment="1">
      <alignment horizontal="left" vertical="center"/>
    </xf>
    <xf numFmtId="0" fontId="27" fillId="0" borderId="19" xfId="0" applyFont="1" applyBorder="1" applyAlignment="1">
      <alignment horizontal="left" vertical="center"/>
    </xf>
    <xf numFmtId="0" fontId="27" fillId="0" borderId="0" xfId="0" applyFont="1" applyAlignment="1" applyProtection="1">
      <alignment horizontal="center"/>
      <protection hidden="1"/>
    </xf>
    <xf numFmtId="0" fontId="27" fillId="0" borderId="0" xfId="0" applyFont="1" applyProtection="1">
      <protection hidden="1"/>
    </xf>
    <xf numFmtId="2" fontId="27" fillId="0" borderId="0" xfId="0" applyNumberFormat="1" applyFont="1" applyAlignment="1" applyProtection="1">
      <alignment horizontal="center"/>
      <protection hidden="1"/>
    </xf>
    <xf numFmtId="0" fontId="2" fillId="0" borderId="19" xfId="0" quotePrefix="1" applyFont="1" applyBorder="1" applyAlignment="1">
      <alignment horizontal="left" vertical="center"/>
    </xf>
    <xf numFmtId="183" fontId="29" fillId="6" borderId="33" xfId="38" applyNumberFormat="1" applyFont="1" applyFill="1" applyBorder="1" applyAlignment="1">
      <alignment horizontal="center" vertical="center"/>
    </xf>
    <xf numFmtId="0" fontId="27" fillId="6" borderId="32" xfId="30" applyFont="1" applyFill="1" applyBorder="1" applyAlignment="1">
      <alignment horizontal="left" vertical="center"/>
    </xf>
    <xf numFmtId="0" fontId="27" fillId="6" borderId="0" xfId="30" applyFont="1" applyFill="1" applyAlignment="1">
      <alignment horizontal="left" vertical="center"/>
    </xf>
    <xf numFmtId="0" fontId="27" fillId="6" borderId="26" xfId="0" applyFont="1" applyFill="1" applyBorder="1" applyAlignment="1">
      <alignment vertical="center"/>
    </xf>
    <xf numFmtId="0" fontId="73" fillId="6" borderId="34" xfId="0" applyFont="1" applyFill="1" applyBorder="1" applyAlignment="1">
      <alignment vertical="center"/>
    </xf>
    <xf numFmtId="44" fontId="2" fillId="0" borderId="0" xfId="0" applyNumberFormat="1" applyFont="1" applyAlignment="1">
      <alignment horizontal="left" vertical="center"/>
    </xf>
    <xf numFmtId="164" fontId="2" fillId="0" borderId="0" xfId="0" applyNumberFormat="1" applyFont="1" applyAlignment="1">
      <alignment horizontal="center" vertical="center"/>
    </xf>
    <xf numFmtId="44" fontId="2" fillId="0" borderId="20" xfId="54" applyFont="1" applyFill="1" applyBorder="1" applyAlignment="1">
      <alignment horizontal="center" vertical="center"/>
    </xf>
    <xf numFmtId="0" fontId="2" fillId="0" borderId="9" xfId="0" quotePrefix="1" applyFont="1" applyBorder="1" applyAlignment="1">
      <alignment vertical="center"/>
    </xf>
    <xf numFmtId="14" fontId="2" fillId="0" borderId="9" xfId="0" applyNumberFormat="1" applyFont="1" applyBorder="1" applyAlignment="1">
      <alignment horizontal="center" vertical="center"/>
    </xf>
    <xf numFmtId="0" fontId="33" fillId="0" borderId="0" xfId="29" applyFont="1" applyAlignment="1">
      <alignment vertical="center"/>
    </xf>
    <xf numFmtId="0" fontId="74" fillId="15" borderId="9" xfId="0" applyFont="1" applyFill="1" applyBorder="1" applyAlignment="1">
      <alignment horizontal="center" vertical="center" wrapText="1"/>
    </xf>
    <xf numFmtId="0" fontId="59" fillId="0" borderId="0" xfId="30" applyFont="1" applyAlignment="1">
      <alignment horizontal="center" vertical="center" wrapText="1"/>
    </xf>
    <xf numFmtId="0" fontId="62" fillId="0" borderId="8" xfId="0" applyFont="1" applyBorder="1" applyAlignment="1">
      <alignment horizontal="left" vertical="center" wrapText="1"/>
    </xf>
    <xf numFmtId="0" fontId="62" fillId="0" borderId="11" xfId="0" applyFont="1" applyBorder="1" applyAlignment="1">
      <alignment horizontal="left" vertical="center" wrapText="1"/>
    </xf>
    <xf numFmtId="0" fontId="62" fillId="0" borderId="12" xfId="0" applyFont="1" applyBorder="1" applyAlignment="1">
      <alignment horizontal="left" vertical="center" wrapText="1"/>
    </xf>
    <xf numFmtId="0" fontId="62" fillId="0" borderId="23" xfId="0" applyFont="1" applyBorder="1" applyAlignment="1">
      <alignment horizontal="left" vertical="center" wrapText="1"/>
    </xf>
    <xf numFmtId="0" fontId="62" fillId="0" borderId="5" xfId="0" applyFont="1" applyBorder="1" applyAlignment="1">
      <alignment horizontal="left" vertical="center" wrapText="1"/>
    </xf>
    <xf numFmtId="0" fontId="62" fillId="0" borderId="10" xfId="0" applyFont="1" applyBorder="1" applyAlignment="1">
      <alignment horizontal="left" vertical="center" wrapText="1"/>
    </xf>
    <xf numFmtId="0" fontId="39" fillId="10" borderId="8" xfId="30" applyFont="1" applyFill="1" applyBorder="1" applyAlignment="1">
      <alignment horizontal="center" vertical="center" wrapText="1"/>
    </xf>
    <xf numFmtId="0" fontId="39" fillId="10" borderId="11" xfId="30" applyFont="1" applyFill="1" applyBorder="1" applyAlignment="1">
      <alignment horizontal="center" vertical="center" wrapText="1"/>
    </xf>
    <xf numFmtId="0" fontId="48" fillId="20" borderId="9" xfId="0" applyFont="1" applyFill="1" applyBorder="1" applyAlignment="1">
      <alignment horizontal="center" wrapText="1"/>
    </xf>
    <xf numFmtId="0" fontId="48" fillId="17" borderId="9" xfId="0" applyFont="1" applyFill="1" applyBorder="1" applyAlignment="1">
      <alignment horizontal="center" wrapText="1"/>
    </xf>
    <xf numFmtId="0" fontId="51" fillId="21" borderId="9" xfId="0" applyFont="1" applyFill="1" applyBorder="1" applyAlignment="1">
      <alignment horizontal="center"/>
    </xf>
    <xf numFmtId="0" fontId="35" fillId="0" borderId="0" xfId="30" applyFont="1" applyAlignment="1">
      <alignment horizontal="center" vertical="center"/>
    </xf>
    <xf numFmtId="0" fontId="40" fillId="13" borderId="9" xfId="0" applyFont="1" applyFill="1" applyBorder="1" applyAlignment="1">
      <alignment horizontal="center" vertical="center"/>
    </xf>
    <xf numFmtId="170" fontId="27" fillId="5" borderId="9" xfId="0" applyNumberFormat="1" applyFont="1" applyFill="1" applyBorder="1" applyAlignment="1">
      <alignment horizontal="center" vertical="center"/>
    </xf>
    <xf numFmtId="0" fontId="36" fillId="10" borderId="7" xfId="0" applyFont="1" applyFill="1" applyBorder="1" applyAlignment="1">
      <alignment horizontal="left" vertical="center" wrapText="1"/>
    </xf>
    <xf numFmtId="0" fontId="36" fillId="10" borderId="14" xfId="0" applyFont="1" applyFill="1" applyBorder="1" applyAlignment="1">
      <alignment horizontal="left" vertical="center" wrapText="1"/>
    </xf>
    <xf numFmtId="0" fontId="36" fillId="10" borderId="4" xfId="0" applyFont="1" applyFill="1" applyBorder="1" applyAlignment="1">
      <alignment horizontal="left" vertical="center" wrapText="1"/>
    </xf>
    <xf numFmtId="0" fontId="27" fillId="0" borderId="9" xfId="0" applyFont="1" applyBorder="1" applyAlignment="1">
      <alignment horizontal="left" vertical="center"/>
    </xf>
    <xf numFmtId="0" fontId="27" fillId="0" borderId="9" xfId="0" applyFont="1" applyBorder="1" applyAlignment="1">
      <alignment vertical="center"/>
    </xf>
    <xf numFmtId="9" fontId="27" fillId="0" borderId="7" xfId="0" applyNumberFormat="1" applyFont="1" applyBorder="1" applyAlignment="1">
      <alignment horizontal="left" vertical="center" wrapText="1"/>
    </xf>
    <xf numFmtId="9" fontId="27" fillId="0" borderId="14" xfId="0" applyNumberFormat="1" applyFont="1" applyBorder="1" applyAlignment="1">
      <alignment horizontal="left" vertical="center" wrapText="1"/>
    </xf>
    <xf numFmtId="9" fontId="27" fillId="0" borderId="7" xfId="0" applyNumberFormat="1" applyFont="1" applyBorder="1" applyAlignment="1">
      <alignment horizontal="left" vertical="center"/>
    </xf>
    <xf numFmtId="9" fontId="27" fillId="0" borderId="4" xfId="0" applyNumberFormat="1" applyFont="1" applyBorder="1" applyAlignment="1">
      <alignment horizontal="left" vertical="center"/>
    </xf>
    <xf numFmtId="9" fontId="27" fillId="0" borderId="14" xfId="0" applyNumberFormat="1" applyFont="1" applyBorder="1" applyAlignment="1">
      <alignment horizontal="left" vertical="center"/>
    </xf>
    <xf numFmtId="0" fontId="27" fillId="0" borderId="7" xfId="0" applyFont="1" applyBorder="1" applyAlignment="1">
      <alignment horizontal="left" vertical="center"/>
    </xf>
    <xf numFmtId="0" fontId="27" fillId="0" borderId="14" xfId="0" applyFont="1" applyBorder="1" applyAlignment="1">
      <alignment horizontal="left" vertical="center"/>
    </xf>
    <xf numFmtId="10" fontId="27" fillId="5" borderId="7" xfId="0" applyNumberFormat="1" applyFont="1" applyFill="1" applyBorder="1" applyAlignment="1">
      <alignment horizontal="left" vertical="center"/>
    </xf>
    <xf numFmtId="10" fontId="27" fillId="5" borderId="14" xfId="0" applyNumberFormat="1" applyFont="1" applyFill="1" applyBorder="1" applyAlignment="1">
      <alignment horizontal="left" vertical="center"/>
    </xf>
    <xf numFmtId="0" fontId="29" fillId="0" borderId="9" xfId="30" applyFont="1" applyBorder="1" applyAlignment="1">
      <alignment horizontal="center" vertical="center"/>
    </xf>
    <xf numFmtId="0" fontId="36" fillId="10" borderId="10" xfId="0" applyFont="1" applyFill="1" applyBorder="1" applyAlignment="1">
      <alignment horizontal="center" vertical="center" wrapText="1"/>
    </xf>
    <xf numFmtId="0" fontId="36" fillId="10" borderId="12" xfId="0" applyFont="1" applyFill="1" applyBorder="1" applyAlignment="1">
      <alignment horizontal="center" vertical="center" wrapText="1"/>
    </xf>
    <xf numFmtId="0" fontId="36" fillId="10" borderId="13" xfId="0" applyFont="1" applyFill="1" applyBorder="1" applyAlignment="1">
      <alignment horizontal="center" vertical="center" wrapText="1"/>
    </xf>
    <xf numFmtId="0" fontId="40" fillId="13" borderId="7"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14" xfId="0" applyFont="1" applyFill="1" applyBorder="1" applyAlignment="1">
      <alignment horizontal="left" vertical="center"/>
    </xf>
    <xf numFmtId="0" fontId="27" fillId="0" borderId="4" xfId="0" applyFont="1" applyBorder="1" applyAlignment="1">
      <alignment horizontal="left" vertical="center"/>
    </xf>
    <xf numFmtId="10" fontId="27" fillId="5" borderId="4" xfId="0" applyNumberFormat="1" applyFont="1" applyFill="1" applyBorder="1" applyAlignment="1">
      <alignment horizontal="left" vertical="center"/>
    </xf>
    <xf numFmtId="170" fontId="29" fillId="5" borderId="7" xfId="0" applyNumberFormat="1" applyFont="1" applyFill="1" applyBorder="1" applyAlignment="1">
      <alignment horizontal="center" vertical="center"/>
    </xf>
    <xf numFmtId="170" fontId="27" fillId="5" borderId="4" xfId="0" applyNumberFormat="1" applyFont="1" applyFill="1" applyBorder="1" applyAlignment="1">
      <alignment horizontal="center" vertical="center"/>
    </xf>
    <xf numFmtId="0" fontId="35" fillId="0" borderId="6" xfId="30" applyFont="1" applyBorder="1" applyAlignment="1">
      <alignment horizontal="center" vertical="center"/>
    </xf>
    <xf numFmtId="0" fontId="35" fillId="0" borderId="0" xfId="30" applyFont="1" applyAlignment="1">
      <alignment horizontal="left" vertical="center"/>
    </xf>
    <xf numFmtId="0" fontId="29" fillId="13" borderId="7" xfId="0" applyFont="1" applyFill="1" applyBorder="1" applyAlignment="1">
      <alignment horizontal="center" vertical="center"/>
    </xf>
    <xf numFmtId="0" fontId="29" fillId="13" borderId="4" xfId="0" applyFont="1" applyFill="1" applyBorder="1" applyAlignment="1">
      <alignment horizontal="center" vertical="center"/>
    </xf>
    <xf numFmtId="0" fontId="29" fillId="13" borderId="14" xfId="0" applyFont="1" applyFill="1" applyBorder="1" applyAlignment="1">
      <alignment horizontal="center" vertical="center"/>
    </xf>
    <xf numFmtId="0" fontId="29" fillId="14" borderId="8" xfId="0" applyFont="1" applyFill="1" applyBorder="1" applyAlignment="1">
      <alignment horizontal="center" vertical="center"/>
    </xf>
    <xf numFmtId="0" fontId="29" fillId="14" borderId="21" xfId="0" applyFont="1" applyFill="1" applyBorder="1" applyAlignment="1">
      <alignment horizontal="center" vertical="center"/>
    </xf>
    <xf numFmtId="0" fontId="29" fillId="14" borderId="22" xfId="0" applyFont="1" applyFill="1" applyBorder="1" applyAlignment="1">
      <alignment horizontal="center" vertical="center"/>
    </xf>
    <xf numFmtId="0" fontId="29" fillId="13" borderId="8" xfId="0" applyFont="1" applyFill="1" applyBorder="1" applyAlignment="1">
      <alignment horizontal="center" vertical="center"/>
    </xf>
    <xf numFmtId="0" fontId="29" fillId="13" borderId="21" xfId="0" applyFont="1" applyFill="1" applyBorder="1" applyAlignment="1">
      <alignment horizontal="center" vertical="center"/>
    </xf>
    <xf numFmtId="0" fontId="29" fillId="13" borderId="22" xfId="0" applyFont="1" applyFill="1" applyBorder="1" applyAlignment="1">
      <alignment horizontal="center" vertical="center"/>
    </xf>
    <xf numFmtId="0" fontId="47" fillId="18" borderId="9" xfId="0" applyFont="1" applyFill="1" applyBorder="1" applyAlignment="1">
      <alignment horizontal="center" vertical="center" wrapText="1"/>
    </xf>
    <xf numFmtId="0" fontId="47" fillId="19" borderId="9" xfId="0" applyFont="1" applyFill="1" applyBorder="1" applyAlignment="1">
      <alignment horizontal="center" vertical="center" wrapText="1"/>
    </xf>
    <xf numFmtId="0" fontId="48" fillId="21" borderId="9" xfId="0" applyFont="1" applyFill="1" applyBorder="1" applyAlignment="1">
      <alignment horizontal="center" wrapText="1"/>
    </xf>
    <xf numFmtId="170" fontId="29" fillId="5" borderId="9" xfId="0" applyNumberFormat="1" applyFont="1" applyFill="1" applyBorder="1" applyAlignment="1">
      <alignment horizontal="center" vertical="center"/>
    </xf>
    <xf numFmtId="4" fontId="27" fillId="0" borderId="9" xfId="0" applyNumberFormat="1" applyFont="1" applyBorder="1" applyAlignment="1">
      <alignment horizontal="center" vertical="center"/>
    </xf>
    <xf numFmtId="170" fontId="29" fillId="5" borderId="4" xfId="0" applyNumberFormat="1" applyFont="1" applyFill="1" applyBorder="1" applyAlignment="1">
      <alignment horizontal="center" vertical="center"/>
    </xf>
    <xf numFmtId="170" fontId="29" fillId="5" borderId="14" xfId="0" applyNumberFormat="1" applyFont="1" applyFill="1" applyBorder="1" applyAlignment="1">
      <alignment horizontal="center" vertical="center"/>
    </xf>
    <xf numFmtId="0" fontId="27" fillId="6" borderId="8" xfId="0" applyFont="1" applyFill="1" applyBorder="1" applyAlignment="1">
      <alignment horizontal="left" vertical="center" wrapText="1"/>
    </xf>
    <xf numFmtId="0" fontId="27" fillId="6" borderId="21" xfId="0" applyFont="1" applyFill="1" applyBorder="1" applyAlignment="1">
      <alignment horizontal="left" vertical="center" wrapText="1"/>
    </xf>
    <xf numFmtId="0" fontId="27" fillId="6" borderId="22" xfId="0" applyFont="1" applyFill="1" applyBorder="1" applyAlignment="1">
      <alignment horizontal="left" vertical="center" wrapText="1"/>
    </xf>
    <xf numFmtId="0" fontId="27" fillId="6" borderId="12" xfId="0" applyFont="1" applyFill="1" applyBorder="1" applyAlignment="1">
      <alignment horizontal="left" vertical="center" wrapText="1"/>
    </xf>
    <xf numFmtId="0" fontId="27" fillId="6" borderId="6" xfId="0" applyFont="1" applyFill="1" applyBorder="1" applyAlignment="1">
      <alignment horizontal="left" vertical="center" wrapText="1"/>
    </xf>
    <xf numFmtId="0" fontId="27" fillId="6" borderId="13" xfId="0" applyFont="1" applyFill="1" applyBorder="1" applyAlignment="1">
      <alignment horizontal="left" vertical="center" wrapText="1"/>
    </xf>
    <xf numFmtId="0" fontId="27" fillId="0" borderId="8" xfId="0" applyFont="1" applyBorder="1" applyAlignment="1">
      <alignment horizontal="center" vertical="center" textRotation="90"/>
    </xf>
    <xf numFmtId="0" fontId="27" fillId="0" borderId="11" xfId="0" applyFont="1" applyBorder="1" applyAlignment="1">
      <alignment horizontal="center" vertical="center" textRotation="90"/>
    </xf>
    <xf numFmtId="0" fontId="27" fillId="0" borderId="12" xfId="0" applyFont="1" applyBorder="1" applyAlignment="1">
      <alignment horizontal="center" vertical="center" textRotation="90"/>
    </xf>
    <xf numFmtId="170" fontId="27" fillId="5" borderId="7" xfId="0" applyNumberFormat="1" applyFont="1" applyFill="1" applyBorder="1" applyAlignment="1">
      <alignment horizontal="center" vertical="center"/>
    </xf>
    <xf numFmtId="170" fontId="27" fillId="5" borderId="14" xfId="0" applyNumberFormat="1" applyFont="1" applyFill="1" applyBorder="1" applyAlignment="1">
      <alignment horizontal="center" vertical="center"/>
    </xf>
    <xf numFmtId="0" fontId="27" fillId="0" borderId="8" xfId="0" applyFont="1" applyBorder="1" applyAlignment="1">
      <alignment horizontal="center" vertical="center" textRotation="90" wrapText="1"/>
    </xf>
    <xf numFmtId="0" fontId="27" fillId="0" borderId="11" xfId="0" applyFont="1" applyBorder="1" applyAlignment="1">
      <alignment horizontal="center" vertical="center" textRotation="90" wrapText="1"/>
    </xf>
    <xf numFmtId="0" fontId="27" fillId="0" borderId="12" xfId="0" applyFont="1" applyBorder="1" applyAlignment="1">
      <alignment horizontal="center" vertical="center" textRotation="90" wrapText="1"/>
    </xf>
    <xf numFmtId="0" fontId="65" fillId="0" borderId="0" xfId="0" applyFont="1" applyAlignment="1">
      <alignment horizontal="left" wrapText="1"/>
    </xf>
    <xf numFmtId="0" fontId="65" fillId="0" borderId="25" xfId="0" applyFont="1" applyBorder="1" applyAlignment="1">
      <alignment horizontal="left" wrapText="1"/>
    </xf>
    <xf numFmtId="0" fontId="65" fillId="0" borderId="0" xfId="0" applyFont="1" applyAlignment="1">
      <alignment horizontal="left"/>
    </xf>
    <xf numFmtId="0" fontId="65" fillId="0" borderId="25" xfId="0" applyFont="1" applyBorder="1" applyAlignment="1">
      <alignment horizontal="left"/>
    </xf>
    <xf numFmtId="0" fontId="65" fillId="0" borderId="30" xfId="0" applyFont="1" applyBorder="1" applyAlignment="1">
      <alignment horizontal="left"/>
    </xf>
    <xf numFmtId="0" fontId="65" fillId="0" borderId="31" xfId="0" applyFont="1" applyBorder="1" applyAlignment="1">
      <alignment horizontal="left"/>
    </xf>
    <xf numFmtId="0" fontId="27" fillId="8" borderId="7" xfId="0" applyFont="1" applyFill="1" applyBorder="1" applyAlignment="1">
      <alignment horizontal="center" vertical="center"/>
    </xf>
    <xf numFmtId="0" fontId="27" fillId="8" borderId="4" xfId="0" applyFont="1" applyFill="1" applyBorder="1" applyAlignment="1">
      <alignment horizontal="center" vertical="center"/>
    </xf>
    <xf numFmtId="0" fontId="27" fillId="8" borderId="14" xfId="0" applyFont="1" applyFill="1" applyBorder="1" applyAlignment="1">
      <alignment horizontal="center" vertical="center"/>
    </xf>
    <xf numFmtId="2" fontId="36" fillId="10" borderId="7" xfId="0" applyNumberFormat="1" applyFont="1" applyFill="1" applyBorder="1" applyAlignment="1">
      <alignment horizontal="left" vertical="center"/>
    </xf>
    <xf numFmtId="2" fontId="36" fillId="10" borderId="4" xfId="0" applyNumberFormat="1" applyFont="1" applyFill="1" applyBorder="1" applyAlignment="1">
      <alignment horizontal="left" vertical="center"/>
    </xf>
    <xf numFmtId="49" fontId="36" fillId="10" borderId="4" xfId="29" applyNumberFormat="1" applyFont="1" applyFill="1" applyBorder="1" applyAlignment="1">
      <alignment horizontal="left" vertical="center"/>
    </xf>
    <xf numFmtId="49" fontId="36" fillId="10" borderId="14" xfId="29" applyNumberFormat="1" applyFont="1" applyFill="1" applyBorder="1" applyAlignment="1">
      <alignment horizontal="left" vertical="center"/>
    </xf>
    <xf numFmtId="49" fontId="27" fillId="7" borderId="7" xfId="0" applyNumberFormat="1" applyFont="1" applyFill="1" applyBorder="1" applyAlignment="1">
      <alignment horizontal="center" vertical="center"/>
    </xf>
    <xf numFmtId="49" fontId="27" fillId="7" borderId="14" xfId="0" applyNumberFormat="1" applyFont="1" applyFill="1" applyBorder="1" applyAlignment="1">
      <alignment horizontal="center" vertical="center"/>
    </xf>
    <xf numFmtId="49" fontId="27" fillId="8" borderId="7" xfId="0" applyNumberFormat="1" applyFont="1" applyFill="1" applyBorder="1" applyAlignment="1">
      <alignment horizontal="center" vertical="center"/>
    </xf>
    <xf numFmtId="49" fontId="27" fillId="8" borderId="14" xfId="0" applyNumberFormat="1" applyFont="1" applyFill="1" applyBorder="1" applyAlignment="1">
      <alignment horizontal="center" vertical="center"/>
    </xf>
    <xf numFmtId="49" fontId="27" fillId="7" borderId="4" xfId="0" applyNumberFormat="1" applyFont="1" applyFill="1" applyBorder="1" applyAlignment="1">
      <alignment horizontal="center" vertical="center"/>
    </xf>
    <xf numFmtId="49" fontId="27" fillId="8" borderId="4" xfId="0" applyNumberFormat="1" applyFont="1" applyFill="1" applyBorder="1" applyAlignment="1">
      <alignment horizontal="center" vertical="center"/>
    </xf>
  </cellXfs>
  <cellStyles count="79">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Standaard 8" xfId="77" xr:uid="{C4A97A40-8A53-4E3D-AFD5-A2889FCC8EFA}"/>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4 3" xfId="78" xr:uid="{3FB04738-33DC-4F3E-8641-7843873E587F}"/>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1">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fill>
        <patternFill patternType="none">
          <fgColor indexed="64"/>
          <bgColor auto="1"/>
        </patternFill>
      </fill>
    </dxf>
    <dxf>
      <font>
        <b val="0"/>
        <i val="0"/>
        <strike val="0"/>
        <condense val="0"/>
        <extend val="0"/>
        <outline val="0"/>
        <shadow val="0"/>
        <u val="none"/>
        <vertAlign val="baseline"/>
        <sz val="9"/>
        <color theme="0"/>
        <name val="Verdana"/>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10" dataDxfId="308" headerRowBorderDxfId="309" tableBorderDxfId="307" totalsRowBorderDxfId="306">
  <autoFilter ref="A3:Y1107" xr:uid="{EFA13895-E364-4C8A-AA8D-12C726A7AC31}"/>
  <tableColumns count="25">
    <tableColumn id="1" xr3:uid="{6B145318-7F04-4B27-80E3-EDDB80D8AA5F}" name="Code" dataDxfId="305"/>
    <tableColumn id="2" xr3:uid="{A3A88513-89B7-4FB7-9DB5-CF77936D6328}" name="Locatie" dataDxfId="304"/>
    <tableColumn id="3" xr3:uid="{962D7CAE-D138-4226-9114-7A665E66FE09}" name="Frequentie" dataDxfId="303"/>
    <tableColumn id="4" xr3:uid="{02A05A85-F557-4E8F-81CA-782514C3EB0B}" name="Frequentieomschrijving" dataDxfId="302"/>
    <tableColumn id="5" xr3:uid="{3D41A4F3-0BA0-4F3A-8059-E98FA4296AD9}" name="Vloercode" dataDxfId="301"/>
    <tableColumn id="6" xr3:uid="{9F60BC29-F803-467C-9E8A-B9FD3FAED5FC}" name="Code2" dataDxfId="300"/>
    <tableColumn id="7" xr3:uid="{624EFF30-884A-4A63-9192-06AA3C4453EA}" name="vl1" dataDxfId="299"/>
    <tableColumn id="8" xr3:uid="{C944B72C-E6D7-4E79-85F6-914704F2E65C}" name="vl2" dataDxfId="298"/>
    <tableColumn id="9" xr3:uid="{D65DE689-F9B8-430B-B34E-7DF95793D674}" name="vl3" dataDxfId="297"/>
    <tableColumn id="10" xr3:uid="{43A4B773-0F96-4280-9C3F-EAF80A14A709}" name="vl4" dataDxfId="296"/>
    <tableColumn id="11" xr3:uid="{380012B2-3312-431D-8946-41856C56FB2C}" name="vl5" dataDxfId="295"/>
    <tableColumn id="12" xr3:uid="{2B1C9BF4-8C96-4C73-984A-DE131A286832}" name="vl6" dataDxfId="294"/>
    <tableColumn id="13" xr3:uid="{B5514BB9-74E0-4ABE-9E20-CCE23D228131}" name="vl7" dataDxfId="293"/>
    <tableColumn id="14" xr3:uid="{F791ACCD-A47B-41ED-BECD-6641D8F9B18D}" name="vnl" dataDxfId="292"/>
    <tableColumn id="15" xr3:uid="{20BAF86F-0248-4538-95CC-65053CB39BEF}" name="i8" dataDxfId="291"/>
    <tableColumn id="16" xr3:uid="{678C2240-F553-40F8-8F75-1C080929C9FC}" name="i9" dataDxfId="290"/>
    <tableColumn id="17" xr3:uid="{C2F746AF-E6E8-4646-8431-CFDAE0006C0B}" name="i10" dataDxfId="289"/>
    <tableColumn id="18" xr3:uid="{87F5E1E5-AB4E-4E20-BA95-D8FB4BB75EC7}" name="i11" dataDxfId="288"/>
    <tableColumn id="19" xr3:uid="{9C49B827-4B78-47E3-AF74-E39A99170859}" name="i12" dataDxfId="287"/>
    <tableColumn id="20" xr3:uid="{52B1AE75-DD29-4ADA-956E-361F983699DB}" name="i13" dataDxfId="286"/>
    <tableColumn id="21" xr3:uid="{9EF47AA6-0AC0-40A4-BB2C-B58ABE40EEF2}" name="i14" dataDxfId="285"/>
    <tableColumn id="22" xr3:uid="{5E7A7D3D-FCD2-4FB4-BE26-536C0F75A359}" name="inl" dataDxfId="284"/>
    <tableColumn id="23" xr3:uid="{4FDE95B9-743A-4E1C-BBAB-5F5DE7DAE90F}" name="s15" dataDxfId="283"/>
    <tableColumn id="24" xr3:uid="{F08AC32D-BF76-4C5E-A2C7-ABF0B3ADEC32}" name="s16" dataDxfId="282"/>
    <tableColumn id="25" xr3:uid="{F5AC86BA-6517-4B7E-AA9D-85C454384A01}" name="snl" dataDxfId="281"/>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3:I75" totalsRowCount="1" headerRowDxfId="104" dataDxfId="103" totalsRowDxfId="102">
  <autoFilter ref="A23:I74" xr:uid="{00000000-0009-0000-0100-000004000000}"/>
  <tableColumns count="9">
    <tableColumn id="1" xr3:uid="{00000000-0010-0000-0600-000001000000}" name="Code Locatie" totalsRowLabel="Totaal" dataDxfId="101" totalsRowDxfId="100"/>
    <tableColumn id="2" xr3:uid="{00000000-0010-0000-0600-000002000000}" name="Locatie" dataDxfId="99" totalsRowDxfId="98">
      <calculatedColumnFormula>VLOOKUP(OverzichtGlas[[#This Row],[Code Locatie]],Totalisatie!$A$7:$B$16,2,FALSE)</calculatedColumnFormula>
    </tableColumn>
    <tableColumn id="3" xr3:uid="{00000000-0010-0000-0600-000003000000}" name="Code taak" dataDxfId="97" totalsRowDxfId="96"/>
    <tableColumn id="4" xr3:uid="{00000000-0010-0000-0600-000004000000}" name="Glassoort/voorziening" dataDxfId="95" totalsRowDxfId="94">
      <calculatedColumnFormula>IF(Glasbewassing!$C24&gt;0,VLOOKUP(Glasbewassing!$C24,$A$8:$B$21,2,FALSE),"Hier vult u de inzet van eventuele hoogwerkers in")</calculatedColumnFormula>
    </tableColumn>
    <tableColumn id="5" xr3:uid="{00000000-0010-0000-0600-000005000000}" name="Oppervlakte of dagen" dataDxfId="93" totalsRowDxfId="92"/>
    <tableColumn id="7" xr3:uid="{00000000-0010-0000-0600-000007000000}" name="Frequentie" dataDxfId="91" totalsRowDxfId="90"/>
    <tableColumn id="8" xr3:uid="{00000000-0010-0000-0600-000008000000}" name="Kosten/jaar excl. BTW" totalsRowFunction="sum" dataDxfId="89" totalsRowDxfId="88">
      <calculatedColumnFormula>IF(C24&gt;0,VLOOKUP(OverzichtGlas[[#This Row],[Code taak]],InvulGlas[],3,0)*E24*F24,0)</calculatedColumnFormula>
    </tableColumn>
    <tableColumn id="9" xr3:uid="{C6828B68-C5ED-4DD8-81B9-05DF00D6C1BD}" name="Kosten/jaar incl. BTW" totalsRowFunction="sum" dataDxfId="87" totalsRowDxfId="86">
      <calculatedColumnFormula>OverzichtGlas[[#This Row],[Kosten/jaar excl. BTW]]*1.21</calculatedColumnFormula>
    </tableColumn>
    <tableColumn id="10" xr3:uid="{281CE6AA-F18D-4D78-892B-498ACB4CB3F2}" name="Opmerkingen" dataDxfId="85" totalsRowDxfId="84"/>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3" totalsRowShown="0" headerRowDxfId="83" dataDxfId="82">
  <autoFilter ref="A8:I13" xr:uid="{A588C5F6-B106-46F9-B98B-C593A09DB2A3}"/>
  <tableColumns count="9">
    <tableColumn id="1" xr3:uid="{22B850F0-AE08-4CE3-9B2D-04E6314FD547}" name="Code Taak" dataDxfId="81"/>
    <tableColumn id="2" xr3:uid="{6412DB2E-0333-47D7-AB1A-EA797FE96A5D}" name="Werkzaamheden" dataDxfId="80"/>
    <tableColumn id="3" xr3:uid="{8AAD7C70-4047-4EB3-A9DF-188E4E2089BC}" name="Prijs_x000a_Excl. BTW" dataDxfId="79"/>
    <tableColumn id="4" xr3:uid="{1CA4AC32-87D6-4484-8912-27D47F4EAAF7}" name="Toelichting" dataDxfId="78"/>
    <tableColumn id="5" xr3:uid="{BE52F369-C5C3-4A71-8D70-B7E0ACF04F24}" name="2026" dataDxfId="77" dataCellStyle="Valuta">
      <calculatedColumnFormula>(Invulextrawerkz[[#This Row],[Prijs
Excl. BTW]]*Tariefsopbouw!$I$37)+Invulextrawerkz[[#This Row],[Prijs
Excl. BTW]]</calculatedColumnFormula>
    </tableColumn>
    <tableColumn id="6" xr3:uid="{046CD56D-41E8-4E69-876C-FF09421E56AF}" name="2027" dataDxfId="76" dataCellStyle="Valuta">
      <calculatedColumnFormula>Invulextrawerkz[[#This Row],[2026]]*Tariefsopbouw!$K$37+Invulextrawerkz[[#This Row],[2026]]</calculatedColumnFormula>
    </tableColumn>
    <tableColumn id="7" xr3:uid="{AF2B5E6B-A19D-4429-8D14-84B8E528B026}" name="2028" dataDxfId="75" dataCellStyle="Valuta">
      <calculatedColumnFormula>Invulextrawerkz[[#This Row],[2027]]*Tariefsopbouw!$M$37+Invulextrawerkz[[#This Row],[2027]]</calculatedColumnFormula>
    </tableColumn>
    <tableColumn id="8" xr3:uid="{69208AF1-447E-49EB-8803-78C4123AE3E9}" name="2029" dataDxfId="74" dataCellStyle="Valuta">
      <calculatedColumnFormula>Invulextrawerkz[[#This Row],[2028]]*Tariefsopbouw!$O$37+Invulextrawerkz[[#This Row],[2028]]</calculatedColumnFormula>
    </tableColumn>
    <tableColumn id="9" xr3:uid="{E25B61B0-84BE-4386-B6FA-D50084DDD0DC}" name="2030" dataDxfId="73" dataCellStyle="Valuta">
      <calculatedColumnFormula>Invulextrawerkz[[#This Row],[2029]]*Tariefsopbouw!$Q$37+Invulextrawerkz[[#This Row],[2029]]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6:H24" totalsRowCount="1" headerRowDxfId="72" dataDxfId="71" totalsRowDxfId="70">
  <autoFilter ref="A16:H23" xr:uid="{B3DABFDF-61AB-4C78-A962-F8CAE07529D2}"/>
  <tableColumns count="8">
    <tableColumn id="11" xr3:uid="{FED34620-6CE0-4955-8DDC-285BD6540A10}" name="Code Locatie" dataDxfId="69" totalsRowDxfId="68"/>
    <tableColumn id="1" xr3:uid="{38A9D2E6-7E84-4572-8661-1EA1E213D2FD}" name="Locatie" totalsRowLabel="Totaal" dataDxfId="67" totalsRowDxfId="66"/>
    <tableColumn id="3" xr3:uid="{65AA2A4E-FC38-4AA7-9EDE-EA1292669AD6}" name="Code Taak" dataDxfId="65" totalsRowDxfId="64"/>
    <tableColumn id="4" xr3:uid="{4538BE92-6D95-4430-BD90-4F27BD6C1025}" name="Werkzaamheden" dataDxfId="63" totalsRowDxfId="62">
      <calculatedColumnFormula>IF(#REF!&gt;0,VLOOKUP(#REF!,$A$8:$B$13,2,FALSE),"")</calculatedColumnFormula>
    </tableColumn>
    <tableColumn id="6" xr3:uid="{6B6E2754-DCC5-4C0C-89CF-D088B3C5F0F4}" name="Beurt/uren" dataDxfId="61" totalsRowDxfId="60"/>
    <tableColumn id="8" xr3:uid="{4862230C-3525-4D32-9FDD-2ADF1DC2DED5}" name="Frequentie (uitv./jaar)" dataDxfId="59" totalsRowDxfId="58"/>
    <tableColumn id="9" xr3:uid="{3AF652DD-830E-4C84-ACC3-83DF08C65F3F}" name="Kosten/jaar excl. BTW" totalsRowFunction="sum" dataDxfId="57" totalsRowDxfId="56">
      <calculatedColumnFormula>VLOOKUP(Overzichtextrawerkz.[[#This Row],[Code Taak]],Invulextrawerkz[],3,3)*#REF!*E17*F17</calculatedColumnFormula>
    </tableColumn>
    <tableColumn id="10" xr3:uid="{DD2F212C-5755-442B-B448-ACDA43EBEDAE}" name="Kosten/jaar incl. BTW" totalsRowFunction="sum" dataDxfId="55" totalsRowDxfId="5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3" dataDxfId="52" totalsRowDxfId="51">
  <autoFilter ref="B8:I36" xr:uid="{00000000-0009-0000-0100-00000B000000}"/>
  <tableColumns count="8">
    <tableColumn id="1" xr3:uid="{00000000-0010-0000-0B00-000001000000}" name="Werkzaamheid" totalsRowLabel="Totaal" totalsRowDxfId="50"/>
    <tableColumn id="2" xr3:uid="{00000000-0010-0000-0B00-000002000000}" name="Eenheid" totalsRowDxfId="49"/>
    <tableColumn id="3" xr3:uid="{00000000-0010-0000-0B00-000003000000}" name="Prijs excl. BTW" dataDxfId="48" totalsRowDxfId="47"/>
    <tableColumn id="4" xr3:uid="{B5F01DB2-4194-4E64-82A1-AEC4321C7779}" name="2026" dataDxfId="46" totalsRowDxfId="45">
      <calculatedColumnFormula>InvulRegie[[#This Row],[Prijs excl. BTW]]*Tariefsopbouw!$I$37+InvulRegie[[#This Row],[Prijs excl. BTW]]</calculatedColumnFormula>
    </tableColumn>
    <tableColumn id="5" xr3:uid="{3CA4A34B-020A-4D0B-A261-3474E51BA7E6}" name="2027" dataDxfId="44" totalsRowDxfId="43">
      <calculatedColumnFormula>E9*Tariefsopbouw!$K$37+'Regie en afroep'!E9</calculatedColumnFormula>
    </tableColumn>
    <tableColumn id="6" xr3:uid="{6CBE86F5-5170-4A40-B371-21417313A914}" name="2028" dataDxfId="42" totalsRowDxfId="41">
      <calculatedColumnFormula>F9*Tariefsopbouw!$M$37+'Regie en afroep'!F9</calculatedColumnFormula>
    </tableColumn>
    <tableColumn id="7" xr3:uid="{68D3EF76-13B7-42F1-8D3C-5A86952C9A96}" name="2029" dataDxfId="40" totalsRowDxfId="39">
      <calculatedColumnFormula>G9*Tariefsopbouw!$O$37+'Regie en afroep'!G9</calculatedColumnFormula>
    </tableColumn>
    <tableColumn id="8" xr3:uid="{7810C1CA-1317-4B8A-BD57-8667183C1ECD}" name="2030"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7" totalsRowCount="1" headerRowDxfId="36" dataDxfId="34" totalsRowDxfId="32" headerRowBorderDxfId="35" tableBorderDxfId="33">
  <autoFilter ref="A6:F16"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21:G32" totalsRowCount="1" headerRowDxfId="19" dataDxfId="17" totalsRowDxfId="15" headerRowBorderDxfId="18" tableBorderDxfId="16">
  <autoFilter ref="A21:G31" xr:uid="{00000000-0009-0000-0100-00000F000000}"/>
  <sortState xmlns:xlrd2="http://schemas.microsoft.com/office/spreadsheetml/2017/richdata2" ref="A22:G27">
    <sortCondition ref="C21:C27"/>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7:D37" totalsRowShown="0" headerRowDxfId="280" dataDxfId="279" headerRowCellStyle="Standaard 4">
  <autoFilter ref="A17:D37" xr:uid="{00000000-0009-0000-0100-000006000000}"/>
  <tableColumns count="4">
    <tableColumn id="1" xr3:uid="{00000000-0010-0000-0000-000001000000}" name="Code" dataDxfId="278" dataCellStyle="Standaard 4"/>
    <tableColumn id="2" xr3:uid="{00000000-0010-0000-0000-000002000000}" name="Ruimte omschrijving" dataDxfId="277" dataCellStyle="Standaard 4"/>
    <tableColumn id="3" xr3:uid="{00000000-0010-0000-0000-000003000000}" name="Norm (5w)" dataDxfId="276"/>
    <tableColumn id="4" xr3:uid="{00000000-0010-0000-0000-000004000000}" name="Inspectiecategorie" dataDxfId="275"/>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40:D45" totalsRowShown="0" headerRowDxfId="274" dataDxfId="273">
  <autoFilter ref="A40:D45" xr:uid="{00000000-0009-0000-0100-000007000000}"/>
  <tableColumns count="4">
    <tableColumn id="1" xr3:uid="{00000000-0010-0000-0100-000001000000}" name="Code" dataDxfId="272"/>
    <tableColumn id="4" xr3:uid="{00000000-0010-0000-0100-000004000000}" name="Naam" dataDxfId="271"/>
    <tableColumn id="5" xr3:uid="{00000000-0010-0000-0100-000005000000}" name="Aanpassing norm" dataDxfId="270" dataCellStyle="Procent 3"/>
    <tableColumn id="2" xr3:uid="{00000000-0010-0000-0100-000002000000}" name="Vloersoort omschrijving" dataDxfId="269"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8:D60" totalsRowShown="0" headerRowDxfId="268" dataDxfId="267">
  <autoFilter ref="A48:D60" xr:uid="{00000000-0009-0000-0100-000008000000}"/>
  <tableColumns count="4">
    <tableColumn id="1" xr3:uid="{00000000-0010-0000-0200-000001000000}" name="Code" dataDxfId="266" dataCellStyle="Standaard 4"/>
    <tableColumn id="2" xr3:uid="{00000000-0010-0000-0200-000002000000}" name="Frequentie omschrijving" dataDxfId="265" dataCellStyle="Standaard 4"/>
    <tableColumn id="3" xr3:uid="{00000000-0010-0000-0200-000003000000}" name="Aanpassing norm" dataDxfId="264" dataCellStyle="Procent"/>
    <tableColumn id="4" xr3:uid="{62B36348-2266-47E8-AF7C-A5085F351579}" name="Kolom1" dataDxfId="263"/>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5" totalsRowShown="0" headerRowDxfId="262" dataDxfId="261">
  <autoFilter ref="A4:F15" xr:uid="{00000000-0009-0000-0100-00000D000000}"/>
  <tableColumns count="6">
    <tableColumn id="1" xr3:uid="{00000000-0010-0000-0300-000001000000}" name="Code" dataDxfId="260"/>
    <tableColumn id="2" xr3:uid="{00000000-0010-0000-0300-000002000000}" name="Locatie" dataDxfId="259"/>
    <tableColumn id="7" xr3:uid="{00000000-0010-0000-0300-000007000000}" name="Aanpassing norm" dataDxfId="258" dataCellStyle="Procent"/>
    <tableColumn id="3" xr3:uid="{00000000-0010-0000-0300-000003000000}" name="Adres" dataDxfId="257" dataCellStyle="Standaard 4"/>
    <tableColumn id="5" xr3:uid="{DA45991E-5E38-40DC-A1BE-D3770F949A13}" name="Postcode" dataDxfId="256" dataCellStyle="Standaard 4"/>
    <tableColumn id="4" xr3:uid="{00000000-0010-0000-0300-000004000000}" name="Plaats" dataDxfId="255"/>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W1009" totalsRowShown="0" headerRowDxfId="254" dataDxfId="253">
  <autoFilter ref="A4:BW1009" xr:uid="{396E59E9-BF0A-4D12-8DDE-B051B0F3D5F7}"/>
  <tableColumns count="75">
    <tableColumn id="32" xr3:uid="{00000000-0010-0000-0400-000020000000}" name="Code" dataDxfId="252" totalsRowDxfId="251"/>
    <tableColumn id="3" xr3:uid="{00000000-0010-0000-0400-000003000000}" name="Naam" dataDxfId="250" totalsRowDxfId="249"/>
    <tableColumn id="4" xr3:uid="{70782354-32A9-4BC9-88AC-C4AB6869B8E9}" name="Adres" dataDxfId="248" totalsRowDxfId="247">
      <calculatedColumnFormula>VLOOKUP(Ruimtestaat[[#This Row],[Code]],Locaties[[#All],[Code]:[Adres]],4,FALSE)</calculatedColumnFormula>
    </tableColumn>
    <tableColumn id="79" xr3:uid="{E7B33814-4928-4AE9-A368-AE6E30B7DBF6}" name="Postcode" dataDxfId="246" totalsRowDxfId="245">
      <calculatedColumnFormula>VLOOKUP(Ruimtestaat[[#This Row],[Code]],Locaties[[#All],[Code]:[Postcode]],5,FALSE)</calculatedColumnFormula>
    </tableColumn>
    <tableColumn id="80" xr3:uid="{476650B5-E93B-45F9-BED3-2256EBFA7240}" name="Plaatsnaam" dataDxfId="244" totalsRowDxfId="243">
      <calculatedColumnFormula>VLOOKUP(Ruimtestaat[[#This Row],[Code]],Locaties[#All],6,FALSE)</calculatedColumnFormula>
    </tableColumn>
    <tableColumn id="2" xr3:uid="{00000000-0010-0000-0400-000002000000}" name="Gebouw gedeelte" dataDxfId="242" totalsRowDxfId="241"/>
    <tableColumn id="6" xr3:uid="{00000000-0010-0000-0400-000006000000}" name="Etage" dataDxfId="240" totalsRowDxfId="239"/>
    <tableColumn id="7" xr3:uid="{00000000-0010-0000-0400-000007000000}" name="Ruimte- _x000a_nummer" dataDxfId="238" totalsRowDxfId="237"/>
    <tableColumn id="8" xr3:uid="{00000000-0010-0000-0400-000008000000}" name="Ruimte omschrijving" dataDxfId="236" totalsRowDxfId="235"/>
    <tableColumn id="9" xr3:uid="{00000000-0010-0000-0400-000009000000}" name="Ruimte code" dataDxfId="234" totalsRowDxfId="233"/>
    <tableColumn id="10" xr3:uid="{00000000-0010-0000-0400-00000A000000}" name="Ruimtesoort" dataDxfId="232" totalsRowDxfId="231">
      <calculatedColumnFormula>VLOOKUP(Ruimtestaat[[#This Row],[Ruimte code]],Ruimtegroepen[[#All],[Code]:[Ruimte omschrijving]],2,FALSE)</calculatedColumnFormula>
    </tableColumn>
    <tableColumn id="11" xr3:uid="{00000000-0010-0000-0400-00000B000000}" name="Vloer code" dataDxfId="230" totalsRowDxfId="229"/>
    <tableColumn id="12" xr3:uid="{00000000-0010-0000-0400-00000C000000}" name="Vloer afwerking" dataDxfId="228" totalsRowDxfId="227"/>
    <tableColumn id="13" xr3:uid="{00000000-0010-0000-0400-00000D000000}" name="Oppervlak (netto)" dataDxfId="226" totalsRowDxfId="225"/>
    <tableColumn id="14" xr3:uid="{00000000-0010-0000-0400-00000E000000}" name="Oppervlakte n.i.o." dataDxfId="224"/>
    <tableColumn id="15" xr3:uid="{00000000-0010-0000-0400-00000F000000}" name="Inspectie categorie" dataDxfId="223" totalsRowDxfId="222">
      <calculatedColumnFormula>VLOOKUP(Ruimtestaat[[#This Row],[Ruimte code]],Ruimtegroepen[],4,FALSE)</calculatedColumnFormula>
    </tableColumn>
    <tableColumn id="1" xr3:uid="{68BB3D13-374A-4261-9D8F-E8E14AE45EE7}" name="Opmerking" dataDxfId="221" totalsRowDxfId="220"/>
    <tableColumn id="17" xr3:uid="{00000000-0010-0000-0400-000011000000}" name="Aantal weken/jr" dataDxfId="219" totalsRowDxfId="218"/>
    <tableColumn id="18" xr3:uid="{00000000-0010-0000-0400-000012000000}" name="Frequentie werkdagen" dataDxfId="217" totalsRowDxfId="216"/>
    <tableColumn id="19" xr3:uid="{00000000-0010-0000-0400-000013000000}" name="Uitvoeringen werkdagen" dataDxfId="215" totalsRowDxfId="214">
      <calculatedColumnFormula>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3" totalsRowDxfId="212">
      <calculatedColumnFormula>IF(T5&gt;0,VLOOKUP($J5,Ruimtegroepen[],3,FALSE)*VLOOKUP($L5,Vloersoorten[],3,FALSE)*VLOOKUP($S5,Frequenties[],3,FALSE)*VLOOKUP($A5,Locaties[],3,FALSE),0)</calculatedColumnFormula>
    </tableColumn>
    <tableColumn id="21" xr3:uid="{00000000-0010-0000-0400-000015000000}" name="Prest. (m2 /jaar) werkdagen" dataDxfId="211" totalsRowDxfId="210">
      <calculatedColumnFormula>Ruimtestaat[[#This Row],[Uitvoeringen werkdagen]]*Ruimtestaat[[#This Row],[Oppervlak (netto)]]</calculatedColumnFormula>
    </tableColumn>
    <tableColumn id="22" xr3:uid="{00000000-0010-0000-0400-000016000000}" name="uren / jaar werkdagen" dataDxfId="209" totalsRowDxfId="208" dataCellStyle="Komma">
      <calculatedColumnFormula>IF(U5&gt;0,Ruimtestaat[[#This Row],[Prest. (m2 /jaar) werkdagen]]/Ruimtestaat[[#This Row],[Norm (m2/uur) werkdagen]],0)</calculatedColumnFormula>
    </tableColumn>
    <tableColumn id="23" xr3:uid="{00000000-0010-0000-0400-000017000000}" name="kosten / jaar werkdagen" dataDxfId="207" totalsRowDxfId="206" dataCellStyle="Valuta">
      <calculatedColumnFormula>Ruimtestaat[[#This Row],[uren / jaar werkdagen]]*Tariefsopbouw!$E$35</calculatedColumnFormula>
    </tableColumn>
    <tableColumn id="24" xr3:uid="{00000000-0010-0000-0400-000018000000}" name="Frequentie weekend" dataDxfId="205" totalsRowDxfId="204"/>
    <tableColumn id="38" xr3:uid="{00000000-0010-0000-0400-000026000000}" name="Uitvoeringen weekend" dataDxfId="203" totalsRowDxfId="202">
      <calculatedColumnFormula>IF(Ruimtestaat[[#This Row],[Frequentie weekend]]&gt;0,VALUE(LEFT(Y5,1))*R5,0)</calculatedColumnFormula>
    </tableColumn>
    <tableColumn id="25" xr3:uid="{00000000-0010-0000-0400-000019000000}" name="Norm (m2/uur) weekend" dataDxfId="201" totalsRowDxfId="200">
      <calculatedColumnFormula>IF($Z5&gt;0,VLOOKUP($J5,Ruimtegroepen[],3,FALSE)*VLOOKUP($L5,Vloersoorten[],3,FALSE)*VLOOKUP($Y5,Frequenties[],3,FALSE)*VLOOKUP(#REF!,Locaties[],3,FALSE),0)</calculatedColumnFormula>
    </tableColumn>
    <tableColumn id="26" xr3:uid="{00000000-0010-0000-0400-00001A000000}" name="Prest. (m2 /jaar) weekend" dataDxfId="199" totalsRowDxfId="198">
      <calculatedColumnFormula>Ruimtestaat[[#This Row],[Uitvoeringen weekend]]*Ruimtestaat[[#This Row],[Oppervlak (netto)]]</calculatedColumnFormula>
    </tableColumn>
    <tableColumn id="27" xr3:uid="{00000000-0010-0000-0400-00001B000000}" name="uren / jaar weekend" dataDxfId="197" totalsRowDxfId="196">
      <calculatedColumnFormula>IF(AA5&gt;0,Ruimtestaat[[#This Row],[Prest. (m2 /jaar) weekend]]/Ruimtestaat[[#This Row],[Norm (m2/uur) weekend]],0)</calculatedColumnFormula>
    </tableColumn>
    <tableColumn id="28" xr3:uid="{00000000-0010-0000-0400-00001C000000}" name="kosten / jaar weekend" dataDxfId="195" totalsRowDxfId="194">
      <calculatedColumnFormula>Ruimtestaat[[#This Row],[uren / jaar weekend]]*Tariefsopbouw!$D$40</calculatedColumnFormula>
    </tableColumn>
    <tableColumn id="29" xr3:uid="{00000000-0010-0000-0400-00001D000000}" name="Prest. (m2 /jaar)" dataDxfId="193" totalsRowDxfId="192" dataCellStyle="Komma">
      <calculatedColumnFormula>Ruimtestaat[[#This Row],[Prest. (m2 /jaar) weekend]]+Ruimtestaat[[#This Row],[Prest. (m2 /jaar) werkdagen]]</calculatedColumnFormula>
    </tableColumn>
    <tableColumn id="30" xr3:uid="{00000000-0010-0000-0400-00001E000000}" name="uren / jaar" dataDxfId="191" totalsRowDxfId="190" dataCellStyle="Komma">
      <calculatedColumnFormula>Ruimtestaat[[#This Row],[uren / jaar weekend]]+Ruimtestaat[[#This Row],[uren / jaar werkdagen]]</calculatedColumnFormula>
    </tableColumn>
    <tableColumn id="31" xr3:uid="{00000000-0010-0000-0400-00001F000000}" name="kosten / jaar excl btw" dataDxfId="189" totalsRowDxfId="188">
      <calculatedColumnFormula>Ruimtestaat[[#This Row],[kosten / jaar weekend]]+Ruimtestaat[[#This Row],[kosten / jaar werkdagen]]</calculatedColumnFormula>
    </tableColumn>
    <tableColumn id="78" xr3:uid="{C7E09CEC-45CA-4861-813D-3146CE52089E}" name="Kolom2" dataDxfId="187"/>
    <tableColumn id="36" xr3:uid="{644223A4-3B0B-40ED-9CC2-5E87CCEF757C}" name="Programmacode_x000a_Regulier" dataDxfId="186">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5">
      <calculatedColumnFormula>_xlfn.IFNA(VLOOKUP($AI5,Programma!$F$3:$G$1107,2,0),"")</calculatedColumnFormula>
    </tableColumn>
    <tableColumn id="39" xr3:uid="{2E53B719-2751-4AFA-8ABF-26530B7DD3C0}" name="vl2" dataDxfId="184">
      <calculatedColumnFormula>_xlfn.IFNA(VLOOKUP($AI5,Programma!$F$3:$H$1107,3,0),"")</calculatedColumnFormula>
    </tableColumn>
    <tableColumn id="40" xr3:uid="{306853D9-AD5A-48B5-B1FA-D17329457C4F}" name="vl3" dataDxfId="183">
      <calculatedColumnFormula>_xlfn.IFNA(VLOOKUP($AI5,Programma!$F$3:$I$1107,4,0),"")</calculatedColumnFormula>
    </tableColumn>
    <tableColumn id="41" xr3:uid="{1C4AA553-8156-4DB3-BDBC-D8EC1536D309}" name="vl4" dataDxfId="182">
      <calculatedColumnFormula>_xlfn.IFNA(VLOOKUP($AI5,Programma!$F$3:$J$1107,5,0),"")</calculatedColumnFormula>
    </tableColumn>
    <tableColumn id="42" xr3:uid="{A56B8907-DE9F-4701-8C5E-C547567EA280}" name="vl5" dataDxfId="181">
      <calculatedColumnFormula>_xlfn.IFNA(VLOOKUP($AI5,Programma!$F$3:$K$1107,6,0),"")</calculatedColumnFormula>
    </tableColumn>
    <tableColumn id="43" xr3:uid="{6B17D7A2-AE8D-440F-A4FD-2BE2B7B88A60}" name="vl6" dataDxfId="180">
      <calculatedColumnFormula>_xlfn.IFNA(VLOOKUP($AI5,Programma!$F$3:$L$1107,7,0),"")</calculatedColumnFormula>
    </tableColumn>
    <tableColumn id="44" xr3:uid="{A071B3DB-7D24-4A25-BD62-7D2ABDA8EADC}" name="vl7" dataDxfId="179">
      <calculatedColumnFormula>_xlfn.IFNA(VLOOKUP($AI5,Programma!$F$3:$M$1107,8,0),"")</calculatedColumnFormula>
    </tableColumn>
    <tableColumn id="45" xr3:uid="{30501DAE-368A-4139-B486-528B170E6783}" name="vnl" dataDxfId="178">
      <calculatedColumnFormula>_xlfn.IFNA(VLOOKUP($AI5,Programma!$F$3:$N$1107,9,0),"")</calculatedColumnFormula>
    </tableColumn>
    <tableColumn id="46" xr3:uid="{868425D4-EECE-431D-9D6F-487DB854241D}" name="i8" dataDxfId="177">
      <calculatedColumnFormula>_xlfn.IFNA(VLOOKUP($AI5,Programma!$F$3:$O$1107,10,0),"")</calculatedColumnFormula>
    </tableColumn>
    <tableColumn id="47" xr3:uid="{EA20F07B-5CD7-426B-BA6F-183E04D325BB}" name="i9" dataDxfId="176">
      <calculatedColumnFormula>_xlfn.IFNA(VLOOKUP($AI5,Programma!$F$3:$P$1107,11,0),"")</calculatedColumnFormula>
    </tableColumn>
    <tableColumn id="48" xr3:uid="{28D20BBF-F87A-4F80-A59D-F67559BB9D34}" name="i10" dataDxfId="175">
      <calculatedColumnFormula>_xlfn.IFNA(VLOOKUP($AI5,Programma!$F$3:$Q$1107,12,0),"")</calculatedColumnFormula>
    </tableColumn>
    <tableColumn id="49" xr3:uid="{0CB7B7F7-D003-43D2-9F6C-0F0170BB89E1}" name="i11" dataDxfId="174">
      <calculatedColumnFormula>_xlfn.IFNA(VLOOKUP($AI5,Programma!$F$3:$R$1107,13,0),"")</calculatedColumnFormula>
    </tableColumn>
    <tableColumn id="50" xr3:uid="{AD88DBA6-2501-4ADB-97BD-2EEAE5CA5FB9}" name="i12" dataDxfId="173">
      <calculatedColumnFormula>_xlfn.IFNA(VLOOKUP($AI5,Programma!$F$3:$S$1107,14,0),"")</calculatedColumnFormula>
    </tableColumn>
    <tableColumn id="51" xr3:uid="{0B24F272-5C0F-49A2-9E82-3DEBB7333DE2}" name="i13" dataDxfId="172">
      <calculatedColumnFormula>_xlfn.IFNA(VLOOKUP($AI5,Programma!$F$3:$T$1107,15,0),"")</calculatedColumnFormula>
    </tableColumn>
    <tableColumn id="52" xr3:uid="{60DD2901-FFF4-4159-9DB3-58E5D77411C3}" name="i14" dataDxfId="171">
      <calculatedColumnFormula>_xlfn.IFNA(VLOOKUP($AI5,Programma!$F$3:$U$1107,16,0),"")</calculatedColumnFormula>
    </tableColumn>
    <tableColumn id="53" xr3:uid="{87559DB0-F928-4A01-8FAF-36E422BF0893}" name="inl" dataDxfId="170">
      <calculatedColumnFormula>_xlfn.IFNA(VLOOKUP($AI5,Programma!$F$3:$V$1107,17,0),"")</calculatedColumnFormula>
    </tableColumn>
    <tableColumn id="54" xr3:uid="{1C929E3E-45B3-4A1C-A3C5-D8B1EDE1891E}" name="s15" dataDxfId="169">
      <calculatedColumnFormula>_xlfn.IFNA(VLOOKUP($AI5,Programma!$F$3:$W$1107,18,0),"")</calculatedColumnFormula>
    </tableColumn>
    <tableColumn id="55" xr3:uid="{68B49970-C415-4EEF-857B-52BA16B5258D}" name="s16" dataDxfId="168">
      <calculatedColumnFormula>_xlfn.IFNA(VLOOKUP($AI5,Programma!$F$3:$X$1107,19,0),"")</calculatedColumnFormula>
    </tableColumn>
    <tableColumn id="56" xr3:uid="{A0705AE3-CACF-4E1C-9227-68669BFDB0C6}" name="snl" dataDxfId="167">
      <calculatedColumnFormula>_xlfn.IFNA(VLOOKUP($AI5,Programma!$F$3:$Y$1107,20,0),"")</calculatedColumnFormula>
    </tableColumn>
    <tableColumn id="57" xr3:uid="{11D7C8EF-B5C8-42BF-8A18-9A836402F196}" name="Kolom1" dataDxfId="166"/>
    <tableColumn id="58" xr3:uid="{B2B8DFA8-D835-49F0-A51B-ED223C73D142}" name="Code Weekend" dataDxfId="165">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4">
      <calculatedColumnFormula>_xlfn.IFNA(VLOOKUP($BD5,Programma!$F$3:$G$1107,2,0),"")</calculatedColumnFormula>
    </tableColumn>
    <tableColumn id="60" xr3:uid="{27AAF80B-FAE7-4A55-B080-A97D81F19498}" name="vl23" dataDxfId="163">
      <calculatedColumnFormula>_xlfn.IFNA(VLOOKUP($BD5,Programma!$F$3:$H$1107,3,0),"")</calculatedColumnFormula>
    </tableColumn>
    <tableColumn id="61" xr3:uid="{A8E673C6-B5F4-4D95-85CD-FB4271CFAA79}" name="vl34" dataDxfId="162">
      <calculatedColumnFormula>_xlfn.IFNA(VLOOKUP($BD5,Programma!$F$3:$I$1107,4,0),"")</calculatedColumnFormula>
    </tableColumn>
    <tableColumn id="62" xr3:uid="{8F1B78A5-14D6-4E3A-8B4A-DFAEDDAB9211}" name="vl45" dataDxfId="161">
      <calculatedColumnFormula>_xlfn.IFNA(VLOOKUP($BD5,Programma!$F$3:$J$1107,5,0),"")</calculatedColumnFormula>
    </tableColumn>
    <tableColumn id="63" xr3:uid="{87048FA4-EE9C-46AE-B51B-6CBA81BE8308}" name="vl56" dataDxfId="160">
      <calculatedColumnFormula>_xlfn.IFNA(VLOOKUP($BD5,Programma!$F$3:$K$1107,6,0),"")</calculatedColumnFormula>
    </tableColumn>
    <tableColumn id="64" xr3:uid="{DA05AE85-CE88-407D-9245-D0C804841261}" name="vl67" dataDxfId="159">
      <calculatedColumnFormula>_xlfn.IFNA(VLOOKUP($BD5,Programma!$F$3:$L$1107,7,0),"")</calculatedColumnFormula>
    </tableColumn>
    <tableColumn id="65" xr3:uid="{78BAE9E2-79F8-42F8-A636-69ECC21638B3}" name="vl78" dataDxfId="158">
      <calculatedColumnFormula>_xlfn.IFNA(VLOOKUP($BD5,Programma!$F$3:$M$1107,8,0),"")</calculatedColumnFormula>
    </tableColumn>
    <tableColumn id="66" xr3:uid="{E7E7A23D-5570-4D4F-A0C4-4BEBD25C2D08}" name="vnl9" dataDxfId="157">
      <calculatedColumnFormula>_xlfn.IFNA(VLOOKUP($BD5,Programma!$F$3:$N$1107,9,0),"")</calculatedColumnFormula>
    </tableColumn>
    <tableColumn id="67" xr3:uid="{069678F9-CB78-4810-881E-5A1AE2EC2E64}" name="i810" dataDxfId="156">
      <calculatedColumnFormula>_xlfn.IFNA(VLOOKUP($BD5,Programma!$F$3:$O$1107,10,0),"")</calculatedColumnFormula>
    </tableColumn>
    <tableColumn id="68" xr3:uid="{D4FF459B-C19D-4ED7-9F3B-7801E97C6C63}" name="i911" dataDxfId="155">
      <calculatedColumnFormula>_xlfn.IFNA(VLOOKUP($BD5,Programma!$F$3:$P$1107,11,0),"")</calculatedColumnFormula>
    </tableColumn>
    <tableColumn id="69" xr3:uid="{059C7A6A-75FC-4AAF-9824-5E2D2E379CD4}" name="i102" dataDxfId="154">
      <calculatedColumnFormula>_xlfn.IFNA(VLOOKUP($BD5,Programma!$F$3:$Q$1107,12,0),"")</calculatedColumnFormula>
    </tableColumn>
    <tableColumn id="70" xr3:uid="{F02F1F0A-14E6-44C4-A18E-15D8545C3F7C}" name="i112" dataDxfId="153">
      <calculatedColumnFormula>_xlfn.IFNA(VLOOKUP($BD5,Programma!$F$3:$R$1107,13,0),"")</calculatedColumnFormula>
    </tableColumn>
    <tableColumn id="71" xr3:uid="{64F8BC77-D92C-4AFB-A8AA-C6E3DB4AF028}" name="i122" dataDxfId="152">
      <calculatedColumnFormula>_xlfn.IFNA(VLOOKUP($BD5,Programma!$F$3:$S$1107,14,0),"")</calculatedColumnFormula>
    </tableColumn>
    <tableColumn id="72" xr3:uid="{D10D9617-4D40-479A-8098-9C3D52AED20C}" name="i132" dataDxfId="151">
      <calculatedColumnFormula>_xlfn.IFNA(VLOOKUP($BD5,Programma!$F$3:$T$1107,15,0),"")</calculatedColumnFormula>
    </tableColumn>
    <tableColumn id="73" xr3:uid="{AFAFBD6D-E9F3-4AD5-B1BA-C259BBD1CC21}" name="i142" dataDxfId="150">
      <calculatedColumnFormula>_xlfn.IFNA(VLOOKUP($BD5,Programma!$F$3:$U$1107,16,0),"")</calculatedColumnFormula>
    </tableColumn>
    <tableColumn id="74" xr3:uid="{13917009-2884-4D8A-8C68-14907776CAFD}" name="inl2" dataDxfId="149">
      <calculatedColumnFormula>_xlfn.IFNA(VLOOKUP($BD5,Programma!$F$3:$V$1107,17,0),"")</calculatedColumnFormula>
    </tableColumn>
    <tableColumn id="75" xr3:uid="{6E9DF77C-B052-4A52-B6CF-00BB698E51C6}" name="s152" dataDxfId="148">
      <calculatedColumnFormula>_xlfn.IFNA(VLOOKUP($BD5,Programma!$F$3:$W$1107,18,0),"")</calculatedColumnFormula>
    </tableColumn>
    <tableColumn id="76" xr3:uid="{11F41571-107E-423E-B237-84692FBBC6D7}" name="s162" dataDxfId="147">
      <calculatedColumnFormula>_xlfn.IFNA(VLOOKUP($BD5,Programma!$F$3:$X$1107,19,0),"")</calculatedColumnFormula>
    </tableColumn>
    <tableColumn id="77" xr3:uid="{3DEE5E13-D5E7-474C-89D8-AF6FC5695F2C}" name="snl2" dataDxfId="146">
      <calculatedColumnFormula>_xlfn.IFNA(VLOOKUP($BD5,Programma!$F$3:$Y$1107,20,0),"")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45">
  <autoFilter ref="A8:I17" xr:uid="{00000000-0009-0000-0100-000001000000}"/>
  <tableColumns count="9">
    <tableColumn id="1" xr3:uid="{634B9515-CED4-4B9C-AC41-91D68E2A6390}" name="Code Taak" dataDxfId="144"/>
    <tableColumn id="2" xr3:uid="{B45DE533-5F07-4399-BBF5-C49AD01DD88F}" name="Werkzaamheden" dataDxfId="143"/>
    <tableColumn id="3" xr3:uid="{569B4254-85AB-4A9D-9738-20A72FAFD71D}" name="Prijs" dataDxfId="142"/>
    <tableColumn id="4" xr3:uid="{3FCFDB06-433D-4D90-AC83-D401C0BB9D5F}" name="Omschrijving" dataDxfId="141"/>
    <tableColumn id="5" xr3:uid="{A2C235A7-50B4-45CF-B035-6B2B17679F97}" name="2026" dataDxfId="140" dataCellStyle="Valuta">
      <calculatedColumnFormula>InvulVloer19[[#This Row],[Prijs]]*Tariefsopbouw!$I$37+InvulVloer19[[#This Row],[Prijs]]</calculatedColumnFormula>
    </tableColumn>
    <tableColumn id="6" xr3:uid="{32314B1F-C549-43D0-A68A-E1D872932DA7}" name="2027" dataDxfId="139" dataCellStyle="Valuta">
      <calculatedColumnFormula>InvulVloer19[[#This Row],[2026]]*Tariefsopbouw!$K$37+InvulVloer19[[#This Row],[2026]]</calculatedColumnFormula>
    </tableColumn>
    <tableColumn id="7" xr3:uid="{5A4E277A-177C-4476-A9A5-6B25E0351BAB}" name="2028" dataDxfId="138" dataCellStyle="Valuta">
      <calculatedColumnFormula>InvulVloer19[[#This Row],[2027]]*Tariefsopbouw!$M$37+InvulVloer19[[#This Row],[2027]]</calculatedColumnFormula>
    </tableColumn>
    <tableColumn id="8" xr3:uid="{6A8CB127-9578-4A7F-8F5E-DABA3EAD7E06}" name="2029" dataDxfId="137" dataCellStyle="Valuta">
      <calculatedColumnFormula>InvulVloer19[[#This Row],[2028]]*Tariefsopbouw!$O$37+InvulVloer19[[#This Row],[2028]]</calculatedColumnFormula>
    </tableColumn>
    <tableColumn id="9" xr3:uid="{F268163B-6C49-46F0-9F2A-A503A98B29BC}" name="2030" dataDxfId="136" dataCellStyle="Valuta">
      <calculatedColumnFormula>InvulVloer19[[#This Row],[2029]]*Tariefsopbouw!$Q$37+InvulVloer19[[#This Row],[2029]]</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90" totalsRowCount="1" headerRowDxfId="135" dataDxfId="134" totalsRowDxfId="133">
  <autoFilter ref="A19:I89" xr:uid="{00000000-0009-0000-0100-000002000000}"/>
  <tableColumns count="9">
    <tableColumn id="11" xr3:uid="{9970215E-3F06-4AEF-A1F5-0009C03D624E}" name="Code Locatie" dataDxfId="132" totalsRowDxfId="131"/>
    <tableColumn id="1" xr3:uid="{113C96F6-1924-406B-B23A-994513941647}" name="Locatie" totalsRowLabel="Totaal" dataDxfId="130" totalsRowDxfId="129">
      <calculatedColumnFormula>VLOOKUP(OverzichtVloer20[[#This Row],[Code Locatie]],Locaties[],2,0)</calculatedColumnFormula>
    </tableColumn>
    <tableColumn id="3" xr3:uid="{B3D3B5E7-D3C4-461C-9CA1-DBFD10306269}" name="Code Taak" dataDxfId="128" totalsRowDxfId="127"/>
    <tableColumn id="4" xr3:uid="{EBF3EF80-AF01-4C87-A6CF-BF63D79AF323}" name="Vloersoort / toelichting" dataDxfId="126" totalsRowDxfId="125">
      <calculatedColumnFormula>IF(Vloeronderhoud!$C20&gt;0,VLOOKUP(Vloeronderhoud!$C20,$A$8:$B$17,2,FALSE),"")</calculatedColumnFormula>
    </tableColumn>
    <tableColumn id="5" xr3:uid="{309F41B6-3D0E-446B-8EDD-5EB98BD855C7}" name="Vloersoort" dataDxfId="124" totalsRowDxfId="123"/>
    <tableColumn id="6" xr3:uid="{B97F1EF9-BC44-4F7E-8997-83E439999C81}" name="Oppervlakte" dataDxfId="122" totalsRowDxfId="121">
      <calculatedColumnFormula>SUMIFS('Ruimtestaat'!$N:$N,'Ruimtestaat'!L:L,Vloeronderhoud!E20,'Ruimtestaat'!A:A,Vloeronderhoud!A20)</calculatedColumnFormula>
    </tableColumn>
    <tableColumn id="8" xr3:uid="{A5FF7A00-BD80-4497-8A9A-905C07BFA557}" name="Frequentie (uitv./jaar)" dataDxfId="120" totalsRowDxfId="119"/>
    <tableColumn id="9" xr3:uid="{13C992BE-16CA-4305-AC75-C46233681A13}" name="Kosten/jaar excl. BTW" totalsRowFunction="sum" dataDxfId="118" totalsRowDxfId="117">
      <calculatedColumnFormula>VLOOKUP(OverzichtVloer20[[#This Row],[Code Taak]],InvulVloer19[],3,3)*F20*G20</calculatedColumnFormula>
    </tableColumn>
    <tableColumn id="2" xr3:uid="{BBD43C19-81F6-4223-A10B-97F2D79A548F}" name="Kosten/jaar incl BTW" totalsRowFunction="sum" dataDxfId="116" totalsRowDxfId="115"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1" totalsRowShown="0" headerRowDxfId="114">
  <autoFilter ref="A8:I21" xr:uid="{00000000-0009-0000-0100-000003000000}"/>
  <tableColumns count="9">
    <tableColumn id="1" xr3:uid="{00000000-0010-0000-0500-000001000000}" name="Code taak" dataDxfId="113"/>
    <tableColumn id="2" xr3:uid="{00000000-0010-0000-0500-000002000000}" name="Glassoort/voorziening" dataDxfId="112"/>
    <tableColumn id="3" xr3:uid="{00000000-0010-0000-0500-000003000000}" name="Prijs excl. BTW" dataDxfId="111"/>
    <tableColumn id="4" xr3:uid="{00000000-0010-0000-0500-000004000000}" name="Eenheid" dataDxfId="110"/>
    <tableColumn id="5" xr3:uid="{CC43D47B-51D1-48C7-9FBE-6228B4D72C08}" name="2026" dataDxfId="109" dataCellStyle="Valuta">
      <calculatedColumnFormula>(InvulGlas[[#This Row],[Prijs excl. BTW]]*Tariefsopbouw!$H$35)+InvulGlas[[#This Row],[Prijs excl. BTW]]</calculatedColumnFormula>
    </tableColumn>
    <tableColumn id="6" xr3:uid="{14AF2224-D978-4323-B50E-296D91A6AA97}" name="2027" dataDxfId="108" dataCellStyle="Valuta">
      <calculatedColumnFormula>E9*Tariefsopbouw!$J$35+Glasbewassing!E9</calculatedColumnFormula>
    </tableColumn>
    <tableColumn id="7" xr3:uid="{C18EB174-680A-4DCC-A57F-327D4F1C3675}" name="2028" dataDxfId="107" dataCellStyle="Valuta">
      <calculatedColumnFormula>F9*Tariefsopbouw!$L$35+Glasbewassing!F9</calculatedColumnFormula>
    </tableColumn>
    <tableColumn id="8" xr3:uid="{2002E41E-1578-4095-8CE5-943025AA110B}" name="2029" dataDxfId="106" dataCellStyle="Valuta">
      <calculatedColumnFormula>G10*Tariefsopbouw!$N$35+Glasbewassing!G10</calculatedColumnFormula>
    </tableColumn>
    <tableColumn id="9" xr3:uid="{95B9447D-2760-430F-8929-530FC65F506E}" name="2030" dataDxfId="105"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S37"/>
  <sheetViews>
    <sheetView tabSelected="1" zoomScaleNormal="100" workbookViewId="0">
      <selection activeCell="N22" sqref="N22"/>
    </sheetView>
  </sheetViews>
  <sheetFormatPr defaultRowHeight="12.75"/>
  <cols>
    <col min="1" max="1" width="6" style="116" customWidth="1"/>
    <col min="2" max="2" width="11.5703125" style="116" customWidth="1"/>
    <col min="3" max="3" width="13.85546875" style="116" customWidth="1"/>
    <col min="4" max="4" width="14.7109375" style="116" bestFit="1" customWidth="1"/>
    <col min="5" max="5" width="15.42578125" style="116" bestFit="1" customWidth="1"/>
    <col min="6" max="6" width="16.28515625" style="116" customWidth="1"/>
    <col min="7" max="7" width="14" style="116" bestFit="1" customWidth="1"/>
    <col min="8" max="8" width="10.42578125" style="138" bestFit="1" customWidth="1"/>
    <col min="9" max="9" width="28.42578125" style="116" bestFit="1" customWidth="1"/>
    <col min="10" max="10" width="13" style="138" customWidth="1"/>
    <col min="11" max="11" width="13.7109375" style="138" customWidth="1"/>
    <col min="12" max="12" width="10.42578125" style="116" bestFit="1" customWidth="1"/>
    <col min="13" max="13" width="12.28515625" style="116" bestFit="1" customWidth="1"/>
    <col min="14" max="14" width="8.140625" style="116" bestFit="1" customWidth="1"/>
    <col min="15" max="15" width="8.5703125" style="116" bestFit="1" customWidth="1"/>
    <col min="16" max="16" width="13" style="116" bestFit="1" customWidth="1"/>
    <col min="17" max="17" width="16.7109375" style="116" bestFit="1" customWidth="1"/>
    <col min="18" max="18" width="14.5703125" style="138" bestFit="1" customWidth="1"/>
    <col min="19" max="19" width="23.5703125" style="116" bestFit="1" customWidth="1"/>
  </cols>
  <sheetData>
    <row r="1" spans="1:19" ht="45" customHeight="1">
      <c r="A1" s="381" t="s">
        <v>2611</v>
      </c>
      <c r="B1" s="146" t="s">
        <v>235</v>
      </c>
      <c r="C1" s="146" t="s">
        <v>1310</v>
      </c>
      <c r="D1" s="146" t="s">
        <v>236</v>
      </c>
      <c r="E1" s="146" t="s">
        <v>237</v>
      </c>
      <c r="F1" s="146" t="s">
        <v>2600</v>
      </c>
      <c r="G1" s="146" t="s">
        <v>1311</v>
      </c>
      <c r="H1" s="146" t="s">
        <v>238</v>
      </c>
      <c r="I1" s="146" t="s">
        <v>208</v>
      </c>
      <c r="J1" s="146" t="s">
        <v>239</v>
      </c>
      <c r="K1" s="146" t="s">
        <v>240</v>
      </c>
      <c r="L1" s="146" t="s">
        <v>241</v>
      </c>
      <c r="M1" s="146" t="s">
        <v>242</v>
      </c>
      <c r="N1" s="146" t="s">
        <v>243</v>
      </c>
      <c r="O1" s="146" t="s">
        <v>244</v>
      </c>
      <c r="P1" s="146" t="s">
        <v>1312</v>
      </c>
      <c r="Q1" s="146" t="s">
        <v>245</v>
      </c>
      <c r="R1" s="146" t="s">
        <v>246</v>
      </c>
      <c r="S1" s="146" t="s">
        <v>136</v>
      </c>
    </row>
    <row r="2" spans="1:19">
      <c r="A2" s="292">
        <v>1</v>
      </c>
      <c r="B2" s="285">
        <v>25698</v>
      </c>
      <c r="C2" s="285">
        <v>44494</v>
      </c>
      <c r="D2" s="285">
        <v>44494</v>
      </c>
      <c r="E2" s="286" t="s">
        <v>2603</v>
      </c>
      <c r="F2" s="288" t="s">
        <v>2604</v>
      </c>
      <c r="G2" s="287">
        <v>17.5</v>
      </c>
      <c r="H2" s="288" t="s">
        <v>2604</v>
      </c>
      <c r="I2" s="286" t="s">
        <v>2605</v>
      </c>
      <c r="J2" s="288">
        <v>651</v>
      </c>
      <c r="K2" s="288">
        <v>1</v>
      </c>
      <c r="L2" s="289">
        <v>13.91</v>
      </c>
      <c r="M2" s="290"/>
      <c r="N2" s="286" t="s">
        <v>1560</v>
      </c>
      <c r="O2" s="286" t="s">
        <v>1560</v>
      </c>
      <c r="P2" s="288" t="s">
        <v>1560</v>
      </c>
      <c r="Q2" s="288" t="s">
        <v>1560</v>
      </c>
      <c r="R2" s="288" t="s">
        <v>2604</v>
      </c>
      <c r="S2" s="286" t="s">
        <v>2581</v>
      </c>
    </row>
    <row r="3" spans="1:19">
      <c r="A3" s="292">
        <v>2</v>
      </c>
      <c r="B3" s="285">
        <v>23899</v>
      </c>
      <c r="C3" s="285">
        <v>41275</v>
      </c>
      <c r="D3" s="285">
        <v>35998</v>
      </c>
      <c r="E3" s="286" t="s">
        <v>2603</v>
      </c>
      <c r="F3" s="288" t="s">
        <v>2604</v>
      </c>
      <c r="G3" s="287">
        <v>10</v>
      </c>
      <c r="H3" s="288" t="s">
        <v>2604</v>
      </c>
      <c r="I3" s="286" t="s">
        <v>2605</v>
      </c>
      <c r="J3" s="288">
        <v>651</v>
      </c>
      <c r="K3" s="288">
        <v>1</v>
      </c>
      <c r="L3" s="289">
        <v>14.78</v>
      </c>
      <c r="M3" s="290"/>
      <c r="N3" s="286" t="s">
        <v>1560</v>
      </c>
      <c r="O3" s="286" t="s">
        <v>1560</v>
      </c>
      <c r="P3" s="288" t="s">
        <v>1560</v>
      </c>
      <c r="Q3" s="288" t="s">
        <v>1560</v>
      </c>
      <c r="R3" s="288" t="s">
        <v>2604</v>
      </c>
      <c r="S3" s="286" t="s">
        <v>2581</v>
      </c>
    </row>
    <row r="4" spans="1:19">
      <c r="A4" s="292">
        <v>3</v>
      </c>
      <c r="B4" s="285">
        <v>23899</v>
      </c>
      <c r="C4" s="285">
        <v>41275</v>
      </c>
      <c r="D4" s="285">
        <v>32346</v>
      </c>
      <c r="E4" s="286" t="s">
        <v>2603</v>
      </c>
      <c r="F4" s="288" t="s">
        <v>2604</v>
      </c>
      <c r="G4" s="287">
        <v>20</v>
      </c>
      <c r="H4" s="288" t="s">
        <v>2604</v>
      </c>
      <c r="I4" s="286" t="s">
        <v>2605</v>
      </c>
      <c r="J4" s="288">
        <v>651</v>
      </c>
      <c r="K4" s="288">
        <v>1</v>
      </c>
      <c r="L4" s="289">
        <v>14.78</v>
      </c>
      <c r="M4" s="291"/>
      <c r="N4" s="286" t="s">
        <v>1560</v>
      </c>
      <c r="O4" s="286" t="s">
        <v>1560</v>
      </c>
      <c r="P4" s="288" t="s">
        <v>1560</v>
      </c>
      <c r="Q4" s="288" t="s">
        <v>1560</v>
      </c>
      <c r="R4" s="288" t="s">
        <v>2604</v>
      </c>
      <c r="S4" s="286" t="s">
        <v>2585</v>
      </c>
    </row>
    <row r="5" spans="1:19">
      <c r="A5" s="292">
        <v>4</v>
      </c>
      <c r="B5" s="285">
        <v>28168</v>
      </c>
      <c r="C5" s="285">
        <v>44795</v>
      </c>
      <c r="D5" s="285">
        <v>44795</v>
      </c>
      <c r="E5" s="286" t="s">
        <v>2603</v>
      </c>
      <c r="F5" s="288" t="s">
        <v>2604</v>
      </c>
      <c r="G5" s="287">
        <v>10</v>
      </c>
      <c r="H5" s="288" t="s">
        <v>2604</v>
      </c>
      <c r="I5" s="286" t="s">
        <v>2605</v>
      </c>
      <c r="J5" s="288">
        <v>651</v>
      </c>
      <c r="K5" s="288">
        <v>1</v>
      </c>
      <c r="L5" s="289">
        <v>13.42</v>
      </c>
      <c r="M5" s="291"/>
      <c r="N5" s="286" t="s">
        <v>1560</v>
      </c>
      <c r="O5" s="286" t="s">
        <v>1560</v>
      </c>
      <c r="P5" s="288" t="s">
        <v>1560</v>
      </c>
      <c r="Q5" s="288" t="s">
        <v>1560</v>
      </c>
      <c r="R5" s="288" t="s">
        <v>2604</v>
      </c>
      <c r="S5" s="286" t="s">
        <v>1603</v>
      </c>
    </row>
    <row r="6" spans="1:19">
      <c r="A6" s="292">
        <v>5</v>
      </c>
      <c r="B6" s="285">
        <v>30286</v>
      </c>
      <c r="C6" s="285">
        <v>43501</v>
      </c>
      <c r="D6" s="285">
        <v>43501</v>
      </c>
      <c r="E6" s="286" t="s">
        <v>2603</v>
      </c>
      <c r="F6" s="288" t="s">
        <v>2604</v>
      </c>
      <c r="G6" s="287">
        <v>10</v>
      </c>
      <c r="H6" s="288" t="s">
        <v>2604</v>
      </c>
      <c r="I6" s="286" t="s">
        <v>2605</v>
      </c>
      <c r="J6" s="288">
        <v>651</v>
      </c>
      <c r="K6" s="288">
        <v>1</v>
      </c>
      <c r="L6" s="289">
        <v>14.78</v>
      </c>
      <c r="M6" s="291"/>
      <c r="N6" s="286" t="s">
        <v>1560</v>
      </c>
      <c r="O6" s="286" t="s">
        <v>1560</v>
      </c>
      <c r="P6" s="288" t="s">
        <v>1560</v>
      </c>
      <c r="Q6" s="288" t="s">
        <v>1560</v>
      </c>
      <c r="R6" s="288" t="s">
        <v>2604</v>
      </c>
      <c r="S6" s="286" t="s">
        <v>2581</v>
      </c>
    </row>
    <row r="7" spans="1:19">
      <c r="A7" s="292">
        <v>6</v>
      </c>
      <c r="B7" s="285">
        <v>30286</v>
      </c>
      <c r="C7" s="285">
        <v>43501</v>
      </c>
      <c r="D7" s="285">
        <v>43501</v>
      </c>
      <c r="E7" s="286" t="s">
        <v>2603</v>
      </c>
      <c r="F7" s="288" t="s">
        <v>2604</v>
      </c>
      <c r="G7" s="287">
        <v>5</v>
      </c>
      <c r="H7" s="288" t="s">
        <v>2604</v>
      </c>
      <c r="I7" s="286" t="s">
        <v>2605</v>
      </c>
      <c r="J7" s="288">
        <v>651</v>
      </c>
      <c r="K7" s="288">
        <v>1</v>
      </c>
      <c r="L7" s="289">
        <v>14.78</v>
      </c>
      <c r="M7" s="290"/>
      <c r="N7" s="286" t="s">
        <v>1560</v>
      </c>
      <c r="O7" s="286" t="s">
        <v>1560</v>
      </c>
      <c r="P7" s="288" t="s">
        <v>1560</v>
      </c>
      <c r="Q7" s="288" t="s">
        <v>1560</v>
      </c>
      <c r="R7" s="288" t="s">
        <v>2604</v>
      </c>
      <c r="S7" s="286" t="s">
        <v>2610</v>
      </c>
    </row>
    <row r="8" spans="1:19">
      <c r="A8" s="292">
        <v>7</v>
      </c>
      <c r="B8" s="285">
        <v>28800</v>
      </c>
      <c r="C8" s="285">
        <v>44096</v>
      </c>
      <c r="D8" s="285">
        <v>44096</v>
      </c>
      <c r="E8" s="286" t="s">
        <v>2603</v>
      </c>
      <c r="F8" s="288" t="s">
        <v>2604</v>
      </c>
      <c r="G8" s="287">
        <v>15</v>
      </c>
      <c r="H8" s="288" t="s">
        <v>2604</v>
      </c>
      <c r="I8" s="286" t="s">
        <v>2605</v>
      </c>
      <c r="J8" s="288">
        <v>651</v>
      </c>
      <c r="K8" s="288">
        <v>1</v>
      </c>
      <c r="L8" s="289">
        <v>14.34</v>
      </c>
      <c r="M8" s="291"/>
      <c r="N8" s="286" t="s">
        <v>1560</v>
      </c>
      <c r="O8" s="286" t="s">
        <v>1560</v>
      </c>
      <c r="P8" s="288" t="s">
        <v>1560</v>
      </c>
      <c r="Q8" s="288" t="s">
        <v>1560</v>
      </c>
      <c r="R8" s="288" t="s">
        <v>2604</v>
      </c>
      <c r="S8" s="286" t="s">
        <v>2581</v>
      </c>
    </row>
    <row r="9" spans="1:19">
      <c r="A9" s="292">
        <v>8</v>
      </c>
      <c r="B9" s="285">
        <v>19346</v>
      </c>
      <c r="C9" s="285">
        <v>44761</v>
      </c>
      <c r="D9" s="285">
        <v>44761</v>
      </c>
      <c r="E9" s="286" t="s">
        <v>2606</v>
      </c>
      <c r="F9" s="288" t="s">
        <v>2604</v>
      </c>
      <c r="G9" s="287">
        <v>10</v>
      </c>
      <c r="H9" s="288" t="s">
        <v>2604</v>
      </c>
      <c r="I9" s="286" t="s">
        <v>2605</v>
      </c>
      <c r="J9" s="288">
        <v>651</v>
      </c>
      <c r="K9" s="288">
        <v>1</v>
      </c>
      <c r="L9" s="289">
        <v>13.42</v>
      </c>
      <c r="M9" s="291"/>
      <c r="N9" s="286" t="s">
        <v>1560</v>
      </c>
      <c r="O9" s="286" t="s">
        <v>1560</v>
      </c>
      <c r="P9" s="288" t="s">
        <v>1560</v>
      </c>
      <c r="Q9" s="288" t="s">
        <v>1560</v>
      </c>
      <c r="R9" s="288" t="s">
        <v>2604</v>
      </c>
      <c r="S9" s="286" t="s">
        <v>2583</v>
      </c>
    </row>
    <row r="10" spans="1:19">
      <c r="A10" s="292">
        <v>9</v>
      </c>
      <c r="B10" s="285">
        <v>34555</v>
      </c>
      <c r="C10" s="285">
        <v>45152</v>
      </c>
      <c r="D10" s="285">
        <v>45152</v>
      </c>
      <c r="E10" s="286" t="s">
        <v>2606</v>
      </c>
      <c r="F10" s="288" t="s">
        <v>2604</v>
      </c>
      <c r="G10" s="287">
        <v>12.5</v>
      </c>
      <c r="H10" s="288" t="s">
        <v>2607</v>
      </c>
      <c r="I10" s="286" t="s">
        <v>2605</v>
      </c>
      <c r="J10" s="288">
        <v>651</v>
      </c>
      <c r="K10" s="288">
        <v>1</v>
      </c>
      <c r="L10" s="289">
        <v>13.42</v>
      </c>
      <c r="M10" s="291"/>
      <c r="N10" s="286" t="s">
        <v>1560</v>
      </c>
      <c r="O10" s="286" t="s">
        <v>1560</v>
      </c>
      <c r="P10" s="288" t="s">
        <v>1560</v>
      </c>
      <c r="Q10" s="288" t="s">
        <v>1560</v>
      </c>
      <c r="R10" s="288" t="s">
        <v>2607</v>
      </c>
      <c r="S10" s="286" t="s">
        <v>2583</v>
      </c>
    </row>
    <row r="11" spans="1:19">
      <c r="A11" s="292">
        <v>10</v>
      </c>
      <c r="B11" s="285">
        <v>28697</v>
      </c>
      <c r="C11" s="285">
        <v>44826</v>
      </c>
      <c r="D11" s="285">
        <v>44826</v>
      </c>
      <c r="E11" s="286" t="s">
        <v>2606</v>
      </c>
      <c r="F11" s="288" t="s">
        <v>2604</v>
      </c>
      <c r="G11" s="287">
        <v>10</v>
      </c>
      <c r="H11" s="288" t="s">
        <v>2604</v>
      </c>
      <c r="I11" s="286" t="s">
        <v>2605</v>
      </c>
      <c r="J11" s="288">
        <v>651</v>
      </c>
      <c r="K11" s="288">
        <v>1</v>
      </c>
      <c r="L11" s="289">
        <v>14.42</v>
      </c>
      <c r="M11" s="290"/>
      <c r="N11" s="286" t="s">
        <v>1560</v>
      </c>
      <c r="O11" s="286" t="s">
        <v>1560</v>
      </c>
      <c r="P11" s="288" t="s">
        <v>1560</v>
      </c>
      <c r="Q11" s="288" t="s">
        <v>1560</v>
      </c>
      <c r="R11" s="288" t="s">
        <v>2607</v>
      </c>
      <c r="S11" s="286" t="s">
        <v>2585</v>
      </c>
    </row>
    <row r="12" spans="1:19">
      <c r="A12" s="292">
        <v>11</v>
      </c>
      <c r="B12" s="285">
        <v>25082</v>
      </c>
      <c r="C12" s="285">
        <v>41575</v>
      </c>
      <c r="D12" s="285">
        <v>41575</v>
      </c>
      <c r="E12" s="286" t="s">
        <v>2603</v>
      </c>
      <c r="F12" s="288" t="s">
        <v>2607</v>
      </c>
      <c r="G12" s="287">
        <v>30</v>
      </c>
      <c r="H12" s="288" t="s">
        <v>2604</v>
      </c>
      <c r="I12" s="286" t="s">
        <v>2608</v>
      </c>
      <c r="J12" s="288">
        <v>665</v>
      </c>
      <c r="K12" s="288">
        <v>3</v>
      </c>
      <c r="L12" s="289">
        <v>16.29</v>
      </c>
      <c r="M12" s="291"/>
      <c r="N12" s="286" t="s">
        <v>1560</v>
      </c>
      <c r="O12" s="286" t="s">
        <v>1560</v>
      </c>
      <c r="P12" s="288" t="s">
        <v>1560</v>
      </c>
      <c r="Q12" s="288" t="s">
        <v>1560</v>
      </c>
      <c r="R12" s="288" t="s">
        <v>2604</v>
      </c>
      <c r="S12" s="286" t="s">
        <v>2581</v>
      </c>
    </row>
    <row r="13" spans="1:19">
      <c r="A13" s="292">
        <v>12</v>
      </c>
      <c r="B13" s="285">
        <v>25082</v>
      </c>
      <c r="C13" s="285">
        <v>41575</v>
      </c>
      <c r="D13" s="285">
        <v>41575</v>
      </c>
      <c r="E13" s="286" t="s">
        <v>2603</v>
      </c>
      <c r="F13" s="288" t="s">
        <v>2607</v>
      </c>
      <c r="G13" s="287">
        <v>5</v>
      </c>
      <c r="H13" s="288" t="s">
        <v>2604</v>
      </c>
      <c r="I13" s="286" t="s">
        <v>2605</v>
      </c>
      <c r="J13" s="288">
        <v>665</v>
      </c>
      <c r="K13" s="288">
        <v>3</v>
      </c>
      <c r="L13" s="289">
        <v>16.29</v>
      </c>
      <c r="M13" s="291"/>
      <c r="N13" s="286" t="s">
        <v>1560</v>
      </c>
      <c r="O13" s="286" t="s">
        <v>1560</v>
      </c>
      <c r="P13" s="288" t="s">
        <v>1560</v>
      </c>
      <c r="Q13" s="288" t="s">
        <v>1560</v>
      </c>
      <c r="R13" s="288" t="s">
        <v>2604</v>
      </c>
      <c r="S13" s="286" t="s">
        <v>2584</v>
      </c>
    </row>
    <row r="14" spans="1:19">
      <c r="A14" s="292">
        <v>13</v>
      </c>
      <c r="B14" s="285">
        <v>25999</v>
      </c>
      <c r="C14" s="285">
        <v>42863</v>
      </c>
      <c r="D14" s="285">
        <v>42863</v>
      </c>
      <c r="E14" s="286" t="s">
        <v>2603</v>
      </c>
      <c r="F14" s="288" t="s">
        <v>2604</v>
      </c>
      <c r="G14" s="287">
        <v>12.5</v>
      </c>
      <c r="H14" s="288" t="s">
        <v>2604</v>
      </c>
      <c r="I14" s="286" t="s">
        <v>2605</v>
      </c>
      <c r="J14" s="288">
        <v>651</v>
      </c>
      <c r="K14" s="288">
        <v>1</v>
      </c>
      <c r="L14" s="289">
        <v>14.78</v>
      </c>
      <c r="M14" s="291"/>
      <c r="N14" s="286" t="s">
        <v>1560</v>
      </c>
      <c r="O14" s="286" t="s">
        <v>1560</v>
      </c>
      <c r="P14" s="288" t="s">
        <v>1560</v>
      </c>
      <c r="Q14" s="288" t="s">
        <v>1560</v>
      </c>
      <c r="R14" s="288" t="s">
        <v>2604</v>
      </c>
      <c r="S14" s="286" t="s">
        <v>2583</v>
      </c>
    </row>
    <row r="15" spans="1:19">
      <c r="A15" s="292">
        <v>14</v>
      </c>
      <c r="B15" s="285">
        <v>21045</v>
      </c>
      <c r="C15" s="285">
        <v>41275</v>
      </c>
      <c r="D15" s="285">
        <v>32153</v>
      </c>
      <c r="E15" s="286" t="s">
        <v>2603</v>
      </c>
      <c r="F15" s="288" t="s">
        <v>2604</v>
      </c>
      <c r="G15" s="287">
        <v>20</v>
      </c>
      <c r="H15" s="288" t="s">
        <v>2604</v>
      </c>
      <c r="I15" s="286" t="s">
        <v>2605</v>
      </c>
      <c r="J15" s="288">
        <v>651</v>
      </c>
      <c r="K15" s="288">
        <v>1</v>
      </c>
      <c r="L15" s="289">
        <v>14.78</v>
      </c>
      <c r="M15" s="290"/>
      <c r="N15" s="286" t="s">
        <v>1560</v>
      </c>
      <c r="O15" s="286" t="s">
        <v>1560</v>
      </c>
      <c r="P15" s="288" t="s">
        <v>1560</v>
      </c>
      <c r="Q15" s="288" t="s">
        <v>1560</v>
      </c>
      <c r="R15" s="288" t="s">
        <v>2604</v>
      </c>
      <c r="S15" s="286" t="s">
        <v>1603</v>
      </c>
    </row>
    <row r="16" spans="1:19">
      <c r="A16" s="292">
        <v>15</v>
      </c>
      <c r="B16" s="285">
        <v>34814</v>
      </c>
      <c r="C16" s="285">
        <v>45309</v>
      </c>
      <c r="D16" s="285">
        <v>45309</v>
      </c>
      <c r="E16" s="286" t="s">
        <v>2606</v>
      </c>
      <c r="F16" s="288" t="s">
        <v>2604</v>
      </c>
      <c r="G16" s="287">
        <v>10</v>
      </c>
      <c r="H16" s="288" t="s">
        <v>2607</v>
      </c>
      <c r="I16" s="286" t="s">
        <v>2605</v>
      </c>
      <c r="J16" s="288">
        <v>651</v>
      </c>
      <c r="K16" s="288">
        <v>1</v>
      </c>
      <c r="L16" s="289">
        <v>13.42</v>
      </c>
      <c r="M16" s="291"/>
      <c r="N16" s="286" t="s">
        <v>1560</v>
      </c>
      <c r="O16" s="286" t="s">
        <v>1560</v>
      </c>
      <c r="P16" s="288" t="s">
        <v>1560</v>
      </c>
      <c r="Q16" s="288" t="s">
        <v>1560</v>
      </c>
      <c r="R16" s="288" t="s">
        <v>2607</v>
      </c>
      <c r="S16" s="286" t="s">
        <v>2582</v>
      </c>
    </row>
    <row r="17" spans="1:19">
      <c r="A17" s="292">
        <v>16</v>
      </c>
      <c r="B17" s="285">
        <v>28436</v>
      </c>
      <c r="C17" s="285">
        <v>44715</v>
      </c>
      <c r="D17" s="285">
        <v>44715</v>
      </c>
      <c r="E17" s="286" t="s">
        <v>2603</v>
      </c>
      <c r="F17" s="288" t="s">
        <v>2604</v>
      </c>
      <c r="G17" s="287">
        <v>12.5</v>
      </c>
      <c r="H17" s="288" t="s">
        <v>2604</v>
      </c>
      <c r="I17" s="286" t="s">
        <v>2605</v>
      </c>
      <c r="J17" s="288">
        <v>651</v>
      </c>
      <c r="K17" s="288">
        <v>1</v>
      </c>
      <c r="L17" s="289">
        <v>13.42</v>
      </c>
      <c r="M17" s="291"/>
      <c r="N17" s="286" t="s">
        <v>1560</v>
      </c>
      <c r="O17" s="286" t="s">
        <v>1560</v>
      </c>
      <c r="P17" s="288" t="s">
        <v>1560</v>
      </c>
      <c r="Q17" s="288" t="s">
        <v>1560</v>
      </c>
      <c r="R17" s="288" t="s">
        <v>2604</v>
      </c>
      <c r="S17" s="286" t="s">
        <v>1603</v>
      </c>
    </row>
    <row r="18" spans="1:19">
      <c r="A18" s="292">
        <v>17</v>
      </c>
      <c r="B18" s="285">
        <v>30860</v>
      </c>
      <c r="C18" s="285">
        <v>44602</v>
      </c>
      <c r="D18" s="285">
        <v>44602</v>
      </c>
      <c r="E18" s="286" t="s">
        <v>2603</v>
      </c>
      <c r="F18" s="288" t="s">
        <v>2604</v>
      </c>
      <c r="G18" s="287">
        <v>17.5</v>
      </c>
      <c r="H18" s="288" t="s">
        <v>2604</v>
      </c>
      <c r="I18" s="286" t="s">
        <v>2605</v>
      </c>
      <c r="J18" s="288">
        <v>651</v>
      </c>
      <c r="K18" s="288">
        <v>1</v>
      </c>
      <c r="L18" s="289">
        <v>13.91</v>
      </c>
      <c r="M18" s="291"/>
      <c r="N18" s="286" t="s">
        <v>1560</v>
      </c>
      <c r="O18" s="286" t="s">
        <v>1560</v>
      </c>
      <c r="P18" s="288" t="s">
        <v>1560</v>
      </c>
      <c r="Q18" s="288" t="s">
        <v>1560</v>
      </c>
      <c r="R18" s="288" t="s">
        <v>2604</v>
      </c>
      <c r="S18" s="378" t="s">
        <v>2590</v>
      </c>
    </row>
    <row r="19" spans="1:19">
      <c r="A19" s="292">
        <v>18</v>
      </c>
      <c r="B19" s="285">
        <v>25764</v>
      </c>
      <c r="C19" s="285">
        <v>41281</v>
      </c>
      <c r="D19" s="285">
        <v>41281</v>
      </c>
      <c r="E19" s="286" t="s">
        <v>2603</v>
      </c>
      <c r="F19" s="288" t="s">
        <v>2604</v>
      </c>
      <c r="G19" s="287">
        <v>17.5</v>
      </c>
      <c r="H19" s="288" t="s">
        <v>2604</v>
      </c>
      <c r="I19" s="286" t="s">
        <v>2605</v>
      </c>
      <c r="J19" s="288">
        <v>651</v>
      </c>
      <c r="K19" s="288">
        <v>1</v>
      </c>
      <c r="L19" s="289">
        <v>14.78</v>
      </c>
      <c r="M19" s="290"/>
      <c r="N19" s="286" t="s">
        <v>1560</v>
      </c>
      <c r="O19" s="286" t="s">
        <v>1560</v>
      </c>
      <c r="P19" s="288" t="s">
        <v>1560</v>
      </c>
      <c r="Q19" s="288" t="s">
        <v>1560</v>
      </c>
      <c r="R19" s="288" t="s">
        <v>2604</v>
      </c>
      <c r="S19" s="378" t="s">
        <v>2590</v>
      </c>
    </row>
    <row r="20" spans="1:19">
      <c r="A20" s="292">
        <v>19</v>
      </c>
      <c r="B20" s="285">
        <v>22662</v>
      </c>
      <c r="C20" s="285">
        <v>43873</v>
      </c>
      <c r="D20" s="285">
        <v>43873</v>
      </c>
      <c r="E20" s="286" t="s">
        <v>2603</v>
      </c>
      <c r="F20" s="288" t="s">
        <v>2604</v>
      </c>
      <c r="G20" s="287">
        <v>15</v>
      </c>
      <c r="H20" s="288" t="s">
        <v>2604</v>
      </c>
      <c r="I20" s="286" t="s">
        <v>2605</v>
      </c>
      <c r="J20" s="288">
        <v>651</v>
      </c>
      <c r="K20" s="288">
        <v>1</v>
      </c>
      <c r="L20" s="289">
        <v>14.78</v>
      </c>
      <c r="M20" s="291"/>
      <c r="N20" s="286" t="s">
        <v>1560</v>
      </c>
      <c r="O20" s="286" t="s">
        <v>1560</v>
      </c>
      <c r="P20" s="288" t="s">
        <v>1560</v>
      </c>
      <c r="Q20" s="288" t="s">
        <v>1560</v>
      </c>
      <c r="R20" s="288" t="s">
        <v>2604</v>
      </c>
      <c r="S20" s="286" t="s">
        <v>2583</v>
      </c>
    </row>
    <row r="21" spans="1:19">
      <c r="A21" s="292">
        <v>20</v>
      </c>
      <c r="B21" s="285">
        <v>29283</v>
      </c>
      <c r="C21" s="285">
        <v>44879</v>
      </c>
      <c r="D21" s="285">
        <v>44879</v>
      </c>
      <c r="E21" s="286" t="s">
        <v>2606</v>
      </c>
      <c r="F21" s="288" t="s">
        <v>2604</v>
      </c>
      <c r="G21" s="287">
        <v>10</v>
      </c>
      <c r="H21" s="288" t="s">
        <v>2604</v>
      </c>
      <c r="I21" s="286" t="s">
        <v>2605</v>
      </c>
      <c r="J21" s="288">
        <v>651</v>
      </c>
      <c r="K21" s="288">
        <v>1</v>
      </c>
      <c r="L21" s="289">
        <v>13.42</v>
      </c>
      <c r="M21" s="291"/>
      <c r="N21" s="286" t="s">
        <v>1560</v>
      </c>
      <c r="O21" s="286" t="s">
        <v>1560</v>
      </c>
      <c r="P21" s="288" t="s">
        <v>1560</v>
      </c>
      <c r="Q21" s="288" t="s">
        <v>1560</v>
      </c>
      <c r="R21" s="288" t="s">
        <v>2607</v>
      </c>
      <c r="S21" s="286" t="s">
        <v>1602</v>
      </c>
    </row>
    <row r="22" spans="1:19">
      <c r="A22" s="292">
        <v>21</v>
      </c>
      <c r="B22" s="285">
        <v>25726</v>
      </c>
      <c r="C22" s="285">
        <v>43051</v>
      </c>
      <c r="D22" s="285">
        <v>39745</v>
      </c>
      <c r="E22" s="286" t="s">
        <v>2603</v>
      </c>
      <c r="F22" s="288" t="s">
        <v>2607</v>
      </c>
      <c r="G22" s="287">
        <v>15</v>
      </c>
      <c r="H22" s="288" t="s">
        <v>2604</v>
      </c>
      <c r="I22" s="286" t="s">
        <v>2605</v>
      </c>
      <c r="J22" s="288">
        <v>651</v>
      </c>
      <c r="K22" s="288">
        <v>1</v>
      </c>
      <c r="L22" s="289">
        <v>14.78</v>
      </c>
      <c r="M22" s="291"/>
      <c r="N22" s="286" t="s">
        <v>1560</v>
      </c>
      <c r="O22" s="286" t="s">
        <v>1560</v>
      </c>
      <c r="P22" s="288" t="s">
        <v>1560</v>
      </c>
      <c r="Q22" s="288" t="s">
        <v>1560</v>
      </c>
      <c r="R22" s="288" t="s">
        <v>2604</v>
      </c>
      <c r="S22" s="378" t="s">
        <v>2590</v>
      </c>
    </row>
    <row r="23" spans="1:19">
      <c r="A23" s="292">
        <v>22</v>
      </c>
      <c r="B23" s="285">
        <v>24878</v>
      </c>
      <c r="C23" s="285">
        <v>44070</v>
      </c>
      <c r="D23" s="285">
        <v>44070</v>
      </c>
      <c r="E23" s="285" t="s">
        <v>2603</v>
      </c>
      <c r="F23" s="379" t="s">
        <v>2604</v>
      </c>
      <c r="G23" s="287">
        <v>10</v>
      </c>
      <c r="H23" s="288" t="s">
        <v>2604</v>
      </c>
      <c r="I23" s="286" t="s">
        <v>2605</v>
      </c>
      <c r="J23" s="288">
        <v>651</v>
      </c>
      <c r="K23" s="288">
        <v>1</v>
      </c>
      <c r="L23" s="289">
        <v>14.34</v>
      </c>
      <c r="M23" s="290"/>
      <c r="N23" s="286" t="s">
        <v>1560</v>
      </c>
      <c r="O23" s="286" t="s">
        <v>1560</v>
      </c>
      <c r="P23" s="288" t="s">
        <v>1560</v>
      </c>
      <c r="Q23" s="288" t="s">
        <v>1560</v>
      </c>
      <c r="R23" s="288" t="s">
        <v>2607</v>
      </c>
      <c r="S23" s="286" t="s">
        <v>1602</v>
      </c>
    </row>
    <row r="24" spans="1:19">
      <c r="A24" s="292">
        <v>23</v>
      </c>
      <c r="B24" s="285">
        <v>27887</v>
      </c>
      <c r="C24" s="285">
        <v>44105</v>
      </c>
      <c r="D24" s="285">
        <v>44105</v>
      </c>
      <c r="E24" s="285" t="s">
        <v>2603</v>
      </c>
      <c r="F24" s="379" t="s">
        <v>2604</v>
      </c>
      <c r="G24" s="287">
        <v>10</v>
      </c>
      <c r="H24" s="288" t="s">
        <v>2604</v>
      </c>
      <c r="I24" s="286" t="s">
        <v>2605</v>
      </c>
      <c r="J24" s="288">
        <v>651</v>
      </c>
      <c r="K24" s="288">
        <v>1</v>
      </c>
      <c r="L24" s="289">
        <v>14.34</v>
      </c>
      <c r="M24" s="290"/>
      <c r="N24" s="286" t="s">
        <v>1560</v>
      </c>
      <c r="O24" s="286" t="s">
        <v>1560</v>
      </c>
      <c r="P24" s="288" t="s">
        <v>1560</v>
      </c>
      <c r="Q24" s="288" t="s">
        <v>1560</v>
      </c>
      <c r="R24" s="288" t="s">
        <v>2604</v>
      </c>
      <c r="S24" s="286" t="s">
        <v>2585</v>
      </c>
    </row>
    <row r="25" spans="1:19">
      <c r="A25" s="292">
        <v>24</v>
      </c>
      <c r="B25" s="285">
        <v>23012</v>
      </c>
      <c r="C25" s="285">
        <v>41518</v>
      </c>
      <c r="D25" s="285">
        <v>41518</v>
      </c>
      <c r="E25" s="285" t="s">
        <v>2603</v>
      </c>
      <c r="F25" s="379" t="s">
        <v>2607</v>
      </c>
      <c r="G25" s="287">
        <v>40</v>
      </c>
      <c r="H25" s="288" t="s">
        <v>2604</v>
      </c>
      <c r="I25" s="286" t="s">
        <v>2609</v>
      </c>
      <c r="J25" s="288">
        <v>655</v>
      </c>
      <c r="K25" s="288">
        <v>1</v>
      </c>
      <c r="L25" s="289">
        <v>15.54</v>
      </c>
      <c r="M25" s="290"/>
      <c r="N25" s="286" t="s">
        <v>1560</v>
      </c>
      <c r="O25" s="286" t="s">
        <v>1560</v>
      </c>
      <c r="P25" s="288" t="s">
        <v>1560</v>
      </c>
      <c r="Q25" s="288" t="s">
        <v>1560</v>
      </c>
      <c r="R25" s="288" t="s">
        <v>2604</v>
      </c>
      <c r="S25" s="286" t="s">
        <v>2582</v>
      </c>
    </row>
    <row r="26" spans="1:19">
      <c r="A26" s="292">
        <v>25</v>
      </c>
      <c r="B26" s="285">
        <v>26790</v>
      </c>
      <c r="C26" s="285">
        <v>43202</v>
      </c>
      <c r="D26" s="285">
        <v>43202</v>
      </c>
      <c r="E26" s="285" t="s">
        <v>2603</v>
      </c>
      <c r="F26" s="379" t="s">
        <v>2604</v>
      </c>
      <c r="G26" s="287">
        <v>30</v>
      </c>
      <c r="H26" s="288" t="s">
        <v>2604</v>
      </c>
      <c r="I26" s="286" t="s">
        <v>2605</v>
      </c>
      <c r="J26" s="288">
        <v>651</v>
      </c>
      <c r="K26" s="288">
        <v>1</v>
      </c>
      <c r="L26" s="289">
        <v>14.78</v>
      </c>
      <c r="M26" s="290"/>
      <c r="N26" s="286" t="s">
        <v>1560</v>
      </c>
      <c r="O26" s="286" t="s">
        <v>1560</v>
      </c>
      <c r="P26" s="288" t="s">
        <v>1560</v>
      </c>
      <c r="Q26" s="288" t="s">
        <v>1560</v>
      </c>
      <c r="R26" s="288" t="s">
        <v>2604</v>
      </c>
      <c r="S26" s="286" t="s">
        <v>2581</v>
      </c>
    </row>
    <row r="27" spans="1:19">
      <c r="A27" s="292">
        <v>26</v>
      </c>
      <c r="B27" s="285">
        <v>26790</v>
      </c>
      <c r="C27" s="285">
        <v>43202</v>
      </c>
      <c r="D27" s="285">
        <v>43202</v>
      </c>
      <c r="E27" s="285" t="s">
        <v>2603</v>
      </c>
      <c r="F27" s="379" t="s">
        <v>2604</v>
      </c>
      <c r="G27" s="287">
        <v>5</v>
      </c>
      <c r="H27" s="288" t="s">
        <v>2604</v>
      </c>
      <c r="I27" s="286" t="s">
        <v>2605</v>
      </c>
      <c r="J27" s="288">
        <v>651</v>
      </c>
      <c r="K27" s="288">
        <v>1</v>
      </c>
      <c r="L27" s="289">
        <v>14.78</v>
      </c>
      <c r="M27" s="290"/>
      <c r="N27" s="286" t="s">
        <v>1560</v>
      </c>
      <c r="O27" s="286" t="s">
        <v>1560</v>
      </c>
      <c r="P27" s="288" t="s">
        <v>1560</v>
      </c>
      <c r="Q27" s="288" t="s">
        <v>1560</v>
      </c>
      <c r="R27" s="288" t="s">
        <v>2604</v>
      </c>
      <c r="S27" s="286" t="s">
        <v>2584</v>
      </c>
    </row>
    <row r="28" spans="1:19">
      <c r="A28" s="292">
        <v>27</v>
      </c>
      <c r="B28" s="285">
        <v>26984</v>
      </c>
      <c r="C28" s="285">
        <v>44097</v>
      </c>
      <c r="D28" s="285">
        <v>44097</v>
      </c>
      <c r="E28" s="285" t="s">
        <v>2603</v>
      </c>
      <c r="F28" s="379" t="s">
        <v>2604</v>
      </c>
      <c r="G28" s="287">
        <v>12.5</v>
      </c>
      <c r="H28" s="288" t="s">
        <v>2604</v>
      </c>
      <c r="I28" s="286" t="s">
        <v>2605</v>
      </c>
      <c r="J28" s="288">
        <v>651</v>
      </c>
      <c r="K28" s="288">
        <v>1</v>
      </c>
      <c r="L28" s="289">
        <v>14.34</v>
      </c>
      <c r="M28" s="290"/>
      <c r="N28" s="286" t="s">
        <v>1560</v>
      </c>
      <c r="O28" s="286" t="s">
        <v>1560</v>
      </c>
      <c r="P28" s="288" t="s">
        <v>1560</v>
      </c>
      <c r="Q28" s="288" t="s">
        <v>1560</v>
      </c>
      <c r="R28" s="288" t="s">
        <v>2604</v>
      </c>
      <c r="S28" s="286" t="s">
        <v>2581</v>
      </c>
    </row>
    <row r="29" spans="1:19">
      <c r="A29" s="292">
        <v>28</v>
      </c>
      <c r="B29" s="285">
        <v>26984</v>
      </c>
      <c r="C29" s="285">
        <v>44097</v>
      </c>
      <c r="D29" s="285">
        <v>44097</v>
      </c>
      <c r="E29" s="285" t="s">
        <v>2603</v>
      </c>
      <c r="F29" s="379" t="s">
        <v>2604</v>
      </c>
      <c r="G29" s="287">
        <v>5</v>
      </c>
      <c r="H29" s="288" t="s">
        <v>2604</v>
      </c>
      <c r="I29" s="286" t="s">
        <v>2605</v>
      </c>
      <c r="J29" s="288">
        <v>651</v>
      </c>
      <c r="K29" s="288">
        <v>1</v>
      </c>
      <c r="L29" s="289">
        <v>14.34</v>
      </c>
      <c r="M29" s="290"/>
      <c r="N29" s="286" t="s">
        <v>1560</v>
      </c>
      <c r="O29" s="286" t="s">
        <v>1560</v>
      </c>
      <c r="P29" s="288" t="s">
        <v>1560</v>
      </c>
      <c r="Q29" s="288" t="s">
        <v>1560</v>
      </c>
      <c r="R29" s="288" t="s">
        <v>2604</v>
      </c>
      <c r="S29" s="286" t="s">
        <v>2584</v>
      </c>
    </row>
    <row r="30" spans="1:19">
      <c r="A30" s="292">
        <v>29</v>
      </c>
      <c r="B30" s="285">
        <v>29735</v>
      </c>
      <c r="C30" s="285">
        <v>44390</v>
      </c>
      <c r="D30" s="285">
        <v>44390</v>
      </c>
      <c r="E30" s="285" t="s">
        <v>2603</v>
      </c>
      <c r="F30" s="379" t="s">
        <v>2604</v>
      </c>
      <c r="G30" s="287">
        <v>15</v>
      </c>
      <c r="H30" s="288" t="s">
        <v>2604</v>
      </c>
      <c r="I30" s="286" t="s">
        <v>2605</v>
      </c>
      <c r="J30" s="288">
        <v>651</v>
      </c>
      <c r="K30" s="288">
        <v>1</v>
      </c>
      <c r="L30" s="289">
        <v>13.91</v>
      </c>
      <c r="M30" s="290"/>
      <c r="N30" s="286" t="s">
        <v>1560</v>
      </c>
      <c r="O30" s="286" t="s">
        <v>1560</v>
      </c>
      <c r="P30" s="288" t="s">
        <v>1560</v>
      </c>
      <c r="Q30" s="288" t="s">
        <v>1560</v>
      </c>
      <c r="R30" s="288" t="s">
        <v>2607</v>
      </c>
      <c r="S30" s="286" t="s">
        <v>2583</v>
      </c>
    </row>
    <row r="31" spans="1:19">
      <c r="A31" s="292">
        <v>30</v>
      </c>
      <c r="B31" s="285">
        <v>26755</v>
      </c>
      <c r="C31" s="285">
        <v>44322</v>
      </c>
      <c r="D31" s="285">
        <v>44322</v>
      </c>
      <c r="E31" s="285" t="s">
        <v>2603</v>
      </c>
      <c r="F31" s="379" t="s">
        <v>2604</v>
      </c>
      <c r="G31" s="287">
        <v>12.5</v>
      </c>
      <c r="H31" s="288" t="s">
        <v>2604</v>
      </c>
      <c r="I31" s="286" t="s">
        <v>2605</v>
      </c>
      <c r="J31" s="288">
        <v>651</v>
      </c>
      <c r="K31" s="288">
        <v>1</v>
      </c>
      <c r="L31" s="289">
        <v>13.91</v>
      </c>
      <c r="M31" s="290"/>
      <c r="N31" s="286" t="s">
        <v>1560</v>
      </c>
      <c r="O31" s="286" t="s">
        <v>1560</v>
      </c>
      <c r="P31" s="288" t="s">
        <v>1560</v>
      </c>
      <c r="Q31" s="288" t="s">
        <v>1560</v>
      </c>
      <c r="R31" s="288" t="s">
        <v>2604</v>
      </c>
      <c r="S31" s="286" t="s">
        <v>2583</v>
      </c>
    </row>
    <row r="32" spans="1:19">
      <c r="A32" s="292">
        <v>31</v>
      </c>
      <c r="B32" s="285">
        <v>28976</v>
      </c>
      <c r="C32" s="285">
        <v>44494</v>
      </c>
      <c r="D32" s="285">
        <v>44494</v>
      </c>
      <c r="E32" s="285" t="s">
        <v>2603</v>
      </c>
      <c r="F32" s="379" t="s">
        <v>2604</v>
      </c>
      <c r="G32" s="287">
        <v>15</v>
      </c>
      <c r="H32" s="288" t="s">
        <v>2604</v>
      </c>
      <c r="I32" s="286" t="s">
        <v>2605</v>
      </c>
      <c r="J32" s="288">
        <v>651</v>
      </c>
      <c r="K32" s="288">
        <v>1</v>
      </c>
      <c r="L32" s="289">
        <v>13.91</v>
      </c>
      <c r="M32" s="290"/>
      <c r="N32" s="286" t="s">
        <v>1560</v>
      </c>
      <c r="O32" s="286" t="s">
        <v>1560</v>
      </c>
      <c r="P32" s="288" t="s">
        <v>1560</v>
      </c>
      <c r="Q32" s="288" t="s">
        <v>1560</v>
      </c>
      <c r="R32" s="288" t="s">
        <v>2604</v>
      </c>
      <c r="S32" s="286" t="s">
        <v>1602</v>
      </c>
    </row>
    <row r="33" spans="1:19">
      <c r="A33" s="292">
        <v>32</v>
      </c>
      <c r="B33" s="285">
        <v>26412</v>
      </c>
      <c r="C33" s="285">
        <v>45257</v>
      </c>
      <c r="D33" s="285">
        <v>45257</v>
      </c>
      <c r="E33" s="285" t="s">
        <v>2606</v>
      </c>
      <c r="F33" s="379" t="s">
        <v>2604</v>
      </c>
      <c r="G33" s="287">
        <v>12.5</v>
      </c>
      <c r="H33" s="288" t="s">
        <v>2607</v>
      </c>
      <c r="I33" s="286" t="s">
        <v>2605</v>
      </c>
      <c r="J33" s="288">
        <v>651</v>
      </c>
      <c r="K33" s="288">
        <v>1</v>
      </c>
      <c r="L33" s="289">
        <v>13.42</v>
      </c>
      <c r="M33" s="290"/>
      <c r="N33" s="286" t="s">
        <v>1560</v>
      </c>
      <c r="O33" s="286" t="s">
        <v>1560</v>
      </c>
      <c r="P33" s="288" t="s">
        <v>1560</v>
      </c>
      <c r="Q33" s="288" t="s">
        <v>1560</v>
      </c>
      <c r="R33" s="288" t="s">
        <v>2607</v>
      </c>
      <c r="S33" s="286" t="s">
        <v>2582</v>
      </c>
    </row>
    <row r="34" spans="1:19">
      <c r="A34" s="292">
        <v>33</v>
      </c>
      <c r="B34" s="285">
        <v>29296</v>
      </c>
      <c r="C34" s="285">
        <v>44686</v>
      </c>
      <c r="D34" s="285">
        <v>44686</v>
      </c>
      <c r="E34" s="285" t="s">
        <v>2603</v>
      </c>
      <c r="F34" s="379" t="s">
        <v>2604</v>
      </c>
      <c r="G34" s="287">
        <v>10</v>
      </c>
      <c r="H34" s="288" t="s">
        <v>2604</v>
      </c>
      <c r="I34" s="286" t="s">
        <v>2605</v>
      </c>
      <c r="J34" s="288">
        <v>651</v>
      </c>
      <c r="K34" s="288">
        <v>1</v>
      </c>
      <c r="L34" s="289">
        <v>13.42</v>
      </c>
      <c r="M34" s="290"/>
      <c r="N34" s="286" t="s">
        <v>1560</v>
      </c>
      <c r="O34" s="286" t="s">
        <v>1560</v>
      </c>
      <c r="P34" s="288" t="s">
        <v>1560</v>
      </c>
      <c r="Q34" s="288" t="s">
        <v>1560</v>
      </c>
      <c r="R34" s="288" t="s">
        <v>2604</v>
      </c>
      <c r="S34" s="286" t="s">
        <v>2582</v>
      </c>
    </row>
    <row r="35" spans="1:19">
      <c r="A35" s="292">
        <v>34</v>
      </c>
      <c r="B35" s="285">
        <v>28887</v>
      </c>
      <c r="C35" s="285">
        <v>44466</v>
      </c>
      <c r="D35" s="285">
        <v>44466</v>
      </c>
      <c r="E35" s="285" t="s">
        <v>2603</v>
      </c>
      <c r="F35" s="379" t="s">
        <v>2604</v>
      </c>
      <c r="G35" s="287">
        <v>10</v>
      </c>
      <c r="H35" s="288" t="s">
        <v>2604</v>
      </c>
      <c r="I35" s="286" t="s">
        <v>2605</v>
      </c>
      <c r="J35" s="288">
        <v>651</v>
      </c>
      <c r="K35" s="288">
        <v>1</v>
      </c>
      <c r="L35" s="289">
        <v>13.91</v>
      </c>
      <c r="M35" s="290"/>
      <c r="N35" s="286" t="s">
        <v>1560</v>
      </c>
      <c r="O35" s="286" t="s">
        <v>1560</v>
      </c>
      <c r="P35" s="288" t="s">
        <v>1560</v>
      </c>
      <c r="Q35" s="288" t="s">
        <v>1560</v>
      </c>
      <c r="R35" s="288" t="s">
        <v>2604</v>
      </c>
      <c r="S35" s="286" t="s">
        <v>2581</v>
      </c>
    </row>
    <row r="36" spans="1:19">
      <c r="A36" s="292">
        <v>35</v>
      </c>
      <c r="B36" s="285">
        <v>30831</v>
      </c>
      <c r="C36" s="285">
        <v>43466</v>
      </c>
      <c r="D36" s="285">
        <v>41570</v>
      </c>
      <c r="E36" s="285" t="s">
        <v>2603</v>
      </c>
      <c r="F36" s="379" t="s">
        <v>2604</v>
      </c>
      <c r="G36" s="287">
        <v>15</v>
      </c>
      <c r="H36" s="288" t="s">
        <v>2604</v>
      </c>
      <c r="I36" s="286" t="s">
        <v>2605</v>
      </c>
      <c r="J36" s="288">
        <v>651</v>
      </c>
      <c r="K36" s="288">
        <v>1</v>
      </c>
      <c r="L36" s="289">
        <v>14.78</v>
      </c>
      <c r="M36" s="290"/>
      <c r="N36" s="286" t="s">
        <v>1560</v>
      </c>
      <c r="O36" s="286" t="s">
        <v>1560</v>
      </c>
      <c r="P36" s="288" t="s">
        <v>1560</v>
      </c>
      <c r="Q36" s="288" t="s">
        <v>1560</v>
      </c>
      <c r="R36" s="288" t="s">
        <v>2604</v>
      </c>
      <c r="S36" s="378" t="s">
        <v>2590</v>
      </c>
    </row>
    <row r="37" spans="1:19">
      <c r="A37" s="292">
        <v>36</v>
      </c>
      <c r="B37" s="285">
        <v>29226</v>
      </c>
      <c r="C37" s="285">
        <v>44686</v>
      </c>
      <c r="D37" s="285">
        <v>44686</v>
      </c>
      <c r="E37" s="285" t="s">
        <v>2603</v>
      </c>
      <c r="F37" s="379" t="s">
        <v>2604</v>
      </c>
      <c r="G37" s="287">
        <v>10</v>
      </c>
      <c r="H37" s="288" t="s">
        <v>2604</v>
      </c>
      <c r="I37" s="286" t="s">
        <v>2605</v>
      </c>
      <c r="J37" s="288">
        <v>651</v>
      </c>
      <c r="K37" s="288">
        <v>1</v>
      </c>
      <c r="L37" s="289">
        <v>13.42</v>
      </c>
      <c r="M37" s="290"/>
      <c r="N37" s="286" t="s">
        <v>1560</v>
      </c>
      <c r="O37" s="286" t="s">
        <v>1560</v>
      </c>
      <c r="P37" s="288" t="s">
        <v>1560</v>
      </c>
      <c r="Q37" s="288" t="s">
        <v>1560</v>
      </c>
      <c r="R37" s="288" t="s">
        <v>2607</v>
      </c>
      <c r="S37" s="286" t="s">
        <v>2582</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30"/>
  <sheetViews>
    <sheetView view="pageBreakPreview" zoomScaleNormal="100" zoomScaleSheetLayoutView="100" workbookViewId="0">
      <selection activeCell="G19" sqref="G19"/>
    </sheetView>
  </sheetViews>
  <sheetFormatPr defaultColWidth="9.140625" defaultRowHeight="11.25"/>
  <cols>
    <col min="1" max="1" width="15.42578125" style="4" customWidth="1"/>
    <col min="2" max="2" width="61.5703125" style="4" customWidth="1"/>
    <col min="3" max="3" width="13.28515625" style="21" customWidth="1"/>
    <col min="4" max="4" width="56" style="4" bestFit="1" customWidth="1"/>
    <col min="5" max="5" width="17.7109375" style="4" bestFit="1" customWidth="1"/>
    <col min="6" max="6" width="17.7109375" style="119" bestFit="1" customWidth="1"/>
    <col min="7" max="7" width="18" style="4" bestFit="1" customWidth="1"/>
    <col min="8" max="8" width="22.5703125" style="4" bestFit="1" customWidth="1"/>
    <col min="9" max="9" width="29.28515625" style="4" customWidth="1"/>
    <col min="10" max="10" width="9.140625" style="4"/>
    <col min="11" max="11" width="18" style="4" bestFit="1" customWidth="1"/>
    <col min="12" max="16384" width="9.140625" style="4"/>
  </cols>
  <sheetData>
    <row r="1" spans="1:9" s="9" customFormat="1" ht="26.25" customHeight="1">
      <c r="A1" s="422" t="s">
        <v>1317</v>
      </c>
      <c r="B1" s="422"/>
      <c r="C1" s="422"/>
      <c r="D1" s="422"/>
      <c r="E1" s="422"/>
      <c r="F1" s="422"/>
      <c r="G1" s="422"/>
      <c r="H1" s="422"/>
      <c r="I1" s="422"/>
    </row>
    <row r="2" spans="1:9" s="9" customFormat="1" ht="15" customHeight="1">
      <c r="A2" s="420" t="s">
        <v>265</v>
      </c>
      <c r="B2" s="438"/>
      <c r="C2" s="438"/>
      <c r="D2" s="438"/>
      <c r="E2" s="438"/>
      <c r="F2" s="438"/>
      <c r="G2" s="438"/>
      <c r="H2" s="438"/>
      <c r="I2" s="439"/>
    </row>
    <row r="3" spans="1:9" ht="15" customHeight="1">
      <c r="B3" s="21"/>
      <c r="C3" s="4"/>
      <c r="F3" s="4"/>
    </row>
    <row r="4" spans="1:9" ht="15" customHeight="1">
      <c r="A4" s="4" t="s">
        <v>169</v>
      </c>
      <c r="B4" s="35"/>
      <c r="C4" s="35"/>
      <c r="D4" s="35"/>
      <c r="E4" s="35"/>
      <c r="F4" s="120"/>
      <c r="G4" s="36"/>
    </row>
    <row r="5" spans="1:9" ht="15" customHeight="1">
      <c r="A5" s="4" t="s">
        <v>227</v>
      </c>
      <c r="B5" s="35"/>
      <c r="C5" s="35"/>
      <c r="D5" s="35"/>
      <c r="E5" s="35"/>
      <c r="F5" s="120"/>
      <c r="G5" s="36"/>
    </row>
    <row r="6" spans="1:9" ht="15" customHeight="1">
      <c r="A6" s="4" t="s">
        <v>220</v>
      </c>
      <c r="B6" s="38"/>
      <c r="C6" s="39"/>
      <c r="D6" s="39"/>
      <c r="E6" s="39"/>
      <c r="F6" s="121"/>
    </row>
    <row r="7" spans="1:9" ht="15" customHeight="1">
      <c r="B7" s="38"/>
      <c r="C7" s="38"/>
      <c r="D7" s="34"/>
      <c r="E7" s="437" t="s">
        <v>249</v>
      </c>
      <c r="F7" s="437"/>
      <c r="G7" s="437"/>
      <c r="H7" s="437"/>
      <c r="I7" s="437"/>
    </row>
    <row r="8" spans="1:9" s="8" customFormat="1" ht="26.25" customHeight="1">
      <c r="A8" s="47" t="s">
        <v>200</v>
      </c>
      <c r="B8" s="48" t="s">
        <v>151</v>
      </c>
      <c r="C8" s="49" t="s">
        <v>1597</v>
      </c>
      <c r="D8" s="47" t="s">
        <v>1598</v>
      </c>
      <c r="E8" s="47" t="s">
        <v>266</v>
      </c>
      <c r="F8" s="47" t="s">
        <v>1265</v>
      </c>
      <c r="G8" s="47" t="s">
        <v>1316</v>
      </c>
      <c r="H8" s="47" t="s">
        <v>1595</v>
      </c>
      <c r="I8" s="47" t="s">
        <v>2589</v>
      </c>
    </row>
    <row r="9" spans="1:9" s="8" customFormat="1" ht="15" customHeight="1">
      <c r="A9" s="248">
        <v>1</v>
      </c>
      <c r="B9" s="62" t="s">
        <v>2596</v>
      </c>
      <c r="C9" s="266">
        <v>0</v>
      </c>
      <c r="D9" s="62" t="s">
        <v>2599</v>
      </c>
      <c r="E9" s="375" t="e">
        <f>(Invulextrawerkz[[#This Row],[Prijs
Excl. BTW]]*Tariefsopbouw!$I$37)+Invulextrawerkz[[#This Row],[Prijs
Excl. BTW]]</f>
        <v>#DIV/0!</v>
      </c>
      <c r="F9" s="246" t="e">
        <f>Invulextrawerkz[[#This Row],[2026]]*Tariefsopbouw!$K$37+Invulextrawerkz[[#This Row],[2026]]</f>
        <v>#DIV/0!</v>
      </c>
      <c r="G9" s="246" t="e">
        <f>Invulextrawerkz[[#This Row],[2027]]*Tariefsopbouw!$M$37+Invulextrawerkz[[#This Row],[2027]]</f>
        <v>#DIV/0!</v>
      </c>
      <c r="H9" s="246" t="e">
        <f>Invulextrawerkz[[#This Row],[2028]]*Tariefsopbouw!$O$37+Invulextrawerkz[[#This Row],[2028]]</f>
        <v>#DIV/0!</v>
      </c>
      <c r="I9" s="377" t="e">
        <f>Invulextrawerkz[[#This Row],[2029]]*Tariefsopbouw!$Q$37+Invulextrawerkz[[#This Row],[2029]]</f>
        <v>#DIV/0!</v>
      </c>
    </row>
    <row r="10" spans="1:9" s="8" customFormat="1" ht="15" customHeight="1">
      <c r="A10" s="248">
        <v>2</v>
      </c>
      <c r="B10" s="62" t="s">
        <v>2597</v>
      </c>
      <c r="C10" s="266">
        <v>0</v>
      </c>
      <c r="D10" s="62" t="s">
        <v>2599</v>
      </c>
      <c r="E10" s="375" t="e">
        <f>(Invulextrawerkz[[#This Row],[Prijs
Excl. BTW]]*Tariefsopbouw!$I$37)+Invulextrawerkz[[#This Row],[Prijs
Excl. BTW]]</f>
        <v>#DIV/0!</v>
      </c>
      <c r="F10" s="246" t="e">
        <f>Invulextrawerkz[[#This Row],[2026]]*Tariefsopbouw!$K$37+Invulextrawerkz[[#This Row],[2026]]</f>
        <v>#DIV/0!</v>
      </c>
      <c r="G10" s="246" t="e">
        <f>Invulextrawerkz[[#This Row],[2027]]*Tariefsopbouw!$M$37+Invulextrawerkz[[#This Row],[2027]]</f>
        <v>#DIV/0!</v>
      </c>
      <c r="H10" s="246" t="e">
        <f>Invulextrawerkz[[#This Row],[2028]]*Tariefsopbouw!$O$37+Invulextrawerkz[[#This Row],[2028]]</f>
        <v>#DIV/0!</v>
      </c>
      <c r="I10" s="377" t="e">
        <f>Invulextrawerkz[[#This Row],[2029]]*Tariefsopbouw!$Q$37+Invulextrawerkz[[#This Row],[2029]]</f>
        <v>#DIV/0!</v>
      </c>
    </row>
    <row r="11" spans="1:9" s="8" customFormat="1" ht="15" customHeight="1">
      <c r="A11" s="248">
        <v>3</v>
      </c>
      <c r="B11" s="245" t="s">
        <v>2586</v>
      </c>
      <c r="C11" s="376">
        <f>Tariefsopbouw!$E$35</f>
        <v>0</v>
      </c>
      <c r="D11" s="62" t="s">
        <v>1313</v>
      </c>
      <c r="E11" s="375" t="e">
        <f>(Invulextrawerkz[[#This Row],[Prijs
Excl. BTW]]*Tariefsopbouw!$I$37)+Invulextrawerkz[[#This Row],[Prijs
Excl. BTW]]</f>
        <v>#DIV/0!</v>
      </c>
      <c r="F11" s="246" t="e">
        <f>Invulextrawerkz[[#This Row],[2026]]*Tariefsopbouw!$K$37+Invulextrawerkz[[#This Row],[2026]]</f>
        <v>#DIV/0!</v>
      </c>
      <c r="G11" s="246" t="e">
        <f>Invulextrawerkz[[#This Row],[2027]]*Tariefsopbouw!$M$37+Invulextrawerkz[[#This Row],[2027]]</f>
        <v>#DIV/0!</v>
      </c>
      <c r="H11" s="246" t="e">
        <f>Invulextrawerkz[[#This Row],[2028]]*Tariefsopbouw!$O$37+Invulextrawerkz[[#This Row],[2028]]</f>
        <v>#DIV/0!</v>
      </c>
      <c r="I11" s="377" t="e">
        <f>Invulextrawerkz[[#This Row],[2029]]*Tariefsopbouw!$Q$37+Invulextrawerkz[[#This Row],[2029]]</f>
        <v>#DIV/0!</v>
      </c>
    </row>
    <row r="12" spans="1:9" ht="15" customHeight="1">
      <c r="A12" s="248">
        <v>4</v>
      </c>
      <c r="B12" s="62" t="s">
        <v>2595</v>
      </c>
      <c r="C12" s="376">
        <f>Tariefsopbouw!$E$35</f>
        <v>0</v>
      </c>
      <c r="D12" s="62" t="s">
        <v>1313</v>
      </c>
      <c r="E12" s="246" t="e">
        <f>(Invulextrawerkz[[#This Row],[Prijs
Excl. BTW]]*Tariefsopbouw!$I$37)+Invulextrawerkz[[#This Row],[Prijs
Excl. BTW]]</f>
        <v>#DIV/0!</v>
      </c>
      <c r="F12" s="246" t="e">
        <f>Invulextrawerkz[[#This Row],[2026]]*Tariefsopbouw!$K$37+Invulextrawerkz[[#This Row],[2026]]</f>
        <v>#DIV/0!</v>
      </c>
      <c r="G12" s="246" t="e">
        <f>Invulextrawerkz[[#This Row],[2027]]*Tariefsopbouw!$M$37+Invulextrawerkz[[#This Row],[2027]]</f>
        <v>#DIV/0!</v>
      </c>
      <c r="H12" s="246" t="e">
        <f>Invulextrawerkz[[#This Row],[2028]]*Tariefsopbouw!$O$37+Invulextrawerkz[[#This Row],[2028]]</f>
        <v>#DIV/0!</v>
      </c>
      <c r="I12" s="377" t="e">
        <f>Invulextrawerkz[[#This Row],[2029]]*Tariefsopbouw!$Q$37+Invulextrawerkz[[#This Row],[2029]]</f>
        <v>#DIV/0!</v>
      </c>
    </row>
    <row r="13" spans="1:9" ht="15" customHeight="1">
      <c r="A13" s="248">
        <v>5</v>
      </c>
      <c r="B13" s="62" t="s">
        <v>2601</v>
      </c>
      <c r="C13" s="376">
        <f>Tariefsopbouw!$E$35</f>
        <v>0</v>
      </c>
      <c r="D13" s="62" t="s">
        <v>1313</v>
      </c>
      <c r="E13" s="246" t="e">
        <f>(Invulextrawerkz[[#This Row],[Prijs
Excl. BTW]]*Tariefsopbouw!$I$37)+Invulextrawerkz[[#This Row],[Prijs
Excl. BTW]]</f>
        <v>#DIV/0!</v>
      </c>
      <c r="F13" s="246" t="e">
        <f>Invulextrawerkz[[#This Row],[2026]]*Tariefsopbouw!$K$37+Invulextrawerkz[[#This Row],[2026]]</f>
        <v>#DIV/0!</v>
      </c>
      <c r="G13" s="246" t="e">
        <f>Invulextrawerkz[[#This Row],[2027]]*Tariefsopbouw!$M$37+Invulextrawerkz[[#This Row],[2027]]</f>
        <v>#DIV/0!</v>
      </c>
      <c r="H13" s="246" t="e">
        <f>Invulextrawerkz[[#This Row],[2028]]*Tariefsopbouw!$O$37+Invulextrawerkz[[#This Row],[2028]]</f>
        <v>#DIV/0!</v>
      </c>
      <c r="I13" s="377" t="e">
        <f>Invulextrawerkz[[#This Row],[2029]]*Tariefsopbouw!$Q$37+Invulextrawerkz[[#This Row],[2029]]</f>
        <v>#DIV/0!</v>
      </c>
    </row>
    <row r="14" spans="1:9" ht="15" customHeight="1">
      <c r="B14" s="21"/>
      <c r="E14" s="40"/>
      <c r="F14" s="122"/>
      <c r="G14" s="40"/>
      <c r="H14" s="40"/>
    </row>
    <row r="15" spans="1:9" s="33" customFormat="1" ht="28.5" customHeight="1">
      <c r="A15" s="4"/>
      <c r="B15" s="21"/>
      <c r="C15" s="21"/>
      <c r="D15" s="4"/>
      <c r="E15" s="40"/>
      <c r="F15" s="122"/>
      <c r="G15" s="40"/>
      <c r="H15" s="40"/>
      <c r="I15" s="4"/>
    </row>
    <row r="16" spans="1:9" ht="22.5">
      <c r="A16" s="47" t="s">
        <v>199</v>
      </c>
      <c r="B16" s="48" t="s">
        <v>136</v>
      </c>
      <c r="C16" s="47" t="s">
        <v>200</v>
      </c>
      <c r="D16" s="51" t="s">
        <v>151</v>
      </c>
      <c r="E16" s="51" t="s">
        <v>2602</v>
      </c>
      <c r="F16" s="51" t="s">
        <v>159</v>
      </c>
      <c r="G16" s="52" t="s">
        <v>138</v>
      </c>
      <c r="H16" s="52" t="s">
        <v>1280</v>
      </c>
    </row>
    <row r="17" spans="1:8" ht="15" customHeight="1">
      <c r="A17" s="304">
        <v>3</v>
      </c>
      <c r="B17" s="245" t="str">
        <f>VLOOKUP(Overzichtextrawerkz.[[#This Row],[Code Locatie]],Locaties[[Code]:[Locatie]],2,FALSE)</f>
        <v>'s Gravendreef College - Dependance</v>
      </c>
      <c r="C17" s="248">
        <v>1</v>
      </c>
      <c r="D17" s="34" t="str">
        <f>IF(Overzichtextrawerkz.[[#This Row],[Code Taak]]&gt;0,VLOOKUP(Overzichtextrawerkz.[[#This Row],[Code Taak]],$A$8:$B$13,2,FALSE),"")</f>
        <v>Dieptereiniging grootkeukens (zie toelichting onderaan)</v>
      </c>
      <c r="E17" s="21">
        <v>1</v>
      </c>
      <c r="F17" s="305">
        <v>2</v>
      </c>
      <c r="G17" s="249">
        <f>VLOOKUP(Overzichtextrawerkz.[[#This Row],[Code Taak]],Invulextrawerkz[],3,3)*E17*F17</f>
        <v>0</v>
      </c>
      <c r="H17" s="249">
        <f>Overzichtextrawerkz.[[#This Row],[Kosten/jaar excl. BTW]]*1.21</f>
        <v>0</v>
      </c>
    </row>
    <row r="18" spans="1:8" ht="15" customHeight="1">
      <c r="A18" s="304">
        <v>5</v>
      </c>
      <c r="B18" s="245" t="str">
        <f>VLOOKUP(Overzichtextrawerkz.[[#This Row],[Code Locatie]],Locaties[[Code]:[Locatie]],2,FALSE)</f>
        <v>François Vatel vmbo</v>
      </c>
      <c r="C18" s="248">
        <v>2</v>
      </c>
      <c r="D18" s="34" t="str">
        <f>IF(Overzichtextrawerkz.[[#This Row],[Code Taak]]&gt;0,VLOOKUP(Overzichtextrawerkz.[[#This Row],[Code Taak]],$A$8:$B$13,2,FALSE),"")</f>
        <v>Dieptereiniging keukens praktijklokalen (zie toelichting onderaan)</v>
      </c>
      <c r="E18" s="21">
        <v>3</v>
      </c>
      <c r="F18" s="305">
        <v>2</v>
      </c>
      <c r="G18" s="249">
        <f>VLOOKUP(Overzichtextrawerkz.[[#This Row],[Code Taak]],Invulextrawerkz[],3,3)*E18*F18</f>
        <v>0</v>
      </c>
      <c r="H18" s="249">
        <f>Overzichtextrawerkz.[[#This Row],[Kosten/jaar excl. BTW]]*1.21</f>
        <v>0</v>
      </c>
    </row>
    <row r="19" spans="1:8" ht="15" customHeight="1">
      <c r="A19" s="304">
        <v>5</v>
      </c>
      <c r="B19" s="245" t="str">
        <f>VLOOKUP(Overzichtextrawerkz.[[#This Row],[Code Locatie]],Locaties[[Code]:[Locatie]],2,FALSE)</f>
        <v>François Vatel vmbo</v>
      </c>
      <c r="C19" s="248">
        <v>5</v>
      </c>
      <c r="D19" s="34" t="str">
        <f>IF(Overzichtextrawerkz.[[#This Row],[Code Taak]]&gt;0,VLOOKUP(Overzichtextrawerkz.[[#This Row],[Code Taak]],$A$8:$B$13,2,FALSE),"")</f>
        <v>Dagkracht (werkzaamheden in overleg)</v>
      </c>
      <c r="E19" s="21">
        <v>8</v>
      </c>
      <c r="F19" s="305">
        <v>200</v>
      </c>
      <c r="G19" s="249">
        <f>VLOOKUP(Overzichtextrawerkz.[[#This Row],[Code Taak]],Invulextrawerkz[],3,3)*E19*F19</f>
        <v>0</v>
      </c>
      <c r="H19" s="249">
        <f>Overzichtextrawerkz.[[#This Row],[Kosten/jaar excl. BTW]]*1.21</f>
        <v>0</v>
      </c>
    </row>
    <row r="20" spans="1:8" ht="15" customHeight="1">
      <c r="A20" s="304">
        <v>8</v>
      </c>
      <c r="B20" s="245" t="str">
        <f>VLOOKUP(Overzichtextrawerkz.[[#This Row],[Code Locatie]],Locaties[[Code]:[Locatie]],2,FALSE)</f>
        <v>Dalton College</v>
      </c>
      <c r="C20" s="248">
        <v>3</v>
      </c>
      <c r="D20" s="34" t="str">
        <f>IF(Overzichtextrawerkz.[[#This Row],[Code Taak]]&gt;0,VLOOKUP(Overzichtextrawerkz.[[#This Row],[Code Taak]],$A$8:$B$13,2,FALSE),"")</f>
        <v>Naloopronde (werkzaamheden in overleg)</v>
      </c>
      <c r="E20" s="21">
        <v>2</v>
      </c>
      <c r="F20" s="305">
        <v>200</v>
      </c>
      <c r="G20" s="249">
        <f>VLOOKUP(Overzichtextrawerkz.[[#This Row],[Code Taak]],Invulextrawerkz[],3,3)*E20*F20</f>
        <v>0</v>
      </c>
      <c r="H20" s="249">
        <f>Overzichtextrawerkz.[[#This Row],[Kosten/jaar excl. BTW]]*1.21</f>
        <v>0</v>
      </c>
    </row>
    <row r="21" spans="1:8" ht="15" customHeight="1">
      <c r="A21" s="304">
        <v>9</v>
      </c>
      <c r="B21" s="245" t="str">
        <f>VLOOKUP(Overzichtextrawerkz.[[#This Row],[Code Locatie]],Locaties[[Code]:[Locatie]],2,FALSE)</f>
        <v>Novum-Maartenshal</v>
      </c>
      <c r="C21" s="248">
        <v>3</v>
      </c>
      <c r="D21" s="34" t="str">
        <f>IF(Overzichtextrawerkz.[[#This Row],[Code Taak]]&gt;0,VLOOKUP(Overzichtextrawerkz.[[#This Row],[Code Taak]],$A$8:$B$13,2,FALSE),"")</f>
        <v>Naloopronde (werkzaamheden in overleg)</v>
      </c>
      <c r="E21" s="21">
        <v>1</v>
      </c>
      <c r="F21" s="305">
        <v>200</v>
      </c>
      <c r="G21" s="249">
        <f>VLOOKUP(Overzichtextrawerkz.[[#This Row],[Code Taak]],Invulextrawerkz[],3,3)*E21*F21</f>
        <v>0</v>
      </c>
      <c r="H21" s="249">
        <f>Overzichtextrawerkz.[[#This Row],[Kosten/jaar excl. BTW]]*1.21</f>
        <v>0</v>
      </c>
    </row>
    <row r="22" spans="1:8" ht="15" customHeight="1">
      <c r="A22" s="304">
        <v>9</v>
      </c>
      <c r="B22" s="245" t="str">
        <f>VLOOKUP(Overzichtextrawerkz.[[#This Row],[Code Locatie]],Locaties[[Code]:[Locatie]],2,FALSE)</f>
        <v>Novum-Maartenshal</v>
      </c>
      <c r="C22" s="248">
        <v>4</v>
      </c>
      <c r="D22" s="34" t="str">
        <f>IF(Overzichtextrawerkz.[[#This Row],[Code Taak]]&gt;0,VLOOKUP(Overzichtextrawerkz.[[#This Row],[Code Taak]],$A$8:$B$13,2,FALSE),"")</f>
        <v>Alle ruimtes in schoolvakanties reinigen 1x per week</v>
      </c>
      <c r="E22" s="358"/>
      <c r="F22" s="305">
        <v>12</v>
      </c>
      <c r="G22" s="257">
        <f>VLOOKUP(Overzichtextrawerkz.[[#This Row],[Code Taak]],Invulextrawerkz[],3,3)*E22*F22</f>
        <v>0</v>
      </c>
      <c r="H22" s="249">
        <f>Overzichtextrawerkz.[[#This Row],[Kosten/jaar excl. BTW]]*1.21</f>
        <v>0</v>
      </c>
    </row>
    <row r="23" spans="1:8" ht="15" customHeight="1">
      <c r="A23" s="304">
        <v>10</v>
      </c>
      <c r="B23" s="245" t="str">
        <f>VLOOKUP(Overzichtextrawerkz.[[#This Row],[Code Locatie]],Locaties[[Code]:[Locatie]],2,FALSE)</f>
        <v>Veurs Voorburg vmbo</v>
      </c>
      <c r="C23" s="248">
        <v>1</v>
      </c>
      <c r="D23" s="34" t="str">
        <f>IF(Overzichtextrawerkz.[[#This Row],[Code Taak]]&gt;0,VLOOKUP(Overzichtextrawerkz.[[#This Row],[Code Taak]],$A$8:$B$13,2,FALSE),"")</f>
        <v>Dieptereiniging grootkeukens (zie toelichting onderaan)</v>
      </c>
      <c r="E23" s="21">
        <v>2</v>
      </c>
      <c r="F23" s="305">
        <v>1</v>
      </c>
      <c r="G23" s="249">
        <f>VLOOKUP(Overzichtextrawerkz.[[#This Row],[Code Taak]],Invulextrawerkz[],3,3)*E23*F23</f>
        <v>0</v>
      </c>
      <c r="H23" s="249">
        <f>Overzichtextrawerkz.[[#This Row],[Kosten/jaar excl. BTW]]*1.21</f>
        <v>0</v>
      </c>
    </row>
    <row r="24" spans="1:8" ht="15" customHeight="1">
      <c r="A24" s="191"/>
      <c r="B24" s="192" t="s">
        <v>32</v>
      </c>
      <c r="C24" s="191"/>
      <c r="D24" s="193"/>
      <c r="E24" s="194"/>
      <c r="F24" s="191"/>
      <c r="G24" s="195">
        <f>SUBTOTAL(109,Overzichtextrawerkz.[Kosten/jaar excl. BTW])</f>
        <v>0</v>
      </c>
      <c r="H24" s="195">
        <f>SUBTOTAL(109,Overzichtextrawerkz.[Kosten/jaar incl. BTW])</f>
        <v>0</v>
      </c>
    </row>
    <row r="25" spans="1:8">
      <c r="A25" s="37"/>
      <c r="C25" s="35"/>
      <c r="D25" s="35"/>
      <c r="E25" s="35"/>
      <c r="F25" s="122"/>
      <c r="G25" s="41"/>
      <c r="H25" s="36"/>
    </row>
    <row r="27" spans="1:8">
      <c r="B27" s="37" t="s">
        <v>2598</v>
      </c>
      <c r="E27" s="96"/>
    </row>
    <row r="28" spans="1:8" ht="11.25" customHeight="1">
      <c r="B28" s="440" t="s">
        <v>2592</v>
      </c>
      <c r="C28" s="441"/>
      <c r="D28" s="441"/>
      <c r="E28" s="441"/>
      <c r="F28" s="441"/>
      <c r="G28" s="442"/>
    </row>
    <row r="29" spans="1:8">
      <c r="B29" s="443"/>
      <c r="C29" s="444"/>
      <c r="D29" s="444"/>
      <c r="E29" s="444"/>
      <c r="F29" s="444"/>
      <c r="G29" s="445"/>
    </row>
    <row r="30" spans="1:8">
      <c r="C30" s="4"/>
      <c r="F30" s="4"/>
    </row>
  </sheetData>
  <mergeCells count="4">
    <mergeCell ref="E7:I7"/>
    <mergeCell ref="A2:I2"/>
    <mergeCell ref="A1:I1"/>
    <mergeCell ref="B28:G29"/>
  </mergeCells>
  <phoneticPr fontId="9" type="noConversion"/>
  <pageMargins left="0.7" right="0.7" top="0.75" bottom="0.75" header="0.3" footer="0.3"/>
  <pageSetup paperSize="9" scale="35"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I9" sqref="I9"/>
    </sheetView>
  </sheetViews>
  <sheetFormatPr defaultColWidth="9.140625" defaultRowHeight="18.75" customHeight="1"/>
  <cols>
    <col min="1" max="1" width="9.140625" style="60"/>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22" t="s">
        <v>170</v>
      </c>
      <c r="B1" s="422"/>
      <c r="C1" s="422"/>
      <c r="D1" s="422"/>
      <c r="E1" s="422"/>
      <c r="F1" s="422"/>
      <c r="G1" s="422"/>
      <c r="H1" s="422"/>
      <c r="I1" s="422"/>
    </row>
    <row r="2" spans="1:9" s="9" customFormat="1" ht="18.75" customHeight="1">
      <c r="A2" s="449" t="s">
        <v>203</v>
      </c>
      <c r="B2" s="421"/>
      <c r="C2" s="421"/>
      <c r="D2" s="421"/>
      <c r="E2" s="421"/>
      <c r="F2" s="421"/>
      <c r="G2" s="421"/>
      <c r="H2" s="421"/>
      <c r="I2" s="450"/>
    </row>
    <row r="3" spans="1:9" s="67" customFormat="1" ht="18.75" customHeight="1">
      <c r="A3" s="66"/>
    </row>
    <row r="4" spans="1:9" s="67" customFormat="1" ht="18.75" customHeight="1">
      <c r="A4" s="67" t="s">
        <v>169</v>
      </c>
    </row>
    <row r="5" spans="1:9" s="67" customFormat="1" ht="18.75" customHeight="1">
      <c r="A5" s="67" t="s">
        <v>171</v>
      </c>
    </row>
    <row r="6" spans="1:9" s="67" customFormat="1" ht="18.75" customHeight="1">
      <c r="A6" s="67" t="s">
        <v>216</v>
      </c>
    </row>
    <row r="7" spans="1:9" s="67" customFormat="1" ht="18.75" customHeight="1">
      <c r="A7" s="66"/>
      <c r="E7" s="437" t="s">
        <v>249</v>
      </c>
      <c r="F7" s="437"/>
      <c r="G7" s="437"/>
      <c r="H7" s="437"/>
      <c r="I7" s="437"/>
    </row>
    <row r="8" spans="1:9" s="31" customFormat="1" ht="26.25" customHeight="1">
      <c r="A8" s="64"/>
      <c r="B8" s="63" t="s">
        <v>172</v>
      </c>
      <c r="C8" s="63" t="s">
        <v>142</v>
      </c>
      <c r="D8" s="33" t="s">
        <v>168</v>
      </c>
      <c r="E8" s="47" t="s">
        <v>266</v>
      </c>
      <c r="F8" s="47" t="s">
        <v>1265</v>
      </c>
      <c r="G8" s="47" t="s">
        <v>1316</v>
      </c>
      <c r="H8" s="47" t="s">
        <v>1595</v>
      </c>
      <c r="I8" s="47" t="s">
        <v>2589</v>
      </c>
    </row>
    <row r="9" spans="1:9" ht="18.75" customHeight="1">
      <c r="A9" s="446" t="s">
        <v>186</v>
      </c>
      <c r="B9" s="63" t="s">
        <v>174</v>
      </c>
      <c r="C9" s="63" t="s">
        <v>173</v>
      </c>
      <c r="D9" s="65">
        <v>0</v>
      </c>
      <c r="E9" s="355" t="e">
        <f>InvulRegie[[#This Row],[Prijs excl. BTW]]*Tariefsopbouw!$I$37+InvulRegie[[#This Row],[Prijs excl. BTW]]</f>
        <v>#DIV/0!</v>
      </c>
      <c r="F9" s="355" t="e">
        <f>E9*Tariefsopbouw!$K$37+'Regie en afroep'!E9</f>
        <v>#DIV/0!</v>
      </c>
      <c r="G9" s="355" t="e">
        <f>F9*Tariefsopbouw!$M$37+'Regie en afroep'!F9</f>
        <v>#DIV/0!</v>
      </c>
      <c r="H9" s="355" t="e">
        <f>G9*Tariefsopbouw!$O$37+'Regie en afroep'!G9</f>
        <v>#DIV/0!</v>
      </c>
      <c r="I9" s="355" t="e">
        <f>H9*Tariefsopbouw!$Q$37+H9</f>
        <v>#DIV/0!</v>
      </c>
    </row>
    <row r="10" spans="1:9" ht="18.75" customHeight="1">
      <c r="A10" s="447"/>
      <c r="B10" s="63" t="s">
        <v>175</v>
      </c>
      <c r="C10" s="63" t="s">
        <v>173</v>
      </c>
      <c r="D10" s="65">
        <v>0</v>
      </c>
      <c r="E10" s="355" t="e">
        <f>InvulRegie[[#This Row],[Prijs excl. BTW]]*Tariefsopbouw!$I$37+InvulRegie[[#This Row],[Prijs excl. BTW]]</f>
        <v>#DIV/0!</v>
      </c>
      <c r="F10" s="355" t="e">
        <f>E10*Tariefsopbouw!$K$37+'Regie en afroep'!E10</f>
        <v>#DIV/0!</v>
      </c>
      <c r="G10" s="355" t="e">
        <f>F10*Tariefsopbouw!$M$37+'Regie en afroep'!F10</f>
        <v>#DIV/0!</v>
      </c>
      <c r="H10" s="355" t="e">
        <f>G10*Tariefsopbouw!$O$37+'Regie en afroep'!G10</f>
        <v>#DIV/0!</v>
      </c>
      <c r="I10" s="355" t="e">
        <f>H10*Tariefsopbouw!$Q$37+H10</f>
        <v>#DIV/0!</v>
      </c>
    </row>
    <row r="11" spans="1:9" ht="18.75" customHeight="1">
      <c r="A11" s="447"/>
      <c r="B11" s="62" t="s">
        <v>176</v>
      </c>
      <c r="C11" s="63" t="s">
        <v>173</v>
      </c>
      <c r="D11" s="65">
        <v>0</v>
      </c>
      <c r="E11" s="355" t="e">
        <f>InvulRegie[[#This Row],[Prijs excl. BTW]]*Tariefsopbouw!$I$37+InvulRegie[[#This Row],[Prijs excl. BTW]]</f>
        <v>#DIV/0!</v>
      </c>
      <c r="F11" s="355" t="e">
        <f>E11*Tariefsopbouw!$K$37+'Regie en afroep'!E11</f>
        <v>#DIV/0!</v>
      </c>
      <c r="G11" s="355" t="e">
        <f>F11*Tariefsopbouw!$M$37+'Regie en afroep'!F11</f>
        <v>#DIV/0!</v>
      </c>
      <c r="H11" s="355" t="e">
        <f>G11*Tariefsopbouw!$O$37+'Regie en afroep'!G11</f>
        <v>#DIV/0!</v>
      </c>
      <c r="I11" s="355" t="e">
        <f>H11*Tariefsopbouw!$Q$37+H11</f>
        <v>#DIV/0!</v>
      </c>
    </row>
    <row r="12" spans="1:9" ht="18.75" customHeight="1">
      <c r="A12" s="447"/>
      <c r="B12" s="62" t="s">
        <v>193</v>
      </c>
      <c r="C12" s="63" t="s">
        <v>173</v>
      </c>
      <c r="D12" s="65">
        <v>0</v>
      </c>
      <c r="E12" s="355" t="e">
        <f>InvulRegie[[#This Row],[Prijs excl. BTW]]*Tariefsopbouw!$I$37+InvulRegie[[#This Row],[Prijs excl. BTW]]</f>
        <v>#DIV/0!</v>
      </c>
      <c r="F12" s="355" t="e">
        <f>E12*Tariefsopbouw!$K$37+'Regie en afroep'!E12</f>
        <v>#DIV/0!</v>
      </c>
      <c r="G12" s="355" t="e">
        <f>F12*Tariefsopbouw!$M$37+'Regie en afroep'!F12</f>
        <v>#DIV/0!</v>
      </c>
      <c r="H12" s="355" t="e">
        <f>G12*Tariefsopbouw!$O$37+'Regie en afroep'!G12</f>
        <v>#DIV/0!</v>
      </c>
      <c r="I12" s="355" t="e">
        <f>H12*Tariefsopbouw!$Q$37+H12</f>
        <v>#DIV/0!</v>
      </c>
    </row>
    <row r="13" spans="1:9" ht="18.75" customHeight="1">
      <c r="A13" s="448"/>
      <c r="B13" s="63" t="s">
        <v>182</v>
      </c>
      <c r="C13" s="63" t="s">
        <v>173</v>
      </c>
      <c r="D13" s="65">
        <v>0</v>
      </c>
      <c r="E13" s="355" t="e">
        <f>InvulRegie[[#This Row],[Prijs excl. BTW]]*Tariefsopbouw!$I$37+InvulRegie[[#This Row],[Prijs excl. BTW]]</f>
        <v>#DIV/0!</v>
      </c>
      <c r="F13" s="355" t="e">
        <f>E13*Tariefsopbouw!$K$37+'Regie en afroep'!E13</f>
        <v>#DIV/0!</v>
      </c>
      <c r="G13" s="355" t="e">
        <f>F13*Tariefsopbouw!$M$37+'Regie en afroep'!F13</f>
        <v>#DIV/0!</v>
      </c>
      <c r="H13" s="355" t="e">
        <f>G13*Tariefsopbouw!$O$37+'Regie en afroep'!G13</f>
        <v>#DIV/0!</v>
      </c>
      <c r="I13" s="355" t="e">
        <f>H13*Tariefsopbouw!$Q$37+H13</f>
        <v>#DIV/0!</v>
      </c>
    </row>
    <row r="14" spans="1:9" ht="18.75" customHeight="1">
      <c r="A14" s="446" t="s">
        <v>122</v>
      </c>
      <c r="B14" s="63" t="s">
        <v>40</v>
      </c>
      <c r="C14" s="63" t="s">
        <v>41</v>
      </c>
      <c r="D14" s="65">
        <v>0</v>
      </c>
      <c r="E14" s="355" t="e">
        <f>InvulRegie[[#This Row],[Prijs excl. BTW]]*Tariefsopbouw!$I$37+InvulRegie[[#This Row],[Prijs excl. BTW]]</f>
        <v>#DIV/0!</v>
      </c>
      <c r="F14" s="355" t="e">
        <f>E14*Tariefsopbouw!$K$37+'Regie en afroep'!E14</f>
        <v>#DIV/0!</v>
      </c>
      <c r="G14" s="355" t="e">
        <f>F14*Tariefsopbouw!$M$37+'Regie en afroep'!F14</f>
        <v>#DIV/0!</v>
      </c>
      <c r="H14" s="355" t="e">
        <f>G14*Tariefsopbouw!$O$37+'Regie en afroep'!G14</f>
        <v>#DIV/0!</v>
      </c>
      <c r="I14" s="355" t="e">
        <f>H14*Tariefsopbouw!$Q$37+H14</f>
        <v>#DIV/0!</v>
      </c>
    </row>
    <row r="15" spans="1:9" ht="18.75" customHeight="1">
      <c r="A15" s="447"/>
      <c r="B15" s="63" t="s">
        <v>42</v>
      </c>
      <c r="C15" s="63" t="s">
        <v>177</v>
      </c>
      <c r="D15" s="65">
        <v>0</v>
      </c>
      <c r="E15" s="355" t="e">
        <f>InvulRegie[[#This Row],[Prijs excl. BTW]]*Tariefsopbouw!$I$37+InvulRegie[[#This Row],[Prijs excl. BTW]]</f>
        <v>#DIV/0!</v>
      </c>
      <c r="F15" s="355" t="e">
        <f>E15*Tariefsopbouw!$K$37+'Regie en afroep'!E15</f>
        <v>#DIV/0!</v>
      </c>
      <c r="G15" s="355" t="e">
        <f>F15*Tariefsopbouw!$M$37+'Regie en afroep'!F15</f>
        <v>#DIV/0!</v>
      </c>
      <c r="H15" s="355" t="e">
        <f>G15*Tariefsopbouw!$O$37+'Regie en afroep'!G15</f>
        <v>#DIV/0!</v>
      </c>
      <c r="I15" s="355" t="e">
        <f>H15*Tariefsopbouw!$Q$37+H15</f>
        <v>#DIV/0!</v>
      </c>
    </row>
    <row r="16" spans="1:9" ht="18.75" customHeight="1">
      <c r="A16" s="447"/>
      <c r="B16" s="63" t="s">
        <v>178</v>
      </c>
      <c r="C16" s="63" t="s">
        <v>177</v>
      </c>
      <c r="D16" s="65">
        <v>0</v>
      </c>
      <c r="E16" s="355" t="e">
        <f>InvulRegie[[#This Row],[Prijs excl. BTW]]*Tariefsopbouw!$I$37+InvulRegie[[#This Row],[Prijs excl. BTW]]</f>
        <v>#DIV/0!</v>
      </c>
      <c r="F16" s="355" t="e">
        <f>E16*Tariefsopbouw!$K$37+'Regie en afroep'!E16</f>
        <v>#DIV/0!</v>
      </c>
      <c r="G16" s="355" t="e">
        <f>F16*Tariefsopbouw!$M$37+'Regie en afroep'!F16</f>
        <v>#DIV/0!</v>
      </c>
      <c r="H16" s="355" t="e">
        <f>G16*Tariefsopbouw!$O$37+'Regie en afroep'!G16</f>
        <v>#DIV/0!</v>
      </c>
      <c r="I16" s="355" t="e">
        <f>H16*Tariefsopbouw!$Q$37+H16</f>
        <v>#DIV/0!</v>
      </c>
    </row>
    <row r="17" spans="1:9" ht="18.75" customHeight="1">
      <c r="A17" s="447"/>
      <c r="B17" s="63" t="s">
        <v>179</v>
      </c>
      <c r="C17" s="63" t="s">
        <v>43</v>
      </c>
      <c r="D17" s="65">
        <v>0</v>
      </c>
      <c r="E17" s="355" t="e">
        <f>InvulRegie[[#This Row],[Prijs excl. BTW]]*Tariefsopbouw!$I$37+InvulRegie[[#This Row],[Prijs excl. BTW]]</f>
        <v>#DIV/0!</v>
      </c>
      <c r="F17" s="355" t="e">
        <f>E17*Tariefsopbouw!$K$37+'Regie en afroep'!E17</f>
        <v>#DIV/0!</v>
      </c>
      <c r="G17" s="355" t="e">
        <f>F17*Tariefsopbouw!$M$37+'Regie en afroep'!F17</f>
        <v>#DIV/0!</v>
      </c>
      <c r="H17" s="355" t="e">
        <f>G17*Tariefsopbouw!$O$37+'Regie en afroep'!G17</f>
        <v>#DIV/0!</v>
      </c>
      <c r="I17" s="355" t="e">
        <f>H17*Tariefsopbouw!$Q$37+H17</f>
        <v>#DIV/0!</v>
      </c>
    </row>
    <row r="18" spans="1:9" ht="18.75" customHeight="1">
      <c r="A18" s="447"/>
      <c r="B18" s="63" t="s">
        <v>231</v>
      </c>
      <c r="C18" s="63" t="s">
        <v>43</v>
      </c>
      <c r="D18" s="65">
        <v>0</v>
      </c>
      <c r="E18" s="355" t="e">
        <f>InvulRegie[[#This Row],[Prijs excl. BTW]]*Tariefsopbouw!$I$37+InvulRegie[[#This Row],[Prijs excl. BTW]]</f>
        <v>#DIV/0!</v>
      </c>
      <c r="F18" s="355" t="e">
        <f>E18*Tariefsopbouw!$K$37+'Regie en afroep'!E18</f>
        <v>#DIV/0!</v>
      </c>
      <c r="G18" s="355" t="e">
        <f>F18*Tariefsopbouw!$M$37+'Regie en afroep'!F18</f>
        <v>#DIV/0!</v>
      </c>
      <c r="H18" s="355" t="e">
        <f>G18*Tariefsopbouw!$O$37+'Regie en afroep'!G18</f>
        <v>#DIV/0!</v>
      </c>
      <c r="I18" s="355" t="e">
        <f>H18*Tariefsopbouw!$Q$37+H18</f>
        <v>#DIV/0!</v>
      </c>
    </row>
    <row r="19" spans="1:9" ht="18.75" customHeight="1">
      <c r="A19" s="447"/>
      <c r="B19" s="63" t="s">
        <v>180</v>
      </c>
      <c r="C19" s="63" t="s">
        <v>43</v>
      </c>
      <c r="D19" s="65">
        <v>0</v>
      </c>
      <c r="E19" s="355" t="e">
        <f>InvulRegie[[#This Row],[Prijs excl. BTW]]*Tariefsopbouw!$I$37+InvulRegie[[#This Row],[Prijs excl. BTW]]</f>
        <v>#DIV/0!</v>
      </c>
      <c r="F19" s="355" t="e">
        <f>E19*Tariefsopbouw!$K$37+'Regie en afroep'!E19</f>
        <v>#DIV/0!</v>
      </c>
      <c r="G19" s="355" t="e">
        <f>F19*Tariefsopbouw!$M$37+'Regie en afroep'!F19</f>
        <v>#DIV/0!</v>
      </c>
      <c r="H19" s="355" t="e">
        <f>G19*Tariefsopbouw!$O$37+'Regie en afroep'!G19</f>
        <v>#DIV/0!</v>
      </c>
      <c r="I19" s="355" t="e">
        <f>H19*Tariefsopbouw!$Q$37+H19</f>
        <v>#DIV/0!</v>
      </c>
    </row>
    <row r="20" spans="1:9" ht="18.75" customHeight="1">
      <c r="A20" s="448"/>
      <c r="B20" s="63" t="s">
        <v>181</v>
      </c>
      <c r="C20" s="63" t="s">
        <v>43</v>
      </c>
      <c r="D20" s="65">
        <v>0</v>
      </c>
      <c r="E20" s="355" t="e">
        <f>InvulRegie[[#This Row],[Prijs excl. BTW]]*Tariefsopbouw!$I$37+InvulRegie[[#This Row],[Prijs excl. BTW]]</f>
        <v>#DIV/0!</v>
      </c>
      <c r="F20" s="355" t="e">
        <f>E20*Tariefsopbouw!$K$37+'Regie en afroep'!E20</f>
        <v>#DIV/0!</v>
      </c>
      <c r="G20" s="355" t="e">
        <f>F20*Tariefsopbouw!$M$37+'Regie en afroep'!F20</f>
        <v>#DIV/0!</v>
      </c>
      <c r="H20" s="355" t="e">
        <f>G20*Tariefsopbouw!$O$37+'Regie en afroep'!G20</f>
        <v>#DIV/0!</v>
      </c>
      <c r="I20" s="355" t="e">
        <f>H20*Tariefsopbouw!$Q$37+H20</f>
        <v>#DIV/0!</v>
      </c>
    </row>
    <row r="21" spans="1:9" ht="18.75" customHeight="1">
      <c r="A21" s="446" t="s">
        <v>183</v>
      </c>
      <c r="B21" s="63" t="s">
        <v>56</v>
      </c>
      <c r="C21" s="63" t="s">
        <v>48</v>
      </c>
      <c r="D21" s="65">
        <v>0</v>
      </c>
      <c r="E21" s="355" t="e">
        <f>InvulRegie[[#This Row],[Prijs excl. BTW]]*Tariefsopbouw!$I$37+InvulRegie[[#This Row],[Prijs excl. BTW]]</f>
        <v>#DIV/0!</v>
      </c>
      <c r="F21" s="355" t="e">
        <f>E21*Tariefsopbouw!$K$37+'Regie en afroep'!E21</f>
        <v>#DIV/0!</v>
      </c>
      <c r="G21" s="355" t="e">
        <f>F21*Tariefsopbouw!$M$37+'Regie en afroep'!F21</f>
        <v>#DIV/0!</v>
      </c>
      <c r="H21" s="355" t="e">
        <f>G21*Tariefsopbouw!$O$37+'Regie en afroep'!G21</f>
        <v>#DIV/0!</v>
      </c>
      <c r="I21" s="355" t="e">
        <f>H21*Tariefsopbouw!$Q$37+H21</f>
        <v>#DIV/0!</v>
      </c>
    </row>
    <row r="22" spans="1:9" ht="18.75" customHeight="1">
      <c r="A22" s="448"/>
      <c r="B22" s="63" t="s">
        <v>44</v>
      </c>
      <c r="C22" s="63" t="s">
        <v>67</v>
      </c>
      <c r="D22" s="65">
        <v>0</v>
      </c>
      <c r="E22" s="355" t="e">
        <f>InvulRegie[[#This Row],[Prijs excl. BTW]]*Tariefsopbouw!$I$37+InvulRegie[[#This Row],[Prijs excl. BTW]]</f>
        <v>#DIV/0!</v>
      </c>
      <c r="F22" s="355" t="e">
        <f>E22*Tariefsopbouw!$K$37+'Regie en afroep'!E22</f>
        <v>#DIV/0!</v>
      </c>
      <c r="G22" s="355" t="e">
        <f>F22*Tariefsopbouw!$M$37+'Regie en afroep'!F22</f>
        <v>#DIV/0!</v>
      </c>
      <c r="H22" s="355" t="e">
        <f>G22*Tariefsopbouw!$O$37+'Regie en afroep'!G22</f>
        <v>#DIV/0!</v>
      </c>
      <c r="I22" s="355" t="e">
        <f>H22*Tariefsopbouw!$Q$37+H22</f>
        <v>#DIV/0!</v>
      </c>
    </row>
    <row r="23" spans="1:9" ht="18.75" customHeight="1">
      <c r="A23" s="446" t="s">
        <v>194</v>
      </c>
      <c r="B23" s="63" t="s">
        <v>184</v>
      </c>
      <c r="C23" s="63" t="s">
        <v>185</v>
      </c>
      <c r="D23" s="65">
        <v>0</v>
      </c>
      <c r="E23" s="355" t="e">
        <f>InvulRegie[[#This Row],[Prijs excl. BTW]]*Tariefsopbouw!$I$37+InvulRegie[[#This Row],[Prijs excl. BTW]]</f>
        <v>#DIV/0!</v>
      </c>
      <c r="F23" s="355" t="e">
        <f>E23*Tariefsopbouw!$K$37+'Regie en afroep'!E23</f>
        <v>#DIV/0!</v>
      </c>
      <c r="G23" s="355" t="e">
        <f>F23*Tariefsopbouw!$M$37+'Regie en afroep'!F23</f>
        <v>#DIV/0!</v>
      </c>
      <c r="H23" s="355" t="e">
        <f>G23*Tariefsopbouw!$O$37+'Regie en afroep'!G23</f>
        <v>#DIV/0!</v>
      </c>
      <c r="I23" s="355" t="e">
        <f>H23*Tariefsopbouw!$Q$37+H23</f>
        <v>#DIV/0!</v>
      </c>
    </row>
    <row r="24" spans="1:9" ht="18.75" customHeight="1">
      <c r="A24" s="447"/>
      <c r="B24" s="63" t="s">
        <v>224</v>
      </c>
      <c r="C24" s="63" t="s">
        <v>185</v>
      </c>
      <c r="D24" s="65">
        <v>0</v>
      </c>
      <c r="E24" s="355" t="e">
        <f>InvulRegie[[#This Row],[Prijs excl. BTW]]*Tariefsopbouw!$I$37+InvulRegie[[#This Row],[Prijs excl. BTW]]</f>
        <v>#DIV/0!</v>
      </c>
      <c r="F24" s="355" t="e">
        <f>E24*Tariefsopbouw!$K$37+'Regie en afroep'!E24</f>
        <v>#DIV/0!</v>
      </c>
      <c r="G24" s="355" t="e">
        <f>F24*Tariefsopbouw!$M$37+'Regie en afroep'!F24</f>
        <v>#DIV/0!</v>
      </c>
      <c r="H24" s="355" t="e">
        <f>G24*Tariefsopbouw!$O$37+'Regie en afroep'!G24</f>
        <v>#DIV/0!</v>
      </c>
      <c r="I24" s="355" t="e">
        <f>H24*Tariefsopbouw!$Q$37+H24</f>
        <v>#DIV/0!</v>
      </c>
    </row>
    <row r="25" spans="1:9" ht="18.75" customHeight="1">
      <c r="A25" s="447"/>
      <c r="B25" s="63" t="s">
        <v>226</v>
      </c>
      <c r="C25" s="63" t="s">
        <v>185</v>
      </c>
      <c r="D25" s="65">
        <v>0</v>
      </c>
      <c r="E25" s="355" t="e">
        <f>InvulRegie[[#This Row],[Prijs excl. BTW]]*Tariefsopbouw!$I$37+InvulRegie[[#This Row],[Prijs excl. BTW]]</f>
        <v>#DIV/0!</v>
      </c>
      <c r="F25" s="355" t="e">
        <f>E25*Tariefsopbouw!$K$37+'Regie en afroep'!E25</f>
        <v>#DIV/0!</v>
      </c>
      <c r="G25" s="355" t="e">
        <f>F25*Tariefsopbouw!$M$37+'Regie en afroep'!F25</f>
        <v>#DIV/0!</v>
      </c>
      <c r="H25" s="355" t="e">
        <f>G25*Tariefsopbouw!$O$37+'Regie en afroep'!G25</f>
        <v>#DIV/0!</v>
      </c>
      <c r="I25" s="355" t="e">
        <f>H25*Tariefsopbouw!$Q$37+H25</f>
        <v>#DIV/0!</v>
      </c>
    </row>
    <row r="26" spans="1:9" ht="18.75" customHeight="1">
      <c r="A26" s="447"/>
      <c r="B26" s="63" t="s">
        <v>225</v>
      </c>
      <c r="C26" s="63" t="s">
        <v>185</v>
      </c>
      <c r="D26" s="65">
        <v>0</v>
      </c>
      <c r="E26" s="355" t="e">
        <f>InvulRegie[[#This Row],[Prijs excl. BTW]]*Tariefsopbouw!$I$37+InvulRegie[[#This Row],[Prijs excl. BTW]]</f>
        <v>#DIV/0!</v>
      </c>
      <c r="F26" s="355" t="e">
        <f>E26*Tariefsopbouw!$K$37+'Regie en afroep'!E26</f>
        <v>#DIV/0!</v>
      </c>
      <c r="G26" s="355" t="e">
        <f>F26*Tariefsopbouw!$M$37+'Regie en afroep'!F26</f>
        <v>#DIV/0!</v>
      </c>
      <c r="H26" s="355" t="e">
        <f>G26*Tariefsopbouw!$O$37+'Regie en afroep'!G26</f>
        <v>#DIV/0!</v>
      </c>
      <c r="I26" s="355" t="e">
        <f>H26*Tariefsopbouw!$Q$37+H26</f>
        <v>#DIV/0!</v>
      </c>
    </row>
    <row r="27" spans="1:9" ht="18.75" customHeight="1">
      <c r="A27" s="448"/>
      <c r="B27" s="63" t="s">
        <v>47</v>
      </c>
      <c r="C27" s="63" t="s">
        <v>185</v>
      </c>
      <c r="D27" s="65">
        <v>0</v>
      </c>
      <c r="E27" s="355" t="e">
        <f>InvulRegie[[#This Row],[Prijs excl. BTW]]*Tariefsopbouw!$I$37+InvulRegie[[#This Row],[Prijs excl. BTW]]</f>
        <v>#DIV/0!</v>
      </c>
      <c r="F27" s="355" t="e">
        <f>E27*Tariefsopbouw!$K$37+'Regie en afroep'!E27</f>
        <v>#DIV/0!</v>
      </c>
      <c r="G27" s="355" t="e">
        <f>F27*Tariefsopbouw!$M$37+'Regie en afroep'!F27</f>
        <v>#DIV/0!</v>
      </c>
      <c r="H27" s="355" t="e">
        <f>G27*Tariefsopbouw!$O$37+'Regie en afroep'!G27</f>
        <v>#DIV/0!</v>
      </c>
      <c r="I27" s="355" t="e">
        <f>H27*Tariefsopbouw!$Q$37+H27</f>
        <v>#DIV/0!</v>
      </c>
    </row>
    <row r="28" spans="1:9" ht="18.75" customHeight="1">
      <c r="A28" s="446" t="s">
        <v>189</v>
      </c>
      <c r="B28" s="63" t="s">
        <v>49</v>
      </c>
      <c r="C28" s="63" t="s">
        <v>48</v>
      </c>
      <c r="D28" s="65">
        <v>0</v>
      </c>
      <c r="E28" s="355" t="e">
        <f>InvulRegie[[#This Row],[Prijs excl. BTW]]*Tariefsopbouw!$I$37+InvulRegie[[#This Row],[Prijs excl. BTW]]</f>
        <v>#DIV/0!</v>
      </c>
      <c r="F28" s="355" t="e">
        <f>E28*Tariefsopbouw!$K$37+'Regie en afroep'!E28</f>
        <v>#DIV/0!</v>
      </c>
      <c r="G28" s="355" t="e">
        <f>F28*Tariefsopbouw!$M$37+'Regie en afroep'!F28</f>
        <v>#DIV/0!</v>
      </c>
      <c r="H28" s="355" t="e">
        <f>G28*Tariefsopbouw!$O$37+'Regie en afroep'!G28</f>
        <v>#DIV/0!</v>
      </c>
      <c r="I28" s="355" t="e">
        <f>H28*Tariefsopbouw!$Q$37+H28</f>
        <v>#DIV/0!</v>
      </c>
    </row>
    <row r="29" spans="1:9" ht="18.75" customHeight="1">
      <c r="A29" s="447"/>
      <c r="B29" s="63" t="s">
        <v>50</v>
      </c>
      <c r="C29" s="63" t="s">
        <v>48</v>
      </c>
      <c r="D29" s="65">
        <v>0</v>
      </c>
      <c r="E29" s="355" t="e">
        <f>InvulRegie[[#This Row],[Prijs excl. BTW]]*Tariefsopbouw!$I$37+InvulRegie[[#This Row],[Prijs excl. BTW]]</f>
        <v>#DIV/0!</v>
      </c>
      <c r="F29" s="355" t="e">
        <f>E29*Tariefsopbouw!$K$37+'Regie en afroep'!E29</f>
        <v>#DIV/0!</v>
      </c>
      <c r="G29" s="355" t="e">
        <f>F29*Tariefsopbouw!$M$37+'Regie en afroep'!F29</f>
        <v>#DIV/0!</v>
      </c>
      <c r="H29" s="355" t="e">
        <f>G29*Tariefsopbouw!$O$37+'Regie en afroep'!G29</f>
        <v>#DIV/0!</v>
      </c>
      <c r="I29" s="355" t="e">
        <f>H29*Tariefsopbouw!$Q$37+H29</f>
        <v>#DIV/0!</v>
      </c>
    </row>
    <row r="30" spans="1:9" ht="18.75" customHeight="1">
      <c r="A30" s="447"/>
      <c r="B30" s="63" t="s">
        <v>51</v>
      </c>
      <c r="C30" s="63" t="s">
        <v>48</v>
      </c>
      <c r="D30" s="65">
        <v>0</v>
      </c>
      <c r="E30" s="355" t="e">
        <f>InvulRegie[[#This Row],[Prijs excl. BTW]]*Tariefsopbouw!$I$37+InvulRegie[[#This Row],[Prijs excl. BTW]]</f>
        <v>#DIV/0!</v>
      </c>
      <c r="F30" s="355" t="e">
        <f>E30*Tariefsopbouw!$K$37+'Regie en afroep'!E30</f>
        <v>#DIV/0!</v>
      </c>
      <c r="G30" s="355" t="e">
        <f>F30*Tariefsopbouw!$M$37+'Regie en afroep'!F30</f>
        <v>#DIV/0!</v>
      </c>
      <c r="H30" s="355" t="e">
        <f>G30*Tariefsopbouw!$O$37+'Regie en afroep'!G30</f>
        <v>#DIV/0!</v>
      </c>
      <c r="I30" s="355" t="e">
        <f>H30*Tariefsopbouw!$Q$37+H30</f>
        <v>#DIV/0!</v>
      </c>
    </row>
    <row r="31" spans="1:9" ht="18.75" customHeight="1">
      <c r="A31" s="447"/>
      <c r="B31" s="63" t="s">
        <v>52</v>
      </c>
      <c r="C31" s="63" t="s">
        <v>48</v>
      </c>
      <c r="D31" s="65">
        <v>0</v>
      </c>
      <c r="E31" s="355" t="e">
        <f>InvulRegie[[#This Row],[Prijs excl. BTW]]*Tariefsopbouw!$I$37+InvulRegie[[#This Row],[Prijs excl. BTW]]</f>
        <v>#DIV/0!</v>
      </c>
      <c r="F31" s="355" t="e">
        <f>E31*Tariefsopbouw!$K$37+'Regie en afroep'!E31</f>
        <v>#DIV/0!</v>
      </c>
      <c r="G31" s="355" t="e">
        <f>F31*Tariefsopbouw!$M$37+'Regie en afroep'!F31</f>
        <v>#DIV/0!</v>
      </c>
      <c r="H31" s="355" t="e">
        <f>G31*Tariefsopbouw!$O$37+'Regie en afroep'!G31</f>
        <v>#DIV/0!</v>
      </c>
      <c r="I31" s="355" t="e">
        <f>H31*Tariefsopbouw!$Q$37+H31</f>
        <v>#DIV/0!</v>
      </c>
    </row>
    <row r="32" spans="1:9" ht="18.75" customHeight="1">
      <c r="A32" s="448"/>
      <c r="B32" s="63" t="s">
        <v>45</v>
      </c>
      <c r="C32" s="63" t="s">
        <v>46</v>
      </c>
      <c r="D32" s="65">
        <v>0</v>
      </c>
      <c r="E32" s="355" t="e">
        <f>InvulRegie[[#This Row],[Prijs excl. BTW]]*Tariefsopbouw!$I$37+InvulRegie[[#This Row],[Prijs excl. BTW]]</f>
        <v>#DIV/0!</v>
      </c>
      <c r="F32" s="355" t="e">
        <f>E32*Tariefsopbouw!$K$37+'Regie en afroep'!E32</f>
        <v>#DIV/0!</v>
      </c>
      <c r="G32" s="355" t="e">
        <f>F32*Tariefsopbouw!$M$37+'Regie en afroep'!F32</f>
        <v>#DIV/0!</v>
      </c>
      <c r="H32" s="355" t="e">
        <f>G32*Tariefsopbouw!$O$37+'Regie en afroep'!G32</f>
        <v>#DIV/0!</v>
      </c>
      <c r="I32" s="355" t="e">
        <f>H32*Tariefsopbouw!$Q$37+H32</f>
        <v>#DIV/0!</v>
      </c>
    </row>
    <row r="33" spans="1:9" ht="18.75" customHeight="1">
      <c r="A33" s="451" t="s">
        <v>190</v>
      </c>
      <c r="B33" s="63" t="s">
        <v>53</v>
      </c>
      <c r="C33" s="63" t="s">
        <v>215</v>
      </c>
      <c r="D33" s="65">
        <v>0</v>
      </c>
      <c r="E33" s="355" t="e">
        <f>InvulRegie[[#This Row],[Prijs excl. BTW]]*Tariefsopbouw!$I$37+InvulRegie[[#This Row],[Prijs excl. BTW]]</f>
        <v>#DIV/0!</v>
      </c>
      <c r="F33" s="355" t="e">
        <f>E33*Tariefsopbouw!$K$37+'Regie en afroep'!E33</f>
        <v>#DIV/0!</v>
      </c>
      <c r="G33" s="355" t="e">
        <f>F33*Tariefsopbouw!$M$37+'Regie en afroep'!F33</f>
        <v>#DIV/0!</v>
      </c>
      <c r="H33" s="355" t="e">
        <f>G33*Tariefsopbouw!$O$37+'Regie en afroep'!G33</f>
        <v>#DIV/0!</v>
      </c>
      <c r="I33" s="355" t="e">
        <f>H33*Tariefsopbouw!$Q$37+H33</f>
        <v>#DIV/0!</v>
      </c>
    </row>
    <row r="34" spans="1:9" ht="18.75" customHeight="1">
      <c r="A34" s="452"/>
      <c r="B34" s="63" t="s">
        <v>54</v>
      </c>
      <c r="C34" s="63" t="s">
        <v>55</v>
      </c>
      <c r="D34" s="65">
        <v>0</v>
      </c>
      <c r="E34" s="355" t="e">
        <f>InvulRegie[[#This Row],[Prijs excl. BTW]]*Tariefsopbouw!$I$37+InvulRegie[[#This Row],[Prijs excl. BTW]]</f>
        <v>#DIV/0!</v>
      </c>
      <c r="F34" s="355" t="e">
        <f>E34*Tariefsopbouw!$K$37+'Regie en afroep'!E34</f>
        <v>#DIV/0!</v>
      </c>
      <c r="G34" s="355" t="e">
        <f>F34*Tariefsopbouw!$M$37+'Regie en afroep'!F34</f>
        <v>#DIV/0!</v>
      </c>
      <c r="H34" s="355" t="e">
        <f>G34*Tariefsopbouw!$O$37+'Regie en afroep'!G34</f>
        <v>#DIV/0!</v>
      </c>
      <c r="I34" s="355" t="e">
        <f>H34*Tariefsopbouw!$Q$37+H34</f>
        <v>#DIV/0!</v>
      </c>
    </row>
    <row r="35" spans="1:9" ht="18.75" customHeight="1">
      <c r="A35" s="452"/>
      <c r="B35" s="63" t="s">
        <v>191</v>
      </c>
      <c r="C35" s="63" t="s">
        <v>55</v>
      </c>
      <c r="D35" s="65">
        <v>0</v>
      </c>
      <c r="E35" s="355" t="e">
        <f>InvulRegie[[#This Row],[Prijs excl. BTW]]*Tariefsopbouw!$I$37+InvulRegie[[#This Row],[Prijs excl. BTW]]</f>
        <v>#DIV/0!</v>
      </c>
      <c r="F35" s="355" t="e">
        <f>E35*Tariefsopbouw!$K$37+'Regie en afroep'!E35</f>
        <v>#DIV/0!</v>
      </c>
      <c r="G35" s="355" t="e">
        <f>F35*Tariefsopbouw!$M$37+'Regie en afroep'!F35</f>
        <v>#DIV/0!</v>
      </c>
      <c r="H35" s="355" t="e">
        <f>G35*Tariefsopbouw!$O$37+'Regie en afroep'!G35</f>
        <v>#DIV/0!</v>
      </c>
      <c r="I35" s="355" t="e">
        <f>H35*Tariefsopbouw!$Q$37+H35</f>
        <v>#DIV/0!</v>
      </c>
    </row>
    <row r="36" spans="1:9" ht="18.75" customHeight="1">
      <c r="A36" s="453"/>
      <c r="B36" s="63" t="s">
        <v>192</v>
      </c>
      <c r="C36" s="63" t="s">
        <v>55</v>
      </c>
      <c r="D36" s="65">
        <v>0</v>
      </c>
      <c r="E36" s="355" t="e">
        <f>InvulRegie[[#This Row],[Prijs excl. BTW]]*Tariefsopbouw!$I$37+InvulRegie[[#This Row],[Prijs excl. BTW]]</f>
        <v>#DIV/0!</v>
      </c>
      <c r="F36" s="355" t="e">
        <f>E36*Tariefsopbouw!$K$37+'Regie en afroep'!E36</f>
        <v>#DIV/0!</v>
      </c>
      <c r="G36" s="355" t="e">
        <f>F36*Tariefsopbouw!$M$37+'Regie en afroep'!F36</f>
        <v>#DIV/0!</v>
      </c>
      <c r="H36" s="355" t="e">
        <f>G36*Tariefsopbouw!$O$37+'Regie en afroep'!G36</f>
        <v>#DIV/0!</v>
      </c>
      <c r="I36" s="355" t="e">
        <f>H36*Tariefsopbouw!$Q$37+H36</f>
        <v>#DIV/0!</v>
      </c>
    </row>
    <row r="37" spans="1:9" s="116" customFormat="1" ht="26.25" customHeight="1">
      <c r="A37" s="115"/>
      <c r="B37" s="354" t="s">
        <v>32</v>
      </c>
      <c r="C37" s="354"/>
      <c r="D37" s="354"/>
      <c r="E37" s="354"/>
      <c r="F37" s="354"/>
      <c r="G37" s="354"/>
      <c r="H37" s="354"/>
      <c r="I37" s="354"/>
    </row>
    <row r="39" spans="1:9" ht="18.75" customHeight="1" thickBot="1"/>
    <row r="40" spans="1:9" ht="15.75">
      <c r="A40" s="342"/>
      <c r="B40" s="343" t="s">
        <v>1590</v>
      </c>
      <c r="C40" s="343"/>
      <c r="D40" s="344"/>
    </row>
    <row r="41" spans="1:9" ht="12.75">
      <c r="A41" s="345"/>
      <c r="B41" s="346"/>
      <c r="C41" s="346"/>
      <c r="D41" s="347"/>
    </row>
    <row r="42" spans="1:9" ht="12.75">
      <c r="A42" s="345"/>
      <c r="B42" s="348" t="s">
        <v>1558</v>
      </c>
      <c r="C42" s="346"/>
      <c r="D42" s="347"/>
    </row>
    <row r="43" spans="1:9" ht="12.75">
      <c r="A43" s="345"/>
      <c r="B43" s="346"/>
      <c r="C43" s="346"/>
      <c r="D43" s="347"/>
    </row>
    <row r="44" spans="1:9" ht="12.75">
      <c r="A44" s="345"/>
      <c r="B44" s="349" t="s">
        <v>1559</v>
      </c>
      <c r="C44" s="346"/>
      <c r="D44" s="347"/>
    </row>
    <row r="45" spans="1:9" ht="12.75">
      <c r="A45" s="345"/>
      <c r="B45" s="346"/>
      <c r="C45" s="346"/>
      <c r="D45" s="347"/>
    </row>
    <row r="46" spans="1:9" ht="12.75">
      <c r="A46" s="350" t="s">
        <v>1560</v>
      </c>
      <c r="B46" s="454" t="s">
        <v>1561</v>
      </c>
      <c r="C46" s="454"/>
      <c r="D46" s="455"/>
    </row>
    <row r="47" spans="1:9" ht="12.75">
      <c r="A47" s="350" t="s">
        <v>1560</v>
      </c>
      <c r="B47" s="454" t="s">
        <v>1562</v>
      </c>
      <c r="C47" s="454" t="s">
        <v>1562</v>
      </c>
      <c r="D47" s="455" t="s">
        <v>1562</v>
      </c>
    </row>
    <row r="48" spans="1:9" ht="12.75">
      <c r="A48" s="350" t="s">
        <v>1560</v>
      </c>
      <c r="B48" s="454" t="s">
        <v>1563</v>
      </c>
      <c r="C48" s="454" t="s">
        <v>1563</v>
      </c>
      <c r="D48" s="455" t="s">
        <v>1563</v>
      </c>
    </row>
    <row r="49" spans="1:4" ht="12.75">
      <c r="A49" s="350" t="s">
        <v>1560</v>
      </c>
      <c r="B49" s="454" t="s">
        <v>1564</v>
      </c>
      <c r="C49" s="454" t="s">
        <v>1564</v>
      </c>
      <c r="D49" s="455" t="s">
        <v>1564</v>
      </c>
    </row>
    <row r="50" spans="1:4" ht="12.75">
      <c r="A50" s="350" t="s">
        <v>1560</v>
      </c>
      <c r="B50" s="454" t="s">
        <v>1565</v>
      </c>
      <c r="C50" s="454" t="s">
        <v>1565</v>
      </c>
      <c r="D50" s="455" t="s">
        <v>1565</v>
      </c>
    </row>
    <row r="51" spans="1:4" ht="12.75">
      <c r="A51" s="350" t="s">
        <v>1560</v>
      </c>
      <c r="B51" s="454" t="s">
        <v>1566</v>
      </c>
      <c r="C51" s="454" t="s">
        <v>1566</v>
      </c>
      <c r="D51" s="455" t="s">
        <v>1566</v>
      </c>
    </row>
    <row r="52" spans="1:4" ht="12.75">
      <c r="A52" s="350" t="s">
        <v>1560</v>
      </c>
      <c r="B52" s="454" t="s">
        <v>1567</v>
      </c>
      <c r="C52" s="454" t="s">
        <v>1567</v>
      </c>
      <c r="D52" s="455" t="s">
        <v>1567</v>
      </c>
    </row>
    <row r="53" spans="1:4" ht="12.75">
      <c r="A53" s="350" t="s">
        <v>1560</v>
      </c>
      <c r="B53" s="454" t="s">
        <v>1568</v>
      </c>
      <c r="C53" s="454" t="s">
        <v>1568</v>
      </c>
      <c r="D53" s="455" t="s">
        <v>1568</v>
      </c>
    </row>
    <row r="54" spans="1:4" ht="12.75">
      <c r="A54" s="350" t="s">
        <v>1560</v>
      </c>
      <c r="B54" s="454" t="s">
        <v>1569</v>
      </c>
      <c r="C54" s="454" t="s">
        <v>1569</v>
      </c>
      <c r="D54" s="455" t="s">
        <v>1569</v>
      </c>
    </row>
    <row r="55" spans="1:4" ht="12.75">
      <c r="A55" s="350" t="s">
        <v>1560</v>
      </c>
      <c r="B55" s="454" t="s">
        <v>1570</v>
      </c>
      <c r="C55" s="454" t="s">
        <v>1570</v>
      </c>
      <c r="D55" s="455" t="s">
        <v>1570</v>
      </c>
    </row>
    <row r="56" spans="1:4" ht="12.75">
      <c r="A56" s="350" t="s">
        <v>1560</v>
      </c>
      <c r="B56" s="454" t="s">
        <v>1571</v>
      </c>
      <c r="C56" s="454" t="s">
        <v>1571</v>
      </c>
      <c r="D56" s="455" t="s">
        <v>1571</v>
      </c>
    </row>
    <row r="57" spans="1:4" ht="12.75">
      <c r="A57" s="350" t="s">
        <v>1560</v>
      </c>
      <c r="B57" s="454" t="s">
        <v>1572</v>
      </c>
      <c r="C57" s="454" t="s">
        <v>1572</v>
      </c>
      <c r="D57" s="455" t="s">
        <v>1572</v>
      </c>
    </row>
    <row r="58" spans="1:4" ht="12.75">
      <c r="A58" s="345"/>
      <c r="B58" s="351"/>
      <c r="C58" s="346"/>
      <c r="D58" s="347"/>
    </row>
    <row r="59" spans="1:4" ht="12.75">
      <c r="A59" s="345"/>
      <c r="B59" s="352" t="s">
        <v>1573</v>
      </c>
      <c r="C59" s="346"/>
      <c r="D59" s="347"/>
    </row>
    <row r="60" spans="1:4" ht="12.75">
      <c r="A60" s="345"/>
      <c r="B60" s="351"/>
      <c r="C60" s="346"/>
      <c r="D60" s="347"/>
    </row>
    <row r="61" spans="1:4" ht="24" customHeight="1">
      <c r="A61" s="350" t="s">
        <v>1560</v>
      </c>
      <c r="B61" s="454" t="s">
        <v>1574</v>
      </c>
      <c r="C61" s="454" t="s">
        <v>1574</v>
      </c>
      <c r="D61" s="455" t="s">
        <v>1574</v>
      </c>
    </row>
    <row r="62" spans="1:4" ht="12.75">
      <c r="A62" s="350" t="s">
        <v>1560</v>
      </c>
      <c r="B62" s="454" t="s">
        <v>1575</v>
      </c>
      <c r="C62" s="454" t="s">
        <v>1575</v>
      </c>
      <c r="D62" s="455" t="s">
        <v>1575</v>
      </c>
    </row>
    <row r="63" spans="1:4" ht="12.75">
      <c r="A63" s="350" t="s">
        <v>1560</v>
      </c>
      <c r="B63" s="454" t="s">
        <v>1576</v>
      </c>
      <c r="C63" s="454" t="s">
        <v>1576</v>
      </c>
      <c r="D63" s="455" t="s">
        <v>1576</v>
      </c>
    </row>
    <row r="64" spans="1:4" ht="12.75">
      <c r="A64" s="350" t="s">
        <v>1560</v>
      </c>
      <c r="B64" s="454" t="s">
        <v>1570</v>
      </c>
      <c r="C64" s="454" t="s">
        <v>1570</v>
      </c>
      <c r="D64" s="455" t="s">
        <v>1570</v>
      </c>
    </row>
    <row r="65" spans="1:4" ht="12.75">
      <c r="A65" s="350" t="s">
        <v>1560</v>
      </c>
      <c r="B65" s="454" t="s">
        <v>1577</v>
      </c>
      <c r="C65" s="454" t="s">
        <v>1577</v>
      </c>
      <c r="D65" s="455" t="s">
        <v>1577</v>
      </c>
    </row>
    <row r="66" spans="1:4" ht="12.75">
      <c r="A66" s="350" t="s">
        <v>1560</v>
      </c>
      <c r="B66" s="454" t="s">
        <v>1578</v>
      </c>
      <c r="C66" s="454" t="s">
        <v>1578</v>
      </c>
      <c r="D66" s="455" t="s">
        <v>1578</v>
      </c>
    </row>
    <row r="67" spans="1:4" ht="12.75">
      <c r="A67" s="350" t="s">
        <v>1560</v>
      </c>
      <c r="B67" s="454" t="s">
        <v>1579</v>
      </c>
      <c r="C67" s="454" t="s">
        <v>1579</v>
      </c>
      <c r="D67" s="455" t="s">
        <v>1579</v>
      </c>
    </row>
    <row r="68" spans="1:4" ht="12.75">
      <c r="A68" s="350" t="s">
        <v>1560</v>
      </c>
      <c r="B68" s="454" t="s">
        <v>1580</v>
      </c>
      <c r="C68" s="454" t="s">
        <v>1580</v>
      </c>
      <c r="D68" s="455" t="s">
        <v>1580</v>
      </c>
    </row>
    <row r="69" spans="1:4" ht="12.75">
      <c r="A69" s="350" t="s">
        <v>1560</v>
      </c>
      <c r="B69" s="454" t="s">
        <v>1581</v>
      </c>
      <c r="C69" s="454" t="s">
        <v>1581</v>
      </c>
      <c r="D69" s="455" t="s">
        <v>1581</v>
      </c>
    </row>
    <row r="70" spans="1:4" ht="12.75">
      <c r="A70" s="345"/>
      <c r="B70" s="346"/>
      <c r="C70" s="346"/>
      <c r="D70" s="347"/>
    </row>
    <row r="71" spans="1:4" ht="12.75">
      <c r="A71" s="345"/>
      <c r="B71" s="352" t="s">
        <v>1582</v>
      </c>
      <c r="C71" s="346"/>
      <c r="D71" s="347"/>
    </row>
    <row r="72" spans="1:4" ht="12.75">
      <c r="A72" s="345"/>
      <c r="B72" s="351"/>
      <c r="C72" s="346"/>
      <c r="D72" s="347"/>
    </row>
    <row r="73" spans="1:4" ht="12.75">
      <c r="A73" s="350" t="s">
        <v>1560</v>
      </c>
      <c r="B73" s="456" t="s">
        <v>1583</v>
      </c>
      <c r="C73" s="456" t="s">
        <v>1583</v>
      </c>
      <c r="D73" s="457" t="s">
        <v>1583</v>
      </c>
    </row>
    <row r="74" spans="1:4" ht="12.75">
      <c r="A74" s="350" t="s">
        <v>1560</v>
      </c>
      <c r="B74" s="456" t="s">
        <v>1584</v>
      </c>
      <c r="C74" s="456" t="s">
        <v>1584</v>
      </c>
      <c r="D74" s="457" t="s">
        <v>1584</v>
      </c>
    </row>
    <row r="75" spans="1:4" ht="12.75">
      <c r="A75" s="350" t="s">
        <v>1560</v>
      </c>
      <c r="B75" s="456" t="s">
        <v>1585</v>
      </c>
      <c r="C75" s="456" t="s">
        <v>1585</v>
      </c>
      <c r="D75" s="457" t="s">
        <v>1585</v>
      </c>
    </row>
    <row r="76" spans="1:4" ht="12.75">
      <c r="A76" s="350" t="s">
        <v>1560</v>
      </c>
      <c r="B76" s="456" t="s">
        <v>1586</v>
      </c>
      <c r="C76" s="456" t="s">
        <v>1586</v>
      </c>
      <c r="D76" s="457" t="s">
        <v>1586</v>
      </c>
    </row>
    <row r="77" spans="1:4" ht="12.75">
      <c r="A77" s="350" t="s">
        <v>1560</v>
      </c>
      <c r="B77" s="456" t="s">
        <v>1587</v>
      </c>
      <c r="C77" s="456" t="s">
        <v>1587</v>
      </c>
      <c r="D77" s="457" t="s">
        <v>1587</v>
      </c>
    </row>
    <row r="78" spans="1:4" ht="12.75">
      <c r="A78" s="350" t="s">
        <v>1560</v>
      </c>
      <c r="B78" s="456" t="s">
        <v>1588</v>
      </c>
      <c r="C78" s="456" t="s">
        <v>1588</v>
      </c>
      <c r="D78" s="457" t="s">
        <v>1588</v>
      </c>
    </row>
    <row r="79" spans="1:4" ht="13.5" thickBot="1">
      <c r="A79" s="353" t="s">
        <v>1560</v>
      </c>
      <c r="B79" s="458" t="s">
        <v>1589</v>
      </c>
      <c r="C79" s="458" t="s">
        <v>1589</v>
      </c>
      <c r="D79" s="459" t="s">
        <v>1589</v>
      </c>
    </row>
  </sheetData>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3"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46"/>
  <sheetViews>
    <sheetView showGridLines="0" view="pageBreakPreview" zoomScale="90" zoomScaleNormal="100" zoomScaleSheetLayoutView="90" workbookViewId="0">
      <selection sqref="A1:G1"/>
    </sheetView>
  </sheetViews>
  <sheetFormatPr defaultColWidth="9.140625" defaultRowHeight="18.75" customHeight="1"/>
  <cols>
    <col min="1" max="1" width="13.7109375" style="3" customWidth="1"/>
    <col min="2" max="2" width="35.7109375" style="107" bestFit="1" customWidth="1"/>
    <col min="3" max="3" width="25.7109375" style="3" customWidth="1"/>
    <col min="4" max="5" width="23.28515625" style="3" customWidth="1"/>
    <col min="6" max="6" width="23.5703125" style="3" customWidth="1"/>
    <col min="7" max="7" width="23.28515625" style="3" customWidth="1"/>
    <col min="8" max="8" width="4.42578125" style="159" customWidth="1"/>
    <col min="9" max="9" width="4.42578125" style="3" customWidth="1"/>
    <col min="10" max="10" width="15.85546875" style="3" customWidth="1"/>
    <col min="11" max="16384" width="9.140625" style="3"/>
  </cols>
  <sheetData>
    <row r="1" spans="1:8" s="9" customFormat="1" ht="17.25" customHeight="1">
      <c r="A1" s="394" t="s">
        <v>205</v>
      </c>
      <c r="B1" s="394"/>
      <c r="C1" s="394"/>
      <c r="D1" s="394"/>
      <c r="E1" s="394"/>
      <c r="F1" s="394"/>
      <c r="G1" s="394"/>
      <c r="H1" s="158"/>
    </row>
    <row r="2" spans="1:8" s="9" customFormat="1" ht="15" customHeight="1">
      <c r="A2" s="436"/>
      <c r="B2" s="396"/>
      <c r="C2" s="396"/>
      <c r="D2" s="396"/>
      <c r="E2" s="396"/>
      <c r="F2" s="396"/>
      <c r="G2" s="396"/>
      <c r="H2" s="158"/>
    </row>
    <row r="3" spans="1:8" s="4" customFormat="1" ht="11.25">
      <c r="B3" s="21"/>
      <c r="H3" s="158"/>
    </row>
    <row r="4" spans="1:8" ht="11.25">
      <c r="A4" s="107"/>
      <c r="B4" s="3"/>
    </row>
    <row r="5" spans="1:8" ht="11.25">
      <c r="A5" s="74" t="s">
        <v>214</v>
      </c>
      <c r="B5" s="3"/>
    </row>
    <row r="6" spans="1:8" s="45" customFormat="1" ht="25.5" customHeight="1">
      <c r="A6" s="103" t="s">
        <v>199</v>
      </c>
      <c r="B6" s="104" t="s">
        <v>136</v>
      </c>
      <c r="C6" s="103" t="s">
        <v>163</v>
      </c>
      <c r="D6" s="105" t="s">
        <v>164</v>
      </c>
      <c r="E6" s="106" t="s">
        <v>1282</v>
      </c>
      <c r="F6" s="46" t="s">
        <v>165</v>
      </c>
    </row>
    <row r="7" spans="1:8" s="45" customFormat="1" ht="18.75" customHeight="1">
      <c r="A7" s="132">
        <v>1</v>
      </c>
      <c r="B7" s="133" t="str">
        <f>VLOOKUP(Samenvattingschoonmaak[[#This Row],[Code Locatie]],Locaties[],2,0)</f>
        <v>Buro Scholengroep Spinoza *</v>
      </c>
      <c r="C7" s="134">
        <f>SUMIF('Ruimtestaat'!$A:$A,Totalisatie!$A7,'Ruimtestaat'!$N:$N)</f>
        <v>0</v>
      </c>
      <c r="D7" s="135">
        <f>SUMIF('Ruimtestaat'!$A:$A,Totalisatie!$A7,'Ruimtestaat'!$AF:$AF)</f>
        <v>0</v>
      </c>
      <c r="E7" s="136">
        <f>SUMIF('Ruimtestaat'!$A:$A,Totalisatie!$A7,'Ruimtestaat'!$AG:$AG)</f>
        <v>0</v>
      </c>
      <c r="F7" s="137">
        <f t="shared" ref="F7:F12" si="0">IF(C7=0,0,E7/C7)</f>
        <v>0</v>
      </c>
    </row>
    <row r="8" spans="1:8" s="45" customFormat="1" ht="18.75" customHeight="1">
      <c r="A8" s="132">
        <v>2</v>
      </c>
      <c r="B8" s="133" t="str">
        <f>VLOOKUP(Samenvattingschoonmaak[[#This Row],[Code Locatie]],Locaties[],2,0)</f>
        <v>'s Gravendreef College</v>
      </c>
      <c r="C8" s="134">
        <f>SUMIF('Ruimtestaat'!$A:$A,Totalisatie!$A8,'Ruimtestaat'!$N:$N)</f>
        <v>6000.0899999999983</v>
      </c>
      <c r="D8" s="135">
        <f>SUMIF('Ruimtestaat'!$A:$A,Totalisatie!$A8,'Ruimtestaat'!$AF:$AF)</f>
        <v>0</v>
      </c>
      <c r="E8" s="136">
        <f>SUMIF('Ruimtestaat'!$A:$A,Totalisatie!$A8,'Ruimtestaat'!$AG:$AG)</f>
        <v>0</v>
      </c>
      <c r="F8" s="137">
        <f t="shared" si="0"/>
        <v>0</v>
      </c>
    </row>
    <row r="9" spans="1:8" s="45" customFormat="1" ht="18.75" customHeight="1">
      <c r="A9" s="132">
        <v>3</v>
      </c>
      <c r="B9" s="133" t="str">
        <f>VLOOKUP(Samenvattingschoonmaak[[#This Row],[Code Locatie]],Locaties[],2,0)</f>
        <v>'s Gravendreef College - Dependance</v>
      </c>
      <c r="C9" s="134">
        <f>SUMIF('Ruimtestaat'!$A:$A,Totalisatie!$A9,'Ruimtestaat'!$N:$N)</f>
        <v>906.66</v>
      </c>
      <c r="D9" s="135">
        <f>SUMIF('Ruimtestaat'!$A:$A,Totalisatie!$A9,'Ruimtestaat'!$AF:$AF)</f>
        <v>0</v>
      </c>
      <c r="E9" s="136">
        <f>SUMIF('Ruimtestaat'!$A:$A,Totalisatie!$A9,'Ruimtestaat'!$AG:$AG)</f>
        <v>0</v>
      </c>
      <c r="F9" s="137">
        <f t="shared" si="0"/>
        <v>0</v>
      </c>
    </row>
    <row r="10" spans="1:8" s="45" customFormat="1" ht="18.75" customHeight="1">
      <c r="A10" s="132">
        <v>4</v>
      </c>
      <c r="B10" s="133" t="str">
        <f>VLOOKUP(Samenvattingschoonmaak[[#This Row],[Code Locatie]],Locaties[],2,0)</f>
        <v>Sint-Maartenscollege</v>
      </c>
      <c r="C10" s="134">
        <f>SUMIF('Ruimtestaat'!$A:$A,Totalisatie!$A10,'Ruimtestaat'!$N:$N)</f>
        <v>8669</v>
      </c>
      <c r="D10" s="135">
        <f>SUMIF('Ruimtestaat'!$A:$A,Totalisatie!$A10,'Ruimtestaat'!$AF:$AF)</f>
        <v>0</v>
      </c>
      <c r="E10" s="136">
        <f>SUMIF('Ruimtestaat'!$A:$A,Totalisatie!$A10,'Ruimtestaat'!$AG:$AG)</f>
        <v>0</v>
      </c>
      <c r="F10" s="137">
        <f t="shared" si="0"/>
        <v>0</v>
      </c>
    </row>
    <row r="11" spans="1:8" s="45" customFormat="1" ht="18.75" customHeight="1">
      <c r="A11" s="132">
        <v>5</v>
      </c>
      <c r="B11" s="133" t="str">
        <f>VLOOKUP(Samenvattingschoonmaak[[#This Row],[Code Locatie]],Locaties[],2,0)</f>
        <v>François Vatel vmbo</v>
      </c>
      <c r="C11" s="134">
        <f>SUMIF('Ruimtestaat'!$A:$A,Totalisatie!$A11,'Ruimtestaat'!$N:$N)</f>
        <v>4304</v>
      </c>
      <c r="D11" s="135">
        <f>SUMIF('Ruimtestaat'!$A:$A,Totalisatie!$A11,'Ruimtestaat'!$AF:$AF)</f>
        <v>0</v>
      </c>
      <c r="E11" s="136">
        <f>SUMIF('Ruimtestaat'!$A:$A,Totalisatie!$A11,'Ruimtestaat'!$AG:$AG)</f>
        <v>0</v>
      </c>
      <c r="F11" s="137">
        <f t="shared" si="0"/>
        <v>0</v>
      </c>
    </row>
    <row r="12" spans="1:8" s="45" customFormat="1" ht="18.75" customHeight="1">
      <c r="A12" s="132">
        <v>6</v>
      </c>
      <c r="B12" s="133" t="str">
        <f>VLOOKUP(Samenvattingschoonmaak[[#This Row],[Code Locatie]],Locaties[],2,0)</f>
        <v>Veurs Lyceum</v>
      </c>
      <c r="C12" s="134">
        <f>SUMIF('Ruimtestaat'!$A:$A,Totalisatie!$A12,'Ruimtestaat'!$N:$N)</f>
        <v>5332</v>
      </c>
      <c r="D12" s="135">
        <f>SUMIF('Ruimtestaat'!$A:$A,Totalisatie!$A12,'Ruimtestaat'!$AF:$AF)</f>
        <v>0</v>
      </c>
      <c r="E12" s="136">
        <f>SUMIF('Ruimtestaat'!$A:$A,Totalisatie!$A12,'Ruimtestaat'!$AG:$AG)</f>
        <v>0</v>
      </c>
      <c r="F12" s="137">
        <f t="shared" si="0"/>
        <v>0</v>
      </c>
    </row>
    <row r="13" spans="1:8" s="45" customFormat="1" ht="18.75" customHeight="1">
      <c r="A13" s="132">
        <v>7</v>
      </c>
      <c r="B13" s="133" t="str">
        <f>VLOOKUP(Samenvattingschoonmaak[[#This Row],[Code Locatie]],Locaties[],2,0)</f>
        <v>Gymnasium Novum</v>
      </c>
      <c r="C13" s="134">
        <f>SUMIF('Ruimtestaat'!$A:$A,Totalisatie!$A13,'Ruimtestaat'!$N:$N)</f>
        <v>4745.4000000000005</v>
      </c>
      <c r="D13" s="135">
        <f>SUMIF('Ruimtestaat'!$A:$A,Totalisatie!$A13,'Ruimtestaat'!$AF:$AF)</f>
        <v>0</v>
      </c>
      <c r="E13" s="136">
        <f>SUMIF('Ruimtestaat'!$A:$A,Totalisatie!$A13,'Ruimtestaat'!$AG:$AG)</f>
        <v>0</v>
      </c>
      <c r="F13" s="137">
        <f t="shared" ref="F13:F16" si="1">IF(C13=0,0,E13/C13)</f>
        <v>0</v>
      </c>
    </row>
    <row r="14" spans="1:8" s="45" customFormat="1" ht="18.75" customHeight="1">
      <c r="A14" s="132">
        <v>8</v>
      </c>
      <c r="B14" s="133" t="str">
        <f>VLOOKUP(Samenvattingschoonmaak[[#This Row],[Code Locatie]],Locaties[],2,0)</f>
        <v>Dalton College</v>
      </c>
      <c r="C14" s="134">
        <f>SUMIF('Ruimtestaat'!$A:$A,Totalisatie!$A14,'Ruimtestaat'!$N:$N)</f>
        <v>9528</v>
      </c>
      <c r="D14" s="135">
        <f>SUMIF('Ruimtestaat'!$A:$A,Totalisatie!$A14,'Ruimtestaat'!$AF:$AF)</f>
        <v>0</v>
      </c>
      <c r="E14" s="136">
        <f>SUMIF('Ruimtestaat'!$A:$A,Totalisatie!$A14,'Ruimtestaat'!$AG:$AG)</f>
        <v>0</v>
      </c>
      <c r="F14" s="137">
        <f t="shared" si="1"/>
        <v>0</v>
      </c>
    </row>
    <row r="15" spans="1:8" s="45" customFormat="1" ht="18.75" customHeight="1">
      <c r="A15" s="132">
        <v>9</v>
      </c>
      <c r="B15" s="133" t="str">
        <f>VLOOKUP(Samenvattingschoonmaak[[#This Row],[Code Locatie]],Locaties[],2,0)</f>
        <v>Novum-Maartenshal</v>
      </c>
      <c r="C15" s="134">
        <f>SUMIF('Ruimtestaat'!$A:$A,Totalisatie!$A15,'Ruimtestaat'!$N:$N)</f>
        <v>1691.1699999999998</v>
      </c>
      <c r="D15" s="135">
        <f>SUMIF('Ruimtestaat'!$A:$A,Totalisatie!$A15,'Ruimtestaat'!$AF:$AF)</f>
        <v>0</v>
      </c>
      <c r="E15" s="136">
        <f>SUMIF('Ruimtestaat'!$A:$A,Totalisatie!$A15,'Ruimtestaat'!$AG:$AG)</f>
        <v>0</v>
      </c>
      <c r="F15" s="137">
        <f t="shared" si="1"/>
        <v>0</v>
      </c>
    </row>
    <row r="16" spans="1:8" s="45" customFormat="1" ht="18.75" customHeight="1">
      <c r="A16" s="132">
        <v>10</v>
      </c>
      <c r="B16" s="133" t="str">
        <f>VLOOKUP(Samenvattingschoonmaak[[#This Row],[Code Locatie]],Locaties[],2,0)</f>
        <v>Veurs Voorburg vmbo</v>
      </c>
      <c r="C16" s="134">
        <f>SUMIF('Ruimtestaat'!$A:$A,Totalisatie!$A16,'Ruimtestaat'!$N:$N)</f>
        <v>3560.4999999999991</v>
      </c>
      <c r="D16" s="135">
        <f>SUMIF('Ruimtestaat'!$A:$A,Totalisatie!$A16,'Ruimtestaat'!$AF:$AF)</f>
        <v>0</v>
      </c>
      <c r="E16" s="136">
        <f>SUMIF('Ruimtestaat'!$A:$A,Totalisatie!$A16,'Ruimtestaat'!$AG:$AG)</f>
        <v>0</v>
      </c>
      <c r="F16" s="137">
        <f t="shared" si="1"/>
        <v>0</v>
      </c>
    </row>
    <row r="17" spans="1:8" s="45" customFormat="1" ht="18.75" customHeight="1">
      <c r="A17" s="126"/>
      <c r="B17" s="127" t="s">
        <v>32</v>
      </c>
      <c r="C17" s="128">
        <f>SUBTOTAL(109,Samenvattingschoonmaak[Oppervlakte i/o])</f>
        <v>44736.82</v>
      </c>
      <c r="D17" s="129">
        <f>SUBTOTAL(109,Samenvattingschoonmaak[Uren / jaar])</f>
        <v>0</v>
      </c>
      <c r="E17" s="130">
        <f>SUBTOTAL(109,Samenvattingschoonmaak[Kosten / jaar excl btw])</f>
        <v>0</v>
      </c>
      <c r="F17" s="131">
        <f>Samenvattingschoonmaak[[#Totals],[Kosten / jaar excl btw]]/Samenvattingschoonmaak[[#Totals],[Oppervlakte i/o]]</f>
        <v>0</v>
      </c>
    </row>
    <row r="18" spans="1:8" ht="12.75" customHeight="1">
      <c r="A18" s="107"/>
      <c r="B18" s="380" t="s">
        <v>2594</v>
      </c>
    </row>
    <row r="19" spans="1:8" ht="11.25">
      <c r="A19" s="107"/>
      <c r="B19" s="380"/>
    </row>
    <row r="20" spans="1:8" ht="18.75" customHeight="1">
      <c r="A20" s="74" t="s">
        <v>166</v>
      </c>
      <c r="B20" s="44"/>
      <c r="C20" s="44"/>
      <c r="D20" s="44"/>
      <c r="E20" s="44"/>
      <c r="F20" s="44"/>
    </row>
    <row r="21" spans="1:8" ht="22.5">
      <c r="A21" s="103" t="s">
        <v>199</v>
      </c>
      <c r="B21" s="104" t="s">
        <v>206</v>
      </c>
      <c r="C21" s="103" t="s">
        <v>1300</v>
      </c>
      <c r="D21" s="106" t="s">
        <v>1301</v>
      </c>
      <c r="E21" s="106" t="s">
        <v>1302</v>
      </c>
      <c r="F21" s="106" t="s">
        <v>1592</v>
      </c>
      <c r="G21" s="153" t="s">
        <v>1303</v>
      </c>
      <c r="H21" s="3"/>
    </row>
    <row r="22" spans="1:8" ht="18.75" customHeight="1">
      <c r="A22" s="132">
        <v>1</v>
      </c>
      <c r="B22" s="133" t="str">
        <f>VLOOKUP(Totalisatie[[#This Row],[Code Locatie]],Locaties[],2,0)</f>
        <v>Buro Scholengroep Spinoza *</v>
      </c>
      <c r="C22" s="136">
        <f ca="1">SUMIF(Ruimtestaat[#All],Totalisatie[[#This Row],[Code Locatie]],Ruimtestaat[[#All],[kosten / jaar excl btw]])</f>
        <v>0</v>
      </c>
      <c r="D22" s="152">
        <f ca="1">SUMIF(OverzichtVloer20[[#All],[Code Locatie]:[Kosten/jaar excl. BTW]],Totalisatie[[#This Row],[Code Locatie]],OverzichtVloer20[[#Headers],[#Data],[Kosten/jaar excl. BTW]])</f>
        <v>0</v>
      </c>
      <c r="E22" s="152">
        <f ca="1">SUMIF(Overzichtextrawerkz.[[#All],[Code Locatie]:[Kosten/jaar excl. BTW]],Totalisatie[[#This Row],[Code Locatie]],Overzichtextrawerkz.[[#All],[Kosten/jaar excl. BTW]])</f>
        <v>0</v>
      </c>
      <c r="F22" s="152">
        <f ca="1">SUMIF(OverzichtGlas[[Code Locatie]:[Kosten/jaar excl. BTW]],Totalisatie[[#This Row],[Code Locatie]],OverzichtGlas[Kosten/jaar excl. BTW])</f>
        <v>0</v>
      </c>
      <c r="G22" s="136">
        <f ca="1">SUM(Totalisatie[[#This Row],[Schoonmaakonderhoud
Kosten / jaar excl btw]:[Glasbewassing kosten/ jaar excl. Btw]])</f>
        <v>0</v>
      </c>
      <c r="H22" s="3"/>
    </row>
    <row r="23" spans="1:8" ht="18.75" customHeight="1">
      <c r="A23" s="132">
        <v>2</v>
      </c>
      <c r="B23" s="133" t="str">
        <f>VLOOKUP(Totalisatie[[#This Row],[Code Locatie]],Locaties[],2,0)</f>
        <v>'s Gravendreef College</v>
      </c>
      <c r="C23" s="136">
        <f ca="1">SUMIF(Ruimtestaat[#All],Totalisatie[[#This Row],[Code Locatie]],Ruimtestaat[[#All],[kosten / jaar excl btw]])</f>
        <v>0</v>
      </c>
      <c r="D23" s="152">
        <f ca="1">SUMIF(OverzichtVloer20[[#All],[Code Locatie]:[Kosten/jaar excl. BTW]],Totalisatie[[#This Row],[Code Locatie]],OverzichtVloer20[[#Headers],[#Data],[Kosten/jaar excl. BTW]])</f>
        <v>0</v>
      </c>
      <c r="E23" s="152">
        <f ca="1">SUMIF(Overzichtextrawerkz.[[#All],[Code Locatie]:[Kosten/jaar excl. BTW]],Totalisatie[[#This Row],[Code Locatie]],Overzichtextrawerkz.[[#All],[Kosten/jaar excl. BTW]])</f>
        <v>0</v>
      </c>
      <c r="F23" s="152">
        <f ca="1">SUMIF(OverzichtGlas[[Code Locatie]:[Kosten/jaar excl. BTW]],Totalisatie[[#This Row],[Code Locatie]],OverzichtGlas[Kosten/jaar excl. BTW])</f>
        <v>0</v>
      </c>
      <c r="G23" s="136">
        <f ca="1">SUM(Totalisatie[[#This Row],[Schoonmaakonderhoud
Kosten / jaar excl btw]:[Glasbewassing kosten/ jaar excl. Btw]])</f>
        <v>0</v>
      </c>
      <c r="H23" s="3"/>
    </row>
    <row r="24" spans="1:8" ht="18.75" customHeight="1">
      <c r="A24" s="132">
        <v>3</v>
      </c>
      <c r="B24" s="133" t="str">
        <f>VLOOKUP(Totalisatie[[#This Row],[Code Locatie]],Locaties[],2,0)</f>
        <v>'s Gravendreef College - Dependance</v>
      </c>
      <c r="C24" s="136">
        <f ca="1">SUMIF(Ruimtestaat[#All],Totalisatie[[#This Row],[Code Locatie]],Ruimtestaat[[#All],[kosten / jaar excl btw]])</f>
        <v>0</v>
      </c>
      <c r="D24" s="152">
        <f ca="1">SUMIF(OverzichtVloer20[[#All],[Code Locatie]:[Kosten/jaar excl. BTW]],Totalisatie[[#This Row],[Code Locatie]],OverzichtVloer20[[#Headers],[#Data],[Kosten/jaar excl. BTW]])</f>
        <v>0</v>
      </c>
      <c r="E24" s="152">
        <f ca="1">SUMIF(Overzichtextrawerkz.[[#All],[Code Locatie]:[Kosten/jaar excl. BTW]],Totalisatie[[#This Row],[Code Locatie]],Overzichtextrawerkz.[[#All],[Kosten/jaar excl. BTW]])</f>
        <v>0</v>
      </c>
      <c r="F24" s="152">
        <f ca="1">SUMIF(OverzichtGlas[[Code Locatie]:[Kosten/jaar excl. BTW]],Totalisatie[[#This Row],[Code Locatie]],OverzichtGlas[Kosten/jaar excl. BTW])</f>
        <v>0</v>
      </c>
      <c r="G24" s="136">
        <f ca="1">SUM(Totalisatie[[#This Row],[Schoonmaakonderhoud
Kosten / jaar excl btw]:[Glasbewassing kosten/ jaar excl. Btw]])</f>
        <v>0</v>
      </c>
      <c r="H24" s="3"/>
    </row>
    <row r="25" spans="1:8" ht="18.75" customHeight="1">
      <c r="A25" s="132">
        <v>4</v>
      </c>
      <c r="B25" s="133" t="str">
        <f>VLOOKUP(Totalisatie[[#This Row],[Code Locatie]],Locaties[],2,0)</f>
        <v>Sint-Maartenscollege</v>
      </c>
      <c r="C25" s="136">
        <f ca="1">SUMIF(Ruimtestaat[#All],Totalisatie[[#This Row],[Code Locatie]],Ruimtestaat[[#All],[kosten / jaar excl btw]])</f>
        <v>0</v>
      </c>
      <c r="D25" s="152">
        <f ca="1">SUMIF(OverzichtVloer20[[#All],[Code Locatie]:[Kosten/jaar excl. BTW]],Totalisatie[[#This Row],[Code Locatie]],OverzichtVloer20[[#Headers],[#Data],[Kosten/jaar excl. BTW]])</f>
        <v>0</v>
      </c>
      <c r="E25" s="152">
        <f ca="1">SUMIF(Overzichtextrawerkz.[[#All],[Code Locatie]:[Kosten/jaar excl. BTW]],Totalisatie[[#This Row],[Code Locatie]],Overzichtextrawerkz.[[#All],[Kosten/jaar excl. BTW]])</f>
        <v>0</v>
      </c>
      <c r="F25" s="152">
        <f ca="1">SUMIF(OverzichtGlas[[Code Locatie]:[Kosten/jaar excl. BTW]],Totalisatie[[#This Row],[Code Locatie]],OverzichtGlas[Kosten/jaar excl. BTW])</f>
        <v>0</v>
      </c>
      <c r="G25" s="136">
        <f ca="1">SUM(Totalisatie[[#This Row],[Schoonmaakonderhoud
Kosten / jaar excl btw]:[Glasbewassing kosten/ jaar excl. Btw]])</f>
        <v>0</v>
      </c>
      <c r="H25" s="3"/>
    </row>
    <row r="26" spans="1:8" ht="18.75" customHeight="1">
      <c r="A26" s="132">
        <v>5</v>
      </c>
      <c r="B26" s="133" t="str">
        <f>VLOOKUP(Totalisatie[[#This Row],[Code Locatie]],Locaties[],2,0)</f>
        <v>François Vatel vmbo</v>
      </c>
      <c r="C26" s="136">
        <f ca="1">SUMIF(Ruimtestaat[#All],Totalisatie[[#This Row],[Code Locatie]],Ruimtestaat[[#All],[kosten / jaar excl btw]])</f>
        <v>0</v>
      </c>
      <c r="D26" s="152">
        <f ca="1">SUMIF(OverzichtVloer20[[#All],[Code Locatie]:[Kosten/jaar excl. BTW]],Totalisatie[[#This Row],[Code Locatie]],OverzichtVloer20[[#Headers],[#Data],[Kosten/jaar excl. BTW]])</f>
        <v>0</v>
      </c>
      <c r="E26" s="152">
        <f ca="1">SUMIF(Overzichtextrawerkz.[[#All],[Code Locatie]:[Kosten/jaar excl. BTW]],Totalisatie[[#This Row],[Code Locatie]],Overzichtextrawerkz.[[#All],[Kosten/jaar excl. BTW]])</f>
        <v>0</v>
      </c>
      <c r="F26" s="152">
        <f ca="1">SUMIF(OverzichtGlas[[Code Locatie]:[Kosten/jaar excl. BTW]],Totalisatie[[#This Row],[Code Locatie]],OverzichtGlas[Kosten/jaar excl. BTW])</f>
        <v>0</v>
      </c>
      <c r="G26" s="136">
        <f ca="1">SUM(Totalisatie[[#This Row],[Schoonmaakonderhoud
Kosten / jaar excl btw]:[Glasbewassing kosten/ jaar excl. Btw]])</f>
        <v>0</v>
      </c>
      <c r="H26" s="3"/>
    </row>
    <row r="27" spans="1:8" ht="18.75" customHeight="1">
      <c r="A27" s="132">
        <v>6</v>
      </c>
      <c r="B27" s="133" t="str">
        <f>VLOOKUP(Totalisatie[[#This Row],[Code Locatie]],Locaties[],2,0)</f>
        <v>Veurs Lyceum</v>
      </c>
      <c r="C27" s="136">
        <f ca="1">SUMIF(Ruimtestaat[#All],Totalisatie[[#This Row],[Code Locatie]],Ruimtestaat[[#All],[kosten / jaar excl btw]])</f>
        <v>0</v>
      </c>
      <c r="D27" s="152">
        <f ca="1">SUMIF(OverzichtVloer20[[#All],[Code Locatie]:[Kosten/jaar excl. BTW]],Totalisatie[[#This Row],[Code Locatie]],OverzichtVloer20[[#Headers],[#Data],[Kosten/jaar excl. BTW]])</f>
        <v>0</v>
      </c>
      <c r="E27" s="152">
        <f ca="1">SUMIF(Overzichtextrawerkz.[[#All],[Code Locatie]:[Kosten/jaar excl. BTW]],Totalisatie[[#This Row],[Code Locatie]],Overzichtextrawerkz.[[#All],[Kosten/jaar excl. BTW]])</f>
        <v>0</v>
      </c>
      <c r="F27" s="152">
        <f ca="1">SUMIF(OverzichtGlas[[Code Locatie]:[Kosten/jaar excl. BTW]],Totalisatie[[#This Row],[Code Locatie]],OverzichtGlas[Kosten/jaar excl. BTW])</f>
        <v>0</v>
      </c>
      <c r="G27" s="136">
        <f ca="1">SUM(Totalisatie[[#This Row],[Schoonmaakonderhoud
Kosten / jaar excl btw]:[Glasbewassing kosten/ jaar excl. Btw]])</f>
        <v>0</v>
      </c>
      <c r="H27" s="3"/>
    </row>
    <row r="28" spans="1:8" ht="18.75" customHeight="1">
      <c r="A28" s="132">
        <v>7</v>
      </c>
      <c r="B28" s="133" t="str">
        <f>VLOOKUP(Totalisatie[[#This Row],[Code Locatie]],Locaties[],2,0)</f>
        <v>Gymnasium Novum</v>
      </c>
      <c r="C28" s="136">
        <f ca="1">SUMIF(Ruimtestaat[#All],Totalisatie[[#This Row],[Code Locatie]],Ruimtestaat[[#All],[kosten / jaar excl btw]])</f>
        <v>0</v>
      </c>
      <c r="D28" s="152">
        <f ca="1">SUMIF(OverzichtVloer20[[#All],[Code Locatie]:[Kosten/jaar excl. BTW]],Totalisatie[[#This Row],[Code Locatie]],OverzichtVloer20[[#Headers],[#Data],[Kosten/jaar excl. BTW]])</f>
        <v>0</v>
      </c>
      <c r="E28" s="152">
        <f ca="1">SUMIF(Overzichtextrawerkz.[[#All],[Code Locatie]:[Kosten/jaar excl. BTW]],Totalisatie[[#This Row],[Code Locatie]],Overzichtextrawerkz.[[#All],[Kosten/jaar excl. BTW]])</f>
        <v>0</v>
      </c>
      <c r="F28" s="152">
        <f ca="1">SUMIF(OverzichtGlas[[Code Locatie]:[Kosten/jaar excl. BTW]],Totalisatie[[#This Row],[Code Locatie]],OverzichtGlas[Kosten/jaar excl. BTW])</f>
        <v>0</v>
      </c>
      <c r="G28" s="136">
        <f ca="1">SUM(Totalisatie[[#This Row],[Schoonmaakonderhoud
Kosten / jaar excl btw]:[Glasbewassing kosten/ jaar excl. Btw]])</f>
        <v>0</v>
      </c>
      <c r="H28" s="3"/>
    </row>
    <row r="29" spans="1:8" ht="18.75" customHeight="1">
      <c r="A29" s="132">
        <v>8</v>
      </c>
      <c r="B29" s="133" t="str">
        <f>VLOOKUP(Totalisatie[[#This Row],[Code Locatie]],Locaties[],2,0)</f>
        <v>Dalton College</v>
      </c>
      <c r="C29" s="136">
        <f ca="1">SUMIF(Ruimtestaat[#All],Totalisatie[[#This Row],[Code Locatie]],Ruimtestaat[[#All],[kosten / jaar excl btw]])</f>
        <v>0</v>
      </c>
      <c r="D29" s="152">
        <f ca="1">SUMIF(OverzichtVloer20[[#All],[Code Locatie]:[Kosten/jaar excl. BTW]],Totalisatie[[#This Row],[Code Locatie]],OverzichtVloer20[[#Headers],[#Data],[Kosten/jaar excl. BTW]])</f>
        <v>0</v>
      </c>
      <c r="E29" s="152">
        <f ca="1">SUMIF(Overzichtextrawerkz.[[#All],[Code Locatie]:[Kosten/jaar excl. BTW]],Totalisatie[[#This Row],[Code Locatie]],Overzichtextrawerkz.[[#All],[Kosten/jaar excl. BTW]])</f>
        <v>0</v>
      </c>
      <c r="F29" s="152">
        <f ca="1">SUMIF(OverzichtGlas[[Code Locatie]:[Kosten/jaar excl. BTW]],Totalisatie[[#This Row],[Code Locatie]],OverzichtGlas[Kosten/jaar excl. BTW])</f>
        <v>0</v>
      </c>
      <c r="G29" s="136">
        <f ca="1">SUM(Totalisatie[[#This Row],[Schoonmaakonderhoud
Kosten / jaar excl btw]:[Glasbewassing kosten/ jaar excl. Btw]])</f>
        <v>0</v>
      </c>
      <c r="H29" s="3"/>
    </row>
    <row r="30" spans="1:8" ht="18.75" customHeight="1">
      <c r="A30" s="132">
        <v>9</v>
      </c>
      <c r="B30" s="133" t="str">
        <f>VLOOKUP(Totalisatie[[#This Row],[Code Locatie]],Locaties[],2,0)</f>
        <v>Novum-Maartenshal</v>
      </c>
      <c r="C30" s="136">
        <f ca="1">SUMIF(Ruimtestaat[#All],Totalisatie[[#This Row],[Code Locatie]],Ruimtestaat[[#All],[kosten / jaar excl btw]])</f>
        <v>0</v>
      </c>
      <c r="D30" s="152">
        <f ca="1">SUMIF(OverzichtVloer20[[#All],[Code Locatie]:[Kosten/jaar excl. BTW]],Totalisatie[[#This Row],[Code Locatie]],OverzichtVloer20[[#Headers],[#Data],[Kosten/jaar excl. BTW]])</f>
        <v>0</v>
      </c>
      <c r="E30" s="152">
        <f ca="1">SUMIF(Overzichtextrawerkz.[[#All],[Code Locatie]:[Kosten/jaar excl. BTW]],Totalisatie[[#This Row],[Code Locatie]],Overzichtextrawerkz.[[#All],[Kosten/jaar excl. BTW]])</f>
        <v>0</v>
      </c>
      <c r="F30" s="152">
        <f ca="1">SUMIF(OverzichtGlas[[Code Locatie]:[Kosten/jaar excl. BTW]],Totalisatie[[#This Row],[Code Locatie]],OverzichtGlas[Kosten/jaar excl. BTW])</f>
        <v>0</v>
      </c>
      <c r="G30" s="136">
        <f ca="1">SUM(Totalisatie[[#This Row],[Schoonmaakonderhoud
Kosten / jaar excl btw]:[Glasbewassing kosten/ jaar excl. Btw]])</f>
        <v>0</v>
      </c>
      <c r="H30" s="3"/>
    </row>
    <row r="31" spans="1:8" ht="18.75" customHeight="1">
      <c r="A31" s="132">
        <v>10</v>
      </c>
      <c r="B31" s="133" t="str">
        <f>VLOOKUP(Totalisatie[[#This Row],[Code Locatie]],Locaties[],2,0)</f>
        <v>Veurs Voorburg vmbo</v>
      </c>
      <c r="C31" s="136">
        <f ca="1">SUMIF(Ruimtestaat[#All],Totalisatie[[#This Row],[Code Locatie]],Ruimtestaat[[#All],[kosten / jaar excl btw]])</f>
        <v>0</v>
      </c>
      <c r="D31" s="152">
        <f ca="1">SUMIF(OverzichtVloer20[[#All],[Code Locatie]:[Kosten/jaar excl. BTW]],Totalisatie[[#This Row],[Code Locatie]],OverzichtVloer20[[#Headers],[#Data],[Kosten/jaar excl. BTW]])</f>
        <v>0</v>
      </c>
      <c r="E31" s="152">
        <f ca="1">SUMIF(Overzichtextrawerkz.[[#All],[Code Locatie]:[Kosten/jaar excl. BTW]],Totalisatie[[#This Row],[Code Locatie]],Overzichtextrawerkz.[[#All],[Kosten/jaar excl. BTW]])</f>
        <v>0</v>
      </c>
      <c r="F31" s="152">
        <f ca="1">SUMIF(OverzichtGlas[[Code Locatie]:[Kosten/jaar excl. BTW]],Totalisatie[[#This Row],[Code Locatie]],OverzichtGlas[Kosten/jaar excl. BTW])</f>
        <v>0</v>
      </c>
      <c r="G31" s="136">
        <f ca="1">SUM(Totalisatie[[#This Row],[Schoonmaakonderhoud
Kosten / jaar excl btw]:[Glasbewassing kosten/ jaar excl. Btw]])</f>
        <v>0</v>
      </c>
      <c r="H31" s="3"/>
    </row>
    <row r="32" spans="1:8" ht="18.75" customHeight="1">
      <c r="A32" s="126"/>
      <c r="B32" s="127" t="s">
        <v>32</v>
      </c>
      <c r="C32" s="130">
        <f ca="1">SUBTOTAL(109,Totalisatie[Schoonmaakonderhoud
Kosten / jaar excl btw])</f>
        <v>0</v>
      </c>
      <c r="D32" s="130">
        <f ca="1">SUBTOTAL(109,Totalisatie[Vloeronderhoud
Kosten / jaar excl btw])</f>
        <v>0</v>
      </c>
      <c r="E32" s="130">
        <f ca="1">SUBTOTAL(109,Totalisatie[Extra werkzaamheden kosten/ jaar excl. btw])</f>
        <v>0</v>
      </c>
      <c r="F32" s="130">
        <f ca="1">SUBTOTAL(109,Totalisatie[Glasbewassing kosten/ jaar excl. Btw])</f>
        <v>0</v>
      </c>
      <c r="G32" s="130">
        <f ca="1">SUBTOTAL(109,Totalisatie[Totaalprijs
Kosten / jaar excl. btw])</f>
        <v>0</v>
      </c>
      <c r="H32" s="3"/>
    </row>
    <row r="33" spans="1:7" ht="18.75" customHeight="1">
      <c r="A33" s="107"/>
      <c r="B33" s="3"/>
      <c r="C33" s="196"/>
      <c r="D33" s="160"/>
      <c r="E33" s="160"/>
      <c r="F33" s="160"/>
      <c r="G33" s="160"/>
    </row>
    <row r="34" spans="1:7" ht="18.75" customHeight="1">
      <c r="A34" s="107"/>
      <c r="B34" s="3"/>
    </row>
    <row r="35" spans="1:7" ht="11.25">
      <c r="A35" s="74" t="s">
        <v>207</v>
      </c>
      <c r="B35" s="3"/>
    </row>
    <row r="36" spans="1:7" ht="18.75" customHeight="1">
      <c r="A36" s="463" t="s">
        <v>211</v>
      </c>
      <c r="B36" s="464"/>
      <c r="C36" s="465"/>
      <c r="D36" s="465"/>
      <c r="E36" s="465"/>
      <c r="F36" s="465"/>
      <c r="G36" s="466"/>
    </row>
    <row r="37" spans="1:7" ht="18.75" customHeight="1">
      <c r="A37" s="108" t="s">
        <v>123</v>
      </c>
      <c r="B37" s="467" t="s">
        <v>217</v>
      </c>
      <c r="C37" s="468"/>
      <c r="D37" s="108" t="s">
        <v>123</v>
      </c>
      <c r="E37" s="467" t="s">
        <v>217</v>
      </c>
      <c r="F37" s="471"/>
      <c r="G37" s="468"/>
    </row>
    <row r="38" spans="1:7" ht="18.75" customHeight="1">
      <c r="A38" s="109" t="s">
        <v>208</v>
      </c>
      <c r="B38" s="469" t="s">
        <v>217</v>
      </c>
      <c r="C38" s="470"/>
      <c r="D38" s="109" t="s">
        <v>208</v>
      </c>
      <c r="E38" s="469" t="s">
        <v>217</v>
      </c>
      <c r="F38" s="472"/>
      <c r="G38" s="470"/>
    </row>
    <row r="39" spans="1:7" ht="18.75" customHeight="1">
      <c r="A39" s="108" t="s">
        <v>209</v>
      </c>
      <c r="B39" s="467" t="s">
        <v>217</v>
      </c>
      <c r="C39" s="468"/>
      <c r="D39" s="108" t="s">
        <v>209</v>
      </c>
      <c r="E39" s="467" t="s">
        <v>217</v>
      </c>
      <c r="F39" s="471"/>
      <c r="G39" s="468"/>
    </row>
    <row r="40" spans="1:7" ht="37.5" customHeight="1">
      <c r="A40" s="109" t="s">
        <v>210</v>
      </c>
      <c r="B40" s="469" t="s">
        <v>217</v>
      </c>
      <c r="C40" s="470"/>
      <c r="D40" s="109" t="s">
        <v>210</v>
      </c>
      <c r="E40" s="460" t="s">
        <v>217</v>
      </c>
      <c r="F40" s="461"/>
      <c r="G40" s="462"/>
    </row>
    <row r="41" spans="1:7" ht="18.75" customHeight="1">
      <c r="A41" s="108" t="s">
        <v>213</v>
      </c>
      <c r="B41" s="110"/>
      <c r="C41" s="111"/>
      <c r="D41" s="112"/>
      <c r="E41" s="113"/>
      <c r="F41" s="113"/>
      <c r="G41" s="114"/>
    </row>
    <row r="44" spans="1:7" ht="18.75" hidden="1" customHeight="1">
      <c r="E44" s="161">
        <v>1332069.4835246154</v>
      </c>
    </row>
    <row r="45" spans="1:7" ht="18.75" hidden="1" customHeight="1">
      <c r="E45" s="160">
        <f ca="1">Totalisatie[[#Totals],[Totaalprijs
Kosten / jaar excl. btw]]-E44</f>
        <v>-1332069.4835246154</v>
      </c>
    </row>
    <row r="46" spans="1:7" ht="18.75" hidden="1" customHeight="1"/>
  </sheetData>
  <mergeCells count="12">
    <mergeCell ref="A1:G1"/>
    <mergeCell ref="A2:G2"/>
    <mergeCell ref="E40:G40"/>
    <mergeCell ref="A36:B36"/>
    <mergeCell ref="C36:G36"/>
    <mergeCell ref="B37:C37"/>
    <mergeCell ref="B38:C38"/>
    <mergeCell ref="B39:C39"/>
    <mergeCell ref="B40:C40"/>
    <mergeCell ref="E37:G37"/>
    <mergeCell ref="E38:G38"/>
    <mergeCell ref="E39:G39"/>
  </mergeCells>
  <phoneticPr fontId="14"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election activeCell="B19" sqref="B19"/>
    </sheetView>
  </sheetViews>
  <sheetFormatPr defaultColWidth="9" defaultRowHeight="12.75"/>
  <cols>
    <col min="1" max="1" width="19.42578125" style="9" customWidth="1"/>
    <col min="2" max="2" width="103.7109375" style="9" bestFit="1" customWidth="1"/>
    <col min="3" max="16384" width="9" style="141"/>
  </cols>
  <sheetData>
    <row r="1" spans="1:2" ht="28.5">
      <c r="A1" s="232" t="s">
        <v>1266</v>
      </c>
      <c r="B1" s="233"/>
    </row>
    <row r="2" spans="1:2">
      <c r="A2" s="233"/>
      <c r="B2" s="234"/>
    </row>
    <row r="3" spans="1:2">
      <c r="A3" s="306" t="s">
        <v>1267</v>
      </c>
      <c r="B3" s="306" t="s">
        <v>1222</v>
      </c>
    </row>
    <row r="4" spans="1:2">
      <c r="A4" s="307" t="s">
        <v>278</v>
      </c>
      <c r="B4" s="308"/>
    </row>
    <row r="5" spans="1:2">
      <c r="A5" s="309"/>
      <c r="B5" s="310" t="s">
        <v>1318</v>
      </c>
    </row>
    <row r="6" spans="1:2">
      <c r="A6" s="309"/>
      <c r="B6" s="310" t="s">
        <v>1223</v>
      </c>
    </row>
    <row r="7" spans="1:2">
      <c r="A7" s="309"/>
      <c r="B7" s="310" t="s">
        <v>1319</v>
      </c>
    </row>
    <row r="8" spans="1:2">
      <c r="A8" s="309"/>
      <c r="B8" s="310" t="s">
        <v>1320</v>
      </c>
    </row>
    <row r="9" spans="1:2">
      <c r="A9" s="311" t="s">
        <v>279</v>
      </c>
      <c r="B9" s="312"/>
    </row>
    <row r="10" spans="1:2">
      <c r="A10" s="309"/>
      <c r="B10" s="310" t="s">
        <v>1510</v>
      </c>
    </row>
    <row r="11" spans="1:2">
      <c r="A11" s="309"/>
      <c r="B11" s="310" t="s">
        <v>1321</v>
      </c>
    </row>
    <row r="12" spans="1:2">
      <c r="A12" s="311" t="s">
        <v>280</v>
      </c>
      <c r="B12" s="312"/>
    </row>
    <row r="13" spans="1:2">
      <c r="A13" s="309"/>
      <c r="B13" s="310" t="s">
        <v>1322</v>
      </c>
    </row>
    <row r="14" spans="1:2">
      <c r="A14" s="309"/>
      <c r="B14" s="310" t="s">
        <v>1323</v>
      </c>
    </row>
    <row r="15" spans="1:2">
      <c r="A15" s="311" t="s">
        <v>281</v>
      </c>
      <c r="B15" s="312"/>
    </row>
    <row r="16" spans="1:2">
      <c r="A16" s="309"/>
      <c r="B16" s="310" t="s">
        <v>1324</v>
      </c>
    </row>
    <row r="17" spans="1:2">
      <c r="A17" s="309"/>
      <c r="B17" s="310" t="s">
        <v>1323</v>
      </c>
    </row>
    <row r="18" spans="1:2">
      <c r="A18" s="311" t="s">
        <v>282</v>
      </c>
      <c r="B18" s="312"/>
    </row>
    <row r="19" spans="1:2">
      <c r="A19" s="309"/>
      <c r="B19" s="310" t="s">
        <v>1511</v>
      </c>
    </row>
    <row r="20" spans="1:2">
      <c r="A20" s="311" t="s">
        <v>283</v>
      </c>
      <c r="B20" s="313" t="s">
        <v>1279</v>
      </c>
    </row>
    <row r="21" spans="1:2">
      <c r="A21" s="309"/>
      <c r="B21" s="310" t="s">
        <v>1512</v>
      </c>
    </row>
    <row r="22" spans="1:2">
      <c r="A22" s="309"/>
      <c r="B22" s="310" t="s">
        <v>1513</v>
      </c>
    </row>
    <row r="23" spans="1:2">
      <c r="A23" s="309"/>
      <c r="B23" s="310" t="s">
        <v>1514</v>
      </c>
    </row>
    <row r="24" spans="1:2">
      <c r="A24" s="311" t="s">
        <v>284</v>
      </c>
      <c r="B24" s="312" t="s">
        <v>1279</v>
      </c>
    </row>
    <row r="25" spans="1:2">
      <c r="A25" s="309"/>
      <c r="B25" s="309" t="s">
        <v>1515</v>
      </c>
    </row>
    <row r="26" spans="1:2">
      <c r="A26" s="309"/>
      <c r="B26" s="309" t="s">
        <v>1516</v>
      </c>
    </row>
    <row r="27" spans="1:2">
      <c r="A27" s="309"/>
      <c r="B27" s="309"/>
    </row>
    <row r="28" spans="1:2">
      <c r="A28" s="309"/>
      <c r="B28" s="309" t="s">
        <v>1224</v>
      </c>
    </row>
    <row r="29" spans="1:2">
      <c r="A29" s="309"/>
      <c r="B29" s="309" t="s">
        <v>1268</v>
      </c>
    </row>
    <row r="30" spans="1:2">
      <c r="A30" s="311" t="s">
        <v>285</v>
      </c>
      <c r="B30" s="313" t="s">
        <v>1225</v>
      </c>
    </row>
    <row r="31" spans="1:2">
      <c r="A31" s="314"/>
      <c r="B31" s="315" t="s">
        <v>1269</v>
      </c>
    </row>
    <row r="32" spans="1:2">
      <c r="A32" s="235"/>
      <c r="B32" s="236"/>
    </row>
    <row r="33" spans="1:2">
      <c r="A33" s="316" t="s">
        <v>1226</v>
      </c>
      <c r="B33" s="237"/>
    </row>
    <row r="34" spans="1:2">
      <c r="A34" s="317" t="s">
        <v>286</v>
      </c>
      <c r="B34" s="318"/>
    </row>
    <row r="35" spans="1:2">
      <c r="A35" s="309"/>
      <c r="B35" s="319" t="s">
        <v>1271</v>
      </c>
    </row>
    <row r="36" spans="1:2">
      <c r="A36" s="309" t="s">
        <v>1272</v>
      </c>
      <c r="B36" s="319"/>
    </row>
    <row r="37" spans="1:2">
      <c r="A37" s="309"/>
      <c r="B37" s="310" t="s">
        <v>1517</v>
      </c>
    </row>
    <row r="38" spans="1:2">
      <c r="A38" s="309"/>
      <c r="B38" s="310" t="s">
        <v>1518</v>
      </c>
    </row>
    <row r="39" spans="1:2">
      <c r="A39" s="309"/>
      <c r="B39" s="310" t="s">
        <v>1519</v>
      </c>
    </row>
    <row r="40" spans="1:2">
      <c r="A40" s="309"/>
      <c r="B40" s="310" t="s">
        <v>1520</v>
      </c>
    </row>
    <row r="41" spans="1:2">
      <c r="A41" s="309"/>
      <c r="B41" s="310" t="s">
        <v>1521</v>
      </c>
    </row>
    <row r="42" spans="1:2">
      <c r="A42" s="309"/>
      <c r="B42" s="310" t="s">
        <v>1522</v>
      </c>
    </row>
    <row r="43" spans="1:2">
      <c r="A43" s="309"/>
      <c r="B43" s="310" t="s">
        <v>1523</v>
      </c>
    </row>
    <row r="44" spans="1:2">
      <c r="A44" s="309"/>
      <c r="B44" s="310" t="s">
        <v>1524</v>
      </c>
    </row>
    <row r="45" spans="1:2">
      <c r="A45" s="309"/>
      <c r="B45" s="310" t="s">
        <v>1525</v>
      </c>
    </row>
    <row r="46" spans="1:2">
      <c r="A46" s="309"/>
      <c r="B46" s="309" t="s">
        <v>1526</v>
      </c>
    </row>
    <row r="47" spans="1:2">
      <c r="A47" s="309"/>
      <c r="B47" s="310" t="s">
        <v>1527</v>
      </c>
    </row>
    <row r="48" spans="1:2">
      <c r="A48" s="309"/>
      <c r="B48" s="310" t="s">
        <v>1528</v>
      </c>
    </row>
    <row r="49" spans="1:2">
      <c r="A49" s="317" t="s">
        <v>287</v>
      </c>
      <c r="B49" s="320"/>
    </row>
    <row r="50" spans="1:2">
      <c r="A50" s="309" t="s">
        <v>1273</v>
      </c>
      <c r="B50" s="310" t="s">
        <v>1529</v>
      </c>
    </row>
    <row r="51" spans="1:2">
      <c r="A51" s="309"/>
      <c r="B51" s="310" t="s">
        <v>1227</v>
      </c>
    </row>
    <row r="52" spans="1:2">
      <c r="A52" s="317" t="s">
        <v>288</v>
      </c>
      <c r="B52" s="320"/>
    </row>
    <row r="53" spans="1:2">
      <c r="A53" s="309"/>
      <c r="B53" s="309" t="s">
        <v>1530</v>
      </c>
    </row>
    <row r="54" spans="1:2" ht="25.5">
      <c r="A54" s="309"/>
      <c r="B54" s="319" t="s">
        <v>1531</v>
      </c>
    </row>
    <row r="55" spans="1:2">
      <c r="A55" s="309"/>
      <c r="B55" s="319" t="s">
        <v>1532</v>
      </c>
    </row>
    <row r="56" spans="1:2">
      <c r="A56" s="309"/>
      <c r="B56" s="309" t="s">
        <v>1533</v>
      </c>
    </row>
    <row r="57" spans="1:2">
      <c r="A57" s="317" t="s">
        <v>289</v>
      </c>
      <c r="B57" s="320"/>
    </row>
    <row r="58" spans="1:2">
      <c r="A58" s="309"/>
      <c r="B58" s="309" t="s">
        <v>1228</v>
      </c>
    </row>
    <row r="59" spans="1:2">
      <c r="A59" s="309"/>
      <c r="B59" s="309" t="s">
        <v>1229</v>
      </c>
    </row>
    <row r="60" spans="1:2" ht="25.5">
      <c r="A60" s="309"/>
      <c r="B60" s="319" t="s">
        <v>1230</v>
      </c>
    </row>
    <row r="61" spans="1:2">
      <c r="A61" s="317" t="s">
        <v>290</v>
      </c>
      <c r="B61" s="320"/>
    </row>
    <row r="62" spans="1:2">
      <c r="A62" s="309"/>
      <c r="B62" s="319" t="s">
        <v>1534</v>
      </c>
    </row>
    <row r="63" spans="1:2">
      <c r="A63" s="309"/>
      <c r="B63" s="319" t="s">
        <v>1535</v>
      </c>
    </row>
    <row r="64" spans="1:2">
      <c r="A64" s="309"/>
      <c r="B64" s="310" t="s">
        <v>1536</v>
      </c>
    </row>
    <row r="65" spans="1:2">
      <c r="A65" s="317" t="s">
        <v>291</v>
      </c>
      <c r="B65" s="320"/>
    </row>
    <row r="66" spans="1:2">
      <c r="A66" s="309"/>
      <c r="B66" s="309" t="s">
        <v>1537</v>
      </c>
    </row>
    <row r="67" spans="1:2">
      <c r="A67" s="309"/>
      <c r="B67" s="319" t="s">
        <v>1538</v>
      </c>
    </row>
    <row r="68" spans="1:2">
      <c r="A68" s="317" t="s">
        <v>292</v>
      </c>
      <c r="B68" s="320"/>
    </row>
    <row r="69" spans="1:2">
      <c r="A69" s="309"/>
      <c r="B69" s="319" t="s">
        <v>1539</v>
      </c>
    </row>
    <row r="70" spans="1:2">
      <c r="A70" s="309"/>
      <c r="B70" s="319" t="s">
        <v>1540</v>
      </c>
    </row>
    <row r="71" spans="1:2">
      <c r="A71" s="317" t="s">
        <v>293</v>
      </c>
      <c r="B71" s="321" t="s">
        <v>1231</v>
      </c>
    </row>
    <row r="72" spans="1:2">
      <c r="A72" s="314"/>
      <c r="B72" s="322" t="s">
        <v>1541</v>
      </c>
    </row>
    <row r="73" spans="1:2">
      <c r="A73" s="235"/>
      <c r="B73" s="236"/>
    </row>
    <row r="74" spans="1:2">
      <c r="A74" s="235"/>
      <c r="B74" s="236"/>
    </row>
    <row r="75" spans="1:2">
      <c r="A75" s="316" t="s">
        <v>1274</v>
      </c>
      <c r="B75" s="236"/>
    </row>
    <row r="76" spans="1:2">
      <c r="A76" s="323" t="s">
        <v>1270</v>
      </c>
      <c r="B76" s="324"/>
    </row>
    <row r="77" spans="1:2">
      <c r="A77" s="325" t="s">
        <v>294</v>
      </c>
      <c r="B77" s="326"/>
    </row>
    <row r="78" spans="1:2">
      <c r="A78" s="327"/>
      <c r="B78" s="319" t="s">
        <v>1232</v>
      </c>
    </row>
    <row r="79" spans="1:2">
      <c r="A79" s="327"/>
      <c r="B79" s="309" t="s">
        <v>1542</v>
      </c>
    </row>
    <row r="80" spans="1:2">
      <c r="A80" s="327"/>
      <c r="B80" s="309" t="s">
        <v>1543</v>
      </c>
    </row>
    <row r="81" spans="1:2">
      <c r="A81" s="327"/>
      <c r="B81" s="309" t="s">
        <v>1233</v>
      </c>
    </row>
    <row r="82" spans="1:2">
      <c r="A82" s="327"/>
      <c r="B82" s="319" t="s">
        <v>1544</v>
      </c>
    </row>
    <row r="83" spans="1:2">
      <c r="A83" s="327"/>
      <c r="B83" s="319" t="s">
        <v>1545</v>
      </c>
    </row>
    <row r="84" spans="1:2">
      <c r="A84" s="328" t="s">
        <v>295</v>
      </c>
      <c r="B84" s="329"/>
    </row>
    <row r="85" spans="1:2">
      <c r="A85" s="327"/>
      <c r="B85" s="309" t="s">
        <v>1235</v>
      </c>
    </row>
    <row r="86" spans="1:2">
      <c r="A86" s="327"/>
      <c r="B86" s="319" t="s">
        <v>1546</v>
      </c>
    </row>
    <row r="87" spans="1:2">
      <c r="A87" s="328" t="s">
        <v>296</v>
      </c>
      <c r="B87" s="328" t="s">
        <v>1547</v>
      </c>
    </row>
    <row r="88" spans="1:2">
      <c r="A88" s="309"/>
      <c r="B88" s="309" t="s">
        <v>1236</v>
      </c>
    </row>
    <row r="89" spans="1:2">
      <c r="A89" s="309"/>
      <c r="B89" s="319" t="s">
        <v>1232</v>
      </c>
    </row>
    <row r="90" spans="1:2">
      <c r="A90" s="309"/>
      <c r="B90" s="309" t="s">
        <v>1233</v>
      </c>
    </row>
    <row r="91" spans="1:2">
      <c r="A91" s="309"/>
      <c r="B91" s="319" t="s">
        <v>1234</v>
      </c>
    </row>
    <row r="92" spans="1:2">
      <c r="A92" s="314"/>
      <c r="B92" s="322"/>
    </row>
    <row r="93" spans="1:2">
      <c r="A93" s="233"/>
      <c r="B93" s="238"/>
    </row>
    <row r="94" spans="1:2" ht="18.75">
      <c r="A94" s="330" t="s">
        <v>1250</v>
      </c>
      <c r="B94" s="331"/>
    </row>
    <row r="95" spans="1:2" ht="18.75">
      <c r="A95" s="332" t="s">
        <v>1275</v>
      </c>
      <c r="B95" s="333"/>
    </row>
    <row r="96" spans="1:2">
      <c r="A96" s="382"/>
      <c r="B96" s="382"/>
    </row>
    <row r="97" spans="1:2" ht="24">
      <c r="A97" s="334" t="s">
        <v>1276</v>
      </c>
      <c r="B97" s="335" t="s">
        <v>1237</v>
      </c>
    </row>
    <row r="98" spans="1:2">
      <c r="A98" s="336"/>
      <c r="B98" s="237"/>
    </row>
    <row r="99" spans="1:2" ht="24">
      <c r="A99" s="334" t="s">
        <v>1251</v>
      </c>
      <c r="B99" s="335" t="s">
        <v>1238</v>
      </c>
    </row>
    <row r="100" spans="1:2">
      <c r="A100" s="336"/>
      <c r="B100" s="239"/>
    </row>
    <row r="101" spans="1:2" ht="51.75" customHeight="1">
      <c r="A101" s="383" t="s">
        <v>1548</v>
      </c>
      <c r="B101" s="337" t="s">
        <v>1549</v>
      </c>
    </row>
    <row r="102" spans="1:2" ht="48">
      <c r="A102" s="384"/>
      <c r="B102" s="338" t="s">
        <v>1239</v>
      </c>
    </row>
    <row r="103" spans="1:2" ht="36">
      <c r="A103" s="385"/>
      <c r="B103" s="339" t="s">
        <v>1550</v>
      </c>
    </row>
    <row r="104" spans="1:2">
      <c r="A104" s="336"/>
      <c r="B104" s="239"/>
    </row>
    <row r="105" spans="1:2">
      <c r="A105" s="340" t="s">
        <v>1252</v>
      </c>
      <c r="B105" s="335" t="s">
        <v>1314</v>
      </c>
    </row>
    <row r="106" spans="1:2">
      <c r="A106" s="336"/>
      <c r="B106" s="239"/>
    </row>
    <row r="107" spans="1:2" ht="48">
      <c r="A107" s="340" t="s">
        <v>1253</v>
      </c>
      <c r="B107" s="335" t="s">
        <v>1551</v>
      </c>
    </row>
    <row r="108" spans="1:2">
      <c r="A108" s="336"/>
      <c r="B108" s="239"/>
    </row>
    <row r="109" spans="1:2" ht="24">
      <c r="A109" s="356" t="s">
        <v>1254</v>
      </c>
      <c r="B109" s="357" t="s">
        <v>1240</v>
      </c>
    </row>
    <row r="110" spans="1:2">
      <c r="A110" s="336"/>
      <c r="B110" s="239"/>
    </row>
    <row r="111" spans="1:2">
      <c r="A111" s="340" t="s">
        <v>219</v>
      </c>
      <c r="B111" s="335" t="s">
        <v>1241</v>
      </c>
    </row>
    <row r="112" spans="1:2">
      <c r="A112" s="336"/>
      <c r="B112" s="239"/>
    </row>
    <row r="113" spans="1:2" ht="24">
      <c r="A113" s="340" t="s">
        <v>1255</v>
      </c>
      <c r="B113" s="335" t="s">
        <v>1552</v>
      </c>
    </row>
    <row r="114" spans="1:2">
      <c r="A114" s="336"/>
      <c r="B114" s="239"/>
    </row>
    <row r="115" spans="1:2" ht="36">
      <c r="A115" s="340" t="s">
        <v>1256</v>
      </c>
      <c r="B115" s="335" t="s">
        <v>1553</v>
      </c>
    </row>
    <row r="116" spans="1:2">
      <c r="A116" s="336"/>
      <c r="B116" s="239"/>
    </row>
    <row r="117" spans="1:2" ht="24">
      <c r="A117" s="340" t="s">
        <v>1257</v>
      </c>
      <c r="B117" s="335" t="s">
        <v>1242</v>
      </c>
    </row>
    <row r="118" spans="1:2">
      <c r="A118" s="336"/>
      <c r="B118" s="239"/>
    </row>
    <row r="119" spans="1:2">
      <c r="A119" s="340" t="s">
        <v>1258</v>
      </c>
      <c r="B119" s="335" t="s">
        <v>1243</v>
      </c>
    </row>
    <row r="120" spans="1:2">
      <c r="A120" s="336"/>
      <c r="B120" s="239"/>
    </row>
    <row r="121" spans="1:2">
      <c r="A121" s="340" t="s">
        <v>1259</v>
      </c>
      <c r="B121" s="335" t="s">
        <v>1244</v>
      </c>
    </row>
    <row r="122" spans="1:2">
      <c r="A122" s="336"/>
      <c r="B122" s="239"/>
    </row>
    <row r="123" spans="1:2">
      <c r="A123" s="386" t="s">
        <v>1260</v>
      </c>
      <c r="B123" s="341" t="s">
        <v>1245</v>
      </c>
    </row>
    <row r="124" spans="1:2">
      <c r="A124" s="387"/>
      <c r="B124" s="338" t="s">
        <v>1246</v>
      </c>
    </row>
    <row r="125" spans="1:2">
      <c r="A125" s="387"/>
      <c r="B125" s="338" t="s">
        <v>1247</v>
      </c>
    </row>
    <row r="126" spans="1:2">
      <c r="A126" s="388"/>
      <c r="B126" s="339" t="s">
        <v>1554</v>
      </c>
    </row>
    <row r="127" spans="1:2">
      <c r="A127" s="336"/>
      <c r="B127" s="239"/>
    </row>
    <row r="128" spans="1:2" ht="24">
      <c r="A128" s="340" t="s">
        <v>36</v>
      </c>
      <c r="B128" s="335" t="s">
        <v>1555</v>
      </c>
    </row>
    <row r="129" spans="1:2">
      <c r="A129" s="336"/>
      <c r="B129" s="239"/>
    </row>
    <row r="130" spans="1:2">
      <c r="A130" s="340" t="s">
        <v>1261</v>
      </c>
      <c r="B130" s="335" t="s">
        <v>1248</v>
      </c>
    </row>
    <row r="131" spans="1:2">
      <c r="A131" s="336"/>
      <c r="B131" s="239"/>
    </row>
    <row r="132" spans="1:2" ht="36">
      <c r="A132" s="340" t="s">
        <v>1262</v>
      </c>
      <c r="B132" s="335" t="s">
        <v>1249</v>
      </c>
    </row>
    <row r="133" spans="1:2">
      <c r="A133" s="336"/>
      <c r="B133" s="239"/>
    </row>
    <row r="134" spans="1:2" ht="36">
      <c r="A134" s="340" t="s">
        <v>1556</v>
      </c>
      <c r="B134" s="335" t="s">
        <v>1557</v>
      </c>
    </row>
  </sheetData>
  <mergeCells count="3">
    <mergeCell ref="A96:B96"/>
    <mergeCell ref="A101:A103"/>
    <mergeCell ref="A123:A126"/>
  </mergeCells>
  <pageMargins left="0.7" right="0.7" top="0.75" bottom="0.75" header="0.3" footer="0.3"/>
  <pageSetup paperSize="9" scale="71"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sqref="A1:A2"/>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389" t="s">
        <v>1591</v>
      </c>
    </row>
    <row r="2" spans="1:1" ht="15" customHeight="1">
      <c r="A2" s="390"/>
    </row>
    <row r="3" spans="1:1" ht="15" customHeight="1">
      <c r="A3" s="42" t="s">
        <v>253</v>
      </c>
    </row>
    <row r="4" spans="1:1" ht="15" customHeight="1">
      <c r="A4" s="42" t="s">
        <v>254</v>
      </c>
    </row>
    <row r="5" spans="1:1" ht="15" customHeight="1">
      <c r="A5" s="42" t="s">
        <v>255</v>
      </c>
    </row>
    <row r="6" spans="1:1" ht="15" customHeight="1">
      <c r="A6" s="42" t="s">
        <v>256</v>
      </c>
    </row>
    <row r="7" spans="1:1" ht="15" customHeight="1">
      <c r="A7" s="42" t="s">
        <v>195</v>
      </c>
    </row>
    <row r="8" spans="1:1" ht="15" customHeight="1">
      <c r="A8" s="139" t="s">
        <v>257</v>
      </c>
    </row>
    <row r="9" spans="1:1" ht="15" customHeight="1">
      <c r="A9" s="139" t="s">
        <v>258</v>
      </c>
    </row>
    <row r="10" spans="1:1" ht="15" customHeight="1">
      <c r="A10" s="139" t="s">
        <v>259</v>
      </c>
    </row>
    <row r="11" spans="1:1" ht="15" customHeight="1">
      <c r="A11" s="139" t="s">
        <v>260</v>
      </c>
    </row>
    <row r="12" spans="1:1" ht="15" customHeight="1">
      <c r="A12" s="139" t="s">
        <v>261</v>
      </c>
    </row>
    <row r="13" spans="1:1" ht="15" customHeight="1">
      <c r="A13" s="139" t="s">
        <v>262</v>
      </c>
    </row>
    <row r="14" spans="1:1" ht="15" customHeight="1">
      <c r="A14" s="42" t="s">
        <v>263</v>
      </c>
    </row>
    <row r="15" spans="1:1" ht="15" customHeight="1">
      <c r="A15" s="43" t="s">
        <v>1277</v>
      </c>
    </row>
    <row r="16" spans="1:1" ht="15" customHeight="1">
      <c r="A16" s="139"/>
    </row>
  </sheetData>
  <dataConsolidate link="1"/>
  <mergeCells count="1">
    <mergeCell ref="A1:A2"/>
  </mergeCells>
  <phoneticPr fontId="22"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zoomScale="85" zoomScaleNormal="85" workbookViewId="0">
      <pane ySplit="3" topLeftCell="A4" activePane="bottomLeft" state="frozen"/>
      <selection pane="bottomLeft" activeCell="V34" sqref="V34"/>
    </sheetView>
  </sheetViews>
  <sheetFormatPr defaultRowHeight="12.75"/>
  <cols>
    <col min="1" max="1" width="14.42578125" style="209" customWidth="1"/>
    <col min="2" max="2" width="26" bestFit="1" customWidth="1"/>
    <col min="3" max="3" width="16.140625" style="209" customWidth="1"/>
    <col min="4" max="4" width="25.85546875" bestFit="1" customWidth="1"/>
    <col min="5" max="5" width="14.85546875" style="209" bestFit="1" customWidth="1"/>
    <col min="6" max="6" width="16.42578125" style="209" customWidth="1"/>
    <col min="7" max="25" width="5.5703125" style="209" bestFit="1" customWidth="1"/>
  </cols>
  <sheetData>
    <row r="1" spans="1:25" ht="33.75">
      <c r="A1" s="208" t="s">
        <v>1278</v>
      </c>
    </row>
    <row r="2" spans="1:25" ht="15.75">
      <c r="G2" s="391" t="s">
        <v>275</v>
      </c>
      <c r="H2" s="391"/>
      <c r="I2" s="391"/>
      <c r="J2" s="391"/>
      <c r="K2" s="391"/>
      <c r="L2" s="391"/>
      <c r="M2" s="391"/>
      <c r="N2" s="391"/>
      <c r="O2" s="392" t="s">
        <v>276</v>
      </c>
      <c r="P2" s="392"/>
      <c r="Q2" s="392"/>
      <c r="R2" s="392"/>
      <c r="S2" s="392"/>
      <c r="T2" s="392"/>
      <c r="U2" s="392"/>
      <c r="V2" s="392"/>
      <c r="W2" s="393" t="s">
        <v>277</v>
      </c>
      <c r="X2" s="393"/>
      <c r="Y2" s="393"/>
    </row>
    <row r="3" spans="1:25" ht="30" customHeight="1">
      <c r="A3" s="210" t="s">
        <v>33</v>
      </c>
      <c r="B3" s="211" t="s">
        <v>136</v>
      </c>
      <c r="C3" s="212" t="s">
        <v>118</v>
      </c>
      <c r="D3" s="211" t="s">
        <v>298</v>
      </c>
      <c r="E3" s="212" t="s">
        <v>299</v>
      </c>
      <c r="F3" s="212" t="s">
        <v>1594</v>
      </c>
      <c r="G3" s="213" t="s">
        <v>278</v>
      </c>
      <c r="H3" s="213" t="s">
        <v>279</v>
      </c>
      <c r="I3" s="213" t="s">
        <v>280</v>
      </c>
      <c r="J3" s="213" t="s">
        <v>281</v>
      </c>
      <c r="K3" s="213" t="s">
        <v>282</v>
      </c>
      <c r="L3" s="213" t="s">
        <v>283</v>
      </c>
      <c r="M3" s="213" t="s">
        <v>284</v>
      </c>
      <c r="N3" s="213" t="s">
        <v>285</v>
      </c>
      <c r="O3" s="214" t="s">
        <v>286</v>
      </c>
      <c r="P3" s="214" t="s">
        <v>287</v>
      </c>
      <c r="Q3" s="214" t="s">
        <v>288</v>
      </c>
      <c r="R3" s="214" t="s">
        <v>289</v>
      </c>
      <c r="S3" s="214" t="s">
        <v>290</v>
      </c>
      <c r="T3" s="214" t="s">
        <v>291</v>
      </c>
      <c r="U3" s="214" t="s">
        <v>292</v>
      </c>
      <c r="V3" s="214" t="s">
        <v>293</v>
      </c>
      <c r="W3" s="215" t="s">
        <v>294</v>
      </c>
      <c r="X3" s="215" t="s">
        <v>295</v>
      </c>
      <c r="Y3" s="215" t="s">
        <v>296</v>
      </c>
    </row>
    <row r="4" spans="1:25">
      <c r="A4" s="216">
        <v>1</v>
      </c>
      <c r="B4" s="217" t="str">
        <f>VLOOKUP(Tabel10[[#This Row],[Code]],Ruimtegroepen[[Code]:[Ruimte omschrijving]],2,FALSE)</f>
        <v>Magazijnen/bergingen</v>
      </c>
      <c r="C4" s="218" t="s">
        <v>300</v>
      </c>
      <c r="D4" s="217" t="s">
        <v>29</v>
      </c>
      <c r="E4" s="219" t="s">
        <v>101</v>
      </c>
      <c r="F4" s="218" t="s">
        <v>301</v>
      </c>
      <c r="G4" s="220" t="s">
        <v>302</v>
      </c>
      <c r="H4" s="220" t="s">
        <v>302</v>
      </c>
      <c r="I4" s="220" t="s">
        <v>20</v>
      </c>
      <c r="J4" s="221" t="s">
        <v>15</v>
      </c>
      <c r="K4" s="220" t="s">
        <v>302</v>
      </c>
      <c r="L4" s="220" t="s">
        <v>302</v>
      </c>
      <c r="M4" s="220" t="s">
        <v>302</v>
      </c>
      <c r="N4" s="221" t="s">
        <v>2</v>
      </c>
      <c r="O4" s="222" t="s">
        <v>302</v>
      </c>
      <c r="P4" s="222" t="s">
        <v>302</v>
      </c>
      <c r="Q4" s="222" t="s">
        <v>302</v>
      </c>
      <c r="R4" s="222" t="s">
        <v>302</v>
      </c>
      <c r="S4" s="222" t="s">
        <v>2</v>
      </c>
      <c r="T4" s="222" t="s">
        <v>303</v>
      </c>
      <c r="U4" s="222" t="s">
        <v>303</v>
      </c>
      <c r="V4" s="222" t="s">
        <v>2</v>
      </c>
      <c r="W4" s="223" t="s">
        <v>302</v>
      </c>
      <c r="X4" s="223" t="s">
        <v>302</v>
      </c>
      <c r="Y4" s="224" t="s">
        <v>302</v>
      </c>
    </row>
    <row r="5" spans="1:25">
      <c r="A5" s="216">
        <v>1</v>
      </c>
      <c r="B5" s="217" t="str">
        <f>VLOOKUP(Tabel10[[#This Row],[Code]],Ruimtegroepen[[Code]:[Ruimte omschrijving]],2,FALSE)</f>
        <v>Magazijnen/bergingen</v>
      </c>
      <c r="C5" s="218" t="s">
        <v>300</v>
      </c>
      <c r="D5" s="217" t="s">
        <v>29</v>
      </c>
      <c r="E5" s="219" t="s">
        <v>100</v>
      </c>
      <c r="F5" s="218" t="s">
        <v>304</v>
      </c>
      <c r="G5" s="221" t="s">
        <v>20</v>
      </c>
      <c r="H5" s="221" t="s">
        <v>15</v>
      </c>
      <c r="I5" s="220" t="s">
        <v>302</v>
      </c>
      <c r="J5" s="220" t="s">
        <v>302</v>
      </c>
      <c r="K5" s="220" t="s">
        <v>302</v>
      </c>
      <c r="L5" s="220" t="s">
        <v>302</v>
      </c>
      <c r="M5" s="220" t="s">
        <v>302</v>
      </c>
      <c r="N5" s="221" t="s">
        <v>2</v>
      </c>
      <c r="O5" s="222" t="s">
        <v>302</v>
      </c>
      <c r="P5" s="222" t="s">
        <v>302</v>
      </c>
      <c r="Q5" s="222" t="s">
        <v>302</v>
      </c>
      <c r="R5" s="222" t="s">
        <v>302</v>
      </c>
      <c r="S5" s="222" t="s">
        <v>2</v>
      </c>
      <c r="T5" s="222" t="s">
        <v>303</v>
      </c>
      <c r="U5" s="222" t="s">
        <v>303</v>
      </c>
      <c r="V5" s="222" t="s">
        <v>2</v>
      </c>
      <c r="W5" s="223" t="s">
        <v>302</v>
      </c>
      <c r="X5" s="223" t="s">
        <v>302</v>
      </c>
      <c r="Y5" s="224" t="s">
        <v>302</v>
      </c>
    </row>
    <row r="6" spans="1:25">
      <c r="A6" s="216">
        <v>1</v>
      </c>
      <c r="B6" s="217" t="str">
        <f>VLOOKUP(Tabel10[[#This Row],[Code]],Ruimtegroepen[[Code]:[Ruimte omschrijving]],2,FALSE)</f>
        <v>Magazijnen/bergingen</v>
      </c>
      <c r="C6" s="218" t="s">
        <v>300</v>
      </c>
      <c r="D6" s="217" t="s">
        <v>29</v>
      </c>
      <c r="E6" s="219" t="s">
        <v>102</v>
      </c>
      <c r="F6" s="218" t="s">
        <v>305</v>
      </c>
      <c r="G6" s="263" t="s">
        <v>302</v>
      </c>
      <c r="H6" s="220" t="s">
        <v>302</v>
      </c>
      <c r="I6" s="220" t="s">
        <v>20</v>
      </c>
      <c r="J6" s="221" t="s">
        <v>15</v>
      </c>
      <c r="K6" s="221" t="s">
        <v>269</v>
      </c>
      <c r="L6" s="220" t="s">
        <v>302</v>
      </c>
      <c r="M6" s="220" t="s">
        <v>302</v>
      </c>
      <c r="N6" s="221" t="s">
        <v>2</v>
      </c>
      <c r="O6" s="222" t="s">
        <v>302</v>
      </c>
      <c r="P6" s="222" t="s">
        <v>302</v>
      </c>
      <c r="Q6" s="222" t="s">
        <v>302</v>
      </c>
      <c r="R6" s="222" t="s">
        <v>302</v>
      </c>
      <c r="S6" s="222" t="s">
        <v>2</v>
      </c>
      <c r="T6" s="222" t="s">
        <v>303</v>
      </c>
      <c r="U6" s="222" t="s">
        <v>303</v>
      </c>
      <c r="V6" s="222" t="s">
        <v>2</v>
      </c>
      <c r="W6" s="223" t="s">
        <v>302</v>
      </c>
      <c r="X6" s="223" t="s">
        <v>302</v>
      </c>
      <c r="Y6" s="224" t="s">
        <v>302</v>
      </c>
    </row>
    <row r="7" spans="1:25">
      <c r="A7" s="216">
        <v>1</v>
      </c>
      <c r="B7" s="217" t="str">
        <f>VLOOKUP(Tabel10[[#This Row],[Code]],Ruimtegroepen[[Code]:[Ruimte omschrijving]],2,FALSE)</f>
        <v>Magazijnen/bergingen</v>
      </c>
      <c r="C7" s="218" t="s">
        <v>300</v>
      </c>
      <c r="D7" s="217" t="s">
        <v>29</v>
      </c>
      <c r="E7" s="219" t="s">
        <v>103</v>
      </c>
      <c r="F7" s="218" t="s">
        <v>306</v>
      </c>
      <c r="G7" s="263" t="s">
        <v>302</v>
      </c>
      <c r="H7" s="220" t="s">
        <v>302</v>
      </c>
      <c r="I7" s="220" t="s">
        <v>20</v>
      </c>
      <c r="J7" s="221" t="s">
        <v>15</v>
      </c>
      <c r="K7" s="220" t="s">
        <v>269</v>
      </c>
      <c r="L7" s="220" t="s">
        <v>302</v>
      </c>
      <c r="M7" s="220" t="s">
        <v>302</v>
      </c>
      <c r="N7" s="221" t="s">
        <v>2</v>
      </c>
      <c r="O7" s="222" t="s">
        <v>302</v>
      </c>
      <c r="P7" s="222" t="s">
        <v>302</v>
      </c>
      <c r="Q7" s="222" t="s">
        <v>302</v>
      </c>
      <c r="R7" s="222" t="s">
        <v>302</v>
      </c>
      <c r="S7" s="222" t="s">
        <v>2</v>
      </c>
      <c r="T7" s="222" t="s">
        <v>303</v>
      </c>
      <c r="U7" s="222" t="s">
        <v>303</v>
      </c>
      <c r="V7" s="222" t="s">
        <v>2</v>
      </c>
      <c r="W7" s="223" t="s">
        <v>302</v>
      </c>
      <c r="X7" s="223" t="s">
        <v>302</v>
      </c>
      <c r="Y7" s="224" t="s">
        <v>302</v>
      </c>
    </row>
    <row r="8" spans="1:25">
      <c r="A8" s="225">
        <v>1</v>
      </c>
      <c r="B8" s="217" t="str">
        <f>VLOOKUP(Tabel10[[#This Row],[Code]],Ruimtegroepen[[Code]:[Ruimte omschrijving]],2,FALSE)</f>
        <v>Magazijnen/bergingen</v>
      </c>
      <c r="C8" s="218" t="s">
        <v>300</v>
      </c>
      <c r="D8" s="217" t="s">
        <v>29</v>
      </c>
      <c r="E8" s="219" t="s">
        <v>100</v>
      </c>
      <c r="F8" s="218" t="s">
        <v>304</v>
      </c>
      <c r="G8" s="226" t="s">
        <v>20</v>
      </c>
      <c r="H8" s="226" t="s">
        <v>15</v>
      </c>
      <c r="I8" s="220" t="s">
        <v>302</v>
      </c>
      <c r="J8" s="220" t="s">
        <v>302</v>
      </c>
      <c r="K8" s="220" t="s">
        <v>302</v>
      </c>
      <c r="L8" s="220" t="s">
        <v>302</v>
      </c>
      <c r="M8" s="220" t="s">
        <v>302</v>
      </c>
      <c r="N8" s="226" t="s">
        <v>2</v>
      </c>
      <c r="O8" s="227" t="s">
        <v>302</v>
      </c>
      <c r="P8" s="227" t="s">
        <v>302</v>
      </c>
      <c r="Q8" s="227" t="s">
        <v>302</v>
      </c>
      <c r="R8" s="227" t="s">
        <v>302</v>
      </c>
      <c r="S8" s="227" t="s">
        <v>2</v>
      </c>
      <c r="T8" s="227" t="s">
        <v>303</v>
      </c>
      <c r="U8" s="227" t="s">
        <v>303</v>
      </c>
      <c r="V8" s="227" t="s">
        <v>2</v>
      </c>
      <c r="W8" s="228" t="s">
        <v>302</v>
      </c>
      <c r="X8" s="228" t="s">
        <v>302</v>
      </c>
      <c r="Y8" s="229" t="s">
        <v>302</v>
      </c>
    </row>
    <row r="9" spans="1:25">
      <c r="A9" s="216">
        <v>1</v>
      </c>
      <c r="B9" s="217" t="str">
        <f>VLOOKUP(Tabel10[[#This Row],[Code]],Ruimtegroepen[[Code]:[Ruimte omschrijving]],2,FALSE)</f>
        <v>Magazijnen/bergingen</v>
      </c>
      <c r="C9" s="218" t="s">
        <v>300</v>
      </c>
      <c r="D9" s="217" t="s">
        <v>29</v>
      </c>
      <c r="E9" s="219" t="s">
        <v>1325</v>
      </c>
      <c r="F9" s="218" t="s">
        <v>1326</v>
      </c>
      <c r="G9" s="220" t="s">
        <v>302</v>
      </c>
      <c r="H9" s="220" t="s">
        <v>302</v>
      </c>
      <c r="I9" s="220" t="s">
        <v>20</v>
      </c>
      <c r="J9" s="220" t="s">
        <v>15</v>
      </c>
      <c r="K9" s="220" t="s">
        <v>269</v>
      </c>
      <c r="L9" s="220" t="s">
        <v>302</v>
      </c>
      <c r="M9" s="220" t="s">
        <v>302</v>
      </c>
      <c r="N9" s="221" t="s">
        <v>2</v>
      </c>
      <c r="O9" s="227" t="s">
        <v>302</v>
      </c>
      <c r="P9" s="227" t="s">
        <v>302</v>
      </c>
      <c r="Q9" s="227" t="s">
        <v>302</v>
      </c>
      <c r="R9" s="227" t="s">
        <v>302</v>
      </c>
      <c r="S9" s="227" t="s">
        <v>2</v>
      </c>
      <c r="T9" s="227" t="s">
        <v>303</v>
      </c>
      <c r="U9" s="227" t="s">
        <v>303</v>
      </c>
      <c r="V9" s="227" t="s">
        <v>2</v>
      </c>
      <c r="W9" s="228" t="s">
        <v>302</v>
      </c>
      <c r="X9" s="228" t="s">
        <v>302</v>
      </c>
      <c r="Y9" s="228" t="s">
        <v>302</v>
      </c>
    </row>
    <row r="10" spans="1:25">
      <c r="A10" s="216">
        <v>1</v>
      </c>
      <c r="B10" s="217" t="str">
        <f>VLOOKUP(Tabel10[[#This Row],[Code]],Ruimtegroepen[[Code]:[Ruimte omschrijving]],2,FALSE)</f>
        <v>Magazijnen/bergingen</v>
      </c>
      <c r="C10" s="218" t="s">
        <v>307</v>
      </c>
      <c r="D10" s="217" t="s">
        <v>1</v>
      </c>
      <c r="E10" s="219" t="s">
        <v>101</v>
      </c>
      <c r="F10" s="218" t="s">
        <v>308</v>
      </c>
      <c r="G10" s="263" t="s">
        <v>302</v>
      </c>
      <c r="H10" s="220" t="s">
        <v>302</v>
      </c>
      <c r="I10" s="220" t="s">
        <v>20</v>
      </c>
      <c r="J10" s="220" t="s">
        <v>15</v>
      </c>
      <c r="K10" s="220" t="s">
        <v>302</v>
      </c>
      <c r="L10" s="220" t="s">
        <v>302</v>
      </c>
      <c r="M10" s="220" t="s">
        <v>302</v>
      </c>
      <c r="N10" s="221" t="s">
        <v>302</v>
      </c>
      <c r="O10" s="222" t="s">
        <v>302</v>
      </c>
      <c r="P10" s="222" t="s">
        <v>302</v>
      </c>
      <c r="Q10" s="222" t="s">
        <v>302</v>
      </c>
      <c r="R10" s="222" t="s">
        <v>302</v>
      </c>
      <c r="S10" s="222" t="s">
        <v>2</v>
      </c>
      <c r="T10" s="222" t="s">
        <v>303</v>
      </c>
      <c r="U10" s="222" t="s">
        <v>303</v>
      </c>
      <c r="V10" s="222" t="s">
        <v>302</v>
      </c>
      <c r="W10" s="223" t="s">
        <v>302</v>
      </c>
      <c r="X10" s="223" t="s">
        <v>302</v>
      </c>
      <c r="Y10" s="224" t="s">
        <v>302</v>
      </c>
    </row>
    <row r="11" spans="1:25">
      <c r="A11" s="216">
        <v>1</v>
      </c>
      <c r="B11" s="217" t="str">
        <f>VLOOKUP(Tabel10[[#This Row],[Code]],Ruimtegroepen[[Code]:[Ruimte omschrijving]],2,FALSE)</f>
        <v>Magazijnen/bergingen</v>
      </c>
      <c r="C11" s="218" t="s">
        <v>307</v>
      </c>
      <c r="D11" s="217" t="s">
        <v>1</v>
      </c>
      <c r="E11" s="219" t="s">
        <v>100</v>
      </c>
      <c r="F11" s="218" t="s">
        <v>309</v>
      </c>
      <c r="G11" s="221" t="s">
        <v>20</v>
      </c>
      <c r="H11" s="221" t="s">
        <v>15</v>
      </c>
      <c r="I11" s="220" t="s">
        <v>302</v>
      </c>
      <c r="J11" s="220" t="s">
        <v>302</v>
      </c>
      <c r="K11" s="220" t="s">
        <v>302</v>
      </c>
      <c r="L11" s="220" t="s">
        <v>302</v>
      </c>
      <c r="M11" s="220" t="s">
        <v>302</v>
      </c>
      <c r="N11" s="221" t="s">
        <v>302</v>
      </c>
      <c r="O11" s="222" t="s">
        <v>302</v>
      </c>
      <c r="P11" s="222" t="s">
        <v>302</v>
      </c>
      <c r="Q11" s="222" t="s">
        <v>302</v>
      </c>
      <c r="R11" s="222" t="s">
        <v>302</v>
      </c>
      <c r="S11" s="222" t="s">
        <v>2</v>
      </c>
      <c r="T11" s="222" t="s">
        <v>303</v>
      </c>
      <c r="U11" s="222" t="s">
        <v>303</v>
      </c>
      <c r="V11" s="222" t="s">
        <v>302</v>
      </c>
      <c r="W11" s="223" t="s">
        <v>302</v>
      </c>
      <c r="X11" s="223" t="s">
        <v>302</v>
      </c>
      <c r="Y11" s="224" t="s">
        <v>302</v>
      </c>
    </row>
    <row r="12" spans="1:25">
      <c r="A12" s="216">
        <v>1</v>
      </c>
      <c r="B12" s="217" t="str">
        <f>VLOOKUP(Tabel10[[#This Row],[Code]],Ruimtegroepen[[Code]:[Ruimte omschrijving]],2,FALSE)</f>
        <v>Magazijnen/bergingen</v>
      </c>
      <c r="C12" s="218" t="s">
        <v>307</v>
      </c>
      <c r="D12" s="217" t="s">
        <v>1</v>
      </c>
      <c r="E12" s="219" t="s">
        <v>102</v>
      </c>
      <c r="F12" s="218" t="s">
        <v>310</v>
      </c>
      <c r="G12" s="263" t="s">
        <v>302</v>
      </c>
      <c r="H12" s="220" t="s">
        <v>302</v>
      </c>
      <c r="I12" s="220" t="s">
        <v>20</v>
      </c>
      <c r="J12" s="220" t="s">
        <v>15</v>
      </c>
      <c r="K12" s="220" t="s">
        <v>269</v>
      </c>
      <c r="L12" s="220" t="s">
        <v>302</v>
      </c>
      <c r="M12" s="220" t="s">
        <v>302</v>
      </c>
      <c r="N12" s="221" t="s">
        <v>302</v>
      </c>
      <c r="O12" s="222" t="s">
        <v>302</v>
      </c>
      <c r="P12" s="222" t="s">
        <v>302</v>
      </c>
      <c r="Q12" s="222" t="s">
        <v>302</v>
      </c>
      <c r="R12" s="222" t="s">
        <v>302</v>
      </c>
      <c r="S12" s="222" t="s">
        <v>2</v>
      </c>
      <c r="T12" s="222" t="s">
        <v>303</v>
      </c>
      <c r="U12" s="222" t="s">
        <v>303</v>
      </c>
      <c r="V12" s="222" t="s">
        <v>302</v>
      </c>
      <c r="W12" s="223" t="s">
        <v>302</v>
      </c>
      <c r="X12" s="223" t="s">
        <v>302</v>
      </c>
      <c r="Y12" s="224" t="s">
        <v>302</v>
      </c>
    </row>
    <row r="13" spans="1:25">
      <c r="A13" s="216">
        <v>1</v>
      </c>
      <c r="B13" s="217" t="str">
        <f>VLOOKUP(Tabel10[[#This Row],[Code]],Ruimtegroepen[[Code]:[Ruimte omschrijving]],2,FALSE)</f>
        <v>Magazijnen/bergingen</v>
      </c>
      <c r="C13" s="218" t="s">
        <v>307</v>
      </c>
      <c r="D13" s="217" t="s">
        <v>1</v>
      </c>
      <c r="E13" s="219" t="s">
        <v>103</v>
      </c>
      <c r="F13" s="218" t="s">
        <v>311</v>
      </c>
      <c r="G13" s="263" t="s">
        <v>302</v>
      </c>
      <c r="H13" s="220" t="s">
        <v>302</v>
      </c>
      <c r="I13" s="220" t="s">
        <v>20</v>
      </c>
      <c r="J13" s="220" t="s">
        <v>15</v>
      </c>
      <c r="K13" s="220" t="s">
        <v>269</v>
      </c>
      <c r="L13" s="220" t="s">
        <v>302</v>
      </c>
      <c r="M13" s="220" t="s">
        <v>302</v>
      </c>
      <c r="N13" s="221" t="s">
        <v>302</v>
      </c>
      <c r="O13" s="222" t="s">
        <v>302</v>
      </c>
      <c r="P13" s="222" t="s">
        <v>302</v>
      </c>
      <c r="Q13" s="222" t="s">
        <v>302</v>
      </c>
      <c r="R13" s="222" t="s">
        <v>302</v>
      </c>
      <c r="S13" s="222" t="s">
        <v>2</v>
      </c>
      <c r="T13" s="222" t="s">
        <v>303</v>
      </c>
      <c r="U13" s="222" t="s">
        <v>303</v>
      </c>
      <c r="V13" s="222" t="s">
        <v>302</v>
      </c>
      <c r="W13" s="223" t="s">
        <v>302</v>
      </c>
      <c r="X13" s="223" t="s">
        <v>302</v>
      </c>
      <c r="Y13" s="224" t="s">
        <v>302</v>
      </c>
    </row>
    <row r="14" spans="1:25">
      <c r="A14" s="216">
        <v>1</v>
      </c>
      <c r="B14" s="217" t="str">
        <f>VLOOKUP(Tabel10[[#This Row],[Code]],Ruimtegroepen[[Code]:[Ruimte omschrijving]],2,FALSE)</f>
        <v>Magazijnen/bergingen</v>
      </c>
      <c r="C14" s="218" t="s">
        <v>307</v>
      </c>
      <c r="D14" s="217" t="s">
        <v>1</v>
      </c>
      <c r="E14" s="219" t="s">
        <v>100</v>
      </c>
      <c r="F14" s="218" t="s">
        <v>309</v>
      </c>
      <c r="G14" s="221" t="s">
        <v>20</v>
      </c>
      <c r="H14" s="221" t="s">
        <v>15</v>
      </c>
      <c r="I14" s="220" t="s">
        <v>302</v>
      </c>
      <c r="J14" s="220" t="s">
        <v>302</v>
      </c>
      <c r="K14" s="220" t="s">
        <v>302</v>
      </c>
      <c r="L14" s="220" t="s">
        <v>302</v>
      </c>
      <c r="M14" s="220" t="s">
        <v>302</v>
      </c>
      <c r="N14" s="221" t="s">
        <v>302</v>
      </c>
      <c r="O14" s="222" t="s">
        <v>302</v>
      </c>
      <c r="P14" s="222" t="s">
        <v>302</v>
      </c>
      <c r="Q14" s="222" t="s">
        <v>302</v>
      </c>
      <c r="R14" s="222" t="s">
        <v>302</v>
      </c>
      <c r="S14" s="222" t="s">
        <v>2</v>
      </c>
      <c r="T14" s="222" t="s">
        <v>303</v>
      </c>
      <c r="U14" s="222" t="s">
        <v>303</v>
      </c>
      <c r="V14" s="222" t="s">
        <v>302</v>
      </c>
      <c r="W14" s="223" t="s">
        <v>302</v>
      </c>
      <c r="X14" s="223" t="s">
        <v>302</v>
      </c>
      <c r="Y14" s="224" t="s">
        <v>302</v>
      </c>
    </row>
    <row r="15" spans="1:25">
      <c r="A15" s="216">
        <v>1</v>
      </c>
      <c r="B15" s="217" t="str">
        <f>VLOOKUP(Tabel10[[#This Row],[Code]],Ruimtegroepen[[Code]:[Ruimte omschrijving]],2,FALSE)</f>
        <v>Magazijnen/bergingen</v>
      </c>
      <c r="C15" s="218" t="s">
        <v>307</v>
      </c>
      <c r="D15" s="217" t="s">
        <v>1</v>
      </c>
      <c r="E15" s="219" t="s">
        <v>1325</v>
      </c>
      <c r="F15" s="218" t="s">
        <v>1327</v>
      </c>
      <c r="G15" s="263" t="s">
        <v>302</v>
      </c>
      <c r="H15" s="220" t="s">
        <v>302</v>
      </c>
      <c r="I15" s="220" t="s">
        <v>20</v>
      </c>
      <c r="J15" s="220" t="s">
        <v>15</v>
      </c>
      <c r="K15" s="220" t="s">
        <v>269</v>
      </c>
      <c r="L15" s="220" t="s">
        <v>302</v>
      </c>
      <c r="M15" s="220" t="s">
        <v>302</v>
      </c>
      <c r="N15" s="221" t="s">
        <v>302</v>
      </c>
      <c r="O15" s="222" t="s">
        <v>302</v>
      </c>
      <c r="P15" s="222" t="s">
        <v>302</v>
      </c>
      <c r="Q15" s="222" t="s">
        <v>302</v>
      </c>
      <c r="R15" s="222" t="s">
        <v>302</v>
      </c>
      <c r="S15" s="222" t="s">
        <v>2</v>
      </c>
      <c r="T15" s="222" t="s">
        <v>303</v>
      </c>
      <c r="U15" s="222" t="s">
        <v>303</v>
      </c>
      <c r="V15" s="222" t="s">
        <v>302</v>
      </c>
      <c r="W15" s="223" t="s">
        <v>302</v>
      </c>
      <c r="X15" s="223" t="s">
        <v>302</v>
      </c>
      <c r="Y15" s="224" t="s">
        <v>302</v>
      </c>
    </row>
    <row r="16" spans="1:25">
      <c r="A16" s="216">
        <v>1</v>
      </c>
      <c r="B16" s="217" t="str">
        <f>VLOOKUP(Tabel10[[#This Row],[Code]],Ruimtegroepen[[Code]:[Ruimte omschrijving]],2,FALSE)</f>
        <v>Magazijnen/bergingen</v>
      </c>
      <c r="C16" s="218" t="s">
        <v>312</v>
      </c>
      <c r="D16" s="217" t="s">
        <v>21</v>
      </c>
      <c r="E16" s="219" t="s">
        <v>101</v>
      </c>
      <c r="F16" s="218" t="s">
        <v>313</v>
      </c>
      <c r="G16" s="263" t="s">
        <v>302</v>
      </c>
      <c r="H16" s="220" t="s">
        <v>302</v>
      </c>
      <c r="I16" s="220" t="s">
        <v>18</v>
      </c>
      <c r="J16" s="220" t="s">
        <v>15</v>
      </c>
      <c r="K16" s="220" t="s">
        <v>302</v>
      </c>
      <c r="L16" s="220" t="s">
        <v>302</v>
      </c>
      <c r="M16" s="220" t="s">
        <v>302</v>
      </c>
      <c r="N16" s="221" t="s">
        <v>302</v>
      </c>
      <c r="O16" s="222" t="s">
        <v>302</v>
      </c>
      <c r="P16" s="222" t="s">
        <v>302</v>
      </c>
      <c r="Q16" s="222" t="s">
        <v>302</v>
      </c>
      <c r="R16" s="222" t="s">
        <v>302</v>
      </c>
      <c r="S16" s="222" t="s">
        <v>20</v>
      </c>
      <c r="T16" s="222" t="s">
        <v>303</v>
      </c>
      <c r="U16" s="222" t="s">
        <v>303</v>
      </c>
      <c r="V16" s="222" t="s">
        <v>302</v>
      </c>
      <c r="W16" s="223" t="s">
        <v>302</v>
      </c>
      <c r="X16" s="223" t="s">
        <v>302</v>
      </c>
      <c r="Y16" s="224" t="s">
        <v>302</v>
      </c>
    </row>
    <row r="17" spans="1:25">
      <c r="A17" s="216">
        <v>1</v>
      </c>
      <c r="B17" s="217" t="str">
        <f>VLOOKUP(Tabel10[[#This Row],[Code]],Ruimtegroepen[[Code]:[Ruimte omschrijving]],2,FALSE)</f>
        <v>Magazijnen/bergingen</v>
      </c>
      <c r="C17" s="218" t="s">
        <v>312</v>
      </c>
      <c r="D17" s="217" t="s">
        <v>21</v>
      </c>
      <c r="E17" s="219" t="s">
        <v>100</v>
      </c>
      <c r="F17" s="218" t="s">
        <v>314</v>
      </c>
      <c r="G17" s="221" t="s">
        <v>18</v>
      </c>
      <c r="H17" s="221" t="s">
        <v>15</v>
      </c>
      <c r="I17" s="220" t="s">
        <v>302</v>
      </c>
      <c r="J17" s="220" t="s">
        <v>302</v>
      </c>
      <c r="K17" s="220" t="s">
        <v>302</v>
      </c>
      <c r="L17" s="220" t="s">
        <v>302</v>
      </c>
      <c r="M17" s="220" t="s">
        <v>302</v>
      </c>
      <c r="N17" s="221" t="s">
        <v>302</v>
      </c>
      <c r="O17" s="222" t="s">
        <v>302</v>
      </c>
      <c r="P17" s="222" t="s">
        <v>302</v>
      </c>
      <c r="Q17" s="222" t="s">
        <v>302</v>
      </c>
      <c r="R17" s="222" t="s">
        <v>302</v>
      </c>
      <c r="S17" s="222" t="s">
        <v>20</v>
      </c>
      <c r="T17" s="222" t="s">
        <v>303</v>
      </c>
      <c r="U17" s="222" t="s">
        <v>303</v>
      </c>
      <c r="V17" s="222" t="s">
        <v>302</v>
      </c>
      <c r="W17" s="223" t="s">
        <v>302</v>
      </c>
      <c r="X17" s="223" t="s">
        <v>302</v>
      </c>
      <c r="Y17" s="224" t="s">
        <v>302</v>
      </c>
    </row>
    <row r="18" spans="1:25">
      <c r="A18" s="216">
        <v>1</v>
      </c>
      <c r="B18" s="217" t="str">
        <f>VLOOKUP(Tabel10[[#This Row],[Code]],Ruimtegroepen[[Code]:[Ruimte omschrijving]],2,FALSE)</f>
        <v>Magazijnen/bergingen</v>
      </c>
      <c r="C18" s="218" t="s">
        <v>312</v>
      </c>
      <c r="D18" s="217" t="s">
        <v>21</v>
      </c>
      <c r="E18" s="219" t="s">
        <v>102</v>
      </c>
      <c r="F18" s="218" t="s">
        <v>315</v>
      </c>
      <c r="G18" s="263" t="s">
        <v>302</v>
      </c>
      <c r="H18" s="220" t="s">
        <v>302</v>
      </c>
      <c r="I18" s="220" t="s">
        <v>18</v>
      </c>
      <c r="J18" s="220" t="s">
        <v>15</v>
      </c>
      <c r="K18" s="220" t="s">
        <v>269</v>
      </c>
      <c r="L18" s="220" t="s">
        <v>302</v>
      </c>
      <c r="M18" s="220" t="s">
        <v>302</v>
      </c>
      <c r="N18" s="221" t="s">
        <v>302</v>
      </c>
      <c r="O18" s="230" t="s">
        <v>302</v>
      </c>
      <c r="P18" s="222" t="s">
        <v>302</v>
      </c>
      <c r="Q18" s="222" t="s">
        <v>302</v>
      </c>
      <c r="R18" s="222" t="s">
        <v>302</v>
      </c>
      <c r="S18" s="222" t="s">
        <v>20</v>
      </c>
      <c r="T18" s="222" t="s">
        <v>303</v>
      </c>
      <c r="U18" s="222" t="s">
        <v>303</v>
      </c>
      <c r="V18" s="222" t="s">
        <v>302</v>
      </c>
      <c r="W18" s="223" t="s">
        <v>302</v>
      </c>
      <c r="X18" s="223" t="s">
        <v>302</v>
      </c>
      <c r="Y18" s="224" t="s">
        <v>302</v>
      </c>
    </row>
    <row r="19" spans="1:25">
      <c r="A19" s="216">
        <v>1</v>
      </c>
      <c r="B19" s="217" t="str">
        <f>VLOOKUP(Tabel10[[#This Row],[Code]],Ruimtegroepen[[Code]:[Ruimte omschrijving]],2,FALSE)</f>
        <v>Magazijnen/bergingen</v>
      </c>
      <c r="C19" s="218" t="s">
        <v>312</v>
      </c>
      <c r="D19" s="217" t="s">
        <v>21</v>
      </c>
      <c r="E19" s="219" t="s">
        <v>103</v>
      </c>
      <c r="F19" s="218" t="s">
        <v>316</v>
      </c>
      <c r="G19" s="263" t="s">
        <v>302</v>
      </c>
      <c r="H19" s="220" t="s">
        <v>302</v>
      </c>
      <c r="I19" s="220" t="s">
        <v>18</v>
      </c>
      <c r="J19" s="220" t="s">
        <v>15</v>
      </c>
      <c r="K19" s="220" t="s">
        <v>269</v>
      </c>
      <c r="L19" s="220" t="s">
        <v>302</v>
      </c>
      <c r="M19" s="220" t="s">
        <v>302</v>
      </c>
      <c r="N19" s="221" t="s">
        <v>302</v>
      </c>
      <c r="O19" s="222" t="s">
        <v>302</v>
      </c>
      <c r="P19" s="222" t="s">
        <v>302</v>
      </c>
      <c r="Q19" s="222" t="s">
        <v>302</v>
      </c>
      <c r="R19" s="222" t="s">
        <v>302</v>
      </c>
      <c r="S19" s="222" t="s">
        <v>20</v>
      </c>
      <c r="T19" s="222" t="s">
        <v>303</v>
      </c>
      <c r="U19" s="222" t="s">
        <v>303</v>
      </c>
      <c r="V19" s="222" t="s">
        <v>302</v>
      </c>
      <c r="W19" s="223" t="s">
        <v>302</v>
      </c>
      <c r="X19" s="223" t="s">
        <v>302</v>
      </c>
      <c r="Y19" s="224" t="s">
        <v>302</v>
      </c>
    </row>
    <row r="20" spans="1:25">
      <c r="A20" s="216">
        <v>1</v>
      </c>
      <c r="B20" s="217" t="str">
        <f>VLOOKUP(Tabel10[[#This Row],[Code]],Ruimtegroepen[[Code]:[Ruimte omschrijving]],2,FALSE)</f>
        <v>Magazijnen/bergingen</v>
      </c>
      <c r="C20" s="218" t="s">
        <v>312</v>
      </c>
      <c r="D20" s="217" t="s">
        <v>21</v>
      </c>
      <c r="E20" s="219" t="s">
        <v>100</v>
      </c>
      <c r="F20" s="218" t="s">
        <v>314</v>
      </c>
      <c r="G20" s="221" t="s">
        <v>18</v>
      </c>
      <c r="H20" s="221" t="s">
        <v>15</v>
      </c>
      <c r="I20" s="220" t="s">
        <v>302</v>
      </c>
      <c r="J20" s="220" t="s">
        <v>302</v>
      </c>
      <c r="K20" s="220" t="s">
        <v>302</v>
      </c>
      <c r="L20" s="220" t="s">
        <v>302</v>
      </c>
      <c r="M20" s="220" t="s">
        <v>302</v>
      </c>
      <c r="N20" s="221" t="s">
        <v>302</v>
      </c>
      <c r="O20" s="222" t="s">
        <v>302</v>
      </c>
      <c r="P20" s="222" t="s">
        <v>302</v>
      </c>
      <c r="Q20" s="222" t="s">
        <v>302</v>
      </c>
      <c r="R20" s="222" t="s">
        <v>302</v>
      </c>
      <c r="S20" s="222" t="s">
        <v>20</v>
      </c>
      <c r="T20" s="222" t="s">
        <v>303</v>
      </c>
      <c r="U20" s="222" t="s">
        <v>303</v>
      </c>
      <c r="V20" s="222" t="s">
        <v>302</v>
      </c>
      <c r="W20" s="223" t="s">
        <v>302</v>
      </c>
      <c r="X20" s="223" t="s">
        <v>302</v>
      </c>
      <c r="Y20" s="224" t="s">
        <v>302</v>
      </c>
    </row>
    <row r="21" spans="1:25">
      <c r="A21" s="216">
        <v>1</v>
      </c>
      <c r="B21" s="217" t="str">
        <f>VLOOKUP(Tabel10[[#This Row],[Code]],Ruimtegroepen[[Code]:[Ruimte omschrijving]],2,FALSE)</f>
        <v>Magazijnen/bergingen</v>
      </c>
      <c r="C21" s="218" t="s">
        <v>312</v>
      </c>
      <c r="D21" s="217" t="s">
        <v>21</v>
      </c>
      <c r="E21" s="219" t="s">
        <v>1325</v>
      </c>
      <c r="F21" s="218" t="s">
        <v>1328</v>
      </c>
      <c r="G21" s="263" t="s">
        <v>302</v>
      </c>
      <c r="H21" s="220" t="s">
        <v>302</v>
      </c>
      <c r="I21" s="220" t="s">
        <v>18</v>
      </c>
      <c r="J21" s="220" t="s">
        <v>15</v>
      </c>
      <c r="K21" s="220" t="s">
        <v>269</v>
      </c>
      <c r="L21" s="220" t="s">
        <v>302</v>
      </c>
      <c r="M21" s="220" t="s">
        <v>302</v>
      </c>
      <c r="N21" s="221" t="s">
        <v>302</v>
      </c>
      <c r="O21" s="222" t="s">
        <v>302</v>
      </c>
      <c r="P21" s="222" t="s">
        <v>302</v>
      </c>
      <c r="Q21" s="222" t="s">
        <v>302</v>
      </c>
      <c r="R21" s="222" t="s">
        <v>302</v>
      </c>
      <c r="S21" s="222" t="s">
        <v>20</v>
      </c>
      <c r="T21" s="222" t="s">
        <v>303</v>
      </c>
      <c r="U21" s="222" t="s">
        <v>303</v>
      </c>
      <c r="V21" s="222" t="s">
        <v>302</v>
      </c>
      <c r="W21" s="223" t="s">
        <v>302</v>
      </c>
      <c r="X21" s="223" t="s">
        <v>302</v>
      </c>
      <c r="Y21" s="224" t="s">
        <v>302</v>
      </c>
    </row>
    <row r="22" spans="1:25">
      <c r="A22" s="216">
        <v>1</v>
      </c>
      <c r="B22" s="217" t="str">
        <f>VLOOKUP(Tabel10[[#This Row],[Code]],Ruimtegroepen[[Code]:[Ruimte omschrijving]],2,FALSE)</f>
        <v>Magazijnen/bergingen</v>
      </c>
      <c r="C22" s="218" t="s">
        <v>317</v>
      </c>
      <c r="D22" s="217" t="s">
        <v>12</v>
      </c>
      <c r="E22" s="219" t="s">
        <v>101</v>
      </c>
      <c r="F22" s="218" t="s">
        <v>318</v>
      </c>
      <c r="G22" s="263" t="s">
        <v>302</v>
      </c>
      <c r="H22" s="220" t="s">
        <v>302</v>
      </c>
      <c r="I22" s="220" t="s">
        <v>17</v>
      </c>
      <c r="J22" s="220" t="s">
        <v>15</v>
      </c>
      <c r="K22" s="220" t="s">
        <v>302</v>
      </c>
      <c r="L22" s="220" t="s">
        <v>302</v>
      </c>
      <c r="M22" s="220" t="s">
        <v>302</v>
      </c>
      <c r="N22" s="220" t="s">
        <v>302</v>
      </c>
      <c r="O22" s="222" t="s">
        <v>302</v>
      </c>
      <c r="P22" s="222" t="s">
        <v>302</v>
      </c>
      <c r="Q22" s="222" t="s">
        <v>302</v>
      </c>
      <c r="R22" s="222" t="s">
        <v>302</v>
      </c>
      <c r="S22" s="222" t="s">
        <v>18</v>
      </c>
      <c r="T22" s="222" t="s">
        <v>303</v>
      </c>
      <c r="U22" s="222" t="s">
        <v>303</v>
      </c>
      <c r="V22" s="222"/>
      <c r="W22" s="223" t="s">
        <v>302</v>
      </c>
      <c r="X22" s="223" t="s">
        <v>302</v>
      </c>
      <c r="Y22" s="224" t="s">
        <v>302</v>
      </c>
    </row>
    <row r="23" spans="1:25">
      <c r="A23" s="216">
        <v>1</v>
      </c>
      <c r="B23" s="217" t="str">
        <f>VLOOKUP(Tabel10[[#This Row],[Code]],Ruimtegroepen[[Code]:[Ruimte omschrijving]],2,FALSE)</f>
        <v>Magazijnen/bergingen</v>
      </c>
      <c r="C23" s="218" t="s">
        <v>317</v>
      </c>
      <c r="D23" s="217" t="s">
        <v>12</v>
      </c>
      <c r="E23" s="219" t="s">
        <v>100</v>
      </c>
      <c r="F23" s="218" t="s">
        <v>319</v>
      </c>
      <c r="G23" s="221" t="s">
        <v>17</v>
      </c>
      <c r="H23" s="221" t="s">
        <v>15</v>
      </c>
      <c r="I23" s="220" t="s">
        <v>302</v>
      </c>
      <c r="J23" s="220" t="s">
        <v>302</v>
      </c>
      <c r="K23" s="220" t="s">
        <v>302</v>
      </c>
      <c r="L23" s="220" t="s">
        <v>302</v>
      </c>
      <c r="M23" s="220" t="s">
        <v>302</v>
      </c>
      <c r="N23" s="221" t="s">
        <v>302</v>
      </c>
      <c r="O23" s="222" t="s">
        <v>302</v>
      </c>
      <c r="P23" s="222" t="s">
        <v>302</v>
      </c>
      <c r="Q23" s="222" t="s">
        <v>302</v>
      </c>
      <c r="R23" s="222" t="s">
        <v>302</v>
      </c>
      <c r="S23" s="222" t="s">
        <v>18</v>
      </c>
      <c r="T23" s="222" t="s">
        <v>303</v>
      </c>
      <c r="U23" s="222" t="s">
        <v>303</v>
      </c>
      <c r="V23" s="222" t="s">
        <v>302</v>
      </c>
      <c r="W23" s="223" t="s">
        <v>302</v>
      </c>
      <c r="X23" s="223" t="s">
        <v>302</v>
      </c>
      <c r="Y23" s="224" t="s">
        <v>302</v>
      </c>
    </row>
    <row r="24" spans="1:25">
      <c r="A24" s="216">
        <v>1</v>
      </c>
      <c r="B24" s="217" t="str">
        <f>VLOOKUP(Tabel10[[#This Row],[Code]],Ruimtegroepen[[Code]:[Ruimte omschrijving]],2,FALSE)</f>
        <v>Magazijnen/bergingen</v>
      </c>
      <c r="C24" s="218" t="s">
        <v>317</v>
      </c>
      <c r="D24" s="217" t="s">
        <v>12</v>
      </c>
      <c r="E24" s="219" t="s">
        <v>102</v>
      </c>
      <c r="F24" s="218" t="s">
        <v>320</v>
      </c>
      <c r="G24" s="263" t="s">
        <v>302</v>
      </c>
      <c r="H24" s="220" t="s">
        <v>302</v>
      </c>
      <c r="I24" s="220" t="s">
        <v>17</v>
      </c>
      <c r="J24" s="220" t="s">
        <v>15</v>
      </c>
      <c r="K24" s="220" t="s">
        <v>269</v>
      </c>
      <c r="L24" s="220" t="s">
        <v>302</v>
      </c>
      <c r="M24" s="220" t="s">
        <v>302</v>
      </c>
      <c r="N24" s="221" t="s">
        <v>302</v>
      </c>
      <c r="O24" s="222" t="s">
        <v>302</v>
      </c>
      <c r="P24" s="222" t="s">
        <v>302</v>
      </c>
      <c r="Q24" s="222" t="s">
        <v>302</v>
      </c>
      <c r="R24" s="222" t="s">
        <v>302</v>
      </c>
      <c r="S24" s="222" t="s">
        <v>18</v>
      </c>
      <c r="T24" s="222" t="s">
        <v>303</v>
      </c>
      <c r="U24" s="222" t="s">
        <v>303</v>
      </c>
      <c r="V24" s="222" t="s">
        <v>302</v>
      </c>
      <c r="W24" s="223" t="s">
        <v>302</v>
      </c>
      <c r="X24" s="223" t="s">
        <v>302</v>
      </c>
      <c r="Y24" s="224" t="s">
        <v>302</v>
      </c>
    </row>
    <row r="25" spans="1:25">
      <c r="A25" s="216">
        <v>1</v>
      </c>
      <c r="B25" s="217" t="str">
        <f>VLOOKUP(Tabel10[[#This Row],[Code]],Ruimtegroepen[[Code]:[Ruimte omschrijving]],2,FALSE)</f>
        <v>Magazijnen/bergingen</v>
      </c>
      <c r="C25" s="218" t="s">
        <v>317</v>
      </c>
      <c r="D25" s="217" t="s">
        <v>12</v>
      </c>
      <c r="E25" s="219" t="s">
        <v>103</v>
      </c>
      <c r="F25" s="218" t="s">
        <v>321</v>
      </c>
      <c r="G25" s="263" t="s">
        <v>302</v>
      </c>
      <c r="H25" s="220" t="s">
        <v>302</v>
      </c>
      <c r="I25" s="220" t="s">
        <v>17</v>
      </c>
      <c r="J25" s="220" t="s">
        <v>15</v>
      </c>
      <c r="K25" s="220" t="s">
        <v>269</v>
      </c>
      <c r="L25" s="220" t="s">
        <v>302</v>
      </c>
      <c r="M25" s="220" t="s">
        <v>302</v>
      </c>
      <c r="N25" s="221" t="s">
        <v>302</v>
      </c>
      <c r="O25" s="222" t="s">
        <v>302</v>
      </c>
      <c r="P25" s="222" t="s">
        <v>302</v>
      </c>
      <c r="Q25" s="222" t="s">
        <v>302</v>
      </c>
      <c r="R25" s="222" t="s">
        <v>302</v>
      </c>
      <c r="S25" s="222" t="s">
        <v>18</v>
      </c>
      <c r="T25" s="222" t="s">
        <v>303</v>
      </c>
      <c r="U25" s="222" t="s">
        <v>303</v>
      </c>
      <c r="V25" s="222" t="s">
        <v>302</v>
      </c>
      <c r="W25" s="223" t="s">
        <v>302</v>
      </c>
      <c r="X25" s="223" t="s">
        <v>302</v>
      </c>
      <c r="Y25" s="224" t="s">
        <v>302</v>
      </c>
    </row>
    <row r="26" spans="1:25">
      <c r="A26" s="216">
        <v>1</v>
      </c>
      <c r="B26" s="217" t="str">
        <f>VLOOKUP(Tabel10[[#This Row],[Code]],Ruimtegroepen[[Code]:[Ruimte omschrijving]],2,FALSE)</f>
        <v>Magazijnen/bergingen</v>
      </c>
      <c r="C26" s="218" t="s">
        <v>317</v>
      </c>
      <c r="D26" s="217" t="s">
        <v>12</v>
      </c>
      <c r="E26" s="219" t="s">
        <v>100</v>
      </c>
      <c r="F26" s="218" t="s">
        <v>319</v>
      </c>
      <c r="G26" s="221" t="s">
        <v>17</v>
      </c>
      <c r="H26" s="221" t="s">
        <v>15</v>
      </c>
      <c r="I26" s="220" t="s">
        <v>302</v>
      </c>
      <c r="J26" s="220" t="s">
        <v>302</v>
      </c>
      <c r="K26" s="220" t="s">
        <v>302</v>
      </c>
      <c r="L26" s="220" t="s">
        <v>302</v>
      </c>
      <c r="M26" s="220" t="s">
        <v>302</v>
      </c>
      <c r="N26" s="221" t="s">
        <v>302</v>
      </c>
      <c r="O26" s="222" t="s">
        <v>302</v>
      </c>
      <c r="P26" s="222" t="s">
        <v>302</v>
      </c>
      <c r="Q26" s="222" t="s">
        <v>302</v>
      </c>
      <c r="R26" s="222" t="s">
        <v>302</v>
      </c>
      <c r="S26" s="222" t="s">
        <v>18</v>
      </c>
      <c r="T26" s="222" t="s">
        <v>303</v>
      </c>
      <c r="U26" s="222" t="s">
        <v>303</v>
      </c>
      <c r="V26" s="222" t="s">
        <v>302</v>
      </c>
      <c r="W26" s="223" t="s">
        <v>302</v>
      </c>
      <c r="X26" s="223" t="s">
        <v>302</v>
      </c>
      <c r="Y26" s="224" t="s">
        <v>302</v>
      </c>
    </row>
    <row r="27" spans="1:25">
      <c r="A27" s="216">
        <v>1</v>
      </c>
      <c r="B27" s="217" t="str">
        <f>VLOOKUP(Tabel10[[#This Row],[Code]],Ruimtegroepen[[Code]:[Ruimte omschrijving]],2,FALSE)</f>
        <v>Magazijnen/bergingen</v>
      </c>
      <c r="C27" s="218" t="s">
        <v>317</v>
      </c>
      <c r="D27" s="217" t="s">
        <v>12</v>
      </c>
      <c r="E27" s="219" t="s">
        <v>1325</v>
      </c>
      <c r="F27" s="218" t="s">
        <v>1329</v>
      </c>
      <c r="G27" s="263" t="s">
        <v>302</v>
      </c>
      <c r="H27" s="220" t="s">
        <v>302</v>
      </c>
      <c r="I27" s="220" t="s">
        <v>17</v>
      </c>
      <c r="J27" s="220" t="s">
        <v>15</v>
      </c>
      <c r="K27" s="220" t="s">
        <v>269</v>
      </c>
      <c r="L27" s="220" t="s">
        <v>302</v>
      </c>
      <c r="M27" s="220" t="s">
        <v>302</v>
      </c>
      <c r="N27" s="221" t="s">
        <v>302</v>
      </c>
      <c r="O27" s="222" t="s">
        <v>302</v>
      </c>
      <c r="P27" s="222" t="s">
        <v>302</v>
      </c>
      <c r="Q27" s="222" t="s">
        <v>302</v>
      </c>
      <c r="R27" s="222" t="s">
        <v>302</v>
      </c>
      <c r="S27" s="222" t="s">
        <v>18</v>
      </c>
      <c r="T27" s="222" t="s">
        <v>303</v>
      </c>
      <c r="U27" s="222" t="s">
        <v>303</v>
      </c>
      <c r="V27" s="222" t="s">
        <v>302</v>
      </c>
      <c r="W27" s="223" t="s">
        <v>302</v>
      </c>
      <c r="X27" s="223" t="s">
        <v>302</v>
      </c>
      <c r="Y27" s="224" t="s">
        <v>302</v>
      </c>
    </row>
    <row r="28" spans="1:25">
      <c r="A28" s="216">
        <v>1</v>
      </c>
      <c r="B28" s="217" t="str">
        <f>VLOOKUP(Tabel10[[#This Row],[Code]],Ruimtegroepen[[Code]:[Ruimte omschrijving]],2,FALSE)</f>
        <v>Magazijnen/bergingen</v>
      </c>
      <c r="C28" s="218" t="s">
        <v>322</v>
      </c>
      <c r="D28" s="217" t="s">
        <v>14</v>
      </c>
      <c r="E28" s="219" t="s">
        <v>101</v>
      </c>
      <c r="F28" s="218" t="s">
        <v>323</v>
      </c>
      <c r="G28" s="263" t="s">
        <v>302</v>
      </c>
      <c r="H28" s="220" t="s">
        <v>302</v>
      </c>
      <c r="I28" s="220" t="s">
        <v>15</v>
      </c>
      <c r="J28" s="220" t="s">
        <v>15</v>
      </c>
      <c r="K28" s="220" t="s">
        <v>302</v>
      </c>
      <c r="L28" s="220" t="s">
        <v>302</v>
      </c>
      <c r="M28" s="220" t="s">
        <v>302</v>
      </c>
      <c r="N28" s="221" t="s">
        <v>302</v>
      </c>
      <c r="O28" s="222" t="s">
        <v>302</v>
      </c>
      <c r="P28" s="222" t="s">
        <v>302</v>
      </c>
      <c r="Q28" s="222" t="s">
        <v>302</v>
      </c>
      <c r="R28" s="222" t="s">
        <v>302</v>
      </c>
      <c r="S28" s="222" t="s">
        <v>17</v>
      </c>
      <c r="T28" s="222" t="s">
        <v>303</v>
      </c>
      <c r="U28" s="222" t="s">
        <v>303</v>
      </c>
      <c r="V28" s="222" t="s">
        <v>302</v>
      </c>
      <c r="W28" s="223" t="s">
        <v>302</v>
      </c>
      <c r="X28" s="223" t="s">
        <v>302</v>
      </c>
      <c r="Y28" s="224" t="s">
        <v>302</v>
      </c>
    </row>
    <row r="29" spans="1:25">
      <c r="A29" s="216">
        <v>1</v>
      </c>
      <c r="B29" s="217" t="str">
        <f>VLOOKUP(Tabel10[[#This Row],[Code]],Ruimtegroepen[[Code]:[Ruimte omschrijving]],2,FALSE)</f>
        <v>Magazijnen/bergingen</v>
      </c>
      <c r="C29" s="218" t="s">
        <v>322</v>
      </c>
      <c r="D29" s="217" t="s">
        <v>14</v>
      </c>
      <c r="E29" s="219" t="s">
        <v>100</v>
      </c>
      <c r="F29" s="218" t="s">
        <v>324</v>
      </c>
      <c r="G29" s="221" t="s">
        <v>15</v>
      </c>
      <c r="H29" s="221" t="s">
        <v>15</v>
      </c>
      <c r="I29" s="220" t="s">
        <v>302</v>
      </c>
      <c r="J29" s="220" t="s">
        <v>302</v>
      </c>
      <c r="K29" s="220" t="s">
        <v>302</v>
      </c>
      <c r="L29" s="220" t="s">
        <v>302</v>
      </c>
      <c r="M29" s="220" t="s">
        <v>302</v>
      </c>
      <c r="N29" s="221" t="s">
        <v>302</v>
      </c>
      <c r="O29" s="222" t="s">
        <v>302</v>
      </c>
      <c r="P29" s="222" t="s">
        <v>302</v>
      </c>
      <c r="Q29" s="222" t="s">
        <v>302</v>
      </c>
      <c r="R29" s="222" t="s">
        <v>302</v>
      </c>
      <c r="S29" s="222" t="s">
        <v>17</v>
      </c>
      <c r="T29" s="222" t="s">
        <v>303</v>
      </c>
      <c r="U29" s="222" t="s">
        <v>303</v>
      </c>
      <c r="V29" s="222" t="s">
        <v>302</v>
      </c>
      <c r="W29" s="223" t="s">
        <v>302</v>
      </c>
      <c r="X29" s="223" t="s">
        <v>302</v>
      </c>
      <c r="Y29" s="224" t="s">
        <v>302</v>
      </c>
    </row>
    <row r="30" spans="1:25">
      <c r="A30" s="216">
        <v>1</v>
      </c>
      <c r="B30" s="217" t="str">
        <f>VLOOKUP(Tabel10[[#This Row],[Code]],Ruimtegroepen[[Code]:[Ruimte omschrijving]],2,FALSE)</f>
        <v>Magazijnen/bergingen</v>
      </c>
      <c r="C30" s="218" t="s">
        <v>322</v>
      </c>
      <c r="D30" s="217" t="s">
        <v>14</v>
      </c>
      <c r="E30" s="219" t="s">
        <v>102</v>
      </c>
      <c r="F30" s="218" t="s">
        <v>325</v>
      </c>
      <c r="G30" s="263" t="s">
        <v>302</v>
      </c>
      <c r="H30" s="220" t="s">
        <v>302</v>
      </c>
      <c r="I30" s="220" t="s">
        <v>15</v>
      </c>
      <c r="J30" s="220" t="s">
        <v>15</v>
      </c>
      <c r="K30" s="220" t="s">
        <v>269</v>
      </c>
      <c r="L30" s="220" t="s">
        <v>302</v>
      </c>
      <c r="M30" s="220" t="s">
        <v>302</v>
      </c>
      <c r="N30" s="221" t="s">
        <v>302</v>
      </c>
      <c r="O30" s="222" t="s">
        <v>302</v>
      </c>
      <c r="P30" s="222" t="s">
        <v>302</v>
      </c>
      <c r="Q30" s="222" t="s">
        <v>302</v>
      </c>
      <c r="R30" s="222" t="s">
        <v>302</v>
      </c>
      <c r="S30" s="222" t="s">
        <v>17</v>
      </c>
      <c r="T30" s="222" t="s">
        <v>303</v>
      </c>
      <c r="U30" s="222" t="s">
        <v>303</v>
      </c>
      <c r="V30" s="222" t="s">
        <v>302</v>
      </c>
      <c r="W30" s="223" t="s">
        <v>302</v>
      </c>
      <c r="X30" s="223" t="s">
        <v>302</v>
      </c>
      <c r="Y30" s="224" t="s">
        <v>302</v>
      </c>
    </row>
    <row r="31" spans="1:25">
      <c r="A31" s="216">
        <v>1</v>
      </c>
      <c r="B31" s="217" t="str">
        <f>VLOOKUP(Tabel10[[#This Row],[Code]],Ruimtegroepen[[Code]:[Ruimte omschrijving]],2,FALSE)</f>
        <v>Magazijnen/bergingen</v>
      </c>
      <c r="C31" s="218" t="s">
        <v>322</v>
      </c>
      <c r="D31" s="217" t="s">
        <v>14</v>
      </c>
      <c r="E31" s="219" t="s">
        <v>103</v>
      </c>
      <c r="F31" s="218" t="s">
        <v>326</v>
      </c>
      <c r="G31" s="263" t="s">
        <v>302</v>
      </c>
      <c r="H31" s="220" t="s">
        <v>302</v>
      </c>
      <c r="I31" s="220" t="s">
        <v>15</v>
      </c>
      <c r="J31" s="220" t="s">
        <v>15</v>
      </c>
      <c r="K31" s="220" t="s">
        <v>269</v>
      </c>
      <c r="L31" s="220" t="s">
        <v>302</v>
      </c>
      <c r="M31" s="220" t="s">
        <v>302</v>
      </c>
      <c r="N31" s="221" t="s">
        <v>302</v>
      </c>
      <c r="O31" s="222" t="s">
        <v>302</v>
      </c>
      <c r="P31" s="222" t="s">
        <v>302</v>
      </c>
      <c r="Q31" s="222" t="s">
        <v>302</v>
      </c>
      <c r="R31" s="222" t="s">
        <v>302</v>
      </c>
      <c r="S31" s="222" t="s">
        <v>17</v>
      </c>
      <c r="T31" s="222" t="s">
        <v>303</v>
      </c>
      <c r="U31" s="222" t="s">
        <v>303</v>
      </c>
      <c r="V31" s="222" t="s">
        <v>302</v>
      </c>
      <c r="W31" s="223" t="s">
        <v>302</v>
      </c>
      <c r="X31" s="223" t="s">
        <v>302</v>
      </c>
      <c r="Y31" s="224" t="s">
        <v>302</v>
      </c>
    </row>
    <row r="32" spans="1:25">
      <c r="A32" s="216">
        <v>1</v>
      </c>
      <c r="B32" s="217" t="str">
        <f>VLOOKUP(Tabel10[[#This Row],[Code]],Ruimtegroepen[[Code]:[Ruimte omschrijving]],2,FALSE)</f>
        <v>Magazijnen/bergingen</v>
      </c>
      <c r="C32" s="218" t="s">
        <v>322</v>
      </c>
      <c r="D32" s="217" t="s">
        <v>14</v>
      </c>
      <c r="E32" s="219" t="s">
        <v>100</v>
      </c>
      <c r="F32" s="218" t="s">
        <v>324</v>
      </c>
      <c r="G32" s="221" t="s">
        <v>15</v>
      </c>
      <c r="H32" s="221" t="s">
        <v>15</v>
      </c>
      <c r="I32" s="220" t="s">
        <v>302</v>
      </c>
      <c r="J32" s="220" t="s">
        <v>302</v>
      </c>
      <c r="K32" s="220" t="s">
        <v>302</v>
      </c>
      <c r="L32" s="220" t="s">
        <v>302</v>
      </c>
      <c r="M32" s="220" t="s">
        <v>302</v>
      </c>
      <c r="N32" s="221" t="s">
        <v>302</v>
      </c>
      <c r="O32" s="222" t="s">
        <v>302</v>
      </c>
      <c r="P32" s="222" t="s">
        <v>302</v>
      </c>
      <c r="Q32" s="222" t="s">
        <v>302</v>
      </c>
      <c r="R32" s="222" t="s">
        <v>302</v>
      </c>
      <c r="S32" s="222" t="s">
        <v>17</v>
      </c>
      <c r="T32" s="222" t="s">
        <v>303</v>
      </c>
      <c r="U32" s="222" t="s">
        <v>303</v>
      </c>
      <c r="V32" s="222" t="s">
        <v>302</v>
      </c>
      <c r="W32" s="223" t="s">
        <v>302</v>
      </c>
      <c r="X32" s="223" t="s">
        <v>302</v>
      </c>
      <c r="Y32" s="224" t="s">
        <v>302</v>
      </c>
    </row>
    <row r="33" spans="1:25">
      <c r="A33" s="216">
        <v>1</v>
      </c>
      <c r="B33" s="217" t="str">
        <f>VLOOKUP(Tabel10[[#This Row],[Code]],Ruimtegroepen[[Code]:[Ruimte omschrijving]],2,FALSE)</f>
        <v>Magazijnen/bergingen</v>
      </c>
      <c r="C33" s="218" t="s">
        <v>322</v>
      </c>
      <c r="D33" s="217" t="s">
        <v>14</v>
      </c>
      <c r="E33" s="219" t="s">
        <v>1325</v>
      </c>
      <c r="F33" s="218" t="s">
        <v>1330</v>
      </c>
      <c r="G33" s="263" t="s">
        <v>302</v>
      </c>
      <c r="H33" s="220" t="s">
        <v>302</v>
      </c>
      <c r="I33" s="220" t="s">
        <v>15</v>
      </c>
      <c r="J33" s="220" t="s">
        <v>15</v>
      </c>
      <c r="K33" s="220" t="s">
        <v>269</v>
      </c>
      <c r="L33" s="220" t="s">
        <v>302</v>
      </c>
      <c r="M33" s="220" t="s">
        <v>302</v>
      </c>
      <c r="N33" s="221" t="s">
        <v>302</v>
      </c>
      <c r="O33" s="222" t="s">
        <v>302</v>
      </c>
      <c r="P33" s="222" t="s">
        <v>302</v>
      </c>
      <c r="Q33" s="222" t="s">
        <v>302</v>
      </c>
      <c r="R33" s="222" t="s">
        <v>302</v>
      </c>
      <c r="S33" s="222" t="s">
        <v>17</v>
      </c>
      <c r="T33" s="222" t="s">
        <v>303</v>
      </c>
      <c r="U33" s="222" t="s">
        <v>303</v>
      </c>
      <c r="V33" s="222" t="s">
        <v>302</v>
      </c>
      <c r="W33" s="223" t="s">
        <v>302</v>
      </c>
      <c r="X33" s="223" t="s">
        <v>302</v>
      </c>
      <c r="Y33" s="224" t="s">
        <v>302</v>
      </c>
    </row>
    <row r="34" spans="1:25">
      <c r="A34" s="216">
        <v>1</v>
      </c>
      <c r="B34" s="217" t="str">
        <f>VLOOKUP(Tabel10[[#This Row],[Code]],Ruimtegroepen[[Code]:[Ruimte omschrijving]],2,FALSE)</f>
        <v>Magazijnen/bergingen</v>
      </c>
      <c r="C34" s="218" t="s">
        <v>327</v>
      </c>
      <c r="D34" s="217" t="s">
        <v>13</v>
      </c>
      <c r="E34" s="219" t="s">
        <v>101</v>
      </c>
      <c r="F34" s="218" t="s">
        <v>328</v>
      </c>
      <c r="G34" s="263" t="s">
        <v>302</v>
      </c>
      <c r="H34" s="220" t="s">
        <v>302</v>
      </c>
      <c r="I34" s="220" t="s">
        <v>15</v>
      </c>
      <c r="J34" s="220" t="s">
        <v>15</v>
      </c>
      <c r="K34" s="220" t="s">
        <v>302</v>
      </c>
      <c r="L34" s="220" t="s">
        <v>302</v>
      </c>
      <c r="M34" s="220" t="s">
        <v>302</v>
      </c>
      <c r="N34" s="221" t="s">
        <v>302</v>
      </c>
      <c r="O34" s="222" t="s">
        <v>302</v>
      </c>
      <c r="P34" s="222" t="s">
        <v>302</v>
      </c>
      <c r="Q34" s="222" t="s">
        <v>302</v>
      </c>
      <c r="R34" s="222" t="s">
        <v>302</v>
      </c>
      <c r="S34" s="222" t="s">
        <v>15</v>
      </c>
      <c r="T34" s="222" t="s">
        <v>303</v>
      </c>
      <c r="U34" s="222" t="s">
        <v>303</v>
      </c>
      <c r="V34" s="222" t="s">
        <v>302</v>
      </c>
      <c r="W34" s="223" t="s">
        <v>302</v>
      </c>
      <c r="X34" s="223" t="s">
        <v>302</v>
      </c>
      <c r="Y34" s="224" t="s">
        <v>302</v>
      </c>
    </row>
    <row r="35" spans="1:25">
      <c r="A35" s="216">
        <v>1</v>
      </c>
      <c r="B35" s="217" t="str">
        <f>VLOOKUP(Tabel10[[#This Row],[Code]],Ruimtegroepen[[Code]:[Ruimte omschrijving]],2,FALSE)</f>
        <v>Magazijnen/bergingen</v>
      </c>
      <c r="C35" s="218" t="s">
        <v>327</v>
      </c>
      <c r="D35" s="217" t="s">
        <v>13</v>
      </c>
      <c r="E35" s="219" t="s">
        <v>100</v>
      </c>
      <c r="F35" s="218" t="s">
        <v>329</v>
      </c>
      <c r="G35" s="263" t="s">
        <v>302</v>
      </c>
      <c r="H35" s="221" t="s">
        <v>15</v>
      </c>
      <c r="I35" s="220" t="s">
        <v>302</v>
      </c>
      <c r="J35" s="220" t="s">
        <v>302</v>
      </c>
      <c r="K35" s="220" t="s">
        <v>302</v>
      </c>
      <c r="L35" s="220" t="s">
        <v>302</v>
      </c>
      <c r="M35" s="220" t="s">
        <v>302</v>
      </c>
      <c r="N35" s="221" t="s">
        <v>302</v>
      </c>
      <c r="O35" s="222" t="s">
        <v>302</v>
      </c>
      <c r="P35" s="222" t="s">
        <v>302</v>
      </c>
      <c r="Q35" s="222" t="s">
        <v>302</v>
      </c>
      <c r="R35" s="222" t="s">
        <v>302</v>
      </c>
      <c r="S35" s="222" t="s">
        <v>15</v>
      </c>
      <c r="T35" s="222" t="s">
        <v>303</v>
      </c>
      <c r="U35" s="222" t="s">
        <v>303</v>
      </c>
      <c r="V35" s="222" t="s">
        <v>302</v>
      </c>
      <c r="W35" s="223" t="s">
        <v>302</v>
      </c>
      <c r="X35" s="223" t="s">
        <v>302</v>
      </c>
      <c r="Y35" s="224" t="s">
        <v>302</v>
      </c>
    </row>
    <row r="36" spans="1:25">
      <c r="A36" s="216">
        <v>1</v>
      </c>
      <c r="B36" s="217" t="str">
        <f>VLOOKUP(Tabel10[[#This Row],[Code]],Ruimtegroepen[[Code]:[Ruimte omschrijving]],2,FALSE)</f>
        <v>Magazijnen/bergingen</v>
      </c>
      <c r="C36" s="218" t="s">
        <v>327</v>
      </c>
      <c r="D36" s="217" t="s">
        <v>13</v>
      </c>
      <c r="E36" s="219" t="s">
        <v>102</v>
      </c>
      <c r="F36" s="218" t="s">
        <v>330</v>
      </c>
      <c r="G36" s="263" t="s">
        <v>302</v>
      </c>
      <c r="H36" s="220" t="s">
        <v>302</v>
      </c>
      <c r="I36" s="220" t="s">
        <v>302</v>
      </c>
      <c r="J36" s="220" t="s">
        <v>15</v>
      </c>
      <c r="K36" s="220" t="s">
        <v>269</v>
      </c>
      <c r="L36" s="220" t="s">
        <v>302</v>
      </c>
      <c r="M36" s="220" t="s">
        <v>302</v>
      </c>
      <c r="N36" s="221" t="s">
        <v>302</v>
      </c>
      <c r="O36" s="222" t="s">
        <v>302</v>
      </c>
      <c r="P36" s="222" t="s">
        <v>302</v>
      </c>
      <c r="Q36" s="222" t="s">
        <v>302</v>
      </c>
      <c r="R36" s="222" t="s">
        <v>302</v>
      </c>
      <c r="S36" s="222" t="s">
        <v>15</v>
      </c>
      <c r="T36" s="222" t="s">
        <v>303</v>
      </c>
      <c r="U36" s="222" t="s">
        <v>303</v>
      </c>
      <c r="V36" s="222" t="s">
        <v>302</v>
      </c>
      <c r="W36" s="223" t="s">
        <v>302</v>
      </c>
      <c r="X36" s="223" t="s">
        <v>302</v>
      </c>
      <c r="Y36" s="224" t="s">
        <v>302</v>
      </c>
    </row>
    <row r="37" spans="1:25">
      <c r="A37" s="216">
        <v>1</v>
      </c>
      <c r="B37" s="217" t="str">
        <f>VLOOKUP(Tabel10[[#This Row],[Code]],Ruimtegroepen[[Code]:[Ruimte omschrijving]],2,FALSE)</f>
        <v>Magazijnen/bergingen</v>
      </c>
      <c r="C37" s="218" t="s">
        <v>327</v>
      </c>
      <c r="D37" s="217" t="s">
        <v>13</v>
      </c>
      <c r="E37" s="219" t="s">
        <v>103</v>
      </c>
      <c r="F37" s="218" t="s">
        <v>331</v>
      </c>
      <c r="G37" s="263" t="s">
        <v>302</v>
      </c>
      <c r="H37" s="220" t="s">
        <v>302</v>
      </c>
      <c r="I37" s="220" t="s">
        <v>15</v>
      </c>
      <c r="J37" s="220" t="s">
        <v>15</v>
      </c>
      <c r="K37" s="220" t="s">
        <v>269</v>
      </c>
      <c r="L37" s="220" t="s">
        <v>302</v>
      </c>
      <c r="M37" s="220" t="s">
        <v>302</v>
      </c>
      <c r="N37" s="221" t="s">
        <v>302</v>
      </c>
      <c r="O37" s="222" t="s">
        <v>302</v>
      </c>
      <c r="P37" s="222" t="s">
        <v>302</v>
      </c>
      <c r="Q37" s="222" t="s">
        <v>302</v>
      </c>
      <c r="R37" s="222" t="s">
        <v>302</v>
      </c>
      <c r="S37" s="222" t="s">
        <v>15</v>
      </c>
      <c r="T37" s="222" t="s">
        <v>303</v>
      </c>
      <c r="U37" s="222" t="s">
        <v>303</v>
      </c>
      <c r="V37" s="222" t="s">
        <v>302</v>
      </c>
      <c r="W37" s="223" t="s">
        <v>302</v>
      </c>
      <c r="X37" s="223" t="s">
        <v>302</v>
      </c>
      <c r="Y37" s="224" t="s">
        <v>302</v>
      </c>
    </row>
    <row r="38" spans="1:25">
      <c r="A38" s="216">
        <v>1</v>
      </c>
      <c r="B38" s="217" t="str">
        <f>VLOOKUP(Tabel10[[#This Row],[Code]],Ruimtegroepen[[Code]:[Ruimte omschrijving]],2,FALSE)</f>
        <v>Magazijnen/bergingen</v>
      </c>
      <c r="C38" s="218" t="s">
        <v>327</v>
      </c>
      <c r="D38" s="217" t="s">
        <v>13</v>
      </c>
      <c r="E38" s="219" t="s">
        <v>100</v>
      </c>
      <c r="F38" s="218" t="s">
        <v>329</v>
      </c>
      <c r="G38" s="263" t="s">
        <v>302</v>
      </c>
      <c r="H38" s="221" t="s">
        <v>15</v>
      </c>
      <c r="I38" s="220" t="s">
        <v>302</v>
      </c>
      <c r="J38" s="220" t="s">
        <v>302</v>
      </c>
      <c r="K38" s="220" t="s">
        <v>302</v>
      </c>
      <c r="L38" s="220" t="s">
        <v>302</v>
      </c>
      <c r="M38" s="220" t="s">
        <v>302</v>
      </c>
      <c r="N38" s="221" t="s">
        <v>302</v>
      </c>
      <c r="O38" s="222" t="s">
        <v>302</v>
      </c>
      <c r="P38" s="222" t="s">
        <v>302</v>
      </c>
      <c r="Q38" s="222" t="s">
        <v>302</v>
      </c>
      <c r="R38" s="222" t="s">
        <v>302</v>
      </c>
      <c r="S38" s="222" t="s">
        <v>15</v>
      </c>
      <c r="T38" s="222" t="s">
        <v>303</v>
      </c>
      <c r="U38" s="222" t="s">
        <v>303</v>
      </c>
      <c r="V38" s="222" t="s">
        <v>302</v>
      </c>
      <c r="W38" s="223" t="s">
        <v>302</v>
      </c>
      <c r="X38" s="223" t="s">
        <v>302</v>
      </c>
      <c r="Y38" s="224" t="s">
        <v>302</v>
      </c>
    </row>
    <row r="39" spans="1:25">
      <c r="A39" s="216">
        <v>1</v>
      </c>
      <c r="B39" s="217" t="str">
        <f>VLOOKUP(Tabel10[[#This Row],[Code]],Ruimtegroepen[[Code]:[Ruimte omschrijving]],2,FALSE)</f>
        <v>Magazijnen/bergingen</v>
      </c>
      <c r="C39" s="218" t="s">
        <v>327</v>
      </c>
      <c r="D39" s="217" t="s">
        <v>13</v>
      </c>
      <c r="E39" s="219" t="s">
        <v>1325</v>
      </c>
      <c r="F39" s="218" t="s">
        <v>1331</v>
      </c>
      <c r="G39" s="263" t="s">
        <v>302</v>
      </c>
      <c r="H39" s="220" t="s">
        <v>302</v>
      </c>
      <c r="I39" s="220" t="s">
        <v>15</v>
      </c>
      <c r="J39" s="220" t="s">
        <v>15</v>
      </c>
      <c r="K39" s="220" t="s">
        <v>269</v>
      </c>
      <c r="L39" s="220" t="s">
        <v>302</v>
      </c>
      <c r="M39" s="220" t="s">
        <v>302</v>
      </c>
      <c r="N39" s="221" t="s">
        <v>302</v>
      </c>
      <c r="O39" s="222" t="s">
        <v>302</v>
      </c>
      <c r="P39" s="222" t="s">
        <v>302</v>
      </c>
      <c r="Q39" s="222" t="s">
        <v>302</v>
      </c>
      <c r="R39" s="222" t="s">
        <v>302</v>
      </c>
      <c r="S39" s="222" t="s">
        <v>15</v>
      </c>
      <c r="T39" s="222" t="s">
        <v>303</v>
      </c>
      <c r="U39" s="222" t="s">
        <v>303</v>
      </c>
      <c r="V39" s="222" t="s">
        <v>302</v>
      </c>
      <c r="W39" s="223" t="s">
        <v>302</v>
      </c>
      <c r="X39" s="223" t="s">
        <v>302</v>
      </c>
      <c r="Y39" s="224" t="s">
        <v>302</v>
      </c>
    </row>
    <row r="40" spans="1:25">
      <c r="A40" s="216">
        <v>1</v>
      </c>
      <c r="B40" s="217" t="str">
        <f>VLOOKUP(Tabel10[[#This Row],[Code]],Ruimtegroepen[[Code]:[Ruimte omschrijving]],2,FALSE)</f>
        <v>Magazijnen/bergingen</v>
      </c>
      <c r="C40" s="218" t="s">
        <v>332</v>
      </c>
      <c r="D40" s="217" t="s">
        <v>0</v>
      </c>
      <c r="E40" s="219" t="s">
        <v>101</v>
      </c>
      <c r="F40" s="218" t="s">
        <v>333</v>
      </c>
      <c r="G40" s="263" t="s">
        <v>302</v>
      </c>
      <c r="H40" s="220" t="s">
        <v>302</v>
      </c>
      <c r="I40" s="220" t="s">
        <v>16</v>
      </c>
      <c r="J40" s="220" t="s">
        <v>16</v>
      </c>
      <c r="K40" s="220" t="s">
        <v>302</v>
      </c>
      <c r="L40" s="220" t="s">
        <v>302</v>
      </c>
      <c r="M40" s="220" t="s">
        <v>302</v>
      </c>
      <c r="N40" s="221" t="s">
        <v>302</v>
      </c>
      <c r="O40" s="222" t="s">
        <v>302</v>
      </c>
      <c r="P40" s="222" t="s">
        <v>302</v>
      </c>
      <c r="Q40" s="222" t="s">
        <v>302</v>
      </c>
      <c r="R40" s="222" t="s">
        <v>302</v>
      </c>
      <c r="S40" s="222" t="s">
        <v>16</v>
      </c>
      <c r="T40" s="222" t="s">
        <v>303</v>
      </c>
      <c r="U40" s="222" t="s">
        <v>303</v>
      </c>
      <c r="V40" s="222" t="s">
        <v>302</v>
      </c>
      <c r="W40" s="223" t="s">
        <v>302</v>
      </c>
      <c r="X40" s="223" t="s">
        <v>302</v>
      </c>
      <c r="Y40" s="224" t="s">
        <v>302</v>
      </c>
    </row>
    <row r="41" spans="1:25">
      <c r="A41" s="216">
        <v>1</v>
      </c>
      <c r="B41" s="217" t="str">
        <f>VLOOKUP(Tabel10[[#This Row],[Code]],Ruimtegroepen[[Code]:[Ruimte omschrijving]],2,FALSE)</f>
        <v>Magazijnen/bergingen</v>
      </c>
      <c r="C41" s="218" t="s">
        <v>332</v>
      </c>
      <c r="D41" s="217" t="s">
        <v>0</v>
      </c>
      <c r="E41" s="219" t="s">
        <v>100</v>
      </c>
      <c r="F41" s="218" t="s">
        <v>334</v>
      </c>
      <c r="G41" s="263" t="s">
        <v>302</v>
      </c>
      <c r="H41" s="221" t="s">
        <v>16</v>
      </c>
      <c r="I41" s="220" t="s">
        <v>302</v>
      </c>
      <c r="J41" s="220" t="s">
        <v>302</v>
      </c>
      <c r="K41" s="220" t="s">
        <v>302</v>
      </c>
      <c r="L41" s="220" t="s">
        <v>302</v>
      </c>
      <c r="M41" s="220" t="s">
        <v>302</v>
      </c>
      <c r="N41" s="221" t="s">
        <v>302</v>
      </c>
      <c r="O41" s="222" t="s">
        <v>302</v>
      </c>
      <c r="P41" s="222" t="s">
        <v>302</v>
      </c>
      <c r="Q41" s="222" t="s">
        <v>302</v>
      </c>
      <c r="R41" s="222" t="s">
        <v>302</v>
      </c>
      <c r="S41" s="222" t="s">
        <v>16</v>
      </c>
      <c r="T41" s="222" t="s">
        <v>303</v>
      </c>
      <c r="U41" s="222" t="s">
        <v>303</v>
      </c>
      <c r="V41" s="222" t="s">
        <v>302</v>
      </c>
      <c r="W41" s="223" t="s">
        <v>302</v>
      </c>
      <c r="X41" s="223" t="s">
        <v>302</v>
      </c>
      <c r="Y41" s="224" t="s">
        <v>302</v>
      </c>
    </row>
    <row r="42" spans="1:25">
      <c r="A42" s="216">
        <v>1</v>
      </c>
      <c r="B42" s="217" t="str">
        <f>VLOOKUP(Tabel10[[#This Row],[Code]],Ruimtegroepen[[Code]:[Ruimte omschrijving]],2,FALSE)</f>
        <v>Magazijnen/bergingen</v>
      </c>
      <c r="C42" s="218" t="s">
        <v>332</v>
      </c>
      <c r="D42" s="217" t="s">
        <v>0</v>
      </c>
      <c r="E42" s="219" t="s">
        <v>102</v>
      </c>
      <c r="F42" s="218" t="s">
        <v>335</v>
      </c>
      <c r="G42" s="263" t="s">
        <v>302</v>
      </c>
      <c r="H42" s="220" t="s">
        <v>302</v>
      </c>
      <c r="I42" s="220" t="s">
        <v>302</v>
      </c>
      <c r="J42" s="220" t="s">
        <v>16</v>
      </c>
      <c r="K42" s="220" t="s">
        <v>269</v>
      </c>
      <c r="L42" s="220" t="s">
        <v>302</v>
      </c>
      <c r="M42" s="220" t="s">
        <v>302</v>
      </c>
      <c r="N42" s="221" t="s">
        <v>302</v>
      </c>
      <c r="O42" s="222" t="s">
        <v>302</v>
      </c>
      <c r="P42" s="222" t="s">
        <v>302</v>
      </c>
      <c r="Q42" s="222" t="s">
        <v>302</v>
      </c>
      <c r="R42" s="222" t="s">
        <v>302</v>
      </c>
      <c r="S42" s="222" t="s">
        <v>16</v>
      </c>
      <c r="T42" s="222" t="s">
        <v>303</v>
      </c>
      <c r="U42" s="222" t="s">
        <v>303</v>
      </c>
      <c r="V42" s="222" t="s">
        <v>302</v>
      </c>
      <c r="W42" s="223" t="s">
        <v>302</v>
      </c>
      <c r="X42" s="223" t="s">
        <v>302</v>
      </c>
      <c r="Y42" s="224" t="s">
        <v>302</v>
      </c>
    </row>
    <row r="43" spans="1:25">
      <c r="A43" s="216">
        <v>1</v>
      </c>
      <c r="B43" s="217" t="str">
        <f>VLOOKUP(Tabel10[[#This Row],[Code]],Ruimtegroepen[[Code]:[Ruimte omschrijving]],2,FALSE)</f>
        <v>Magazijnen/bergingen</v>
      </c>
      <c r="C43" s="218" t="s">
        <v>332</v>
      </c>
      <c r="D43" s="217" t="s">
        <v>0</v>
      </c>
      <c r="E43" s="219" t="s">
        <v>103</v>
      </c>
      <c r="F43" s="218" t="s">
        <v>336</v>
      </c>
      <c r="G43" s="263" t="s">
        <v>302</v>
      </c>
      <c r="H43" s="220" t="s">
        <v>302</v>
      </c>
      <c r="I43" s="220" t="s">
        <v>16</v>
      </c>
      <c r="J43" s="220" t="s">
        <v>16</v>
      </c>
      <c r="K43" s="220" t="s">
        <v>269</v>
      </c>
      <c r="L43" s="220" t="s">
        <v>302</v>
      </c>
      <c r="M43" s="220" t="s">
        <v>302</v>
      </c>
      <c r="N43" s="221" t="s">
        <v>302</v>
      </c>
      <c r="O43" s="222" t="s">
        <v>302</v>
      </c>
      <c r="P43" s="222" t="s">
        <v>302</v>
      </c>
      <c r="Q43" s="222" t="s">
        <v>302</v>
      </c>
      <c r="R43" s="222" t="s">
        <v>302</v>
      </c>
      <c r="S43" s="222" t="s">
        <v>16</v>
      </c>
      <c r="T43" s="222" t="s">
        <v>303</v>
      </c>
      <c r="U43" s="222" t="s">
        <v>303</v>
      </c>
      <c r="V43" s="222" t="s">
        <v>302</v>
      </c>
      <c r="W43" s="223" t="s">
        <v>302</v>
      </c>
      <c r="X43" s="223" t="s">
        <v>302</v>
      </c>
      <c r="Y43" s="224" t="s">
        <v>302</v>
      </c>
    </row>
    <row r="44" spans="1:25">
      <c r="A44" s="216">
        <v>1</v>
      </c>
      <c r="B44" s="217" t="str">
        <f>VLOOKUP(Tabel10[[#This Row],[Code]],Ruimtegroepen[[Code]:[Ruimte omschrijving]],2,FALSE)</f>
        <v>Magazijnen/bergingen</v>
      </c>
      <c r="C44" s="218" t="s">
        <v>332</v>
      </c>
      <c r="D44" s="217" t="s">
        <v>0</v>
      </c>
      <c r="E44" s="219" t="s">
        <v>100</v>
      </c>
      <c r="F44" s="218" t="s">
        <v>334</v>
      </c>
      <c r="G44" s="263" t="s">
        <v>302</v>
      </c>
      <c r="H44" s="221" t="s">
        <v>16</v>
      </c>
      <c r="I44" s="220" t="s">
        <v>302</v>
      </c>
      <c r="J44" s="220" t="s">
        <v>302</v>
      </c>
      <c r="K44" s="220" t="s">
        <v>302</v>
      </c>
      <c r="L44" s="220" t="s">
        <v>302</v>
      </c>
      <c r="M44" s="220" t="s">
        <v>302</v>
      </c>
      <c r="N44" s="221" t="s">
        <v>302</v>
      </c>
      <c r="O44" s="222" t="s">
        <v>302</v>
      </c>
      <c r="P44" s="222" t="s">
        <v>302</v>
      </c>
      <c r="Q44" s="222" t="s">
        <v>302</v>
      </c>
      <c r="R44" s="222" t="s">
        <v>302</v>
      </c>
      <c r="S44" s="222" t="s">
        <v>16</v>
      </c>
      <c r="T44" s="222" t="s">
        <v>303</v>
      </c>
      <c r="U44" s="222" t="s">
        <v>303</v>
      </c>
      <c r="V44" s="222" t="s">
        <v>302</v>
      </c>
      <c r="W44" s="223" t="s">
        <v>302</v>
      </c>
      <c r="X44" s="223" t="s">
        <v>302</v>
      </c>
      <c r="Y44" s="224" t="s">
        <v>302</v>
      </c>
    </row>
    <row r="45" spans="1:25">
      <c r="A45" s="216">
        <v>1</v>
      </c>
      <c r="B45" s="217" t="str">
        <f>VLOOKUP(Tabel10[[#This Row],[Code]],Ruimtegroepen[[Code]:[Ruimte omschrijving]],2,FALSE)</f>
        <v>Magazijnen/bergingen</v>
      </c>
      <c r="C45" s="218" t="s">
        <v>332</v>
      </c>
      <c r="D45" s="217" t="s">
        <v>0</v>
      </c>
      <c r="E45" s="219" t="s">
        <v>1325</v>
      </c>
      <c r="F45" s="218" t="s">
        <v>1332</v>
      </c>
      <c r="G45" s="263" t="s">
        <v>302</v>
      </c>
      <c r="H45" s="220" t="s">
        <v>302</v>
      </c>
      <c r="I45" s="220" t="s">
        <v>16</v>
      </c>
      <c r="J45" s="220" t="s">
        <v>16</v>
      </c>
      <c r="K45" s="220" t="s">
        <v>269</v>
      </c>
      <c r="L45" s="220" t="s">
        <v>302</v>
      </c>
      <c r="M45" s="220" t="s">
        <v>302</v>
      </c>
      <c r="N45" s="221" t="s">
        <v>302</v>
      </c>
      <c r="O45" s="222" t="s">
        <v>302</v>
      </c>
      <c r="P45" s="222" t="s">
        <v>302</v>
      </c>
      <c r="Q45" s="222" t="s">
        <v>302</v>
      </c>
      <c r="R45" s="222" t="s">
        <v>302</v>
      </c>
      <c r="S45" s="222" t="s">
        <v>16</v>
      </c>
      <c r="T45" s="222" t="s">
        <v>303</v>
      </c>
      <c r="U45" s="222" t="s">
        <v>303</v>
      </c>
      <c r="V45" s="222" t="s">
        <v>302</v>
      </c>
      <c r="W45" s="223" t="s">
        <v>302</v>
      </c>
      <c r="X45" s="223" t="s">
        <v>302</v>
      </c>
      <c r="Y45" s="224" t="s">
        <v>302</v>
      </c>
    </row>
    <row r="46" spans="1:25">
      <c r="A46" s="216">
        <v>1</v>
      </c>
      <c r="B46" s="217" t="str">
        <f>VLOOKUP(Tabel10[[#This Row],[Code]],Ruimtegroepen[[Code]:[Ruimte omschrijving]],2,FALSE)</f>
        <v>Magazijnen/bergingen</v>
      </c>
      <c r="C46" s="218" t="s">
        <v>337</v>
      </c>
      <c r="D46" s="217" t="s">
        <v>27</v>
      </c>
      <c r="E46" s="219" t="s">
        <v>101</v>
      </c>
      <c r="F46" s="218" t="s">
        <v>338</v>
      </c>
      <c r="G46" s="263" t="s">
        <v>302</v>
      </c>
      <c r="H46" s="220" t="s">
        <v>302</v>
      </c>
      <c r="I46" s="220" t="s">
        <v>15</v>
      </c>
      <c r="J46" s="220" t="s">
        <v>15</v>
      </c>
      <c r="K46" s="220" t="s">
        <v>302</v>
      </c>
      <c r="L46" s="220" t="s">
        <v>302</v>
      </c>
      <c r="M46" s="220" t="s">
        <v>302</v>
      </c>
      <c r="N46" s="221" t="s">
        <v>302</v>
      </c>
      <c r="O46" s="222" t="s">
        <v>302</v>
      </c>
      <c r="P46" s="222" t="s">
        <v>302</v>
      </c>
      <c r="Q46" s="222" t="s">
        <v>302</v>
      </c>
      <c r="R46" s="222" t="s">
        <v>302</v>
      </c>
      <c r="S46" s="222" t="s">
        <v>15</v>
      </c>
      <c r="T46" s="222" t="s">
        <v>302</v>
      </c>
      <c r="U46" s="222" t="s">
        <v>302</v>
      </c>
      <c r="V46" s="222" t="s">
        <v>302</v>
      </c>
      <c r="W46" s="223" t="s">
        <v>302</v>
      </c>
      <c r="X46" s="223" t="s">
        <v>302</v>
      </c>
      <c r="Y46" s="224" t="s">
        <v>302</v>
      </c>
    </row>
    <row r="47" spans="1:25">
      <c r="A47" s="216">
        <v>1</v>
      </c>
      <c r="B47" s="217" t="str">
        <f>VLOOKUP(Tabel10[[#This Row],[Code]],Ruimtegroepen[[Code]:[Ruimte omschrijving]],2,FALSE)</f>
        <v>Magazijnen/bergingen</v>
      </c>
      <c r="C47" s="218" t="s">
        <v>337</v>
      </c>
      <c r="D47" s="217" t="s">
        <v>27</v>
      </c>
      <c r="E47" s="219" t="s">
        <v>100</v>
      </c>
      <c r="F47" s="218" t="s">
        <v>339</v>
      </c>
      <c r="G47" s="263" t="s">
        <v>302</v>
      </c>
      <c r="H47" s="221" t="s">
        <v>15</v>
      </c>
      <c r="I47" s="220" t="s">
        <v>302</v>
      </c>
      <c r="J47" s="220" t="s">
        <v>302</v>
      </c>
      <c r="K47" s="220" t="s">
        <v>302</v>
      </c>
      <c r="L47" s="220" t="s">
        <v>302</v>
      </c>
      <c r="M47" s="220" t="s">
        <v>302</v>
      </c>
      <c r="N47" s="221" t="s">
        <v>302</v>
      </c>
      <c r="O47" s="222" t="s">
        <v>302</v>
      </c>
      <c r="P47" s="222" t="s">
        <v>302</v>
      </c>
      <c r="Q47" s="222" t="s">
        <v>302</v>
      </c>
      <c r="R47" s="222" t="s">
        <v>302</v>
      </c>
      <c r="S47" s="222" t="s">
        <v>15</v>
      </c>
      <c r="T47" s="222" t="s">
        <v>302</v>
      </c>
      <c r="U47" s="222" t="s">
        <v>302</v>
      </c>
      <c r="V47" s="222" t="s">
        <v>302</v>
      </c>
      <c r="W47" s="223" t="s">
        <v>302</v>
      </c>
      <c r="X47" s="223" t="s">
        <v>302</v>
      </c>
      <c r="Y47" s="224" t="s">
        <v>302</v>
      </c>
    </row>
    <row r="48" spans="1:25">
      <c r="A48" s="216">
        <v>1</v>
      </c>
      <c r="B48" s="217" t="str">
        <f>VLOOKUP(Tabel10[[#This Row],[Code]],Ruimtegroepen[[Code]:[Ruimte omschrijving]],2,FALSE)</f>
        <v>Magazijnen/bergingen</v>
      </c>
      <c r="C48" s="218" t="s">
        <v>337</v>
      </c>
      <c r="D48" s="217" t="s">
        <v>27</v>
      </c>
      <c r="E48" s="219" t="s">
        <v>102</v>
      </c>
      <c r="F48" s="218" t="s">
        <v>340</v>
      </c>
      <c r="G48" s="263" t="s">
        <v>302</v>
      </c>
      <c r="H48" s="220" t="s">
        <v>302</v>
      </c>
      <c r="I48" s="220" t="s">
        <v>15</v>
      </c>
      <c r="J48" s="220" t="s">
        <v>302</v>
      </c>
      <c r="K48" s="220" t="s">
        <v>302</v>
      </c>
      <c r="L48" s="220" t="s">
        <v>302</v>
      </c>
      <c r="M48" s="220" t="s">
        <v>302</v>
      </c>
      <c r="N48" s="221" t="s">
        <v>302</v>
      </c>
      <c r="O48" s="222" t="s">
        <v>302</v>
      </c>
      <c r="P48" s="222" t="s">
        <v>302</v>
      </c>
      <c r="Q48" s="222" t="s">
        <v>302</v>
      </c>
      <c r="R48" s="222" t="s">
        <v>302</v>
      </c>
      <c r="S48" s="222" t="s">
        <v>15</v>
      </c>
      <c r="T48" s="222" t="s">
        <v>302</v>
      </c>
      <c r="U48" s="222" t="s">
        <v>302</v>
      </c>
      <c r="V48" s="222" t="s">
        <v>302</v>
      </c>
      <c r="W48" s="223" t="s">
        <v>302</v>
      </c>
      <c r="X48" s="223" t="s">
        <v>302</v>
      </c>
      <c r="Y48" s="224" t="s">
        <v>302</v>
      </c>
    </row>
    <row r="49" spans="1:25">
      <c r="A49" s="216">
        <v>1</v>
      </c>
      <c r="B49" s="217" t="str">
        <f>VLOOKUP(Tabel10[[#This Row],[Code]],Ruimtegroepen[[Code]:[Ruimte omschrijving]],2,FALSE)</f>
        <v>Magazijnen/bergingen</v>
      </c>
      <c r="C49" s="218" t="s">
        <v>337</v>
      </c>
      <c r="D49" s="217" t="s">
        <v>27</v>
      </c>
      <c r="E49" s="219" t="s">
        <v>103</v>
      </c>
      <c r="F49" s="218" t="s">
        <v>341</v>
      </c>
      <c r="G49" s="263" t="s">
        <v>302</v>
      </c>
      <c r="H49" s="220" t="s">
        <v>302</v>
      </c>
      <c r="I49" s="220" t="s">
        <v>15</v>
      </c>
      <c r="J49" s="220" t="s">
        <v>302</v>
      </c>
      <c r="K49" s="220" t="s">
        <v>302</v>
      </c>
      <c r="L49" s="220" t="s">
        <v>302</v>
      </c>
      <c r="M49" s="220" t="s">
        <v>302</v>
      </c>
      <c r="N49" s="221" t="s">
        <v>302</v>
      </c>
      <c r="O49" s="222" t="s">
        <v>302</v>
      </c>
      <c r="P49" s="222" t="s">
        <v>302</v>
      </c>
      <c r="Q49" s="222" t="s">
        <v>302</v>
      </c>
      <c r="R49" s="222" t="s">
        <v>302</v>
      </c>
      <c r="S49" s="222" t="s">
        <v>15</v>
      </c>
      <c r="T49" s="222" t="s">
        <v>302</v>
      </c>
      <c r="U49" s="222" t="s">
        <v>302</v>
      </c>
      <c r="V49" s="222" t="s">
        <v>302</v>
      </c>
      <c r="W49" s="223" t="s">
        <v>302</v>
      </c>
      <c r="X49" s="223" t="s">
        <v>302</v>
      </c>
      <c r="Y49" s="224" t="s">
        <v>302</v>
      </c>
    </row>
    <row r="50" spans="1:25">
      <c r="A50" s="216">
        <v>1</v>
      </c>
      <c r="B50" s="217" t="str">
        <f>VLOOKUP(Tabel10[[#This Row],[Code]],Ruimtegroepen[[Code]:[Ruimte omschrijving]],2,FALSE)</f>
        <v>Magazijnen/bergingen</v>
      </c>
      <c r="C50" s="218" t="s">
        <v>337</v>
      </c>
      <c r="D50" s="217" t="s">
        <v>27</v>
      </c>
      <c r="E50" s="219" t="s">
        <v>100</v>
      </c>
      <c r="F50" s="218" t="s">
        <v>339</v>
      </c>
      <c r="G50" s="263" t="s">
        <v>302</v>
      </c>
      <c r="H50" s="221" t="s">
        <v>15</v>
      </c>
      <c r="I50" s="220" t="s">
        <v>302</v>
      </c>
      <c r="J50" s="220" t="s">
        <v>302</v>
      </c>
      <c r="K50" s="220" t="s">
        <v>302</v>
      </c>
      <c r="L50" s="220" t="s">
        <v>302</v>
      </c>
      <c r="M50" s="220" t="s">
        <v>302</v>
      </c>
      <c r="N50" s="221" t="s">
        <v>302</v>
      </c>
      <c r="O50" s="222" t="s">
        <v>302</v>
      </c>
      <c r="P50" s="222" t="s">
        <v>302</v>
      </c>
      <c r="Q50" s="222" t="s">
        <v>302</v>
      </c>
      <c r="R50" s="222" t="s">
        <v>302</v>
      </c>
      <c r="S50" s="222" t="s">
        <v>15</v>
      </c>
      <c r="T50" s="222" t="s">
        <v>302</v>
      </c>
      <c r="U50" s="222" t="s">
        <v>302</v>
      </c>
      <c r="V50" s="222" t="s">
        <v>302</v>
      </c>
      <c r="W50" s="223" t="s">
        <v>302</v>
      </c>
      <c r="X50" s="223" t="s">
        <v>302</v>
      </c>
      <c r="Y50" s="224" t="s">
        <v>302</v>
      </c>
    </row>
    <row r="51" spans="1:25">
      <c r="A51" s="216">
        <v>1</v>
      </c>
      <c r="B51" s="217" t="str">
        <f>VLOOKUP(Tabel10[[#This Row],[Code]],Ruimtegroepen[[Code]:[Ruimte omschrijving]],2,FALSE)</f>
        <v>Magazijnen/bergingen</v>
      </c>
      <c r="C51" s="218" t="s">
        <v>337</v>
      </c>
      <c r="D51" s="217" t="s">
        <v>27</v>
      </c>
      <c r="E51" s="219" t="s">
        <v>1325</v>
      </c>
      <c r="F51" s="218" t="s">
        <v>1333</v>
      </c>
      <c r="G51" s="263" t="s">
        <v>302</v>
      </c>
      <c r="H51" s="220" t="s">
        <v>302</v>
      </c>
      <c r="I51" s="220" t="s">
        <v>15</v>
      </c>
      <c r="J51" s="220" t="s">
        <v>302</v>
      </c>
      <c r="K51" s="220" t="s">
        <v>302</v>
      </c>
      <c r="L51" s="220" t="s">
        <v>302</v>
      </c>
      <c r="M51" s="220" t="s">
        <v>302</v>
      </c>
      <c r="N51" s="221" t="s">
        <v>302</v>
      </c>
      <c r="O51" s="222" t="s">
        <v>302</v>
      </c>
      <c r="P51" s="222" t="s">
        <v>302</v>
      </c>
      <c r="Q51" s="222" t="s">
        <v>302</v>
      </c>
      <c r="R51" s="222" t="s">
        <v>302</v>
      </c>
      <c r="S51" s="222" t="s">
        <v>15</v>
      </c>
      <c r="T51" s="222" t="s">
        <v>302</v>
      </c>
      <c r="U51" s="222" t="s">
        <v>302</v>
      </c>
      <c r="V51" s="222" t="s">
        <v>302</v>
      </c>
      <c r="W51" s="223" t="s">
        <v>302</v>
      </c>
      <c r="X51" s="223" t="s">
        <v>302</v>
      </c>
      <c r="Y51" s="224" t="s">
        <v>302</v>
      </c>
    </row>
    <row r="52" spans="1:25">
      <c r="A52" s="216">
        <v>1</v>
      </c>
      <c r="B52" s="217" t="str">
        <f>VLOOKUP(Tabel10[[#This Row],[Code]],Ruimtegroepen[[Code]:[Ruimte omschrijving]],2,FALSE)</f>
        <v>Magazijnen/bergingen</v>
      </c>
      <c r="C52" s="218" t="s">
        <v>342</v>
      </c>
      <c r="D52" s="217" t="s">
        <v>28</v>
      </c>
      <c r="E52" s="219" t="s">
        <v>101</v>
      </c>
      <c r="F52" s="218" t="s">
        <v>343</v>
      </c>
      <c r="G52" s="263" t="s">
        <v>302</v>
      </c>
      <c r="H52" s="220" t="s">
        <v>302</v>
      </c>
      <c r="I52" s="220" t="s">
        <v>17</v>
      </c>
      <c r="J52" s="220" t="s">
        <v>302</v>
      </c>
      <c r="K52" s="220" t="s">
        <v>302</v>
      </c>
      <c r="L52" s="220" t="s">
        <v>302</v>
      </c>
      <c r="M52" s="220" t="s">
        <v>302</v>
      </c>
      <c r="N52" s="221" t="s">
        <v>302</v>
      </c>
      <c r="O52" s="222" t="s">
        <v>302</v>
      </c>
      <c r="P52" s="222" t="s">
        <v>302</v>
      </c>
      <c r="Q52" s="222" t="s">
        <v>302</v>
      </c>
      <c r="R52" s="222" t="s">
        <v>302</v>
      </c>
      <c r="S52" s="222" t="s">
        <v>15</v>
      </c>
      <c r="T52" s="222" t="s">
        <v>302</v>
      </c>
      <c r="U52" s="222" t="s">
        <v>302</v>
      </c>
      <c r="V52" s="222" t="s">
        <v>302</v>
      </c>
      <c r="W52" s="223" t="s">
        <v>302</v>
      </c>
      <c r="X52" s="223" t="s">
        <v>302</v>
      </c>
      <c r="Y52" s="224" t="s">
        <v>302</v>
      </c>
    </row>
    <row r="53" spans="1:25">
      <c r="A53" s="216">
        <v>1</v>
      </c>
      <c r="B53" s="217" t="str">
        <f>VLOOKUP(Tabel10[[#This Row],[Code]],Ruimtegroepen[[Code]:[Ruimte omschrijving]],2,FALSE)</f>
        <v>Magazijnen/bergingen</v>
      </c>
      <c r="C53" s="218" t="s">
        <v>342</v>
      </c>
      <c r="D53" s="217" t="s">
        <v>28</v>
      </c>
      <c r="E53" s="219" t="s">
        <v>100</v>
      </c>
      <c r="F53" s="218" t="s">
        <v>344</v>
      </c>
      <c r="G53" s="263" t="s">
        <v>302</v>
      </c>
      <c r="H53" s="221" t="s">
        <v>17</v>
      </c>
      <c r="I53" s="220" t="s">
        <v>302</v>
      </c>
      <c r="J53" s="220" t="s">
        <v>302</v>
      </c>
      <c r="K53" s="220" t="s">
        <v>302</v>
      </c>
      <c r="L53" s="220" t="s">
        <v>302</v>
      </c>
      <c r="M53" s="220" t="s">
        <v>302</v>
      </c>
      <c r="N53" s="221" t="s">
        <v>302</v>
      </c>
      <c r="O53" s="222" t="s">
        <v>302</v>
      </c>
      <c r="P53" s="222" t="s">
        <v>302</v>
      </c>
      <c r="Q53" s="222" t="s">
        <v>302</v>
      </c>
      <c r="R53" s="222" t="s">
        <v>302</v>
      </c>
      <c r="S53" s="222" t="s">
        <v>15</v>
      </c>
      <c r="T53" s="222" t="s">
        <v>302</v>
      </c>
      <c r="U53" s="222" t="s">
        <v>302</v>
      </c>
      <c r="V53" s="222" t="s">
        <v>302</v>
      </c>
      <c r="W53" s="223" t="s">
        <v>302</v>
      </c>
      <c r="X53" s="223" t="s">
        <v>302</v>
      </c>
      <c r="Y53" s="224" t="s">
        <v>302</v>
      </c>
    </row>
    <row r="54" spans="1:25">
      <c r="A54" s="216">
        <v>1</v>
      </c>
      <c r="B54" s="217" t="str">
        <f>VLOOKUP(Tabel10[[#This Row],[Code]],Ruimtegroepen[[Code]:[Ruimte omschrijving]],2,FALSE)</f>
        <v>Magazijnen/bergingen</v>
      </c>
      <c r="C54" s="218" t="s">
        <v>342</v>
      </c>
      <c r="D54" s="217" t="s">
        <v>28</v>
      </c>
      <c r="E54" s="219" t="s">
        <v>102</v>
      </c>
      <c r="F54" s="218" t="s">
        <v>345</v>
      </c>
      <c r="G54" s="263" t="s">
        <v>302</v>
      </c>
      <c r="H54" s="220" t="s">
        <v>302</v>
      </c>
      <c r="I54" s="220" t="s">
        <v>17</v>
      </c>
      <c r="J54" s="220" t="s">
        <v>302</v>
      </c>
      <c r="K54" s="220" t="s">
        <v>302</v>
      </c>
      <c r="L54" s="220" t="s">
        <v>302</v>
      </c>
      <c r="M54" s="220" t="s">
        <v>302</v>
      </c>
      <c r="N54" s="221" t="s">
        <v>302</v>
      </c>
      <c r="O54" s="222" t="s">
        <v>302</v>
      </c>
      <c r="P54" s="222" t="s">
        <v>302</v>
      </c>
      <c r="Q54" s="222" t="s">
        <v>302</v>
      </c>
      <c r="R54" s="222" t="s">
        <v>302</v>
      </c>
      <c r="S54" s="222" t="s">
        <v>15</v>
      </c>
      <c r="T54" s="222" t="s">
        <v>302</v>
      </c>
      <c r="U54" s="222" t="s">
        <v>302</v>
      </c>
      <c r="V54" s="222" t="s">
        <v>302</v>
      </c>
      <c r="W54" s="223" t="s">
        <v>302</v>
      </c>
      <c r="X54" s="223" t="s">
        <v>302</v>
      </c>
      <c r="Y54" s="224" t="s">
        <v>302</v>
      </c>
    </row>
    <row r="55" spans="1:25">
      <c r="A55" s="216">
        <v>1</v>
      </c>
      <c r="B55" s="217" t="str">
        <f>VLOOKUP(Tabel10[[#This Row],[Code]],Ruimtegroepen[[Code]:[Ruimte omschrijving]],2,FALSE)</f>
        <v>Magazijnen/bergingen</v>
      </c>
      <c r="C55" s="218" t="s">
        <v>342</v>
      </c>
      <c r="D55" s="217" t="s">
        <v>28</v>
      </c>
      <c r="E55" s="219" t="s">
        <v>103</v>
      </c>
      <c r="F55" s="218" t="s">
        <v>346</v>
      </c>
      <c r="G55" s="263" t="s">
        <v>302</v>
      </c>
      <c r="H55" s="220" t="s">
        <v>302</v>
      </c>
      <c r="I55" s="220" t="s">
        <v>17</v>
      </c>
      <c r="J55" s="220" t="s">
        <v>302</v>
      </c>
      <c r="K55" s="220" t="s">
        <v>302</v>
      </c>
      <c r="L55" s="220" t="s">
        <v>302</v>
      </c>
      <c r="M55" s="220" t="s">
        <v>302</v>
      </c>
      <c r="N55" s="221" t="s">
        <v>302</v>
      </c>
      <c r="O55" s="222" t="s">
        <v>302</v>
      </c>
      <c r="P55" s="222" t="s">
        <v>302</v>
      </c>
      <c r="Q55" s="222" t="s">
        <v>302</v>
      </c>
      <c r="R55" s="222" t="s">
        <v>302</v>
      </c>
      <c r="S55" s="222" t="s">
        <v>15</v>
      </c>
      <c r="T55" s="222" t="s">
        <v>302</v>
      </c>
      <c r="U55" s="222" t="s">
        <v>302</v>
      </c>
      <c r="V55" s="222" t="s">
        <v>302</v>
      </c>
      <c r="W55" s="223" t="s">
        <v>302</v>
      </c>
      <c r="X55" s="223" t="s">
        <v>302</v>
      </c>
      <c r="Y55" s="224" t="s">
        <v>302</v>
      </c>
    </row>
    <row r="56" spans="1:25">
      <c r="A56" s="216">
        <v>1</v>
      </c>
      <c r="B56" s="217" t="str">
        <f>VLOOKUP(Tabel10[[#This Row],[Code]],Ruimtegroepen[[Code]:[Ruimte omschrijving]],2,FALSE)</f>
        <v>Magazijnen/bergingen</v>
      </c>
      <c r="C56" s="218" t="s">
        <v>342</v>
      </c>
      <c r="D56" s="217" t="s">
        <v>28</v>
      </c>
      <c r="E56" s="219" t="s">
        <v>100</v>
      </c>
      <c r="F56" s="218" t="s">
        <v>344</v>
      </c>
      <c r="G56" s="263" t="s">
        <v>302</v>
      </c>
      <c r="H56" s="221" t="s">
        <v>17</v>
      </c>
      <c r="I56" s="220" t="s">
        <v>302</v>
      </c>
      <c r="J56" s="220" t="s">
        <v>302</v>
      </c>
      <c r="K56" s="220" t="s">
        <v>302</v>
      </c>
      <c r="L56" s="220" t="s">
        <v>302</v>
      </c>
      <c r="M56" s="220" t="s">
        <v>302</v>
      </c>
      <c r="N56" s="221" t="s">
        <v>302</v>
      </c>
      <c r="O56" s="222" t="s">
        <v>302</v>
      </c>
      <c r="P56" s="222" t="s">
        <v>302</v>
      </c>
      <c r="Q56" s="222" t="s">
        <v>302</v>
      </c>
      <c r="R56" s="222" t="s">
        <v>302</v>
      </c>
      <c r="S56" s="222" t="s">
        <v>15</v>
      </c>
      <c r="T56" s="222" t="s">
        <v>302</v>
      </c>
      <c r="U56" s="222" t="s">
        <v>302</v>
      </c>
      <c r="V56" s="222" t="s">
        <v>302</v>
      </c>
      <c r="W56" s="223" t="s">
        <v>302</v>
      </c>
      <c r="X56" s="223" t="s">
        <v>302</v>
      </c>
      <c r="Y56" s="224" t="s">
        <v>302</v>
      </c>
    </row>
    <row r="57" spans="1:25">
      <c r="A57" s="216">
        <v>1</v>
      </c>
      <c r="B57" s="217" t="str">
        <f>VLOOKUP(Tabel10[[#This Row],[Code]],Ruimtegroepen[[Code]:[Ruimte omschrijving]],2,FALSE)</f>
        <v>Magazijnen/bergingen</v>
      </c>
      <c r="C57" s="218" t="s">
        <v>342</v>
      </c>
      <c r="D57" s="217" t="s">
        <v>28</v>
      </c>
      <c r="E57" s="219" t="s">
        <v>1325</v>
      </c>
      <c r="F57" s="218" t="s">
        <v>1334</v>
      </c>
      <c r="G57" s="263" t="s">
        <v>302</v>
      </c>
      <c r="H57" s="220" t="s">
        <v>302</v>
      </c>
      <c r="I57" s="220" t="s">
        <v>17</v>
      </c>
      <c r="J57" s="220" t="s">
        <v>302</v>
      </c>
      <c r="K57" s="220" t="s">
        <v>302</v>
      </c>
      <c r="L57" s="220" t="s">
        <v>302</v>
      </c>
      <c r="M57" s="220" t="s">
        <v>302</v>
      </c>
      <c r="N57" s="221" t="s">
        <v>302</v>
      </c>
      <c r="O57" s="222" t="s">
        <v>302</v>
      </c>
      <c r="P57" s="222" t="s">
        <v>302</v>
      </c>
      <c r="Q57" s="222" t="s">
        <v>302</v>
      </c>
      <c r="R57" s="222" t="s">
        <v>302</v>
      </c>
      <c r="S57" s="222" t="s">
        <v>15</v>
      </c>
      <c r="T57" s="222" t="s">
        <v>302</v>
      </c>
      <c r="U57" s="222" t="s">
        <v>302</v>
      </c>
      <c r="V57" s="222" t="s">
        <v>302</v>
      </c>
      <c r="W57" s="223" t="s">
        <v>302</v>
      </c>
      <c r="X57" s="223" t="s">
        <v>302</v>
      </c>
      <c r="Y57" s="224" t="s">
        <v>302</v>
      </c>
    </row>
    <row r="58" spans="1:25">
      <c r="A58" s="216">
        <v>2</v>
      </c>
      <c r="B58" s="217" t="str">
        <f>VLOOKUP(Tabel10[[#This Row],[Code]],Ruimtegroepen[[Code]:[Ruimte omschrijving]],2,FALSE)</f>
        <v>Kantoren</v>
      </c>
      <c r="C58" s="218" t="s">
        <v>347</v>
      </c>
      <c r="D58" s="217" t="s">
        <v>29</v>
      </c>
      <c r="E58" s="219" t="s">
        <v>101</v>
      </c>
      <c r="F58" s="218" t="s">
        <v>348</v>
      </c>
      <c r="G58" s="263" t="s">
        <v>302</v>
      </c>
      <c r="H58" s="220" t="s">
        <v>302</v>
      </c>
      <c r="I58" s="220" t="s">
        <v>20</v>
      </c>
      <c r="J58" s="220" t="s">
        <v>15</v>
      </c>
      <c r="K58" s="220" t="s">
        <v>302</v>
      </c>
      <c r="L58" s="220" t="s">
        <v>302</v>
      </c>
      <c r="M58" s="220" t="s">
        <v>302</v>
      </c>
      <c r="N58" s="221" t="s">
        <v>2</v>
      </c>
      <c r="O58" s="222" t="s">
        <v>2</v>
      </c>
      <c r="P58" s="222" t="s">
        <v>2</v>
      </c>
      <c r="Q58" s="222" t="s">
        <v>15</v>
      </c>
      <c r="R58" s="222" t="s">
        <v>15</v>
      </c>
      <c r="S58" s="222" t="s">
        <v>16</v>
      </c>
      <c r="T58" s="222" t="s">
        <v>349</v>
      </c>
      <c r="U58" s="222" t="s">
        <v>269</v>
      </c>
      <c r="V58" s="222" t="s">
        <v>2</v>
      </c>
      <c r="W58" s="223" t="s">
        <v>302</v>
      </c>
      <c r="X58" s="223" t="s">
        <v>302</v>
      </c>
      <c r="Y58" s="224" t="s">
        <v>302</v>
      </c>
    </row>
    <row r="59" spans="1:25">
      <c r="A59" s="216">
        <v>2</v>
      </c>
      <c r="B59" s="217" t="str">
        <f>VLOOKUP(Tabel10[[#This Row],[Code]],Ruimtegroepen[[Code]:[Ruimte omschrijving]],2,FALSE)</f>
        <v>Kantoren</v>
      </c>
      <c r="C59" s="218" t="s">
        <v>347</v>
      </c>
      <c r="D59" s="217" t="s">
        <v>29</v>
      </c>
      <c r="E59" s="219" t="s">
        <v>100</v>
      </c>
      <c r="F59" s="218" t="s">
        <v>350</v>
      </c>
      <c r="G59" s="221" t="s">
        <v>20</v>
      </c>
      <c r="H59" s="221" t="s">
        <v>15</v>
      </c>
      <c r="I59" s="220" t="s">
        <v>302</v>
      </c>
      <c r="J59" s="220" t="s">
        <v>302</v>
      </c>
      <c r="K59" s="220" t="s">
        <v>302</v>
      </c>
      <c r="L59" s="220" t="s">
        <v>302</v>
      </c>
      <c r="M59" s="220" t="s">
        <v>302</v>
      </c>
      <c r="N59" s="221" t="s">
        <v>2</v>
      </c>
      <c r="O59" s="222" t="s">
        <v>2</v>
      </c>
      <c r="P59" s="222" t="s">
        <v>2</v>
      </c>
      <c r="Q59" s="222" t="s">
        <v>15</v>
      </c>
      <c r="R59" s="222" t="s">
        <v>15</v>
      </c>
      <c r="S59" s="222" t="s">
        <v>16</v>
      </c>
      <c r="T59" s="222" t="s">
        <v>349</v>
      </c>
      <c r="U59" s="222" t="s">
        <v>269</v>
      </c>
      <c r="V59" s="222" t="s">
        <v>2</v>
      </c>
      <c r="W59" s="223" t="s">
        <v>302</v>
      </c>
      <c r="X59" s="223" t="s">
        <v>302</v>
      </c>
      <c r="Y59" s="224" t="s">
        <v>302</v>
      </c>
    </row>
    <row r="60" spans="1:25">
      <c r="A60" s="216">
        <v>2</v>
      </c>
      <c r="B60" s="217" t="str">
        <f>VLOOKUP(Tabel10[[#This Row],[Code]],Ruimtegroepen[[Code]:[Ruimte omschrijving]],2,FALSE)</f>
        <v>Kantoren</v>
      </c>
      <c r="C60" s="218" t="s">
        <v>347</v>
      </c>
      <c r="D60" s="217" t="s">
        <v>29</v>
      </c>
      <c r="E60" s="219" t="s">
        <v>102</v>
      </c>
      <c r="F60" s="218" t="s">
        <v>351</v>
      </c>
      <c r="G60" s="263" t="s">
        <v>302</v>
      </c>
      <c r="H60" s="220" t="s">
        <v>302</v>
      </c>
      <c r="I60" s="220" t="s">
        <v>20</v>
      </c>
      <c r="J60" s="220" t="s">
        <v>15</v>
      </c>
      <c r="K60" s="220" t="s">
        <v>269</v>
      </c>
      <c r="L60" s="220" t="s">
        <v>302</v>
      </c>
      <c r="M60" s="220" t="s">
        <v>302</v>
      </c>
      <c r="N60" s="221" t="s">
        <v>2</v>
      </c>
      <c r="O60" s="222" t="s">
        <v>2</v>
      </c>
      <c r="P60" s="222" t="s">
        <v>2</v>
      </c>
      <c r="Q60" s="222" t="s">
        <v>15</v>
      </c>
      <c r="R60" s="222" t="s">
        <v>15</v>
      </c>
      <c r="S60" s="222" t="s">
        <v>16</v>
      </c>
      <c r="T60" s="222" t="s">
        <v>349</v>
      </c>
      <c r="U60" s="222" t="s">
        <v>269</v>
      </c>
      <c r="V60" s="222" t="s">
        <v>2</v>
      </c>
      <c r="W60" s="223" t="s">
        <v>302</v>
      </c>
      <c r="X60" s="223" t="s">
        <v>302</v>
      </c>
      <c r="Y60" s="224" t="s">
        <v>302</v>
      </c>
    </row>
    <row r="61" spans="1:25">
      <c r="A61" s="216">
        <v>2</v>
      </c>
      <c r="B61" s="217" t="str">
        <f>VLOOKUP(Tabel10[[#This Row],[Code]],Ruimtegroepen[[Code]:[Ruimte omschrijving]],2,FALSE)</f>
        <v>Kantoren</v>
      </c>
      <c r="C61" s="218" t="s">
        <v>347</v>
      </c>
      <c r="D61" s="217" t="s">
        <v>29</v>
      </c>
      <c r="E61" s="219" t="s">
        <v>103</v>
      </c>
      <c r="F61" s="218" t="s">
        <v>352</v>
      </c>
      <c r="G61" s="263" t="s">
        <v>302</v>
      </c>
      <c r="H61" s="220" t="s">
        <v>302</v>
      </c>
      <c r="I61" s="220" t="s">
        <v>20</v>
      </c>
      <c r="J61" s="220" t="s">
        <v>15</v>
      </c>
      <c r="K61" s="220" t="s">
        <v>269</v>
      </c>
      <c r="L61" s="220" t="s">
        <v>302</v>
      </c>
      <c r="M61" s="220" t="s">
        <v>302</v>
      </c>
      <c r="N61" s="221" t="s">
        <v>2</v>
      </c>
      <c r="O61" s="222" t="s">
        <v>2</v>
      </c>
      <c r="P61" s="222" t="s">
        <v>2</v>
      </c>
      <c r="Q61" s="222" t="s">
        <v>15</v>
      </c>
      <c r="R61" s="222" t="s">
        <v>15</v>
      </c>
      <c r="S61" s="222" t="s">
        <v>16</v>
      </c>
      <c r="T61" s="222" t="s">
        <v>349</v>
      </c>
      <c r="U61" s="222" t="s">
        <v>269</v>
      </c>
      <c r="V61" s="222" t="s">
        <v>2</v>
      </c>
      <c r="W61" s="223" t="s">
        <v>302</v>
      </c>
      <c r="X61" s="223" t="s">
        <v>302</v>
      </c>
      <c r="Y61" s="224" t="s">
        <v>302</v>
      </c>
    </row>
    <row r="62" spans="1:25">
      <c r="A62" s="216">
        <v>2</v>
      </c>
      <c r="B62" s="217" t="str">
        <f>VLOOKUP(Tabel10[[#This Row],[Code]],Ruimtegroepen[[Code]:[Ruimte omschrijving]],2,FALSE)</f>
        <v>Kantoren</v>
      </c>
      <c r="C62" s="218" t="s">
        <v>347</v>
      </c>
      <c r="D62" s="217" t="s">
        <v>29</v>
      </c>
      <c r="E62" s="219" t="s">
        <v>100</v>
      </c>
      <c r="F62" s="218" t="s">
        <v>350</v>
      </c>
      <c r="G62" s="221" t="s">
        <v>20</v>
      </c>
      <c r="H62" s="221" t="s">
        <v>15</v>
      </c>
      <c r="I62" s="220" t="s">
        <v>302</v>
      </c>
      <c r="J62" s="220" t="s">
        <v>302</v>
      </c>
      <c r="K62" s="220" t="s">
        <v>302</v>
      </c>
      <c r="L62" s="220" t="s">
        <v>302</v>
      </c>
      <c r="M62" s="220" t="s">
        <v>302</v>
      </c>
      <c r="N62" s="221" t="s">
        <v>2</v>
      </c>
      <c r="O62" s="222" t="s">
        <v>2</v>
      </c>
      <c r="P62" s="222" t="s">
        <v>2</v>
      </c>
      <c r="Q62" s="222" t="s">
        <v>15</v>
      </c>
      <c r="R62" s="222" t="s">
        <v>15</v>
      </c>
      <c r="S62" s="222" t="s">
        <v>16</v>
      </c>
      <c r="T62" s="222" t="s">
        <v>349</v>
      </c>
      <c r="U62" s="222" t="s">
        <v>269</v>
      </c>
      <c r="V62" s="222" t="s">
        <v>2</v>
      </c>
      <c r="W62" s="223" t="s">
        <v>302</v>
      </c>
      <c r="X62" s="223" t="s">
        <v>302</v>
      </c>
      <c r="Y62" s="224" t="s">
        <v>302</v>
      </c>
    </row>
    <row r="63" spans="1:25">
      <c r="A63" s="216">
        <v>2</v>
      </c>
      <c r="B63" s="217" t="str">
        <f>VLOOKUP(Tabel10[[#This Row],[Code]],Ruimtegroepen[[Code]:[Ruimte omschrijving]],2,FALSE)</f>
        <v>Kantoren</v>
      </c>
      <c r="C63" s="218" t="s">
        <v>347</v>
      </c>
      <c r="D63" s="217" t="s">
        <v>29</v>
      </c>
      <c r="E63" s="219" t="s">
        <v>1325</v>
      </c>
      <c r="F63" s="218" t="s">
        <v>1344</v>
      </c>
      <c r="G63" s="263" t="s">
        <v>302</v>
      </c>
      <c r="H63" s="220" t="s">
        <v>302</v>
      </c>
      <c r="I63" s="220" t="s">
        <v>20</v>
      </c>
      <c r="J63" s="220" t="s">
        <v>15</v>
      </c>
      <c r="K63" s="220" t="s">
        <v>269</v>
      </c>
      <c r="L63" s="220" t="s">
        <v>302</v>
      </c>
      <c r="M63" s="220" t="s">
        <v>302</v>
      </c>
      <c r="N63" s="221" t="s">
        <v>2</v>
      </c>
      <c r="O63" s="222" t="s">
        <v>2</v>
      </c>
      <c r="P63" s="222" t="s">
        <v>2</v>
      </c>
      <c r="Q63" s="222" t="s">
        <v>15</v>
      </c>
      <c r="R63" s="222" t="s">
        <v>15</v>
      </c>
      <c r="S63" s="222" t="s">
        <v>16</v>
      </c>
      <c r="T63" s="222" t="s">
        <v>349</v>
      </c>
      <c r="U63" s="222" t="s">
        <v>269</v>
      </c>
      <c r="V63" s="222" t="s">
        <v>2</v>
      </c>
      <c r="W63" s="223" t="s">
        <v>302</v>
      </c>
      <c r="X63" s="223" t="s">
        <v>302</v>
      </c>
      <c r="Y63" s="224" t="s">
        <v>302</v>
      </c>
    </row>
    <row r="64" spans="1:25">
      <c r="A64" s="216">
        <v>2</v>
      </c>
      <c r="B64" s="217" t="str">
        <f>VLOOKUP(Tabel10[[#This Row],[Code]],Ruimtegroepen[[Code]:[Ruimte omschrijving]],2,FALSE)</f>
        <v>Kantoren</v>
      </c>
      <c r="C64" s="218" t="s">
        <v>353</v>
      </c>
      <c r="D64" s="217" t="s">
        <v>1</v>
      </c>
      <c r="E64" s="219" t="s">
        <v>101</v>
      </c>
      <c r="F64" s="218" t="s">
        <v>354</v>
      </c>
      <c r="G64" s="263" t="s">
        <v>302</v>
      </c>
      <c r="H64" s="220" t="s">
        <v>302</v>
      </c>
      <c r="I64" s="220" t="s">
        <v>20</v>
      </c>
      <c r="J64" s="220" t="s">
        <v>15</v>
      </c>
      <c r="K64" s="220" t="s">
        <v>302</v>
      </c>
      <c r="L64" s="220" t="s">
        <v>302</v>
      </c>
      <c r="M64" s="220" t="s">
        <v>302</v>
      </c>
      <c r="N64" s="221" t="s">
        <v>302</v>
      </c>
      <c r="O64" s="222" t="s">
        <v>2</v>
      </c>
      <c r="P64" s="222" t="s">
        <v>2</v>
      </c>
      <c r="Q64" s="222" t="s">
        <v>15</v>
      </c>
      <c r="R64" s="222" t="s">
        <v>15</v>
      </c>
      <c r="S64" s="222" t="s">
        <v>16</v>
      </c>
      <c r="T64" s="222" t="s">
        <v>349</v>
      </c>
      <c r="U64" s="222" t="s">
        <v>269</v>
      </c>
      <c r="V64" s="222" t="s">
        <v>302</v>
      </c>
      <c r="W64" s="223" t="s">
        <v>302</v>
      </c>
      <c r="X64" s="223" t="s">
        <v>302</v>
      </c>
      <c r="Y64" s="224" t="s">
        <v>302</v>
      </c>
    </row>
    <row r="65" spans="1:25">
      <c r="A65" s="216">
        <v>2</v>
      </c>
      <c r="B65" s="217" t="str">
        <f>VLOOKUP(Tabel10[[#This Row],[Code]],Ruimtegroepen[[Code]:[Ruimte omschrijving]],2,FALSE)</f>
        <v>Kantoren</v>
      </c>
      <c r="C65" s="218" t="s">
        <v>353</v>
      </c>
      <c r="D65" s="217" t="s">
        <v>1</v>
      </c>
      <c r="E65" s="219" t="s">
        <v>100</v>
      </c>
      <c r="F65" s="218" t="s">
        <v>355</v>
      </c>
      <c r="G65" s="221" t="s">
        <v>20</v>
      </c>
      <c r="H65" s="221" t="s">
        <v>15</v>
      </c>
      <c r="I65" s="220" t="s">
        <v>302</v>
      </c>
      <c r="J65" s="220" t="s">
        <v>302</v>
      </c>
      <c r="K65" s="220" t="s">
        <v>302</v>
      </c>
      <c r="L65" s="220" t="s">
        <v>302</v>
      </c>
      <c r="M65" s="220" t="s">
        <v>302</v>
      </c>
      <c r="N65" s="221" t="s">
        <v>302</v>
      </c>
      <c r="O65" s="222" t="s">
        <v>2</v>
      </c>
      <c r="P65" s="222" t="s">
        <v>2</v>
      </c>
      <c r="Q65" s="222" t="s">
        <v>15</v>
      </c>
      <c r="R65" s="222" t="s">
        <v>15</v>
      </c>
      <c r="S65" s="222" t="s">
        <v>16</v>
      </c>
      <c r="T65" s="222" t="s">
        <v>349</v>
      </c>
      <c r="U65" s="222" t="s">
        <v>269</v>
      </c>
      <c r="V65" s="222" t="s">
        <v>302</v>
      </c>
      <c r="W65" s="223" t="s">
        <v>302</v>
      </c>
      <c r="X65" s="223" t="s">
        <v>302</v>
      </c>
      <c r="Y65" s="224" t="s">
        <v>302</v>
      </c>
    </row>
    <row r="66" spans="1:25">
      <c r="A66" s="216">
        <v>2</v>
      </c>
      <c r="B66" s="217" t="str">
        <f>VLOOKUP(Tabel10[[#This Row],[Code]],Ruimtegroepen[[Code]:[Ruimte omschrijving]],2,FALSE)</f>
        <v>Kantoren</v>
      </c>
      <c r="C66" s="218" t="s">
        <v>353</v>
      </c>
      <c r="D66" s="217" t="s">
        <v>1</v>
      </c>
      <c r="E66" s="219" t="s">
        <v>102</v>
      </c>
      <c r="F66" s="218" t="s">
        <v>356</v>
      </c>
      <c r="G66" s="263" t="s">
        <v>302</v>
      </c>
      <c r="H66" s="220" t="s">
        <v>302</v>
      </c>
      <c r="I66" s="220" t="s">
        <v>20</v>
      </c>
      <c r="J66" s="220" t="s">
        <v>15</v>
      </c>
      <c r="K66" s="220" t="s">
        <v>269</v>
      </c>
      <c r="L66" s="220" t="s">
        <v>302</v>
      </c>
      <c r="M66" s="220" t="s">
        <v>302</v>
      </c>
      <c r="N66" s="221" t="s">
        <v>302</v>
      </c>
      <c r="O66" s="222" t="s">
        <v>2</v>
      </c>
      <c r="P66" s="222" t="s">
        <v>2</v>
      </c>
      <c r="Q66" s="222" t="s">
        <v>15</v>
      </c>
      <c r="R66" s="222" t="s">
        <v>15</v>
      </c>
      <c r="S66" s="222" t="s">
        <v>16</v>
      </c>
      <c r="T66" s="222" t="s">
        <v>349</v>
      </c>
      <c r="U66" s="222" t="s">
        <v>269</v>
      </c>
      <c r="V66" s="222" t="s">
        <v>302</v>
      </c>
      <c r="W66" s="223" t="s">
        <v>302</v>
      </c>
      <c r="X66" s="223" t="s">
        <v>302</v>
      </c>
      <c r="Y66" s="224" t="s">
        <v>302</v>
      </c>
    </row>
    <row r="67" spans="1:25">
      <c r="A67" s="216">
        <v>2</v>
      </c>
      <c r="B67" s="217" t="str">
        <f>VLOOKUP(Tabel10[[#This Row],[Code]],Ruimtegroepen[[Code]:[Ruimte omschrijving]],2,FALSE)</f>
        <v>Kantoren</v>
      </c>
      <c r="C67" s="218" t="s">
        <v>353</v>
      </c>
      <c r="D67" s="217" t="s">
        <v>1</v>
      </c>
      <c r="E67" s="219" t="s">
        <v>103</v>
      </c>
      <c r="F67" s="218" t="s">
        <v>357</v>
      </c>
      <c r="G67" s="263" t="s">
        <v>302</v>
      </c>
      <c r="H67" s="220" t="s">
        <v>302</v>
      </c>
      <c r="I67" s="220" t="s">
        <v>20</v>
      </c>
      <c r="J67" s="220" t="s">
        <v>15</v>
      </c>
      <c r="K67" s="220" t="s">
        <v>269</v>
      </c>
      <c r="L67" s="220" t="s">
        <v>302</v>
      </c>
      <c r="M67" s="220" t="s">
        <v>302</v>
      </c>
      <c r="N67" s="221" t="s">
        <v>302</v>
      </c>
      <c r="O67" s="222" t="s">
        <v>2</v>
      </c>
      <c r="P67" s="222" t="s">
        <v>2</v>
      </c>
      <c r="Q67" s="222" t="s">
        <v>15</v>
      </c>
      <c r="R67" s="222" t="s">
        <v>15</v>
      </c>
      <c r="S67" s="222" t="s">
        <v>16</v>
      </c>
      <c r="T67" s="222" t="s">
        <v>349</v>
      </c>
      <c r="U67" s="222" t="s">
        <v>269</v>
      </c>
      <c r="V67" s="222" t="s">
        <v>302</v>
      </c>
      <c r="W67" s="223" t="s">
        <v>302</v>
      </c>
      <c r="X67" s="223" t="s">
        <v>302</v>
      </c>
      <c r="Y67" s="224" t="s">
        <v>302</v>
      </c>
    </row>
    <row r="68" spans="1:25">
      <c r="A68" s="216">
        <v>2</v>
      </c>
      <c r="B68" s="217" t="str">
        <f>VLOOKUP(Tabel10[[#This Row],[Code]],Ruimtegroepen[[Code]:[Ruimte omschrijving]],2,FALSE)</f>
        <v>Kantoren</v>
      </c>
      <c r="C68" s="218" t="s">
        <v>353</v>
      </c>
      <c r="D68" s="217" t="s">
        <v>1</v>
      </c>
      <c r="E68" s="219" t="s">
        <v>100</v>
      </c>
      <c r="F68" s="218" t="s">
        <v>355</v>
      </c>
      <c r="G68" s="221" t="s">
        <v>20</v>
      </c>
      <c r="H68" s="221" t="s">
        <v>15</v>
      </c>
      <c r="I68" s="220" t="s">
        <v>302</v>
      </c>
      <c r="J68" s="220" t="s">
        <v>302</v>
      </c>
      <c r="K68" s="220" t="s">
        <v>302</v>
      </c>
      <c r="L68" s="220" t="s">
        <v>302</v>
      </c>
      <c r="M68" s="220" t="s">
        <v>302</v>
      </c>
      <c r="N68" s="221" t="s">
        <v>302</v>
      </c>
      <c r="O68" s="222" t="s">
        <v>2</v>
      </c>
      <c r="P68" s="222" t="s">
        <v>2</v>
      </c>
      <c r="Q68" s="222" t="s">
        <v>15</v>
      </c>
      <c r="R68" s="222" t="s">
        <v>15</v>
      </c>
      <c r="S68" s="222" t="s">
        <v>16</v>
      </c>
      <c r="T68" s="222" t="s">
        <v>349</v>
      </c>
      <c r="U68" s="222" t="s">
        <v>269</v>
      </c>
      <c r="V68" s="222" t="s">
        <v>302</v>
      </c>
      <c r="W68" s="223" t="s">
        <v>302</v>
      </c>
      <c r="X68" s="223" t="s">
        <v>302</v>
      </c>
      <c r="Y68" s="224" t="s">
        <v>302</v>
      </c>
    </row>
    <row r="69" spans="1:25">
      <c r="A69" s="216">
        <v>2</v>
      </c>
      <c r="B69" s="217" t="str">
        <f>VLOOKUP(Tabel10[[#This Row],[Code]],Ruimtegroepen[[Code]:[Ruimte omschrijving]],2,FALSE)</f>
        <v>Kantoren</v>
      </c>
      <c r="C69" s="218" t="s">
        <v>353</v>
      </c>
      <c r="D69" s="217" t="s">
        <v>1</v>
      </c>
      <c r="E69" s="219" t="s">
        <v>1325</v>
      </c>
      <c r="F69" s="218" t="s">
        <v>1345</v>
      </c>
      <c r="G69" s="263" t="s">
        <v>302</v>
      </c>
      <c r="H69" s="220" t="s">
        <v>302</v>
      </c>
      <c r="I69" s="220" t="s">
        <v>20</v>
      </c>
      <c r="J69" s="220" t="s">
        <v>15</v>
      </c>
      <c r="K69" s="220" t="s">
        <v>269</v>
      </c>
      <c r="L69" s="220" t="s">
        <v>302</v>
      </c>
      <c r="M69" s="220" t="s">
        <v>302</v>
      </c>
      <c r="N69" s="221" t="s">
        <v>302</v>
      </c>
      <c r="O69" s="222" t="s">
        <v>2</v>
      </c>
      <c r="P69" s="222" t="s">
        <v>2</v>
      </c>
      <c r="Q69" s="222" t="s">
        <v>15</v>
      </c>
      <c r="R69" s="222" t="s">
        <v>15</v>
      </c>
      <c r="S69" s="222" t="s">
        <v>16</v>
      </c>
      <c r="T69" s="222" t="s">
        <v>349</v>
      </c>
      <c r="U69" s="222" t="s">
        <v>269</v>
      </c>
      <c r="V69" s="222" t="s">
        <v>302</v>
      </c>
      <c r="W69" s="223" t="s">
        <v>302</v>
      </c>
      <c r="X69" s="223" t="s">
        <v>302</v>
      </c>
      <c r="Y69" s="224" t="s">
        <v>302</v>
      </c>
    </row>
    <row r="70" spans="1:25">
      <c r="A70" s="216">
        <v>2</v>
      </c>
      <c r="B70" s="217" t="str">
        <f>VLOOKUP(Tabel10[[#This Row],[Code]],Ruimtegroepen[[Code]:[Ruimte omschrijving]],2,FALSE)</f>
        <v>Kantoren</v>
      </c>
      <c r="C70" s="218" t="s">
        <v>358</v>
      </c>
      <c r="D70" s="217" t="s">
        <v>21</v>
      </c>
      <c r="E70" s="219" t="s">
        <v>101</v>
      </c>
      <c r="F70" s="218" t="s">
        <v>359</v>
      </c>
      <c r="G70" s="263" t="s">
        <v>302</v>
      </c>
      <c r="H70" s="220" t="s">
        <v>302</v>
      </c>
      <c r="I70" s="220" t="s">
        <v>18</v>
      </c>
      <c r="J70" s="220" t="s">
        <v>15</v>
      </c>
      <c r="K70" s="220" t="s">
        <v>302</v>
      </c>
      <c r="L70" s="220" t="s">
        <v>302</v>
      </c>
      <c r="M70" s="220" t="s">
        <v>302</v>
      </c>
      <c r="N70" s="221" t="s">
        <v>302</v>
      </c>
      <c r="O70" s="222" t="s">
        <v>20</v>
      </c>
      <c r="P70" s="222" t="s">
        <v>20</v>
      </c>
      <c r="Q70" s="222" t="s">
        <v>15</v>
      </c>
      <c r="R70" s="222" t="s">
        <v>15</v>
      </c>
      <c r="S70" s="222" t="s">
        <v>16</v>
      </c>
      <c r="T70" s="222" t="s">
        <v>349</v>
      </c>
      <c r="U70" s="222" t="s">
        <v>269</v>
      </c>
      <c r="V70" s="222" t="s">
        <v>302</v>
      </c>
      <c r="W70" s="223" t="s">
        <v>302</v>
      </c>
      <c r="X70" s="223" t="s">
        <v>302</v>
      </c>
      <c r="Y70" s="224" t="s">
        <v>302</v>
      </c>
    </row>
    <row r="71" spans="1:25">
      <c r="A71" s="216">
        <v>2</v>
      </c>
      <c r="B71" s="217" t="str">
        <f>VLOOKUP(Tabel10[[#This Row],[Code]],Ruimtegroepen[[Code]:[Ruimte omschrijving]],2,FALSE)</f>
        <v>Kantoren</v>
      </c>
      <c r="C71" s="218" t="s">
        <v>358</v>
      </c>
      <c r="D71" s="217" t="s">
        <v>21</v>
      </c>
      <c r="E71" s="219" t="s">
        <v>100</v>
      </c>
      <c r="F71" s="218" t="s">
        <v>360</v>
      </c>
      <c r="G71" s="221" t="s">
        <v>18</v>
      </c>
      <c r="H71" s="221" t="s">
        <v>15</v>
      </c>
      <c r="I71" s="220" t="s">
        <v>302</v>
      </c>
      <c r="J71" s="220" t="s">
        <v>302</v>
      </c>
      <c r="K71" s="220" t="s">
        <v>302</v>
      </c>
      <c r="L71" s="220" t="s">
        <v>302</v>
      </c>
      <c r="M71" s="220" t="s">
        <v>302</v>
      </c>
      <c r="N71" s="221" t="s">
        <v>302</v>
      </c>
      <c r="O71" s="222" t="s">
        <v>20</v>
      </c>
      <c r="P71" s="222" t="s">
        <v>20</v>
      </c>
      <c r="Q71" s="222" t="s">
        <v>15</v>
      </c>
      <c r="R71" s="222" t="s">
        <v>15</v>
      </c>
      <c r="S71" s="222" t="s">
        <v>16</v>
      </c>
      <c r="T71" s="222" t="s">
        <v>349</v>
      </c>
      <c r="U71" s="222" t="s">
        <v>269</v>
      </c>
      <c r="V71" s="222" t="s">
        <v>302</v>
      </c>
      <c r="W71" s="223" t="s">
        <v>302</v>
      </c>
      <c r="X71" s="223" t="s">
        <v>302</v>
      </c>
      <c r="Y71" s="224" t="s">
        <v>302</v>
      </c>
    </row>
    <row r="72" spans="1:25">
      <c r="A72" s="216">
        <v>2</v>
      </c>
      <c r="B72" s="217" t="str">
        <f>VLOOKUP(Tabel10[[#This Row],[Code]],Ruimtegroepen[[Code]:[Ruimte omschrijving]],2,FALSE)</f>
        <v>Kantoren</v>
      </c>
      <c r="C72" s="218" t="s">
        <v>358</v>
      </c>
      <c r="D72" s="217" t="s">
        <v>21</v>
      </c>
      <c r="E72" s="219" t="s">
        <v>102</v>
      </c>
      <c r="F72" s="218" t="s">
        <v>361</v>
      </c>
      <c r="G72" s="263" t="s">
        <v>302</v>
      </c>
      <c r="H72" s="220" t="s">
        <v>302</v>
      </c>
      <c r="I72" s="220" t="s">
        <v>18</v>
      </c>
      <c r="J72" s="220" t="s">
        <v>15</v>
      </c>
      <c r="K72" s="220" t="s">
        <v>269</v>
      </c>
      <c r="L72" s="220" t="s">
        <v>302</v>
      </c>
      <c r="M72" s="220" t="s">
        <v>302</v>
      </c>
      <c r="N72" s="221" t="s">
        <v>302</v>
      </c>
      <c r="O72" s="222" t="s">
        <v>20</v>
      </c>
      <c r="P72" s="222" t="s">
        <v>20</v>
      </c>
      <c r="Q72" s="222" t="s">
        <v>15</v>
      </c>
      <c r="R72" s="222" t="s">
        <v>15</v>
      </c>
      <c r="S72" s="222" t="s">
        <v>16</v>
      </c>
      <c r="T72" s="222" t="s">
        <v>349</v>
      </c>
      <c r="U72" s="222" t="s">
        <v>269</v>
      </c>
      <c r="V72" s="222" t="s">
        <v>302</v>
      </c>
      <c r="W72" s="223" t="s">
        <v>302</v>
      </c>
      <c r="X72" s="223" t="s">
        <v>302</v>
      </c>
      <c r="Y72" s="224" t="s">
        <v>302</v>
      </c>
    </row>
    <row r="73" spans="1:25">
      <c r="A73" s="216">
        <v>2</v>
      </c>
      <c r="B73" s="217" t="str">
        <f>VLOOKUP(Tabel10[[#This Row],[Code]],Ruimtegroepen[[Code]:[Ruimte omschrijving]],2,FALSE)</f>
        <v>Kantoren</v>
      </c>
      <c r="C73" s="218" t="s">
        <v>358</v>
      </c>
      <c r="D73" s="217" t="s">
        <v>21</v>
      </c>
      <c r="E73" s="219" t="s">
        <v>103</v>
      </c>
      <c r="F73" s="218" t="s">
        <v>362</v>
      </c>
      <c r="G73" s="263" t="s">
        <v>302</v>
      </c>
      <c r="H73" s="220" t="s">
        <v>302</v>
      </c>
      <c r="I73" s="220" t="s">
        <v>18</v>
      </c>
      <c r="J73" s="220" t="s">
        <v>15</v>
      </c>
      <c r="K73" s="220" t="s">
        <v>269</v>
      </c>
      <c r="L73" s="220" t="s">
        <v>302</v>
      </c>
      <c r="M73" s="220" t="s">
        <v>302</v>
      </c>
      <c r="N73" s="221" t="s">
        <v>302</v>
      </c>
      <c r="O73" s="222" t="s">
        <v>20</v>
      </c>
      <c r="P73" s="222" t="s">
        <v>20</v>
      </c>
      <c r="Q73" s="222" t="s">
        <v>15</v>
      </c>
      <c r="R73" s="222" t="s">
        <v>15</v>
      </c>
      <c r="S73" s="222" t="s">
        <v>16</v>
      </c>
      <c r="T73" s="222" t="s">
        <v>349</v>
      </c>
      <c r="U73" s="222" t="s">
        <v>269</v>
      </c>
      <c r="V73" s="222" t="s">
        <v>302</v>
      </c>
      <c r="W73" s="223" t="s">
        <v>302</v>
      </c>
      <c r="X73" s="223" t="s">
        <v>302</v>
      </c>
      <c r="Y73" s="224" t="s">
        <v>302</v>
      </c>
    </row>
    <row r="74" spans="1:25">
      <c r="A74" s="216">
        <v>2</v>
      </c>
      <c r="B74" s="217" t="str">
        <f>VLOOKUP(Tabel10[[#This Row],[Code]],Ruimtegroepen[[Code]:[Ruimte omschrijving]],2,FALSE)</f>
        <v>Kantoren</v>
      </c>
      <c r="C74" s="218" t="s">
        <v>358</v>
      </c>
      <c r="D74" s="217" t="s">
        <v>21</v>
      </c>
      <c r="E74" s="219" t="s">
        <v>100</v>
      </c>
      <c r="F74" s="218" t="s">
        <v>360</v>
      </c>
      <c r="G74" s="221" t="s">
        <v>18</v>
      </c>
      <c r="H74" s="221" t="s">
        <v>15</v>
      </c>
      <c r="I74" s="220" t="s">
        <v>302</v>
      </c>
      <c r="J74" s="220" t="s">
        <v>302</v>
      </c>
      <c r="K74" s="220" t="s">
        <v>302</v>
      </c>
      <c r="L74" s="220" t="s">
        <v>302</v>
      </c>
      <c r="M74" s="220" t="s">
        <v>302</v>
      </c>
      <c r="N74" s="221" t="s">
        <v>302</v>
      </c>
      <c r="O74" s="222" t="s">
        <v>20</v>
      </c>
      <c r="P74" s="222" t="s">
        <v>20</v>
      </c>
      <c r="Q74" s="222" t="s">
        <v>15</v>
      </c>
      <c r="R74" s="222" t="s">
        <v>15</v>
      </c>
      <c r="S74" s="222" t="s">
        <v>16</v>
      </c>
      <c r="T74" s="222" t="s">
        <v>349</v>
      </c>
      <c r="U74" s="222" t="s">
        <v>269</v>
      </c>
      <c r="V74" s="222" t="s">
        <v>302</v>
      </c>
      <c r="W74" s="223" t="s">
        <v>302</v>
      </c>
      <c r="X74" s="223" t="s">
        <v>302</v>
      </c>
      <c r="Y74" s="224" t="s">
        <v>302</v>
      </c>
    </row>
    <row r="75" spans="1:25">
      <c r="A75" s="216">
        <v>2</v>
      </c>
      <c r="B75" s="217" t="str">
        <f>VLOOKUP(Tabel10[[#This Row],[Code]],Ruimtegroepen[[Code]:[Ruimte omschrijving]],2,FALSE)</f>
        <v>Kantoren</v>
      </c>
      <c r="C75" s="218" t="s">
        <v>363</v>
      </c>
      <c r="D75" s="217" t="s">
        <v>12</v>
      </c>
      <c r="E75" s="219" t="s">
        <v>1325</v>
      </c>
      <c r="F75" s="218" t="s">
        <v>1347</v>
      </c>
      <c r="G75" s="263" t="s">
        <v>302</v>
      </c>
      <c r="H75" s="220" t="s">
        <v>302</v>
      </c>
      <c r="I75" s="220" t="s">
        <v>18</v>
      </c>
      <c r="J75" s="220" t="s">
        <v>15</v>
      </c>
      <c r="K75" s="220" t="s">
        <v>269</v>
      </c>
      <c r="L75" s="220" t="s">
        <v>302</v>
      </c>
      <c r="M75" s="220" t="s">
        <v>302</v>
      </c>
      <c r="N75" s="221" t="s">
        <v>302</v>
      </c>
      <c r="O75" s="222" t="s">
        <v>20</v>
      </c>
      <c r="P75" s="222" t="s">
        <v>20</v>
      </c>
      <c r="Q75" s="222" t="s">
        <v>15</v>
      </c>
      <c r="R75" s="222" t="s">
        <v>15</v>
      </c>
      <c r="S75" s="222" t="s">
        <v>16</v>
      </c>
      <c r="T75" s="222" t="s">
        <v>349</v>
      </c>
      <c r="U75" s="222" t="s">
        <v>269</v>
      </c>
      <c r="V75" s="222" t="s">
        <v>302</v>
      </c>
      <c r="W75" s="223" t="s">
        <v>302</v>
      </c>
      <c r="X75" s="223" t="s">
        <v>302</v>
      </c>
      <c r="Y75" s="224" t="s">
        <v>302</v>
      </c>
    </row>
    <row r="76" spans="1:25">
      <c r="A76" s="216">
        <v>2</v>
      </c>
      <c r="B76" s="217" t="str">
        <f>VLOOKUP(Tabel10[[#This Row],[Code]],Ruimtegroepen[[Code]:[Ruimte omschrijving]],2,FALSE)</f>
        <v>Kantoren</v>
      </c>
      <c r="C76" s="218" t="s">
        <v>363</v>
      </c>
      <c r="D76" s="217" t="s">
        <v>12</v>
      </c>
      <c r="E76" s="219" t="s">
        <v>101</v>
      </c>
      <c r="F76" s="218" t="s">
        <v>364</v>
      </c>
      <c r="G76" s="263" t="s">
        <v>302</v>
      </c>
      <c r="H76" s="220" t="s">
        <v>302</v>
      </c>
      <c r="I76" s="220" t="s">
        <v>17</v>
      </c>
      <c r="J76" s="220" t="s">
        <v>15</v>
      </c>
      <c r="K76" s="220" t="s">
        <v>302</v>
      </c>
      <c r="L76" s="220" t="s">
        <v>302</v>
      </c>
      <c r="M76" s="220" t="s">
        <v>302</v>
      </c>
      <c r="N76" s="221" t="s">
        <v>302</v>
      </c>
      <c r="O76" s="222" t="s">
        <v>18</v>
      </c>
      <c r="P76" s="222" t="s">
        <v>18</v>
      </c>
      <c r="Q76" s="222" t="s">
        <v>15</v>
      </c>
      <c r="R76" s="222" t="s">
        <v>15</v>
      </c>
      <c r="S76" s="222" t="s">
        <v>16</v>
      </c>
      <c r="T76" s="222" t="s">
        <v>349</v>
      </c>
      <c r="U76" s="222" t="s">
        <v>269</v>
      </c>
      <c r="V76" s="222" t="s">
        <v>302</v>
      </c>
      <c r="W76" s="223" t="s">
        <v>302</v>
      </c>
      <c r="X76" s="223" t="s">
        <v>302</v>
      </c>
      <c r="Y76" s="224" t="s">
        <v>302</v>
      </c>
    </row>
    <row r="77" spans="1:25">
      <c r="A77" s="216">
        <v>2</v>
      </c>
      <c r="B77" s="217" t="str">
        <f>VLOOKUP(Tabel10[[#This Row],[Code]],Ruimtegroepen[[Code]:[Ruimte omschrijving]],2,FALSE)</f>
        <v>Kantoren</v>
      </c>
      <c r="C77" s="218" t="s">
        <v>363</v>
      </c>
      <c r="D77" s="217" t="s">
        <v>12</v>
      </c>
      <c r="E77" s="219" t="s">
        <v>100</v>
      </c>
      <c r="F77" s="218" t="s">
        <v>365</v>
      </c>
      <c r="G77" s="221" t="s">
        <v>17</v>
      </c>
      <c r="H77" s="221" t="s">
        <v>15</v>
      </c>
      <c r="I77" s="220" t="s">
        <v>302</v>
      </c>
      <c r="J77" s="220" t="s">
        <v>302</v>
      </c>
      <c r="K77" s="220" t="s">
        <v>302</v>
      </c>
      <c r="L77" s="220" t="s">
        <v>302</v>
      </c>
      <c r="M77" s="220" t="s">
        <v>302</v>
      </c>
      <c r="N77" s="221" t="s">
        <v>302</v>
      </c>
      <c r="O77" s="222" t="s">
        <v>18</v>
      </c>
      <c r="P77" s="222" t="s">
        <v>18</v>
      </c>
      <c r="Q77" s="222" t="s">
        <v>15</v>
      </c>
      <c r="R77" s="222" t="s">
        <v>15</v>
      </c>
      <c r="S77" s="222" t="s">
        <v>16</v>
      </c>
      <c r="T77" s="222" t="s">
        <v>349</v>
      </c>
      <c r="U77" s="222" t="s">
        <v>269</v>
      </c>
      <c r="V77" s="222" t="s">
        <v>302</v>
      </c>
      <c r="W77" s="223" t="s">
        <v>302</v>
      </c>
      <c r="X77" s="223" t="s">
        <v>302</v>
      </c>
      <c r="Y77" s="224" t="s">
        <v>302</v>
      </c>
    </row>
    <row r="78" spans="1:25">
      <c r="A78" s="216">
        <v>2</v>
      </c>
      <c r="B78" s="217" t="str">
        <f>VLOOKUP(Tabel10[[#This Row],[Code]],Ruimtegroepen[[Code]:[Ruimte omschrijving]],2,FALSE)</f>
        <v>Kantoren</v>
      </c>
      <c r="C78" s="218" t="s">
        <v>363</v>
      </c>
      <c r="D78" s="217" t="s">
        <v>12</v>
      </c>
      <c r="E78" s="219" t="s">
        <v>102</v>
      </c>
      <c r="F78" s="218" t="s">
        <v>366</v>
      </c>
      <c r="G78" s="263" t="s">
        <v>302</v>
      </c>
      <c r="H78" s="220" t="s">
        <v>302</v>
      </c>
      <c r="I78" s="220" t="s">
        <v>17</v>
      </c>
      <c r="J78" s="220" t="s">
        <v>15</v>
      </c>
      <c r="K78" s="220" t="s">
        <v>269</v>
      </c>
      <c r="L78" s="220" t="s">
        <v>302</v>
      </c>
      <c r="M78" s="220" t="s">
        <v>302</v>
      </c>
      <c r="N78" s="221" t="s">
        <v>302</v>
      </c>
      <c r="O78" s="222" t="s">
        <v>18</v>
      </c>
      <c r="P78" s="222" t="s">
        <v>18</v>
      </c>
      <c r="Q78" s="222" t="s">
        <v>15</v>
      </c>
      <c r="R78" s="222" t="s">
        <v>15</v>
      </c>
      <c r="S78" s="222" t="s">
        <v>16</v>
      </c>
      <c r="T78" s="222" t="s">
        <v>349</v>
      </c>
      <c r="U78" s="222" t="s">
        <v>269</v>
      </c>
      <c r="V78" s="222" t="s">
        <v>302</v>
      </c>
      <c r="W78" s="223" t="s">
        <v>302</v>
      </c>
      <c r="X78" s="223" t="s">
        <v>302</v>
      </c>
      <c r="Y78" s="224" t="s">
        <v>302</v>
      </c>
    </row>
    <row r="79" spans="1:25">
      <c r="A79" s="216">
        <v>2</v>
      </c>
      <c r="B79" s="217" t="str">
        <f>VLOOKUP(Tabel10[[#This Row],[Code]],Ruimtegroepen[[Code]:[Ruimte omschrijving]],2,FALSE)</f>
        <v>Kantoren</v>
      </c>
      <c r="C79" s="218" t="s">
        <v>363</v>
      </c>
      <c r="D79" s="217" t="s">
        <v>12</v>
      </c>
      <c r="E79" s="219" t="s">
        <v>103</v>
      </c>
      <c r="F79" s="218" t="s">
        <v>367</v>
      </c>
      <c r="G79" s="263" t="s">
        <v>302</v>
      </c>
      <c r="H79" s="220" t="s">
        <v>302</v>
      </c>
      <c r="I79" s="220" t="s">
        <v>17</v>
      </c>
      <c r="J79" s="220" t="s">
        <v>15</v>
      </c>
      <c r="K79" s="220" t="s">
        <v>269</v>
      </c>
      <c r="L79" s="220" t="s">
        <v>302</v>
      </c>
      <c r="M79" s="220" t="s">
        <v>302</v>
      </c>
      <c r="N79" s="221" t="s">
        <v>302</v>
      </c>
      <c r="O79" s="222" t="s">
        <v>18</v>
      </c>
      <c r="P79" s="222" t="s">
        <v>18</v>
      </c>
      <c r="Q79" s="222" t="s">
        <v>15</v>
      </c>
      <c r="R79" s="222" t="s">
        <v>15</v>
      </c>
      <c r="S79" s="222" t="s">
        <v>16</v>
      </c>
      <c r="T79" s="222" t="s">
        <v>349</v>
      </c>
      <c r="U79" s="222" t="s">
        <v>269</v>
      </c>
      <c r="V79" s="222" t="s">
        <v>302</v>
      </c>
      <c r="W79" s="223" t="s">
        <v>302</v>
      </c>
      <c r="X79" s="223" t="s">
        <v>302</v>
      </c>
      <c r="Y79" s="224" t="s">
        <v>302</v>
      </c>
    </row>
    <row r="80" spans="1:25">
      <c r="A80" s="216">
        <v>2</v>
      </c>
      <c r="B80" s="217" t="str">
        <f>VLOOKUP(Tabel10[[#This Row],[Code]],Ruimtegroepen[[Code]:[Ruimte omschrijving]],2,FALSE)</f>
        <v>Kantoren</v>
      </c>
      <c r="C80" s="218" t="s">
        <v>363</v>
      </c>
      <c r="D80" s="217" t="s">
        <v>12</v>
      </c>
      <c r="E80" s="219" t="s">
        <v>100</v>
      </c>
      <c r="F80" s="218" t="s">
        <v>365</v>
      </c>
      <c r="G80" s="221" t="s">
        <v>17</v>
      </c>
      <c r="H80" s="221" t="s">
        <v>15</v>
      </c>
      <c r="I80" s="220" t="s">
        <v>302</v>
      </c>
      <c r="J80" s="220" t="s">
        <v>302</v>
      </c>
      <c r="K80" s="220" t="s">
        <v>302</v>
      </c>
      <c r="L80" s="220" t="s">
        <v>302</v>
      </c>
      <c r="M80" s="220" t="s">
        <v>302</v>
      </c>
      <c r="N80" s="221" t="s">
        <v>302</v>
      </c>
      <c r="O80" s="222" t="s">
        <v>18</v>
      </c>
      <c r="P80" s="222" t="s">
        <v>18</v>
      </c>
      <c r="Q80" s="222" t="s">
        <v>15</v>
      </c>
      <c r="R80" s="222" t="s">
        <v>15</v>
      </c>
      <c r="S80" s="222" t="s">
        <v>16</v>
      </c>
      <c r="T80" s="222" t="s">
        <v>349</v>
      </c>
      <c r="U80" s="222" t="s">
        <v>269</v>
      </c>
      <c r="V80" s="222" t="s">
        <v>302</v>
      </c>
      <c r="W80" s="223" t="s">
        <v>302</v>
      </c>
      <c r="X80" s="223" t="s">
        <v>302</v>
      </c>
      <c r="Y80" s="224" t="s">
        <v>302</v>
      </c>
    </row>
    <row r="81" spans="1:25">
      <c r="A81" s="216">
        <v>2</v>
      </c>
      <c r="B81" s="217" t="str">
        <f>VLOOKUP(Tabel10[[#This Row],[Code]],Ruimtegroepen[[Code]:[Ruimte omschrijving]],2,FALSE)</f>
        <v>Kantoren</v>
      </c>
      <c r="C81" s="218" t="s">
        <v>363</v>
      </c>
      <c r="D81" s="217" t="s">
        <v>12</v>
      </c>
      <c r="E81" s="219" t="s">
        <v>1325</v>
      </c>
      <c r="F81" s="218" t="s">
        <v>1346</v>
      </c>
      <c r="G81" s="263" t="s">
        <v>302</v>
      </c>
      <c r="H81" s="220" t="s">
        <v>302</v>
      </c>
      <c r="I81" s="220" t="s">
        <v>17</v>
      </c>
      <c r="J81" s="220" t="s">
        <v>15</v>
      </c>
      <c r="K81" s="220" t="s">
        <v>269</v>
      </c>
      <c r="L81" s="220" t="s">
        <v>302</v>
      </c>
      <c r="M81" s="220" t="s">
        <v>302</v>
      </c>
      <c r="N81" s="221" t="s">
        <v>302</v>
      </c>
      <c r="O81" s="222" t="s">
        <v>18</v>
      </c>
      <c r="P81" s="222" t="s">
        <v>18</v>
      </c>
      <c r="Q81" s="222" t="s">
        <v>15</v>
      </c>
      <c r="R81" s="222" t="s">
        <v>15</v>
      </c>
      <c r="S81" s="222" t="s">
        <v>16</v>
      </c>
      <c r="T81" s="222" t="s">
        <v>349</v>
      </c>
      <c r="U81" s="222" t="s">
        <v>269</v>
      </c>
      <c r="V81" s="222" t="s">
        <v>302</v>
      </c>
      <c r="W81" s="223" t="s">
        <v>302</v>
      </c>
      <c r="X81" s="223" t="s">
        <v>302</v>
      </c>
      <c r="Y81" s="224" t="s">
        <v>302</v>
      </c>
    </row>
    <row r="82" spans="1:25">
      <c r="A82" s="216">
        <v>2</v>
      </c>
      <c r="B82" s="217" t="str">
        <f>VLOOKUP(Tabel10[[#This Row],[Code]],Ruimtegroepen[[Code]:[Ruimte omschrijving]],2,FALSE)</f>
        <v>Kantoren</v>
      </c>
      <c r="C82" s="218" t="s">
        <v>368</v>
      </c>
      <c r="D82" s="217" t="s">
        <v>14</v>
      </c>
      <c r="E82" s="219" t="s">
        <v>101</v>
      </c>
      <c r="F82" s="218" t="s">
        <v>369</v>
      </c>
      <c r="G82" s="263" t="s">
        <v>302</v>
      </c>
      <c r="H82" s="220" t="s">
        <v>302</v>
      </c>
      <c r="I82" s="220" t="s">
        <v>15</v>
      </c>
      <c r="J82" s="220" t="s">
        <v>15</v>
      </c>
      <c r="K82" s="220" t="s">
        <v>302</v>
      </c>
      <c r="L82" s="220" t="s">
        <v>302</v>
      </c>
      <c r="M82" s="220" t="s">
        <v>302</v>
      </c>
      <c r="N82" s="221" t="s">
        <v>302</v>
      </c>
      <c r="O82" s="222" t="s">
        <v>17</v>
      </c>
      <c r="P82" s="222" t="s">
        <v>17</v>
      </c>
      <c r="Q82" s="222" t="s">
        <v>15</v>
      </c>
      <c r="R82" s="222" t="s">
        <v>15</v>
      </c>
      <c r="S82" s="222" t="s">
        <v>16</v>
      </c>
      <c r="T82" s="222" t="s">
        <v>349</v>
      </c>
      <c r="U82" s="222" t="s">
        <v>269</v>
      </c>
      <c r="V82" s="222" t="s">
        <v>302</v>
      </c>
      <c r="W82" s="223" t="s">
        <v>302</v>
      </c>
      <c r="X82" s="223" t="s">
        <v>302</v>
      </c>
      <c r="Y82" s="224" t="s">
        <v>302</v>
      </c>
    </row>
    <row r="83" spans="1:25">
      <c r="A83" s="216">
        <v>2</v>
      </c>
      <c r="B83" s="217" t="str">
        <f>VLOOKUP(Tabel10[[#This Row],[Code]],Ruimtegroepen[[Code]:[Ruimte omschrijving]],2,FALSE)</f>
        <v>Kantoren</v>
      </c>
      <c r="C83" s="218" t="s">
        <v>368</v>
      </c>
      <c r="D83" s="217" t="s">
        <v>14</v>
      </c>
      <c r="E83" s="219" t="s">
        <v>100</v>
      </c>
      <c r="F83" s="218" t="s">
        <v>370</v>
      </c>
      <c r="G83" s="221" t="s">
        <v>15</v>
      </c>
      <c r="H83" s="221" t="s">
        <v>15</v>
      </c>
      <c r="I83" s="220" t="s">
        <v>302</v>
      </c>
      <c r="J83" s="220" t="s">
        <v>302</v>
      </c>
      <c r="K83" s="220" t="s">
        <v>302</v>
      </c>
      <c r="L83" s="220" t="s">
        <v>302</v>
      </c>
      <c r="M83" s="220" t="s">
        <v>302</v>
      </c>
      <c r="N83" s="221" t="s">
        <v>302</v>
      </c>
      <c r="O83" s="222" t="s">
        <v>17</v>
      </c>
      <c r="P83" s="222" t="s">
        <v>17</v>
      </c>
      <c r="Q83" s="222" t="s">
        <v>15</v>
      </c>
      <c r="R83" s="222" t="s">
        <v>15</v>
      </c>
      <c r="S83" s="222" t="s">
        <v>16</v>
      </c>
      <c r="T83" s="222" t="s">
        <v>349</v>
      </c>
      <c r="U83" s="222" t="s">
        <v>269</v>
      </c>
      <c r="V83" s="222" t="s">
        <v>302</v>
      </c>
      <c r="W83" s="223" t="s">
        <v>302</v>
      </c>
      <c r="X83" s="223" t="s">
        <v>302</v>
      </c>
      <c r="Y83" s="224" t="s">
        <v>302</v>
      </c>
    </row>
    <row r="84" spans="1:25">
      <c r="A84" s="216">
        <v>2</v>
      </c>
      <c r="B84" s="217" t="str">
        <f>VLOOKUP(Tabel10[[#This Row],[Code]],Ruimtegroepen[[Code]:[Ruimte omschrijving]],2,FALSE)</f>
        <v>Kantoren</v>
      </c>
      <c r="C84" s="218" t="s">
        <v>368</v>
      </c>
      <c r="D84" s="217" t="s">
        <v>14</v>
      </c>
      <c r="E84" s="219" t="s">
        <v>102</v>
      </c>
      <c r="F84" s="218" t="s">
        <v>371</v>
      </c>
      <c r="G84" s="263" t="s">
        <v>302</v>
      </c>
      <c r="H84" s="220" t="s">
        <v>302</v>
      </c>
      <c r="I84" s="220" t="s">
        <v>15</v>
      </c>
      <c r="J84" s="220" t="s">
        <v>15</v>
      </c>
      <c r="K84" s="220" t="s">
        <v>269</v>
      </c>
      <c r="L84" s="220" t="s">
        <v>302</v>
      </c>
      <c r="M84" s="220" t="s">
        <v>302</v>
      </c>
      <c r="N84" s="221" t="s">
        <v>302</v>
      </c>
      <c r="O84" s="222" t="s">
        <v>17</v>
      </c>
      <c r="P84" s="222" t="s">
        <v>17</v>
      </c>
      <c r="Q84" s="222" t="s">
        <v>15</v>
      </c>
      <c r="R84" s="222" t="s">
        <v>15</v>
      </c>
      <c r="S84" s="222" t="s">
        <v>16</v>
      </c>
      <c r="T84" s="222" t="s">
        <v>349</v>
      </c>
      <c r="U84" s="222" t="s">
        <v>269</v>
      </c>
      <c r="V84" s="222" t="s">
        <v>302</v>
      </c>
      <c r="W84" s="223" t="s">
        <v>302</v>
      </c>
      <c r="X84" s="223" t="s">
        <v>302</v>
      </c>
      <c r="Y84" s="224" t="s">
        <v>302</v>
      </c>
    </row>
    <row r="85" spans="1:25">
      <c r="A85" s="216">
        <v>2</v>
      </c>
      <c r="B85" s="217" t="str">
        <f>VLOOKUP(Tabel10[[#This Row],[Code]],Ruimtegroepen[[Code]:[Ruimte omschrijving]],2,FALSE)</f>
        <v>Kantoren</v>
      </c>
      <c r="C85" s="218" t="s">
        <v>368</v>
      </c>
      <c r="D85" s="217" t="s">
        <v>14</v>
      </c>
      <c r="E85" s="219" t="s">
        <v>103</v>
      </c>
      <c r="F85" s="218" t="s">
        <v>372</v>
      </c>
      <c r="G85" s="263" t="s">
        <v>302</v>
      </c>
      <c r="H85" s="220" t="s">
        <v>302</v>
      </c>
      <c r="I85" s="220" t="s">
        <v>15</v>
      </c>
      <c r="J85" s="220" t="s">
        <v>15</v>
      </c>
      <c r="K85" s="220" t="s">
        <v>269</v>
      </c>
      <c r="L85" s="220" t="s">
        <v>302</v>
      </c>
      <c r="M85" s="220" t="s">
        <v>302</v>
      </c>
      <c r="N85" s="221" t="s">
        <v>302</v>
      </c>
      <c r="O85" s="222" t="s">
        <v>17</v>
      </c>
      <c r="P85" s="222" t="s">
        <v>17</v>
      </c>
      <c r="Q85" s="222" t="s">
        <v>15</v>
      </c>
      <c r="R85" s="222" t="s">
        <v>15</v>
      </c>
      <c r="S85" s="222" t="s">
        <v>16</v>
      </c>
      <c r="T85" s="222" t="s">
        <v>349</v>
      </c>
      <c r="U85" s="222" t="s">
        <v>269</v>
      </c>
      <c r="V85" s="222" t="s">
        <v>302</v>
      </c>
      <c r="W85" s="223" t="s">
        <v>302</v>
      </c>
      <c r="X85" s="223" t="s">
        <v>302</v>
      </c>
      <c r="Y85" s="224" t="s">
        <v>302</v>
      </c>
    </row>
    <row r="86" spans="1:25">
      <c r="A86" s="216">
        <v>2</v>
      </c>
      <c r="B86" s="217" t="str">
        <f>VLOOKUP(Tabel10[[#This Row],[Code]],Ruimtegroepen[[Code]:[Ruimte omschrijving]],2,FALSE)</f>
        <v>Kantoren</v>
      </c>
      <c r="C86" s="218" t="s">
        <v>368</v>
      </c>
      <c r="D86" s="217" t="s">
        <v>14</v>
      </c>
      <c r="E86" s="219" t="s">
        <v>100</v>
      </c>
      <c r="F86" s="218" t="s">
        <v>370</v>
      </c>
      <c r="G86" s="221" t="s">
        <v>15</v>
      </c>
      <c r="H86" s="221" t="s">
        <v>15</v>
      </c>
      <c r="I86" s="220" t="s">
        <v>302</v>
      </c>
      <c r="J86" s="220" t="s">
        <v>302</v>
      </c>
      <c r="K86" s="220" t="s">
        <v>302</v>
      </c>
      <c r="L86" s="220" t="s">
        <v>302</v>
      </c>
      <c r="M86" s="220" t="s">
        <v>302</v>
      </c>
      <c r="N86" s="221" t="s">
        <v>302</v>
      </c>
      <c r="O86" s="222" t="s">
        <v>17</v>
      </c>
      <c r="P86" s="222" t="s">
        <v>17</v>
      </c>
      <c r="Q86" s="222" t="s">
        <v>15</v>
      </c>
      <c r="R86" s="222" t="s">
        <v>15</v>
      </c>
      <c r="S86" s="222" t="s">
        <v>16</v>
      </c>
      <c r="T86" s="222" t="s">
        <v>349</v>
      </c>
      <c r="U86" s="222" t="s">
        <v>269</v>
      </c>
      <c r="V86" s="222" t="s">
        <v>302</v>
      </c>
      <c r="W86" s="223" t="s">
        <v>302</v>
      </c>
      <c r="X86" s="223" t="s">
        <v>302</v>
      </c>
      <c r="Y86" s="224" t="s">
        <v>302</v>
      </c>
    </row>
    <row r="87" spans="1:25">
      <c r="A87" s="216">
        <v>2</v>
      </c>
      <c r="B87" s="217" t="str">
        <f>VLOOKUP(Tabel10[[#This Row],[Code]],Ruimtegroepen[[Code]:[Ruimte omschrijving]],2,FALSE)</f>
        <v>Kantoren</v>
      </c>
      <c r="C87" s="218" t="s">
        <v>368</v>
      </c>
      <c r="D87" s="217" t="s">
        <v>14</v>
      </c>
      <c r="E87" s="219" t="s">
        <v>1325</v>
      </c>
      <c r="F87" s="218" t="s">
        <v>1348</v>
      </c>
      <c r="G87" s="263" t="s">
        <v>302</v>
      </c>
      <c r="H87" s="220" t="s">
        <v>302</v>
      </c>
      <c r="I87" s="220" t="s">
        <v>15</v>
      </c>
      <c r="J87" s="220" t="s">
        <v>15</v>
      </c>
      <c r="K87" s="220" t="s">
        <v>269</v>
      </c>
      <c r="L87" s="220" t="s">
        <v>302</v>
      </c>
      <c r="M87" s="220" t="s">
        <v>302</v>
      </c>
      <c r="N87" s="221" t="s">
        <v>302</v>
      </c>
      <c r="O87" s="222" t="s">
        <v>17</v>
      </c>
      <c r="P87" s="222" t="s">
        <v>17</v>
      </c>
      <c r="Q87" s="222" t="s">
        <v>15</v>
      </c>
      <c r="R87" s="222" t="s">
        <v>15</v>
      </c>
      <c r="S87" s="222" t="s">
        <v>16</v>
      </c>
      <c r="T87" s="222" t="s">
        <v>349</v>
      </c>
      <c r="U87" s="222" t="s">
        <v>269</v>
      </c>
      <c r="V87" s="222" t="s">
        <v>302</v>
      </c>
      <c r="W87" s="223" t="s">
        <v>302</v>
      </c>
      <c r="X87" s="223" t="s">
        <v>302</v>
      </c>
      <c r="Y87" s="224" t="s">
        <v>302</v>
      </c>
    </row>
    <row r="88" spans="1:25">
      <c r="A88" s="216">
        <v>2</v>
      </c>
      <c r="B88" s="217" t="str">
        <f>VLOOKUP(Tabel10[[#This Row],[Code]],Ruimtegroepen[[Code]:[Ruimte omschrijving]],2,FALSE)</f>
        <v>Kantoren</v>
      </c>
      <c r="C88" s="218" t="s">
        <v>373</v>
      </c>
      <c r="D88" s="217" t="s">
        <v>13</v>
      </c>
      <c r="E88" s="219" t="s">
        <v>101</v>
      </c>
      <c r="F88" s="218" t="s">
        <v>374</v>
      </c>
      <c r="G88" s="263" t="s">
        <v>302</v>
      </c>
      <c r="H88" s="220" t="s">
        <v>302</v>
      </c>
      <c r="I88" s="220" t="s">
        <v>302</v>
      </c>
      <c r="J88" s="220" t="s">
        <v>15</v>
      </c>
      <c r="K88" s="220" t="s">
        <v>302</v>
      </c>
      <c r="L88" s="220" t="s">
        <v>302</v>
      </c>
      <c r="M88" s="220" t="s">
        <v>302</v>
      </c>
      <c r="N88" s="221" t="s">
        <v>302</v>
      </c>
      <c r="O88" s="222" t="s">
        <v>15</v>
      </c>
      <c r="P88" s="222" t="s">
        <v>15</v>
      </c>
      <c r="Q88" s="222" t="s">
        <v>15</v>
      </c>
      <c r="R88" s="222" t="s">
        <v>15</v>
      </c>
      <c r="S88" s="222" t="s">
        <v>16</v>
      </c>
      <c r="T88" s="222" t="s">
        <v>349</v>
      </c>
      <c r="U88" s="222" t="s">
        <v>269</v>
      </c>
      <c r="V88" s="222" t="s">
        <v>302</v>
      </c>
      <c r="W88" s="223" t="s">
        <v>302</v>
      </c>
      <c r="X88" s="223" t="s">
        <v>302</v>
      </c>
      <c r="Y88" s="224" t="s">
        <v>302</v>
      </c>
    </row>
    <row r="89" spans="1:25">
      <c r="A89" s="216">
        <v>2</v>
      </c>
      <c r="B89" s="217" t="str">
        <f>VLOOKUP(Tabel10[[#This Row],[Code]],Ruimtegroepen[[Code]:[Ruimte omschrijving]],2,FALSE)</f>
        <v>Kantoren</v>
      </c>
      <c r="C89" s="218" t="s">
        <v>373</v>
      </c>
      <c r="D89" s="217" t="s">
        <v>13</v>
      </c>
      <c r="E89" s="219" t="s">
        <v>100</v>
      </c>
      <c r="F89" s="218" t="s">
        <v>375</v>
      </c>
      <c r="G89" s="263" t="s">
        <v>302</v>
      </c>
      <c r="H89" s="221" t="s">
        <v>15</v>
      </c>
      <c r="I89" s="220" t="s">
        <v>302</v>
      </c>
      <c r="J89" s="220" t="s">
        <v>302</v>
      </c>
      <c r="K89" s="220" t="s">
        <v>302</v>
      </c>
      <c r="L89" s="220" t="s">
        <v>302</v>
      </c>
      <c r="M89" s="220" t="s">
        <v>302</v>
      </c>
      <c r="N89" s="221" t="s">
        <v>302</v>
      </c>
      <c r="O89" s="222" t="s">
        <v>15</v>
      </c>
      <c r="P89" s="222" t="s">
        <v>15</v>
      </c>
      <c r="Q89" s="222" t="s">
        <v>15</v>
      </c>
      <c r="R89" s="222" t="s">
        <v>15</v>
      </c>
      <c r="S89" s="222" t="s">
        <v>16</v>
      </c>
      <c r="T89" s="222" t="s">
        <v>349</v>
      </c>
      <c r="U89" s="222" t="s">
        <v>269</v>
      </c>
      <c r="V89" s="222" t="s">
        <v>302</v>
      </c>
      <c r="W89" s="223" t="s">
        <v>302</v>
      </c>
      <c r="X89" s="223" t="s">
        <v>302</v>
      </c>
      <c r="Y89" s="224" t="s">
        <v>302</v>
      </c>
    </row>
    <row r="90" spans="1:25">
      <c r="A90" s="216">
        <v>2</v>
      </c>
      <c r="B90" s="217" t="str">
        <f>VLOOKUP(Tabel10[[#This Row],[Code]],Ruimtegroepen[[Code]:[Ruimte omschrijving]],2,FALSE)</f>
        <v>Kantoren</v>
      </c>
      <c r="C90" s="218" t="s">
        <v>373</v>
      </c>
      <c r="D90" s="217" t="s">
        <v>13</v>
      </c>
      <c r="E90" s="219" t="s">
        <v>102</v>
      </c>
      <c r="F90" s="218" t="s">
        <v>376</v>
      </c>
      <c r="G90" s="263" t="s">
        <v>302</v>
      </c>
      <c r="H90" s="220" t="s">
        <v>302</v>
      </c>
      <c r="I90" s="220" t="s">
        <v>302</v>
      </c>
      <c r="J90" s="220" t="s">
        <v>15</v>
      </c>
      <c r="K90" s="220" t="s">
        <v>269</v>
      </c>
      <c r="L90" s="220" t="s">
        <v>302</v>
      </c>
      <c r="M90" s="220" t="s">
        <v>302</v>
      </c>
      <c r="N90" s="221" t="s">
        <v>302</v>
      </c>
      <c r="O90" s="222" t="s">
        <v>15</v>
      </c>
      <c r="P90" s="222" t="s">
        <v>15</v>
      </c>
      <c r="Q90" s="222" t="s">
        <v>15</v>
      </c>
      <c r="R90" s="222" t="s">
        <v>15</v>
      </c>
      <c r="S90" s="222" t="s">
        <v>16</v>
      </c>
      <c r="T90" s="222" t="s">
        <v>349</v>
      </c>
      <c r="U90" s="222" t="s">
        <v>269</v>
      </c>
      <c r="V90" s="222" t="s">
        <v>302</v>
      </c>
      <c r="W90" s="223" t="s">
        <v>302</v>
      </c>
      <c r="X90" s="223" t="s">
        <v>302</v>
      </c>
      <c r="Y90" s="224" t="s">
        <v>302</v>
      </c>
    </row>
    <row r="91" spans="1:25">
      <c r="A91" s="216">
        <v>2</v>
      </c>
      <c r="B91" s="217" t="str">
        <f>VLOOKUP(Tabel10[[#This Row],[Code]],Ruimtegroepen[[Code]:[Ruimte omschrijving]],2,FALSE)</f>
        <v>Kantoren</v>
      </c>
      <c r="C91" s="218" t="s">
        <v>373</v>
      </c>
      <c r="D91" s="217" t="s">
        <v>13</v>
      </c>
      <c r="E91" s="219" t="s">
        <v>103</v>
      </c>
      <c r="F91" s="218" t="s">
        <v>377</v>
      </c>
      <c r="G91" s="263" t="s">
        <v>302</v>
      </c>
      <c r="H91" s="220" t="s">
        <v>302</v>
      </c>
      <c r="I91" s="220" t="s">
        <v>302</v>
      </c>
      <c r="J91" s="220" t="s">
        <v>15</v>
      </c>
      <c r="K91" s="220" t="s">
        <v>269</v>
      </c>
      <c r="L91" s="220" t="s">
        <v>302</v>
      </c>
      <c r="M91" s="220" t="s">
        <v>302</v>
      </c>
      <c r="N91" s="221" t="s">
        <v>302</v>
      </c>
      <c r="O91" s="222" t="s">
        <v>15</v>
      </c>
      <c r="P91" s="222" t="s">
        <v>15</v>
      </c>
      <c r="Q91" s="222" t="s">
        <v>15</v>
      </c>
      <c r="R91" s="222" t="s">
        <v>15</v>
      </c>
      <c r="S91" s="222" t="s">
        <v>16</v>
      </c>
      <c r="T91" s="222" t="s">
        <v>349</v>
      </c>
      <c r="U91" s="222" t="s">
        <v>269</v>
      </c>
      <c r="V91" s="222" t="s">
        <v>302</v>
      </c>
      <c r="W91" s="223" t="s">
        <v>302</v>
      </c>
      <c r="X91" s="223" t="s">
        <v>302</v>
      </c>
      <c r="Y91" s="224" t="s">
        <v>302</v>
      </c>
    </row>
    <row r="92" spans="1:25">
      <c r="A92" s="216">
        <v>2</v>
      </c>
      <c r="B92" s="217" t="str">
        <f>VLOOKUP(Tabel10[[#This Row],[Code]],Ruimtegroepen[[Code]:[Ruimte omschrijving]],2,FALSE)</f>
        <v>Kantoren</v>
      </c>
      <c r="C92" s="218" t="s">
        <v>373</v>
      </c>
      <c r="D92" s="217" t="s">
        <v>13</v>
      </c>
      <c r="E92" s="219" t="s">
        <v>100</v>
      </c>
      <c r="F92" s="218" t="s">
        <v>375</v>
      </c>
      <c r="G92" s="263" t="s">
        <v>302</v>
      </c>
      <c r="H92" s="221" t="s">
        <v>15</v>
      </c>
      <c r="I92" s="220" t="s">
        <v>302</v>
      </c>
      <c r="J92" s="220" t="s">
        <v>302</v>
      </c>
      <c r="K92" s="220" t="s">
        <v>302</v>
      </c>
      <c r="L92" s="220" t="s">
        <v>302</v>
      </c>
      <c r="M92" s="220" t="s">
        <v>302</v>
      </c>
      <c r="N92" s="221" t="s">
        <v>302</v>
      </c>
      <c r="O92" s="222" t="s">
        <v>15</v>
      </c>
      <c r="P92" s="222" t="s">
        <v>15</v>
      </c>
      <c r="Q92" s="222" t="s">
        <v>15</v>
      </c>
      <c r="R92" s="222" t="s">
        <v>15</v>
      </c>
      <c r="S92" s="222" t="s">
        <v>16</v>
      </c>
      <c r="T92" s="222" t="s">
        <v>349</v>
      </c>
      <c r="U92" s="222" t="s">
        <v>269</v>
      </c>
      <c r="V92" s="222" t="s">
        <v>302</v>
      </c>
      <c r="W92" s="223" t="s">
        <v>302</v>
      </c>
      <c r="X92" s="223" t="s">
        <v>302</v>
      </c>
      <c r="Y92" s="224" t="s">
        <v>302</v>
      </c>
    </row>
    <row r="93" spans="1:25">
      <c r="A93" s="216">
        <v>2</v>
      </c>
      <c r="B93" s="217" t="str">
        <f>VLOOKUP(Tabel10[[#This Row],[Code]],Ruimtegroepen[[Code]:[Ruimte omschrijving]],2,FALSE)</f>
        <v>Kantoren</v>
      </c>
      <c r="C93" s="218" t="s">
        <v>373</v>
      </c>
      <c r="D93" s="217" t="s">
        <v>13</v>
      </c>
      <c r="E93" s="219" t="s">
        <v>1325</v>
      </c>
      <c r="F93" s="218" t="s">
        <v>1349</v>
      </c>
      <c r="G93" s="263" t="s">
        <v>302</v>
      </c>
      <c r="H93" s="220" t="s">
        <v>302</v>
      </c>
      <c r="I93" s="220" t="s">
        <v>302</v>
      </c>
      <c r="J93" s="220" t="s">
        <v>15</v>
      </c>
      <c r="K93" s="220" t="s">
        <v>269</v>
      </c>
      <c r="L93" s="220" t="s">
        <v>302</v>
      </c>
      <c r="M93" s="220" t="s">
        <v>302</v>
      </c>
      <c r="N93" s="221" t="s">
        <v>302</v>
      </c>
      <c r="O93" s="222" t="s">
        <v>15</v>
      </c>
      <c r="P93" s="222" t="s">
        <v>15</v>
      </c>
      <c r="Q93" s="222" t="s">
        <v>15</v>
      </c>
      <c r="R93" s="222" t="s">
        <v>15</v>
      </c>
      <c r="S93" s="222" t="s">
        <v>16</v>
      </c>
      <c r="T93" s="222" t="s">
        <v>349</v>
      </c>
      <c r="U93" s="222" t="s">
        <v>269</v>
      </c>
      <c r="V93" s="222" t="s">
        <v>302</v>
      </c>
      <c r="W93" s="223" t="s">
        <v>302</v>
      </c>
      <c r="X93" s="223" t="s">
        <v>302</v>
      </c>
      <c r="Y93" s="224" t="s">
        <v>302</v>
      </c>
    </row>
    <row r="94" spans="1:25">
      <c r="A94" s="216">
        <v>2</v>
      </c>
      <c r="B94" s="217" t="str">
        <f>VLOOKUP(Tabel10[[#This Row],[Code]],Ruimtegroepen[[Code]:[Ruimte omschrijving]],2,FALSE)</f>
        <v>Kantoren</v>
      </c>
      <c r="C94" s="218" t="s">
        <v>378</v>
      </c>
      <c r="D94" s="217" t="s">
        <v>0</v>
      </c>
      <c r="E94" s="219" t="s">
        <v>101</v>
      </c>
      <c r="F94" s="218" t="s">
        <v>379</v>
      </c>
      <c r="G94" s="263" t="s">
        <v>302</v>
      </c>
      <c r="H94" s="220" t="s">
        <v>302</v>
      </c>
      <c r="I94" s="220" t="s">
        <v>16</v>
      </c>
      <c r="J94" s="220" t="s">
        <v>302</v>
      </c>
      <c r="K94" s="220" t="s">
        <v>302</v>
      </c>
      <c r="L94" s="220" t="s">
        <v>302</v>
      </c>
      <c r="M94" s="220" t="s">
        <v>302</v>
      </c>
      <c r="N94" s="221" t="s">
        <v>302</v>
      </c>
      <c r="O94" s="222" t="s">
        <v>16</v>
      </c>
      <c r="P94" s="222" t="s">
        <v>16</v>
      </c>
      <c r="Q94" s="222" t="s">
        <v>16</v>
      </c>
      <c r="R94" s="222" t="s">
        <v>16</v>
      </c>
      <c r="S94" s="222" t="s">
        <v>16</v>
      </c>
      <c r="T94" s="222" t="s">
        <v>349</v>
      </c>
      <c r="U94" s="222" t="s">
        <v>269</v>
      </c>
      <c r="V94" s="222" t="s">
        <v>302</v>
      </c>
      <c r="W94" s="223" t="s">
        <v>302</v>
      </c>
      <c r="X94" s="223" t="s">
        <v>302</v>
      </c>
      <c r="Y94" s="224" t="s">
        <v>302</v>
      </c>
    </row>
    <row r="95" spans="1:25">
      <c r="A95" s="216">
        <v>2</v>
      </c>
      <c r="B95" s="217" t="str">
        <f>VLOOKUP(Tabel10[[#This Row],[Code]],Ruimtegroepen[[Code]:[Ruimte omschrijving]],2,FALSE)</f>
        <v>Kantoren</v>
      </c>
      <c r="C95" s="218" t="s">
        <v>378</v>
      </c>
      <c r="D95" s="217" t="s">
        <v>0</v>
      </c>
      <c r="E95" s="219" t="s">
        <v>100</v>
      </c>
      <c r="F95" s="218" t="s">
        <v>380</v>
      </c>
      <c r="G95" s="263" t="s">
        <v>302</v>
      </c>
      <c r="H95" s="221" t="s">
        <v>16</v>
      </c>
      <c r="I95" s="220" t="s">
        <v>302</v>
      </c>
      <c r="J95" s="220" t="s">
        <v>302</v>
      </c>
      <c r="K95" s="220" t="s">
        <v>302</v>
      </c>
      <c r="L95" s="220" t="s">
        <v>302</v>
      </c>
      <c r="M95" s="220" t="s">
        <v>302</v>
      </c>
      <c r="N95" s="221" t="s">
        <v>302</v>
      </c>
      <c r="O95" s="222" t="s">
        <v>16</v>
      </c>
      <c r="P95" s="222" t="s">
        <v>16</v>
      </c>
      <c r="Q95" s="222" t="s">
        <v>16</v>
      </c>
      <c r="R95" s="222" t="s">
        <v>16</v>
      </c>
      <c r="S95" s="222" t="s">
        <v>16</v>
      </c>
      <c r="T95" s="222" t="s">
        <v>349</v>
      </c>
      <c r="U95" s="222" t="s">
        <v>269</v>
      </c>
      <c r="V95" s="222" t="s">
        <v>302</v>
      </c>
      <c r="W95" s="223" t="s">
        <v>302</v>
      </c>
      <c r="X95" s="223" t="s">
        <v>302</v>
      </c>
      <c r="Y95" s="224" t="s">
        <v>302</v>
      </c>
    </row>
    <row r="96" spans="1:25">
      <c r="A96" s="216">
        <v>2</v>
      </c>
      <c r="B96" s="217" t="str">
        <f>VLOOKUP(Tabel10[[#This Row],[Code]],Ruimtegroepen[[Code]:[Ruimte omschrijving]],2,FALSE)</f>
        <v>Kantoren</v>
      </c>
      <c r="C96" s="218" t="s">
        <v>378</v>
      </c>
      <c r="D96" s="217" t="s">
        <v>0</v>
      </c>
      <c r="E96" s="219" t="s">
        <v>102</v>
      </c>
      <c r="F96" s="218" t="s">
        <v>382</v>
      </c>
      <c r="G96" s="263" t="s">
        <v>302</v>
      </c>
      <c r="H96" s="220" t="s">
        <v>302</v>
      </c>
      <c r="I96" s="220" t="s">
        <v>302</v>
      </c>
      <c r="J96" s="220" t="s">
        <v>16</v>
      </c>
      <c r="K96" s="220" t="s">
        <v>269</v>
      </c>
      <c r="L96" s="220" t="s">
        <v>302</v>
      </c>
      <c r="M96" s="220" t="s">
        <v>302</v>
      </c>
      <c r="N96" s="221" t="s">
        <v>302</v>
      </c>
      <c r="O96" s="222" t="s">
        <v>16</v>
      </c>
      <c r="P96" s="222" t="s">
        <v>16</v>
      </c>
      <c r="Q96" s="222" t="s">
        <v>16</v>
      </c>
      <c r="R96" s="222" t="s">
        <v>16</v>
      </c>
      <c r="S96" s="222" t="s">
        <v>16</v>
      </c>
      <c r="T96" s="222" t="s">
        <v>349</v>
      </c>
      <c r="U96" s="222" t="s">
        <v>269</v>
      </c>
      <c r="V96" s="222" t="s">
        <v>302</v>
      </c>
      <c r="W96" s="223" t="s">
        <v>302</v>
      </c>
      <c r="X96" s="223" t="s">
        <v>302</v>
      </c>
      <c r="Y96" s="224" t="s">
        <v>302</v>
      </c>
    </row>
    <row r="97" spans="1:25">
      <c r="A97" s="216">
        <v>2</v>
      </c>
      <c r="B97" s="217" t="str">
        <f>VLOOKUP(Tabel10[[#This Row],[Code]],Ruimtegroepen[[Code]:[Ruimte omschrijving]],2,FALSE)</f>
        <v>Kantoren</v>
      </c>
      <c r="C97" s="218" t="s">
        <v>378</v>
      </c>
      <c r="D97" s="217" t="s">
        <v>0</v>
      </c>
      <c r="E97" s="219" t="s">
        <v>103</v>
      </c>
      <c r="F97" s="218" t="s">
        <v>383</v>
      </c>
      <c r="G97" s="263" t="s">
        <v>302</v>
      </c>
      <c r="H97" s="220" t="s">
        <v>302</v>
      </c>
      <c r="I97" s="220" t="s">
        <v>16</v>
      </c>
      <c r="J97" s="220" t="s">
        <v>302</v>
      </c>
      <c r="K97" s="220" t="s">
        <v>269</v>
      </c>
      <c r="L97" s="220" t="s">
        <v>302</v>
      </c>
      <c r="M97" s="220" t="s">
        <v>302</v>
      </c>
      <c r="N97" s="221" t="s">
        <v>302</v>
      </c>
      <c r="O97" s="222" t="s">
        <v>16</v>
      </c>
      <c r="P97" s="222" t="s">
        <v>16</v>
      </c>
      <c r="Q97" s="222" t="s">
        <v>16</v>
      </c>
      <c r="R97" s="222" t="s">
        <v>16</v>
      </c>
      <c r="S97" s="222" t="s">
        <v>16</v>
      </c>
      <c r="T97" s="222" t="s">
        <v>349</v>
      </c>
      <c r="U97" s="222" t="s">
        <v>269</v>
      </c>
      <c r="V97" s="222" t="s">
        <v>302</v>
      </c>
      <c r="W97" s="223" t="s">
        <v>302</v>
      </c>
      <c r="X97" s="223" t="s">
        <v>302</v>
      </c>
      <c r="Y97" s="224" t="s">
        <v>302</v>
      </c>
    </row>
    <row r="98" spans="1:25">
      <c r="A98" s="216">
        <v>2</v>
      </c>
      <c r="B98" s="217" t="str">
        <f>VLOOKUP(Tabel10[[#This Row],[Code]],Ruimtegroepen[[Code]:[Ruimte omschrijving]],2,FALSE)</f>
        <v>Kantoren</v>
      </c>
      <c r="C98" s="218" t="s">
        <v>378</v>
      </c>
      <c r="D98" s="217" t="s">
        <v>0</v>
      </c>
      <c r="E98" s="219" t="s">
        <v>100</v>
      </c>
      <c r="F98" s="218" t="s">
        <v>380</v>
      </c>
      <c r="G98" s="263" t="s">
        <v>302</v>
      </c>
      <c r="H98" s="221" t="s">
        <v>16</v>
      </c>
      <c r="I98" s="220" t="s">
        <v>302</v>
      </c>
      <c r="J98" s="220" t="s">
        <v>302</v>
      </c>
      <c r="K98" s="220" t="s">
        <v>302</v>
      </c>
      <c r="L98" s="220" t="s">
        <v>302</v>
      </c>
      <c r="M98" s="220" t="s">
        <v>302</v>
      </c>
      <c r="N98" s="221" t="s">
        <v>302</v>
      </c>
      <c r="O98" s="222" t="s">
        <v>16</v>
      </c>
      <c r="P98" s="222" t="s">
        <v>16</v>
      </c>
      <c r="Q98" s="222" t="s">
        <v>16</v>
      </c>
      <c r="R98" s="222" t="s">
        <v>16</v>
      </c>
      <c r="S98" s="222" t="s">
        <v>16</v>
      </c>
      <c r="T98" s="222" t="s">
        <v>349</v>
      </c>
      <c r="U98" s="222" t="s">
        <v>269</v>
      </c>
      <c r="V98" s="222" t="s">
        <v>302</v>
      </c>
      <c r="W98" s="223" t="s">
        <v>302</v>
      </c>
      <c r="X98" s="223" t="s">
        <v>302</v>
      </c>
      <c r="Y98" s="224" t="s">
        <v>302</v>
      </c>
    </row>
    <row r="99" spans="1:25">
      <c r="A99" s="216">
        <v>2</v>
      </c>
      <c r="B99" s="217" t="str">
        <f>VLOOKUP(Tabel10[[#This Row],[Code]],Ruimtegroepen[[Code]:[Ruimte omschrijving]],2,FALSE)</f>
        <v>Kantoren</v>
      </c>
      <c r="C99" s="218" t="s">
        <v>378</v>
      </c>
      <c r="D99" s="217" t="s">
        <v>0</v>
      </c>
      <c r="E99" s="219" t="s">
        <v>1325</v>
      </c>
      <c r="F99" s="218" t="s">
        <v>1350</v>
      </c>
      <c r="G99" s="263" t="s">
        <v>302</v>
      </c>
      <c r="H99" s="220" t="s">
        <v>302</v>
      </c>
      <c r="I99" s="220" t="s">
        <v>16</v>
      </c>
      <c r="J99" s="220" t="s">
        <v>302</v>
      </c>
      <c r="K99" s="220" t="s">
        <v>269</v>
      </c>
      <c r="L99" s="220" t="s">
        <v>302</v>
      </c>
      <c r="M99" s="220" t="s">
        <v>302</v>
      </c>
      <c r="N99" s="221" t="s">
        <v>302</v>
      </c>
      <c r="O99" s="222" t="s">
        <v>16</v>
      </c>
      <c r="P99" s="222" t="s">
        <v>16</v>
      </c>
      <c r="Q99" s="222" t="s">
        <v>16</v>
      </c>
      <c r="R99" s="222" t="s">
        <v>16</v>
      </c>
      <c r="S99" s="222" t="s">
        <v>16</v>
      </c>
      <c r="T99" s="222" t="s">
        <v>349</v>
      </c>
      <c r="U99" s="222" t="s">
        <v>269</v>
      </c>
      <c r="V99" s="222" t="s">
        <v>302</v>
      </c>
      <c r="W99" s="223" t="s">
        <v>302</v>
      </c>
      <c r="X99" s="223" t="s">
        <v>302</v>
      </c>
      <c r="Y99" s="224" t="s">
        <v>302</v>
      </c>
    </row>
    <row r="100" spans="1:25">
      <c r="A100" s="216">
        <v>2</v>
      </c>
      <c r="B100" s="217" t="str">
        <f>VLOOKUP(Tabel10[[#This Row],[Code]],Ruimtegroepen[[Code]:[Ruimte omschrijving]],2,FALSE)</f>
        <v>Kantoren</v>
      </c>
      <c r="C100" s="218" t="s">
        <v>384</v>
      </c>
      <c r="D100" s="217" t="s">
        <v>27</v>
      </c>
      <c r="E100" s="219" t="s">
        <v>101</v>
      </c>
      <c r="F100" s="218" t="s">
        <v>385</v>
      </c>
      <c r="G100" s="263" t="s">
        <v>302</v>
      </c>
      <c r="H100" s="220" t="s">
        <v>302</v>
      </c>
      <c r="I100" s="220" t="s">
        <v>15</v>
      </c>
      <c r="J100" s="220" t="s">
        <v>302</v>
      </c>
      <c r="K100" s="220" t="s">
        <v>302</v>
      </c>
      <c r="L100" s="220" t="s">
        <v>302</v>
      </c>
      <c r="M100" s="220" t="s">
        <v>302</v>
      </c>
      <c r="N100" s="221" t="s">
        <v>302</v>
      </c>
      <c r="O100" s="222" t="s">
        <v>15</v>
      </c>
      <c r="P100" s="222" t="s">
        <v>15</v>
      </c>
      <c r="Q100" s="222" t="s">
        <v>15</v>
      </c>
      <c r="R100" s="222" t="s">
        <v>302</v>
      </c>
      <c r="S100" s="222" t="s">
        <v>302</v>
      </c>
      <c r="T100" s="222" t="s">
        <v>302</v>
      </c>
      <c r="U100" s="222" t="s">
        <v>302</v>
      </c>
      <c r="V100" s="222" t="s">
        <v>302</v>
      </c>
      <c r="W100" s="223" t="s">
        <v>302</v>
      </c>
      <c r="X100" s="223" t="s">
        <v>302</v>
      </c>
      <c r="Y100" s="224" t="s">
        <v>302</v>
      </c>
    </row>
    <row r="101" spans="1:25">
      <c r="A101" s="216">
        <v>2</v>
      </c>
      <c r="B101" s="217" t="str">
        <f>VLOOKUP(Tabel10[[#This Row],[Code]],Ruimtegroepen[[Code]:[Ruimte omschrijving]],2,FALSE)</f>
        <v>Kantoren</v>
      </c>
      <c r="C101" s="218" t="s">
        <v>384</v>
      </c>
      <c r="D101" s="217" t="s">
        <v>27</v>
      </c>
      <c r="E101" s="219" t="s">
        <v>100</v>
      </c>
      <c r="F101" s="218" t="s">
        <v>386</v>
      </c>
      <c r="G101" s="263" t="s">
        <v>302</v>
      </c>
      <c r="H101" s="221" t="s">
        <v>15</v>
      </c>
      <c r="I101" s="220" t="s">
        <v>302</v>
      </c>
      <c r="J101" s="220" t="s">
        <v>302</v>
      </c>
      <c r="K101" s="220" t="s">
        <v>302</v>
      </c>
      <c r="L101" s="220" t="s">
        <v>302</v>
      </c>
      <c r="M101" s="220" t="s">
        <v>302</v>
      </c>
      <c r="N101" s="221" t="s">
        <v>302</v>
      </c>
      <c r="O101" s="222" t="s">
        <v>15</v>
      </c>
      <c r="P101" s="222" t="s">
        <v>15</v>
      </c>
      <c r="Q101" s="222" t="s">
        <v>15</v>
      </c>
      <c r="R101" s="222" t="s">
        <v>302</v>
      </c>
      <c r="S101" s="222" t="s">
        <v>302</v>
      </c>
      <c r="T101" s="222" t="s">
        <v>302</v>
      </c>
      <c r="U101" s="222" t="s">
        <v>302</v>
      </c>
      <c r="V101" s="222" t="s">
        <v>302</v>
      </c>
      <c r="W101" s="223" t="s">
        <v>302</v>
      </c>
      <c r="X101" s="223" t="s">
        <v>302</v>
      </c>
      <c r="Y101" s="224" t="s">
        <v>302</v>
      </c>
    </row>
    <row r="102" spans="1:25">
      <c r="A102" s="216">
        <v>2</v>
      </c>
      <c r="B102" s="217" t="str">
        <f>VLOOKUP(Tabel10[[#This Row],[Code]],Ruimtegroepen[[Code]:[Ruimte omschrijving]],2,FALSE)</f>
        <v>Kantoren</v>
      </c>
      <c r="C102" s="218" t="s">
        <v>384</v>
      </c>
      <c r="D102" s="217" t="s">
        <v>27</v>
      </c>
      <c r="E102" s="219" t="s">
        <v>102</v>
      </c>
      <c r="F102" s="218" t="s">
        <v>387</v>
      </c>
      <c r="G102" s="263" t="s">
        <v>302</v>
      </c>
      <c r="H102" s="220" t="s">
        <v>302</v>
      </c>
      <c r="I102" s="220" t="s">
        <v>15</v>
      </c>
      <c r="J102" s="220" t="s">
        <v>302</v>
      </c>
      <c r="K102" s="220" t="s">
        <v>302</v>
      </c>
      <c r="L102" s="220" t="s">
        <v>302</v>
      </c>
      <c r="M102" s="220" t="s">
        <v>302</v>
      </c>
      <c r="N102" s="221" t="s">
        <v>302</v>
      </c>
      <c r="O102" s="222" t="s">
        <v>15</v>
      </c>
      <c r="P102" s="222" t="s">
        <v>15</v>
      </c>
      <c r="Q102" s="222" t="s">
        <v>15</v>
      </c>
      <c r="R102" s="222" t="s">
        <v>302</v>
      </c>
      <c r="S102" s="222" t="s">
        <v>302</v>
      </c>
      <c r="T102" s="222" t="s">
        <v>302</v>
      </c>
      <c r="U102" s="222" t="s">
        <v>302</v>
      </c>
      <c r="V102" s="222" t="s">
        <v>302</v>
      </c>
      <c r="W102" s="223" t="s">
        <v>302</v>
      </c>
      <c r="X102" s="223" t="s">
        <v>302</v>
      </c>
      <c r="Y102" s="224" t="s">
        <v>302</v>
      </c>
    </row>
    <row r="103" spans="1:25">
      <c r="A103" s="216">
        <v>2</v>
      </c>
      <c r="B103" s="217" t="str">
        <f>VLOOKUP(Tabel10[[#This Row],[Code]],Ruimtegroepen[[Code]:[Ruimte omschrijving]],2,FALSE)</f>
        <v>Kantoren</v>
      </c>
      <c r="C103" s="218" t="s">
        <v>384</v>
      </c>
      <c r="D103" s="217" t="s">
        <v>27</v>
      </c>
      <c r="E103" s="219" t="s">
        <v>103</v>
      </c>
      <c r="F103" s="218" t="s">
        <v>388</v>
      </c>
      <c r="G103" s="263" t="s">
        <v>302</v>
      </c>
      <c r="H103" s="220" t="s">
        <v>302</v>
      </c>
      <c r="I103" s="220" t="s">
        <v>15</v>
      </c>
      <c r="J103" s="220" t="s">
        <v>302</v>
      </c>
      <c r="K103" s="220" t="s">
        <v>302</v>
      </c>
      <c r="L103" s="220" t="s">
        <v>302</v>
      </c>
      <c r="M103" s="220" t="s">
        <v>302</v>
      </c>
      <c r="N103" s="221" t="s">
        <v>302</v>
      </c>
      <c r="O103" s="222" t="s">
        <v>15</v>
      </c>
      <c r="P103" s="222" t="s">
        <v>15</v>
      </c>
      <c r="Q103" s="222" t="s">
        <v>15</v>
      </c>
      <c r="R103" s="222" t="s">
        <v>302</v>
      </c>
      <c r="S103" s="222" t="s">
        <v>302</v>
      </c>
      <c r="T103" s="222" t="s">
        <v>302</v>
      </c>
      <c r="U103" s="222" t="s">
        <v>302</v>
      </c>
      <c r="V103" s="222" t="s">
        <v>302</v>
      </c>
      <c r="W103" s="223" t="s">
        <v>302</v>
      </c>
      <c r="X103" s="223" t="s">
        <v>302</v>
      </c>
      <c r="Y103" s="224" t="s">
        <v>302</v>
      </c>
    </row>
    <row r="104" spans="1:25">
      <c r="A104" s="216">
        <v>2</v>
      </c>
      <c r="B104" s="217" t="str">
        <f>VLOOKUP(Tabel10[[#This Row],[Code]],Ruimtegroepen[[Code]:[Ruimte omschrijving]],2,FALSE)</f>
        <v>Kantoren</v>
      </c>
      <c r="C104" s="218" t="s">
        <v>384</v>
      </c>
      <c r="D104" s="217" t="s">
        <v>27</v>
      </c>
      <c r="E104" s="219" t="s">
        <v>100</v>
      </c>
      <c r="F104" s="218" t="s">
        <v>386</v>
      </c>
      <c r="G104" s="263" t="s">
        <v>302</v>
      </c>
      <c r="H104" s="221" t="s">
        <v>15</v>
      </c>
      <c r="I104" s="220" t="s">
        <v>302</v>
      </c>
      <c r="J104" s="220" t="s">
        <v>302</v>
      </c>
      <c r="K104" s="220" t="s">
        <v>302</v>
      </c>
      <c r="L104" s="220" t="s">
        <v>302</v>
      </c>
      <c r="M104" s="220" t="s">
        <v>302</v>
      </c>
      <c r="N104" s="221" t="s">
        <v>302</v>
      </c>
      <c r="O104" s="222" t="s">
        <v>15</v>
      </c>
      <c r="P104" s="222" t="s">
        <v>15</v>
      </c>
      <c r="Q104" s="222" t="s">
        <v>15</v>
      </c>
      <c r="R104" s="222" t="s">
        <v>302</v>
      </c>
      <c r="S104" s="222" t="s">
        <v>302</v>
      </c>
      <c r="T104" s="222" t="s">
        <v>302</v>
      </c>
      <c r="U104" s="222" t="s">
        <v>302</v>
      </c>
      <c r="V104" s="222" t="s">
        <v>302</v>
      </c>
      <c r="W104" s="223" t="s">
        <v>302</v>
      </c>
      <c r="X104" s="223" t="s">
        <v>302</v>
      </c>
      <c r="Y104" s="224" t="s">
        <v>302</v>
      </c>
    </row>
    <row r="105" spans="1:25">
      <c r="A105" s="216">
        <v>2</v>
      </c>
      <c r="B105" s="217" t="str">
        <f>VLOOKUP(Tabel10[[#This Row],[Code]],Ruimtegroepen[[Code]:[Ruimte omschrijving]],2,FALSE)</f>
        <v>Kantoren</v>
      </c>
      <c r="C105" s="218" t="s">
        <v>384</v>
      </c>
      <c r="D105" s="217" t="s">
        <v>27</v>
      </c>
      <c r="E105" s="219" t="s">
        <v>1325</v>
      </c>
      <c r="F105" s="218" t="s">
        <v>1351</v>
      </c>
      <c r="G105" s="263" t="s">
        <v>302</v>
      </c>
      <c r="H105" s="220" t="s">
        <v>302</v>
      </c>
      <c r="I105" s="220" t="s">
        <v>15</v>
      </c>
      <c r="J105" s="220" t="s">
        <v>302</v>
      </c>
      <c r="K105" s="220" t="s">
        <v>302</v>
      </c>
      <c r="L105" s="220" t="s">
        <v>302</v>
      </c>
      <c r="M105" s="220" t="s">
        <v>302</v>
      </c>
      <c r="N105" s="221" t="s">
        <v>302</v>
      </c>
      <c r="O105" s="222" t="s">
        <v>15</v>
      </c>
      <c r="P105" s="222" t="s">
        <v>15</v>
      </c>
      <c r="Q105" s="222" t="s">
        <v>15</v>
      </c>
      <c r="R105" s="222" t="s">
        <v>302</v>
      </c>
      <c r="S105" s="222" t="s">
        <v>302</v>
      </c>
      <c r="T105" s="222" t="s">
        <v>302</v>
      </c>
      <c r="U105" s="222" t="s">
        <v>302</v>
      </c>
      <c r="V105" s="222" t="s">
        <v>302</v>
      </c>
      <c r="W105" s="223" t="s">
        <v>302</v>
      </c>
      <c r="X105" s="223" t="s">
        <v>302</v>
      </c>
      <c r="Y105" s="224" t="s">
        <v>302</v>
      </c>
    </row>
    <row r="106" spans="1:25">
      <c r="A106" s="216">
        <v>2</v>
      </c>
      <c r="B106" s="217" t="str">
        <f>VLOOKUP(Tabel10[[#This Row],[Code]],Ruimtegroepen[[Code]:[Ruimte omschrijving]],2,FALSE)</f>
        <v>Kantoren</v>
      </c>
      <c r="C106" s="218" t="s">
        <v>389</v>
      </c>
      <c r="D106" s="217" t="s">
        <v>28</v>
      </c>
      <c r="E106" s="219" t="s">
        <v>101</v>
      </c>
      <c r="F106" s="218" t="s">
        <v>390</v>
      </c>
      <c r="G106" s="263" t="s">
        <v>302</v>
      </c>
      <c r="H106" s="220" t="s">
        <v>302</v>
      </c>
      <c r="I106" s="220" t="s">
        <v>17</v>
      </c>
      <c r="J106" s="220" t="s">
        <v>302</v>
      </c>
      <c r="K106" s="220" t="s">
        <v>302</v>
      </c>
      <c r="L106" s="220" t="s">
        <v>302</v>
      </c>
      <c r="M106" s="220" t="s">
        <v>302</v>
      </c>
      <c r="N106" s="221" t="s">
        <v>302</v>
      </c>
      <c r="O106" s="222" t="s">
        <v>17</v>
      </c>
      <c r="P106" s="222" t="s">
        <v>17</v>
      </c>
      <c r="Q106" s="222" t="s">
        <v>15</v>
      </c>
      <c r="R106" s="222" t="s">
        <v>302</v>
      </c>
      <c r="S106" s="222" t="s">
        <v>302</v>
      </c>
      <c r="T106" s="222" t="s">
        <v>302</v>
      </c>
      <c r="U106" s="222" t="s">
        <v>302</v>
      </c>
      <c r="V106" s="222" t="s">
        <v>302</v>
      </c>
      <c r="W106" s="223" t="s">
        <v>302</v>
      </c>
      <c r="X106" s="223" t="s">
        <v>302</v>
      </c>
      <c r="Y106" s="224" t="s">
        <v>302</v>
      </c>
    </row>
    <row r="107" spans="1:25">
      <c r="A107" s="216">
        <v>2</v>
      </c>
      <c r="B107" s="217" t="str">
        <f>VLOOKUP(Tabel10[[#This Row],[Code]],Ruimtegroepen[[Code]:[Ruimte omschrijving]],2,FALSE)</f>
        <v>Kantoren</v>
      </c>
      <c r="C107" s="218" t="s">
        <v>389</v>
      </c>
      <c r="D107" s="217" t="s">
        <v>28</v>
      </c>
      <c r="E107" s="219" t="s">
        <v>100</v>
      </c>
      <c r="F107" s="218" t="s">
        <v>391</v>
      </c>
      <c r="G107" s="263" t="s">
        <v>302</v>
      </c>
      <c r="H107" s="221" t="s">
        <v>17</v>
      </c>
      <c r="I107" s="220" t="s">
        <v>302</v>
      </c>
      <c r="J107" s="220" t="s">
        <v>302</v>
      </c>
      <c r="K107" s="220" t="s">
        <v>302</v>
      </c>
      <c r="L107" s="220" t="s">
        <v>302</v>
      </c>
      <c r="M107" s="220" t="s">
        <v>302</v>
      </c>
      <c r="N107" s="221" t="s">
        <v>302</v>
      </c>
      <c r="O107" s="222" t="s">
        <v>17</v>
      </c>
      <c r="P107" s="222" t="s">
        <v>17</v>
      </c>
      <c r="Q107" s="222" t="s">
        <v>15</v>
      </c>
      <c r="R107" s="222" t="s">
        <v>302</v>
      </c>
      <c r="S107" s="222" t="s">
        <v>302</v>
      </c>
      <c r="T107" s="222" t="s">
        <v>302</v>
      </c>
      <c r="U107" s="222" t="s">
        <v>302</v>
      </c>
      <c r="V107" s="222" t="s">
        <v>302</v>
      </c>
      <c r="W107" s="223" t="s">
        <v>302</v>
      </c>
      <c r="X107" s="223" t="s">
        <v>302</v>
      </c>
      <c r="Y107" s="224" t="s">
        <v>302</v>
      </c>
    </row>
    <row r="108" spans="1:25">
      <c r="A108" s="216">
        <v>2</v>
      </c>
      <c r="B108" s="217" t="str">
        <f>VLOOKUP(Tabel10[[#This Row],[Code]],Ruimtegroepen[[Code]:[Ruimte omschrijving]],2,FALSE)</f>
        <v>Kantoren</v>
      </c>
      <c r="C108" s="218" t="s">
        <v>389</v>
      </c>
      <c r="D108" s="217" t="s">
        <v>28</v>
      </c>
      <c r="E108" s="219" t="s">
        <v>102</v>
      </c>
      <c r="F108" s="218" t="s">
        <v>392</v>
      </c>
      <c r="G108" s="263" t="s">
        <v>302</v>
      </c>
      <c r="H108" s="220" t="s">
        <v>302</v>
      </c>
      <c r="I108" s="220" t="s">
        <v>17</v>
      </c>
      <c r="J108" s="220" t="s">
        <v>302</v>
      </c>
      <c r="K108" s="220" t="s">
        <v>302</v>
      </c>
      <c r="L108" s="220" t="s">
        <v>302</v>
      </c>
      <c r="M108" s="220" t="s">
        <v>302</v>
      </c>
      <c r="N108" s="221" t="s">
        <v>302</v>
      </c>
      <c r="O108" s="222" t="s">
        <v>17</v>
      </c>
      <c r="P108" s="222" t="s">
        <v>17</v>
      </c>
      <c r="Q108" s="222" t="s">
        <v>15</v>
      </c>
      <c r="R108" s="222" t="s">
        <v>302</v>
      </c>
      <c r="S108" s="222" t="s">
        <v>302</v>
      </c>
      <c r="T108" s="222" t="s">
        <v>302</v>
      </c>
      <c r="U108" s="222" t="s">
        <v>302</v>
      </c>
      <c r="V108" s="222" t="s">
        <v>302</v>
      </c>
      <c r="W108" s="223" t="s">
        <v>302</v>
      </c>
      <c r="X108" s="223" t="s">
        <v>302</v>
      </c>
      <c r="Y108" s="224" t="s">
        <v>302</v>
      </c>
    </row>
    <row r="109" spans="1:25">
      <c r="A109" s="216">
        <v>2</v>
      </c>
      <c r="B109" s="217" t="str">
        <f>VLOOKUP(Tabel10[[#This Row],[Code]],Ruimtegroepen[[Code]:[Ruimte omschrijving]],2,FALSE)</f>
        <v>Kantoren</v>
      </c>
      <c r="C109" s="218" t="s">
        <v>389</v>
      </c>
      <c r="D109" s="217" t="s">
        <v>28</v>
      </c>
      <c r="E109" s="219" t="s">
        <v>103</v>
      </c>
      <c r="F109" s="218" t="s">
        <v>393</v>
      </c>
      <c r="G109" s="263" t="s">
        <v>302</v>
      </c>
      <c r="H109" s="220" t="s">
        <v>302</v>
      </c>
      <c r="I109" s="220" t="s">
        <v>17</v>
      </c>
      <c r="J109" s="220" t="s">
        <v>302</v>
      </c>
      <c r="K109" s="220" t="s">
        <v>302</v>
      </c>
      <c r="L109" s="220" t="s">
        <v>302</v>
      </c>
      <c r="M109" s="220" t="s">
        <v>302</v>
      </c>
      <c r="N109" s="221" t="s">
        <v>302</v>
      </c>
      <c r="O109" s="222" t="s">
        <v>17</v>
      </c>
      <c r="P109" s="222" t="s">
        <v>17</v>
      </c>
      <c r="Q109" s="222" t="s">
        <v>15</v>
      </c>
      <c r="R109" s="222" t="s">
        <v>302</v>
      </c>
      <c r="S109" s="222" t="s">
        <v>302</v>
      </c>
      <c r="T109" s="222" t="s">
        <v>302</v>
      </c>
      <c r="U109" s="222" t="s">
        <v>302</v>
      </c>
      <c r="V109" s="222" t="s">
        <v>302</v>
      </c>
      <c r="W109" s="223" t="s">
        <v>302</v>
      </c>
      <c r="X109" s="223" t="s">
        <v>302</v>
      </c>
      <c r="Y109" s="224" t="s">
        <v>302</v>
      </c>
    </row>
    <row r="110" spans="1:25">
      <c r="A110" s="216">
        <v>2</v>
      </c>
      <c r="B110" s="217" t="str">
        <f>VLOOKUP(Tabel10[[#This Row],[Code]],Ruimtegroepen[[Code]:[Ruimte omschrijving]],2,FALSE)</f>
        <v>Kantoren</v>
      </c>
      <c r="C110" s="218" t="s">
        <v>389</v>
      </c>
      <c r="D110" s="217" t="s">
        <v>28</v>
      </c>
      <c r="E110" s="219" t="s">
        <v>100</v>
      </c>
      <c r="F110" s="218" t="s">
        <v>391</v>
      </c>
      <c r="G110" s="263" t="s">
        <v>302</v>
      </c>
      <c r="H110" s="221" t="s">
        <v>17</v>
      </c>
      <c r="I110" s="220" t="s">
        <v>302</v>
      </c>
      <c r="J110" s="220" t="s">
        <v>302</v>
      </c>
      <c r="K110" s="220" t="s">
        <v>302</v>
      </c>
      <c r="L110" s="220" t="s">
        <v>302</v>
      </c>
      <c r="M110" s="220" t="s">
        <v>302</v>
      </c>
      <c r="N110" s="221" t="s">
        <v>302</v>
      </c>
      <c r="O110" s="222" t="s">
        <v>17</v>
      </c>
      <c r="P110" s="222" t="s">
        <v>17</v>
      </c>
      <c r="Q110" s="222" t="s">
        <v>15</v>
      </c>
      <c r="R110" s="222" t="s">
        <v>302</v>
      </c>
      <c r="S110" s="222" t="s">
        <v>302</v>
      </c>
      <c r="T110" s="222" t="s">
        <v>302</v>
      </c>
      <c r="U110" s="222" t="s">
        <v>302</v>
      </c>
      <c r="V110" s="222" t="s">
        <v>302</v>
      </c>
      <c r="W110" s="223" t="s">
        <v>302</v>
      </c>
      <c r="X110" s="223" t="s">
        <v>302</v>
      </c>
      <c r="Y110" s="224" t="s">
        <v>302</v>
      </c>
    </row>
    <row r="111" spans="1:25">
      <c r="A111" s="216">
        <v>2</v>
      </c>
      <c r="B111" s="217" t="str">
        <f>VLOOKUP(Tabel10[[#This Row],[Code]],Ruimtegroepen[[Code]:[Ruimte omschrijving]],2,FALSE)</f>
        <v>Kantoren</v>
      </c>
      <c r="C111" s="218" t="s">
        <v>389</v>
      </c>
      <c r="D111" s="217" t="s">
        <v>28</v>
      </c>
      <c r="E111" s="219" t="s">
        <v>1325</v>
      </c>
      <c r="F111" s="218" t="s">
        <v>1352</v>
      </c>
      <c r="G111" s="263" t="s">
        <v>302</v>
      </c>
      <c r="H111" s="220" t="s">
        <v>302</v>
      </c>
      <c r="I111" s="220" t="s">
        <v>17</v>
      </c>
      <c r="J111" s="220" t="s">
        <v>302</v>
      </c>
      <c r="K111" s="220" t="s">
        <v>302</v>
      </c>
      <c r="L111" s="220" t="s">
        <v>302</v>
      </c>
      <c r="M111" s="220" t="s">
        <v>302</v>
      </c>
      <c r="N111" s="221" t="s">
        <v>302</v>
      </c>
      <c r="O111" s="222" t="s">
        <v>17</v>
      </c>
      <c r="P111" s="222" t="s">
        <v>17</v>
      </c>
      <c r="Q111" s="222" t="s">
        <v>15</v>
      </c>
      <c r="R111" s="222" t="s">
        <v>302</v>
      </c>
      <c r="S111" s="222" t="s">
        <v>302</v>
      </c>
      <c r="T111" s="222" t="s">
        <v>302</v>
      </c>
      <c r="U111" s="222" t="s">
        <v>302</v>
      </c>
      <c r="V111" s="222" t="s">
        <v>302</v>
      </c>
      <c r="W111" s="223" t="s">
        <v>302</v>
      </c>
      <c r="X111" s="223" t="s">
        <v>302</v>
      </c>
      <c r="Y111" s="224" t="s">
        <v>302</v>
      </c>
    </row>
    <row r="112" spans="1:25">
      <c r="A112" s="216">
        <v>3</v>
      </c>
      <c r="B112" s="217" t="str">
        <f>VLOOKUP(Tabel10[[#This Row],[Code]],Ruimtegroepen[[Code]:[Ruimte omschrijving]],2,FALSE)</f>
        <v>Reproruimte</v>
      </c>
      <c r="C112" s="218" t="s">
        <v>394</v>
      </c>
      <c r="D112" s="217" t="s">
        <v>29</v>
      </c>
      <c r="E112" s="219" t="s">
        <v>101</v>
      </c>
      <c r="F112" s="218" t="s">
        <v>395</v>
      </c>
      <c r="G112" s="263" t="s">
        <v>302</v>
      </c>
      <c r="H112" s="220" t="s">
        <v>302</v>
      </c>
      <c r="I112" s="220" t="s">
        <v>20</v>
      </c>
      <c r="J112" s="220" t="s">
        <v>15</v>
      </c>
      <c r="K112" s="220" t="s">
        <v>302</v>
      </c>
      <c r="L112" s="220" t="s">
        <v>302</v>
      </c>
      <c r="M112" s="220" t="s">
        <v>302</v>
      </c>
      <c r="N112" s="221" t="s">
        <v>2</v>
      </c>
      <c r="O112" s="222" t="s">
        <v>2</v>
      </c>
      <c r="P112" s="222" t="s">
        <v>2</v>
      </c>
      <c r="Q112" s="222" t="s">
        <v>15</v>
      </c>
      <c r="R112" s="222" t="s">
        <v>15</v>
      </c>
      <c r="S112" s="222" t="s">
        <v>16</v>
      </c>
      <c r="T112" s="222" t="s">
        <v>303</v>
      </c>
      <c r="U112" s="222" t="s">
        <v>269</v>
      </c>
      <c r="V112" s="222" t="s">
        <v>2</v>
      </c>
      <c r="W112" s="223" t="s">
        <v>302</v>
      </c>
      <c r="X112" s="223" t="s">
        <v>302</v>
      </c>
      <c r="Y112" s="224" t="s">
        <v>302</v>
      </c>
    </row>
    <row r="113" spans="1:25">
      <c r="A113" s="216">
        <v>3</v>
      </c>
      <c r="B113" s="217" t="str">
        <f>VLOOKUP(Tabel10[[#This Row],[Code]],Ruimtegroepen[[Code]:[Ruimte omschrijving]],2,FALSE)</f>
        <v>Reproruimte</v>
      </c>
      <c r="C113" s="218" t="s">
        <v>394</v>
      </c>
      <c r="D113" s="217" t="s">
        <v>29</v>
      </c>
      <c r="E113" s="219" t="s">
        <v>100</v>
      </c>
      <c r="F113" s="218" t="s">
        <v>396</v>
      </c>
      <c r="G113" s="221" t="s">
        <v>20</v>
      </c>
      <c r="H113" s="221" t="s">
        <v>15</v>
      </c>
      <c r="I113" s="220" t="s">
        <v>302</v>
      </c>
      <c r="J113" s="220" t="s">
        <v>302</v>
      </c>
      <c r="K113" s="220" t="s">
        <v>302</v>
      </c>
      <c r="L113" s="220" t="s">
        <v>302</v>
      </c>
      <c r="M113" s="220" t="s">
        <v>302</v>
      </c>
      <c r="N113" s="221" t="s">
        <v>2</v>
      </c>
      <c r="O113" s="222" t="s">
        <v>2</v>
      </c>
      <c r="P113" s="222" t="s">
        <v>2</v>
      </c>
      <c r="Q113" s="222" t="s">
        <v>15</v>
      </c>
      <c r="R113" s="222" t="s">
        <v>15</v>
      </c>
      <c r="S113" s="222" t="s">
        <v>16</v>
      </c>
      <c r="T113" s="222" t="s">
        <v>303</v>
      </c>
      <c r="U113" s="222" t="s">
        <v>269</v>
      </c>
      <c r="V113" s="222" t="s">
        <v>2</v>
      </c>
      <c r="W113" s="223" t="s">
        <v>302</v>
      </c>
      <c r="X113" s="223" t="s">
        <v>302</v>
      </c>
      <c r="Y113" s="224" t="s">
        <v>302</v>
      </c>
    </row>
    <row r="114" spans="1:25">
      <c r="A114" s="216">
        <v>3</v>
      </c>
      <c r="B114" s="217" t="str">
        <f>VLOOKUP(Tabel10[[#This Row],[Code]],Ruimtegroepen[[Code]:[Ruimte omschrijving]],2,FALSE)</f>
        <v>Reproruimte</v>
      </c>
      <c r="C114" s="218" t="s">
        <v>394</v>
      </c>
      <c r="D114" s="217" t="s">
        <v>29</v>
      </c>
      <c r="E114" s="219" t="s">
        <v>102</v>
      </c>
      <c r="F114" s="218" t="s">
        <v>397</v>
      </c>
      <c r="G114" s="263" t="s">
        <v>302</v>
      </c>
      <c r="H114" s="220" t="s">
        <v>302</v>
      </c>
      <c r="I114" s="220" t="s">
        <v>20</v>
      </c>
      <c r="J114" s="220" t="s">
        <v>15</v>
      </c>
      <c r="K114" s="220" t="s">
        <v>349</v>
      </c>
      <c r="L114" s="220" t="s">
        <v>302</v>
      </c>
      <c r="M114" s="220" t="s">
        <v>302</v>
      </c>
      <c r="N114" s="221" t="s">
        <v>2</v>
      </c>
      <c r="O114" s="222" t="s">
        <v>2</v>
      </c>
      <c r="P114" s="222" t="s">
        <v>2</v>
      </c>
      <c r="Q114" s="222" t="s">
        <v>15</v>
      </c>
      <c r="R114" s="222" t="s">
        <v>15</v>
      </c>
      <c r="S114" s="222" t="s">
        <v>16</v>
      </c>
      <c r="T114" s="222" t="s">
        <v>303</v>
      </c>
      <c r="U114" s="222" t="s">
        <v>269</v>
      </c>
      <c r="V114" s="222" t="s">
        <v>2</v>
      </c>
      <c r="W114" s="223" t="s">
        <v>302</v>
      </c>
      <c r="X114" s="223" t="s">
        <v>302</v>
      </c>
      <c r="Y114" s="224" t="s">
        <v>302</v>
      </c>
    </row>
    <row r="115" spans="1:25">
      <c r="A115" s="216">
        <v>3</v>
      </c>
      <c r="B115" s="217" t="str">
        <f>VLOOKUP(Tabel10[[#This Row],[Code]],Ruimtegroepen[[Code]:[Ruimte omschrijving]],2,FALSE)</f>
        <v>Reproruimte</v>
      </c>
      <c r="C115" s="218" t="s">
        <v>394</v>
      </c>
      <c r="D115" s="217" t="s">
        <v>29</v>
      </c>
      <c r="E115" s="219" t="s">
        <v>103</v>
      </c>
      <c r="F115" s="218" t="s">
        <v>398</v>
      </c>
      <c r="G115" s="263" t="s">
        <v>302</v>
      </c>
      <c r="H115" s="220" t="s">
        <v>302</v>
      </c>
      <c r="I115" s="220" t="s">
        <v>20</v>
      </c>
      <c r="J115" s="220" t="s">
        <v>15</v>
      </c>
      <c r="K115" s="220" t="s">
        <v>349</v>
      </c>
      <c r="L115" s="220" t="s">
        <v>302</v>
      </c>
      <c r="M115" s="220" t="s">
        <v>302</v>
      </c>
      <c r="N115" s="221" t="s">
        <v>2</v>
      </c>
      <c r="O115" s="222" t="s">
        <v>2</v>
      </c>
      <c r="P115" s="222" t="s">
        <v>2</v>
      </c>
      <c r="Q115" s="222" t="s">
        <v>15</v>
      </c>
      <c r="R115" s="222" t="s">
        <v>15</v>
      </c>
      <c r="S115" s="222" t="s">
        <v>16</v>
      </c>
      <c r="T115" s="222" t="s">
        <v>303</v>
      </c>
      <c r="U115" s="222" t="s">
        <v>269</v>
      </c>
      <c r="V115" s="222" t="s">
        <v>2</v>
      </c>
      <c r="W115" s="223" t="s">
        <v>302</v>
      </c>
      <c r="X115" s="223" t="s">
        <v>302</v>
      </c>
      <c r="Y115" s="224" t="s">
        <v>302</v>
      </c>
    </row>
    <row r="116" spans="1:25">
      <c r="A116" s="216">
        <v>3</v>
      </c>
      <c r="B116" s="217" t="str">
        <f>VLOOKUP(Tabel10[[#This Row],[Code]],Ruimtegroepen[[Code]:[Ruimte omschrijving]],2,FALSE)</f>
        <v>Reproruimte</v>
      </c>
      <c r="C116" s="218" t="s">
        <v>394</v>
      </c>
      <c r="D116" s="217" t="s">
        <v>29</v>
      </c>
      <c r="E116" s="219" t="s">
        <v>100</v>
      </c>
      <c r="F116" s="218" t="s">
        <v>396</v>
      </c>
      <c r="G116" s="221" t="s">
        <v>20</v>
      </c>
      <c r="H116" s="221" t="s">
        <v>15</v>
      </c>
      <c r="I116" s="220" t="s">
        <v>302</v>
      </c>
      <c r="J116" s="220" t="s">
        <v>302</v>
      </c>
      <c r="K116" s="220" t="s">
        <v>302</v>
      </c>
      <c r="L116" s="220" t="s">
        <v>302</v>
      </c>
      <c r="M116" s="220" t="s">
        <v>302</v>
      </c>
      <c r="N116" s="221" t="s">
        <v>302</v>
      </c>
      <c r="O116" s="222" t="s">
        <v>302</v>
      </c>
      <c r="P116" s="222" t="s">
        <v>302</v>
      </c>
      <c r="Q116" s="222" t="s">
        <v>302</v>
      </c>
      <c r="R116" s="222" t="s">
        <v>302</v>
      </c>
      <c r="S116" s="222" t="s">
        <v>302</v>
      </c>
      <c r="T116" s="222" t="s">
        <v>302</v>
      </c>
      <c r="U116" s="222" t="s">
        <v>302</v>
      </c>
      <c r="V116" s="222" t="s">
        <v>302</v>
      </c>
      <c r="W116" s="223" t="s">
        <v>302</v>
      </c>
      <c r="X116" s="223" t="s">
        <v>302</v>
      </c>
      <c r="Y116" s="224" t="s">
        <v>302</v>
      </c>
    </row>
    <row r="117" spans="1:25">
      <c r="A117" s="216">
        <v>3</v>
      </c>
      <c r="B117" s="217" t="str">
        <f>VLOOKUP(Tabel10[[#This Row],[Code]],Ruimtegroepen[[Code]:[Ruimte omschrijving]],2,FALSE)</f>
        <v>Reproruimte</v>
      </c>
      <c r="C117" s="218" t="s">
        <v>394</v>
      </c>
      <c r="D117" s="217" t="s">
        <v>29</v>
      </c>
      <c r="E117" s="219" t="s">
        <v>1325</v>
      </c>
      <c r="F117" s="218" t="s">
        <v>1353</v>
      </c>
      <c r="G117" s="263" t="s">
        <v>302</v>
      </c>
      <c r="H117" s="220" t="s">
        <v>302</v>
      </c>
      <c r="I117" s="220" t="s">
        <v>20</v>
      </c>
      <c r="J117" s="220" t="s">
        <v>15</v>
      </c>
      <c r="K117" s="220" t="s">
        <v>349</v>
      </c>
      <c r="L117" s="220" t="s">
        <v>302</v>
      </c>
      <c r="M117" s="220" t="s">
        <v>302</v>
      </c>
      <c r="N117" s="221" t="s">
        <v>2</v>
      </c>
      <c r="O117" s="222" t="s">
        <v>2</v>
      </c>
      <c r="P117" s="222" t="s">
        <v>2</v>
      </c>
      <c r="Q117" s="222" t="s">
        <v>15</v>
      </c>
      <c r="R117" s="222" t="s">
        <v>15</v>
      </c>
      <c r="S117" s="222" t="s">
        <v>16</v>
      </c>
      <c r="T117" s="222" t="s">
        <v>303</v>
      </c>
      <c r="U117" s="222" t="s">
        <v>269</v>
      </c>
      <c r="V117" s="222" t="s">
        <v>2</v>
      </c>
      <c r="W117" s="223" t="s">
        <v>302</v>
      </c>
      <c r="X117" s="223" t="s">
        <v>302</v>
      </c>
      <c r="Y117" s="224" t="s">
        <v>302</v>
      </c>
    </row>
    <row r="118" spans="1:25">
      <c r="A118" s="216">
        <v>3</v>
      </c>
      <c r="B118" s="217" t="str">
        <f>VLOOKUP(Tabel10[[#This Row],[Code]],Ruimtegroepen[[Code]:[Ruimte omschrijving]],2,FALSE)</f>
        <v>Reproruimte</v>
      </c>
      <c r="C118" s="218" t="s">
        <v>399</v>
      </c>
      <c r="D118" s="217" t="s">
        <v>1</v>
      </c>
      <c r="E118" s="219" t="s">
        <v>101</v>
      </c>
      <c r="F118" s="218" t="s">
        <v>400</v>
      </c>
      <c r="G118" s="263" t="s">
        <v>302</v>
      </c>
      <c r="H118" s="220" t="s">
        <v>302</v>
      </c>
      <c r="I118" s="220" t="s">
        <v>20</v>
      </c>
      <c r="J118" s="220" t="s">
        <v>15</v>
      </c>
      <c r="K118" s="220" t="s">
        <v>302</v>
      </c>
      <c r="L118" s="220" t="s">
        <v>302</v>
      </c>
      <c r="M118" s="220" t="s">
        <v>302</v>
      </c>
      <c r="N118" s="221" t="s">
        <v>302</v>
      </c>
      <c r="O118" s="222" t="s">
        <v>2</v>
      </c>
      <c r="P118" s="222" t="s">
        <v>2</v>
      </c>
      <c r="Q118" s="222" t="s">
        <v>15</v>
      </c>
      <c r="R118" s="222" t="s">
        <v>15</v>
      </c>
      <c r="S118" s="222" t="s">
        <v>16</v>
      </c>
      <c r="T118" s="222" t="s">
        <v>303</v>
      </c>
      <c r="U118" s="222" t="s">
        <v>269</v>
      </c>
      <c r="V118" s="222" t="s">
        <v>302</v>
      </c>
      <c r="W118" s="223" t="s">
        <v>302</v>
      </c>
      <c r="X118" s="223" t="s">
        <v>302</v>
      </c>
      <c r="Y118" s="224" t="s">
        <v>302</v>
      </c>
    </row>
    <row r="119" spans="1:25">
      <c r="A119" s="216">
        <v>3</v>
      </c>
      <c r="B119" s="217" t="str">
        <f>VLOOKUP(Tabel10[[#This Row],[Code]],Ruimtegroepen[[Code]:[Ruimte omschrijving]],2,FALSE)</f>
        <v>Reproruimte</v>
      </c>
      <c r="C119" s="218" t="s">
        <v>399</v>
      </c>
      <c r="D119" s="217" t="s">
        <v>1</v>
      </c>
      <c r="E119" s="219" t="s">
        <v>100</v>
      </c>
      <c r="F119" s="218" t="s">
        <v>401</v>
      </c>
      <c r="G119" s="221" t="s">
        <v>20</v>
      </c>
      <c r="H119" s="221" t="s">
        <v>15</v>
      </c>
      <c r="I119" s="220" t="s">
        <v>302</v>
      </c>
      <c r="J119" s="220" t="s">
        <v>302</v>
      </c>
      <c r="K119" s="220" t="s">
        <v>302</v>
      </c>
      <c r="L119" s="220" t="s">
        <v>302</v>
      </c>
      <c r="M119" s="220" t="s">
        <v>302</v>
      </c>
      <c r="N119" s="221" t="s">
        <v>302</v>
      </c>
      <c r="O119" s="222" t="s">
        <v>2</v>
      </c>
      <c r="P119" s="222" t="s">
        <v>2</v>
      </c>
      <c r="Q119" s="222" t="s">
        <v>15</v>
      </c>
      <c r="R119" s="222" t="s">
        <v>15</v>
      </c>
      <c r="S119" s="222" t="s">
        <v>16</v>
      </c>
      <c r="T119" s="222" t="s">
        <v>303</v>
      </c>
      <c r="U119" s="222" t="s">
        <v>269</v>
      </c>
      <c r="V119" s="222" t="s">
        <v>302</v>
      </c>
      <c r="W119" s="223" t="s">
        <v>302</v>
      </c>
      <c r="X119" s="223" t="s">
        <v>302</v>
      </c>
      <c r="Y119" s="224" t="s">
        <v>302</v>
      </c>
    </row>
    <row r="120" spans="1:25">
      <c r="A120" s="216">
        <v>3</v>
      </c>
      <c r="B120" s="217" t="str">
        <f>VLOOKUP(Tabel10[[#This Row],[Code]],Ruimtegroepen[[Code]:[Ruimte omschrijving]],2,FALSE)</f>
        <v>Reproruimte</v>
      </c>
      <c r="C120" s="218" t="s">
        <v>399</v>
      </c>
      <c r="D120" s="217" t="s">
        <v>1</v>
      </c>
      <c r="E120" s="219" t="s">
        <v>102</v>
      </c>
      <c r="F120" s="218" t="s">
        <v>402</v>
      </c>
      <c r="G120" s="263" t="s">
        <v>302</v>
      </c>
      <c r="H120" s="220" t="s">
        <v>302</v>
      </c>
      <c r="I120" s="220" t="s">
        <v>20</v>
      </c>
      <c r="J120" s="220" t="s">
        <v>15</v>
      </c>
      <c r="K120" s="220" t="s">
        <v>349</v>
      </c>
      <c r="L120" s="220" t="s">
        <v>302</v>
      </c>
      <c r="M120" s="220" t="s">
        <v>302</v>
      </c>
      <c r="N120" s="221" t="s">
        <v>302</v>
      </c>
      <c r="O120" s="222" t="s">
        <v>2</v>
      </c>
      <c r="P120" s="222" t="s">
        <v>2</v>
      </c>
      <c r="Q120" s="222" t="s">
        <v>15</v>
      </c>
      <c r="R120" s="222" t="s">
        <v>15</v>
      </c>
      <c r="S120" s="222" t="s">
        <v>16</v>
      </c>
      <c r="T120" s="222" t="s">
        <v>303</v>
      </c>
      <c r="U120" s="222" t="s">
        <v>269</v>
      </c>
      <c r="V120" s="222" t="s">
        <v>302</v>
      </c>
      <c r="W120" s="223" t="s">
        <v>302</v>
      </c>
      <c r="X120" s="223" t="s">
        <v>302</v>
      </c>
      <c r="Y120" s="224" t="s">
        <v>302</v>
      </c>
    </row>
    <row r="121" spans="1:25">
      <c r="A121" s="216">
        <v>3</v>
      </c>
      <c r="B121" s="217" t="str">
        <f>VLOOKUP(Tabel10[[#This Row],[Code]],Ruimtegroepen[[Code]:[Ruimte omschrijving]],2,FALSE)</f>
        <v>Reproruimte</v>
      </c>
      <c r="C121" s="218" t="s">
        <v>399</v>
      </c>
      <c r="D121" s="217" t="s">
        <v>1</v>
      </c>
      <c r="E121" s="219" t="s">
        <v>103</v>
      </c>
      <c r="F121" s="218" t="s">
        <v>403</v>
      </c>
      <c r="G121" s="263" t="s">
        <v>302</v>
      </c>
      <c r="H121" s="220" t="s">
        <v>302</v>
      </c>
      <c r="I121" s="220" t="s">
        <v>20</v>
      </c>
      <c r="J121" s="220" t="s">
        <v>15</v>
      </c>
      <c r="K121" s="220" t="s">
        <v>349</v>
      </c>
      <c r="L121" s="220" t="s">
        <v>302</v>
      </c>
      <c r="M121" s="220" t="s">
        <v>302</v>
      </c>
      <c r="N121" s="221" t="s">
        <v>302</v>
      </c>
      <c r="O121" s="222" t="s">
        <v>2</v>
      </c>
      <c r="P121" s="222" t="s">
        <v>2</v>
      </c>
      <c r="Q121" s="222" t="s">
        <v>15</v>
      </c>
      <c r="R121" s="222" t="s">
        <v>15</v>
      </c>
      <c r="S121" s="222" t="s">
        <v>16</v>
      </c>
      <c r="T121" s="222" t="s">
        <v>303</v>
      </c>
      <c r="U121" s="222" t="s">
        <v>269</v>
      </c>
      <c r="V121" s="222" t="s">
        <v>302</v>
      </c>
      <c r="W121" s="223" t="s">
        <v>302</v>
      </c>
      <c r="X121" s="223" t="s">
        <v>302</v>
      </c>
      <c r="Y121" s="224" t="s">
        <v>302</v>
      </c>
    </row>
    <row r="122" spans="1:25">
      <c r="A122" s="216">
        <v>3</v>
      </c>
      <c r="B122" s="217" t="str">
        <f>VLOOKUP(Tabel10[[#This Row],[Code]],Ruimtegroepen[[Code]:[Ruimte omschrijving]],2,FALSE)</f>
        <v>Reproruimte</v>
      </c>
      <c r="C122" s="218" t="s">
        <v>399</v>
      </c>
      <c r="D122" s="217" t="s">
        <v>1</v>
      </c>
      <c r="E122" s="219" t="s">
        <v>100</v>
      </c>
      <c r="F122" s="218" t="s">
        <v>401</v>
      </c>
      <c r="G122" s="221" t="s">
        <v>20</v>
      </c>
      <c r="H122" s="221" t="s">
        <v>15</v>
      </c>
      <c r="I122" s="220" t="s">
        <v>302</v>
      </c>
      <c r="J122" s="220" t="s">
        <v>302</v>
      </c>
      <c r="K122" s="220" t="s">
        <v>302</v>
      </c>
      <c r="L122" s="220" t="s">
        <v>302</v>
      </c>
      <c r="M122" s="220" t="s">
        <v>302</v>
      </c>
      <c r="N122" s="221" t="s">
        <v>302</v>
      </c>
      <c r="O122" s="222" t="s">
        <v>302</v>
      </c>
      <c r="P122" s="222" t="s">
        <v>302</v>
      </c>
      <c r="Q122" s="222" t="s">
        <v>302</v>
      </c>
      <c r="R122" s="222" t="s">
        <v>302</v>
      </c>
      <c r="S122" s="222" t="s">
        <v>302</v>
      </c>
      <c r="T122" s="222" t="s">
        <v>302</v>
      </c>
      <c r="U122" s="222" t="s">
        <v>302</v>
      </c>
      <c r="V122" s="222" t="s">
        <v>302</v>
      </c>
      <c r="W122" s="223" t="s">
        <v>302</v>
      </c>
      <c r="X122" s="223" t="s">
        <v>302</v>
      </c>
      <c r="Y122" s="224" t="s">
        <v>302</v>
      </c>
    </row>
    <row r="123" spans="1:25">
      <c r="A123" s="216">
        <v>3</v>
      </c>
      <c r="B123" s="217" t="str">
        <f>VLOOKUP(Tabel10[[#This Row],[Code]],Ruimtegroepen[[Code]:[Ruimte omschrijving]],2,FALSE)</f>
        <v>Reproruimte</v>
      </c>
      <c r="C123" s="218" t="s">
        <v>399</v>
      </c>
      <c r="D123" s="217" t="s">
        <v>1</v>
      </c>
      <c r="E123" s="219" t="s">
        <v>1325</v>
      </c>
      <c r="F123" s="218" t="s">
        <v>1354</v>
      </c>
      <c r="G123" s="263" t="s">
        <v>302</v>
      </c>
      <c r="H123" s="220" t="s">
        <v>302</v>
      </c>
      <c r="I123" s="220" t="s">
        <v>20</v>
      </c>
      <c r="J123" s="220" t="s">
        <v>15</v>
      </c>
      <c r="K123" s="220" t="s">
        <v>349</v>
      </c>
      <c r="L123" s="220" t="s">
        <v>302</v>
      </c>
      <c r="M123" s="220" t="s">
        <v>302</v>
      </c>
      <c r="N123" s="221" t="s">
        <v>302</v>
      </c>
      <c r="O123" s="222" t="s">
        <v>2</v>
      </c>
      <c r="P123" s="222" t="s">
        <v>2</v>
      </c>
      <c r="Q123" s="222" t="s">
        <v>15</v>
      </c>
      <c r="R123" s="222" t="s">
        <v>15</v>
      </c>
      <c r="S123" s="222" t="s">
        <v>16</v>
      </c>
      <c r="T123" s="222" t="s">
        <v>303</v>
      </c>
      <c r="U123" s="222" t="s">
        <v>269</v>
      </c>
      <c r="V123" s="222" t="s">
        <v>302</v>
      </c>
      <c r="W123" s="223" t="s">
        <v>302</v>
      </c>
      <c r="X123" s="223" t="s">
        <v>302</v>
      </c>
      <c r="Y123" s="224" t="s">
        <v>302</v>
      </c>
    </row>
    <row r="124" spans="1:25">
      <c r="A124" s="216">
        <v>3</v>
      </c>
      <c r="B124" s="217" t="str">
        <f>VLOOKUP(Tabel10[[#This Row],[Code]],Ruimtegroepen[[Code]:[Ruimte omschrijving]],2,FALSE)</f>
        <v>Reproruimte</v>
      </c>
      <c r="C124" s="218" t="s">
        <v>404</v>
      </c>
      <c r="D124" s="217" t="s">
        <v>21</v>
      </c>
      <c r="E124" s="219" t="s">
        <v>101</v>
      </c>
      <c r="F124" s="218" t="s">
        <v>405</v>
      </c>
      <c r="G124" s="263" t="s">
        <v>302</v>
      </c>
      <c r="H124" s="220" t="s">
        <v>302</v>
      </c>
      <c r="I124" s="220" t="s">
        <v>18</v>
      </c>
      <c r="J124" s="220" t="s">
        <v>15</v>
      </c>
      <c r="K124" s="220" t="s">
        <v>302</v>
      </c>
      <c r="L124" s="220" t="s">
        <v>302</v>
      </c>
      <c r="M124" s="220" t="s">
        <v>302</v>
      </c>
      <c r="N124" s="221" t="s">
        <v>302</v>
      </c>
      <c r="O124" s="222" t="s">
        <v>20</v>
      </c>
      <c r="P124" s="222" t="s">
        <v>20</v>
      </c>
      <c r="Q124" s="222" t="s">
        <v>15</v>
      </c>
      <c r="R124" s="222" t="s">
        <v>15</v>
      </c>
      <c r="S124" s="222" t="s">
        <v>16</v>
      </c>
      <c r="T124" s="222" t="s">
        <v>303</v>
      </c>
      <c r="U124" s="222" t="s">
        <v>269</v>
      </c>
      <c r="V124" s="222" t="s">
        <v>302</v>
      </c>
      <c r="W124" s="223" t="s">
        <v>302</v>
      </c>
      <c r="X124" s="223" t="s">
        <v>302</v>
      </c>
      <c r="Y124" s="224" t="s">
        <v>302</v>
      </c>
    </row>
    <row r="125" spans="1:25">
      <c r="A125" s="216">
        <v>3</v>
      </c>
      <c r="B125" s="217" t="str">
        <f>VLOOKUP(Tabel10[[#This Row],[Code]],Ruimtegroepen[[Code]:[Ruimte omschrijving]],2,FALSE)</f>
        <v>Reproruimte</v>
      </c>
      <c r="C125" s="218" t="s">
        <v>404</v>
      </c>
      <c r="D125" s="217" t="s">
        <v>21</v>
      </c>
      <c r="E125" s="219" t="s">
        <v>100</v>
      </c>
      <c r="F125" s="218" t="s">
        <v>406</v>
      </c>
      <c r="G125" s="221" t="s">
        <v>18</v>
      </c>
      <c r="H125" s="221" t="s">
        <v>15</v>
      </c>
      <c r="I125" s="220" t="s">
        <v>302</v>
      </c>
      <c r="J125" s="220" t="s">
        <v>302</v>
      </c>
      <c r="K125" s="220" t="s">
        <v>302</v>
      </c>
      <c r="L125" s="220" t="s">
        <v>302</v>
      </c>
      <c r="M125" s="220" t="s">
        <v>302</v>
      </c>
      <c r="N125" s="221" t="s">
        <v>302</v>
      </c>
      <c r="O125" s="222" t="s">
        <v>20</v>
      </c>
      <c r="P125" s="222" t="s">
        <v>20</v>
      </c>
      <c r="Q125" s="222" t="s">
        <v>15</v>
      </c>
      <c r="R125" s="222" t="s">
        <v>15</v>
      </c>
      <c r="S125" s="222" t="s">
        <v>16</v>
      </c>
      <c r="T125" s="222" t="s">
        <v>303</v>
      </c>
      <c r="U125" s="222" t="s">
        <v>269</v>
      </c>
      <c r="V125" s="222" t="s">
        <v>302</v>
      </c>
      <c r="W125" s="223" t="s">
        <v>302</v>
      </c>
      <c r="X125" s="223" t="s">
        <v>302</v>
      </c>
      <c r="Y125" s="224" t="s">
        <v>302</v>
      </c>
    </row>
    <row r="126" spans="1:25">
      <c r="A126" s="216">
        <v>3</v>
      </c>
      <c r="B126" s="217" t="str">
        <f>VLOOKUP(Tabel10[[#This Row],[Code]],Ruimtegroepen[[Code]:[Ruimte omschrijving]],2,FALSE)</f>
        <v>Reproruimte</v>
      </c>
      <c r="C126" s="218" t="s">
        <v>404</v>
      </c>
      <c r="D126" s="217" t="s">
        <v>21</v>
      </c>
      <c r="E126" s="219" t="s">
        <v>102</v>
      </c>
      <c r="F126" s="218" t="s">
        <v>407</v>
      </c>
      <c r="G126" s="263" t="s">
        <v>302</v>
      </c>
      <c r="H126" s="220" t="s">
        <v>302</v>
      </c>
      <c r="I126" s="220" t="s">
        <v>18</v>
      </c>
      <c r="J126" s="220" t="s">
        <v>15</v>
      </c>
      <c r="K126" s="220" t="s">
        <v>349</v>
      </c>
      <c r="L126" s="220" t="s">
        <v>302</v>
      </c>
      <c r="M126" s="220" t="s">
        <v>302</v>
      </c>
      <c r="N126" s="221" t="s">
        <v>302</v>
      </c>
      <c r="O126" s="222" t="s">
        <v>20</v>
      </c>
      <c r="P126" s="222" t="s">
        <v>20</v>
      </c>
      <c r="Q126" s="222" t="s">
        <v>15</v>
      </c>
      <c r="R126" s="222" t="s">
        <v>15</v>
      </c>
      <c r="S126" s="222" t="s">
        <v>16</v>
      </c>
      <c r="T126" s="222" t="s">
        <v>303</v>
      </c>
      <c r="U126" s="222" t="s">
        <v>269</v>
      </c>
      <c r="V126" s="222" t="s">
        <v>302</v>
      </c>
      <c r="W126" s="223" t="s">
        <v>302</v>
      </c>
      <c r="X126" s="223" t="s">
        <v>302</v>
      </c>
      <c r="Y126" s="224" t="s">
        <v>302</v>
      </c>
    </row>
    <row r="127" spans="1:25">
      <c r="A127" s="216">
        <v>3</v>
      </c>
      <c r="B127" s="217" t="str">
        <f>VLOOKUP(Tabel10[[#This Row],[Code]],Ruimtegroepen[[Code]:[Ruimte omschrijving]],2,FALSE)</f>
        <v>Reproruimte</v>
      </c>
      <c r="C127" s="218" t="s">
        <v>404</v>
      </c>
      <c r="D127" s="217" t="s">
        <v>21</v>
      </c>
      <c r="E127" s="219" t="s">
        <v>103</v>
      </c>
      <c r="F127" s="218" t="s">
        <v>408</v>
      </c>
      <c r="G127" s="263" t="s">
        <v>302</v>
      </c>
      <c r="H127" s="220" t="s">
        <v>302</v>
      </c>
      <c r="I127" s="220" t="s">
        <v>18</v>
      </c>
      <c r="J127" s="220" t="s">
        <v>15</v>
      </c>
      <c r="K127" s="220" t="s">
        <v>349</v>
      </c>
      <c r="L127" s="220" t="s">
        <v>302</v>
      </c>
      <c r="M127" s="220" t="s">
        <v>302</v>
      </c>
      <c r="N127" s="221" t="s">
        <v>302</v>
      </c>
      <c r="O127" s="222" t="s">
        <v>20</v>
      </c>
      <c r="P127" s="222" t="s">
        <v>20</v>
      </c>
      <c r="Q127" s="222" t="s">
        <v>15</v>
      </c>
      <c r="R127" s="222" t="s">
        <v>15</v>
      </c>
      <c r="S127" s="222" t="s">
        <v>16</v>
      </c>
      <c r="T127" s="222" t="s">
        <v>303</v>
      </c>
      <c r="U127" s="222" t="s">
        <v>269</v>
      </c>
      <c r="V127" s="222" t="s">
        <v>302</v>
      </c>
      <c r="W127" s="223" t="s">
        <v>302</v>
      </c>
      <c r="X127" s="223" t="s">
        <v>302</v>
      </c>
      <c r="Y127" s="224" t="s">
        <v>302</v>
      </c>
    </row>
    <row r="128" spans="1:25">
      <c r="A128" s="216">
        <v>3</v>
      </c>
      <c r="B128" s="217" t="str">
        <f>VLOOKUP(Tabel10[[#This Row],[Code]],Ruimtegroepen[[Code]:[Ruimte omschrijving]],2,FALSE)</f>
        <v>Reproruimte</v>
      </c>
      <c r="C128" s="218" t="s">
        <v>404</v>
      </c>
      <c r="D128" s="217" t="s">
        <v>21</v>
      </c>
      <c r="E128" s="219" t="s">
        <v>100</v>
      </c>
      <c r="F128" s="218" t="s">
        <v>406</v>
      </c>
      <c r="G128" s="221" t="s">
        <v>18</v>
      </c>
      <c r="H128" s="221" t="s">
        <v>15</v>
      </c>
      <c r="I128" s="220" t="s">
        <v>302</v>
      </c>
      <c r="J128" s="220" t="s">
        <v>302</v>
      </c>
      <c r="K128" s="220" t="s">
        <v>302</v>
      </c>
      <c r="L128" s="220" t="s">
        <v>302</v>
      </c>
      <c r="M128" s="220" t="s">
        <v>302</v>
      </c>
      <c r="N128" s="221" t="s">
        <v>302</v>
      </c>
      <c r="O128" s="222" t="s">
        <v>302</v>
      </c>
      <c r="P128" s="222" t="s">
        <v>302</v>
      </c>
      <c r="Q128" s="222" t="s">
        <v>302</v>
      </c>
      <c r="R128" s="222" t="s">
        <v>302</v>
      </c>
      <c r="S128" s="222" t="s">
        <v>302</v>
      </c>
      <c r="T128" s="222" t="s">
        <v>302</v>
      </c>
      <c r="U128" s="222" t="s">
        <v>302</v>
      </c>
      <c r="V128" s="222" t="s">
        <v>302</v>
      </c>
      <c r="W128" s="223" t="s">
        <v>302</v>
      </c>
      <c r="X128" s="223" t="s">
        <v>302</v>
      </c>
      <c r="Y128" s="224" t="s">
        <v>302</v>
      </c>
    </row>
    <row r="129" spans="1:25">
      <c r="A129" s="216">
        <v>3</v>
      </c>
      <c r="B129" s="217" t="str">
        <f>VLOOKUP(Tabel10[[#This Row],[Code]],Ruimtegroepen[[Code]:[Ruimte omschrijving]],2,FALSE)</f>
        <v>Reproruimte</v>
      </c>
      <c r="C129" s="218" t="s">
        <v>404</v>
      </c>
      <c r="D129" s="217" t="s">
        <v>21</v>
      </c>
      <c r="E129" s="219" t="s">
        <v>1325</v>
      </c>
      <c r="F129" s="218" t="s">
        <v>1355</v>
      </c>
      <c r="G129" s="263" t="s">
        <v>302</v>
      </c>
      <c r="H129" s="220" t="s">
        <v>302</v>
      </c>
      <c r="I129" s="220" t="s">
        <v>18</v>
      </c>
      <c r="J129" s="220" t="s">
        <v>15</v>
      </c>
      <c r="K129" s="220" t="s">
        <v>349</v>
      </c>
      <c r="L129" s="220" t="s">
        <v>302</v>
      </c>
      <c r="M129" s="220" t="s">
        <v>302</v>
      </c>
      <c r="N129" s="221" t="s">
        <v>302</v>
      </c>
      <c r="O129" s="222" t="s">
        <v>20</v>
      </c>
      <c r="P129" s="222" t="s">
        <v>20</v>
      </c>
      <c r="Q129" s="222" t="s">
        <v>15</v>
      </c>
      <c r="R129" s="222" t="s">
        <v>15</v>
      </c>
      <c r="S129" s="222" t="s">
        <v>16</v>
      </c>
      <c r="T129" s="222" t="s">
        <v>303</v>
      </c>
      <c r="U129" s="222" t="s">
        <v>269</v>
      </c>
      <c r="V129" s="222" t="s">
        <v>302</v>
      </c>
      <c r="W129" s="223" t="s">
        <v>302</v>
      </c>
      <c r="X129" s="223" t="s">
        <v>302</v>
      </c>
      <c r="Y129" s="224" t="s">
        <v>302</v>
      </c>
    </row>
    <row r="130" spans="1:25">
      <c r="A130" s="216">
        <v>3</v>
      </c>
      <c r="B130" s="217" t="str">
        <f>VLOOKUP(Tabel10[[#This Row],[Code]],Ruimtegroepen[[Code]:[Ruimte omschrijving]],2,FALSE)</f>
        <v>Reproruimte</v>
      </c>
      <c r="C130" s="218" t="s">
        <v>409</v>
      </c>
      <c r="D130" s="217" t="s">
        <v>12</v>
      </c>
      <c r="E130" s="219" t="s">
        <v>101</v>
      </c>
      <c r="F130" s="218" t="s">
        <v>410</v>
      </c>
      <c r="G130" s="263" t="s">
        <v>302</v>
      </c>
      <c r="H130" s="220" t="s">
        <v>302</v>
      </c>
      <c r="I130" s="220" t="s">
        <v>17</v>
      </c>
      <c r="J130" s="220" t="s">
        <v>15</v>
      </c>
      <c r="K130" s="220" t="s">
        <v>302</v>
      </c>
      <c r="L130" s="220" t="s">
        <v>302</v>
      </c>
      <c r="M130" s="220" t="s">
        <v>302</v>
      </c>
      <c r="N130" s="221" t="s">
        <v>302</v>
      </c>
      <c r="O130" s="222" t="s">
        <v>18</v>
      </c>
      <c r="P130" s="222" t="s">
        <v>18</v>
      </c>
      <c r="Q130" s="222" t="s">
        <v>15</v>
      </c>
      <c r="R130" s="222" t="s">
        <v>15</v>
      </c>
      <c r="S130" s="222" t="s">
        <v>16</v>
      </c>
      <c r="T130" s="222" t="s">
        <v>303</v>
      </c>
      <c r="U130" s="222" t="s">
        <v>269</v>
      </c>
      <c r="V130" s="222" t="s">
        <v>302</v>
      </c>
      <c r="W130" s="223" t="s">
        <v>302</v>
      </c>
      <c r="X130" s="223" t="s">
        <v>302</v>
      </c>
      <c r="Y130" s="224" t="s">
        <v>302</v>
      </c>
    </row>
    <row r="131" spans="1:25">
      <c r="A131" s="216">
        <v>3</v>
      </c>
      <c r="B131" s="217" t="str">
        <f>VLOOKUP(Tabel10[[#This Row],[Code]],Ruimtegroepen[[Code]:[Ruimte omschrijving]],2,FALSE)</f>
        <v>Reproruimte</v>
      </c>
      <c r="C131" s="218" t="s">
        <v>409</v>
      </c>
      <c r="D131" s="217" t="s">
        <v>12</v>
      </c>
      <c r="E131" s="219" t="s">
        <v>100</v>
      </c>
      <c r="F131" s="218" t="s">
        <v>411</v>
      </c>
      <c r="G131" s="221" t="s">
        <v>17</v>
      </c>
      <c r="H131" s="221" t="s">
        <v>15</v>
      </c>
      <c r="I131" s="220" t="s">
        <v>302</v>
      </c>
      <c r="J131" s="220" t="s">
        <v>302</v>
      </c>
      <c r="K131" s="220" t="s">
        <v>302</v>
      </c>
      <c r="L131" s="220" t="s">
        <v>302</v>
      </c>
      <c r="M131" s="220" t="s">
        <v>302</v>
      </c>
      <c r="N131" s="221" t="s">
        <v>302</v>
      </c>
      <c r="O131" s="222" t="s">
        <v>18</v>
      </c>
      <c r="P131" s="222" t="s">
        <v>18</v>
      </c>
      <c r="Q131" s="222" t="s">
        <v>15</v>
      </c>
      <c r="R131" s="222" t="s">
        <v>15</v>
      </c>
      <c r="S131" s="222" t="s">
        <v>16</v>
      </c>
      <c r="T131" s="222" t="s">
        <v>303</v>
      </c>
      <c r="U131" s="222" t="s">
        <v>269</v>
      </c>
      <c r="V131" s="222" t="s">
        <v>302</v>
      </c>
      <c r="W131" s="223" t="s">
        <v>302</v>
      </c>
      <c r="X131" s="223" t="s">
        <v>302</v>
      </c>
      <c r="Y131" s="224" t="s">
        <v>302</v>
      </c>
    </row>
    <row r="132" spans="1:25">
      <c r="A132" s="216">
        <v>3</v>
      </c>
      <c r="B132" s="217" t="str">
        <f>VLOOKUP(Tabel10[[#This Row],[Code]],Ruimtegroepen[[Code]:[Ruimte omschrijving]],2,FALSE)</f>
        <v>Reproruimte</v>
      </c>
      <c r="C132" s="218" t="s">
        <v>409</v>
      </c>
      <c r="D132" s="217" t="s">
        <v>12</v>
      </c>
      <c r="E132" s="219" t="s">
        <v>102</v>
      </c>
      <c r="F132" s="218" t="s">
        <v>412</v>
      </c>
      <c r="G132" s="263" t="s">
        <v>302</v>
      </c>
      <c r="H132" s="220" t="s">
        <v>302</v>
      </c>
      <c r="I132" s="220" t="s">
        <v>17</v>
      </c>
      <c r="J132" s="220" t="s">
        <v>15</v>
      </c>
      <c r="K132" s="220" t="s">
        <v>349</v>
      </c>
      <c r="L132" s="220" t="s">
        <v>302</v>
      </c>
      <c r="M132" s="220" t="s">
        <v>302</v>
      </c>
      <c r="N132" s="221" t="s">
        <v>302</v>
      </c>
      <c r="O132" s="222" t="s">
        <v>18</v>
      </c>
      <c r="P132" s="222" t="s">
        <v>18</v>
      </c>
      <c r="Q132" s="222" t="s">
        <v>15</v>
      </c>
      <c r="R132" s="222" t="s">
        <v>15</v>
      </c>
      <c r="S132" s="222" t="s">
        <v>16</v>
      </c>
      <c r="T132" s="222" t="s">
        <v>303</v>
      </c>
      <c r="U132" s="222" t="s">
        <v>269</v>
      </c>
      <c r="V132" s="222" t="s">
        <v>302</v>
      </c>
      <c r="W132" s="223" t="s">
        <v>302</v>
      </c>
      <c r="X132" s="223" t="s">
        <v>302</v>
      </c>
      <c r="Y132" s="224" t="s">
        <v>302</v>
      </c>
    </row>
    <row r="133" spans="1:25">
      <c r="A133" s="216">
        <v>3</v>
      </c>
      <c r="B133" s="217" t="str">
        <f>VLOOKUP(Tabel10[[#This Row],[Code]],Ruimtegroepen[[Code]:[Ruimte omschrijving]],2,FALSE)</f>
        <v>Reproruimte</v>
      </c>
      <c r="C133" s="218" t="s">
        <v>409</v>
      </c>
      <c r="D133" s="217" t="s">
        <v>12</v>
      </c>
      <c r="E133" s="219" t="s">
        <v>103</v>
      </c>
      <c r="F133" s="218" t="s">
        <v>413</v>
      </c>
      <c r="G133" s="263" t="s">
        <v>302</v>
      </c>
      <c r="H133" s="220" t="s">
        <v>302</v>
      </c>
      <c r="I133" s="220" t="s">
        <v>17</v>
      </c>
      <c r="J133" s="220" t="s">
        <v>15</v>
      </c>
      <c r="K133" s="220" t="s">
        <v>349</v>
      </c>
      <c r="L133" s="220" t="s">
        <v>302</v>
      </c>
      <c r="M133" s="220" t="s">
        <v>302</v>
      </c>
      <c r="N133" s="221" t="s">
        <v>302</v>
      </c>
      <c r="O133" s="222" t="s">
        <v>18</v>
      </c>
      <c r="P133" s="222" t="s">
        <v>18</v>
      </c>
      <c r="Q133" s="222" t="s">
        <v>15</v>
      </c>
      <c r="R133" s="222" t="s">
        <v>15</v>
      </c>
      <c r="S133" s="222" t="s">
        <v>16</v>
      </c>
      <c r="T133" s="222" t="s">
        <v>303</v>
      </c>
      <c r="U133" s="222" t="s">
        <v>269</v>
      </c>
      <c r="V133" s="222" t="s">
        <v>302</v>
      </c>
      <c r="W133" s="223" t="s">
        <v>302</v>
      </c>
      <c r="X133" s="223" t="s">
        <v>302</v>
      </c>
      <c r="Y133" s="224" t="s">
        <v>302</v>
      </c>
    </row>
    <row r="134" spans="1:25">
      <c r="A134" s="216">
        <v>3</v>
      </c>
      <c r="B134" s="217" t="str">
        <f>VLOOKUP(Tabel10[[#This Row],[Code]],Ruimtegroepen[[Code]:[Ruimte omschrijving]],2,FALSE)</f>
        <v>Reproruimte</v>
      </c>
      <c r="C134" s="218" t="s">
        <v>409</v>
      </c>
      <c r="D134" s="217" t="s">
        <v>12</v>
      </c>
      <c r="E134" s="219" t="s">
        <v>100</v>
      </c>
      <c r="F134" s="218" t="s">
        <v>411</v>
      </c>
      <c r="G134" s="221" t="s">
        <v>17</v>
      </c>
      <c r="H134" s="221" t="s">
        <v>15</v>
      </c>
      <c r="I134" s="220" t="s">
        <v>302</v>
      </c>
      <c r="J134" s="220" t="s">
        <v>302</v>
      </c>
      <c r="K134" s="220" t="s">
        <v>302</v>
      </c>
      <c r="L134" s="220" t="s">
        <v>302</v>
      </c>
      <c r="M134" s="220" t="s">
        <v>302</v>
      </c>
      <c r="N134" s="221" t="s">
        <v>302</v>
      </c>
      <c r="O134" s="222" t="s">
        <v>302</v>
      </c>
      <c r="P134" s="222" t="s">
        <v>302</v>
      </c>
      <c r="Q134" s="222" t="s">
        <v>302</v>
      </c>
      <c r="R134" s="222" t="s">
        <v>302</v>
      </c>
      <c r="S134" s="222" t="s">
        <v>302</v>
      </c>
      <c r="T134" s="222" t="s">
        <v>302</v>
      </c>
      <c r="U134" s="222" t="s">
        <v>302</v>
      </c>
      <c r="V134" s="222" t="s">
        <v>302</v>
      </c>
      <c r="W134" s="223" t="s">
        <v>302</v>
      </c>
      <c r="X134" s="223" t="s">
        <v>302</v>
      </c>
      <c r="Y134" s="224" t="s">
        <v>302</v>
      </c>
    </row>
    <row r="135" spans="1:25">
      <c r="A135" s="216">
        <v>3</v>
      </c>
      <c r="B135" s="217" t="str">
        <f>VLOOKUP(Tabel10[[#This Row],[Code]],Ruimtegroepen[[Code]:[Ruimte omschrijving]],2,FALSE)</f>
        <v>Reproruimte</v>
      </c>
      <c r="C135" s="218" t="s">
        <v>409</v>
      </c>
      <c r="D135" s="217" t="s">
        <v>12</v>
      </c>
      <c r="E135" s="219" t="s">
        <v>1325</v>
      </c>
      <c r="F135" s="218" t="s">
        <v>1356</v>
      </c>
      <c r="G135" s="263" t="s">
        <v>302</v>
      </c>
      <c r="H135" s="220" t="s">
        <v>302</v>
      </c>
      <c r="I135" s="220" t="s">
        <v>17</v>
      </c>
      <c r="J135" s="220" t="s">
        <v>15</v>
      </c>
      <c r="K135" s="220" t="s">
        <v>349</v>
      </c>
      <c r="L135" s="220" t="s">
        <v>302</v>
      </c>
      <c r="M135" s="220" t="s">
        <v>302</v>
      </c>
      <c r="N135" s="221" t="s">
        <v>302</v>
      </c>
      <c r="O135" s="222" t="s">
        <v>18</v>
      </c>
      <c r="P135" s="222" t="s">
        <v>18</v>
      </c>
      <c r="Q135" s="222" t="s">
        <v>15</v>
      </c>
      <c r="R135" s="222" t="s">
        <v>15</v>
      </c>
      <c r="S135" s="222" t="s">
        <v>16</v>
      </c>
      <c r="T135" s="222" t="s">
        <v>303</v>
      </c>
      <c r="U135" s="222" t="s">
        <v>269</v>
      </c>
      <c r="V135" s="222" t="s">
        <v>302</v>
      </c>
      <c r="W135" s="223" t="s">
        <v>302</v>
      </c>
      <c r="X135" s="223" t="s">
        <v>302</v>
      </c>
      <c r="Y135" s="224" t="s">
        <v>302</v>
      </c>
    </row>
    <row r="136" spans="1:25">
      <c r="A136" s="216">
        <v>3</v>
      </c>
      <c r="B136" s="217" t="str">
        <f>VLOOKUP(Tabel10[[#This Row],[Code]],Ruimtegroepen[[Code]:[Ruimte omschrijving]],2,FALSE)</f>
        <v>Reproruimte</v>
      </c>
      <c r="C136" s="218" t="s">
        <v>414</v>
      </c>
      <c r="D136" s="217" t="s">
        <v>14</v>
      </c>
      <c r="E136" s="219" t="s">
        <v>101</v>
      </c>
      <c r="F136" s="218" t="s">
        <v>415</v>
      </c>
      <c r="G136" s="263" t="s">
        <v>302</v>
      </c>
      <c r="H136" s="220" t="s">
        <v>302</v>
      </c>
      <c r="I136" s="220" t="s">
        <v>15</v>
      </c>
      <c r="J136" s="220" t="s">
        <v>15</v>
      </c>
      <c r="K136" s="220" t="s">
        <v>302</v>
      </c>
      <c r="L136" s="220" t="s">
        <v>302</v>
      </c>
      <c r="M136" s="220" t="s">
        <v>302</v>
      </c>
      <c r="N136" s="221" t="s">
        <v>302</v>
      </c>
      <c r="O136" s="222" t="s">
        <v>17</v>
      </c>
      <c r="P136" s="222" t="s">
        <v>17</v>
      </c>
      <c r="Q136" s="222" t="s">
        <v>15</v>
      </c>
      <c r="R136" s="222" t="s">
        <v>15</v>
      </c>
      <c r="S136" s="222" t="s">
        <v>16</v>
      </c>
      <c r="T136" s="222" t="s">
        <v>303</v>
      </c>
      <c r="U136" s="222" t="s">
        <v>269</v>
      </c>
      <c r="V136" s="222" t="s">
        <v>302</v>
      </c>
      <c r="W136" s="223" t="s">
        <v>302</v>
      </c>
      <c r="X136" s="223" t="s">
        <v>302</v>
      </c>
      <c r="Y136" s="224" t="s">
        <v>302</v>
      </c>
    </row>
    <row r="137" spans="1:25">
      <c r="A137" s="216">
        <v>3</v>
      </c>
      <c r="B137" s="217" t="str">
        <f>VLOOKUP(Tabel10[[#This Row],[Code]],Ruimtegroepen[[Code]:[Ruimte omschrijving]],2,FALSE)</f>
        <v>Reproruimte</v>
      </c>
      <c r="C137" s="218" t="s">
        <v>414</v>
      </c>
      <c r="D137" s="217" t="s">
        <v>14</v>
      </c>
      <c r="E137" s="219" t="s">
        <v>100</v>
      </c>
      <c r="F137" s="218" t="s">
        <v>416</v>
      </c>
      <c r="G137" s="221" t="s">
        <v>15</v>
      </c>
      <c r="H137" s="221" t="s">
        <v>15</v>
      </c>
      <c r="I137" s="220" t="s">
        <v>302</v>
      </c>
      <c r="J137" s="220" t="s">
        <v>302</v>
      </c>
      <c r="K137" s="220" t="s">
        <v>302</v>
      </c>
      <c r="L137" s="220" t="s">
        <v>302</v>
      </c>
      <c r="M137" s="220" t="s">
        <v>302</v>
      </c>
      <c r="N137" s="221" t="s">
        <v>302</v>
      </c>
      <c r="O137" s="222" t="s">
        <v>17</v>
      </c>
      <c r="P137" s="222" t="s">
        <v>17</v>
      </c>
      <c r="Q137" s="222" t="s">
        <v>15</v>
      </c>
      <c r="R137" s="222" t="s">
        <v>15</v>
      </c>
      <c r="S137" s="222" t="s">
        <v>16</v>
      </c>
      <c r="T137" s="222" t="s">
        <v>303</v>
      </c>
      <c r="U137" s="222" t="s">
        <v>269</v>
      </c>
      <c r="V137" s="222" t="s">
        <v>302</v>
      </c>
      <c r="W137" s="223" t="s">
        <v>302</v>
      </c>
      <c r="X137" s="223" t="s">
        <v>302</v>
      </c>
      <c r="Y137" s="224" t="s">
        <v>302</v>
      </c>
    </row>
    <row r="138" spans="1:25">
      <c r="A138" s="216">
        <v>3</v>
      </c>
      <c r="B138" s="217" t="str">
        <f>VLOOKUP(Tabel10[[#This Row],[Code]],Ruimtegroepen[[Code]:[Ruimte omschrijving]],2,FALSE)</f>
        <v>Reproruimte</v>
      </c>
      <c r="C138" s="218" t="s">
        <v>414</v>
      </c>
      <c r="D138" s="217" t="s">
        <v>14</v>
      </c>
      <c r="E138" s="219" t="s">
        <v>102</v>
      </c>
      <c r="F138" s="218" t="s">
        <v>417</v>
      </c>
      <c r="G138" s="263" t="s">
        <v>302</v>
      </c>
      <c r="H138" s="220" t="s">
        <v>302</v>
      </c>
      <c r="I138" s="220" t="s">
        <v>15</v>
      </c>
      <c r="J138" s="220" t="s">
        <v>15</v>
      </c>
      <c r="K138" s="220" t="s">
        <v>349</v>
      </c>
      <c r="L138" s="220" t="s">
        <v>302</v>
      </c>
      <c r="M138" s="220" t="s">
        <v>302</v>
      </c>
      <c r="N138" s="221" t="s">
        <v>302</v>
      </c>
      <c r="O138" s="222" t="s">
        <v>17</v>
      </c>
      <c r="P138" s="222" t="s">
        <v>17</v>
      </c>
      <c r="Q138" s="222" t="s">
        <v>15</v>
      </c>
      <c r="R138" s="222" t="s">
        <v>15</v>
      </c>
      <c r="S138" s="222" t="s">
        <v>16</v>
      </c>
      <c r="T138" s="222" t="s">
        <v>303</v>
      </c>
      <c r="U138" s="222" t="s">
        <v>269</v>
      </c>
      <c r="V138" s="222" t="s">
        <v>302</v>
      </c>
      <c r="W138" s="223" t="s">
        <v>302</v>
      </c>
      <c r="X138" s="223" t="s">
        <v>302</v>
      </c>
      <c r="Y138" s="224" t="s">
        <v>302</v>
      </c>
    </row>
    <row r="139" spans="1:25">
      <c r="A139" s="216">
        <v>3</v>
      </c>
      <c r="B139" s="217" t="str">
        <f>VLOOKUP(Tabel10[[#This Row],[Code]],Ruimtegroepen[[Code]:[Ruimte omschrijving]],2,FALSE)</f>
        <v>Reproruimte</v>
      </c>
      <c r="C139" s="218" t="s">
        <v>414</v>
      </c>
      <c r="D139" s="217" t="s">
        <v>14</v>
      </c>
      <c r="E139" s="219" t="s">
        <v>103</v>
      </c>
      <c r="F139" s="218" t="s">
        <v>418</v>
      </c>
      <c r="G139" s="263" t="s">
        <v>302</v>
      </c>
      <c r="H139" s="220" t="s">
        <v>302</v>
      </c>
      <c r="I139" s="220" t="s">
        <v>15</v>
      </c>
      <c r="J139" s="220" t="s">
        <v>15</v>
      </c>
      <c r="K139" s="220" t="s">
        <v>349</v>
      </c>
      <c r="L139" s="220" t="s">
        <v>302</v>
      </c>
      <c r="M139" s="220" t="s">
        <v>302</v>
      </c>
      <c r="N139" s="221" t="s">
        <v>302</v>
      </c>
      <c r="O139" s="222" t="s">
        <v>17</v>
      </c>
      <c r="P139" s="222" t="s">
        <v>17</v>
      </c>
      <c r="Q139" s="222" t="s">
        <v>15</v>
      </c>
      <c r="R139" s="222" t="s">
        <v>15</v>
      </c>
      <c r="S139" s="222" t="s">
        <v>16</v>
      </c>
      <c r="T139" s="222" t="s">
        <v>303</v>
      </c>
      <c r="U139" s="222" t="s">
        <v>269</v>
      </c>
      <c r="V139" s="222" t="s">
        <v>302</v>
      </c>
      <c r="W139" s="223" t="s">
        <v>302</v>
      </c>
      <c r="X139" s="223" t="s">
        <v>302</v>
      </c>
      <c r="Y139" s="224" t="s">
        <v>302</v>
      </c>
    </row>
    <row r="140" spans="1:25">
      <c r="A140" s="216">
        <v>3</v>
      </c>
      <c r="B140" s="217" t="str">
        <f>VLOOKUP(Tabel10[[#This Row],[Code]],Ruimtegroepen[[Code]:[Ruimte omschrijving]],2,FALSE)</f>
        <v>Reproruimte</v>
      </c>
      <c r="C140" s="218" t="s">
        <v>414</v>
      </c>
      <c r="D140" s="217" t="s">
        <v>14</v>
      </c>
      <c r="E140" s="219" t="s">
        <v>100</v>
      </c>
      <c r="F140" s="218" t="s">
        <v>416</v>
      </c>
      <c r="G140" s="221" t="s">
        <v>15</v>
      </c>
      <c r="H140" s="221" t="s">
        <v>15</v>
      </c>
      <c r="I140" s="220" t="s">
        <v>302</v>
      </c>
      <c r="J140" s="220" t="s">
        <v>302</v>
      </c>
      <c r="K140" s="220" t="s">
        <v>302</v>
      </c>
      <c r="L140" s="220" t="s">
        <v>302</v>
      </c>
      <c r="M140" s="220" t="s">
        <v>302</v>
      </c>
      <c r="N140" s="221" t="s">
        <v>302</v>
      </c>
      <c r="O140" s="222" t="s">
        <v>302</v>
      </c>
      <c r="P140" s="222" t="s">
        <v>302</v>
      </c>
      <c r="Q140" s="222" t="s">
        <v>302</v>
      </c>
      <c r="R140" s="222" t="s">
        <v>302</v>
      </c>
      <c r="S140" s="222" t="s">
        <v>302</v>
      </c>
      <c r="T140" s="222" t="s">
        <v>302</v>
      </c>
      <c r="U140" s="222" t="s">
        <v>302</v>
      </c>
      <c r="V140" s="222" t="s">
        <v>302</v>
      </c>
      <c r="W140" s="223" t="s">
        <v>302</v>
      </c>
      <c r="X140" s="223" t="s">
        <v>302</v>
      </c>
      <c r="Y140" s="224" t="s">
        <v>302</v>
      </c>
    </row>
    <row r="141" spans="1:25">
      <c r="A141" s="216">
        <v>3</v>
      </c>
      <c r="B141" s="217" t="str">
        <f>VLOOKUP(Tabel10[[#This Row],[Code]],Ruimtegroepen[[Code]:[Ruimte omschrijving]],2,FALSE)</f>
        <v>Reproruimte</v>
      </c>
      <c r="C141" s="218" t="s">
        <v>414</v>
      </c>
      <c r="D141" s="217" t="s">
        <v>14</v>
      </c>
      <c r="E141" s="219" t="s">
        <v>1325</v>
      </c>
      <c r="F141" s="218" t="s">
        <v>1357</v>
      </c>
      <c r="G141" s="263" t="s">
        <v>302</v>
      </c>
      <c r="H141" s="220" t="s">
        <v>302</v>
      </c>
      <c r="I141" s="220" t="s">
        <v>15</v>
      </c>
      <c r="J141" s="220" t="s">
        <v>15</v>
      </c>
      <c r="K141" s="220" t="s">
        <v>349</v>
      </c>
      <c r="L141" s="220" t="s">
        <v>302</v>
      </c>
      <c r="M141" s="220" t="s">
        <v>302</v>
      </c>
      <c r="N141" s="221" t="s">
        <v>302</v>
      </c>
      <c r="O141" s="222" t="s">
        <v>17</v>
      </c>
      <c r="P141" s="222" t="s">
        <v>17</v>
      </c>
      <c r="Q141" s="222" t="s">
        <v>15</v>
      </c>
      <c r="R141" s="222" t="s">
        <v>15</v>
      </c>
      <c r="S141" s="222" t="s">
        <v>16</v>
      </c>
      <c r="T141" s="222" t="s">
        <v>303</v>
      </c>
      <c r="U141" s="222" t="s">
        <v>269</v>
      </c>
      <c r="V141" s="222" t="s">
        <v>302</v>
      </c>
      <c r="W141" s="223" t="s">
        <v>302</v>
      </c>
      <c r="X141" s="223" t="s">
        <v>302</v>
      </c>
      <c r="Y141" s="224" t="s">
        <v>302</v>
      </c>
    </row>
    <row r="142" spans="1:25">
      <c r="A142" s="216">
        <v>3</v>
      </c>
      <c r="B142" s="217" t="str">
        <f>VLOOKUP(Tabel10[[#This Row],[Code]],Ruimtegroepen[[Code]:[Ruimte omschrijving]],2,FALSE)</f>
        <v>Reproruimte</v>
      </c>
      <c r="C142" s="218" t="s">
        <v>419</v>
      </c>
      <c r="D142" s="217" t="s">
        <v>13</v>
      </c>
      <c r="E142" s="219" t="s">
        <v>101</v>
      </c>
      <c r="F142" s="218" t="s">
        <v>420</v>
      </c>
      <c r="G142" s="263" t="s">
        <v>302</v>
      </c>
      <c r="H142" s="220" t="s">
        <v>302</v>
      </c>
      <c r="I142" s="220" t="s">
        <v>302</v>
      </c>
      <c r="J142" s="220" t="s">
        <v>15</v>
      </c>
      <c r="K142" s="220" t="s">
        <v>302</v>
      </c>
      <c r="L142" s="220" t="s">
        <v>302</v>
      </c>
      <c r="M142" s="220" t="s">
        <v>302</v>
      </c>
      <c r="N142" s="221" t="s">
        <v>302</v>
      </c>
      <c r="O142" s="222" t="s">
        <v>15</v>
      </c>
      <c r="P142" s="222" t="s">
        <v>15</v>
      </c>
      <c r="Q142" s="222" t="s">
        <v>15</v>
      </c>
      <c r="R142" s="222" t="s">
        <v>15</v>
      </c>
      <c r="S142" s="222" t="s">
        <v>16</v>
      </c>
      <c r="T142" s="222" t="s">
        <v>303</v>
      </c>
      <c r="U142" s="222" t="s">
        <v>269</v>
      </c>
      <c r="V142" s="222" t="s">
        <v>302</v>
      </c>
      <c r="W142" s="223" t="s">
        <v>302</v>
      </c>
      <c r="X142" s="223" t="s">
        <v>302</v>
      </c>
      <c r="Y142" s="224" t="s">
        <v>302</v>
      </c>
    </row>
    <row r="143" spans="1:25">
      <c r="A143" s="216">
        <v>3</v>
      </c>
      <c r="B143" s="217" t="str">
        <f>VLOOKUP(Tabel10[[#This Row],[Code]],Ruimtegroepen[[Code]:[Ruimte omschrijving]],2,FALSE)</f>
        <v>Reproruimte</v>
      </c>
      <c r="C143" s="218" t="s">
        <v>419</v>
      </c>
      <c r="D143" s="217" t="s">
        <v>13</v>
      </c>
      <c r="E143" s="219" t="s">
        <v>100</v>
      </c>
      <c r="F143" s="218" t="s">
        <v>421</v>
      </c>
      <c r="G143" s="263" t="s">
        <v>302</v>
      </c>
      <c r="H143" s="221" t="s">
        <v>15</v>
      </c>
      <c r="I143" s="220" t="s">
        <v>302</v>
      </c>
      <c r="J143" s="220" t="s">
        <v>302</v>
      </c>
      <c r="K143" s="220" t="s">
        <v>302</v>
      </c>
      <c r="L143" s="220" t="s">
        <v>302</v>
      </c>
      <c r="M143" s="220" t="s">
        <v>302</v>
      </c>
      <c r="N143" s="221" t="s">
        <v>302</v>
      </c>
      <c r="O143" s="222" t="s">
        <v>15</v>
      </c>
      <c r="P143" s="222" t="s">
        <v>15</v>
      </c>
      <c r="Q143" s="222" t="s">
        <v>15</v>
      </c>
      <c r="R143" s="222" t="s">
        <v>15</v>
      </c>
      <c r="S143" s="222" t="s">
        <v>16</v>
      </c>
      <c r="T143" s="222" t="s">
        <v>303</v>
      </c>
      <c r="U143" s="222" t="s">
        <v>269</v>
      </c>
      <c r="V143" s="222" t="s">
        <v>302</v>
      </c>
      <c r="W143" s="223" t="s">
        <v>302</v>
      </c>
      <c r="X143" s="223" t="s">
        <v>302</v>
      </c>
      <c r="Y143" s="224" t="s">
        <v>302</v>
      </c>
    </row>
    <row r="144" spans="1:25">
      <c r="A144" s="216">
        <v>3</v>
      </c>
      <c r="B144" s="217" t="str">
        <f>VLOOKUP(Tabel10[[#This Row],[Code]],Ruimtegroepen[[Code]:[Ruimte omschrijving]],2,FALSE)</f>
        <v>Reproruimte</v>
      </c>
      <c r="C144" s="218" t="s">
        <v>419</v>
      </c>
      <c r="D144" s="217" t="s">
        <v>13</v>
      </c>
      <c r="E144" s="219" t="s">
        <v>102</v>
      </c>
      <c r="F144" s="218" t="s">
        <v>422</v>
      </c>
      <c r="G144" s="263" t="s">
        <v>302</v>
      </c>
      <c r="H144" s="220" t="s">
        <v>302</v>
      </c>
      <c r="I144" s="220" t="s">
        <v>302</v>
      </c>
      <c r="J144" s="220" t="s">
        <v>15</v>
      </c>
      <c r="K144" s="220" t="s">
        <v>349</v>
      </c>
      <c r="L144" s="220" t="s">
        <v>302</v>
      </c>
      <c r="M144" s="220" t="s">
        <v>302</v>
      </c>
      <c r="N144" s="221" t="s">
        <v>302</v>
      </c>
      <c r="O144" s="222" t="s">
        <v>15</v>
      </c>
      <c r="P144" s="222" t="s">
        <v>15</v>
      </c>
      <c r="Q144" s="222" t="s">
        <v>15</v>
      </c>
      <c r="R144" s="222" t="s">
        <v>15</v>
      </c>
      <c r="S144" s="222" t="s">
        <v>16</v>
      </c>
      <c r="T144" s="222" t="s">
        <v>303</v>
      </c>
      <c r="U144" s="222" t="s">
        <v>269</v>
      </c>
      <c r="V144" s="222" t="s">
        <v>302</v>
      </c>
      <c r="W144" s="223" t="s">
        <v>302</v>
      </c>
      <c r="X144" s="223" t="s">
        <v>302</v>
      </c>
      <c r="Y144" s="224" t="s">
        <v>302</v>
      </c>
    </row>
    <row r="145" spans="1:25">
      <c r="A145" s="216">
        <v>3</v>
      </c>
      <c r="B145" s="217" t="str">
        <f>VLOOKUP(Tabel10[[#This Row],[Code]],Ruimtegroepen[[Code]:[Ruimte omschrijving]],2,FALSE)</f>
        <v>Reproruimte</v>
      </c>
      <c r="C145" s="218" t="s">
        <v>419</v>
      </c>
      <c r="D145" s="217" t="s">
        <v>13</v>
      </c>
      <c r="E145" s="219" t="s">
        <v>103</v>
      </c>
      <c r="F145" s="218" t="s">
        <v>423</v>
      </c>
      <c r="G145" s="263" t="s">
        <v>302</v>
      </c>
      <c r="H145" s="220" t="s">
        <v>302</v>
      </c>
      <c r="I145" s="220" t="s">
        <v>302</v>
      </c>
      <c r="J145" s="220" t="s">
        <v>15</v>
      </c>
      <c r="K145" s="220" t="s">
        <v>349</v>
      </c>
      <c r="L145" s="220" t="s">
        <v>302</v>
      </c>
      <c r="M145" s="220" t="s">
        <v>302</v>
      </c>
      <c r="N145" s="221" t="s">
        <v>302</v>
      </c>
      <c r="O145" s="222" t="s">
        <v>15</v>
      </c>
      <c r="P145" s="222" t="s">
        <v>15</v>
      </c>
      <c r="Q145" s="222" t="s">
        <v>15</v>
      </c>
      <c r="R145" s="222" t="s">
        <v>15</v>
      </c>
      <c r="S145" s="222" t="s">
        <v>16</v>
      </c>
      <c r="T145" s="222" t="s">
        <v>303</v>
      </c>
      <c r="U145" s="222" t="s">
        <v>269</v>
      </c>
      <c r="V145" s="222" t="s">
        <v>302</v>
      </c>
      <c r="W145" s="223" t="s">
        <v>302</v>
      </c>
      <c r="X145" s="223" t="s">
        <v>302</v>
      </c>
      <c r="Y145" s="224" t="s">
        <v>302</v>
      </c>
    </row>
    <row r="146" spans="1:25">
      <c r="A146" s="216">
        <v>3</v>
      </c>
      <c r="B146" s="217" t="str">
        <f>VLOOKUP(Tabel10[[#This Row],[Code]],Ruimtegroepen[[Code]:[Ruimte omschrijving]],2,FALSE)</f>
        <v>Reproruimte</v>
      </c>
      <c r="C146" s="218" t="s">
        <v>419</v>
      </c>
      <c r="D146" s="217" t="s">
        <v>13</v>
      </c>
      <c r="E146" s="219" t="s">
        <v>100</v>
      </c>
      <c r="F146" s="218" t="s">
        <v>421</v>
      </c>
      <c r="G146" s="263" t="s">
        <v>302</v>
      </c>
      <c r="H146" s="221" t="s">
        <v>15</v>
      </c>
      <c r="I146" s="220" t="s">
        <v>302</v>
      </c>
      <c r="J146" s="220" t="s">
        <v>302</v>
      </c>
      <c r="K146" s="220" t="s">
        <v>302</v>
      </c>
      <c r="L146" s="220" t="s">
        <v>302</v>
      </c>
      <c r="M146" s="220" t="s">
        <v>302</v>
      </c>
      <c r="N146" s="221" t="s">
        <v>302</v>
      </c>
      <c r="O146" s="222" t="s">
        <v>302</v>
      </c>
      <c r="P146" s="222" t="s">
        <v>302</v>
      </c>
      <c r="Q146" s="222" t="s">
        <v>302</v>
      </c>
      <c r="R146" s="222" t="s">
        <v>302</v>
      </c>
      <c r="S146" s="222" t="s">
        <v>302</v>
      </c>
      <c r="T146" s="222" t="s">
        <v>302</v>
      </c>
      <c r="U146" s="222" t="s">
        <v>302</v>
      </c>
      <c r="V146" s="222" t="s">
        <v>302</v>
      </c>
      <c r="W146" s="223" t="s">
        <v>302</v>
      </c>
      <c r="X146" s="223" t="s">
        <v>302</v>
      </c>
      <c r="Y146" s="224" t="s">
        <v>302</v>
      </c>
    </row>
    <row r="147" spans="1:25">
      <c r="A147" s="216">
        <v>3</v>
      </c>
      <c r="B147" s="217" t="str">
        <f>VLOOKUP(Tabel10[[#This Row],[Code]],Ruimtegroepen[[Code]:[Ruimte omschrijving]],2,FALSE)</f>
        <v>Reproruimte</v>
      </c>
      <c r="C147" s="218" t="s">
        <v>419</v>
      </c>
      <c r="D147" s="217" t="s">
        <v>13</v>
      </c>
      <c r="E147" s="219" t="s">
        <v>1325</v>
      </c>
      <c r="F147" s="218" t="s">
        <v>1358</v>
      </c>
      <c r="G147" s="263" t="s">
        <v>302</v>
      </c>
      <c r="H147" s="220" t="s">
        <v>302</v>
      </c>
      <c r="I147" s="220" t="s">
        <v>302</v>
      </c>
      <c r="J147" s="220" t="s">
        <v>15</v>
      </c>
      <c r="K147" s="220" t="s">
        <v>349</v>
      </c>
      <c r="L147" s="220" t="s">
        <v>302</v>
      </c>
      <c r="M147" s="220" t="s">
        <v>302</v>
      </c>
      <c r="N147" s="221" t="s">
        <v>302</v>
      </c>
      <c r="O147" s="222" t="s">
        <v>15</v>
      </c>
      <c r="P147" s="222" t="s">
        <v>15</v>
      </c>
      <c r="Q147" s="222" t="s">
        <v>15</v>
      </c>
      <c r="R147" s="222" t="s">
        <v>15</v>
      </c>
      <c r="S147" s="222" t="s">
        <v>16</v>
      </c>
      <c r="T147" s="222" t="s">
        <v>303</v>
      </c>
      <c r="U147" s="222" t="s">
        <v>269</v>
      </c>
      <c r="V147" s="222" t="s">
        <v>302</v>
      </c>
      <c r="W147" s="223" t="s">
        <v>302</v>
      </c>
      <c r="X147" s="223" t="s">
        <v>302</v>
      </c>
      <c r="Y147" s="224" t="s">
        <v>302</v>
      </c>
    </row>
    <row r="148" spans="1:25">
      <c r="A148" s="216">
        <v>3</v>
      </c>
      <c r="B148" s="217" t="str">
        <f>VLOOKUP(Tabel10[[#This Row],[Code]],Ruimtegroepen[[Code]:[Ruimte omschrijving]],2,FALSE)</f>
        <v>Reproruimte</v>
      </c>
      <c r="C148" s="218" t="s">
        <v>424</v>
      </c>
      <c r="D148" s="217" t="s">
        <v>0</v>
      </c>
      <c r="E148" s="219" t="s">
        <v>101</v>
      </c>
      <c r="F148" s="218" t="s">
        <v>425</v>
      </c>
      <c r="G148" s="263" t="s">
        <v>302</v>
      </c>
      <c r="H148" s="220" t="s">
        <v>302</v>
      </c>
      <c r="I148" s="220" t="s">
        <v>16</v>
      </c>
      <c r="J148" s="220" t="s">
        <v>302</v>
      </c>
      <c r="K148" s="220" t="s">
        <v>302</v>
      </c>
      <c r="L148" s="220" t="s">
        <v>302</v>
      </c>
      <c r="M148" s="220" t="s">
        <v>302</v>
      </c>
      <c r="N148" s="221" t="s">
        <v>302</v>
      </c>
      <c r="O148" s="222" t="s">
        <v>16</v>
      </c>
      <c r="P148" s="222" t="s">
        <v>16</v>
      </c>
      <c r="Q148" s="222" t="s">
        <v>16</v>
      </c>
      <c r="R148" s="222" t="s">
        <v>16</v>
      </c>
      <c r="S148" s="222" t="s">
        <v>16</v>
      </c>
      <c r="T148" s="222" t="s">
        <v>303</v>
      </c>
      <c r="U148" s="222" t="s">
        <v>269</v>
      </c>
      <c r="V148" s="222" t="s">
        <v>302</v>
      </c>
      <c r="W148" s="223" t="s">
        <v>302</v>
      </c>
      <c r="X148" s="223" t="s">
        <v>302</v>
      </c>
      <c r="Y148" s="224" t="s">
        <v>302</v>
      </c>
    </row>
    <row r="149" spans="1:25">
      <c r="A149" s="216">
        <v>3</v>
      </c>
      <c r="B149" s="217" t="str">
        <f>VLOOKUP(Tabel10[[#This Row],[Code]],Ruimtegroepen[[Code]:[Ruimte omschrijving]],2,FALSE)</f>
        <v>Reproruimte</v>
      </c>
      <c r="C149" s="218" t="s">
        <v>424</v>
      </c>
      <c r="D149" s="217" t="s">
        <v>0</v>
      </c>
      <c r="E149" s="219" t="s">
        <v>100</v>
      </c>
      <c r="F149" s="218" t="s">
        <v>426</v>
      </c>
      <c r="G149" s="263" t="s">
        <v>302</v>
      </c>
      <c r="H149" s="221" t="s">
        <v>16</v>
      </c>
      <c r="I149" s="220" t="s">
        <v>302</v>
      </c>
      <c r="J149" s="220" t="s">
        <v>302</v>
      </c>
      <c r="K149" s="220" t="s">
        <v>302</v>
      </c>
      <c r="L149" s="220" t="s">
        <v>302</v>
      </c>
      <c r="M149" s="220" t="s">
        <v>302</v>
      </c>
      <c r="N149" s="221" t="s">
        <v>302</v>
      </c>
      <c r="O149" s="222" t="s">
        <v>16</v>
      </c>
      <c r="P149" s="222" t="s">
        <v>16</v>
      </c>
      <c r="Q149" s="222" t="s">
        <v>16</v>
      </c>
      <c r="R149" s="222" t="s">
        <v>16</v>
      </c>
      <c r="S149" s="222" t="s">
        <v>16</v>
      </c>
      <c r="T149" s="222" t="s">
        <v>303</v>
      </c>
      <c r="U149" s="222" t="s">
        <v>269</v>
      </c>
      <c r="V149" s="222" t="s">
        <v>302</v>
      </c>
      <c r="W149" s="223" t="s">
        <v>302</v>
      </c>
      <c r="X149" s="223" t="s">
        <v>302</v>
      </c>
      <c r="Y149" s="224" t="s">
        <v>302</v>
      </c>
    </row>
    <row r="150" spans="1:25">
      <c r="A150" s="216">
        <v>3</v>
      </c>
      <c r="B150" s="217" t="str">
        <f>VLOOKUP(Tabel10[[#This Row],[Code]],Ruimtegroepen[[Code]:[Ruimte omschrijving]],2,FALSE)</f>
        <v>Reproruimte</v>
      </c>
      <c r="C150" s="218" t="s">
        <v>424</v>
      </c>
      <c r="D150" s="217" t="s">
        <v>0</v>
      </c>
      <c r="E150" s="219" t="s">
        <v>102</v>
      </c>
      <c r="F150" s="218" t="s">
        <v>427</v>
      </c>
      <c r="G150" s="263" t="s">
        <v>302</v>
      </c>
      <c r="H150" s="220" t="s">
        <v>302</v>
      </c>
      <c r="I150" s="220" t="s">
        <v>302</v>
      </c>
      <c r="J150" s="220" t="s">
        <v>16</v>
      </c>
      <c r="K150" s="220" t="s">
        <v>349</v>
      </c>
      <c r="L150" s="220" t="s">
        <v>302</v>
      </c>
      <c r="M150" s="220" t="s">
        <v>302</v>
      </c>
      <c r="N150" s="221" t="s">
        <v>302</v>
      </c>
      <c r="O150" s="222" t="s">
        <v>16</v>
      </c>
      <c r="P150" s="222" t="s">
        <v>16</v>
      </c>
      <c r="Q150" s="222" t="s">
        <v>16</v>
      </c>
      <c r="R150" s="222" t="s">
        <v>16</v>
      </c>
      <c r="S150" s="222" t="s">
        <v>16</v>
      </c>
      <c r="T150" s="222" t="s">
        <v>303</v>
      </c>
      <c r="U150" s="222" t="s">
        <v>269</v>
      </c>
      <c r="V150" s="222" t="s">
        <v>302</v>
      </c>
      <c r="W150" s="223" t="s">
        <v>302</v>
      </c>
      <c r="X150" s="223" t="s">
        <v>302</v>
      </c>
      <c r="Y150" s="224" t="s">
        <v>302</v>
      </c>
    </row>
    <row r="151" spans="1:25">
      <c r="A151" s="216">
        <v>3</v>
      </c>
      <c r="B151" s="217" t="str">
        <f>VLOOKUP(Tabel10[[#This Row],[Code]],Ruimtegroepen[[Code]:[Ruimte omschrijving]],2,FALSE)</f>
        <v>Reproruimte</v>
      </c>
      <c r="C151" s="218" t="s">
        <v>424</v>
      </c>
      <c r="D151" s="217" t="s">
        <v>0</v>
      </c>
      <c r="E151" s="219" t="s">
        <v>103</v>
      </c>
      <c r="F151" s="218" t="s">
        <v>428</v>
      </c>
      <c r="G151" s="263" t="s">
        <v>302</v>
      </c>
      <c r="H151" s="220" t="s">
        <v>302</v>
      </c>
      <c r="I151" s="220" t="s">
        <v>16</v>
      </c>
      <c r="J151" s="220" t="s">
        <v>302</v>
      </c>
      <c r="K151" s="220" t="s">
        <v>349</v>
      </c>
      <c r="L151" s="220" t="s">
        <v>302</v>
      </c>
      <c r="M151" s="220" t="s">
        <v>302</v>
      </c>
      <c r="N151" s="221" t="s">
        <v>302</v>
      </c>
      <c r="O151" s="222" t="s">
        <v>16</v>
      </c>
      <c r="P151" s="222" t="s">
        <v>16</v>
      </c>
      <c r="Q151" s="222" t="s">
        <v>16</v>
      </c>
      <c r="R151" s="222" t="s">
        <v>16</v>
      </c>
      <c r="S151" s="222" t="s">
        <v>16</v>
      </c>
      <c r="T151" s="222" t="s">
        <v>303</v>
      </c>
      <c r="U151" s="222" t="s">
        <v>269</v>
      </c>
      <c r="V151" s="222" t="s">
        <v>302</v>
      </c>
      <c r="W151" s="223" t="s">
        <v>302</v>
      </c>
      <c r="X151" s="223" t="s">
        <v>302</v>
      </c>
      <c r="Y151" s="224" t="s">
        <v>302</v>
      </c>
    </row>
    <row r="152" spans="1:25">
      <c r="A152" s="216">
        <v>3</v>
      </c>
      <c r="B152" s="217" t="str">
        <f>VLOOKUP(Tabel10[[#This Row],[Code]],Ruimtegroepen[[Code]:[Ruimte omschrijving]],2,FALSE)</f>
        <v>Reproruimte</v>
      </c>
      <c r="C152" s="218" t="s">
        <v>424</v>
      </c>
      <c r="D152" s="217" t="s">
        <v>0</v>
      </c>
      <c r="E152" s="219" t="s">
        <v>100</v>
      </c>
      <c r="F152" s="218" t="s">
        <v>426</v>
      </c>
      <c r="G152" s="263" t="s">
        <v>302</v>
      </c>
      <c r="H152" s="221" t="s">
        <v>16</v>
      </c>
      <c r="I152" s="220" t="s">
        <v>302</v>
      </c>
      <c r="J152" s="220" t="s">
        <v>302</v>
      </c>
      <c r="K152" s="220" t="s">
        <v>302</v>
      </c>
      <c r="L152" s="220" t="s">
        <v>302</v>
      </c>
      <c r="M152" s="220" t="s">
        <v>302</v>
      </c>
      <c r="N152" s="221" t="s">
        <v>302</v>
      </c>
      <c r="O152" s="222" t="s">
        <v>302</v>
      </c>
      <c r="P152" s="222" t="s">
        <v>302</v>
      </c>
      <c r="Q152" s="222" t="s">
        <v>302</v>
      </c>
      <c r="R152" s="222" t="s">
        <v>302</v>
      </c>
      <c r="S152" s="222" t="s">
        <v>302</v>
      </c>
      <c r="T152" s="222" t="s">
        <v>302</v>
      </c>
      <c r="U152" s="222" t="s">
        <v>302</v>
      </c>
      <c r="V152" s="222" t="s">
        <v>302</v>
      </c>
      <c r="W152" s="223" t="s">
        <v>302</v>
      </c>
      <c r="X152" s="223" t="s">
        <v>302</v>
      </c>
      <c r="Y152" s="224" t="s">
        <v>302</v>
      </c>
    </row>
    <row r="153" spans="1:25">
      <c r="A153" s="216">
        <v>3</v>
      </c>
      <c r="B153" s="217" t="str">
        <f>VLOOKUP(Tabel10[[#This Row],[Code]],Ruimtegroepen[[Code]:[Ruimte omschrijving]],2,FALSE)</f>
        <v>Reproruimte</v>
      </c>
      <c r="C153" s="218" t="s">
        <v>424</v>
      </c>
      <c r="D153" s="217" t="s">
        <v>0</v>
      </c>
      <c r="E153" s="219" t="s">
        <v>1325</v>
      </c>
      <c r="F153" s="218" t="s">
        <v>1359</v>
      </c>
      <c r="G153" s="263" t="s">
        <v>302</v>
      </c>
      <c r="H153" s="220" t="s">
        <v>302</v>
      </c>
      <c r="I153" s="220" t="s">
        <v>16</v>
      </c>
      <c r="J153" s="220" t="s">
        <v>302</v>
      </c>
      <c r="K153" s="220" t="s">
        <v>349</v>
      </c>
      <c r="L153" s="220" t="s">
        <v>302</v>
      </c>
      <c r="M153" s="220" t="s">
        <v>302</v>
      </c>
      <c r="N153" s="221" t="s">
        <v>302</v>
      </c>
      <c r="O153" s="222" t="s">
        <v>16</v>
      </c>
      <c r="P153" s="222" t="s">
        <v>16</v>
      </c>
      <c r="Q153" s="222" t="s">
        <v>16</v>
      </c>
      <c r="R153" s="222" t="s">
        <v>16</v>
      </c>
      <c r="S153" s="222" t="s">
        <v>16</v>
      </c>
      <c r="T153" s="222" t="s">
        <v>303</v>
      </c>
      <c r="U153" s="222" t="s">
        <v>269</v>
      </c>
      <c r="V153" s="222" t="s">
        <v>302</v>
      </c>
      <c r="W153" s="223" t="s">
        <v>302</v>
      </c>
      <c r="X153" s="223" t="s">
        <v>302</v>
      </c>
      <c r="Y153" s="224" t="s">
        <v>302</v>
      </c>
    </row>
    <row r="154" spans="1:25">
      <c r="A154" s="216">
        <v>3</v>
      </c>
      <c r="B154" s="217" t="str">
        <f>VLOOKUP(Tabel10[[#This Row],[Code]],Ruimtegroepen[[Code]:[Ruimte omschrijving]],2,FALSE)</f>
        <v>Reproruimte</v>
      </c>
      <c r="C154" s="218" t="s">
        <v>429</v>
      </c>
      <c r="D154" s="217" t="s">
        <v>27</v>
      </c>
      <c r="E154" s="219" t="s">
        <v>101</v>
      </c>
      <c r="F154" s="218" t="s">
        <v>430</v>
      </c>
      <c r="G154" s="263" t="s">
        <v>302</v>
      </c>
      <c r="H154" s="220" t="s">
        <v>302</v>
      </c>
      <c r="I154" s="220" t="s">
        <v>302</v>
      </c>
      <c r="J154" s="220" t="s">
        <v>15</v>
      </c>
      <c r="K154" s="220" t="s">
        <v>302</v>
      </c>
      <c r="L154" s="220" t="s">
        <v>302</v>
      </c>
      <c r="M154" s="220" t="s">
        <v>302</v>
      </c>
      <c r="N154" s="221" t="s">
        <v>302</v>
      </c>
      <c r="O154" s="222" t="s">
        <v>15</v>
      </c>
      <c r="P154" s="222" t="s">
        <v>15</v>
      </c>
      <c r="Q154" s="222" t="s">
        <v>15</v>
      </c>
      <c r="R154" s="222" t="s">
        <v>302</v>
      </c>
      <c r="S154" s="222" t="s">
        <v>302</v>
      </c>
      <c r="T154" s="222" t="s">
        <v>302</v>
      </c>
      <c r="U154" s="222" t="s">
        <v>302</v>
      </c>
      <c r="V154" s="222" t="s">
        <v>302</v>
      </c>
      <c r="W154" s="223" t="s">
        <v>302</v>
      </c>
      <c r="X154" s="223" t="s">
        <v>302</v>
      </c>
      <c r="Y154" s="224" t="s">
        <v>302</v>
      </c>
    </row>
    <row r="155" spans="1:25">
      <c r="A155" s="216">
        <v>3</v>
      </c>
      <c r="B155" s="217" t="str">
        <f>VLOOKUP(Tabel10[[#This Row],[Code]],Ruimtegroepen[[Code]:[Ruimte omschrijving]],2,FALSE)</f>
        <v>Reproruimte</v>
      </c>
      <c r="C155" s="218" t="s">
        <v>429</v>
      </c>
      <c r="D155" s="217" t="s">
        <v>27</v>
      </c>
      <c r="E155" s="219" t="s">
        <v>100</v>
      </c>
      <c r="F155" s="218" t="s">
        <v>431</v>
      </c>
      <c r="G155" s="263" t="s">
        <v>302</v>
      </c>
      <c r="H155" s="221" t="s">
        <v>15</v>
      </c>
      <c r="I155" s="220" t="s">
        <v>302</v>
      </c>
      <c r="J155" s="220" t="s">
        <v>302</v>
      </c>
      <c r="K155" s="220" t="s">
        <v>302</v>
      </c>
      <c r="L155" s="220" t="s">
        <v>302</v>
      </c>
      <c r="M155" s="220" t="s">
        <v>302</v>
      </c>
      <c r="N155" s="221" t="s">
        <v>302</v>
      </c>
      <c r="O155" s="222" t="s">
        <v>15</v>
      </c>
      <c r="P155" s="222" t="s">
        <v>15</v>
      </c>
      <c r="Q155" s="222" t="s">
        <v>15</v>
      </c>
      <c r="R155" s="222" t="s">
        <v>302</v>
      </c>
      <c r="S155" s="222" t="s">
        <v>302</v>
      </c>
      <c r="T155" s="222" t="s">
        <v>302</v>
      </c>
      <c r="U155" s="222" t="s">
        <v>302</v>
      </c>
      <c r="V155" s="222" t="s">
        <v>302</v>
      </c>
      <c r="W155" s="223" t="s">
        <v>302</v>
      </c>
      <c r="X155" s="223" t="s">
        <v>302</v>
      </c>
      <c r="Y155" s="224" t="s">
        <v>302</v>
      </c>
    </row>
    <row r="156" spans="1:25">
      <c r="A156" s="216">
        <v>3</v>
      </c>
      <c r="B156" s="217" t="str">
        <f>VLOOKUP(Tabel10[[#This Row],[Code]],Ruimtegroepen[[Code]:[Ruimte omschrijving]],2,FALSE)</f>
        <v>Reproruimte</v>
      </c>
      <c r="C156" s="218" t="s">
        <v>429</v>
      </c>
      <c r="D156" s="217" t="s">
        <v>27</v>
      </c>
      <c r="E156" s="219" t="s">
        <v>102</v>
      </c>
      <c r="F156" s="218" t="s">
        <v>432</v>
      </c>
      <c r="G156" s="263" t="s">
        <v>302</v>
      </c>
      <c r="H156" s="220" t="s">
        <v>302</v>
      </c>
      <c r="I156" s="220" t="s">
        <v>302</v>
      </c>
      <c r="J156" s="220" t="s">
        <v>15</v>
      </c>
      <c r="K156" s="220" t="s">
        <v>302</v>
      </c>
      <c r="L156" s="220" t="s">
        <v>302</v>
      </c>
      <c r="M156" s="220" t="s">
        <v>302</v>
      </c>
      <c r="N156" s="221" t="s">
        <v>302</v>
      </c>
      <c r="O156" s="222" t="s">
        <v>15</v>
      </c>
      <c r="P156" s="222" t="s">
        <v>15</v>
      </c>
      <c r="Q156" s="222" t="s">
        <v>15</v>
      </c>
      <c r="R156" s="222" t="s">
        <v>302</v>
      </c>
      <c r="S156" s="222" t="s">
        <v>302</v>
      </c>
      <c r="T156" s="222" t="s">
        <v>302</v>
      </c>
      <c r="U156" s="222" t="s">
        <v>302</v>
      </c>
      <c r="V156" s="222" t="s">
        <v>302</v>
      </c>
      <c r="W156" s="223" t="s">
        <v>302</v>
      </c>
      <c r="X156" s="223" t="s">
        <v>302</v>
      </c>
      <c r="Y156" s="224" t="s">
        <v>302</v>
      </c>
    </row>
    <row r="157" spans="1:25">
      <c r="A157" s="216">
        <v>3</v>
      </c>
      <c r="B157" s="217" t="str">
        <f>VLOOKUP(Tabel10[[#This Row],[Code]],Ruimtegroepen[[Code]:[Ruimte omschrijving]],2,FALSE)</f>
        <v>Reproruimte</v>
      </c>
      <c r="C157" s="218" t="s">
        <v>429</v>
      </c>
      <c r="D157" s="217" t="s">
        <v>27</v>
      </c>
      <c r="E157" s="219" t="s">
        <v>103</v>
      </c>
      <c r="F157" s="218" t="s">
        <v>433</v>
      </c>
      <c r="G157" s="263" t="s">
        <v>302</v>
      </c>
      <c r="H157" s="220" t="s">
        <v>302</v>
      </c>
      <c r="I157" s="220" t="s">
        <v>302</v>
      </c>
      <c r="J157" s="220" t="s">
        <v>15</v>
      </c>
      <c r="K157" s="220" t="s">
        <v>302</v>
      </c>
      <c r="L157" s="220" t="s">
        <v>302</v>
      </c>
      <c r="M157" s="220" t="s">
        <v>302</v>
      </c>
      <c r="N157" s="221" t="s">
        <v>302</v>
      </c>
      <c r="O157" s="222" t="s">
        <v>15</v>
      </c>
      <c r="P157" s="222" t="s">
        <v>15</v>
      </c>
      <c r="Q157" s="222" t="s">
        <v>15</v>
      </c>
      <c r="R157" s="222" t="s">
        <v>302</v>
      </c>
      <c r="S157" s="222" t="s">
        <v>302</v>
      </c>
      <c r="T157" s="222" t="s">
        <v>302</v>
      </c>
      <c r="U157" s="222" t="s">
        <v>302</v>
      </c>
      <c r="V157" s="222" t="s">
        <v>302</v>
      </c>
      <c r="W157" s="223" t="s">
        <v>302</v>
      </c>
      <c r="X157" s="223" t="s">
        <v>302</v>
      </c>
      <c r="Y157" s="224" t="s">
        <v>302</v>
      </c>
    </row>
    <row r="158" spans="1:25">
      <c r="A158" s="216">
        <v>3</v>
      </c>
      <c r="B158" s="217" t="str">
        <f>VLOOKUP(Tabel10[[#This Row],[Code]],Ruimtegroepen[[Code]:[Ruimte omschrijving]],2,FALSE)</f>
        <v>Reproruimte</v>
      </c>
      <c r="C158" s="218" t="s">
        <v>429</v>
      </c>
      <c r="D158" s="217" t="s">
        <v>27</v>
      </c>
      <c r="E158" s="219" t="s">
        <v>100</v>
      </c>
      <c r="F158" s="218" t="s">
        <v>431</v>
      </c>
      <c r="G158" s="263" t="s">
        <v>302</v>
      </c>
      <c r="H158" s="221" t="s">
        <v>15</v>
      </c>
      <c r="I158" s="220" t="s">
        <v>302</v>
      </c>
      <c r="J158" s="220" t="s">
        <v>302</v>
      </c>
      <c r="K158" s="220" t="s">
        <v>302</v>
      </c>
      <c r="L158" s="220" t="s">
        <v>302</v>
      </c>
      <c r="M158" s="220" t="s">
        <v>302</v>
      </c>
      <c r="N158" s="221" t="s">
        <v>302</v>
      </c>
      <c r="O158" s="222" t="s">
        <v>15</v>
      </c>
      <c r="P158" s="222" t="s">
        <v>15</v>
      </c>
      <c r="Q158" s="222" t="s">
        <v>15</v>
      </c>
      <c r="R158" s="222" t="s">
        <v>302</v>
      </c>
      <c r="S158" s="222" t="s">
        <v>302</v>
      </c>
      <c r="T158" s="222" t="s">
        <v>302</v>
      </c>
      <c r="U158" s="222" t="s">
        <v>302</v>
      </c>
      <c r="V158" s="222" t="s">
        <v>302</v>
      </c>
      <c r="W158" s="223" t="s">
        <v>302</v>
      </c>
      <c r="X158" s="223" t="s">
        <v>302</v>
      </c>
      <c r="Y158" s="224" t="s">
        <v>302</v>
      </c>
    </row>
    <row r="159" spans="1:25">
      <c r="A159" s="216">
        <v>3</v>
      </c>
      <c r="B159" s="217" t="str">
        <f>VLOOKUP(Tabel10[[#This Row],[Code]],Ruimtegroepen[[Code]:[Ruimte omschrijving]],2,FALSE)</f>
        <v>Reproruimte</v>
      </c>
      <c r="C159" s="218" t="s">
        <v>429</v>
      </c>
      <c r="D159" s="217" t="s">
        <v>27</v>
      </c>
      <c r="E159" s="219" t="s">
        <v>1325</v>
      </c>
      <c r="F159" s="218" t="s">
        <v>1392</v>
      </c>
      <c r="G159" s="263" t="s">
        <v>302</v>
      </c>
      <c r="H159" s="220" t="s">
        <v>302</v>
      </c>
      <c r="I159" s="220" t="s">
        <v>302</v>
      </c>
      <c r="J159" s="220" t="s">
        <v>15</v>
      </c>
      <c r="K159" s="220" t="s">
        <v>302</v>
      </c>
      <c r="L159" s="220" t="s">
        <v>302</v>
      </c>
      <c r="M159" s="220" t="s">
        <v>302</v>
      </c>
      <c r="N159" s="221" t="s">
        <v>302</v>
      </c>
      <c r="O159" s="222" t="s">
        <v>15</v>
      </c>
      <c r="P159" s="222" t="s">
        <v>15</v>
      </c>
      <c r="Q159" s="222" t="s">
        <v>15</v>
      </c>
      <c r="R159" s="222" t="s">
        <v>302</v>
      </c>
      <c r="S159" s="222" t="s">
        <v>302</v>
      </c>
      <c r="T159" s="222" t="s">
        <v>302</v>
      </c>
      <c r="U159" s="222" t="s">
        <v>302</v>
      </c>
      <c r="V159" s="222" t="s">
        <v>302</v>
      </c>
      <c r="W159" s="223" t="s">
        <v>302</v>
      </c>
      <c r="X159" s="223" t="s">
        <v>302</v>
      </c>
      <c r="Y159" s="224" t="s">
        <v>302</v>
      </c>
    </row>
    <row r="160" spans="1:25">
      <c r="A160" s="216">
        <v>3</v>
      </c>
      <c r="B160" s="217" t="str">
        <f>VLOOKUP(Tabel10[[#This Row],[Code]],Ruimtegroepen[[Code]:[Ruimte omschrijving]],2,FALSE)</f>
        <v>Reproruimte</v>
      </c>
      <c r="C160" s="218" t="s">
        <v>434</v>
      </c>
      <c r="D160" s="217" t="s">
        <v>28</v>
      </c>
      <c r="E160" s="219" t="s">
        <v>101</v>
      </c>
      <c r="F160" s="218" t="s">
        <v>435</v>
      </c>
      <c r="G160" s="263" t="s">
        <v>302</v>
      </c>
      <c r="H160" s="220" t="s">
        <v>302</v>
      </c>
      <c r="I160" s="220" t="s">
        <v>17</v>
      </c>
      <c r="J160" s="220" t="s">
        <v>302</v>
      </c>
      <c r="K160" s="220" t="s">
        <v>302</v>
      </c>
      <c r="L160" s="220" t="s">
        <v>302</v>
      </c>
      <c r="M160" s="220" t="s">
        <v>302</v>
      </c>
      <c r="N160" s="221" t="s">
        <v>302</v>
      </c>
      <c r="O160" s="222" t="s">
        <v>17</v>
      </c>
      <c r="P160" s="222" t="s">
        <v>17</v>
      </c>
      <c r="Q160" s="222" t="s">
        <v>15</v>
      </c>
      <c r="R160" s="222" t="s">
        <v>302</v>
      </c>
      <c r="S160" s="222" t="s">
        <v>302</v>
      </c>
      <c r="T160" s="222" t="s">
        <v>302</v>
      </c>
      <c r="U160" s="222" t="s">
        <v>302</v>
      </c>
      <c r="V160" s="222" t="s">
        <v>302</v>
      </c>
      <c r="W160" s="223" t="s">
        <v>302</v>
      </c>
      <c r="X160" s="223" t="s">
        <v>302</v>
      </c>
      <c r="Y160" s="224" t="s">
        <v>302</v>
      </c>
    </row>
    <row r="161" spans="1:25">
      <c r="A161" s="216">
        <v>3</v>
      </c>
      <c r="B161" s="217" t="str">
        <f>VLOOKUP(Tabel10[[#This Row],[Code]],Ruimtegroepen[[Code]:[Ruimte omschrijving]],2,FALSE)</f>
        <v>Reproruimte</v>
      </c>
      <c r="C161" s="218" t="s">
        <v>434</v>
      </c>
      <c r="D161" s="217" t="s">
        <v>28</v>
      </c>
      <c r="E161" s="219" t="s">
        <v>100</v>
      </c>
      <c r="F161" s="218" t="s">
        <v>436</v>
      </c>
      <c r="G161" s="263" t="s">
        <v>302</v>
      </c>
      <c r="H161" s="221" t="s">
        <v>17</v>
      </c>
      <c r="I161" s="220" t="s">
        <v>302</v>
      </c>
      <c r="J161" s="220" t="s">
        <v>302</v>
      </c>
      <c r="K161" s="220" t="s">
        <v>302</v>
      </c>
      <c r="L161" s="220" t="s">
        <v>302</v>
      </c>
      <c r="M161" s="220" t="s">
        <v>302</v>
      </c>
      <c r="N161" s="221" t="s">
        <v>302</v>
      </c>
      <c r="O161" s="222" t="s">
        <v>17</v>
      </c>
      <c r="P161" s="222" t="s">
        <v>17</v>
      </c>
      <c r="Q161" s="222" t="s">
        <v>15</v>
      </c>
      <c r="R161" s="222" t="s">
        <v>302</v>
      </c>
      <c r="S161" s="222" t="s">
        <v>302</v>
      </c>
      <c r="T161" s="222" t="s">
        <v>302</v>
      </c>
      <c r="U161" s="222" t="s">
        <v>302</v>
      </c>
      <c r="V161" s="222" t="s">
        <v>302</v>
      </c>
      <c r="W161" s="223" t="s">
        <v>302</v>
      </c>
      <c r="X161" s="223" t="s">
        <v>302</v>
      </c>
      <c r="Y161" s="224" t="s">
        <v>302</v>
      </c>
    </row>
    <row r="162" spans="1:25">
      <c r="A162" s="216">
        <v>3</v>
      </c>
      <c r="B162" s="217" t="str">
        <f>VLOOKUP(Tabel10[[#This Row],[Code]],Ruimtegroepen[[Code]:[Ruimte omschrijving]],2,FALSE)</f>
        <v>Reproruimte</v>
      </c>
      <c r="C162" s="218" t="s">
        <v>434</v>
      </c>
      <c r="D162" s="217" t="s">
        <v>28</v>
      </c>
      <c r="E162" s="219" t="s">
        <v>102</v>
      </c>
      <c r="F162" s="218" t="s">
        <v>437</v>
      </c>
      <c r="G162" s="263" t="s">
        <v>302</v>
      </c>
      <c r="H162" s="220" t="s">
        <v>302</v>
      </c>
      <c r="I162" s="220" t="s">
        <v>17</v>
      </c>
      <c r="J162" s="220" t="s">
        <v>302</v>
      </c>
      <c r="K162" s="220" t="s">
        <v>302</v>
      </c>
      <c r="L162" s="220" t="s">
        <v>302</v>
      </c>
      <c r="M162" s="220" t="s">
        <v>302</v>
      </c>
      <c r="N162" s="221" t="s">
        <v>302</v>
      </c>
      <c r="O162" s="222" t="s">
        <v>17</v>
      </c>
      <c r="P162" s="222" t="s">
        <v>17</v>
      </c>
      <c r="Q162" s="222" t="s">
        <v>15</v>
      </c>
      <c r="R162" s="222" t="s">
        <v>302</v>
      </c>
      <c r="S162" s="222" t="s">
        <v>302</v>
      </c>
      <c r="T162" s="222" t="s">
        <v>302</v>
      </c>
      <c r="U162" s="222" t="s">
        <v>302</v>
      </c>
      <c r="V162" s="222" t="s">
        <v>302</v>
      </c>
      <c r="W162" s="223" t="s">
        <v>302</v>
      </c>
      <c r="X162" s="223" t="s">
        <v>302</v>
      </c>
      <c r="Y162" s="224" t="s">
        <v>302</v>
      </c>
    </row>
    <row r="163" spans="1:25">
      <c r="A163" s="216">
        <v>3</v>
      </c>
      <c r="B163" s="217" t="str">
        <f>VLOOKUP(Tabel10[[#This Row],[Code]],Ruimtegroepen[[Code]:[Ruimte omschrijving]],2,FALSE)</f>
        <v>Reproruimte</v>
      </c>
      <c r="C163" s="218" t="s">
        <v>434</v>
      </c>
      <c r="D163" s="217" t="s">
        <v>28</v>
      </c>
      <c r="E163" s="219" t="s">
        <v>103</v>
      </c>
      <c r="F163" s="218" t="s">
        <v>438</v>
      </c>
      <c r="G163" s="263" t="s">
        <v>302</v>
      </c>
      <c r="H163" s="220" t="s">
        <v>302</v>
      </c>
      <c r="I163" s="220" t="s">
        <v>17</v>
      </c>
      <c r="J163" s="220" t="s">
        <v>302</v>
      </c>
      <c r="K163" s="220" t="s">
        <v>302</v>
      </c>
      <c r="L163" s="220" t="s">
        <v>302</v>
      </c>
      <c r="M163" s="220" t="s">
        <v>302</v>
      </c>
      <c r="N163" s="221" t="s">
        <v>302</v>
      </c>
      <c r="O163" s="222" t="s">
        <v>17</v>
      </c>
      <c r="P163" s="222" t="s">
        <v>17</v>
      </c>
      <c r="Q163" s="222" t="s">
        <v>15</v>
      </c>
      <c r="R163" s="222" t="s">
        <v>302</v>
      </c>
      <c r="S163" s="222" t="s">
        <v>302</v>
      </c>
      <c r="T163" s="222" t="s">
        <v>302</v>
      </c>
      <c r="U163" s="222" t="s">
        <v>302</v>
      </c>
      <c r="V163" s="222" t="s">
        <v>302</v>
      </c>
      <c r="W163" s="223" t="s">
        <v>302</v>
      </c>
      <c r="X163" s="223" t="s">
        <v>302</v>
      </c>
      <c r="Y163" s="224" t="s">
        <v>302</v>
      </c>
    </row>
    <row r="164" spans="1:25">
      <c r="A164" s="216">
        <v>3</v>
      </c>
      <c r="B164" s="217" t="str">
        <f>VLOOKUP(Tabel10[[#This Row],[Code]],Ruimtegroepen[[Code]:[Ruimte omschrijving]],2,FALSE)</f>
        <v>Reproruimte</v>
      </c>
      <c r="C164" s="218" t="s">
        <v>434</v>
      </c>
      <c r="D164" s="217" t="s">
        <v>28</v>
      </c>
      <c r="E164" s="219" t="s">
        <v>100</v>
      </c>
      <c r="F164" s="218" t="s">
        <v>436</v>
      </c>
      <c r="G164" s="263" t="s">
        <v>302</v>
      </c>
      <c r="H164" s="221" t="s">
        <v>17</v>
      </c>
      <c r="I164" s="220" t="s">
        <v>302</v>
      </c>
      <c r="J164" s="220" t="s">
        <v>302</v>
      </c>
      <c r="K164" s="220" t="s">
        <v>302</v>
      </c>
      <c r="L164" s="220" t="s">
        <v>302</v>
      </c>
      <c r="M164" s="220" t="s">
        <v>302</v>
      </c>
      <c r="N164" s="221" t="s">
        <v>302</v>
      </c>
      <c r="O164" s="222" t="s">
        <v>17</v>
      </c>
      <c r="P164" s="222" t="s">
        <v>17</v>
      </c>
      <c r="Q164" s="222" t="s">
        <v>15</v>
      </c>
      <c r="R164" s="222" t="s">
        <v>302</v>
      </c>
      <c r="S164" s="222" t="s">
        <v>302</v>
      </c>
      <c r="T164" s="222" t="s">
        <v>302</v>
      </c>
      <c r="U164" s="222" t="s">
        <v>302</v>
      </c>
      <c r="V164" s="222" t="s">
        <v>302</v>
      </c>
      <c r="W164" s="223" t="s">
        <v>302</v>
      </c>
      <c r="X164" s="223" t="s">
        <v>302</v>
      </c>
      <c r="Y164" s="224" t="s">
        <v>302</v>
      </c>
    </row>
    <row r="165" spans="1:25">
      <c r="A165" s="216">
        <v>3</v>
      </c>
      <c r="B165" s="217" t="str">
        <f>VLOOKUP(Tabel10[[#This Row],[Code]],Ruimtegroepen[[Code]:[Ruimte omschrijving]],2,FALSE)</f>
        <v>Reproruimte</v>
      </c>
      <c r="C165" s="218" t="s">
        <v>434</v>
      </c>
      <c r="D165" s="217" t="s">
        <v>28</v>
      </c>
      <c r="E165" s="219" t="s">
        <v>1325</v>
      </c>
      <c r="F165" s="218" t="s">
        <v>1425</v>
      </c>
      <c r="G165" s="263" t="s">
        <v>302</v>
      </c>
      <c r="H165" s="220" t="s">
        <v>302</v>
      </c>
      <c r="I165" s="220" t="s">
        <v>17</v>
      </c>
      <c r="J165" s="220" t="s">
        <v>302</v>
      </c>
      <c r="K165" s="220" t="s">
        <v>302</v>
      </c>
      <c r="L165" s="220" t="s">
        <v>302</v>
      </c>
      <c r="M165" s="220" t="s">
        <v>302</v>
      </c>
      <c r="N165" s="221" t="s">
        <v>302</v>
      </c>
      <c r="O165" s="222" t="s">
        <v>17</v>
      </c>
      <c r="P165" s="222" t="s">
        <v>17</v>
      </c>
      <c r="Q165" s="222" t="s">
        <v>15</v>
      </c>
      <c r="R165" s="222" t="s">
        <v>302</v>
      </c>
      <c r="S165" s="222" t="s">
        <v>302</v>
      </c>
      <c r="T165" s="222" t="s">
        <v>302</v>
      </c>
      <c r="U165" s="222" t="s">
        <v>302</v>
      </c>
      <c r="V165" s="222" t="s">
        <v>302</v>
      </c>
      <c r="W165" s="223" t="s">
        <v>302</v>
      </c>
      <c r="X165" s="223" t="s">
        <v>302</v>
      </c>
      <c r="Y165" s="224" t="s">
        <v>302</v>
      </c>
    </row>
    <row r="166" spans="1:25">
      <c r="A166" s="216">
        <v>4</v>
      </c>
      <c r="B166" s="217" t="str">
        <f>VLOOKUP(Tabel10[[#This Row],[Code]],Ruimtegroepen[[Code]:[Ruimte omschrijving]],2,FALSE)</f>
        <v>Vergader/spreekkamers</v>
      </c>
      <c r="C166" s="218" t="s">
        <v>439</v>
      </c>
      <c r="D166" s="217" t="s">
        <v>29</v>
      </c>
      <c r="E166" s="219" t="s">
        <v>101</v>
      </c>
      <c r="F166" s="218" t="s">
        <v>440</v>
      </c>
      <c r="G166" s="263" t="s">
        <v>302</v>
      </c>
      <c r="H166" s="220" t="s">
        <v>302</v>
      </c>
      <c r="I166" s="220" t="s">
        <v>20</v>
      </c>
      <c r="J166" s="220" t="s">
        <v>15</v>
      </c>
      <c r="K166" s="220" t="s">
        <v>302</v>
      </c>
      <c r="L166" s="220" t="s">
        <v>302</v>
      </c>
      <c r="M166" s="220" t="s">
        <v>302</v>
      </c>
      <c r="N166" s="221" t="s">
        <v>2</v>
      </c>
      <c r="O166" s="222" t="s">
        <v>2</v>
      </c>
      <c r="P166" s="222" t="s">
        <v>2</v>
      </c>
      <c r="Q166" s="222" t="s">
        <v>15</v>
      </c>
      <c r="R166" s="222" t="s">
        <v>15</v>
      </c>
      <c r="S166" s="222" t="s">
        <v>16</v>
      </c>
      <c r="T166" s="222" t="s">
        <v>349</v>
      </c>
      <c r="U166" s="222" t="s">
        <v>269</v>
      </c>
      <c r="V166" s="222" t="s">
        <v>2</v>
      </c>
      <c r="W166" s="223" t="s">
        <v>302</v>
      </c>
      <c r="X166" s="223" t="s">
        <v>302</v>
      </c>
      <c r="Y166" s="224" t="s">
        <v>302</v>
      </c>
    </row>
    <row r="167" spans="1:25">
      <c r="A167" s="216">
        <v>4</v>
      </c>
      <c r="B167" s="217" t="str">
        <f>VLOOKUP(Tabel10[[#This Row],[Code]],Ruimtegroepen[[Code]:[Ruimte omschrijving]],2,FALSE)</f>
        <v>Vergader/spreekkamers</v>
      </c>
      <c r="C167" s="218" t="s">
        <v>439</v>
      </c>
      <c r="D167" s="217" t="s">
        <v>29</v>
      </c>
      <c r="E167" s="219" t="s">
        <v>100</v>
      </c>
      <c r="F167" s="218" t="s">
        <v>441</v>
      </c>
      <c r="G167" s="221" t="s">
        <v>20</v>
      </c>
      <c r="H167" s="221" t="s">
        <v>15</v>
      </c>
      <c r="I167" s="220" t="s">
        <v>302</v>
      </c>
      <c r="J167" s="220" t="s">
        <v>302</v>
      </c>
      <c r="K167" s="220" t="s">
        <v>302</v>
      </c>
      <c r="L167" s="220" t="s">
        <v>302</v>
      </c>
      <c r="M167" s="220" t="s">
        <v>302</v>
      </c>
      <c r="N167" s="221" t="s">
        <v>2</v>
      </c>
      <c r="O167" s="222" t="s">
        <v>2</v>
      </c>
      <c r="P167" s="222" t="s">
        <v>2</v>
      </c>
      <c r="Q167" s="222" t="s">
        <v>15</v>
      </c>
      <c r="R167" s="222" t="s">
        <v>15</v>
      </c>
      <c r="S167" s="222" t="s">
        <v>16</v>
      </c>
      <c r="T167" s="222" t="s">
        <v>349</v>
      </c>
      <c r="U167" s="222" t="s">
        <v>269</v>
      </c>
      <c r="V167" s="222" t="s">
        <v>2</v>
      </c>
      <c r="W167" s="223" t="s">
        <v>302</v>
      </c>
      <c r="X167" s="223" t="s">
        <v>302</v>
      </c>
      <c r="Y167" s="224" t="s">
        <v>302</v>
      </c>
    </row>
    <row r="168" spans="1:25">
      <c r="A168" s="216">
        <v>4</v>
      </c>
      <c r="B168" s="217" t="str">
        <f>VLOOKUP(Tabel10[[#This Row],[Code]],Ruimtegroepen[[Code]:[Ruimte omschrijving]],2,FALSE)</f>
        <v>Vergader/spreekkamers</v>
      </c>
      <c r="C168" s="218" t="s">
        <v>439</v>
      </c>
      <c r="D168" s="217" t="s">
        <v>29</v>
      </c>
      <c r="E168" s="219" t="s">
        <v>102</v>
      </c>
      <c r="F168" s="218" t="s">
        <v>442</v>
      </c>
      <c r="G168" s="263" t="s">
        <v>302</v>
      </c>
      <c r="H168" s="220" t="s">
        <v>302</v>
      </c>
      <c r="I168" s="220" t="s">
        <v>20</v>
      </c>
      <c r="J168" s="220" t="s">
        <v>15</v>
      </c>
      <c r="K168" s="220" t="s">
        <v>349</v>
      </c>
      <c r="L168" s="220" t="s">
        <v>302</v>
      </c>
      <c r="M168" s="220" t="s">
        <v>302</v>
      </c>
      <c r="N168" s="221" t="s">
        <v>2</v>
      </c>
      <c r="O168" s="222" t="s">
        <v>2</v>
      </c>
      <c r="P168" s="222" t="s">
        <v>2</v>
      </c>
      <c r="Q168" s="222" t="s">
        <v>15</v>
      </c>
      <c r="R168" s="222" t="s">
        <v>15</v>
      </c>
      <c r="S168" s="222" t="s">
        <v>16</v>
      </c>
      <c r="T168" s="222" t="s">
        <v>349</v>
      </c>
      <c r="U168" s="222" t="s">
        <v>269</v>
      </c>
      <c r="V168" s="222" t="s">
        <v>2</v>
      </c>
      <c r="W168" s="223" t="s">
        <v>302</v>
      </c>
      <c r="X168" s="223" t="s">
        <v>302</v>
      </c>
      <c r="Y168" s="224" t="s">
        <v>302</v>
      </c>
    </row>
    <row r="169" spans="1:25">
      <c r="A169" s="216">
        <v>4</v>
      </c>
      <c r="B169" s="217" t="str">
        <f>VLOOKUP(Tabel10[[#This Row],[Code]],Ruimtegroepen[[Code]:[Ruimte omschrijving]],2,FALSE)</f>
        <v>Vergader/spreekkamers</v>
      </c>
      <c r="C169" s="218" t="s">
        <v>439</v>
      </c>
      <c r="D169" s="217" t="s">
        <v>29</v>
      </c>
      <c r="E169" s="219" t="s">
        <v>103</v>
      </c>
      <c r="F169" s="218" t="s">
        <v>443</v>
      </c>
      <c r="G169" s="263" t="s">
        <v>302</v>
      </c>
      <c r="H169" s="220" t="s">
        <v>302</v>
      </c>
      <c r="I169" s="220" t="s">
        <v>20</v>
      </c>
      <c r="J169" s="220" t="s">
        <v>15</v>
      </c>
      <c r="K169" s="220" t="s">
        <v>349</v>
      </c>
      <c r="L169" s="220" t="s">
        <v>302</v>
      </c>
      <c r="M169" s="220" t="s">
        <v>302</v>
      </c>
      <c r="N169" s="221" t="s">
        <v>2</v>
      </c>
      <c r="O169" s="222" t="s">
        <v>2</v>
      </c>
      <c r="P169" s="222" t="s">
        <v>2</v>
      </c>
      <c r="Q169" s="222" t="s">
        <v>15</v>
      </c>
      <c r="R169" s="222" t="s">
        <v>15</v>
      </c>
      <c r="S169" s="222" t="s">
        <v>16</v>
      </c>
      <c r="T169" s="222" t="s">
        <v>349</v>
      </c>
      <c r="U169" s="222" t="s">
        <v>269</v>
      </c>
      <c r="V169" s="222" t="s">
        <v>2</v>
      </c>
      <c r="W169" s="223" t="s">
        <v>302</v>
      </c>
      <c r="X169" s="223" t="s">
        <v>302</v>
      </c>
      <c r="Y169" s="224" t="s">
        <v>302</v>
      </c>
    </row>
    <row r="170" spans="1:25">
      <c r="A170" s="216">
        <v>4</v>
      </c>
      <c r="B170" s="217" t="str">
        <f>VLOOKUP(Tabel10[[#This Row],[Code]],Ruimtegroepen[[Code]:[Ruimte omschrijving]],2,FALSE)</f>
        <v>Vergader/spreekkamers</v>
      </c>
      <c r="C170" s="218" t="s">
        <v>439</v>
      </c>
      <c r="D170" s="217" t="s">
        <v>29</v>
      </c>
      <c r="E170" s="219" t="s">
        <v>100</v>
      </c>
      <c r="F170" s="218" t="s">
        <v>441</v>
      </c>
      <c r="G170" s="221" t="s">
        <v>20</v>
      </c>
      <c r="H170" s="221" t="s">
        <v>15</v>
      </c>
      <c r="I170" s="220" t="s">
        <v>302</v>
      </c>
      <c r="J170" s="220" t="s">
        <v>302</v>
      </c>
      <c r="K170" s="220" t="s">
        <v>302</v>
      </c>
      <c r="L170" s="220" t="s">
        <v>302</v>
      </c>
      <c r="M170" s="220" t="s">
        <v>302</v>
      </c>
      <c r="N170" s="221" t="s">
        <v>2</v>
      </c>
      <c r="O170" s="222" t="s">
        <v>2</v>
      </c>
      <c r="P170" s="222" t="s">
        <v>2</v>
      </c>
      <c r="Q170" s="222" t="s">
        <v>15</v>
      </c>
      <c r="R170" s="222" t="s">
        <v>15</v>
      </c>
      <c r="S170" s="222" t="s">
        <v>16</v>
      </c>
      <c r="T170" s="222" t="s">
        <v>349</v>
      </c>
      <c r="U170" s="222" t="s">
        <v>269</v>
      </c>
      <c r="V170" s="222" t="s">
        <v>2</v>
      </c>
      <c r="W170" s="223" t="s">
        <v>302</v>
      </c>
      <c r="X170" s="223" t="s">
        <v>302</v>
      </c>
      <c r="Y170" s="224" t="s">
        <v>302</v>
      </c>
    </row>
    <row r="171" spans="1:25">
      <c r="A171" s="216">
        <v>4</v>
      </c>
      <c r="B171" s="217" t="str">
        <f>VLOOKUP(Tabel10[[#This Row],[Code]],Ruimtegroepen[[Code]:[Ruimte omschrijving]],2,FALSE)</f>
        <v>Vergader/spreekkamers</v>
      </c>
      <c r="C171" s="218" t="s">
        <v>439</v>
      </c>
      <c r="D171" s="217" t="s">
        <v>29</v>
      </c>
      <c r="E171" s="219" t="s">
        <v>1325</v>
      </c>
      <c r="F171" s="218" t="s">
        <v>1493</v>
      </c>
      <c r="G171" s="263" t="s">
        <v>302</v>
      </c>
      <c r="H171" s="220" t="s">
        <v>302</v>
      </c>
      <c r="I171" s="220" t="s">
        <v>20</v>
      </c>
      <c r="J171" s="220" t="s">
        <v>15</v>
      </c>
      <c r="K171" s="220" t="s">
        <v>349</v>
      </c>
      <c r="L171" s="220" t="s">
        <v>302</v>
      </c>
      <c r="M171" s="220" t="s">
        <v>302</v>
      </c>
      <c r="N171" s="221" t="s">
        <v>2</v>
      </c>
      <c r="O171" s="222" t="s">
        <v>2</v>
      </c>
      <c r="P171" s="222" t="s">
        <v>2</v>
      </c>
      <c r="Q171" s="222" t="s">
        <v>15</v>
      </c>
      <c r="R171" s="222" t="s">
        <v>15</v>
      </c>
      <c r="S171" s="222" t="s">
        <v>16</v>
      </c>
      <c r="T171" s="222" t="s">
        <v>349</v>
      </c>
      <c r="U171" s="222" t="s">
        <v>269</v>
      </c>
      <c r="V171" s="222" t="s">
        <v>2</v>
      </c>
      <c r="W171" s="223" t="s">
        <v>302</v>
      </c>
      <c r="X171" s="223" t="s">
        <v>302</v>
      </c>
      <c r="Y171" s="224" t="s">
        <v>302</v>
      </c>
    </row>
    <row r="172" spans="1:25">
      <c r="A172" s="216">
        <v>4</v>
      </c>
      <c r="B172" s="217" t="str">
        <f>VLOOKUP(Tabel10[[#This Row],[Code]],Ruimtegroepen[[Code]:[Ruimte omschrijving]],2,FALSE)</f>
        <v>Vergader/spreekkamers</v>
      </c>
      <c r="C172" s="218" t="s">
        <v>444</v>
      </c>
      <c r="D172" s="217" t="s">
        <v>1</v>
      </c>
      <c r="E172" s="219" t="s">
        <v>101</v>
      </c>
      <c r="F172" s="218" t="s">
        <v>445</v>
      </c>
      <c r="G172" s="263" t="s">
        <v>302</v>
      </c>
      <c r="H172" s="220" t="s">
        <v>302</v>
      </c>
      <c r="I172" s="220" t="s">
        <v>20</v>
      </c>
      <c r="J172" s="220" t="s">
        <v>15</v>
      </c>
      <c r="K172" s="220" t="s">
        <v>302</v>
      </c>
      <c r="L172" s="220" t="s">
        <v>302</v>
      </c>
      <c r="M172" s="220" t="s">
        <v>302</v>
      </c>
      <c r="N172" s="221" t="s">
        <v>302</v>
      </c>
      <c r="O172" s="222" t="s">
        <v>2</v>
      </c>
      <c r="P172" s="222" t="s">
        <v>2</v>
      </c>
      <c r="Q172" s="222" t="s">
        <v>15</v>
      </c>
      <c r="R172" s="222" t="s">
        <v>15</v>
      </c>
      <c r="S172" s="222" t="s">
        <v>16</v>
      </c>
      <c r="T172" s="222" t="s">
        <v>349</v>
      </c>
      <c r="U172" s="222" t="s">
        <v>269</v>
      </c>
      <c r="V172" s="222" t="s">
        <v>302</v>
      </c>
      <c r="W172" s="223" t="s">
        <v>302</v>
      </c>
      <c r="X172" s="223" t="s">
        <v>302</v>
      </c>
      <c r="Y172" s="224" t="s">
        <v>302</v>
      </c>
    </row>
    <row r="173" spans="1:25">
      <c r="A173" s="216">
        <v>4</v>
      </c>
      <c r="B173" s="217" t="str">
        <f>VLOOKUP(Tabel10[[#This Row],[Code]],Ruimtegroepen[[Code]:[Ruimte omschrijving]],2,FALSE)</f>
        <v>Vergader/spreekkamers</v>
      </c>
      <c r="C173" s="218" t="s">
        <v>444</v>
      </c>
      <c r="D173" s="217" t="s">
        <v>1</v>
      </c>
      <c r="E173" s="219" t="s">
        <v>100</v>
      </c>
      <c r="F173" s="218" t="s">
        <v>446</v>
      </c>
      <c r="G173" s="221" t="s">
        <v>20</v>
      </c>
      <c r="H173" s="221" t="s">
        <v>15</v>
      </c>
      <c r="I173" s="220" t="s">
        <v>302</v>
      </c>
      <c r="J173" s="220" t="s">
        <v>302</v>
      </c>
      <c r="K173" s="220" t="s">
        <v>302</v>
      </c>
      <c r="L173" s="220" t="s">
        <v>302</v>
      </c>
      <c r="M173" s="220" t="s">
        <v>302</v>
      </c>
      <c r="N173" s="221" t="s">
        <v>302</v>
      </c>
      <c r="O173" s="222" t="s">
        <v>2</v>
      </c>
      <c r="P173" s="222" t="s">
        <v>2</v>
      </c>
      <c r="Q173" s="222" t="s">
        <v>15</v>
      </c>
      <c r="R173" s="222" t="s">
        <v>15</v>
      </c>
      <c r="S173" s="222" t="s">
        <v>16</v>
      </c>
      <c r="T173" s="222" t="s">
        <v>349</v>
      </c>
      <c r="U173" s="222" t="s">
        <v>269</v>
      </c>
      <c r="V173" s="222" t="s">
        <v>302</v>
      </c>
      <c r="W173" s="223" t="s">
        <v>302</v>
      </c>
      <c r="X173" s="223" t="s">
        <v>302</v>
      </c>
      <c r="Y173" s="224" t="s">
        <v>302</v>
      </c>
    </row>
    <row r="174" spans="1:25">
      <c r="A174" s="216">
        <v>4</v>
      </c>
      <c r="B174" s="217" t="str">
        <f>VLOOKUP(Tabel10[[#This Row],[Code]],Ruimtegroepen[[Code]:[Ruimte omschrijving]],2,FALSE)</f>
        <v>Vergader/spreekkamers</v>
      </c>
      <c r="C174" s="218" t="s">
        <v>444</v>
      </c>
      <c r="D174" s="217" t="s">
        <v>1</v>
      </c>
      <c r="E174" s="219" t="s">
        <v>102</v>
      </c>
      <c r="F174" s="218" t="s">
        <v>447</v>
      </c>
      <c r="G174" s="263" t="s">
        <v>302</v>
      </c>
      <c r="H174" s="220" t="s">
        <v>302</v>
      </c>
      <c r="I174" s="220" t="s">
        <v>20</v>
      </c>
      <c r="J174" s="220" t="s">
        <v>15</v>
      </c>
      <c r="K174" s="220" t="s">
        <v>349</v>
      </c>
      <c r="L174" s="220" t="s">
        <v>302</v>
      </c>
      <c r="M174" s="220" t="s">
        <v>302</v>
      </c>
      <c r="N174" s="221" t="s">
        <v>302</v>
      </c>
      <c r="O174" s="222" t="s">
        <v>2</v>
      </c>
      <c r="P174" s="222" t="s">
        <v>2</v>
      </c>
      <c r="Q174" s="222" t="s">
        <v>15</v>
      </c>
      <c r="R174" s="222" t="s">
        <v>15</v>
      </c>
      <c r="S174" s="222" t="s">
        <v>16</v>
      </c>
      <c r="T174" s="222" t="s">
        <v>349</v>
      </c>
      <c r="U174" s="222" t="s">
        <v>269</v>
      </c>
      <c r="V174" s="222" t="s">
        <v>302</v>
      </c>
      <c r="W174" s="223" t="s">
        <v>302</v>
      </c>
      <c r="X174" s="223" t="s">
        <v>302</v>
      </c>
      <c r="Y174" s="224" t="s">
        <v>302</v>
      </c>
    </row>
    <row r="175" spans="1:25">
      <c r="A175" s="216">
        <v>4</v>
      </c>
      <c r="B175" s="217" t="str">
        <f>VLOOKUP(Tabel10[[#This Row],[Code]],Ruimtegroepen[[Code]:[Ruimte omschrijving]],2,FALSE)</f>
        <v>Vergader/spreekkamers</v>
      </c>
      <c r="C175" s="218" t="s">
        <v>444</v>
      </c>
      <c r="D175" s="217" t="s">
        <v>1</v>
      </c>
      <c r="E175" s="219" t="s">
        <v>103</v>
      </c>
      <c r="F175" s="218" t="s">
        <v>448</v>
      </c>
      <c r="G175" s="263" t="s">
        <v>302</v>
      </c>
      <c r="H175" s="220" t="s">
        <v>302</v>
      </c>
      <c r="I175" s="220" t="s">
        <v>20</v>
      </c>
      <c r="J175" s="220" t="s">
        <v>15</v>
      </c>
      <c r="K175" s="220" t="s">
        <v>349</v>
      </c>
      <c r="L175" s="220" t="s">
        <v>302</v>
      </c>
      <c r="M175" s="220" t="s">
        <v>302</v>
      </c>
      <c r="N175" s="221" t="s">
        <v>302</v>
      </c>
      <c r="O175" s="222" t="s">
        <v>2</v>
      </c>
      <c r="P175" s="222" t="s">
        <v>2</v>
      </c>
      <c r="Q175" s="222" t="s">
        <v>15</v>
      </c>
      <c r="R175" s="222" t="s">
        <v>15</v>
      </c>
      <c r="S175" s="222" t="s">
        <v>16</v>
      </c>
      <c r="T175" s="222" t="s">
        <v>349</v>
      </c>
      <c r="U175" s="222" t="s">
        <v>269</v>
      </c>
      <c r="V175" s="222" t="s">
        <v>302</v>
      </c>
      <c r="W175" s="223" t="s">
        <v>302</v>
      </c>
      <c r="X175" s="223" t="s">
        <v>302</v>
      </c>
      <c r="Y175" s="224" t="s">
        <v>302</v>
      </c>
    </row>
    <row r="176" spans="1:25">
      <c r="A176" s="216">
        <v>4</v>
      </c>
      <c r="B176" s="217" t="str">
        <f>VLOOKUP(Tabel10[[#This Row],[Code]],Ruimtegroepen[[Code]:[Ruimte omschrijving]],2,FALSE)</f>
        <v>Vergader/spreekkamers</v>
      </c>
      <c r="C176" s="218" t="s">
        <v>444</v>
      </c>
      <c r="D176" s="217" t="s">
        <v>1</v>
      </c>
      <c r="E176" s="219" t="s">
        <v>100</v>
      </c>
      <c r="F176" s="218" t="s">
        <v>446</v>
      </c>
      <c r="G176" s="221" t="s">
        <v>20</v>
      </c>
      <c r="H176" s="221" t="s">
        <v>15</v>
      </c>
      <c r="I176" s="220" t="s">
        <v>302</v>
      </c>
      <c r="J176" s="220" t="s">
        <v>302</v>
      </c>
      <c r="K176" s="220" t="s">
        <v>302</v>
      </c>
      <c r="L176" s="220" t="s">
        <v>302</v>
      </c>
      <c r="M176" s="220" t="s">
        <v>302</v>
      </c>
      <c r="N176" s="221" t="s">
        <v>302</v>
      </c>
      <c r="O176" s="222" t="s">
        <v>2</v>
      </c>
      <c r="P176" s="222" t="s">
        <v>2</v>
      </c>
      <c r="Q176" s="222" t="s">
        <v>15</v>
      </c>
      <c r="R176" s="222" t="s">
        <v>15</v>
      </c>
      <c r="S176" s="222" t="s">
        <v>16</v>
      </c>
      <c r="T176" s="222" t="s">
        <v>349</v>
      </c>
      <c r="U176" s="222" t="s">
        <v>269</v>
      </c>
      <c r="V176" s="222" t="s">
        <v>302</v>
      </c>
      <c r="W176" s="223" t="s">
        <v>302</v>
      </c>
      <c r="X176" s="223" t="s">
        <v>302</v>
      </c>
      <c r="Y176" s="224" t="s">
        <v>302</v>
      </c>
    </row>
    <row r="177" spans="1:25">
      <c r="A177" s="216">
        <v>4</v>
      </c>
      <c r="B177" s="217" t="str">
        <f>VLOOKUP(Tabel10[[#This Row],[Code]],Ruimtegroepen[[Code]:[Ruimte omschrijving]],2,FALSE)</f>
        <v>Vergader/spreekkamers</v>
      </c>
      <c r="C177" s="218" t="s">
        <v>444</v>
      </c>
      <c r="D177" s="217" t="s">
        <v>1</v>
      </c>
      <c r="E177" s="219" t="s">
        <v>1325</v>
      </c>
      <c r="F177" s="218" t="s">
        <v>1478</v>
      </c>
      <c r="G177" s="263" t="s">
        <v>302</v>
      </c>
      <c r="H177" s="220" t="s">
        <v>302</v>
      </c>
      <c r="I177" s="220" t="s">
        <v>20</v>
      </c>
      <c r="J177" s="220" t="s">
        <v>15</v>
      </c>
      <c r="K177" s="220" t="s">
        <v>349</v>
      </c>
      <c r="L177" s="220" t="s">
        <v>302</v>
      </c>
      <c r="M177" s="220" t="s">
        <v>302</v>
      </c>
      <c r="N177" s="221" t="s">
        <v>302</v>
      </c>
      <c r="O177" s="222" t="s">
        <v>2</v>
      </c>
      <c r="P177" s="222" t="s">
        <v>2</v>
      </c>
      <c r="Q177" s="222" t="s">
        <v>15</v>
      </c>
      <c r="R177" s="222" t="s">
        <v>15</v>
      </c>
      <c r="S177" s="222" t="s">
        <v>16</v>
      </c>
      <c r="T177" s="222" t="s">
        <v>349</v>
      </c>
      <c r="U177" s="222" t="s">
        <v>269</v>
      </c>
      <c r="V177" s="222" t="s">
        <v>302</v>
      </c>
      <c r="W177" s="223" t="s">
        <v>302</v>
      </c>
      <c r="X177" s="223" t="s">
        <v>302</v>
      </c>
      <c r="Y177" s="224" t="s">
        <v>302</v>
      </c>
    </row>
    <row r="178" spans="1:25">
      <c r="A178" s="216">
        <v>4</v>
      </c>
      <c r="B178" s="217" t="str">
        <f>VLOOKUP(Tabel10[[#This Row],[Code]],Ruimtegroepen[[Code]:[Ruimte omschrijving]],2,FALSE)</f>
        <v>Vergader/spreekkamers</v>
      </c>
      <c r="C178" s="218" t="s">
        <v>449</v>
      </c>
      <c r="D178" s="217" t="s">
        <v>21</v>
      </c>
      <c r="E178" s="219" t="s">
        <v>101</v>
      </c>
      <c r="F178" s="218" t="s">
        <v>450</v>
      </c>
      <c r="G178" s="263" t="s">
        <v>302</v>
      </c>
      <c r="H178" s="220" t="s">
        <v>302</v>
      </c>
      <c r="I178" s="220" t="s">
        <v>18</v>
      </c>
      <c r="J178" s="220" t="s">
        <v>15</v>
      </c>
      <c r="K178" s="220" t="s">
        <v>302</v>
      </c>
      <c r="L178" s="220" t="s">
        <v>302</v>
      </c>
      <c r="M178" s="220" t="s">
        <v>302</v>
      </c>
      <c r="N178" s="221" t="s">
        <v>302</v>
      </c>
      <c r="O178" s="222" t="s">
        <v>20</v>
      </c>
      <c r="P178" s="222" t="s">
        <v>20</v>
      </c>
      <c r="Q178" s="222" t="s">
        <v>15</v>
      </c>
      <c r="R178" s="222" t="s">
        <v>15</v>
      </c>
      <c r="S178" s="222" t="s">
        <v>16</v>
      </c>
      <c r="T178" s="222" t="s">
        <v>349</v>
      </c>
      <c r="U178" s="222" t="s">
        <v>269</v>
      </c>
      <c r="V178" s="222" t="s">
        <v>302</v>
      </c>
      <c r="W178" s="223" t="s">
        <v>302</v>
      </c>
      <c r="X178" s="223" t="s">
        <v>302</v>
      </c>
      <c r="Y178" s="224" t="s">
        <v>302</v>
      </c>
    </row>
    <row r="179" spans="1:25">
      <c r="A179" s="216">
        <v>4</v>
      </c>
      <c r="B179" s="217" t="str">
        <f>VLOOKUP(Tabel10[[#This Row],[Code]],Ruimtegroepen[[Code]:[Ruimte omschrijving]],2,FALSE)</f>
        <v>Vergader/spreekkamers</v>
      </c>
      <c r="C179" s="218" t="s">
        <v>449</v>
      </c>
      <c r="D179" s="217" t="s">
        <v>21</v>
      </c>
      <c r="E179" s="219" t="s">
        <v>100</v>
      </c>
      <c r="F179" s="218" t="s">
        <v>451</v>
      </c>
      <c r="G179" s="221" t="s">
        <v>18</v>
      </c>
      <c r="H179" s="221" t="s">
        <v>15</v>
      </c>
      <c r="I179" s="220" t="s">
        <v>302</v>
      </c>
      <c r="J179" s="220" t="s">
        <v>302</v>
      </c>
      <c r="K179" s="220" t="s">
        <v>302</v>
      </c>
      <c r="L179" s="220" t="s">
        <v>302</v>
      </c>
      <c r="M179" s="220" t="s">
        <v>302</v>
      </c>
      <c r="N179" s="221" t="s">
        <v>302</v>
      </c>
      <c r="O179" s="222" t="s">
        <v>20</v>
      </c>
      <c r="P179" s="222" t="s">
        <v>20</v>
      </c>
      <c r="Q179" s="222" t="s">
        <v>15</v>
      </c>
      <c r="R179" s="222" t="s">
        <v>15</v>
      </c>
      <c r="S179" s="222" t="s">
        <v>16</v>
      </c>
      <c r="T179" s="222" t="s">
        <v>349</v>
      </c>
      <c r="U179" s="222" t="s">
        <v>269</v>
      </c>
      <c r="V179" s="222" t="s">
        <v>302</v>
      </c>
      <c r="W179" s="223" t="s">
        <v>302</v>
      </c>
      <c r="X179" s="223" t="s">
        <v>302</v>
      </c>
      <c r="Y179" s="224" t="s">
        <v>302</v>
      </c>
    </row>
    <row r="180" spans="1:25">
      <c r="A180" s="216">
        <v>4</v>
      </c>
      <c r="B180" s="217" t="str">
        <f>VLOOKUP(Tabel10[[#This Row],[Code]],Ruimtegroepen[[Code]:[Ruimte omschrijving]],2,FALSE)</f>
        <v>Vergader/spreekkamers</v>
      </c>
      <c r="C180" s="218" t="s">
        <v>449</v>
      </c>
      <c r="D180" s="217" t="s">
        <v>21</v>
      </c>
      <c r="E180" s="219" t="s">
        <v>102</v>
      </c>
      <c r="F180" s="218" t="s">
        <v>452</v>
      </c>
      <c r="G180" s="263" t="s">
        <v>302</v>
      </c>
      <c r="H180" s="220" t="s">
        <v>302</v>
      </c>
      <c r="I180" s="220" t="s">
        <v>18</v>
      </c>
      <c r="J180" s="220" t="s">
        <v>15</v>
      </c>
      <c r="K180" s="220" t="s">
        <v>349</v>
      </c>
      <c r="L180" s="220" t="s">
        <v>302</v>
      </c>
      <c r="M180" s="220" t="s">
        <v>302</v>
      </c>
      <c r="N180" s="221" t="s">
        <v>302</v>
      </c>
      <c r="O180" s="222" t="s">
        <v>20</v>
      </c>
      <c r="P180" s="222" t="s">
        <v>20</v>
      </c>
      <c r="Q180" s="222" t="s">
        <v>15</v>
      </c>
      <c r="R180" s="222" t="s">
        <v>15</v>
      </c>
      <c r="S180" s="222" t="s">
        <v>16</v>
      </c>
      <c r="T180" s="222" t="s">
        <v>349</v>
      </c>
      <c r="U180" s="222" t="s">
        <v>269</v>
      </c>
      <c r="V180" s="222" t="s">
        <v>302</v>
      </c>
      <c r="W180" s="223" t="s">
        <v>302</v>
      </c>
      <c r="X180" s="223" t="s">
        <v>302</v>
      </c>
      <c r="Y180" s="224" t="s">
        <v>302</v>
      </c>
    </row>
    <row r="181" spans="1:25">
      <c r="A181" s="216">
        <v>4</v>
      </c>
      <c r="B181" s="217" t="str">
        <f>VLOOKUP(Tabel10[[#This Row],[Code]],Ruimtegroepen[[Code]:[Ruimte omschrijving]],2,FALSE)</f>
        <v>Vergader/spreekkamers</v>
      </c>
      <c r="C181" s="218" t="s">
        <v>449</v>
      </c>
      <c r="D181" s="217" t="s">
        <v>21</v>
      </c>
      <c r="E181" s="219" t="s">
        <v>103</v>
      </c>
      <c r="F181" s="218" t="s">
        <v>453</v>
      </c>
      <c r="G181" s="263" t="s">
        <v>302</v>
      </c>
      <c r="H181" s="220" t="s">
        <v>302</v>
      </c>
      <c r="I181" s="220" t="s">
        <v>18</v>
      </c>
      <c r="J181" s="220" t="s">
        <v>15</v>
      </c>
      <c r="K181" s="220" t="s">
        <v>349</v>
      </c>
      <c r="L181" s="220" t="s">
        <v>302</v>
      </c>
      <c r="M181" s="220" t="s">
        <v>302</v>
      </c>
      <c r="N181" s="221" t="s">
        <v>302</v>
      </c>
      <c r="O181" s="222" t="s">
        <v>20</v>
      </c>
      <c r="P181" s="222" t="s">
        <v>20</v>
      </c>
      <c r="Q181" s="222" t="s">
        <v>15</v>
      </c>
      <c r="R181" s="222" t="s">
        <v>15</v>
      </c>
      <c r="S181" s="222" t="s">
        <v>16</v>
      </c>
      <c r="T181" s="222" t="s">
        <v>349</v>
      </c>
      <c r="U181" s="222" t="s">
        <v>269</v>
      </c>
      <c r="V181" s="222" t="s">
        <v>302</v>
      </c>
      <c r="W181" s="223" t="s">
        <v>302</v>
      </c>
      <c r="X181" s="223" t="s">
        <v>302</v>
      </c>
      <c r="Y181" s="224" t="s">
        <v>302</v>
      </c>
    </row>
    <row r="182" spans="1:25">
      <c r="A182" s="216">
        <v>4</v>
      </c>
      <c r="B182" s="217" t="str">
        <f>VLOOKUP(Tabel10[[#This Row],[Code]],Ruimtegroepen[[Code]:[Ruimte omschrijving]],2,FALSE)</f>
        <v>Vergader/spreekkamers</v>
      </c>
      <c r="C182" s="218" t="s">
        <v>449</v>
      </c>
      <c r="D182" s="217" t="s">
        <v>21</v>
      </c>
      <c r="E182" s="219" t="s">
        <v>100</v>
      </c>
      <c r="F182" s="218" t="s">
        <v>451</v>
      </c>
      <c r="G182" s="221" t="s">
        <v>18</v>
      </c>
      <c r="H182" s="221" t="s">
        <v>15</v>
      </c>
      <c r="I182" s="220" t="s">
        <v>302</v>
      </c>
      <c r="J182" s="220" t="s">
        <v>302</v>
      </c>
      <c r="K182" s="220" t="s">
        <v>302</v>
      </c>
      <c r="L182" s="220" t="s">
        <v>302</v>
      </c>
      <c r="M182" s="220" t="s">
        <v>302</v>
      </c>
      <c r="N182" s="221" t="s">
        <v>302</v>
      </c>
      <c r="O182" s="222" t="s">
        <v>20</v>
      </c>
      <c r="P182" s="222" t="s">
        <v>20</v>
      </c>
      <c r="Q182" s="222" t="s">
        <v>15</v>
      </c>
      <c r="R182" s="222" t="s">
        <v>15</v>
      </c>
      <c r="S182" s="222" t="s">
        <v>16</v>
      </c>
      <c r="T182" s="222" t="s">
        <v>349</v>
      </c>
      <c r="U182" s="222" t="s">
        <v>269</v>
      </c>
      <c r="V182" s="222" t="s">
        <v>302</v>
      </c>
      <c r="W182" s="223" t="s">
        <v>302</v>
      </c>
      <c r="X182" s="223" t="s">
        <v>302</v>
      </c>
      <c r="Y182" s="224" t="s">
        <v>302</v>
      </c>
    </row>
    <row r="183" spans="1:25">
      <c r="A183" s="216">
        <v>4</v>
      </c>
      <c r="B183" s="217" t="str">
        <f>VLOOKUP(Tabel10[[#This Row],[Code]],Ruimtegroepen[[Code]:[Ruimte omschrijving]],2,FALSE)</f>
        <v>Vergader/spreekkamers</v>
      </c>
      <c r="C183" s="218" t="s">
        <v>449</v>
      </c>
      <c r="D183" s="217" t="s">
        <v>21</v>
      </c>
      <c r="E183" s="219" t="s">
        <v>1325</v>
      </c>
      <c r="F183" s="218" t="s">
        <v>1459</v>
      </c>
      <c r="G183" s="263" t="s">
        <v>302</v>
      </c>
      <c r="H183" s="220" t="s">
        <v>302</v>
      </c>
      <c r="I183" s="220" t="s">
        <v>18</v>
      </c>
      <c r="J183" s="220" t="s">
        <v>15</v>
      </c>
      <c r="K183" s="220" t="s">
        <v>349</v>
      </c>
      <c r="L183" s="220" t="s">
        <v>302</v>
      </c>
      <c r="M183" s="220" t="s">
        <v>302</v>
      </c>
      <c r="N183" s="221" t="s">
        <v>302</v>
      </c>
      <c r="O183" s="222" t="s">
        <v>20</v>
      </c>
      <c r="P183" s="222" t="s">
        <v>20</v>
      </c>
      <c r="Q183" s="222" t="s">
        <v>15</v>
      </c>
      <c r="R183" s="222" t="s">
        <v>15</v>
      </c>
      <c r="S183" s="222" t="s">
        <v>16</v>
      </c>
      <c r="T183" s="222" t="s">
        <v>349</v>
      </c>
      <c r="U183" s="222" t="s">
        <v>269</v>
      </c>
      <c r="V183" s="222" t="s">
        <v>302</v>
      </c>
      <c r="W183" s="223" t="s">
        <v>302</v>
      </c>
      <c r="X183" s="223" t="s">
        <v>302</v>
      </c>
      <c r="Y183" s="224" t="s">
        <v>302</v>
      </c>
    </row>
    <row r="184" spans="1:25">
      <c r="A184" s="216">
        <v>4</v>
      </c>
      <c r="B184" s="217" t="str">
        <f>VLOOKUP(Tabel10[[#This Row],[Code]],Ruimtegroepen[[Code]:[Ruimte omschrijving]],2,FALSE)</f>
        <v>Vergader/spreekkamers</v>
      </c>
      <c r="C184" s="218" t="s">
        <v>454</v>
      </c>
      <c r="D184" s="217" t="s">
        <v>12</v>
      </c>
      <c r="E184" s="219" t="s">
        <v>101</v>
      </c>
      <c r="F184" s="218" t="s">
        <v>455</v>
      </c>
      <c r="G184" s="263" t="s">
        <v>302</v>
      </c>
      <c r="H184" s="220" t="s">
        <v>302</v>
      </c>
      <c r="I184" s="220" t="s">
        <v>17</v>
      </c>
      <c r="J184" s="220" t="s">
        <v>15</v>
      </c>
      <c r="K184" s="220" t="s">
        <v>302</v>
      </c>
      <c r="L184" s="220" t="s">
        <v>302</v>
      </c>
      <c r="M184" s="220" t="s">
        <v>302</v>
      </c>
      <c r="N184" s="221" t="s">
        <v>302</v>
      </c>
      <c r="O184" s="222" t="s">
        <v>18</v>
      </c>
      <c r="P184" s="222" t="s">
        <v>18</v>
      </c>
      <c r="Q184" s="222" t="s">
        <v>15</v>
      </c>
      <c r="R184" s="222" t="s">
        <v>15</v>
      </c>
      <c r="S184" s="222" t="s">
        <v>16</v>
      </c>
      <c r="T184" s="222" t="s">
        <v>349</v>
      </c>
      <c r="U184" s="222" t="s">
        <v>269</v>
      </c>
      <c r="V184" s="222" t="s">
        <v>302</v>
      </c>
      <c r="W184" s="223" t="s">
        <v>302</v>
      </c>
      <c r="X184" s="223" t="s">
        <v>302</v>
      </c>
      <c r="Y184" s="224" t="s">
        <v>302</v>
      </c>
    </row>
    <row r="185" spans="1:25">
      <c r="A185" s="216">
        <v>4</v>
      </c>
      <c r="B185" s="217" t="str">
        <f>VLOOKUP(Tabel10[[#This Row],[Code]],Ruimtegroepen[[Code]:[Ruimte omschrijving]],2,FALSE)</f>
        <v>Vergader/spreekkamers</v>
      </c>
      <c r="C185" s="218" t="s">
        <v>454</v>
      </c>
      <c r="D185" s="217" t="s">
        <v>12</v>
      </c>
      <c r="E185" s="219" t="s">
        <v>100</v>
      </c>
      <c r="F185" s="218" t="s">
        <v>456</v>
      </c>
      <c r="G185" s="221" t="s">
        <v>17</v>
      </c>
      <c r="H185" s="221" t="s">
        <v>15</v>
      </c>
      <c r="I185" s="220" t="s">
        <v>302</v>
      </c>
      <c r="J185" s="220" t="s">
        <v>302</v>
      </c>
      <c r="K185" s="220" t="s">
        <v>302</v>
      </c>
      <c r="L185" s="220" t="s">
        <v>302</v>
      </c>
      <c r="M185" s="220" t="s">
        <v>302</v>
      </c>
      <c r="N185" s="221" t="s">
        <v>302</v>
      </c>
      <c r="O185" s="222" t="s">
        <v>18</v>
      </c>
      <c r="P185" s="222" t="s">
        <v>18</v>
      </c>
      <c r="Q185" s="222" t="s">
        <v>15</v>
      </c>
      <c r="R185" s="222" t="s">
        <v>15</v>
      </c>
      <c r="S185" s="222" t="s">
        <v>16</v>
      </c>
      <c r="T185" s="222" t="s">
        <v>349</v>
      </c>
      <c r="U185" s="222" t="s">
        <v>269</v>
      </c>
      <c r="V185" s="222" t="s">
        <v>302</v>
      </c>
      <c r="W185" s="223" t="s">
        <v>302</v>
      </c>
      <c r="X185" s="223" t="s">
        <v>302</v>
      </c>
      <c r="Y185" s="224" t="s">
        <v>302</v>
      </c>
    </row>
    <row r="186" spans="1:25">
      <c r="A186" s="216">
        <v>4</v>
      </c>
      <c r="B186" s="217" t="str">
        <f>VLOOKUP(Tabel10[[#This Row],[Code]],Ruimtegroepen[[Code]:[Ruimte omschrijving]],2,FALSE)</f>
        <v>Vergader/spreekkamers</v>
      </c>
      <c r="C186" s="218" t="s">
        <v>454</v>
      </c>
      <c r="D186" s="217" t="s">
        <v>12</v>
      </c>
      <c r="E186" s="219" t="s">
        <v>102</v>
      </c>
      <c r="F186" s="218" t="s">
        <v>457</v>
      </c>
      <c r="G186" s="263" t="s">
        <v>302</v>
      </c>
      <c r="H186" s="220" t="s">
        <v>302</v>
      </c>
      <c r="I186" s="220" t="s">
        <v>17</v>
      </c>
      <c r="J186" s="220" t="s">
        <v>15</v>
      </c>
      <c r="K186" s="220" t="s">
        <v>349</v>
      </c>
      <c r="L186" s="220" t="s">
        <v>302</v>
      </c>
      <c r="M186" s="220" t="s">
        <v>302</v>
      </c>
      <c r="N186" s="221" t="s">
        <v>302</v>
      </c>
      <c r="O186" s="222" t="s">
        <v>18</v>
      </c>
      <c r="P186" s="222" t="s">
        <v>18</v>
      </c>
      <c r="Q186" s="222" t="s">
        <v>15</v>
      </c>
      <c r="R186" s="222" t="s">
        <v>15</v>
      </c>
      <c r="S186" s="222" t="s">
        <v>16</v>
      </c>
      <c r="T186" s="222" t="s">
        <v>349</v>
      </c>
      <c r="U186" s="222" t="s">
        <v>269</v>
      </c>
      <c r="V186" s="222" t="s">
        <v>302</v>
      </c>
      <c r="W186" s="223" t="s">
        <v>302</v>
      </c>
      <c r="X186" s="223" t="s">
        <v>302</v>
      </c>
      <c r="Y186" s="224" t="s">
        <v>302</v>
      </c>
    </row>
    <row r="187" spans="1:25">
      <c r="A187" s="216">
        <v>4</v>
      </c>
      <c r="B187" s="217" t="str">
        <f>VLOOKUP(Tabel10[[#This Row],[Code]],Ruimtegroepen[[Code]:[Ruimte omschrijving]],2,FALSE)</f>
        <v>Vergader/spreekkamers</v>
      </c>
      <c r="C187" s="218" t="s">
        <v>454</v>
      </c>
      <c r="D187" s="217" t="s">
        <v>12</v>
      </c>
      <c r="E187" s="219" t="s">
        <v>103</v>
      </c>
      <c r="F187" s="218" t="s">
        <v>458</v>
      </c>
      <c r="G187" s="263" t="s">
        <v>302</v>
      </c>
      <c r="H187" s="220" t="s">
        <v>302</v>
      </c>
      <c r="I187" s="220" t="s">
        <v>17</v>
      </c>
      <c r="J187" s="220" t="s">
        <v>15</v>
      </c>
      <c r="K187" s="220" t="s">
        <v>349</v>
      </c>
      <c r="L187" s="220" t="s">
        <v>302</v>
      </c>
      <c r="M187" s="220" t="s">
        <v>302</v>
      </c>
      <c r="N187" s="221" t="s">
        <v>302</v>
      </c>
      <c r="O187" s="222" t="s">
        <v>18</v>
      </c>
      <c r="P187" s="222" t="s">
        <v>18</v>
      </c>
      <c r="Q187" s="222" t="s">
        <v>15</v>
      </c>
      <c r="R187" s="222" t="s">
        <v>15</v>
      </c>
      <c r="S187" s="222" t="s">
        <v>16</v>
      </c>
      <c r="T187" s="222" t="s">
        <v>349</v>
      </c>
      <c r="U187" s="222" t="s">
        <v>269</v>
      </c>
      <c r="V187" s="222" t="s">
        <v>302</v>
      </c>
      <c r="W187" s="223" t="s">
        <v>302</v>
      </c>
      <c r="X187" s="223" t="s">
        <v>302</v>
      </c>
      <c r="Y187" s="224" t="s">
        <v>302</v>
      </c>
    </row>
    <row r="188" spans="1:25">
      <c r="A188" s="216">
        <v>4</v>
      </c>
      <c r="B188" s="217" t="str">
        <f>VLOOKUP(Tabel10[[#This Row],[Code]],Ruimtegroepen[[Code]:[Ruimte omschrijving]],2,FALSE)</f>
        <v>Vergader/spreekkamers</v>
      </c>
      <c r="C188" s="218" t="s">
        <v>454</v>
      </c>
      <c r="D188" s="217" t="s">
        <v>12</v>
      </c>
      <c r="E188" s="219" t="s">
        <v>100</v>
      </c>
      <c r="F188" s="218" t="s">
        <v>456</v>
      </c>
      <c r="G188" s="221" t="s">
        <v>17</v>
      </c>
      <c r="H188" s="221" t="s">
        <v>15</v>
      </c>
      <c r="I188" s="220" t="s">
        <v>302</v>
      </c>
      <c r="J188" s="220" t="s">
        <v>302</v>
      </c>
      <c r="K188" s="220" t="s">
        <v>302</v>
      </c>
      <c r="L188" s="220" t="s">
        <v>302</v>
      </c>
      <c r="M188" s="220" t="s">
        <v>302</v>
      </c>
      <c r="N188" s="221" t="s">
        <v>302</v>
      </c>
      <c r="O188" s="222" t="s">
        <v>18</v>
      </c>
      <c r="P188" s="222" t="s">
        <v>18</v>
      </c>
      <c r="Q188" s="222" t="s">
        <v>15</v>
      </c>
      <c r="R188" s="222" t="s">
        <v>15</v>
      </c>
      <c r="S188" s="222" t="s">
        <v>16</v>
      </c>
      <c r="T188" s="222" t="s">
        <v>349</v>
      </c>
      <c r="U188" s="222" t="s">
        <v>269</v>
      </c>
      <c r="V188" s="222" t="s">
        <v>302</v>
      </c>
      <c r="W188" s="223" t="s">
        <v>302</v>
      </c>
      <c r="X188" s="223" t="s">
        <v>302</v>
      </c>
      <c r="Y188" s="224" t="s">
        <v>302</v>
      </c>
    </row>
    <row r="189" spans="1:25">
      <c r="A189" s="216">
        <v>4</v>
      </c>
      <c r="B189" s="217" t="str">
        <f>VLOOKUP(Tabel10[[#This Row],[Code]],Ruimtegroepen[[Code]:[Ruimte omschrijving]],2,FALSE)</f>
        <v>Vergader/spreekkamers</v>
      </c>
      <c r="C189" s="218" t="s">
        <v>454</v>
      </c>
      <c r="D189" s="217" t="s">
        <v>12</v>
      </c>
      <c r="E189" s="219" t="s">
        <v>1325</v>
      </c>
      <c r="F189" s="218" t="s">
        <v>1442</v>
      </c>
      <c r="G189" s="263" t="s">
        <v>302</v>
      </c>
      <c r="H189" s="220" t="s">
        <v>302</v>
      </c>
      <c r="I189" s="220" t="s">
        <v>17</v>
      </c>
      <c r="J189" s="220" t="s">
        <v>15</v>
      </c>
      <c r="K189" s="220" t="s">
        <v>349</v>
      </c>
      <c r="L189" s="220" t="s">
        <v>302</v>
      </c>
      <c r="M189" s="220" t="s">
        <v>302</v>
      </c>
      <c r="N189" s="221" t="s">
        <v>302</v>
      </c>
      <c r="O189" s="222" t="s">
        <v>18</v>
      </c>
      <c r="P189" s="222" t="s">
        <v>18</v>
      </c>
      <c r="Q189" s="222" t="s">
        <v>15</v>
      </c>
      <c r="R189" s="222" t="s">
        <v>15</v>
      </c>
      <c r="S189" s="222" t="s">
        <v>16</v>
      </c>
      <c r="T189" s="222" t="s">
        <v>349</v>
      </c>
      <c r="U189" s="222" t="s">
        <v>269</v>
      </c>
      <c r="V189" s="222" t="s">
        <v>302</v>
      </c>
      <c r="W189" s="223" t="s">
        <v>302</v>
      </c>
      <c r="X189" s="223" t="s">
        <v>302</v>
      </c>
      <c r="Y189" s="224" t="s">
        <v>302</v>
      </c>
    </row>
    <row r="190" spans="1:25">
      <c r="A190" s="216">
        <v>4</v>
      </c>
      <c r="B190" s="217" t="str">
        <f>VLOOKUP(Tabel10[[#This Row],[Code]],Ruimtegroepen[[Code]:[Ruimte omschrijving]],2,FALSE)</f>
        <v>Vergader/spreekkamers</v>
      </c>
      <c r="C190" s="218" t="s">
        <v>459</v>
      </c>
      <c r="D190" s="217" t="s">
        <v>14</v>
      </c>
      <c r="E190" s="219" t="s">
        <v>101</v>
      </c>
      <c r="F190" s="218" t="s">
        <v>460</v>
      </c>
      <c r="G190" s="263" t="s">
        <v>302</v>
      </c>
      <c r="H190" s="220" t="s">
        <v>302</v>
      </c>
      <c r="I190" s="220" t="s">
        <v>15</v>
      </c>
      <c r="J190" s="220" t="s">
        <v>15</v>
      </c>
      <c r="K190" s="220" t="s">
        <v>302</v>
      </c>
      <c r="L190" s="220" t="s">
        <v>302</v>
      </c>
      <c r="M190" s="220" t="s">
        <v>302</v>
      </c>
      <c r="N190" s="221" t="s">
        <v>302</v>
      </c>
      <c r="O190" s="222" t="s">
        <v>17</v>
      </c>
      <c r="P190" s="222" t="s">
        <v>17</v>
      </c>
      <c r="Q190" s="222" t="s">
        <v>15</v>
      </c>
      <c r="R190" s="222" t="s">
        <v>15</v>
      </c>
      <c r="S190" s="222" t="s">
        <v>16</v>
      </c>
      <c r="T190" s="222" t="s">
        <v>349</v>
      </c>
      <c r="U190" s="222" t="s">
        <v>269</v>
      </c>
      <c r="V190" s="222" t="s">
        <v>302</v>
      </c>
      <c r="W190" s="223" t="s">
        <v>302</v>
      </c>
      <c r="X190" s="223" t="s">
        <v>302</v>
      </c>
      <c r="Y190" s="224" t="s">
        <v>302</v>
      </c>
    </row>
    <row r="191" spans="1:25">
      <c r="A191" s="216">
        <v>4</v>
      </c>
      <c r="B191" s="217" t="str">
        <f>VLOOKUP(Tabel10[[#This Row],[Code]],Ruimtegroepen[[Code]:[Ruimte omschrijving]],2,FALSE)</f>
        <v>Vergader/spreekkamers</v>
      </c>
      <c r="C191" s="218" t="s">
        <v>459</v>
      </c>
      <c r="D191" s="217" t="s">
        <v>14</v>
      </c>
      <c r="E191" s="219" t="s">
        <v>100</v>
      </c>
      <c r="F191" s="218" t="s">
        <v>461</v>
      </c>
      <c r="G191" s="221" t="s">
        <v>15</v>
      </c>
      <c r="H191" s="221" t="s">
        <v>15</v>
      </c>
      <c r="I191" s="220" t="s">
        <v>302</v>
      </c>
      <c r="J191" s="220" t="s">
        <v>302</v>
      </c>
      <c r="K191" s="220" t="s">
        <v>302</v>
      </c>
      <c r="L191" s="220" t="s">
        <v>302</v>
      </c>
      <c r="M191" s="220" t="s">
        <v>302</v>
      </c>
      <c r="N191" s="221" t="s">
        <v>302</v>
      </c>
      <c r="O191" s="222" t="s">
        <v>17</v>
      </c>
      <c r="P191" s="222" t="s">
        <v>17</v>
      </c>
      <c r="Q191" s="222" t="s">
        <v>15</v>
      </c>
      <c r="R191" s="222" t="s">
        <v>15</v>
      </c>
      <c r="S191" s="222" t="s">
        <v>16</v>
      </c>
      <c r="T191" s="222" t="s">
        <v>349</v>
      </c>
      <c r="U191" s="222" t="s">
        <v>269</v>
      </c>
      <c r="V191" s="222" t="s">
        <v>302</v>
      </c>
      <c r="W191" s="223" t="s">
        <v>302</v>
      </c>
      <c r="X191" s="223" t="s">
        <v>302</v>
      </c>
      <c r="Y191" s="224" t="s">
        <v>302</v>
      </c>
    </row>
    <row r="192" spans="1:25">
      <c r="A192" s="216">
        <v>4</v>
      </c>
      <c r="B192" s="217" t="str">
        <f>VLOOKUP(Tabel10[[#This Row],[Code]],Ruimtegroepen[[Code]:[Ruimte omschrijving]],2,FALSE)</f>
        <v>Vergader/spreekkamers</v>
      </c>
      <c r="C192" s="218" t="s">
        <v>459</v>
      </c>
      <c r="D192" s="217" t="s">
        <v>14</v>
      </c>
      <c r="E192" s="219" t="s">
        <v>102</v>
      </c>
      <c r="F192" s="218" t="s">
        <v>462</v>
      </c>
      <c r="G192" s="263" t="s">
        <v>302</v>
      </c>
      <c r="H192" s="220" t="s">
        <v>302</v>
      </c>
      <c r="I192" s="220" t="s">
        <v>15</v>
      </c>
      <c r="J192" s="220" t="s">
        <v>15</v>
      </c>
      <c r="K192" s="220" t="s">
        <v>349</v>
      </c>
      <c r="L192" s="220" t="s">
        <v>302</v>
      </c>
      <c r="M192" s="220" t="s">
        <v>302</v>
      </c>
      <c r="N192" s="221" t="s">
        <v>302</v>
      </c>
      <c r="O192" s="222" t="s">
        <v>17</v>
      </c>
      <c r="P192" s="222" t="s">
        <v>17</v>
      </c>
      <c r="Q192" s="222" t="s">
        <v>15</v>
      </c>
      <c r="R192" s="222" t="s">
        <v>15</v>
      </c>
      <c r="S192" s="222" t="s">
        <v>16</v>
      </c>
      <c r="T192" s="222" t="s">
        <v>349</v>
      </c>
      <c r="U192" s="222" t="s">
        <v>269</v>
      </c>
      <c r="V192" s="222" t="s">
        <v>302</v>
      </c>
      <c r="W192" s="223" t="s">
        <v>302</v>
      </c>
      <c r="X192" s="223" t="s">
        <v>302</v>
      </c>
      <c r="Y192" s="224" t="s">
        <v>302</v>
      </c>
    </row>
    <row r="193" spans="1:25">
      <c r="A193" s="216">
        <v>4</v>
      </c>
      <c r="B193" s="217" t="str">
        <f>VLOOKUP(Tabel10[[#This Row],[Code]],Ruimtegroepen[[Code]:[Ruimte omschrijving]],2,FALSE)</f>
        <v>Vergader/spreekkamers</v>
      </c>
      <c r="C193" s="218" t="s">
        <v>459</v>
      </c>
      <c r="D193" s="217" t="s">
        <v>14</v>
      </c>
      <c r="E193" s="219" t="s">
        <v>103</v>
      </c>
      <c r="F193" s="218" t="s">
        <v>463</v>
      </c>
      <c r="G193" s="263" t="s">
        <v>302</v>
      </c>
      <c r="H193" s="220" t="s">
        <v>302</v>
      </c>
      <c r="I193" s="220" t="s">
        <v>15</v>
      </c>
      <c r="J193" s="220" t="s">
        <v>15</v>
      </c>
      <c r="K193" s="220" t="s">
        <v>349</v>
      </c>
      <c r="L193" s="220" t="s">
        <v>302</v>
      </c>
      <c r="M193" s="220" t="s">
        <v>302</v>
      </c>
      <c r="N193" s="221" t="s">
        <v>302</v>
      </c>
      <c r="O193" s="222" t="s">
        <v>17</v>
      </c>
      <c r="P193" s="222" t="s">
        <v>17</v>
      </c>
      <c r="Q193" s="222" t="s">
        <v>15</v>
      </c>
      <c r="R193" s="222" t="s">
        <v>15</v>
      </c>
      <c r="S193" s="222" t="s">
        <v>16</v>
      </c>
      <c r="T193" s="222" t="s">
        <v>349</v>
      </c>
      <c r="U193" s="222" t="s">
        <v>269</v>
      </c>
      <c r="V193" s="222" t="s">
        <v>302</v>
      </c>
      <c r="W193" s="223" t="s">
        <v>302</v>
      </c>
      <c r="X193" s="223" t="s">
        <v>302</v>
      </c>
      <c r="Y193" s="224" t="s">
        <v>302</v>
      </c>
    </row>
    <row r="194" spans="1:25">
      <c r="A194" s="216">
        <v>4</v>
      </c>
      <c r="B194" s="217" t="str">
        <f>VLOOKUP(Tabel10[[#This Row],[Code]],Ruimtegroepen[[Code]:[Ruimte omschrijving]],2,FALSE)</f>
        <v>Vergader/spreekkamers</v>
      </c>
      <c r="C194" s="218" t="s">
        <v>459</v>
      </c>
      <c r="D194" s="217" t="s">
        <v>14</v>
      </c>
      <c r="E194" s="219" t="s">
        <v>100</v>
      </c>
      <c r="F194" s="218" t="s">
        <v>461</v>
      </c>
      <c r="G194" s="221" t="s">
        <v>15</v>
      </c>
      <c r="H194" s="221" t="s">
        <v>15</v>
      </c>
      <c r="I194" s="220" t="s">
        <v>302</v>
      </c>
      <c r="J194" s="220" t="s">
        <v>302</v>
      </c>
      <c r="K194" s="220" t="s">
        <v>302</v>
      </c>
      <c r="L194" s="220" t="s">
        <v>302</v>
      </c>
      <c r="M194" s="220" t="s">
        <v>302</v>
      </c>
      <c r="N194" s="221" t="s">
        <v>302</v>
      </c>
      <c r="O194" s="222" t="s">
        <v>17</v>
      </c>
      <c r="P194" s="222" t="s">
        <v>17</v>
      </c>
      <c r="Q194" s="222" t="s">
        <v>15</v>
      </c>
      <c r="R194" s="222" t="s">
        <v>15</v>
      </c>
      <c r="S194" s="222" t="s">
        <v>16</v>
      </c>
      <c r="T194" s="222" t="s">
        <v>349</v>
      </c>
      <c r="U194" s="222" t="s">
        <v>269</v>
      </c>
      <c r="V194" s="222" t="s">
        <v>302</v>
      </c>
      <c r="W194" s="223" t="s">
        <v>302</v>
      </c>
      <c r="X194" s="223" t="s">
        <v>302</v>
      </c>
      <c r="Y194" s="224" t="s">
        <v>302</v>
      </c>
    </row>
    <row r="195" spans="1:25">
      <c r="A195" s="216">
        <v>4</v>
      </c>
      <c r="B195" s="217" t="str">
        <f>VLOOKUP(Tabel10[[#This Row],[Code]],Ruimtegroepen[[Code]:[Ruimte omschrijving]],2,FALSE)</f>
        <v>Vergader/spreekkamers</v>
      </c>
      <c r="C195" s="218" t="s">
        <v>459</v>
      </c>
      <c r="D195" s="217" t="s">
        <v>14</v>
      </c>
      <c r="E195" s="219" t="s">
        <v>1325</v>
      </c>
      <c r="F195" s="218" t="s">
        <v>1409</v>
      </c>
      <c r="G195" s="263" t="s">
        <v>302</v>
      </c>
      <c r="H195" s="220" t="s">
        <v>302</v>
      </c>
      <c r="I195" s="220" t="s">
        <v>15</v>
      </c>
      <c r="J195" s="220" t="s">
        <v>15</v>
      </c>
      <c r="K195" s="220" t="s">
        <v>349</v>
      </c>
      <c r="L195" s="220" t="s">
        <v>302</v>
      </c>
      <c r="M195" s="220" t="s">
        <v>302</v>
      </c>
      <c r="N195" s="221" t="s">
        <v>302</v>
      </c>
      <c r="O195" s="222" t="s">
        <v>17</v>
      </c>
      <c r="P195" s="222" t="s">
        <v>17</v>
      </c>
      <c r="Q195" s="222" t="s">
        <v>15</v>
      </c>
      <c r="R195" s="222" t="s">
        <v>15</v>
      </c>
      <c r="S195" s="222" t="s">
        <v>16</v>
      </c>
      <c r="T195" s="222" t="s">
        <v>349</v>
      </c>
      <c r="U195" s="222" t="s">
        <v>269</v>
      </c>
      <c r="V195" s="222" t="s">
        <v>302</v>
      </c>
      <c r="W195" s="223" t="s">
        <v>302</v>
      </c>
      <c r="X195" s="223" t="s">
        <v>302</v>
      </c>
      <c r="Y195" s="224" t="s">
        <v>302</v>
      </c>
    </row>
    <row r="196" spans="1:25">
      <c r="A196" s="216">
        <v>4</v>
      </c>
      <c r="B196" s="217" t="str">
        <f>VLOOKUP(Tabel10[[#This Row],[Code]],Ruimtegroepen[[Code]:[Ruimte omschrijving]],2,FALSE)</f>
        <v>Vergader/spreekkamers</v>
      </c>
      <c r="C196" s="218" t="s">
        <v>464</v>
      </c>
      <c r="D196" s="217" t="s">
        <v>13</v>
      </c>
      <c r="E196" s="219" t="s">
        <v>101</v>
      </c>
      <c r="F196" s="218" t="s">
        <v>465</v>
      </c>
      <c r="G196" s="263" t="s">
        <v>302</v>
      </c>
      <c r="H196" s="220" t="s">
        <v>302</v>
      </c>
      <c r="I196" s="220" t="s">
        <v>302</v>
      </c>
      <c r="J196" s="220" t="s">
        <v>15</v>
      </c>
      <c r="K196" s="220" t="s">
        <v>302</v>
      </c>
      <c r="L196" s="220" t="s">
        <v>302</v>
      </c>
      <c r="M196" s="220" t="s">
        <v>302</v>
      </c>
      <c r="N196" s="221" t="s">
        <v>302</v>
      </c>
      <c r="O196" s="222" t="s">
        <v>15</v>
      </c>
      <c r="P196" s="222" t="s">
        <v>15</v>
      </c>
      <c r="Q196" s="222" t="s">
        <v>15</v>
      </c>
      <c r="R196" s="222" t="s">
        <v>15</v>
      </c>
      <c r="S196" s="222" t="s">
        <v>16</v>
      </c>
      <c r="T196" s="222" t="s">
        <v>349</v>
      </c>
      <c r="U196" s="222" t="s">
        <v>269</v>
      </c>
      <c r="V196" s="222" t="s">
        <v>302</v>
      </c>
      <c r="W196" s="223" t="s">
        <v>302</v>
      </c>
      <c r="X196" s="223" t="s">
        <v>302</v>
      </c>
      <c r="Y196" s="224" t="s">
        <v>302</v>
      </c>
    </row>
    <row r="197" spans="1:25">
      <c r="A197" s="216">
        <v>4</v>
      </c>
      <c r="B197" s="217" t="str">
        <f>VLOOKUP(Tabel10[[#This Row],[Code]],Ruimtegroepen[[Code]:[Ruimte omschrijving]],2,FALSE)</f>
        <v>Vergader/spreekkamers</v>
      </c>
      <c r="C197" s="218" t="s">
        <v>464</v>
      </c>
      <c r="D197" s="217" t="s">
        <v>13</v>
      </c>
      <c r="E197" s="219" t="s">
        <v>100</v>
      </c>
      <c r="F197" s="218" t="s">
        <v>466</v>
      </c>
      <c r="G197" s="263" t="s">
        <v>302</v>
      </c>
      <c r="H197" s="221" t="s">
        <v>15</v>
      </c>
      <c r="I197" s="220" t="s">
        <v>302</v>
      </c>
      <c r="J197" s="220" t="s">
        <v>302</v>
      </c>
      <c r="K197" s="220" t="s">
        <v>302</v>
      </c>
      <c r="L197" s="220" t="s">
        <v>302</v>
      </c>
      <c r="M197" s="220" t="s">
        <v>302</v>
      </c>
      <c r="N197" s="221" t="s">
        <v>302</v>
      </c>
      <c r="O197" s="222" t="s">
        <v>15</v>
      </c>
      <c r="P197" s="222" t="s">
        <v>15</v>
      </c>
      <c r="Q197" s="222" t="s">
        <v>15</v>
      </c>
      <c r="R197" s="222" t="s">
        <v>15</v>
      </c>
      <c r="S197" s="222" t="s">
        <v>16</v>
      </c>
      <c r="T197" s="222" t="s">
        <v>349</v>
      </c>
      <c r="U197" s="222" t="s">
        <v>269</v>
      </c>
      <c r="V197" s="222" t="s">
        <v>302</v>
      </c>
      <c r="W197" s="223" t="s">
        <v>302</v>
      </c>
      <c r="X197" s="223" t="s">
        <v>302</v>
      </c>
      <c r="Y197" s="224" t="s">
        <v>302</v>
      </c>
    </row>
    <row r="198" spans="1:25">
      <c r="A198" s="216">
        <v>4</v>
      </c>
      <c r="B198" s="217" t="str">
        <f>VLOOKUP(Tabel10[[#This Row],[Code]],Ruimtegroepen[[Code]:[Ruimte omschrijving]],2,FALSE)</f>
        <v>Vergader/spreekkamers</v>
      </c>
      <c r="C198" s="218" t="s">
        <v>464</v>
      </c>
      <c r="D198" s="217" t="s">
        <v>13</v>
      </c>
      <c r="E198" s="219" t="s">
        <v>102</v>
      </c>
      <c r="F198" s="218" t="s">
        <v>467</v>
      </c>
      <c r="G198" s="263" t="s">
        <v>302</v>
      </c>
      <c r="H198" s="220" t="s">
        <v>302</v>
      </c>
      <c r="I198" s="220" t="s">
        <v>302</v>
      </c>
      <c r="J198" s="220" t="s">
        <v>15</v>
      </c>
      <c r="K198" s="220" t="s">
        <v>349</v>
      </c>
      <c r="L198" s="220" t="s">
        <v>302</v>
      </c>
      <c r="M198" s="220" t="s">
        <v>302</v>
      </c>
      <c r="N198" s="221" t="s">
        <v>302</v>
      </c>
      <c r="O198" s="222" t="s">
        <v>15</v>
      </c>
      <c r="P198" s="222" t="s">
        <v>15</v>
      </c>
      <c r="Q198" s="222" t="s">
        <v>15</v>
      </c>
      <c r="R198" s="222" t="s">
        <v>15</v>
      </c>
      <c r="S198" s="222" t="s">
        <v>16</v>
      </c>
      <c r="T198" s="222" t="s">
        <v>349</v>
      </c>
      <c r="U198" s="222" t="s">
        <v>269</v>
      </c>
      <c r="V198" s="222" t="s">
        <v>302</v>
      </c>
      <c r="W198" s="223" t="s">
        <v>302</v>
      </c>
      <c r="X198" s="223" t="s">
        <v>302</v>
      </c>
      <c r="Y198" s="224" t="s">
        <v>302</v>
      </c>
    </row>
    <row r="199" spans="1:25">
      <c r="A199" s="216">
        <v>4</v>
      </c>
      <c r="B199" s="217" t="str">
        <f>VLOOKUP(Tabel10[[#This Row],[Code]],Ruimtegroepen[[Code]:[Ruimte omschrijving]],2,FALSE)</f>
        <v>Vergader/spreekkamers</v>
      </c>
      <c r="C199" s="218" t="s">
        <v>464</v>
      </c>
      <c r="D199" s="217" t="s">
        <v>13</v>
      </c>
      <c r="E199" s="219" t="s">
        <v>103</v>
      </c>
      <c r="F199" s="218" t="s">
        <v>468</v>
      </c>
      <c r="G199" s="263" t="s">
        <v>302</v>
      </c>
      <c r="H199" s="220" t="s">
        <v>302</v>
      </c>
      <c r="I199" s="220" t="s">
        <v>302</v>
      </c>
      <c r="J199" s="220" t="s">
        <v>15</v>
      </c>
      <c r="K199" s="220" t="s">
        <v>349</v>
      </c>
      <c r="L199" s="220" t="s">
        <v>302</v>
      </c>
      <c r="M199" s="220" t="s">
        <v>302</v>
      </c>
      <c r="N199" s="221" t="s">
        <v>302</v>
      </c>
      <c r="O199" s="222" t="s">
        <v>15</v>
      </c>
      <c r="P199" s="222" t="s">
        <v>15</v>
      </c>
      <c r="Q199" s="222" t="s">
        <v>15</v>
      </c>
      <c r="R199" s="222" t="s">
        <v>15</v>
      </c>
      <c r="S199" s="222" t="s">
        <v>16</v>
      </c>
      <c r="T199" s="222" t="s">
        <v>349</v>
      </c>
      <c r="U199" s="222" t="s">
        <v>269</v>
      </c>
      <c r="V199" s="222" t="s">
        <v>302</v>
      </c>
      <c r="W199" s="223" t="s">
        <v>302</v>
      </c>
      <c r="X199" s="223" t="s">
        <v>302</v>
      </c>
      <c r="Y199" s="224" t="s">
        <v>302</v>
      </c>
    </row>
    <row r="200" spans="1:25">
      <c r="A200" s="216">
        <v>4</v>
      </c>
      <c r="B200" s="217" t="str">
        <f>VLOOKUP(Tabel10[[#This Row],[Code]],Ruimtegroepen[[Code]:[Ruimte omschrijving]],2,FALSE)</f>
        <v>Vergader/spreekkamers</v>
      </c>
      <c r="C200" s="218" t="s">
        <v>464</v>
      </c>
      <c r="D200" s="217" t="s">
        <v>13</v>
      </c>
      <c r="E200" s="219" t="s">
        <v>100</v>
      </c>
      <c r="F200" s="218" t="s">
        <v>466</v>
      </c>
      <c r="G200" s="263" t="s">
        <v>302</v>
      </c>
      <c r="H200" s="221" t="s">
        <v>15</v>
      </c>
      <c r="I200" s="220" t="s">
        <v>302</v>
      </c>
      <c r="J200" s="220" t="s">
        <v>302</v>
      </c>
      <c r="K200" s="220" t="s">
        <v>302</v>
      </c>
      <c r="L200" s="220" t="s">
        <v>302</v>
      </c>
      <c r="M200" s="220" t="s">
        <v>302</v>
      </c>
      <c r="N200" s="221" t="s">
        <v>302</v>
      </c>
      <c r="O200" s="222" t="s">
        <v>15</v>
      </c>
      <c r="P200" s="222" t="s">
        <v>15</v>
      </c>
      <c r="Q200" s="222" t="s">
        <v>15</v>
      </c>
      <c r="R200" s="222" t="s">
        <v>15</v>
      </c>
      <c r="S200" s="222" t="s">
        <v>16</v>
      </c>
      <c r="T200" s="222" t="s">
        <v>349</v>
      </c>
      <c r="U200" s="222" t="s">
        <v>269</v>
      </c>
      <c r="V200" s="222" t="s">
        <v>302</v>
      </c>
      <c r="W200" s="223" t="s">
        <v>302</v>
      </c>
      <c r="X200" s="223" t="s">
        <v>302</v>
      </c>
      <c r="Y200" s="224" t="s">
        <v>302</v>
      </c>
    </row>
    <row r="201" spans="1:25">
      <c r="A201" s="216">
        <v>4</v>
      </c>
      <c r="B201" s="217" t="str">
        <f>VLOOKUP(Tabel10[[#This Row],[Code]],Ruimtegroepen[[Code]:[Ruimte omschrijving]],2,FALSE)</f>
        <v>Vergader/spreekkamers</v>
      </c>
      <c r="C201" s="218" t="s">
        <v>464</v>
      </c>
      <c r="D201" s="217" t="s">
        <v>13</v>
      </c>
      <c r="E201" s="219" t="s">
        <v>1325</v>
      </c>
      <c r="F201" s="218" t="s">
        <v>1376</v>
      </c>
      <c r="G201" s="263" t="s">
        <v>302</v>
      </c>
      <c r="H201" s="220" t="s">
        <v>302</v>
      </c>
      <c r="I201" s="220" t="s">
        <v>302</v>
      </c>
      <c r="J201" s="220" t="s">
        <v>15</v>
      </c>
      <c r="K201" s="220" t="s">
        <v>349</v>
      </c>
      <c r="L201" s="220" t="s">
        <v>302</v>
      </c>
      <c r="M201" s="220" t="s">
        <v>302</v>
      </c>
      <c r="N201" s="221" t="s">
        <v>302</v>
      </c>
      <c r="O201" s="222" t="s">
        <v>15</v>
      </c>
      <c r="P201" s="222" t="s">
        <v>15</v>
      </c>
      <c r="Q201" s="222" t="s">
        <v>15</v>
      </c>
      <c r="R201" s="222" t="s">
        <v>15</v>
      </c>
      <c r="S201" s="222" t="s">
        <v>16</v>
      </c>
      <c r="T201" s="222" t="s">
        <v>349</v>
      </c>
      <c r="U201" s="222" t="s">
        <v>269</v>
      </c>
      <c r="V201" s="222" t="s">
        <v>302</v>
      </c>
      <c r="W201" s="223" t="s">
        <v>302</v>
      </c>
      <c r="X201" s="223" t="s">
        <v>302</v>
      </c>
      <c r="Y201" s="224" t="s">
        <v>302</v>
      </c>
    </row>
    <row r="202" spans="1:25">
      <c r="A202" s="216">
        <v>4</v>
      </c>
      <c r="B202" s="217" t="str">
        <f>VLOOKUP(Tabel10[[#This Row],[Code]],Ruimtegroepen[[Code]:[Ruimte omschrijving]],2,FALSE)</f>
        <v>Vergader/spreekkamers</v>
      </c>
      <c r="C202" s="218" t="s">
        <v>469</v>
      </c>
      <c r="D202" s="217" t="s">
        <v>0</v>
      </c>
      <c r="E202" s="219" t="s">
        <v>101</v>
      </c>
      <c r="F202" s="218" t="s">
        <v>470</v>
      </c>
      <c r="G202" s="263" t="s">
        <v>302</v>
      </c>
      <c r="H202" s="220" t="s">
        <v>302</v>
      </c>
      <c r="I202" s="220" t="s">
        <v>16</v>
      </c>
      <c r="J202" s="220" t="s">
        <v>302</v>
      </c>
      <c r="K202" s="220" t="s">
        <v>302</v>
      </c>
      <c r="L202" s="220" t="s">
        <v>302</v>
      </c>
      <c r="M202" s="220" t="s">
        <v>302</v>
      </c>
      <c r="N202" s="221" t="s">
        <v>302</v>
      </c>
      <c r="O202" s="222" t="s">
        <v>16</v>
      </c>
      <c r="P202" s="222" t="s">
        <v>16</v>
      </c>
      <c r="Q202" s="222" t="s">
        <v>16</v>
      </c>
      <c r="R202" s="222" t="s">
        <v>16</v>
      </c>
      <c r="S202" s="222" t="s">
        <v>16</v>
      </c>
      <c r="T202" s="222" t="s">
        <v>349</v>
      </c>
      <c r="U202" s="222" t="s">
        <v>269</v>
      </c>
      <c r="V202" s="222" t="s">
        <v>302</v>
      </c>
      <c r="W202" s="223" t="s">
        <v>302</v>
      </c>
      <c r="X202" s="223" t="s">
        <v>302</v>
      </c>
      <c r="Y202" s="224" t="s">
        <v>302</v>
      </c>
    </row>
    <row r="203" spans="1:25">
      <c r="A203" s="216">
        <v>4</v>
      </c>
      <c r="B203" s="217" t="str">
        <f>VLOOKUP(Tabel10[[#This Row],[Code]],Ruimtegroepen[[Code]:[Ruimte omschrijving]],2,FALSE)</f>
        <v>Vergader/spreekkamers</v>
      </c>
      <c r="C203" s="218" t="s">
        <v>469</v>
      </c>
      <c r="D203" s="217" t="s">
        <v>0</v>
      </c>
      <c r="E203" s="219" t="s">
        <v>100</v>
      </c>
      <c r="F203" s="218" t="s">
        <v>471</v>
      </c>
      <c r="G203" s="263" t="s">
        <v>302</v>
      </c>
      <c r="H203" s="221" t="s">
        <v>16</v>
      </c>
      <c r="I203" s="220" t="s">
        <v>302</v>
      </c>
      <c r="J203" s="220" t="s">
        <v>302</v>
      </c>
      <c r="K203" s="220" t="s">
        <v>302</v>
      </c>
      <c r="L203" s="220" t="s">
        <v>302</v>
      </c>
      <c r="M203" s="220" t="s">
        <v>302</v>
      </c>
      <c r="N203" s="221" t="s">
        <v>302</v>
      </c>
      <c r="O203" s="222" t="s">
        <v>16</v>
      </c>
      <c r="P203" s="222" t="s">
        <v>16</v>
      </c>
      <c r="Q203" s="222" t="s">
        <v>16</v>
      </c>
      <c r="R203" s="222" t="s">
        <v>16</v>
      </c>
      <c r="S203" s="222" t="s">
        <v>16</v>
      </c>
      <c r="T203" s="222" t="s">
        <v>349</v>
      </c>
      <c r="U203" s="222" t="s">
        <v>269</v>
      </c>
      <c r="V203" s="222" t="s">
        <v>302</v>
      </c>
      <c r="W203" s="223" t="s">
        <v>302</v>
      </c>
      <c r="X203" s="223" t="s">
        <v>302</v>
      </c>
      <c r="Y203" s="224" t="s">
        <v>302</v>
      </c>
    </row>
    <row r="204" spans="1:25">
      <c r="A204" s="216">
        <v>4</v>
      </c>
      <c r="B204" s="217" t="str">
        <f>VLOOKUP(Tabel10[[#This Row],[Code]],Ruimtegroepen[[Code]:[Ruimte omschrijving]],2,FALSE)</f>
        <v>Vergader/spreekkamers</v>
      </c>
      <c r="C204" s="218" t="s">
        <v>469</v>
      </c>
      <c r="D204" s="217" t="s">
        <v>0</v>
      </c>
      <c r="E204" s="219" t="s">
        <v>102</v>
      </c>
      <c r="F204" s="218" t="s">
        <v>472</v>
      </c>
      <c r="G204" s="263" t="s">
        <v>302</v>
      </c>
      <c r="H204" s="220" t="s">
        <v>302</v>
      </c>
      <c r="I204" s="220" t="s">
        <v>302</v>
      </c>
      <c r="J204" s="220" t="s">
        <v>16</v>
      </c>
      <c r="K204" s="220" t="s">
        <v>349</v>
      </c>
      <c r="L204" s="220" t="s">
        <v>302</v>
      </c>
      <c r="M204" s="220" t="s">
        <v>302</v>
      </c>
      <c r="N204" s="221" t="s">
        <v>302</v>
      </c>
      <c r="O204" s="222" t="s">
        <v>16</v>
      </c>
      <c r="P204" s="222" t="s">
        <v>16</v>
      </c>
      <c r="Q204" s="222" t="s">
        <v>16</v>
      </c>
      <c r="R204" s="222" t="s">
        <v>16</v>
      </c>
      <c r="S204" s="222" t="s">
        <v>16</v>
      </c>
      <c r="T204" s="222" t="s">
        <v>349</v>
      </c>
      <c r="U204" s="222" t="s">
        <v>269</v>
      </c>
      <c r="V204" s="222" t="s">
        <v>302</v>
      </c>
      <c r="W204" s="223" t="s">
        <v>302</v>
      </c>
      <c r="X204" s="223" t="s">
        <v>302</v>
      </c>
      <c r="Y204" s="224" t="s">
        <v>302</v>
      </c>
    </row>
    <row r="205" spans="1:25">
      <c r="A205" s="216">
        <v>4</v>
      </c>
      <c r="B205" s="217" t="str">
        <f>VLOOKUP(Tabel10[[#This Row],[Code]],Ruimtegroepen[[Code]:[Ruimte omschrijving]],2,FALSE)</f>
        <v>Vergader/spreekkamers</v>
      </c>
      <c r="C205" s="218" t="s">
        <v>469</v>
      </c>
      <c r="D205" s="217" t="s">
        <v>0</v>
      </c>
      <c r="E205" s="219" t="s">
        <v>103</v>
      </c>
      <c r="F205" s="218" t="s">
        <v>473</v>
      </c>
      <c r="G205" s="263" t="s">
        <v>302</v>
      </c>
      <c r="H205" s="220" t="s">
        <v>302</v>
      </c>
      <c r="I205" s="220" t="s">
        <v>16</v>
      </c>
      <c r="J205" s="220" t="s">
        <v>302</v>
      </c>
      <c r="K205" s="220" t="s">
        <v>349</v>
      </c>
      <c r="L205" s="220" t="s">
        <v>302</v>
      </c>
      <c r="M205" s="220" t="s">
        <v>302</v>
      </c>
      <c r="N205" s="221" t="s">
        <v>302</v>
      </c>
      <c r="O205" s="222" t="s">
        <v>16</v>
      </c>
      <c r="P205" s="222" t="s">
        <v>16</v>
      </c>
      <c r="Q205" s="222" t="s">
        <v>16</v>
      </c>
      <c r="R205" s="222" t="s">
        <v>16</v>
      </c>
      <c r="S205" s="222" t="s">
        <v>16</v>
      </c>
      <c r="T205" s="222" t="s">
        <v>349</v>
      </c>
      <c r="U205" s="222" t="s">
        <v>269</v>
      </c>
      <c r="V205" s="222" t="s">
        <v>302</v>
      </c>
      <c r="W205" s="223" t="s">
        <v>302</v>
      </c>
      <c r="X205" s="223" t="s">
        <v>302</v>
      </c>
      <c r="Y205" s="224" t="s">
        <v>302</v>
      </c>
    </row>
    <row r="206" spans="1:25">
      <c r="A206" s="216">
        <v>4</v>
      </c>
      <c r="B206" s="217" t="str">
        <f>VLOOKUP(Tabel10[[#This Row],[Code]],Ruimtegroepen[[Code]:[Ruimte omschrijving]],2,FALSE)</f>
        <v>Vergader/spreekkamers</v>
      </c>
      <c r="C206" s="218" t="s">
        <v>469</v>
      </c>
      <c r="D206" s="217" t="s">
        <v>0</v>
      </c>
      <c r="E206" s="219" t="s">
        <v>100</v>
      </c>
      <c r="F206" s="218" t="s">
        <v>471</v>
      </c>
      <c r="G206" s="263" t="s">
        <v>302</v>
      </c>
      <c r="H206" s="221" t="s">
        <v>16</v>
      </c>
      <c r="I206" s="220" t="s">
        <v>302</v>
      </c>
      <c r="J206" s="220" t="s">
        <v>302</v>
      </c>
      <c r="K206" s="220" t="s">
        <v>302</v>
      </c>
      <c r="L206" s="220" t="s">
        <v>302</v>
      </c>
      <c r="M206" s="220" t="s">
        <v>302</v>
      </c>
      <c r="N206" s="221" t="s">
        <v>302</v>
      </c>
      <c r="O206" s="222" t="s">
        <v>16</v>
      </c>
      <c r="P206" s="222" t="s">
        <v>16</v>
      </c>
      <c r="Q206" s="222" t="s">
        <v>16</v>
      </c>
      <c r="R206" s="222" t="s">
        <v>16</v>
      </c>
      <c r="S206" s="222" t="s">
        <v>16</v>
      </c>
      <c r="T206" s="222" t="s">
        <v>349</v>
      </c>
      <c r="U206" s="222" t="s">
        <v>269</v>
      </c>
      <c r="V206" s="222" t="s">
        <v>302</v>
      </c>
      <c r="W206" s="223" t="s">
        <v>302</v>
      </c>
      <c r="X206" s="223" t="s">
        <v>302</v>
      </c>
      <c r="Y206" s="224" t="s">
        <v>302</v>
      </c>
    </row>
    <row r="207" spans="1:25">
      <c r="A207" s="216">
        <v>4</v>
      </c>
      <c r="B207" s="217" t="str">
        <f>VLOOKUP(Tabel10[[#This Row],[Code]],Ruimtegroepen[[Code]:[Ruimte omschrijving]],2,FALSE)</f>
        <v>Vergader/spreekkamers</v>
      </c>
      <c r="C207" s="218" t="s">
        <v>469</v>
      </c>
      <c r="D207" s="217" t="s">
        <v>0</v>
      </c>
      <c r="E207" s="219" t="s">
        <v>1325</v>
      </c>
      <c r="F207" s="218" t="s">
        <v>1360</v>
      </c>
      <c r="G207" s="263" t="s">
        <v>302</v>
      </c>
      <c r="H207" s="220" t="s">
        <v>302</v>
      </c>
      <c r="I207" s="220" t="s">
        <v>16</v>
      </c>
      <c r="J207" s="220" t="s">
        <v>302</v>
      </c>
      <c r="K207" s="220" t="s">
        <v>349</v>
      </c>
      <c r="L207" s="220" t="s">
        <v>302</v>
      </c>
      <c r="M207" s="220" t="s">
        <v>302</v>
      </c>
      <c r="N207" s="221" t="s">
        <v>302</v>
      </c>
      <c r="O207" s="222" t="s">
        <v>16</v>
      </c>
      <c r="P207" s="222" t="s">
        <v>16</v>
      </c>
      <c r="Q207" s="222" t="s">
        <v>16</v>
      </c>
      <c r="R207" s="222" t="s">
        <v>16</v>
      </c>
      <c r="S207" s="222" t="s">
        <v>16</v>
      </c>
      <c r="T207" s="222" t="s">
        <v>349</v>
      </c>
      <c r="U207" s="222" t="s">
        <v>269</v>
      </c>
      <c r="V207" s="222" t="s">
        <v>302</v>
      </c>
      <c r="W207" s="223" t="s">
        <v>302</v>
      </c>
      <c r="X207" s="223" t="s">
        <v>302</v>
      </c>
      <c r="Y207" s="224" t="s">
        <v>302</v>
      </c>
    </row>
    <row r="208" spans="1:25">
      <c r="A208" s="216">
        <v>4</v>
      </c>
      <c r="B208" s="217" t="str">
        <f>VLOOKUP(Tabel10[[#This Row],[Code]],Ruimtegroepen[[Code]:[Ruimte omschrijving]],2,FALSE)</f>
        <v>Vergader/spreekkamers</v>
      </c>
      <c r="C208" s="218" t="s">
        <v>474</v>
      </c>
      <c r="D208" s="217" t="s">
        <v>27</v>
      </c>
      <c r="E208" s="219" t="s">
        <v>101</v>
      </c>
      <c r="F208" s="218" t="s">
        <v>475</v>
      </c>
      <c r="G208" s="263" t="s">
        <v>302</v>
      </c>
      <c r="H208" s="220" t="s">
        <v>302</v>
      </c>
      <c r="I208" s="220" t="s">
        <v>15</v>
      </c>
      <c r="J208" s="220" t="s">
        <v>302</v>
      </c>
      <c r="K208" s="220" t="s">
        <v>302</v>
      </c>
      <c r="L208" s="220" t="s">
        <v>302</v>
      </c>
      <c r="M208" s="220" t="s">
        <v>302</v>
      </c>
      <c r="N208" s="221" t="s">
        <v>302</v>
      </c>
      <c r="O208" s="222" t="s">
        <v>15</v>
      </c>
      <c r="P208" s="222" t="s">
        <v>15</v>
      </c>
      <c r="Q208" s="222" t="s">
        <v>15</v>
      </c>
      <c r="R208" s="222" t="s">
        <v>302</v>
      </c>
      <c r="S208" s="222" t="s">
        <v>302</v>
      </c>
      <c r="T208" s="222" t="s">
        <v>302</v>
      </c>
      <c r="U208" s="222" t="s">
        <v>302</v>
      </c>
      <c r="V208" s="222" t="s">
        <v>302</v>
      </c>
      <c r="W208" s="223" t="s">
        <v>302</v>
      </c>
      <c r="X208" s="223" t="s">
        <v>302</v>
      </c>
      <c r="Y208" s="224" t="s">
        <v>302</v>
      </c>
    </row>
    <row r="209" spans="1:25">
      <c r="A209" s="216">
        <v>4</v>
      </c>
      <c r="B209" s="217" t="str">
        <f>VLOOKUP(Tabel10[[#This Row],[Code]],Ruimtegroepen[[Code]:[Ruimte omschrijving]],2,FALSE)</f>
        <v>Vergader/spreekkamers</v>
      </c>
      <c r="C209" s="218" t="s">
        <v>474</v>
      </c>
      <c r="D209" s="217" t="s">
        <v>27</v>
      </c>
      <c r="E209" s="219" t="s">
        <v>100</v>
      </c>
      <c r="F209" s="218" t="s">
        <v>476</v>
      </c>
      <c r="G209" s="263" t="s">
        <v>302</v>
      </c>
      <c r="H209" s="221" t="s">
        <v>15</v>
      </c>
      <c r="I209" s="220" t="s">
        <v>302</v>
      </c>
      <c r="J209" s="220" t="s">
        <v>302</v>
      </c>
      <c r="K209" s="220" t="s">
        <v>302</v>
      </c>
      <c r="L209" s="220" t="s">
        <v>302</v>
      </c>
      <c r="M209" s="220" t="s">
        <v>302</v>
      </c>
      <c r="N209" s="221" t="s">
        <v>302</v>
      </c>
      <c r="O209" s="222" t="s">
        <v>15</v>
      </c>
      <c r="P209" s="222" t="s">
        <v>15</v>
      </c>
      <c r="Q209" s="222" t="s">
        <v>15</v>
      </c>
      <c r="R209" s="222" t="s">
        <v>302</v>
      </c>
      <c r="S209" s="222" t="s">
        <v>302</v>
      </c>
      <c r="T209" s="222" t="s">
        <v>302</v>
      </c>
      <c r="U209" s="222" t="s">
        <v>302</v>
      </c>
      <c r="V209" s="222" t="s">
        <v>302</v>
      </c>
      <c r="W209" s="223" t="s">
        <v>302</v>
      </c>
      <c r="X209" s="223" t="s">
        <v>302</v>
      </c>
      <c r="Y209" s="224" t="s">
        <v>302</v>
      </c>
    </row>
    <row r="210" spans="1:25">
      <c r="A210" s="216">
        <v>4</v>
      </c>
      <c r="B210" s="217" t="str">
        <f>VLOOKUP(Tabel10[[#This Row],[Code]],Ruimtegroepen[[Code]:[Ruimte omschrijving]],2,FALSE)</f>
        <v>Vergader/spreekkamers</v>
      </c>
      <c r="C210" s="218" t="s">
        <v>474</v>
      </c>
      <c r="D210" s="217" t="s">
        <v>27</v>
      </c>
      <c r="E210" s="219" t="s">
        <v>102</v>
      </c>
      <c r="F210" s="218" t="s">
        <v>477</v>
      </c>
      <c r="G210" s="263" t="s">
        <v>302</v>
      </c>
      <c r="H210" s="220" t="s">
        <v>302</v>
      </c>
      <c r="I210" s="220" t="s">
        <v>15</v>
      </c>
      <c r="J210" s="220" t="s">
        <v>302</v>
      </c>
      <c r="K210" s="220" t="s">
        <v>302</v>
      </c>
      <c r="L210" s="220" t="s">
        <v>302</v>
      </c>
      <c r="M210" s="220" t="s">
        <v>302</v>
      </c>
      <c r="N210" s="221" t="s">
        <v>302</v>
      </c>
      <c r="O210" s="222" t="s">
        <v>15</v>
      </c>
      <c r="P210" s="222" t="s">
        <v>15</v>
      </c>
      <c r="Q210" s="222" t="s">
        <v>15</v>
      </c>
      <c r="R210" s="222" t="s">
        <v>302</v>
      </c>
      <c r="S210" s="222" t="s">
        <v>302</v>
      </c>
      <c r="T210" s="222" t="s">
        <v>302</v>
      </c>
      <c r="U210" s="222" t="s">
        <v>302</v>
      </c>
      <c r="V210" s="222" t="s">
        <v>302</v>
      </c>
      <c r="W210" s="223" t="s">
        <v>302</v>
      </c>
      <c r="X210" s="223" t="s">
        <v>302</v>
      </c>
      <c r="Y210" s="224" t="s">
        <v>302</v>
      </c>
    </row>
    <row r="211" spans="1:25">
      <c r="A211" s="216">
        <v>4</v>
      </c>
      <c r="B211" s="217" t="str">
        <f>VLOOKUP(Tabel10[[#This Row],[Code]],Ruimtegroepen[[Code]:[Ruimte omschrijving]],2,FALSE)</f>
        <v>Vergader/spreekkamers</v>
      </c>
      <c r="C211" s="218" t="s">
        <v>474</v>
      </c>
      <c r="D211" s="217" t="s">
        <v>27</v>
      </c>
      <c r="E211" s="219" t="s">
        <v>103</v>
      </c>
      <c r="F211" s="218" t="s">
        <v>478</v>
      </c>
      <c r="G211" s="263" t="s">
        <v>302</v>
      </c>
      <c r="H211" s="220" t="s">
        <v>302</v>
      </c>
      <c r="I211" s="220" t="s">
        <v>15</v>
      </c>
      <c r="J211" s="220" t="s">
        <v>302</v>
      </c>
      <c r="K211" s="220" t="s">
        <v>302</v>
      </c>
      <c r="L211" s="220" t="s">
        <v>302</v>
      </c>
      <c r="M211" s="220" t="s">
        <v>302</v>
      </c>
      <c r="N211" s="221" t="s">
        <v>302</v>
      </c>
      <c r="O211" s="222" t="s">
        <v>15</v>
      </c>
      <c r="P211" s="222" t="s">
        <v>15</v>
      </c>
      <c r="Q211" s="222" t="s">
        <v>15</v>
      </c>
      <c r="R211" s="222" t="s">
        <v>302</v>
      </c>
      <c r="S211" s="222" t="s">
        <v>302</v>
      </c>
      <c r="T211" s="222" t="s">
        <v>302</v>
      </c>
      <c r="U211" s="222" t="s">
        <v>302</v>
      </c>
      <c r="V211" s="222" t="s">
        <v>302</v>
      </c>
      <c r="W211" s="223" t="s">
        <v>302</v>
      </c>
      <c r="X211" s="223" t="s">
        <v>302</v>
      </c>
      <c r="Y211" s="224" t="s">
        <v>302</v>
      </c>
    </row>
    <row r="212" spans="1:25">
      <c r="A212" s="216">
        <v>4</v>
      </c>
      <c r="B212" s="217" t="str">
        <f>VLOOKUP(Tabel10[[#This Row],[Code]],Ruimtegroepen[[Code]:[Ruimte omschrijving]],2,FALSE)</f>
        <v>Vergader/spreekkamers</v>
      </c>
      <c r="C212" s="218" t="s">
        <v>474</v>
      </c>
      <c r="D212" s="217" t="s">
        <v>27</v>
      </c>
      <c r="E212" s="219" t="s">
        <v>100</v>
      </c>
      <c r="F212" s="218" t="s">
        <v>476</v>
      </c>
      <c r="G212" s="263" t="s">
        <v>302</v>
      </c>
      <c r="H212" s="221" t="s">
        <v>15</v>
      </c>
      <c r="I212" s="220" t="s">
        <v>302</v>
      </c>
      <c r="J212" s="220" t="s">
        <v>302</v>
      </c>
      <c r="K212" s="220" t="s">
        <v>302</v>
      </c>
      <c r="L212" s="220" t="s">
        <v>302</v>
      </c>
      <c r="M212" s="220" t="s">
        <v>302</v>
      </c>
      <c r="N212" s="221" t="s">
        <v>302</v>
      </c>
      <c r="O212" s="222" t="s">
        <v>15</v>
      </c>
      <c r="P212" s="222" t="s">
        <v>15</v>
      </c>
      <c r="Q212" s="222" t="s">
        <v>15</v>
      </c>
      <c r="R212" s="222" t="s">
        <v>302</v>
      </c>
      <c r="S212" s="222" t="s">
        <v>302</v>
      </c>
      <c r="T212" s="222" t="s">
        <v>302</v>
      </c>
      <c r="U212" s="222" t="s">
        <v>302</v>
      </c>
      <c r="V212" s="222" t="s">
        <v>302</v>
      </c>
      <c r="W212" s="223" t="s">
        <v>302</v>
      </c>
      <c r="X212" s="223" t="s">
        <v>302</v>
      </c>
      <c r="Y212" s="224" t="s">
        <v>302</v>
      </c>
    </row>
    <row r="213" spans="1:25">
      <c r="A213" s="216">
        <v>4</v>
      </c>
      <c r="B213" s="217" t="str">
        <f>VLOOKUP(Tabel10[[#This Row],[Code]],Ruimtegroepen[[Code]:[Ruimte omschrijving]],2,FALSE)</f>
        <v>Vergader/spreekkamers</v>
      </c>
      <c r="C213" s="218" t="s">
        <v>474</v>
      </c>
      <c r="D213" s="217" t="s">
        <v>27</v>
      </c>
      <c r="E213" s="219" t="s">
        <v>1325</v>
      </c>
      <c r="F213" s="218" t="s">
        <v>1393</v>
      </c>
      <c r="G213" s="263" t="s">
        <v>302</v>
      </c>
      <c r="H213" s="220" t="s">
        <v>302</v>
      </c>
      <c r="I213" s="220" t="s">
        <v>15</v>
      </c>
      <c r="J213" s="220" t="s">
        <v>302</v>
      </c>
      <c r="K213" s="220" t="s">
        <v>302</v>
      </c>
      <c r="L213" s="220" t="s">
        <v>302</v>
      </c>
      <c r="M213" s="220" t="s">
        <v>302</v>
      </c>
      <c r="N213" s="221" t="s">
        <v>302</v>
      </c>
      <c r="O213" s="222" t="s">
        <v>15</v>
      </c>
      <c r="P213" s="222" t="s">
        <v>15</v>
      </c>
      <c r="Q213" s="222" t="s">
        <v>15</v>
      </c>
      <c r="R213" s="222" t="s">
        <v>302</v>
      </c>
      <c r="S213" s="222" t="s">
        <v>302</v>
      </c>
      <c r="T213" s="222" t="s">
        <v>302</v>
      </c>
      <c r="U213" s="222" t="s">
        <v>302</v>
      </c>
      <c r="V213" s="222" t="s">
        <v>302</v>
      </c>
      <c r="W213" s="223" t="s">
        <v>302</v>
      </c>
      <c r="X213" s="223" t="s">
        <v>302</v>
      </c>
      <c r="Y213" s="224" t="s">
        <v>302</v>
      </c>
    </row>
    <row r="214" spans="1:25">
      <c r="A214" s="216">
        <v>4</v>
      </c>
      <c r="B214" s="217" t="str">
        <f>VLOOKUP(Tabel10[[#This Row],[Code]],Ruimtegroepen[[Code]:[Ruimte omschrijving]],2,FALSE)</f>
        <v>Vergader/spreekkamers</v>
      </c>
      <c r="C214" s="218" t="s">
        <v>479</v>
      </c>
      <c r="D214" s="217" t="s">
        <v>28</v>
      </c>
      <c r="E214" s="219" t="s">
        <v>101</v>
      </c>
      <c r="F214" s="218" t="s">
        <v>480</v>
      </c>
      <c r="G214" s="263" t="s">
        <v>302</v>
      </c>
      <c r="H214" s="220" t="s">
        <v>302</v>
      </c>
      <c r="I214" s="220" t="s">
        <v>17</v>
      </c>
      <c r="J214" s="220" t="s">
        <v>302</v>
      </c>
      <c r="K214" s="220" t="s">
        <v>302</v>
      </c>
      <c r="L214" s="220" t="s">
        <v>302</v>
      </c>
      <c r="M214" s="220" t="s">
        <v>302</v>
      </c>
      <c r="N214" s="221" t="s">
        <v>302</v>
      </c>
      <c r="O214" s="222" t="s">
        <v>17</v>
      </c>
      <c r="P214" s="222" t="s">
        <v>17</v>
      </c>
      <c r="Q214" s="222" t="s">
        <v>15</v>
      </c>
      <c r="R214" s="222" t="s">
        <v>302</v>
      </c>
      <c r="S214" s="222" t="s">
        <v>302</v>
      </c>
      <c r="T214" s="222" t="s">
        <v>302</v>
      </c>
      <c r="U214" s="222" t="s">
        <v>302</v>
      </c>
      <c r="V214" s="222" t="s">
        <v>302</v>
      </c>
      <c r="W214" s="223" t="s">
        <v>302</v>
      </c>
      <c r="X214" s="223" t="s">
        <v>302</v>
      </c>
      <c r="Y214" s="224" t="s">
        <v>302</v>
      </c>
    </row>
    <row r="215" spans="1:25">
      <c r="A215" s="216">
        <v>4</v>
      </c>
      <c r="B215" s="217" t="str">
        <f>VLOOKUP(Tabel10[[#This Row],[Code]],Ruimtegroepen[[Code]:[Ruimte omschrijving]],2,FALSE)</f>
        <v>Vergader/spreekkamers</v>
      </c>
      <c r="C215" s="218" t="s">
        <v>479</v>
      </c>
      <c r="D215" s="217" t="s">
        <v>28</v>
      </c>
      <c r="E215" s="219" t="s">
        <v>100</v>
      </c>
      <c r="F215" s="218" t="s">
        <v>481</v>
      </c>
      <c r="G215" s="263" t="s">
        <v>302</v>
      </c>
      <c r="H215" s="221" t="s">
        <v>17</v>
      </c>
      <c r="I215" s="220" t="s">
        <v>302</v>
      </c>
      <c r="J215" s="220" t="s">
        <v>302</v>
      </c>
      <c r="K215" s="220" t="s">
        <v>302</v>
      </c>
      <c r="L215" s="220" t="s">
        <v>302</v>
      </c>
      <c r="M215" s="220" t="s">
        <v>302</v>
      </c>
      <c r="N215" s="221" t="s">
        <v>302</v>
      </c>
      <c r="O215" s="222" t="s">
        <v>17</v>
      </c>
      <c r="P215" s="222" t="s">
        <v>17</v>
      </c>
      <c r="Q215" s="222" t="s">
        <v>15</v>
      </c>
      <c r="R215" s="222" t="s">
        <v>302</v>
      </c>
      <c r="S215" s="222" t="s">
        <v>302</v>
      </c>
      <c r="T215" s="222" t="s">
        <v>302</v>
      </c>
      <c r="U215" s="222" t="s">
        <v>302</v>
      </c>
      <c r="V215" s="222" t="s">
        <v>302</v>
      </c>
      <c r="W215" s="223" t="s">
        <v>302</v>
      </c>
      <c r="X215" s="223" t="s">
        <v>302</v>
      </c>
      <c r="Y215" s="224" t="s">
        <v>302</v>
      </c>
    </row>
    <row r="216" spans="1:25">
      <c r="A216" s="216">
        <v>4</v>
      </c>
      <c r="B216" s="217" t="str">
        <f>VLOOKUP(Tabel10[[#This Row],[Code]],Ruimtegroepen[[Code]:[Ruimte omschrijving]],2,FALSE)</f>
        <v>Vergader/spreekkamers</v>
      </c>
      <c r="C216" s="218" t="s">
        <v>479</v>
      </c>
      <c r="D216" s="217" t="s">
        <v>28</v>
      </c>
      <c r="E216" s="219" t="s">
        <v>102</v>
      </c>
      <c r="F216" s="218" t="s">
        <v>482</v>
      </c>
      <c r="G216" s="263" t="s">
        <v>302</v>
      </c>
      <c r="H216" s="220" t="s">
        <v>302</v>
      </c>
      <c r="I216" s="220" t="s">
        <v>17</v>
      </c>
      <c r="J216" s="220" t="s">
        <v>302</v>
      </c>
      <c r="K216" s="220" t="s">
        <v>302</v>
      </c>
      <c r="L216" s="220" t="s">
        <v>302</v>
      </c>
      <c r="M216" s="220" t="s">
        <v>302</v>
      </c>
      <c r="N216" s="221" t="s">
        <v>302</v>
      </c>
      <c r="O216" s="222" t="s">
        <v>17</v>
      </c>
      <c r="P216" s="222" t="s">
        <v>17</v>
      </c>
      <c r="Q216" s="222" t="s">
        <v>15</v>
      </c>
      <c r="R216" s="222" t="s">
        <v>302</v>
      </c>
      <c r="S216" s="222" t="s">
        <v>302</v>
      </c>
      <c r="T216" s="222" t="s">
        <v>302</v>
      </c>
      <c r="U216" s="222" t="s">
        <v>302</v>
      </c>
      <c r="V216" s="222" t="s">
        <v>302</v>
      </c>
      <c r="W216" s="223" t="s">
        <v>302</v>
      </c>
      <c r="X216" s="223" t="s">
        <v>302</v>
      </c>
      <c r="Y216" s="224" t="s">
        <v>302</v>
      </c>
    </row>
    <row r="217" spans="1:25">
      <c r="A217" s="216">
        <v>4</v>
      </c>
      <c r="B217" s="217" t="str">
        <f>VLOOKUP(Tabel10[[#This Row],[Code]],Ruimtegroepen[[Code]:[Ruimte omschrijving]],2,FALSE)</f>
        <v>Vergader/spreekkamers</v>
      </c>
      <c r="C217" s="218" t="s">
        <v>479</v>
      </c>
      <c r="D217" s="217" t="s">
        <v>28</v>
      </c>
      <c r="E217" s="219" t="s">
        <v>103</v>
      </c>
      <c r="F217" s="218" t="s">
        <v>483</v>
      </c>
      <c r="G217" s="263" t="s">
        <v>302</v>
      </c>
      <c r="H217" s="220" t="s">
        <v>302</v>
      </c>
      <c r="I217" s="220" t="s">
        <v>17</v>
      </c>
      <c r="J217" s="220" t="s">
        <v>302</v>
      </c>
      <c r="K217" s="220" t="s">
        <v>302</v>
      </c>
      <c r="L217" s="220" t="s">
        <v>302</v>
      </c>
      <c r="M217" s="220" t="s">
        <v>302</v>
      </c>
      <c r="N217" s="221" t="s">
        <v>302</v>
      </c>
      <c r="O217" s="222" t="s">
        <v>17</v>
      </c>
      <c r="P217" s="222" t="s">
        <v>17</v>
      </c>
      <c r="Q217" s="222" t="s">
        <v>15</v>
      </c>
      <c r="R217" s="222" t="s">
        <v>302</v>
      </c>
      <c r="S217" s="222" t="s">
        <v>302</v>
      </c>
      <c r="T217" s="222" t="s">
        <v>302</v>
      </c>
      <c r="U217" s="222" t="s">
        <v>302</v>
      </c>
      <c r="V217" s="222" t="s">
        <v>302</v>
      </c>
      <c r="W217" s="223" t="s">
        <v>302</v>
      </c>
      <c r="X217" s="223" t="s">
        <v>302</v>
      </c>
      <c r="Y217" s="224" t="s">
        <v>302</v>
      </c>
    </row>
    <row r="218" spans="1:25">
      <c r="A218" s="216">
        <v>4</v>
      </c>
      <c r="B218" s="217" t="str">
        <f>VLOOKUP(Tabel10[[#This Row],[Code]],Ruimtegroepen[[Code]:[Ruimte omschrijving]],2,FALSE)</f>
        <v>Vergader/spreekkamers</v>
      </c>
      <c r="C218" s="218" t="s">
        <v>479</v>
      </c>
      <c r="D218" s="217" t="s">
        <v>28</v>
      </c>
      <c r="E218" s="219" t="s">
        <v>100</v>
      </c>
      <c r="F218" s="218" t="s">
        <v>481</v>
      </c>
      <c r="G218" s="263" t="s">
        <v>302</v>
      </c>
      <c r="H218" s="221" t="s">
        <v>17</v>
      </c>
      <c r="I218" s="220" t="s">
        <v>302</v>
      </c>
      <c r="J218" s="220" t="s">
        <v>302</v>
      </c>
      <c r="K218" s="220" t="s">
        <v>302</v>
      </c>
      <c r="L218" s="220" t="s">
        <v>302</v>
      </c>
      <c r="M218" s="220" t="s">
        <v>302</v>
      </c>
      <c r="N218" s="221" t="s">
        <v>302</v>
      </c>
      <c r="O218" s="222" t="s">
        <v>17</v>
      </c>
      <c r="P218" s="222" t="s">
        <v>17</v>
      </c>
      <c r="Q218" s="222" t="s">
        <v>15</v>
      </c>
      <c r="R218" s="222" t="s">
        <v>302</v>
      </c>
      <c r="S218" s="222" t="s">
        <v>302</v>
      </c>
      <c r="T218" s="222" t="s">
        <v>302</v>
      </c>
      <c r="U218" s="222" t="s">
        <v>302</v>
      </c>
      <c r="V218" s="222" t="s">
        <v>302</v>
      </c>
      <c r="W218" s="223" t="s">
        <v>302</v>
      </c>
      <c r="X218" s="223" t="s">
        <v>302</v>
      </c>
      <c r="Y218" s="224" t="s">
        <v>302</v>
      </c>
    </row>
    <row r="219" spans="1:25">
      <c r="A219" s="216">
        <v>4</v>
      </c>
      <c r="B219" s="217" t="str">
        <f>VLOOKUP(Tabel10[[#This Row],[Code]],Ruimtegroepen[[Code]:[Ruimte omschrijving]],2,FALSE)</f>
        <v>Vergader/spreekkamers</v>
      </c>
      <c r="C219" s="218" t="s">
        <v>479</v>
      </c>
      <c r="D219" s="217" t="s">
        <v>28</v>
      </c>
      <c r="E219" s="219" t="s">
        <v>1325</v>
      </c>
      <c r="F219" s="218" t="s">
        <v>1426</v>
      </c>
      <c r="G219" s="263" t="s">
        <v>302</v>
      </c>
      <c r="H219" s="220" t="s">
        <v>302</v>
      </c>
      <c r="I219" s="220" t="s">
        <v>17</v>
      </c>
      <c r="J219" s="220" t="s">
        <v>302</v>
      </c>
      <c r="K219" s="220" t="s">
        <v>302</v>
      </c>
      <c r="L219" s="220" t="s">
        <v>302</v>
      </c>
      <c r="M219" s="220" t="s">
        <v>302</v>
      </c>
      <c r="N219" s="221" t="s">
        <v>302</v>
      </c>
      <c r="O219" s="222" t="s">
        <v>17</v>
      </c>
      <c r="P219" s="222" t="s">
        <v>17</v>
      </c>
      <c r="Q219" s="222" t="s">
        <v>15</v>
      </c>
      <c r="R219" s="222" t="s">
        <v>302</v>
      </c>
      <c r="S219" s="222" t="s">
        <v>302</v>
      </c>
      <c r="T219" s="222" t="s">
        <v>302</v>
      </c>
      <c r="U219" s="222" t="s">
        <v>302</v>
      </c>
      <c r="V219" s="222" t="s">
        <v>302</v>
      </c>
      <c r="W219" s="223" t="s">
        <v>302</v>
      </c>
      <c r="X219" s="223" t="s">
        <v>302</v>
      </c>
      <c r="Y219" s="224" t="s">
        <v>302</v>
      </c>
    </row>
    <row r="220" spans="1:25">
      <c r="A220" s="216">
        <v>5</v>
      </c>
      <c r="B220" s="217" t="str">
        <f>VLOOKUP(Tabel10[[#This Row],[Code]],Ruimtegroepen[[Code]:[Ruimte omschrijving]],2,FALSE)</f>
        <v>Sanitair</v>
      </c>
      <c r="C220" s="219" t="s">
        <v>494</v>
      </c>
      <c r="D220" s="244" t="s">
        <v>1264</v>
      </c>
      <c r="E220" s="219" t="s">
        <v>101</v>
      </c>
      <c r="F220" s="219" t="s">
        <v>496</v>
      </c>
      <c r="G220" s="263" t="s">
        <v>302</v>
      </c>
      <c r="H220" s="220" t="s">
        <v>302</v>
      </c>
      <c r="I220" s="220" t="s">
        <v>302</v>
      </c>
      <c r="J220" s="220" t="s">
        <v>20</v>
      </c>
      <c r="K220" s="220" t="s">
        <v>15</v>
      </c>
      <c r="L220" s="220" t="s">
        <v>302</v>
      </c>
      <c r="M220" s="220" t="s">
        <v>302</v>
      </c>
      <c r="N220" s="220" t="s">
        <v>19</v>
      </c>
      <c r="O220" s="222" t="s">
        <v>302</v>
      </c>
      <c r="P220" s="222" t="s">
        <v>302</v>
      </c>
      <c r="Q220" s="222" t="s">
        <v>302</v>
      </c>
      <c r="R220" s="222" t="s">
        <v>302</v>
      </c>
      <c r="S220" s="222" t="s">
        <v>302</v>
      </c>
      <c r="T220" s="222" t="s">
        <v>302</v>
      </c>
      <c r="U220" s="222" t="s">
        <v>302</v>
      </c>
      <c r="V220" s="222" t="s">
        <v>302</v>
      </c>
      <c r="W220" s="223" t="s">
        <v>20</v>
      </c>
      <c r="X220" s="223" t="s">
        <v>15</v>
      </c>
      <c r="Y220" s="224" t="s">
        <v>19</v>
      </c>
    </row>
    <row r="221" spans="1:25">
      <c r="A221" s="216">
        <v>5</v>
      </c>
      <c r="B221" s="217" t="str">
        <f>VLOOKUP(Tabel10[[#This Row],[Code]],Ruimtegroepen[[Code]:[Ruimte omschrijving]],2,FALSE)</f>
        <v>Sanitair</v>
      </c>
      <c r="C221" s="219" t="s">
        <v>494</v>
      </c>
      <c r="D221" s="244" t="s">
        <v>1264</v>
      </c>
      <c r="E221" s="219" t="s">
        <v>100</v>
      </c>
      <c r="F221" s="219" t="s">
        <v>498</v>
      </c>
      <c r="G221" s="263" t="s">
        <v>302</v>
      </c>
      <c r="H221" s="220" t="s">
        <v>302</v>
      </c>
      <c r="I221" s="220" t="s">
        <v>302</v>
      </c>
      <c r="J221" s="220" t="s">
        <v>302</v>
      </c>
      <c r="K221" s="220" t="s">
        <v>302</v>
      </c>
      <c r="L221" s="220" t="s">
        <v>302</v>
      </c>
      <c r="M221" s="220" t="s">
        <v>302</v>
      </c>
      <c r="N221" s="221" t="s">
        <v>302</v>
      </c>
      <c r="O221" s="222" t="s">
        <v>302</v>
      </c>
      <c r="P221" s="222" t="s">
        <v>302</v>
      </c>
      <c r="Q221" s="222" t="s">
        <v>302</v>
      </c>
      <c r="R221" s="222" t="s">
        <v>302</v>
      </c>
      <c r="S221" s="222" t="s">
        <v>302</v>
      </c>
      <c r="T221" s="222" t="s">
        <v>302</v>
      </c>
      <c r="U221" s="222" t="s">
        <v>302</v>
      </c>
      <c r="V221" s="222" t="s">
        <v>302</v>
      </c>
      <c r="W221" s="223" t="s">
        <v>302</v>
      </c>
      <c r="X221" s="223" t="s">
        <v>302</v>
      </c>
      <c r="Y221" s="224" t="s">
        <v>302</v>
      </c>
    </row>
    <row r="222" spans="1:25">
      <c r="A222" s="216">
        <v>5</v>
      </c>
      <c r="B222" s="217" t="str">
        <f>VLOOKUP(Tabel10[[#This Row],[Code]],Ruimtegroepen[[Code]:[Ruimte omschrijving]],2,FALSE)</f>
        <v>Sanitair</v>
      </c>
      <c r="C222" s="219" t="s">
        <v>494</v>
      </c>
      <c r="D222" s="244" t="s">
        <v>1264</v>
      </c>
      <c r="E222" s="219" t="s">
        <v>102</v>
      </c>
      <c r="F222" s="219" t="s">
        <v>499</v>
      </c>
      <c r="G222" s="263" t="s">
        <v>302</v>
      </c>
      <c r="H222" s="220" t="s">
        <v>302</v>
      </c>
      <c r="I222" s="220" t="s">
        <v>302</v>
      </c>
      <c r="J222" s="220" t="s">
        <v>20</v>
      </c>
      <c r="K222" s="220" t="s">
        <v>15</v>
      </c>
      <c r="L222" s="220" t="s">
        <v>302</v>
      </c>
      <c r="M222" s="220" t="s">
        <v>302</v>
      </c>
      <c r="N222" s="220" t="s">
        <v>19</v>
      </c>
      <c r="O222" s="222" t="s">
        <v>302</v>
      </c>
      <c r="P222" s="222" t="s">
        <v>302</v>
      </c>
      <c r="Q222" s="222" t="s">
        <v>302</v>
      </c>
      <c r="R222" s="222" t="s">
        <v>302</v>
      </c>
      <c r="S222" s="222" t="s">
        <v>302</v>
      </c>
      <c r="T222" s="222" t="s">
        <v>302</v>
      </c>
      <c r="U222" s="222" t="s">
        <v>302</v>
      </c>
      <c r="V222" s="222" t="s">
        <v>302</v>
      </c>
      <c r="W222" s="223" t="s">
        <v>20</v>
      </c>
      <c r="X222" s="223" t="s">
        <v>15</v>
      </c>
      <c r="Y222" s="224" t="s">
        <v>19</v>
      </c>
    </row>
    <row r="223" spans="1:25">
      <c r="A223" s="216">
        <v>5</v>
      </c>
      <c r="B223" s="217" t="str">
        <f>VLOOKUP(Tabel10[[#This Row],[Code]],Ruimtegroepen[[Code]:[Ruimte omschrijving]],2,FALSE)</f>
        <v>Sanitair</v>
      </c>
      <c r="C223" s="219" t="s">
        <v>494</v>
      </c>
      <c r="D223" s="244" t="s">
        <v>1264</v>
      </c>
      <c r="E223" s="219" t="s">
        <v>103</v>
      </c>
      <c r="F223" s="219" t="s">
        <v>500</v>
      </c>
      <c r="G223" s="263" t="s">
        <v>302</v>
      </c>
      <c r="H223" s="220" t="s">
        <v>302</v>
      </c>
      <c r="I223" s="220" t="s">
        <v>302</v>
      </c>
      <c r="J223" s="220" t="s">
        <v>20</v>
      </c>
      <c r="K223" s="220" t="s">
        <v>15</v>
      </c>
      <c r="L223" s="220" t="s">
        <v>302</v>
      </c>
      <c r="M223" s="220" t="s">
        <v>302</v>
      </c>
      <c r="N223" s="220" t="s">
        <v>19</v>
      </c>
      <c r="O223" s="222" t="s">
        <v>302</v>
      </c>
      <c r="P223" s="222" t="s">
        <v>302</v>
      </c>
      <c r="Q223" s="222" t="s">
        <v>302</v>
      </c>
      <c r="R223" s="222" t="s">
        <v>302</v>
      </c>
      <c r="S223" s="222" t="s">
        <v>302</v>
      </c>
      <c r="T223" s="222" t="s">
        <v>302</v>
      </c>
      <c r="U223" s="222" t="s">
        <v>302</v>
      </c>
      <c r="V223" s="222" t="s">
        <v>302</v>
      </c>
      <c r="W223" s="223" t="s">
        <v>20</v>
      </c>
      <c r="X223" s="223" t="s">
        <v>15</v>
      </c>
      <c r="Y223" s="224" t="s">
        <v>19</v>
      </c>
    </row>
    <row r="224" spans="1:25">
      <c r="A224" s="216">
        <v>5</v>
      </c>
      <c r="B224" s="217" t="str">
        <f>VLOOKUP(Tabel10[[#This Row],[Code]],Ruimtegroepen[[Code]:[Ruimte omschrijving]],2,FALSE)</f>
        <v>Sanitair</v>
      </c>
      <c r="C224" s="219" t="s">
        <v>494</v>
      </c>
      <c r="D224" s="244" t="s">
        <v>1264</v>
      </c>
      <c r="E224" s="219" t="s">
        <v>100</v>
      </c>
      <c r="F224" s="219" t="s">
        <v>498</v>
      </c>
      <c r="G224" s="263" t="s">
        <v>302</v>
      </c>
      <c r="H224" s="220" t="s">
        <v>302</v>
      </c>
      <c r="I224" s="220" t="s">
        <v>302</v>
      </c>
      <c r="J224" s="220" t="s">
        <v>302</v>
      </c>
      <c r="K224" s="220" t="s">
        <v>302</v>
      </c>
      <c r="L224" s="220" t="s">
        <v>302</v>
      </c>
      <c r="M224" s="220" t="s">
        <v>302</v>
      </c>
      <c r="N224" s="221" t="s">
        <v>302</v>
      </c>
      <c r="O224" s="222" t="s">
        <v>302</v>
      </c>
      <c r="P224" s="222" t="s">
        <v>302</v>
      </c>
      <c r="Q224" s="222" t="s">
        <v>302</v>
      </c>
      <c r="R224" s="222" t="s">
        <v>302</v>
      </c>
      <c r="S224" s="222" t="s">
        <v>302</v>
      </c>
      <c r="T224" s="222" t="s">
        <v>302</v>
      </c>
      <c r="U224" s="222" t="s">
        <v>302</v>
      </c>
      <c r="V224" s="222" t="s">
        <v>302</v>
      </c>
      <c r="W224" s="223" t="s">
        <v>302</v>
      </c>
      <c r="X224" s="223" t="s">
        <v>302</v>
      </c>
      <c r="Y224" s="224" t="s">
        <v>302</v>
      </c>
    </row>
    <row r="225" spans="1:25">
      <c r="A225" s="216">
        <v>5</v>
      </c>
      <c r="B225" s="217" t="str">
        <f>VLOOKUP(Tabel10[[#This Row],[Code]],Ruimtegroepen[[Code]:[Ruimte omschrijving]],2,FALSE)</f>
        <v>Sanitair</v>
      </c>
      <c r="C225" s="219" t="s">
        <v>494</v>
      </c>
      <c r="D225" s="244" t="s">
        <v>1264</v>
      </c>
      <c r="E225" s="219" t="s">
        <v>1325</v>
      </c>
      <c r="F225" s="219" t="s">
        <v>1477</v>
      </c>
      <c r="G225" s="263" t="s">
        <v>302</v>
      </c>
      <c r="H225" s="220" t="s">
        <v>302</v>
      </c>
      <c r="I225" s="220" t="s">
        <v>302</v>
      </c>
      <c r="J225" s="220" t="s">
        <v>20</v>
      </c>
      <c r="K225" s="220" t="s">
        <v>15</v>
      </c>
      <c r="L225" s="220" t="s">
        <v>302</v>
      </c>
      <c r="M225" s="220" t="s">
        <v>302</v>
      </c>
      <c r="N225" s="220" t="s">
        <v>19</v>
      </c>
      <c r="O225" s="222" t="s">
        <v>302</v>
      </c>
      <c r="P225" s="222" t="s">
        <v>302</v>
      </c>
      <c r="Q225" s="222" t="s">
        <v>302</v>
      </c>
      <c r="R225" s="222" t="s">
        <v>302</v>
      </c>
      <c r="S225" s="222" t="s">
        <v>302</v>
      </c>
      <c r="T225" s="222" t="s">
        <v>302</v>
      </c>
      <c r="U225" s="222" t="s">
        <v>302</v>
      </c>
      <c r="V225" s="222" t="s">
        <v>302</v>
      </c>
      <c r="W225" s="223" t="s">
        <v>20</v>
      </c>
      <c r="X225" s="223" t="s">
        <v>15</v>
      </c>
      <c r="Y225" s="224" t="s">
        <v>19</v>
      </c>
    </row>
    <row r="226" spans="1:25">
      <c r="A226" s="216">
        <v>5</v>
      </c>
      <c r="B226" s="217" t="str">
        <f>VLOOKUP(Tabel10[[#This Row],[Code]],Ruimtegroepen[[Code]:[Ruimte omschrijving]],2,FALSE)</f>
        <v>Sanitair</v>
      </c>
      <c r="C226" s="218" t="s">
        <v>484</v>
      </c>
      <c r="D226" s="217" t="s">
        <v>29</v>
      </c>
      <c r="E226" s="219" t="s">
        <v>101</v>
      </c>
      <c r="F226" s="218" t="s">
        <v>485</v>
      </c>
      <c r="G226" s="263" t="s">
        <v>302</v>
      </c>
      <c r="H226" s="220" t="s">
        <v>302</v>
      </c>
      <c r="I226" s="220" t="s">
        <v>302</v>
      </c>
      <c r="J226" s="220" t="s">
        <v>20</v>
      </c>
      <c r="K226" s="220" t="s">
        <v>15</v>
      </c>
      <c r="L226" s="220" t="s">
        <v>302</v>
      </c>
      <c r="M226" s="220" t="s">
        <v>302</v>
      </c>
      <c r="N226" s="221" t="s">
        <v>2</v>
      </c>
      <c r="O226" s="222" t="s">
        <v>302</v>
      </c>
      <c r="P226" s="222" t="s">
        <v>302</v>
      </c>
      <c r="Q226" s="222" t="s">
        <v>302</v>
      </c>
      <c r="R226" s="222" t="s">
        <v>302</v>
      </c>
      <c r="S226" s="222" t="s">
        <v>302</v>
      </c>
      <c r="T226" s="222" t="s">
        <v>302</v>
      </c>
      <c r="U226" s="222" t="s">
        <v>302</v>
      </c>
      <c r="V226" s="222" t="s">
        <v>302</v>
      </c>
      <c r="W226" s="223" t="s">
        <v>20</v>
      </c>
      <c r="X226" s="223" t="s">
        <v>15</v>
      </c>
      <c r="Y226" s="224" t="s">
        <v>2</v>
      </c>
    </row>
    <row r="227" spans="1:25">
      <c r="A227" s="216">
        <v>5</v>
      </c>
      <c r="B227" s="217" t="str">
        <f>VLOOKUP(Tabel10[[#This Row],[Code]],Ruimtegroepen[[Code]:[Ruimte omschrijving]],2,FALSE)</f>
        <v>Sanitair</v>
      </c>
      <c r="C227" s="218" t="s">
        <v>484</v>
      </c>
      <c r="D227" s="217" t="s">
        <v>29</v>
      </c>
      <c r="E227" s="219" t="s">
        <v>100</v>
      </c>
      <c r="F227" s="218" t="s">
        <v>486</v>
      </c>
      <c r="G227" s="263" t="s">
        <v>302</v>
      </c>
      <c r="H227" s="220" t="s">
        <v>302</v>
      </c>
      <c r="I227" s="220" t="s">
        <v>302</v>
      </c>
      <c r="J227" s="220" t="s">
        <v>302</v>
      </c>
      <c r="K227" s="220" t="s">
        <v>302</v>
      </c>
      <c r="L227" s="220" t="s">
        <v>302</v>
      </c>
      <c r="M227" s="220" t="s">
        <v>302</v>
      </c>
      <c r="N227" s="221" t="s">
        <v>302</v>
      </c>
      <c r="O227" s="222" t="s">
        <v>302</v>
      </c>
      <c r="P227" s="222" t="s">
        <v>302</v>
      </c>
      <c r="Q227" s="222" t="s">
        <v>302</v>
      </c>
      <c r="R227" s="222" t="s">
        <v>302</v>
      </c>
      <c r="S227" s="222" t="s">
        <v>302</v>
      </c>
      <c r="T227" s="222" t="s">
        <v>302</v>
      </c>
      <c r="U227" s="222" t="s">
        <v>302</v>
      </c>
      <c r="V227" s="222" t="s">
        <v>302</v>
      </c>
      <c r="W227" s="223" t="s">
        <v>302</v>
      </c>
      <c r="X227" s="223" t="s">
        <v>302</v>
      </c>
      <c r="Y227" s="224" t="s">
        <v>302</v>
      </c>
    </row>
    <row r="228" spans="1:25">
      <c r="A228" s="216">
        <v>5</v>
      </c>
      <c r="B228" s="217" t="str">
        <f>VLOOKUP(Tabel10[[#This Row],[Code]],Ruimtegroepen[[Code]:[Ruimte omschrijving]],2,FALSE)</f>
        <v>Sanitair</v>
      </c>
      <c r="C228" s="218" t="s">
        <v>484</v>
      </c>
      <c r="D228" s="217" t="s">
        <v>29</v>
      </c>
      <c r="E228" s="219" t="s">
        <v>102</v>
      </c>
      <c r="F228" s="218" t="s">
        <v>487</v>
      </c>
      <c r="G228" s="263" t="s">
        <v>302</v>
      </c>
      <c r="H228" s="220" t="s">
        <v>302</v>
      </c>
      <c r="I228" s="220" t="s">
        <v>302</v>
      </c>
      <c r="J228" s="220" t="s">
        <v>20</v>
      </c>
      <c r="K228" s="220" t="s">
        <v>15</v>
      </c>
      <c r="L228" s="220" t="s">
        <v>302</v>
      </c>
      <c r="M228" s="220" t="s">
        <v>302</v>
      </c>
      <c r="N228" s="221" t="s">
        <v>2</v>
      </c>
      <c r="O228" s="222" t="s">
        <v>302</v>
      </c>
      <c r="P228" s="222" t="s">
        <v>302</v>
      </c>
      <c r="Q228" s="222" t="s">
        <v>302</v>
      </c>
      <c r="R228" s="222" t="s">
        <v>302</v>
      </c>
      <c r="S228" s="222" t="s">
        <v>302</v>
      </c>
      <c r="T228" s="222" t="s">
        <v>302</v>
      </c>
      <c r="U228" s="222" t="s">
        <v>302</v>
      </c>
      <c r="V228" s="222" t="s">
        <v>302</v>
      </c>
      <c r="W228" s="223" t="s">
        <v>20</v>
      </c>
      <c r="X228" s="223" t="s">
        <v>15</v>
      </c>
      <c r="Y228" s="224" t="s">
        <v>2</v>
      </c>
    </row>
    <row r="229" spans="1:25">
      <c r="A229" s="216">
        <v>5</v>
      </c>
      <c r="B229" s="217" t="str">
        <f>VLOOKUP(Tabel10[[#This Row],[Code]],Ruimtegroepen[[Code]:[Ruimte omschrijving]],2,FALSE)</f>
        <v>Sanitair</v>
      </c>
      <c r="C229" s="218" t="s">
        <v>484</v>
      </c>
      <c r="D229" s="217" t="s">
        <v>29</v>
      </c>
      <c r="E229" s="219" t="s">
        <v>103</v>
      </c>
      <c r="F229" s="218" t="s">
        <v>488</v>
      </c>
      <c r="G229" s="263" t="s">
        <v>302</v>
      </c>
      <c r="H229" s="220" t="s">
        <v>302</v>
      </c>
      <c r="I229" s="220" t="s">
        <v>302</v>
      </c>
      <c r="J229" s="220" t="s">
        <v>20</v>
      </c>
      <c r="K229" s="220" t="s">
        <v>15</v>
      </c>
      <c r="L229" s="220" t="s">
        <v>302</v>
      </c>
      <c r="M229" s="220" t="s">
        <v>302</v>
      </c>
      <c r="N229" s="221" t="s">
        <v>2</v>
      </c>
      <c r="O229" s="222" t="s">
        <v>302</v>
      </c>
      <c r="P229" s="222" t="s">
        <v>302</v>
      </c>
      <c r="Q229" s="222" t="s">
        <v>302</v>
      </c>
      <c r="R229" s="222" t="s">
        <v>302</v>
      </c>
      <c r="S229" s="222" t="s">
        <v>302</v>
      </c>
      <c r="T229" s="222" t="s">
        <v>302</v>
      </c>
      <c r="U229" s="222" t="s">
        <v>302</v>
      </c>
      <c r="V229" s="222" t="s">
        <v>302</v>
      </c>
      <c r="W229" s="223" t="s">
        <v>20</v>
      </c>
      <c r="X229" s="223" t="s">
        <v>15</v>
      </c>
      <c r="Y229" s="224" t="s">
        <v>2</v>
      </c>
    </row>
    <row r="230" spans="1:25">
      <c r="A230" s="216">
        <v>5</v>
      </c>
      <c r="B230" s="217" t="str">
        <f>VLOOKUP(Tabel10[[#This Row],[Code]],Ruimtegroepen[[Code]:[Ruimte omschrijving]],2,FALSE)</f>
        <v>Sanitair</v>
      </c>
      <c r="C230" s="218" t="s">
        <v>484</v>
      </c>
      <c r="D230" s="217" t="s">
        <v>29</v>
      </c>
      <c r="E230" s="219" t="s">
        <v>100</v>
      </c>
      <c r="F230" s="218" t="s">
        <v>486</v>
      </c>
      <c r="G230" s="263" t="s">
        <v>302</v>
      </c>
      <c r="H230" s="220" t="s">
        <v>302</v>
      </c>
      <c r="I230" s="220" t="s">
        <v>302</v>
      </c>
      <c r="J230" s="220" t="s">
        <v>302</v>
      </c>
      <c r="K230" s="220" t="s">
        <v>302</v>
      </c>
      <c r="L230" s="220" t="s">
        <v>302</v>
      </c>
      <c r="M230" s="220" t="s">
        <v>302</v>
      </c>
      <c r="N230" s="221" t="s">
        <v>302</v>
      </c>
      <c r="O230" s="222" t="s">
        <v>302</v>
      </c>
      <c r="P230" s="222" t="s">
        <v>302</v>
      </c>
      <c r="Q230" s="222" t="s">
        <v>302</v>
      </c>
      <c r="R230" s="222" t="s">
        <v>302</v>
      </c>
      <c r="S230" s="222" t="s">
        <v>302</v>
      </c>
      <c r="T230" s="222" t="s">
        <v>302</v>
      </c>
      <c r="U230" s="222" t="s">
        <v>302</v>
      </c>
      <c r="V230" s="222" t="s">
        <v>302</v>
      </c>
      <c r="W230" s="223" t="s">
        <v>302</v>
      </c>
      <c r="X230" s="223" t="s">
        <v>302</v>
      </c>
      <c r="Y230" s="224" t="s">
        <v>302</v>
      </c>
    </row>
    <row r="231" spans="1:25">
      <c r="A231" s="216">
        <v>5</v>
      </c>
      <c r="B231" s="217" t="str">
        <f>VLOOKUP(Tabel10[[#This Row],[Code]],Ruimtegroepen[[Code]:[Ruimte omschrijving]],2,FALSE)</f>
        <v>Sanitair</v>
      </c>
      <c r="C231" s="218" t="s">
        <v>484</v>
      </c>
      <c r="D231" s="217" t="s">
        <v>29</v>
      </c>
      <c r="E231" s="219" t="s">
        <v>1325</v>
      </c>
      <c r="F231" s="218" t="s">
        <v>1494</v>
      </c>
      <c r="G231" s="263" t="s">
        <v>302</v>
      </c>
      <c r="H231" s="220" t="s">
        <v>302</v>
      </c>
      <c r="I231" s="220" t="s">
        <v>302</v>
      </c>
      <c r="J231" s="220" t="s">
        <v>20</v>
      </c>
      <c r="K231" s="220" t="s">
        <v>15</v>
      </c>
      <c r="L231" s="220" t="s">
        <v>302</v>
      </c>
      <c r="M231" s="220" t="s">
        <v>302</v>
      </c>
      <c r="N231" s="221" t="s">
        <v>2</v>
      </c>
      <c r="O231" s="222" t="s">
        <v>302</v>
      </c>
      <c r="P231" s="222" t="s">
        <v>302</v>
      </c>
      <c r="Q231" s="222" t="s">
        <v>302</v>
      </c>
      <c r="R231" s="222" t="s">
        <v>302</v>
      </c>
      <c r="S231" s="222" t="s">
        <v>302</v>
      </c>
      <c r="T231" s="222" t="s">
        <v>302</v>
      </c>
      <c r="U231" s="222" t="s">
        <v>302</v>
      </c>
      <c r="V231" s="222" t="s">
        <v>302</v>
      </c>
      <c r="W231" s="223" t="s">
        <v>20</v>
      </c>
      <c r="X231" s="223" t="s">
        <v>15</v>
      </c>
      <c r="Y231" s="224" t="s">
        <v>2</v>
      </c>
    </row>
    <row r="232" spans="1:25">
      <c r="A232" s="216">
        <v>5</v>
      </c>
      <c r="B232" s="217" t="str">
        <f>VLOOKUP(Tabel10[[#This Row],[Code]],Ruimtegroepen[[Code]:[Ruimte omschrijving]],2,FALSE)</f>
        <v>Sanitair</v>
      </c>
      <c r="C232" s="218" t="s">
        <v>489</v>
      </c>
      <c r="D232" s="217" t="s">
        <v>1</v>
      </c>
      <c r="E232" s="219" t="s">
        <v>101</v>
      </c>
      <c r="F232" s="218" t="s">
        <v>490</v>
      </c>
      <c r="G232" s="263" t="s">
        <v>302</v>
      </c>
      <c r="H232" s="220" t="s">
        <v>302</v>
      </c>
      <c r="I232" s="220" t="s">
        <v>302</v>
      </c>
      <c r="J232" s="220" t="s">
        <v>20</v>
      </c>
      <c r="K232" s="220" t="s">
        <v>15</v>
      </c>
      <c r="L232" s="220" t="s">
        <v>302</v>
      </c>
      <c r="M232" s="220" t="s">
        <v>302</v>
      </c>
      <c r="N232" s="221" t="s">
        <v>302</v>
      </c>
      <c r="O232" s="222" t="s">
        <v>302</v>
      </c>
      <c r="P232" s="222" t="s">
        <v>302</v>
      </c>
      <c r="Q232" s="222" t="s">
        <v>302</v>
      </c>
      <c r="R232" s="222" t="s">
        <v>302</v>
      </c>
      <c r="S232" s="222" t="s">
        <v>302</v>
      </c>
      <c r="T232" s="222" t="s">
        <v>302</v>
      </c>
      <c r="U232" s="222" t="s">
        <v>302</v>
      </c>
      <c r="V232" s="222" t="s">
        <v>302</v>
      </c>
      <c r="W232" s="223" t="s">
        <v>20</v>
      </c>
      <c r="X232" s="223" t="s">
        <v>15</v>
      </c>
      <c r="Y232" s="224" t="s">
        <v>302</v>
      </c>
    </row>
    <row r="233" spans="1:25">
      <c r="A233" s="216">
        <v>5</v>
      </c>
      <c r="B233" s="217" t="str">
        <f>VLOOKUP(Tabel10[[#This Row],[Code]],Ruimtegroepen[[Code]:[Ruimte omschrijving]],2,FALSE)</f>
        <v>Sanitair</v>
      </c>
      <c r="C233" s="218" t="s">
        <v>489</v>
      </c>
      <c r="D233" s="217" t="s">
        <v>1</v>
      </c>
      <c r="E233" s="219" t="s">
        <v>100</v>
      </c>
      <c r="F233" s="218" t="s">
        <v>491</v>
      </c>
      <c r="G233" s="263" t="s">
        <v>302</v>
      </c>
      <c r="H233" s="220" t="s">
        <v>302</v>
      </c>
      <c r="I233" s="220" t="s">
        <v>302</v>
      </c>
      <c r="J233" s="220" t="s">
        <v>302</v>
      </c>
      <c r="K233" s="220" t="s">
        <v>302</v>
      </c>
      <c r="L233" s="220" t="s">
        <v>302</v>
      </c>
      <c r="M233" s="220" t="s">
        <v>302</v>
      </c>
      <c r="N233" s="221" t="s">
        <v>302</v>
      </c>
      <c r="O233" s="222" t="s">
        <v>302</v>
      </c>
      <c r="P233" s="222" t="s">
        <v>302</v>
      </c>
      <c r="Q233" s="222" t="s">
        <v>302</v>
      </c>
      <c r="R233" s="222" t="s">
        <v>302</v>
      </c>
      <c r="S233" s="222" t="s">
        <v>302</v>
      </c>
      <c r="T233" s="222" t="s">
        <v>302</v>
      </c>
      <c r="U233" s="222" t="s">
        <v>302</v>
      </c>
      <c r="V233" s="222" t="s">
        <v>302</v>
      </c>
      <c r="W233" s="223" t="s">
        <v>302</v>
      </c>
      <c r="X233" s="223" t="s">
        <v>302</v>
      </c>
      <c r="Y233" s="224" t="s">
        <v>302</v>
      </c>
    </row>
    <row r="234" spans="1:25">
      <c r="A234" s="216">
        <v>5</v>
      </c>
      <c r="B234" s="217" t="str">
        <f>VLOOKUP(Tabel10[[#This Row],[Code]],Ruimtegroepen[[Code]:[Ruimte omschrijving]],2,FALSE)</f>
        <v>Sanitair</v>
      </c>
      <c r="C234" s="218" t="s">
        <v>489</v>
      </c>
      <c r="D234" s="217" t="s">
        <v>1</v>
      </c>
      <c r="E234" s="219" t="s">
        <v>102</v>
      </c>
      <c r="F234" s="218" t="s">
        <v>492</v>
      </c>
      <c r="G234" s="263" t="s">
        <v>302</v>
      </c>
      <c r="H234" s="220" t="s">
        <v>302</v>
      </c>
      <c r="I234" s="220" t="s">
        <v>302</v>
      </c>
      <c r="J234" s="220" t="s">
        <v>20</v>
      </c>
      <c r="K234" s="220" t="s">
        <v>15</v>
      </c>
      <c r="L234" s="220" t="s">
        <v>302</v>
      </c>
      <c r="M234" s="220" t="s">
        <v>302</v>
      </c>
      <c r="N234" s="221" t="s">
        <v>302</v>
      </c>
      <c r="O234" s="222" t="s">
        <v>302</v>
      </c>
      <c r="P234" s="222" t="s">
        <v>302</v>
      </c>
      <c r="Q234" s="222" t="s">
        <v>302</v>
      </c>
      <c r="R234" s="222" t="s">
        <v>302</v>
      </c>
      <c r="S234" s="222" t="s">
        <v>302</v>
      </c>
      <c r="T234" s="222" t="s">
        <v>302</v>
      </c>
      <c r="U234" s="222" t="s">
        <v>302</v>
      </c>
      <c r="V234" s="222" t="s">
        <v>302</v>
      </c>
      <c r="W234" s="223" t="s">
        <v>20</v>
      </c>
      <c r="X234" s="223" t="s">
        <v>15</v>
      </c>
      <c r="Y234" s="224" t="s">
        <v>302</v>
      </c>
    </row>
    <row r="235" spans="1:25">
      <c r="A235" s="216">
        <v>5</v>
      </c>
      <c r="B235" s="217" t="str">
        <f>VLOOKUP(Tabel10[[#This Row],[Code]],Ruimtegroepen[[Code]:[Ruimte omschrijving]],2,FALSE)</f>
        <v>Sanitair</v>
      </c>
      <c r="C235" s="218" t="s">
        <v>489</v>
      </c>
      <c r="D235" s="217" t="s">
        <v>1</v>
      </c>
      <c r="E235" s="219" t="s">
        <v>103</v>
      </c>
      <c r="F235" s="218" t="s">
        <v>493</v>
      </c>
      <c r="G235" s="263" t="s">
        <v>302</v>
      </c>
      <c r="H235" s="220" t="s">
        <v>302</v>
      </c>
      <c r="I235" s="220" t="s">
        <v>302</v>
      </c>
      <c r="J235" s="220" t="s">
        <v>20</v>
      </c>
      <c r="K235" s="220" t="s">
        <v>15</v>
      </c>
      <c r="L235" s="220" t="s">
        <v>302</v>
      </c>
      <c r="M235" s="220" t="s">
        <v>302</v>
      </c>
      <c r="N235" s="221" t="s">
        <v>302</v>
      </c>
      <c r="O235" s="222" t="s">
        <v>302</v>
      </c>
      <c r="P235" s="222" t="s">
        <v>302</v>
      </c>
      <c r="Q235" s="222" t="s">
        <v>302</v>
      </c>
      <c r="R235" s="222" t="s">
        <v>302</v>
      </c>
      <c r="S235" s="222" t="s">
        <v>302</v>
      </c>
      <c r="T235" s="222" t="s">
        <v>302</v>
      </c>
      <c r="U235" s="222" t="s">
        <v>302</v>
      </c>
      <c r="V235" s="222" t="s">
        <v>302</v>
      </c>
      <c r="W235" s="223" t="s">
        <v>20</v>
      </c>
      <c r="X235" s="223" t="s">
        <v>15</v>
      </c>
      <c r="Y235" s="224" t="s">
        <v>302</v>
      </c>
    </row>
    <row r="236" spans="1:25">
      <c r="A236" s="216">
        <v>5</v>
      </c>
      <c r="B236" s="217" t="str">
        <f>VLOOKUP(Tabel10[[#This Row],[Code]],Ruimtegroepen[[Code]:[Ruimte omschrijving]],2,FALSE)</f>
        <v>Sanitair</v>
      </c>
      <c r="C236" s="218" t="s">
        <v>489</v>
      </c>
      <c r="D236" s="217" t="s">
        <v>1</v>
      </c>
      <c r="E236" s="219" t="s">
        <v>100</v>
      </c>
      <c r="F236" s="218" t="s">
        <v>491</v>
      </c>
      <c r="G236" s="263" t="s">
        <v>302</v>
      </c>
      <c r="H236" s="220" t="s">
        <v>302</v>
      </c>
      <c r="I236" s="220" t="s">
        <v>302</v>
      </c>
      <c r="J236" s="220" t="s">
        <v>302</v>
      </c>
      <c r="K236" s="220" t="s">
        <v>302</v>
      </c>
      <c r="L236" s="220" t="s">
        <v>302</v>
      </c>
      <c r="M236" s="220" t="s">
        <v>302</v>
      </c>
      <c r="N236" s="221" t="s">
        <v>302</v>
      </c>
      <c r="O236" s="222" t="s">
        <v>302</v>
      </c>
      <c r="P236" s="222" t="s">
        <v>302</v>
      </c>
      <c r="Q236" s="222" t="s">
        <v>302</v>
      </c>
      <c r="R236" s="222" t="s">
        <v>302</v>
      </c>
      <c r="S236" s="222" t="s">
        <v>302</v>
      </c>
      <c r="T236" s="222" t="s">
        <v>302</v>
      </c>
      <c r="U236" s="222" t="s">
        <v>302</v>
      </c>
      <c r="V236" s="222" t="s">
        <v>302</v>
      </c>
      <c r="W236" s="223" t="s">
        <v>302</v>
      </c>
      <c r="X236" s="223" t="s">
        <v>302</v>
      </c>
      <c r="Y236" s="224" t="s">
        <v>302</v>
      </c>
    </row>
    <row r="237" spans="1:25">
      <c r="A237" s="216">
        <v>5</v>
      </c>
      <c r="B237" s="217" t="str">
        <f>VLOOKUP(Tabel10[[#This Row],[Code]],Ruimtegroepen[[Code]:[Ruimte omschrijving]],2,FALSE)</f>
        <v>Sanitair</v>
      </c>
      <c r="C237" s="218" t="s">
        <v>489</v>
      </c>
      <c r="D237" s="217" t="s">
        <v>1</v>
      </c>
      <c r="E237" s="219" t="s">
        <v>1325</v>
      </c>
      <c r="F237" s="218" t="s">
        <v>1460</v>
      </c>
      <c r="G237" s="263" t="s">
        <v>302</v>
      </c>
      <c r="H237" s="220" t="s">
        <v>302</v>
      </c>
      <c r="I237" s="220" t="s">
        <v>302</v>
      </c>
      <c r="J237" s="220" t="s">
        <v>20</v>
      </c>
      <c r="K237" s="220" t="s">
        <v>15</v>
      </c>
      <c r="L237" s="220" t="s">
        <v>302</v>
      </c>
      <c r="M237" s="220" t="s">
        <v>302</v>
      </c>
      <c r="N237" s="221" t="s">
        <v>302</v>
      </c>
      <c r="O237" s="222" t="s">
        <v>302</v>
      </c>
      <c r="P237" s="222" t="s">
        <v>302</v>
      </c>
      <c r="Q237" s="222" t="s">
        <v>302</v>
      </c>
      <c r="R237" s="222" t="s">
        <v>302</v>
      </c>
      <c r="S237" s="222" t="s">
        <v>302</v>
      </c>
      <c r="T237" s="222" t="s">
        <v>302</v>
      </c>
      <c r="U237" s="222" t="s">
        <v>302</v>
      </c>
      <c r="V237" s="222" t="s">
        <v>302</v>
      </c>
      <c r="W237" s="223" t="s">
        <v>20</v>
      </c>
      <c r="X237" s="223" t="s">
        <v>15</v>
      </c>
      <c r="Y237" s="224" t="s">
        <v>302</v>
      </c>
    </row>
    <row r="238" spans="1:25">
      <c r="A238" s="216">
        <v>5</v>
      </c>
      <c r="B238" s="217" t="str">
        <f>VLOOKUP(Tabel10[[#This Row],[Code]],Ruimtegroepen[[Code]:[Ruimte omschrijving]],2,FALSE)</f>
        <v>Sanitair</v>
      </c>
      <c r="C238" s="218" t="s">
        <v>494</v>
      </c>
      <c r="D238" s="217" t="s">
        <v>495</v>
      </c>
      <c r="E238" s="219" t="s">
        <v>101</v>
      </c>
      <c r="F238" s="218" t="s">
        <v>496</v>
      </c>
      <c r="G238" s="263" t="s">
        <v>302</v>
      </c>
      <c r="H238" s="220" t="s">
        <v>302</v>
      </c>
      <c r="I238" s="220" t="s">
        <v>302</v>
      </c>
      <c r="J238" s="220" t="s">
        <v>497</v>
      </c>
      <c r="K238" s="220" t="s">
        <v>15</v>
      </c>
      <c r="L238" s="220" t="s">
        <v>302</v>
      </c>
      <c r="M238" s="220" t="s">
        <v>302</v>
      </c>
      <c r="N238" s="221" t="s">
        <v>302</v>
      </c>
      <c r="O238" s="222" t="s">
        <v>302</v>
      </c>
      <c r="P238" s="222" t="s">
        <v>302</v>
      </c>
      <c r="Q238" s="222" t="s">
        <v>302</v>
      </c>
      <c r="R238" s="222" t="s">
        <v>302</v>
      </c>
      <c r="S238" s="222" t="s">
        <v>302</v>
      </c>
      <c r="T238" s="222" t="s">
        <v>302</v>
      </c>
      <c r="U238" s="222" t="s">
        <v>302</v>
      </c>
      <c r="V238" s="222" t="s">
        <v>302</v>
      </c>
      <c r="W238" s="223" t="s">
        <v>497</v>
      </c>
      <c r="X238" s="223" t="s">
        <v>15</v>
      </c>
      <c r="Y238" s="224" t="s">
        <v>302</v>
      </c>
    </row>
    <row r="239" spans="1:25">
      <c r="A239" s="216">
        <v>5</v>
      </c>
      <c r="B239" s="217" t="str">
        <f>VLOOKUP(Tabel10[[#This Row],[Code]],Ruimtegroepen[[Code]:[Ruimte omschrijving]],2,FALSE)</f>
        <v>Sanitair</v>
      </c>
      <c r="C239" s="218" t="s">
        <v>494</v>
      </c>
      <c r="D239" s="217" t="s">
        <v>495</v>
      </c>
      <c r="E239" s="219" t="s">
        <v>100</v>
      </c>
      <c r="F239" s="218" t="s">
        <v>498</v>
      </c>
      <c r="G239" s="263" t="s">
        <v>302</v>
      </c>
      <c r="H239" s="220" t="s">
        <v>302</v>
      </c>
      <c r="I239" s="220" t="s">
        <v>302</v>
      </c>
      <c r="J239" s="220" t="s">
        <v>302</v>
      </c>
      <c r="K239" s="220" t="s">
        <v>302</v>
      </c>
      <c r="L239" s="220" t="s">
        <v>302</v>
      </c>
      <c r="M239" s="220" t="s">
        <v>302</v>
      </c>
      <c r="N239" s="221" t="s">
        <v>302</v>
      </c>
      <c r="O239" s="222" t="s">
        <v>302</v>
      </c>
      <c r="P239" s="222" t="s">
        <v>302</v>
      </c>
      <c r="Q239" s="222" t="s">
        <v>302</v>
      </c>
      <c r="R239" s="222" t="s">
        <v>302</v>
      </c>
      <c r="S239" s="222" t="s">
        <v>302</v>
      </c>
      <c r="T239" s="222" t="s">
        <v>302</v>
      </c>
      <c r="U239" s="222" t="s">
        <v>302</v>
      </c>
      <c r="V239" s="222" t="s">
        <v>302</v>
      </c>
      <c r="W239" s="223" t="s">
        <v>302</v>
      </c>
      <c r="X239" s="223" t="s">
        <v>302</v>
      </c>
      <c r="Y239" s="224" t="s">
        <v>302</v>
      </c>
    </row>
    <row r="240" spans="1:25">
      <c r="A240" s="216">
        <v>5</v>
      </c>
      <c r="B240" s="217" t="str">
        <f>VLOOKUP(Tabel10[[#This Row],[Code]],Ruimtegroepen[[Code]:[Ruimte omschrijving]],2,FALSE)</f>
        <v>Sanitair</v>
      </c>
      <c r="C240" s="218" t="s">
        <v>494</v>
      </c>
      <c r="D240" s="217" t="s">
        <v>495</v>
      </c>
      <c r="E240" s="219" t="s">
        <v>102</v>
      </c>
      <c r="F240" s="218" t="s">
        <v>499</v>
      </c>
      <c r="G240" s="263" t="s">
        <v>302</v>
      </c>
      <c r="H240" s="220" t="s">
        <v>302</v>
      </c>
      <c r="I240" s="220" t="s">
        <v>302</v>
      </c>
      <c r="J240" s="220" t="s">
        <v>497</v>
      </c>
      <c r="K240" s="220" t="s">
        <v>15</v>
      </c>
      <c r="L240" s="220" t="s">
        <v>302</v>
      </c>
      <c r="M240" s="220" t="s">
        <v>302</v>
      </c>
      <c r="N240" s="221" t="s">
        <v>302</v>
      </c>
      <c r="O240" s="222" t="s">
        <v>302</v>
      </c>
      <c r="P240" s="222" t="s">
        <v>302</v>
      </c>
      <c r="Q240" s="222" t="s">
        <v>302</v>
      </c>
      <c r="R240" s="222" t="s">
        <v>302</v>
      </c>
      <c r="S240" s="222" t="s">
        <v>302</v>
      </c>
      <c r="T240" s="222" t="s">
        <v>302</v>
      </c>
      <c r="U240" s="222" t="s">
        <v>302</v>
      </c>
      <c r="V240" s="222" t="s">
        <v>302</v>
      </c>
      <c r="W240" s="223" t="s">
        <v>497</v>
      </c>
      <c r="X240" s="223" t="s">
        <v>15</v>
      </c>
      <c r="Y240" s="224" t="s">
        <v>302</v>
      </c>
    </row>
    <row r="241" spans="1:25">
      <c r="A241" s="216">
        <v>5</v>
      </c>
      <c r="B241" s="217" t="str">
        <f>VLOOKUP(Tabel10[[#This Row],[Code]],Ruimtegroepen[[Code]:[Ruimte omschrijving]],2,FALSE)</f>
        <v>Sanitair</v>
      </c>
      <c r="C241" s="218" t="s">
        <v>494</v>
      </c>
      <c r="D241" s="217" t="s">
        <v>495</v>
      </c>
      <c r="E241" s="219" t="s">
        <v>103</v>
      </c>
      <c r="F241" s="218" t="s">
        <v>500</v>
      </c>
      <c r="G241" s="263" t="s">
        <v>302</v>
      </c>
      <c r="H241" s="220" t="s">
        <v>302</v>
      </c>
      <c r="I241" s="220" t="s">
        <v>302</v>
      </c>
      <c r="J241" s="220" t="s">
        <v>497</v>
      </c>
      <c r="K241" s="220" t="s">
        <v>15</v>
      </c>
      <c r="L241" s="220" t="s">
        <v>302</v>
      </c>
      <c r="M241" s="220" t="s">
        <v>302</v>
      </c>
      <c r="N241" s="221" t="s">
        <v>302</v>
      </c>
      <c r="O241" s="222" t="s">
        <v>302</v>
      </c>
      <c r="P241" s="222" t="s">
        <v>302</v>
      </c>
      <c r="Q241" s="222" t="s">
        <v>302</v>
      </c>
      <c r="R241" s="222" t="s">
        <v>302</v>
      </c>
      <c r="S241" s="222" t="s">
        <v>302</v>
      </c>
      <c r="T241" s="222" t="s">
        <v>302</v>
      </c>
      <c r="U241" s="222" t="s">
        <v>302</v>
      </c>
      <c r="V241" s="222" t="s">
        <v>302</v>
      </c>
      <c r="W241" s="223" t="s">
        <v>497</v>
      </c>
      <c r="X241" s="223" t="s">
        <v>15</v>
      </c>
      <c r="Y241" s="224" t="s">
        <v>302</v>
      </c>
    </row>
    <row r="242" spans="1:25">
      <c r="A242" s="216">
        <v>5</v>
      </c>
      <c r="B242" s="217" t="str">
        <f>VLOOKUP(Tabel10[[#This Row],[Code]],Ruimtegroepen[[Code]:[Ruimte omschrijving]],2,FALSE)</f>
        <v>Sanitair</v>
      </c>
      <c r="C242" s="218" t="s">
        <v>494</v>
      </c>
      <c r="D242" s="217" t="s">
        <v>495</v>
      </c>
      <c r="E242" s="219" t="s">
        <v>100</v>
      </c>
      <c r="F242" s="218" t="s">
        <v>498</v>
      </c>
      <c r="G242" s="263" t="s">
        <v>302</v>
      </c>
      <c r="H242" s="220" t="s">
        <v>302</v>
      </c>
      <c r="I242" s="220" t="s">
        <v>302</v>
      </c>
      <c r="J242" s="220" t="s">
        <v>302</v>
      </c>
      <c r="K242" s="220" t="s">
        <v>302</v>
      </c>
      <c r="L242" s="220" t="s">
        <v>302</v>
      </c>
      <c r="M242" s="220" t="s">
        <v>302</v>
      </c>
      <c r="N242" s="221" t="s">
        <v>302</v>
      </c>
      <c r="O242" s="222" t="s">
        <v>302</v>
      </c>
      <c r="P242" s="222" t="s">
        <v>302</v>
      </c>
      <c r="Q242" s="222" t="s">
        <v>302</v>
      </c>
      <c r="R242" s="222" t="s">
        <v>302</v>
      </c>
      <c r="S242" s="222" t="s">
        <v>302</v>
      </c>
      <c r="T242" s="222" t="s">
        <v>302</v>
      </c>
      <c r="U242" s="222" t="s">
        <v>302</v>
      </c>
      <c r="V242" s="222" t="s">
        <v>302</v>
      </c>
      <c r="W242" s="223" t="s">
        <v>302</v>
      </c>
      <c r="X242" s="223" t="s">
        <v>302</v>
      </c>
      <c r="Y242" s="224" t="s">
        <v>302</v>
      </c>
    </row>
    <row r="243" spans="1:25">
      <c r="A243" s="216">
        <v>5</v>
      </c>
      <c r="B243" s="217" t="str">
        <f>VLOOKUP(Tabel10[[#This Row],[Code]],Ruimtegroepen[[Code]:[Ruimte omschrijving]],2,FALSE)</f>
        <v>Sanitair</v>
      </c>
      <c r="C243" s="218" t="s">
        <v>494</v>
      </c>
      <c r="D243" s="217" t="s">
        <v>495</v>
      </c>
      <c r="E243" s="219" t="s">
        <v>1325</v>
      </c>
      <c r="F243" s="218" t="s">
        <v>1477</v>
      </c>
      <c r="G243" s="263" t="s">
        <v>302</v>
      </c>
      <c r="H243" s="220" t="s">
        <v>302</v>
      </c>
      <c r="I243" s="220" t="s">
        <v>302</v>
      </c>
      <c r="J243" s="220" t="s">
        <v>497</v>
      </c>
      <c r="K243" s="220" t="s">
        <v>15</v>
      </c>
      <c r="L243" s="220" t="s">
        <v>302</v>
      </c>
      <c r="M243" s="220" t="s">
        <v>302</v>
      </c>
      <c r="N243" s="221" t="s">
        <v>302</v>
      </c>
      <c r="O243" s="222" t="s">
        <v>302</v>
      </c>
      <c r="P243" s="222" t="s">
        <v>302</v>
      </c>
      <c r="Q243" s="222" t="s">
        <v>302</v>
      </c>
      <c r="R243" s="222" t="s">
        <v>302</v>
      </c>
      <c r="S243" s="222" t="s">
        <v>302</v>
      </c>
      <c r="T243" s="222" t="s">
        <v>302</v>
      </c>
      <c r="U243" s="222" t="s">
        <v>302</v>
      </c>
      <c r="V243" s="222" t="s">
        <v>302</v>
      </c>
      <c r="W243" s="223" t="s">
        <v>497</v>
      </c>
      <c r="X243" s="223" t="s">
        <v>15</v>
      </c>
      <c r="Y243" s="224" t="s">
        <v>302</v>
      </c>
    </row>
    <row r="244" spans="1:25">
      <c r="A244" s="216">
        <v>5</v>
      </c>
      <c r="B244" s="217" t="str">
        <f>VLOOKUP(Tabel10[[#This Row],[Code]],Ruimtegroepen[[Code]:[Ruimte omschrijving]],2,FALSE)</f>
        <v>Sanitair</v>
      </c>
      <c r="C244" s="219" t="s">
        <v>1285</v>
      </c>
      <c r="D244" s="217" t="s">
        <v>501</v>
      </c>
      <c r="E244" s="219" t="s">
        <v>101</v>
      </c>
      <c r="F244" s="218" t="s">
        <v>502</v>
      </c>
      <c r="G244" s="263" t="s">
        <v>302</v>
      </c>
      <c r="H244" s="220" t="s">
        <v>302</v>
      </c>
      <c r="I244" s="220" t="s">
        <v>302</v>
      </c>
      <c r="J244" s="220" t="s">
        <v>497</v>
      </c>
      <c r="K244" s="220" t="s">
        <v>15</v>
      </c>
      <c r="L244" s="220" t="s">
        <v>302</v>
      </c>
      <c r="M244" s="220" t="s">
        <v>302</v>
      </c>
      <c r="N244" s="220" t="s">
        <v>1284</v>
      </c>
      <c r="O244" s="222" t="s">
        <v>302</v>
      </c>
      <c r="P244" s="222" t="s">
        <v>302</v>
      </c>
      <c r="Q244" s="222" t="s">
        <v>302</v>
      </c>
      <c r="R244" s="222" t="s">
        <v>302</v>
      </c>
      <c r="S244" s="222" t="s">
        <v>302</v>
      </c>
      <c r="T244" s="222" t="s">
        <v>302</v>
      </c>
      <c r="U244" s="222" t="s">
        <v>302</v>
      </c>
      <c r="V244" s="222" t="s">
        <v>302</v>
      </c>
      <c r="W244" s="223" t="s">
        <v>497</v>
      </c>
      <c r="X244" s="223" t="s">
        <v>15</v>
      </c>
      <c r="Y244" s="262" t="s">
        <v>1284</v>
      </c>
    </row>
    <row r="245" spans="1:25">
      <c r="A245" s="216">
        <v>5</v>
      </c>
      <c r="B245" s="217" t="str">
        <f>VLOOKUP(Tabel10[[#This Row],[Code]],Ruimtegroepen[[Code]:[Ruimte omschrijving]],2,FALSE)</f>
        <v>Sanitair</v>
      </c>
      <c r="C245" s="219" t="s">
        <v>1285</v>
      </c>
      <c r="D245" s="217" t="s">
        <v>501</v>
      </c>
      <c r="E245" s="219" t="s">
        <v>100</v>
      </c>
      <c r="F245" s="218" t="s">
        <v>503</v>
      </c>
      <c r="G245" s="263" t="s">
        <v>302</v>
      </c>
      <c r="H245" s="220" t="s">
        <v>302</v>
      </c>
      <c r="I245" s="220" t="s">
        <v>302</v>
      </c>
      <c r="J245" s="220" t="s">
        <v>302</v>
      </c>
      <c r="K245" s="220" t="s">
        <v>302</v>
      </c>
      <c r="L245" s="220" t="s">
        <v>302</v>
      </c>
      <c r="M245" s="220" t="s">
        <v>302</v>
      </c>
      <c r="N245" s="221" t="s">
        <v>302</v>
      </c>
      <c r="O245" s="222" t="s">
        <v>302</v>
      </c>
      <c r="P245" s="222" t="s">
        <v>302</v>
      </c>
      <c r="Q245" s="222" t="s">
        <v>302</v>
      </c>
      <c r="R245" s="222" t="s">
        <v>302</v>
      </c>
      <c r="S245" s="222" t="s">
        <v>302</v>
      </c>
      <c r="T245" s="222" t="s">
        <v>302</v>
      </c>
      <c r="U245" s="222" t="s">
        <v>302</v>
      </c>
      <c r="V245" s="222" t="s">
        <v>302</v>
      </c>
      <c r="W245" s="223" t="s">
        <v>302</v>
      </c>
      <c r="X245" s="223" t="s">
        <v>302</v>
      </c>
      <c r="Y245" s="224" t="s">
        <v>302</v>
      </c>
    </row>
    <row r="246" spans="1:25">
      <c r="A246" s="216">
        <v>5</v>
      </c>
      <c r="B246" s="217" t="str">
        <f>VLOOKUP(Tabel10[[#This Row],[Code]],Ruimtegroepen[[Code]:[Ruimte omschrijving]],2,FALSE)</f>
        <v>Sanitair</v>
      </c>
      <c r="C246" s="219" t="s">
        <v>1285</v>
      </c>
      <c r="D246" s="217" t="s">
        <v>501</v>
      </c>
      <c r="E246" s="219" t="s">
        <v>102</v>
      </c>
      <c r="F246" s="218" t="s">
        <v>504</v>
      </c>
      <c r="G246" s="263" t="s">
        <v>302</v>
      </c>
      <c r="H246" s="220" t="s">
        <v>302</v>
      </c>
      <c r="I246" s="220" t="s">
        <v>302</v>
      </c>
      <c r="J246" s="220" t="s">
        <v>497</v>
      </c>
      <c r="K246" s="220" t="s">
        <v>15</v>
      </c>
      <c r="L246" s="220" t="s">
        <v>302</v>
      </c>
      <c r="M246" s="220" t="s">
        <v>302</v>
      </c>
      <c r="N246" s="220" t="s">
        <v>1284</v>
      </c>
      <c r="O246" s="222" t="s">
        <v>302</v>
      </c>
      <c r="P246" s="222" t="s">
        <v>302</v>
      </c>
      <c r="Q246" s="222" t="s">
        <v>302</v>
      </c>
      <c r="R246" s="222" t="s">
        <v>302</v>
      </c>
      <c r="S246" s="222" t="s">
        <v>302</v>
      </c>
      <c r="T246" s="222" t="s">
        <v>302</v>
      </c>
      <c r="U246" s="222" t="s">
        <v>302</v>
      </c>
      <c r="V246" s="222" t="s">
        <v>302</v>
      </c>
      <c r="W246" s="223" t="s">
        <v>497</v>
      </c>
      <c r="X246" s="223" t="s">
        <v>15</v>
      </c>
      <c r="Y246" s="262" t="s">
        <v>1284</v>
      </c>
    </row>
    <row r="247" spans="1:25">
      <c r="A247" s="216">
        <v>5</v>
      </c>
      <c r="B247" s="217" t="str">
        <f>VLOOKUP(Tabel10[[#This Row],[Code]],Ruimtegroepen[[Code]:[Ruimte omschrijving]],2,FALSE)</f>
        <v>Sanitair</v>
      </c>
      <c r="C247" s="219" t="s">
        <v>1285</v>
      </c>
      <c r="D247" s="217" t="s">
        <v>501</v>
      </c>
      <c r="E247" s="219" t="s">
        <v>103</v>
      </c>
      <c r="F247" s="218" t="s">
        <v>505</v>
      </c>
      <c r="G247" s="263" t="s">
        <v>302</v>
      </c>
      <c r="H247" s="220" t="s">
        <v>302</v>
      </c>
      <c r="I247" s="220" t="s">
        <v>302</v>
      </c>
      <c r="J247" s="220" t="s">
        <v>497</v>
      </c>
      <c r="K247" s="220" t="s">
        <v>15</v>
      </c>
      <c r="L247" s="220" t="s">
        <v>302</v>
      </c>
      <c r="M247" s="220" t="s">
        <v>302</v>
      </c>
      <c r="N247" s="220" t="s">
        <v>1284</v>
      </c>
      <c r="O247" s="222" t="s">
        <v>302</v>
      </c>
      <c r="P247" s="222" t="s">
        <v>302</v>
      </c>
      <c r="Q247" s="222" t="s">
        <v>302</v>
      </c>
      <c r="R247" s="222" t="s">
        <v>302</v>
      </c>
      <c r="S247" s="222" t="s">
        <v>302</v>
      </c>
      <c r="T247" s="222" t="s">
        <v>302</v>
      </c>
      <c r="U247" s="222" t="s">
        <v>302</v>
      </c>
      <c r="V247" s="222" t="s">
        <v>302</v>
      </c>
      <c r="W247" s="223" t="s">
        <v>497</v>
      </c>
      <c r="X247" s="223" t="s">
        <v>15</v>
      </c>
      <c r="Y247" s="262" t="s">
        <v>1284</v>
      </c>
    </row>
    <row r="248" spans="1:25">
      <c r="A248" s="216">
        <v>5</v>
      </c>
      <c r="B248" s="217" t="str">
        <f>VLOOKUP(Tabel10[[#This Row],[Code]],Ruimtegroepen[[Code]:[Ruimte omschrijving]],2,FALSE)</f>
        <v>Sanitair</v>
      </c>
      <c r="C248" s="219" t="s">
        <v>1285</v>
      </c>
      <c r="D248" s="217" t="s">
        <v>501</v>
      </c>
      <c r="E248" s="219" t="s">
        <v>100</v>
      </c>
      <c r="F248" s="218" t="s">
        <v>503</v>
      </c>
      <c r="G248" s="263" t="s">
        <v>302</v>
      </c>
      <c r="H248" s="220" t="s">
        <v>302</v>
      </c>
      <c r="I248" s="220" t="s">
        <v>302</v>
      </c>
      <c r="J248" s="220" t="s">
        <v>302</v>
      </c>
      <c r="K248" s="220" t="s">
        <v>302</v>
      </c>
      <c r="L248" s="220" t="s">
        <v>302</v>
      </c>
      <c r="M248" s="220" t="s">
        <v>302</v>
      </c>
      <c r="N248" s="221" t="s">
        <v>302</v>
      </c>
      <c r="O248" s="222" t="s">
        <v>302</v>
      </c>
      <c r="P248" s="222" t="s">
        <v>302</v>
      </c>
      <c r="Q248" s="222" t="s">
        <v>302</v>
      </c>
      <c r="R248" s="222" t="s">
        <v>302</v>
      </c>
      <c r="S248" s="222" t="s">
        <v>302</v>
      </c>
      <c r="T248" s="222" t="s">
        <v>302</v>
      </c>
      <c r="U248" s="222" t="s">
        <v>302</v>
      </c>
      <c r="V248" s="222" t="s">
        <v>302</v>
      </c>
      <c r="W248" s="223" t="s">
        <v>302</v>
      </c>
      <c r="X248" s="223" t="s">
        <v>302</v>
      </c>
      <c r="Y248" s="224" t="s">
        <v>302</v>
      </c>
    </row>
    <row r="249" spans="1:25">
      <c r="A249" s="216">
        <v>5</v>
      </c>
      <c r="B249" s="217" t="str">
        <f>VLOOKUP(Tabel10[[#This Row],[Code]],Ruimtegroepen[[Code]:[Ruimte omschrijving]],2,FALSE)</f>
        <v>Sanitair</v>
      </c>
      <c r="C249" s="219" t="s">
        <v>1285</v>
      </c>
      <c r="D249" s="217" t="s">
        <v>501</v>
      </c>
      <c r="E249" s="219" t="s">
        <v>1325</v>
      </c>
      <c r="F249" s="218" t="s">
        <v>1458</v>
      </c>
      <c r="G249" s="263" t="s">
        <v>302</v>
      </c>
      <c r="H249" s="220" t="s">
        <v>302</v>
      </c>
      <c r="I249" s="220" t="s">
        <v>302</v>
      </c>
      <c r="J249" s="220" t="s">
        <v>497</v>
      </c>
      <c r="K249" s="220" t="s">
        <v>15</v>
      </c>
      <c r="L249" s="220" t="s">
        <v>302</v>
      </c>
      <c r="M249" s="220" t="s">
        <v>302</v>
      </c>
      <c r="N249" s="220" t="s">
        <v>1284</v>
      </c>
      <c r="O249" s="222" t="s">
        <v>302</v>
      </c>
      <c r="P249" s="222" t="s">
        <v>302</v>
      </c>
      <c r="Q249" s="222" t="s">
        <v>302</v>
      </c>
      <c r="R249" s="222" t="s">
        <v>302</v>
      </c>
      <c r="S249" s="222" t="s">
        <v>302</v>
      </c>
      <c r="T249" s="222" t="s">
        <v>302</v>
      </c>
      <c r="U249" s="222" t="s">
        <v>302</v>
      </c>
      <c r="V249" s="222" t="s">
        <v>302</v>
      </c>
      <c r="W249" s="223" t="s">
        <v>497</v>
      </c>
      <c r="X249" s="223" t="s">
        <v>15</v>
      </c>
      <c r="Y249" s="262" t="s">
        <v>1284</v>
      </c>
    </row>
    <row r="250" spans="1:25">
      <c r="A250" s="216">
        <v>5</v>
      </c>
      <c r="B250" s="217" t="str">
        <f>VLOOKUP(Tabel10[[#This Row],[Code]],Ruimtegroepen[[Code]:[Ruimte omschrijving]],2,FALSE)</f>
        <v>Sanitair</v>
      </c>
      <c r="C250" s="218" t="s">
        <v>506</v>
      </c>
      <c r="D250" s="217" t="s">
        <v>21</v>
      </c>
      <c r="E250" s="219" t="s">
        <v>101</v>
      </c>
      <c r="F250" s="218" t="s">
        <v>507</v>
      </c>
      <c r="G250" s="263" t="s">
        <v>302</v>
      </c>
      <c r="H250" s="220" t="s">
        <v>302</v>
      </c>
      <c r="I250" s="220" t="s">
        <v>302</v>
      </c>
      <c r="J250" s="220" t="s">
        <v>18</v>
      </c>
      <c r="K250" s="220" t="s">
        <v>15</v>
      </c>
      <c r="L250" s="220" t="s">
        <v>302</v>
      </c>
      <c r="M250" s="220" t="s">
        <v>302</v>
      </c>
      <c r="N250" s="221" t="s">
        <v>302</v>
      </c>
      <c r="O250" s="222" t="s">
        <v>302</v>
      </c>
      <c r="P250" s="222" t="s">
        <v>302</v>
      </c>
      <c r="Q250" s="222" t="s">
        <v>302</v>
      </c>
      <c r="R250" s="222" t="s">
        <v>302</v>
      </c>
      <c r="S250" s="222" t="s">
        <v>302</v>
      </c>
      <c r="T250" s="222" t="s">
        <v>302</v>
      </c>
      <c r="U250" s="222" t="s">
        <v>302</v>
      </c>
      <c r="V250" s="222" t="s">
        <v>302</v>
      </c>
      <c r="W250" s="223" t="s">
        <v>18</v>
      </c>
      <c r="X250" s="223" t="s">
        <v>15</v>
      </c>
      <c r="Y250" s="224" t="s">
        <v>302</v>
      </c>
    </row>
    <row r="251" spans="1:25">
      <c r="A251" s="216">
        <v>5</v>
      </c>
      <c r="B251" s="217" t="str">
        <f>VLOOKUP(Tabel10[[#This Row],[Code]],Ruimtegroepen[[Code]:[Ruimte omschrijving]],2,FALSE)</f>
        <v>Sanitair</v>
      </c>
      <c r="C251" s="218" t="s">
        <v>506</v>
      </c>
      <c r="D251" s="217" t="s">
        <v>21</v>
      </c>
      <c r="E251" s="219" t="s">
        <v>100</v>
      </c>
      <c r="F251" s="218" t="s">
        <v>508</v>
      </c>
      <c r="G251" s="263" t="s">
        <v>302</v>
      </c>
      <c r="H251" s="220" t="s">
        <v>302</v>
      </c>
      <c r="I251" s="220" t="s">
        <v>302</v>
      </c>
      <c r="J251" s="220" t="s">
        <v>302</v>
      </c>
      <c r="K251" s="220" t="s">
        <v>302</v>
      </c>
      <c r="L251" s="220" t="s">
        <v>302</v>
      </c>
      <c r="M251" s="220" t="s">
        <v>302</v>
      </c>
      <c r="N251" s="221" t="s">
        <v>302</v>
      </c>
      <c r="O251" s="222" t="s">
        <v>302</v>
      </c>
      <c r="P251" s="222" t="s">
        <v>302</v>
      </c>
      <c r="Q251" s="222" t="s">
        <v>302</v>
      </c>
      <c r="R251" s="222" t="s">
        <v>302</v>
      </c>
      <c r="S251" s="222" t="s">
        <v>302</v>
      </c>
      <c r="T251" s="222" t="s">
        <v>302</v>
      </c>
      <c r="U251" s="222" t="s">
        <v>302</v>
      </c>
      <c r="V251" s="222" t="s">
        <v>302</v>
      </c>
      <c r="W251" s="223" t="s">
        <v>302</v>
      </c>
      <c r="X251" s="223" t="s">
        <v>302</v>
      </c>
      <c r="Y251" s="224" t="s">
        <v>302</v>
      </c>
    </row>
    <row r="252" spans="1:25">
      <c r="A252" s="216">
        <v>5</v>
      </c>
      <c r="B252" s="217" t="str">
        <f>VLOOKUP(Tabel10[[#This Row],[Code]],Ruimtegroepen[[Code]:[Ruimte omschrijving]],2,FALSE)</f>
        <v>Sanitair</v>
      </c>
      <c r="C252" s="218" t="s">
        <v>506</v>
      </c>
      <c r="D252" s="217" t="s">
        <v>21</v>
      </c>
      <c r="E252" s="219" t="s">
        <v>102</v>
      </c>
      <c r="F252" s="218" t="s">
        <v>509</v>
      </c>
      <c r="G252" s="263" t="s">
        <v>302</v>
      </c>
      <c r="H252" s="220" t="s">
        <v>302</v>
      </c>
      <c r="I252" s="220" t="s">
        <v>302</v>
      </c>
      <c r="J252" s="220" t="s">
        <v>18</v>
      </c>
      <c r="K252" s="220" t="s">
        <v>15</v>
      </c>
      <c r="L252" s="220" t="s">
        <v>302</v>
      </c>
      <c r="M252" s="220" t="s">
        <v>302</v>
      </c>
      <c r="N252" s="221" t="s">
        <v>302</v>
      </c>
      <c r="O252" s="222" t="s">
        <v>302</v>
      </c>
      <c r="P252" s="222" t="s">
        <v>302</v>
      </c>
      <c r="Q252" s="222" t="s">
        <v>302</v>
      </c>
      <c r="R252" s="222" t="s">
        <v>302</v>
      </c>
      <c r="S252" s="222" t="s">
        <v>302</v>
      </c>
      <c r="T252" s="222" t="s">
        <v>302</v>
      </c>
      <c r="U252" s="222" t="s">
        <v>302</v>
      </c>
      <c r="V252" s="222" t="s">
        <v>302</v>
      </c>
      <c r="W252" s="223" t="s">
        <v>18</v>
      </c>
      <c r="X252" s="223" t="s">
        <v>15</v>
      </c>
      <c r="Y252" s="224" t="s">
        <v>302</v>
      </c>
    </row>
    <row r="253" spans="1:25">
      <c r="A253" s="216">
        <v>5</v>
      </c>
      <c r="B253" s="217" t="str">
        <f>VLOOKUP(Tabel10[[#This Row],[Code]],Ruimtegroepen[[Code]:[Ruimte omschrijving]],2,FALSE)</f>
        <v>Sanitair</v>
      </c>
      <c r="C253" s="218" t="s">
        <v>506</v>
      </c>
      <c r="D253" s="217" t="s">
        <v>21</v>
      </c>
      <c r="E253" s="219" t="s">
        <v>103</v>
      </c>
      <c r="F253" s="218" t="s">
        <v>510</v>
      </c>
      <c r="G253" s="263" t="s">
        <v>302</v>
      </c>
      <c r="H253" s="220" t="s">
        <v>302</v>
      </c>
      <c r="I253" s="220" t="s">
        <v>302</v>
      </c>
      <c r="J253" s="220" t="s">
        <v>18</v>
      </c>
      <c r="K253" s="220" t="s">
        <v>15</v>
      </c>
      <c r="L253" s="220" t="s">
        <v>302</v>
      </c>
      <c r="M253" s="220" t="s">
        <v>302</v>
      </c>
      <c r="N253" s="221" t="s">
        <v>302</v>
      </c>
      <c r="O253" s="222" t="s">
        <v>302</v>
      </c>
      <c r="P253" s="222" t="s">
        <v>302</v>
      </c>
      <c r="Q253" s="222" t="s">
        <v>302</v>
      </c>
      <c r="R253" s="222" t="s">
        <v>302</v>
      </c>
      <c r="S253" s="222" t="s">
        <v>302</v>
      </c>
      <c r="T253" s="222" t="s">
        <v>302</v>
      </c>
      <c r="U253" s="222" t="s">
        <v>302</v>
      </c>
      <c r="V253" s="222" t="s">
        <v>302</v>
      </c>
      <c r="W253" s="223" t="s">
        <v>18</v>
      </c>
      <c r="X253" s="223" t="s">
        <v>15</v>
      </c>
      <c r="Y253" s="224" t="s">
        <v>302</v>
      </c>
    </row>
    <row r="254" spans="1:25">
      <c r="A254" s="216">
        <v>5</v>
      </c>
      <c r="B254" s="217" t="str">
        <f>VLOOKUP(Tabel10[[#This Row],[Code]],Ruimtegroepen[[Code]:[Ruimte omschrijving]],2,FALSE)</f>
        <v>Sanitair</v>
      </c>
      <c r="C254" s="218" t="s">
        <v>506</v>
      </c>
      <c r="D254" s="217" t="s">
        <v>21</v>
      </c>
      <c r="E254" s="219" t="s">
        <v>100</v>
      </c>
      <c r="F254" s="218" t="s">
        <v>508</v>
      </c>
      <c r="G254" s="263" t="s">
        <v>302</v>
      </c>
      <c r="H254" s="220" t="s">
        <v>302</v>
      </c>
      <c r="I254" s="220" t="s">
        <v>302</v>
      </c>
      <c r="J254" s="220" t="s">
        <v>302</v>
      </c>
      <c r="K254" s="220" t="s">
        <v>302</v>
      </c>
      <c r="L254" s="220" t="s">
        <v>302</v>
      </c>
      <c r="M254" s="220" t="s">
        <v>302</v>
      </c>
      <c r="N254" s="221" t="s">
        <v>302</v>
      </c>
      <c r="O254" s="222" t="s">
        <v>302</v>
      </c>
      <c r="P254" s="222" t="s">
        <v>302</v>
      </c>
      <c r="Q254" s="222" t="s">
        <v>302</v>
      </c>
      <c r="R254" s="222" t="s">
        <v>302</v>
      </c>
      <c r="S254" s="222" t="s">
        <v>302</v>
      </c>
      <c r="T254" s="222" t="s">
        <v>302</v>
      </c>
      <c r="U254" s="222" t="s">
        <v>302</v>
      </c>
      <c r="V254" s="222" t="s">
        <v>302</v>
      </c>
      <c r="W254" s="223" t="s">
        <v>302</v>
      </c>
      <c r="X254" s="223" t="s">
        <v>302</v>
      </c>
      <c r="Y254" s="224" t="s">
        <v>302</v>
      </c>
    </row>
    <row r="255" spans="1:25">
      <c r="A255" s="216">
        <v>5</v>
      </c>
      <c r="B255" s="217" t="str">
        <f>VLOOKUP(Tabel10[[#This Row],[Code]],Ruimtegroepen[[Code]:[Ruimte omschrijving]],2,FALSE)</f>
        <v>Sanitair</v>
      </c>
      <c r="C255" s="218" t="s">
        <v>506</v>
      </c>
      <c r="D255" s="217" t="s">
        <v>21</v>
      </c>
      <c r="E255" s="219" t="s">
        <v>1325</v>
      </c>
      <c r="F255" s="218" t="s">
        <v>1461</v>
      </c>
      <c r="G255" s="263" t="s">
        <v>302</v>
      </c>
      <c r="H255" s="220" t="s">
        <v>302</v>
      </c>
      <c r="I255" s="220" t="s">
        <v>302</v>
      </c>
      <c r="J255" s="220" t="s">
        <v>18</v>
      </c>
      <c r="K255" s="220" t="s">
        <v>15</v>
      </c>
      <c r="L255" s="220" t="s">
        <v>302</v>
      </c>
      <c r="M255" s="220" t="s">
        <v>302</v>
      </c>
      <c r="N255" s="221" t="s">
        <v>302</v>
      </c>
      <c r="O255" s="222" t="s">
        <v>302</v>
      </c>
      <c r="P255" s="222" t="s">
        <v>302</v>
      </c>
      <c r="Q255" s="222" t="s">
        <v>302</v>
      </c>
      <c r="R255" s="222" t="s">
        <v>302</v>
      </c>
      <c r="S255" s="222" t="s">
        <v>302</v>
      </c>
      <c r="T255" s="222" t="s">
        <v>302</v>
      </c>
      <c r="U255" s="222" t="s">
        <v>302</v>
      </c>
      <c r="V255" s="222" t="s">
        <v>302</v>
      </c>
      <c r="W255" s="223" t="s">
        <v>18</v>
      </c>
      <c r="X255" s="223" t="s">
        <v>15</v>
      </c>
      <c r="Y255" s="224" t="s">
        <v>302</v>
      </c>
    </row>
    <row r="256" spans="1:25">
      <c r="A256" s="216">
        <v>5</v>
      </c>
      <c r="B256" s="217" t="str">
        <f>VLOOKUP(Tabel10[[#This Row],[Code]],Ruimtegroepen[[Code]:[Ruimte omschrijving]],2,FALSE)</f>
        <v>Sanitair</v>
      </c>
      <c r="C256" s="218" t="s">
        <v>511</v>
      </c>
      <c r="D256" s="217" t="s">
        <v>12</v>
      </c>
      <c r="E256" s="219" t="s">
        <v>101</v>
      </c>
      <c r="F256" s="218" t="s">
        <v>512</v>
      </c>
      <c r="G256" s="263" t="s">
        <v>302</v>
      </c>
      <c r="H256" s="220" t="s">
        <v>302</v>
      </c>
      <c r="I256" s="220" t="s">
        <v>302</v>
      </c>
      <c r="J256" s="220" t="s">
        <v>17</v>
      </c>
      <c r="K256" s="220" t="s">
        <v>15</v>
      </c>
      <c r="L256" s="220" t="s">
        <v>302</v>
      </c>
      <c r="M256" s="220" t="s">
        <v>302</v>
      </c>
      <c r="N256" s="221" t="s">
        <v>302</v>
      </c>
      <c r="O256" s="222" t="s">
        <v>302</v>
      </c>
      <c r="P256" s="222" t="s">
        <v>302</v>
      </c>
      <c r="Q256" s="222" t="s">
        <v>302</v>
      </c>
      <c r="R256" s="222" t="s">
        <v>302</v>
      </c>
      <c r="S256" s="222" t="s">
        <v>302</v>
      </c>
      <c r="T256" s="222" t="s">
        <v>302</v>
      </c>
      <c r="U256" s="222" t="s">
        <v>302</v>
      </c>
      <c r="V256" s="222" t="s">
        <v>302</v>
      </c>
      <c r="W256" s="223" t="s">
        <v>17</v>
      </c>
      <c r="X256" s="223" t="s">
        <v>15</v>
      </c>
      <c r="Y256" s="224" t="s">
        <v>302</v>
      </c>
    </row>
    <row r="257" spans="1:25">
      <c r="A257" s="216">
        <v>5</v>
      </c>
      <c r="B257" s="217" t="str">
        <f>VLOOKUP(Tabel10[[#This Row],[Code]],Ruimtegroepen[[Code]:[Ruimte omschrijving]],2,FALSE)</f>
        <v>Sanitair</v>
      </c>
      <c r="C257" s="218" t="s">
        <v>511</v>
      </c>
      <c r="D257" s="217" t="s">
        <v>12</v>
      </c>
      <c r="E257" s="219" t="s">
        <v>100</v>
      </c>
      <c r="F257" s="218" t="s">
        <v>513</v>
      </c>
      <c r="G257" s="263" t="s">
        <v>302</v>
      </c>
      <c r="H257" s="220" t="s">
        <v>302</v>
      </c>
      <c r="I257" s="220" t="s">
        <v>302</v>
      </c>
      <c r="J257" s="220" t="s">
        <v>302</v>
      </c>
      <c r="K257" s="220" t="s">
        <v>302</v>
      </c>
      <c r="L257" s="220" t="s">
        <v>302</v>
      </c>
      <c r="M257" s="220" t="s">
        <v>302</v>
      </c>
      <c r="N257" s="221" t="s">
        <v>302</v>
      </c>
      <c r="O257" s="222" t="s">
        <v>302</v>
      </c>
      <c r="P257" s="222" t="s">
        <v>302</v>
      </c>
      <c r="Q257" s="222" t="s">
        <v>302</v>
      </c>
      <c r="R257" s="222" t="s">
        <v>302</v>
      </c>
      <c r="S257" s="222" t="s">
        <v>302</v>
      </c>
      <c r="T257" s="222" t="s">
        <v>302</v>
      </c>
      <c r="U257" s="222" t="s">
        <v>302</v>
      </c>
      <c r="V257" s="222" t="s">
        <v>302</v>
      </c>
      <c r="W257" s="223" t="s">
        <v>302</v>
      </c>
      <c r="X257" s="223" t="s">
        <v>302</v>
      </c>
      <c r="Y257" s="224" t="s">
        <v>302</v>
      </c>
    </row>
    <row r="258" spans="1:25">
      <c r="A258" s="216">
        <v>5</v>
      </c>
      <c r="B258" s="217" t="str">
        <f>VLOOKUP(Tabel10[[#This Row],[Code]],Ruimtegroepen[[Code]:[Ruimte omschrijving]],2,FALSE)</f>
        <v>Sanitair</v>
      </c>
      <c r="C258" s="218" t="s">
        <v>511</v>
      </c>
      <c r="D258" s="217" t="s">
        <v>12</v>
      </c>
      <c r="E258" s="219" t="s">
        <v>102</v>
      </c>
      <c r="F258" s="218" t="s">
        <v>514</v>
      </c>
      <c r="G258" s="263" t="s">
        <v>302</v>
      </c>
      <c r="H258" s="220" t="s">
        <v>302</v>
      </c>
      <c r="I258" s="220" t="s">
        <v>302</v>
      </c>
      <c r="J258" s="220" t="s">
        <v>17</v>
      </c>
      <c r="K258" s="220" t="s">
        <v>15</v>
      </c>
      <c r="L258" s="220" t="s">
        <v>302</v>
      </c>
      <c r="M258" s="220" t="s">
        <v>302</v>
      </c>
      <c r="N258" s="221" t="s">
        <v>302</v>
      </c>
      <c r="O258" s="222" t="s">
        <v>302</v>
      </c>
      <c r="P258" s="222" t="s">
        <v>302</v>
      </c>
      <c r="Q258" s="222" t="s">
        <v>302</v>
      </c>
      <c r="R258" s="222" t="s">
        <v>302</v>
      </c>
      <c r="S258" s="222" t="s">
        <v>302</v>
      </c>
      <c r="T258" s="222" t="s">
        <v>302</v>
      </c>
      <c r="U258" s="222" t="s">
        <v>302</v>
      </c>
      <c r="V258" s="222" t="s">
        <v>302</v>
      </c>
      <c r="W258" s="223" t="s">
        <v>17</v>
      </c>
      <c r="X258" s="223" t="s">
        <v>15</v>
      </c>
      <c r="Y258" s="224" t="s">
        <v>302</v>
      </c>
    </row>
    <row r="259" spans="1:25">
      <c r="A259" s="216">
        <v>5</v>
      </c>
      <c r="B259" s="217" t="str">
        <f>VLOOKUP(Tabel10[[#This Row],[Code]],Ruimtegroepen[[Code]:[Ruimte omschrijving]],2,FALSE)</f>
        <v>Sanitair</v>
      </c>
      <c r="C259" s="218" t="s">
        <v>511</v>
      </c>
      <c r="D259" s="217" t="s">
        <v>12</v>
      </c>
      <c r="E259" s="219" t="s">
        <v>103</v>
      </c>
      <c r="F259" s="218" t="s">
        <v>515</v>
      </c>
      <c r="G259" s="263" t="s">
        <v>302</v>
      </c>
      <c r="H259" s="220" t="s">
        <v>302</v>
      </c>
      <c r="I259" s="220" t="s">
        <v>302</v>
      </c>
      <c r="J259" s="220" t="s">
        <v>17</v>
      </c>
      <c r="K259" s="220" t="s">
        <v>15</v>
      </c>
      <c r="L259" s="220" t="s">
        <v>302</v>
      </c>
      <c r="M259" s="220" t="s">
        <v>302</v>
      </c>
      <c r="N259" s="221" t="s">
        <v>302</v>
      </c>
      <c r="O259" s="222" t="s">
        <v>302</v>
      </c>
      <c r="P259" s="222" t="s">
        <v>302</v>
      </c>
      <c r="Q259" s="222" t="s">
        <v>302</v>
      </c>
      <c r="R259" s="222" t="s">
        <v>302</v>
      </c>
      <c r="S259" s="222" t="s">
        <v>302</v>
      </c>
      <c r="T259" s="222" t="s">
        <v>302</v>
      </c>
      <c r="U259" s="222" t="s">
        <v>302</v>
      </c>
      <c r="V259" s="222" t="s">
        <v>302</v>
      </c>
      <c r="W259" s="223" t="s">
        <v>17</v>
      </c>
      <c r="X259" s="223" t="s">
        <v>15</v>
      </c>
      <c r="Y259" s="224" t="s">
        <v>302</v>
      </c>
    </row>
    <row r="260" spans="1:25">
      <c r="A260" s="216">
        <v>5</v>
      </c>
      <c r="B260" s="217" t="str">
        <f>VLOOKUP(Tabel10[[#This Row],[Code]],Ruimtegroepen[[Code]:[Ruimte omschrijving]],2,FALSE)</f>
        <v>Sanitair</v>
      </c>
      <c r="C260" s="218" t="s">
        <v>511</v>
      </c>
      <c r="D260" s="217" t="s">
        <v>12</v>
      </c>
      <c r="E260" s="219" t="s">
        <v>100</v>
      </c>
      <c r="F260" s="218" t="s">
        <v>513</v>
      </c>
      <c r="G260" s="263" t="s">
        <v>302</v>
      </c>
      <c r="H260" s="220" t="s">
        <v>302</v>
      </c>
      <c r="I260" s="220" t="s">
        <v>302</v>
      </c>
      <c r="J260" s="221" t="s">
        <v>302</v>
      </c>
      <c r="K260" s="221" t="s">
        <v>302</v>
      </c>
      <c r="L260" s="220" t="s">
        <v>302</v>
      </c>
      <c r="M260" s="220" t="s">
        <v>302</v>
      </c>
      <c r="N260" s="221" t="s">
        <v>302</v>
      </c>
      <c r="O260" s="222" t="s">
        <v>302</v>
      </c>
      <c r="P260" s="222" t="s">
        <v>302</v>
      </c>
      <c r="Q260" s="222" t="s">
        <v>302</v>
      </c>
      <c r="R260" s="222" t="s">
        <v>302</v>
      </c>
      <c r="S260" s="222" t="s">
        <v>302</v>
      </c>
      <c r="T260" s="222" t="s">
        <v>302</v>
      </c>
      <c r="U260" s="222" t="s">
        <v>302</v>
      </c>
      <c r="V260" s="222" t="s">
        <v>302</v>
      </c>
      <c r="W260" s="223" t="s">
        <v>302</v>
      </c>
      <c r="X260" s="223" t="s">
        <v>302</v>
      </c>
      <c r="Y260" s="224" t="s">
        <v>302</v>
      </c>
    </row>
    <row r="261" spans="1:25">
      <c r="A261" s="216">
        <v>5</v>
      </c>
      <c r="B261" s="217" t="str">
        <f>VLOOKUP(Tabel10[[#This Row],[Code]],Ruimtegroepen[[Code]:[Ruimte omschrijving]],2,FALSE)</f>
        <v>Sanitair</v>
      </c>
      <c r="C261" s="218" t="s">
        <v>511</v>
      </c>
      <c r="D261" s="217" t="s">
        <v>12</v>
      </c>
      <c r="E261" s="219" t="s">
        <v>1325</v>
      </c>
      <c r="F261" s="218" t="s">
        <v>1443</v>
      </c>
      <c r="G261" s="263" t="s">
        <v>302</v>
      </c>
      <c r="H261" s="220" t="s">
        <v>302</v>
      </c>
      <c r="I261" s="220" t="s">
        <v>302</v>
      </c>
      <c r="J261" s="220" t="s">
        <v>17</v>
      </c>
      <c r="K261" s="220" t="s">
        <v>15</v>
      </c>
      <c r="L261" s="220" t="s">
        <v>302</v>
      </c>
      <c r="M261" s="220" t="s">
        <v>302</v>
      </c>
      <c r="N261" s="221" t="s">
        <v>302</v>
      </c>
      <c r="O261" s="222" t="s">
        <v>302</v>
      </c>
      <c r="P261" s="222" t="s">
        <v>302</v>
      </c>
      <c r="Q261" s="222" t="s">
        <v>302</v>
      </c>
      <c r="R261" s="222" t="s">
        <v>302</v>
      </c>
      <c r="S261" s="222" t="s">
        <v>302</v>
      </c>
      <c r="T261" s="222" t="s">
        <v>302</v>
      </c>
      <c r="U261" s="222" t="s">
        <v>302</v>
      </c>
      <c r="V261" s="222" t="s">
        <v>302</v>
      </c>
      <c r="W261" s="223" t="s">
        <v>17</v>
      </c>
      <c r="X261" s="223" t="s">
        <v>15</v>
      </c>
      <c r="Y261" s="224" t="s">
        <v>302</v>
      </c>
    </row>
    <row r="262" spans="1:25">
      <c r="A262" s="216">
        <v>5</v>
      </c>
      <c r="B262" s="217" t="str">
        <f>VLOOKUP(Tabel10[[#This Row],[Code]],Ruimtegroepen[[Code]:[Ruimte omschrijving]],2,FALSE)</f>
        <v>Sanitair</v>
      </c>
      <c r="C262" s="218" t="s">
        <v>516</v>
      </c>
      <c r="D262" s="217" t="s">
        <v>14</v>
      </c>
      <c r="E262" s="219" t="s">
        <v>101</v>
      </c>
      <c r="F262" s="218" t="s">
        <v>517</v>
      </c>
      <c r="G262" s="263" t="s">
        <v>302</v>
      </c>
      <c r="H262" s="220" t="s">
        <v>302</v>
      </c>
      <c r="I262" s="220" t="s">
        <v>302</v>
      </c>
      <c r="J262" s="221" t="s">
        <v>15</v>
      </c>
      <c r="K262" s="221" t="s">
        <v>15</v>
      </c>
      <c r="L262" s="220" t="s">
        <v>302</v>
      </c>
      <c r="M262" s="220" t="s">
        <v>302</v>
      </c>
      <c r="N262" s="221" t="s">
        <v>302</v>
      </c>
      <c r="O262" s="222" t="s">
        <v>302</v>
      </c>
      <c r="P262" s="222" t="s">
        <v>302</v>
      </c>
      <c r="Q262" s="222" t="s">
        <v>302</v>
      </c>
      <c r="R262" s="222" t="s">
        <v>302</v>
      </c>
      <c r="S262" s="222" t="s">
        <v>302</v>
      </c>
      <c r="T262" s="222" t="s">
        <v>302</v>
      </c>
      <c r="U262" s="222" t="s">
        <v>302</v>
      </c>
      <c r="V262" s="222" t="s">
        <v>302</v>
      </c>
      <c r="W262" s="223" t="s">
        <v>15</v>
      </c>
      <c r="X262" s="223" t="s">
        <v>15</v>
      </c>
      <c r="Y262" s="224" t="s">
        <v>302</v>
      </c>
    </row>
    <row r="263" spans="1:25">
      <c r="A263" s="216">
        <v>5</v>
      </c>
      <c r="B263" s="217" t="str">
        <f>VLOOKUP(Tabel10[[#This Row],[Code]],Ruimtegroepen[[Code]:[Ruimte omschrijving]],2,FALSE)</f>
        <v>Sanitair</v>
      </c>
      <c r="C263" s="218" t="s">
        <v>516</v>
      </c>
      <c r="D263" s="217" t="s">
        <v>14</v>
      </c>
      <c r="E263" s="219" t="s">
        <v>100</v>
      </c>
      <c r="F263" s="218" t="s">
        <v>518</v>
      </c>
      <c r="G263" s="263" t="s">
        <v>302</v>
      </c>
      <c r="H263" s="220" t="s">
        <v>302</v>
      </c>
      <c r="I263" s="220" t="s">
        <v>302</v>
      </c>
      <c r="J263" s="221" t="s">
        <v>302</v>
      </c>
      <c r="K263" s="221" t="s">
        <v>302</v>
      </c>
      <c r="L263" s="220" t="s">
        <v>302</v>
      </c>
      <c r="M263" s="220" t="s">
        <v>302</v>
      </c>
      <c r="N263" s="221" t="s">
        <v>302</v>
      </c>
      <c r="O263" s="222" t="s">
        <v>302</v>
      </c>
      <c r="P263" s="222" t="s">
        <v>302</v>
      </c>
      <c r="Q263" s="222" t="s">
        <v>302</v>
      </c>
      <c r="R263" s="222" t="s">
        <v>302</v>
      </c>
      <c r="S263" s="222" t="s">
        <v>302</v>
      </c>
      <c r="T263" s="222" t="s">
        <v>302</v>
      </c>
      <c r="U263" s="222" t="s">
        <v>302</v>
      </c>
      <c r="V263" s="222" t="s">
        <v>302</v>
      </c>
      <c r="W263" s="223" t="s">
        <v>302</v>
      </c>
      <c r="X263" s="223" t="s">
        <v>302</v>
      </c>
      <c r="Y263" s="224" t="s">
        <v>302</v>
      </c>
    </row>
    <row r="264" spans="1:25">
      <c r="A264" s="216">
        <v>5</v>
      </c>
      <c r="B264" s="217" t="str">
        <f>VLOOKUP(Tabel10[[#This Row],[Code]],Ruimtegroepen[[Code]:[Ruimte omschrijving]],2,FALSE)</f>
        <v>Sanitair</v>
      </c>
      <c r="C264" s="218" t="s">
        <v>516</v>
      </c>
      <c r="D264" s="217" t="s">
        <v>14</v>
      </c>
      <c r="E264" s="219" t="s">
        <v>102</v>
      </c>
      <c r="F264" s="218" t="s">
        <v>519</v>
      </c>
      <c r="G264" s="263" t="s">
        <v>302</v>
      </c>
      <c r="H264" s="220" t="s">
        <v>302</v>
      </c>
      <c r="I264" s="220" t="s">
        <v>302</v>
      </c>
      <c r="J264" s="221" t="s">
        <v>15</v>
      </c>
      <c r="K264" s="221" t="s">
        <v>15</v>
      </c>
      <c r="L264" s="220" t="s">
        <v>302</v>
      </c>
      <c r="M264" s="220" t="s">
        <v>302</v>
      </c>
      <c r="N264" s="221" t="s">
        <v>302</v>
      </c>
      <c r="O264" s="222" t="s">
        <v>302</v>
      </c>
      <c r="P264" s="222" t="s">
        <v>302</v>
      </c>
      <c r="Q264" s="222" t="s">
        <v>302</v>
      </c>
      <c r="R264" s="222" t="s">
        <v>302</v>
      </c>
      <c r="S264" s="222" t="s">
        <v>302</v>
      </c>
      <c r="T264" s="222" t="s">
        <v>302</v>
      </c>
      <c r="U264" s="222" t="s">
        <v>302</v>
      </c>
      <c r="V264" s="222" t="s">
        <v>302</v>
      </c>
      <c r="W264" s="223" t="s">
        <v>15</v>
      </c>
      <c r="X264" s="223" t="s">
        <v>15</v>
      </c>
      <c r="Y264" s="224" t="s">
        <v>302</v>
      </c>
    </row>
    <row r="265" spans="1:25">
      <c r="A265" s="216">
        <v>5</v>
      </c>
      <c r="B265" s="217" t="str">
        <f>VLOOKUP(Tabel10[[#This Row],[Code]],Ruimtegroepen[[Code]:[Ruimte omschrijving]],2,FALSE)</f>
        <v>Sanitair</v>
      </c>
      <c r="C265" s="218" t="s">
        <v>516</v>
      </c>
      <c r="D265" s="217" t="s">
        <v>14</v>
      </c>
      <c r="E265" s="219" t="s">
        <v>103</v>
      </c>
      <c r="F265" s="218" t="s">
        <v>520</v>
      </c>
      <c r="G265" s="263" t="s">
        <v>302</v>
      </c>
      <c r="H265" s="220" t="s">
        <v>302</v>
      </c>
      <c r="I265" s="220" t="s">
        <v>302</v>
      </c>
      <c r="J265" s="221" t="s">
        <v>15</v>
      </c>
      <c r="K265" s="221" t="s">
        <v>15</v>
      </c>
      <c r="L265" s="220" t="s">
        <v>302</v>
      </c>
      <c r="M265" s="220" t="s">
        <v>302</v>
      </c>
      <c r="N265" s="221" t="s">
        <v>302</v>
      </c>
      <c r="O265" s="222" t="s">
        <v>302</v>
      </c>
      <c r="P265" s="222" t="s">
        <v>302</v>
      </c>
      <c r="Q265" s="222" t="s">
        <v>302</v>
      </c>
      <c r="R265" s="222" t="s">
        <v>302</v>
      </c>
      <c r="S265" s="222" t="s">
        <v>302</v>
      </c>
      <c r="T265" s="222" t="s">
        <v>302</v>
      </c>
      <c r="U265" s="222" t="s">
        <v>302</v>
      </c>
      <c r="V265" s="222" t="s">
        <v>302</v>
      </c>
      <c r="W265" s="223" t="s">
        <v>15</v>
      </c>
      <c r="X265" s="223" t="s">
        <v>15</v>
      </c>
      <c r="Y265" s="224" t="s">
        <v>302</v>
      </c>
    </row>
    <row r="266" spans="1:25">
      <c r="A266" s="216">
        <v>5</v>
      </c>
      <c r="B266" s="217" t="str">
        <f>VLOOKUP(Tabel10[[#This Row],[Code]],Ruimtegroepen[[Code]:[Ruimte omschrijving]],2,FALSE)</f>
        <v>Sanitair</v>
      </c>
      <c r="C266" s="218" t="s">
        <v>516</v>
      </c>
      <c r="D266" s="217" t="s">
        <v>14</v>
      </c>
      <c r="E266" s="219" t="s">
        <v>100</v>
      </c>
      <c r="F266" s="218" t="s">
        <v>518</v>
      </c>
      <c r="G266" s="263" t="s">
        <v>302</v>
      </c>
      <c r="H266" s="220" t="s">
        <v>302</v>
      </c>
      <c r="I266" s="220" t="s">
        <v>302</v>
      </c>
      <c r="J266" s="221" t="s">
        <v>302</v>
      </c>
      <c r="K266" s="221" t="s">
        <v>302</v>
      </c>
      <c r="L266" s="220" t="s">
        <v>302</v>
      </c>
      <c r="M266" s="220" t="s">
        <v>302</v>
      </c>
      <c r="N266" s="221" t="s">
        <v>302</v>
      </c>
      <c r="O266" s="222" t="s">
        <v>302</v>
      </c>
      <c r="P266" s="222" t="s">
        <v>302</v>
      </c>
      <c r="Q266" s="222" t="s">
        <v>302</v>
      </c>
      <c r="R266" s="222" t="s">
        <v>302</v>
      </c>
      <c r="S266" s="222" t="s">
        <v>302</v>
      </c>
      <c r="T266" s="222" t="s">
        <v>302</v>
      </c>
      <c r="U266" s="222" t="s">
        <v>302</v>
      </c>
      <c r="V266" s="222" t="s">
        <v>302</v>
      </c>
      <c r="W266" s="223" t="s">
        <v>302</v>
      </c>
      <c r="X266" s="223" t="s">
        <v>302</v>
      </c>
      <c r="Y266" s="224" t="s">
        <v>302</v>
      </c>
    </row>
    <row r="267" spans="1:25">
      <c r="A267" s="216">
        <v>5</v>
      </c>
      <c r="B267" s="217" t="str">
        <f>VLOOKUP(Tabel10[[#This Row],[Code]],Ruimtegroepen[[Code]:[Ruimte omschrijving]],2,FALSE)</f>
        <v>Sanitair</v>
      </c>
      <c r="C267" s="218" t="s">
        <v>516</v>
      </c>
      <c r="D267" s="217" t="s">
        <v>14</v>
      </c>
      <c r="E267" s="219" t="s">
        <v>1325</v>
      </c>
      <c r="F267" s="218" t="s">
        <v>1410</v>
      </c>
      <c r="G267" s="263" t="s">
        <v>302</v>
      </c>
      <c r="H267" s="220" t="s">
        <v>302</v>
      </c>
      <c r="I267" s="220" t="s">
        <v>302</v>
      </c>
      <c r="J267" s="221" t="s">
        <v>15</v>
      </c>
      <c r="K267" s="221" t="s">
        <v>15</v>
      </c>
      <c r="L267" s="220" t="s">
        <v>302</v>
      </c>
      <c r="M267" s="220" t="s">
        <v>302</v>
      </c>
      <c r="N267" s="221" t="s">
        <v>302</v>
      </c>
      <c r="O267" s="222" t="s">
        <v>302</v>
      </c>
      <c r="P267" s="222" t="s">
        <v>302</v>
      </c>
      <c r="Q267" s="222" t="s">
        <v>302</v>
      </c>
      <c r="R267" s="222" t="s">
        <v>302</v>
      </c>
      <c r="S267" s="222" t="s">
        <v>302</v>
      </c>
      <c r="T267" s="222" t="s">
        <v>302</v>
      </c>
      <c r="U267" s="222" t="s">
        <v>302</v>
      </c>
      <c r="V267" s="222" t="s">
        <v>302</v>
      </c>
      <c r="W267" s="223" t="s">
        <v>15</v>
      </c>
      <c r="X267" s="223" t="s">
        <v>15</v>
      </c>
      <c r="Y267" s="224" t="s">
        <v>302</v>
      </c>
    </row>
    <row r="268" spans="1:25">
      <c r="A268" s="216">
        <v>5</v>
      </c>
      <c r="B268" s="217" t="str">
        <f>VLOOKUP(Tabel10[[#This Row],[Code]],Ruimtegroepen[[Code]:[Ruimte omschrijving]],2,FALSE)</f>
        <v>Sanitair</v>
      </c>
      <c r="C268" s="218" t="s">
        <v>521</v>
      </c>
      <c r="D268" s="217" t="s">
        <v>13</v>
      </c>
      <c r="E268" s="219" t="s">
        <v>101</v>
      </c>
      <c r="F268" s="218" t="s">
        <v>522</v>
      </c>
      <c r="G268" s="263" t="s">
        <v>302</v>
      </c>
      <c r="H268" s="220" t="s">
        <v>302</v>
      </c>
      <c r="I268" s="220" t="s">
        <v>302</v>
      </c>
      <c r="J268" s="221" t="s">
        <v>302</v>
      </c>
      <c r="K268" s="221" t="s">
        <v>15</v>
      </c>
      <c r="L268" s="220" t="s">
        <v>302</v>
      </c>
      <c r="M268" s="220" t="s">
        <v>302</v>
      </c>
      <c r="N268" s="221" t="s">
        <v>302</v>
      </c>
      <c r="O268" s="222" t="s">
        <v>302</v>
      </c>
      <c r="P268" s="222" t="s">
        <v>302</v>
      </c>
      <c r="Q268" s="222" t="s">
        <v>302</v>
      </c>
      <c r="R268" s="222" t="s">
        <v>302</v>
      </c>
      <c r="S268" s="222" t="s">
        <v>302</v>
      </c>
      <c r="T268" s="222" t="s">
        <v>302</v>
      </c>
      <c r="U268" s="222" t="s">
        <v>302</v>
      </c>
      <c r="V268" s="222" t="s">
        <v>302</v>
      </c>
      <c r="W268" s="223" t="s">
        <v>302</v>
      </c>
      <c r="X268" s="223" t="s">
        <v>15</v>
      </c>
      <c r="Y268" s="224" t="s">
        <v>302</v>
      </c>
    </row>
    <row r="269" spans="1:25">
      <c r="A269" s="216">
        <v>5</v>
      </c>
      <c r="B269" s="217" t="str">
        <f>VLOOKUP(Tabel10[[#This Row],[Code]],Ruimtegroepen[[Code]:[Ruimte omschrijving]],2,FALSE)</f>
        <v>Sanitair</v>
      </c>
      <c r="C269" s="218" t="s">
        <v>521</v>
      </c>
      <c r="D269" s="217" t="s">
        <v>13</v>
      </c>
      <c r="E269" s="219" t="s">
        <v>100</v>
      </c>
      <c r="F269" s="218" t="s">
        <v>523</v>
      </c>
      <c r="G269" s="263" t="s">
        <v>302</v>
      </c>
      <c r="H269" s="220" t="s">
        <v>302</v>
      </c>
      <c r="I269" s="220" t="s">
        <v>302</v>
      </c>
      <c r="J269" s="221" t="s">
        <v>302</v>
      </c>
      <c r="K269" s="221" t="s">
        <v>302</v>
      </c>
      <c r="L269" s="220" t="s">
        <v>302</v>
      </c>
      <c r="M269" s="220" t="s">
        <v>302</v>
      </c>
      <c r="N269" s="221" t="s">
        <v>302</v>
      </c>
      <c r="O269" s="222" t="s">
        <v>302</v>
      </c>
      <c r="P269" s="222" t="s">
        <v>302</v>
      </c>
      <c r="Q269" s="222" t="s">
        <v>302</v>
      </c>
      <c r="R269" s="222" t="s">
        <v>302</v>
      </c>
      <c r="S269" s="222" t="s">
        <v>302</v>
      </c>
      <c r="T269" s="222" t="s">
        <v>302</v>
      </c>
      <c r="U269" s="222" t="s">
        <v>302</v>
      </c>
      <c r="V269" s="222" t="s">
        <v>302</v>
      </c>
      <c r="W269" s="223" t="s">
        <v>302</v>
      </c>
      <c r="X269" s="223" t="s">
        <v>302</v>
      </c>
      <c r="Y269" s="224" t="s">
        <v>302</v>
      </c>
    </row>
    <row r="270" spans="1:25">
      <c r="A270" s="216">
        <v>5</v>
      </c>
      <c r="B270" s="217" t="str">
        <f>VLOOKUP(Tabel10[[#This Row],[Code]],Ruimtegroepen[[Code]:[Ruimte omschrijving]],2,FALSE)</f>
        <v>Sanitair</v>
      </c>
      <c r="C270" s="218" t="s">
        <v>521</v>
      </c>
      <c r="D270" s="217" t="s">
        <v>13</v>
      </c>
      <c r="E270" s="219" t="s">
        <v>102</v>
      </c>
      <c r="F270" s="218" t="s">
        <v>524</v>
      </c>
      <c r="G270" s="263" t="s">
        <v>302</v>
      </c>
      <c r="H270" s="220" t="s">
        <v>302</v>
      </c>
      <c r="I270" s="220" t="s">
        <v>302</v>
      </c>
      <c r="J270" s="221" t="s">
        <v>302</v>
      </c>
      <c r="K270" s="221" t="s">
        <v>15</v>
      </c>
      <c r="L270" s="220" t="s">
        <v>302</v>
      </c>
      <c r="M270" s="220" t="s">
        <v>302</v>
      </c>
      <c r="N270" s="221" t="s">
        <v>302</v>
      </c>
      <c r="O270" s="222" t="s">
        <v>302</v>
      </c>
      <c r="P270" s="222" t="s">
        <v>302</v>
      </c>
      <c r="Q270" s="222" t="s">
        <v>302</v>
      </c>
      <c r="R270" s="222" t="s">
        <v>302</v>
      </c>
      <c r="S270" s="222" t="s">
        <v>302</v>
      </c>
      <c r="T270" s="222" t="s">
        <v>302</v>
      </c>
      <c r="U270" s="222" t="s">
        <v>302</v>
      </c>
      <c r="V270" s="222" t="s">
        <v>302</v>
      </c>
      <c r="W270" s="223" t="s">
        <v>302</v>
      </c>
      <c r="X270" s="223" t="s">
        <v>15</v>
      </c>
      <c r="Y270" s="224" t="s">
        <v>302</v>
      </c>
    </row>
    <row r="271" spans="1:25">
      <c r="A271" s="216">
        <v>5</v>
      </c>
      <c r="B271" s="217" t="str">
        <f>VLOOKUP(Tabel10[[#This Row],[Code]],Ruimtegroepen[[Code]:[Ruimte omschrijving]],2,FALSE)</f>
        <v>Sanitair</v>
      </c>
      <c r="C271" s="218" t="s">
        <v>521</v>
      </c>
      <c r="D271" s="217" t="s">
        <v>13</v>
      </c>
      <c r="E271" s="219" t="s">
        <v>103</v>
      </c>
      <c r="F271" s="218" t="s">
        <v>525</v>
      </c>
      <c r="G271" s="263" t="s">
        <v>302</v>
      </c>
      <c r="H271" s="220" t="s">
        <v>302</v>
      </c>
      <c r="I271" s="220" t="s">
        <v>302</v>
      </c>
      <c r="J271" s="221" t="s">
        <v>302</v>
      </c>
      <c r="K271" s="221" t="s">
        <v>15</v>
      </c>
      <c r="L271" s="220" t="s">
        <v>302</v>
      </c>
      <c r="M271" s="220" t="s">
        <v>302</v>
      </c>
      <c r="N271" s="221" t="s">
        <v>302</v>
      </c>
      <c r="O271" s="222" t="s">
        <v>302</v>
      </c>
      <c r="P271" s="222" t="s">
        <v>302</v>
      </c>
      <c r="Q271" s="222" t="s">
        <v>302</v>
      </c>
      <c r="R271" s="222" t="s">
        <v>302</v>
      </c>
      <c r="S271" s="222" t="s">
        <v>302</v>
      </c>
      <c r="T271" s="222" t="s">
        <v>302</v>
      </c>
      <c r="U271" s="222" t="s">
        <v>302</v>
      </c>
      <c r="V271" s="222" t="s">
        <v>302</v>
      </c>
      <c r="W271" s="223" t="s">
        <v>302</v>
      </c>
      <c r="X271" s="223" t="s">
        <v>15</v>
      </c>
      <c r="Y271" s="224" t="s">
        <v>302</v>
      </c>
    </row>
    <row r="272" spans="1:25">
      <c r="A272" s="216">
        <v>5</v>
      </c>
      <c r="B272" s="217" t="str">
        <f>VLOOKUP(Tabel10[[#This Row],[Code]],Ruimtegroepen[[Code]:[Ruimte omschrijving]],2,FALSE)</f>
        <v>Sanitair</v>
      </c>
      <c r="C272" s="218" t="s">
        <v>521</v>
      </c>
      <c r="D272" s="217" t="s">
        <v>13</v>
      </c>
      <c r="E272" s="219" t="s">
        <v>100</v>
      </c>
      <c r="F272" s="218" t="s">
        <v>523</v>
      </c>
      <c r="G272" s="263" t="s">
        <v>302</v>
      </c>
      <c r="H272" s="220" t="s">
        <v>302</v>
      </c>
      <c r="I272" s="220" t="s">
        <v>302</v>
      </c>
      <c r="J272" s="221" t="s">
        <v>302</v>
      </c>
      <c r="K272" s="221" t="s">
        <v>302</v>
      </c>
      <c r="L272" s="220" t="s">
        <v>302</v>
      </c>
      <c r="M272" s="220" t="s">
        <v>302</v>
      </c>
      <c r="N272" s="221" t="s">
        <v>302</v>
      </c>
      <c r="O272" s="222" t="s">
        <v>302</v>
      </c>
      <c r="P272" s="222" t="s">
        <v>302</v>
      </c>
      <c r="Q272" s="222" t="s">
        <v>302</v>
      </c>
      <c r="R272" s="222" t="s">
        <v>302</v>
      </c>
      <c r="S272" s="222" t="s">
        <v>302</v>
      </c>
      <c r="T272" s="222" t="s">
        <v>302</v>
      </c>
      <c r="U272" s="222" t="s">
        <v>302</v>
      </c>
      <c r="V272" s="222" t="s">
        <v>302</v>
      </c>
      <c r="W272" s="223" t="s">
        <v>302</v>
      </c>
      <c r="X272" s="223" t="s">
        <v>302</v>
      </c>
      <c r="Y272" s="224" t="s">
        <v>302</v>
      </c>
    </row>
    <row r="273" spans="1:25">
      <c r="A273" s="216">
        <v>5</v>
      </c>
      <c r="B273" s="217" t="str">
        <f>VLOOKUP(Tabel10[[#This Row],[Code]],Ruimtegroepen[[Code]:[Ruimte omschrijving]],2,FALSE)</f>
        <v>Sanitair</v>
      </c>
      <c r="C273" s="218" t="s">
        <v>521</v>
      </c>
      <c r="D273" s="217" t="s">
        <v>13</v>
      </c>
      <c r="E273" s="219" t="s">
        <v>1325</v>
      </c>
      <c r="F273" s="218" t="s">
        <v>1377</v>
      </c>
      <c r="G273" s="263" t="s">
        <v>302</v>
      </c>
      <c r="H273" s="220" t="s">
        <v>302</v>
      </c>
      <c r="I273" s="220" t="s">
        <v>302</v>
      </c>
      <c r="J273" s="221" t="s">
        <v>302</v>
      </c>
      <c r="K273" s="221" t="s">
        <v>15</v>
      </c>
      <c r="L273" s="220" t="s">
        <v>302</v>
      </c>
      <c r="M273" s="220" t="s">
        <v>302</v>
      </c>
      <c r="N273" s="221" t="s">
        <v>302</v>
      </c>
      <c r="O273" s="222" t="s">
        <v>302</v>
      </c>
      <c r="P273" s="222" t="s">
        <v>302</v>
      </c>
      <c r="Q273" s="222" t="s">
        <v>302</v>
      </c>
      <c r="R273" s="222" t="s">
        <v>302</v>
      </c>
      <c r="S273" s="222" t="s">
        <v>302</v>
      </c>
      <c r="T273" s="222" t="s">
        <v>302</v>
      </c>
      <c r="U273" s="222" t="s">
        <v>302</v>
      </c>
      <c r="V273" s="222" t="s">
        <v>302</v>
      </c>
      <c r="W273" s="223" t="s">
        <v>302</v>
      </c>
      <c r="X273" s="223" t="s">
        <v>15</v>
      </c>
      <c r="Y273" s="224" t="s">
        <v>302</v>
      </c>
    </row>
    <row r="274" spans="1:25">
      <c r="A274" s="216">
        <v>5</v>
      </c>
      <c r="B274" s="217" t="str">
        <f>VLOOKUP(Tabel10[[#This Row],[Code]],Ruimtegroepen[[Code]:[Ruimte omschrijving]],2,FALSE)</f>
        <v>Sanitair</v>
      </c>
      <c r="C274" s="218" t="s">
        <v>526</v>
      </c>
      <c r="D274" s="217" t="s">
        <v>0</v>
      </c>
      <c r="E274" s="219" t="s">
        <v>101</v>
      </c>
      <c r="F274" s="218" t="s">
        <v>527</v>
      </c>
      <c r="G274" s="263" t="s">
        <v>302</v>
      </c>
      <c r="H274" s="220" t="s">
        <v>302</v>
      </c>
      <c r="I274" s="220" t="s">
        <v>302</v>
      </c>
      <c r="J274" s="221" t="s">
        <v>302</v>
      </c>
      <c r="K274" s="221" t="s">
        <v>16</v>
      </c>
      <c r="L274" s="220" t="s">
        <v>302</v>
      </c>
      <c r="M274" s="220" t="s">
        <v>302</v>
      </c>
      <c r="N274" s="221" t="s">
        <v>302</v>
      </c>
      <c r="O274" s="222" t="s">
        <v>302</v>
      </c>
      <c r="P274" s="222" t="s">
        <v>302</v>
      </c>
      <c r="Q274" s="222" t="s">
        <v>302</v>
      </c>
      <c r="R274" s="222" t="s">
        <v>302</v>
      </c>
      <c r="S274" s="222" t="s">
        <v>302</v>
      </c>
      <c r="T274" s="222" t="s">
        <v>302</v>
      </c>
      <c r="U274" s="222" t="s">
        <v>302</v>
      </c>
      <c r="V274" s="222" t="s">
        <v>302</v>
      </c>
      <c r="W274" s="223" t="s">
        <v>302</v>
      </c>
      <c r="X274" s="223" t="s">
        <v>16</v>
      </c>
      <c r="Y274" s="224" t="s">
        <v>302</v>
      </c>
    </row>
    <row r="275" spans="1:25">
      <c r="A275" s="216">
        <v>5</v>
      </c>
      <c r="B275" s="217" t="str">
        <f>VLOOKUP(Tabel10[[#This Row],[Code]],Ruimtegroepen[[Code]:[Ruimte omschrijving]],2,FALSE)</f>
        <v>Sanitair</v>
      </c>
      <c r="C275" s="218" t="s">
        <v>526</v>
      </c>
      <c r="D275" s="217" t="s">
        <v>0</v>
      </c>
      <c r="E275" s="219" t="s">
        <v>100</v>
      </c>
      <c r="F275" s="218" t="s">
        <v>528</v>
      </c>
      <c r="G275" s="263" t="s">
        <v>302</v>
      </c>
      <c r="H275" s="220" t="s">
        <v>302</v>
      </c>
      <c r="I275" s="220" t="s">
        <v>302</v>
      </c>
      <c r="J275" s="221" t="s">
        <v>302</v>
      </c>
      <c r="K275" s="221" t="s">
        <v>302</v>
      </c>
      <c r="L275" s="220" t="s">
        <v>302</v>
      </c>
      <c r="M275" s="220" t="s">
        <v>302</v>
      </c>
      <c r="N275" s="221" t="s">
        <v>302</v>
      </c>
      <c r="O275" s="222" t="s">
        <v>302</v>
      </c>
      <c r="P275" s="222" t="s">
        <v>302</v>
      </c>
      <c r="Q275" s="222" t="s">
        <v>302</v>
      </c>
      <c r="R275" s="222" t="s">
        <v>302</v>
      </c>
      <c r="S275" s="222" t="s">
        <v>302</v>
      </c>
      <c r="T275" s="222" t="s">
        <v>302</v>
      </c>
      <c r="U275" s="222" t="s">
        <v>302</v>
      </c>
      <c r="V275" s="222" t="s">
        <v>302</v>
      </c>
      <c r="W275" s="223" t="s">
        <v>302</v>
      </c>
      <c r="X275" s="223" t="s">
        <v>302</v>
      </c>
      <c r="Y275" s="224" t="s">
        <v>302</v>
      </c>
    </row>
    <row r="276" spans="1:25">
      <c r="A276" s="216">
        <v>5</v>
      </c>
      <c r="B276" s="217" t="str">
        <f>VLOOKUP(Tabel10[[#This Row],[Code]],Ruimtegroepen[[Code]:[Ruimte omschrijving]],2,FALSE)</f>
        <v>Sanitair</v>
      </c>
      <c r="C276" s="218" t="s">
        <v>526</v>
      </c>
      <c r="D276" s="217" t="s">
        <v>0</v>
      </c>
      <c r="E276" s="219" t="s">
        <v>102</v>
      </c>
      <c r="F276" s="218" t="s">
        <v>529</v>
      </c>
      <c r="G276" s="263" t="s">
        <v>302</v>
      </c>
      <c r="H276" s="220" t="s">
        <v>302</v>
      </c>
      <c r="I276" s="220" t="s">
        <v>302</v>
      </c>
      <c r="J276" s="221" t="s">
        <v>302</v>
      </c>
      <c r="K276" s="221" t="s">
        <v>16</v>
      </c>
      <c r="L276" s="220" t="s">
        <v>302</v>
      </c>
      <c r="M276" s="220" t="s">
        <v>302</v>
      </c>
      <c r="N276" s="221" t="s">
        <v>302</v>
      </c>
      <c r="O276" s="222" t="s">
        <v>302</v>
      </c>
      <c r="P276" s="222" t="s">
        <v>302</v>
      </c>
      <c r="Q276" s="222" t="s">
        <v>302</v>
      </c>
      <c r="R276" s="222" t="s">
        <v>302</v>
      </c>
      <c r="S276" s="222" t="s">
        <v>302</v>
      </c>
      <c r="T276" s="222" t="s">
        <v>302</v>
      </c>
      <c r="U276" s="222" t="s">
        <v>302</v>
      </c>
      <c r="V276" s="222" t="s">
        <v>302</v>
      </c>
      <c r="W276" s="223" t="s">
        <v>302</v>
      </c>
      <c r="X276" s="223" t="s">
        <v>16</v>
      </c>
      <c r="Y276" s="224" t="s">
        <v>302</v>
      </c>
    </row>
    <row r="277" spans="1:25">
      <c r="A277" s="216">
        <v>5</v>
      </c>
      <c r="B277" s="217" t="str">
        <f>VLOOKUP(Tabel10[[#This Row],[Code]],Ruimtegroepen[[Code]:[Ruimte omschrijving]],2,FALSE)</f>
        <v>Sanitair</v>
      </c>
      <c r="C277" s="218" t="s">
        <v>526</v>
      </c>
      <c r="D277" s="217" t="s">
        <v>0</v>
      </c>
      <c r="E277" s="219" t="s">
        <v>103</v>
      </c>
      <c r="F277" s="218" t="s">
        <v>530</v>
      </c>
      <c r="G277" s="263" t="s">
        <v>302</v>
      </c>
      <c r="H277" s="220" t="s">
        <v>302</v>
      </c>
      <c r="I277" s="220" t="s">
        <v>302</v>
      </c>
      <c r="J277" s="221" t="s">
        <v>302</v>
      </c>
      <c r="K277" s="221" t="s">
        <v>16</v>
      </c>
      <c r="L277" s="220" t="s">
        <v>302</v>
      </c>
      <c r="M277" s="220" t="s">
        <v>302</v>
      </c>
      <c r="N277" s="221" t="s">
        <v>302</v>
      </c>
      <c r="O277" s="222" t="s">
        <v>302</v>
      </c>
      <c r="P277" s="222" t="s">
        <v>302</v>
      </c>
      <c r="Q277" s="222" t="s">
        <v>302</v>
      </c>
      <c r="R277" s="222" t="s">
        <v>302</v>
      </c>
      <c r="S277" s="222" t="s">
        <v>302</v>
      </c>
      <c r="T277" s="222" t="s">
        <v>302</v>
      </c>
      <c r="U277" s="222" t="s">
        <v>302</v>
      </c>
      <c r="V277" s="222" t="s">
        <v>302</v>
      </c>
      <c r="W277" s="223" t="s">
        <v>302</v>
      </c>
      <c r="X277" s="223" t="s">
        <v>16</v>
      </c>
      <c r="Y277" s="224" t="s">
        <v>302</v>
      </c>
    </row>
    <row r="278" spans="1:25">
      <c r="A278" s="216">
        <v>5</v>
      </c>
      <c r="B278" s="217" t="str">
        <f>VLOOKUP(Tabel10[[#This Row],[Code]],Ruimtegroepen[[Code]:[Ruimte omschrijving]],2,FALSE)</f>
        <v>Sanitair</v>
      </c>
      <c r="C278" s="218" t="s">
        <v>526</v>
      </c>
      <c r="D278" s="217" t="s">
        <v>0</v>
      </c>
      <c r="E278" s="219" t="s">
        <v>100</v>
      </c>
      <c r="F278" s="218" t="s">
        <v>528</v>
      </c>
      <c r="G278" s="263" t="s">
        <v>302</v>
      </c>
      <c r="H278" s="220" t="s">
        <v>302</v>
      </c>
      <c r="I278" s="220" t="s">
        <v>302</v>
      </c>
      <c r="J278" s="221" t="s">
        <v>302</v>
      </c>
      <c r="K278" s="221" t="s">
        <v>302</v>
      </c>
      <c r="L278" s="220" t="s">
        <v>302</v>
      </c>
      <c r="M278" s="220" t="s">
        <v>302</v>
      </c>
      <c r="N278" s="221" t="s">
        <v>302</v>
      </c>
      <c r="O278" s="222" t="s">
        <v>302</v>
      </c>
      <c r="P278" s="222" t="s">
        <v>302</v>
      </c>
      <c r="Q278" s="222" t="s">
        <v>302</v>
      </c>
      <c r="R278" s="222" t="s">
        <v>302</v>
      </c>
      <c r="S278" s="222" t="s">
        <v>302</v>
      </c>
      <c r="T278" s="222" t="s">
        <v>302</v>
      </c>
      <c r="U278" s="222" t="s">
        <v>302</v>
      </c>
      <c r="V278" s="222" t="s">
        <v>302</v>
      </c>
      <c r="W278" s="223" t="s">
        <v>302</v>
      </c>
      <c r="X278" s="223" t="s">
        <v>302</v>
      </c>
      <c r="Y278" s="224" t="s">
        <v>302</v>
      </c>
    </row>
    <row r="279" spans="1:25">
      <c r="A279" s="216">
        <v>5</v>
      </c>
      <c r="B279" s="217" t="str">
        <f>VLOOKUP(Tabel10[[#This Row],[Code]],Ruimtegroepen[[Code]:[Ruimte omschrijving]],2,FALSE)</f>
        <v>Sanitair</v>
      </c>
      <c r="C279" s="218" t="s">
        <v>526</v>
      </c>
      <c r="D279" s="217" t="s">
        <v>0</v>
      </c>
      <c r="E279" s="219" t="s">
        <v>1325</v>
      </c>
      <c r="F279" s="218" t="s">
        <v>1361</v>
      </c>
      <c r="G279" s="263" t="s">
        <v>302</v>
      </c>
      <c r="H279" s="220" t="s">
        <v>302</v>
      </c>
      <c r="I279" s="220" t="s">
        <v>302</v>
      </c>
      <c r="J279" s="221" t="s">
        <v>302</v>
      </c>
      <c r="K279" s="221" t="s">
        <v>16</v>
      </c>
      <c r="L279" s="220" t="s">
        <v>302</v>
      </c>
      <c r="M279" s="220" t="s">
        <v>302</v>
      </c>
      <c r="N279" s="221" t="s">
        <v>302</v>
      </c>
      <c r="O279" s="222" t="s">
        <v>302</v>
      </c>
      <c r="P279" s="222" t="s">
        <v>302</v>
      </c>
      <c r="Q279" s="222" t="s">
        <v>302</v>
      </c>
      <c r="R279" s="222" t="s">
        <v>302</v>
      </c>
      <c r="S279" s="222" t="s">
        <v>302</v>
      </c>
      <c r="T279" s="222" t="s">
        <v>302</v>
      </c>
      <c r="U279" s="222" t="s">
        <v>302</v>
      </c>
      <c r="V279" s="222" t="s">
        <v>302</v>
      </c>
      <c r="W279" s="223" t="s">
        <v>302</v>
      </c>
      <c r="X279" s="223" t="s">
        <v>16</v>
      </c>
      <c r="Y279" s="224" t="s">
        <v>302</v>
      </c>
    </row>
    <row r="280" spans="1:25">
      <c r="A280" s="216">
        <v>5</v>
      </c>
      <c r="B280" s="217" t="str">
        <f>VLOOKUP(Tabel10[[#This Row],[Code]],Ruimtegroepen[[Code]:[Ruimte omschrijving]],2,FALSE)</f>
        <v>Sanitair</v>
      </c>
      <c r="C280" s="218" t="s">
        <v>531</v>
      </c>
      <c r="D280" s="217" t="s">
        <v>27</v>
      </c>
      <c r="E280" s="219" t="s">
        <v>101</v>
      </c>
      <c r="F280" s="218" t="s">
        <v>532</v>
      </c>
      <c r="G280" s="263" t="s">
        <v>302</v>
      </c>
      <c r="H280" s="220" t="s">
        <v>302</v>
      </c>
      <c r="I280" s="220" t="s">
        <v>302</v>
      </c>
      <c r="J280" s="220" t="s">
        <v>15</v>
      </c>
      <c r="K280" s="220" t="s">
        <v>302</v>
      </c>
      <c r="L280" s="220" t="s">
        <v>302</v>
      </c>
      <c r="M280" s="220" t="s">
        <v>302</v>
      </c>
      <c r="N280" s="221" t="s">
        <v>302</v>
      </c>
      <c r="O280" s="222" t="s">
        <v>302</v>
      </c>
      <c r="P280" s="222" t="s">
        <v>302</v>
      </c>
      <c r="Q280" s="222" t="s">
        <v>302</v>
      </c>
      <c r="R280" s="222" t="s">
        <v>302</v>
      </c>
      <c r="S280" s="222" t="s">
        <v>302</v>
      </c>
      <c r="T280" s="222" t="s">
        <v>302</v>
      </c>
      <c r="U280" s="222" t="s">
        <v>302</v>
      </c>
      <c r="V280" s="222" t="s">
        <v>302</v>
      </c>
      <c r="W280" s="223" t="s">
        <v>15</v>
      </c>
      <c r="X280" s="223" t="s">
        <v>15</v>
      </c>
      <c r="Y280" s="224" t="s">
        <v>302</v>
      </c>
    </row>
    <row r="281" spans="1:25">
      <c r="A281" s="216">
        <v>5</v>
      </c>
      <c r="B281" s="217" t="str">
        <f>VLOOKUP(Tabel10[[#This Row],[Code]],Ruimtegroepen[[Code]:[Ruimte omschrijving]],2,FALSE)</f>
        <v>Sanitair</v>
      </c>
      <c r="C281" s="218" t="s">
        <v>531</v>
      </c>
      <c r="D281" s="217" t="s">
        <v>27</v>
      </c>
      <c r="E281" s="219" t="s">
        <v>100</v>
      </c>
      <c r="F281" s="218" t="s">
        <v>533</v>
      </c>
      <c r="G281" s="263" t="s">
        <v>302</v>
      </c>
      <c r="H281" s="220" t="s">
        <v>302</v>
      </c>
      <c r="I281" s="220" t="s">
        <v>302</v>
      </c>
      <c r="J281" s="221" t="s">
        <v>302</v>
      </c>
      <c r="K281" s="220" t="s">
        <v>302</v>
      </c>
      <c r="L281" s="220" t="s">
        <v>302</v>
      </c>
      <c r="M281" s="220" t="s">
        <v>302</v>
      </c>
      <c r="N281" s="221" t="s">
        <v>302</v>
      </c>
      <c r="O281" s="222" t="s">
        <v>302</v>
      </c>
      <c r="P281" s="222" t="s">
        <v>302</v>
      </c>
      <c r="Q281" s="222" t="s">
        <v>302</v>
      </c>
      <c r="R281" s="222" t="s">
        <v>302</v>
      </c>
      <c r="S281" s="222" t="s">
        <v>302</v>
      </c>
      <c r="T281" s="222" t="s">
        <v>302</v>
      </c>
      <c r="U281" s="222" t="s">
        <v>302</v>
      </c>
      <c r="V281" s="222" t="s">
        <v>302</v>
      </c>
      <c r="W281" s="223" t="s">
        <v>302</v>
      </c>
      <c r="X281" s="223" t="s">
        <v>302</v>
      </c>
      <c r="Y281" s="224" t="s">
        <v>302</v>
      </c>
    </row>
    <row r="282" spans="1:25">
      <c r="A282" s="216">
        <v>5</v>
      </c>
      <c r="B282" s="217" t="str">
        <f>VLOOKUP(Tabel10[[#This Row],[Code]],Ruimtegroepen[[Code]:[Ruimte omschrijving]],2,FALSE)</f>
        <v>Sanitair</v>
      </c>
      <c r="C282" s="218" t="s">
        <v>531</v>
      </c>
      <c r="D282" s="217" t="s">
        <v>27</v>
      </c>
      <c r="E282" s="219" t="s">
        <v>102</v>
      </c>
      <c r="F282" s="218" t="s">
        <v>534</v>
      </c>
      <c r="G282" s="263" t="s">
        <v>302</v>
      </c>
      <c r="H282" s="220" t="s">
        <v>302</v>
      </c>
      <c r="I282" s="220" t="s">
        <v>302</v>
      </c>
      <c r="J282" s="220" t="s">
        <v>15</v>
      </c>
      <c r="K282" s="220" t="s">
        <v>302</v>
      </c>
      <c r="L282" s="220" t="s">
        <v>302</v>
      </c>
      <c r="M282" s="220" t="s">
        <v>302</v>
      </c>
      <c r="N282" s="221" t="s">
        <v>302</v>
      </c>
      <c r="O282" s="222" t="s">
        <v>302</v>
      </c>
      <c r="P282" s="222" t="s">
        <v>302</v>
      </c>
      <c r="Q282" s="222" t="s">
        <v>302</v>
      </c>
      <c r="R282" s="222" t="s">
        <v>302</v>
      </c>
      <c r="S282" s="222" t="s">
        <v>302</v>
      </c>
      <c r="T282" s="222" t="s">
        <v>302</v>
      </c>
      <c r="U282" s="222" t="s">
        <v>302</v>
      </c>
      <c r="V282" s="222" t="s">
        <v>302</v>
      </c>
      <c r="W282" s="223" t="s">
        <v>15</v>
      </c>
      <c r="X282" s="223" t="s">
        <v>15</v>
      </c>
      <c r="Y282" s="224" t="s">
        <v>302</v>
      </c>
    </row>
    <row r="283" spans="1:25">
      <c r="A283" s="216">
        <v>5</v>
      </c>
      <c r="B283" s="217" t="str">
        <f>VLOOKUP(Tabel10[[#This Row],[Code]],Ruimtegroepen[[Code]:[Ruimte omschrijving]],2,FALSE)</f>
        <v>Sanitair</v>
      </c>
      <c r="C283" s="218" t="s">
        <v>531</v>
      </c>
      <c r="D283" s="217" t="s">
        <v>27</v>
      </c>
      <c r="E283" s="219" t="s">
        <v>103</v>
      </c>
      <c r="F283" s="218" t="s">
        <v>535</v>
      </c>
      <c r="G283" s="263" t="s">
        <v>302</v>
      </c>
      <c r="H283" s="220" t="s">
        <v>302</v>
      </c>
      <c r="I283" s="220" t="s">
        <v>302</v>
      </c>
      <c r="J283" s="220" t="s">
        <v>15</v>
      </c>
      <c r="K283" s="220" t="s">
        <v>302</v>
      </c>
      <c r="L283" s="220" t="s">
        <v>302</v>
      </c>
      <c r="M283" s="220" t="s">
        <v>302</v>
      </c>
      <c r="N283" s="221" t="s">
        <v>302</v>
      </c>
      <c r="O283" s="222" t="s">
        <v>302</v>
      </c>
      <c r="P283" s="222" t="s">
        <v>302</v>
      </c>
      <c r="Q283" s="222" t="s">
        <v>302</v>
      </c>
      <c r="R283" s="222" t="s">
        <v>302</v>
      </c>
      <c r="S283" s="222" t="s">
        <v>302</v>
      </c>
      <c r="T283" s="222" t="s">
        <v>302</v>
      </c>
      <c r="U283" s="222" t="s">
        <v>302</v>
      </c>
      <c r="V283" s="222" t="s">
        <v>302</v>
      </c>
      <c r="W283" s="223" t="s">
        <v>15</v>
      </c>
      <c r="X283" s="223" t="s">
        <v>15</v>
      </c>
      <c r="Y283" s="224" t="s">
        <v>302</v>
      </c>
    </row>
    <row r="284" spans="1:25">
      <c r="A284" s="216">
        <v>5</v>
      </c>
      <c r="B284" s="217" t="str">
        <f>VLOOKUP(Tabel10[[#This Row],[Code]],Ruimtegroepen[[Code]:[Ruimte omschrijving]],2,FALSE)</f>
        <v>Sanitair</v>
      </c>
      <c r="C284" s="218" t="s">
        <v>531</v>
      </c>
      <c r="D284" s="217" t="s">
        <v>27</v>
      </c>
      <c r="E284" s="219" t="s">
        <v>100</v>
      </c>
      <c r="F284" s="218" t="s">
        <v>533</v>
      </c>
      <c r="G284" s="263" t="s">
        <v>302</v>
      </c>
      <c r="H284" s="220" t="s">
        <v>302</v>
      </c>
      <c r="I284" s="220" t="s">
        <v>302</v>
      </c>
      <c r="J284" s="221" t="s">
        <v>302</v>
      </c>
      <c r="K284" s="220" t="s">
        <v>302</v>
      </c>
      <c r="L284" s="220" t="s">
        <v>302</v>
      </c>
      <c r="M284" s="220" t="s">
        <v>302</v>
      </c>
      <c r="N284" s="221" t="s">
        <v>302</v>
      </c>
      <c r="O284" s="222" t="s">
        <v>302</v>
      </c>
      <c r="P284" s="222" t="s">
        <v>302</v>
      </c>
      <c r="Q284" s="222" t="s">
        <v>302</v>
      </c>
      <c r="R284" s="222" t="s">
        <v>302</v>
      </c>
      <c r="S284" s="222" t="s">
        <v>302</v>
      </c>
      <c r="T284" s="222" t="s">
        <v>302</v>
      </c>
      <c r="U284" s="222" t="s">
        <v>302</v>
      </c>
      <c r="V284" s="222" t="s">
        <v>302</v>
      </c>
      <c r="W284" s="223" t="s">
        <v>302</v>
      </c>
      <c r="X284" s="223" t="s">
        <v>302</v>
      </c>
      <c r="Y284" s="224" t="s">
        <v>302</v>
      </c>
    </row>
    <row r="285" spans="1:25">
      <c r="A285" s="216">
        <v>5</v>
      </c>
      <c r="B285" s="217" t="str">
        <f>VLOOKUP(Tabel10[[#This Row],[Code]],Ruimtegroepen[[Code]:[Ruimte omschrijving]],2,FALSE)</f>
        <v>Sanitair</v>
      </c>
      <c r="C285" s="218" t="s">
        <v>531</v>
      </c>
      <c r="D285" s="217" t="s">
        <v>27</v>
      </c>
      <c r="E285" s="219" t="s">
        <v>1325</v>
      </c>
      <c r="F285" s="218" t="s">
        <v>1394</v>
      </c>
      <c r="G285" s="263" t="s">
        <v>302</v>
      </c>
      <c r="H285" s="220" t="s">
        <v>302</v>
      </c>
      <c r="I285" s="220" t="s">
        <v>302</v>
      </c>
      <c r="J285" s="220" t="s">
        <v>15</v>
      </c>
      <c r="K285" s="220" t="s">
        <v>302</v>
      </c>
      <c r="L285" s="220" t="s">
        <v>302</v>
      </c>
      <c r="M285" s="220" t="s">
        <v>302</v>
      </c>
      <c r="N285" s="221" t="s">
        <v>302</v>
      </c>
      <c r="O285" s="222" t="s">
        <v>302</v>
      </c>
      <c r="P285" s="222" t="s">
        <v>302</v>
      </c>
      <c r="Q285" s="222" t="s">
        <v>302</v>
      </c>
      <c r="R285" s="222" t="s">
        <v>302</v>
      </c>
      <c r="S285" s="222" t="s">
        <v>302</v>
      </c>
      <c r="T285" s="222" t="s">
        <v>302</v>
      </c>
      <c r="U285" s="222" t="s">
        <v>302</v>
      </c>
      <c r="V285" s="222" t="s">
        <v>302</v>
      </c>
      <c r="W285" s="223" t="s">
        <v>15</v>
      </c>
      <c r="X285" s="223" t="s">
        <v>15</v>
      </c>
      <c r="Y285" s="224" t="s">
        <v>302</v>
      </c>
    </row>
    <row r="286" spans="1:25">
      <c r="A286" s="216">
        <v>5</v>
      </c>
      <c r="B286" s="217" t="str">
        <f>VLOOKUP(Tabel10[[#This Row],[Code]],Ruimtegroepen[[Code]:[Ruimte omschrijving]],2,FALSE)</f>
        <v>Sanitair</v>
      </c>
      <c r="C286" s="218" t="s">
        <v>536</v>
      </c>
      <c r="D286" s="217" t="s">
        <v>28</v>
      </c>
      <c r="E286" s="219" t="s">
        <v>101</v>
      </c>
      <c r="F286" s="218" t="s">
        <v>537</v>
      </c>
      <c r="G286" s="263" t="s">
        <v>302</v>
      </c>
      <c r="H286" s="220" t="s">
        <v>302</v>
      </c>
      <c r="I286" s="220" t="s">
        <v>302</v>
      </c>
      <c r="J286" s="220" t="s">
        <v>17</v>
      </c>
      <c r="K286" s="220" t="s">
        <v>302</v>
      </c>
      <c r="L286" s="220" t="s">
        <v>302</v>
      </c>
      <c r="M286" s="220" t="s">
        <v>302</v>
      </c>
      <c r="N286" s="221" t="s">
        <v>302</v>
      </c>
      <c r="O286" s="222" t="s">
        <v>302</v>
      </c>
      <c r="P286" s="222" t="s">
        <v>302</v>
      </c>
      <c r="Q286" s="222" t="s">
        <v>302</v>
      </c>
      <c r="R286" s="222" t="s">
        <v>302</v>
      </c>
      <c r="S286" s="222" t="s">
        <v>302</v>
      </c>
      <c r="T286" s="222" t="s">
        <v>302</v>
      </c>
      <c r="U286" s="222" t="s">
        <v>302</v>
      </c>
      <c r="V286" s="222" t="s">
        <v>302</v>
      </c>
      <c r="W286" s="242" t="s">
        <v>17</v>
      </c>
      <c r="X286" s="242" t="s">
        <v>17</v>
      </c>
      <c r="Y286" s="224" t="s">
        <v>302</v>
      </c>
    </row>
    <row r="287" spans="1:25">
      <c r="A287" s="216">
        <v>5</v>
      </c>
      <c r="B287" s="217" t="str">
        <f>VLOOKUP(Tabel10[[#This Row],[Code]],Ruimtegroepen[[Code]:[Ruimte omschrijving]],2,FALSE)</f>
        <v>Sanitair</v>
      </c>
      <c r="C287" s="218" t="s">
        <v>536</v>
      </c>
      <c r="D287" s="217" t="s">
        <v>28</v>
      </c>
      <c r="E287" s="219" t="s">
        <v>100</v>
      </c>
      <c r="F287" s="218" t="s">
        <v>538</v>
      </c>
      <c r="G287" s="263" t="s">
        <v>302</v>
      </c>
      <c r="H287" s="220" t="s">
        <v>302</v>
      </c>
      <c r="I287" s="220" t="s">
        <v>302</v>
      </c>
      <c r="J287" s="221" t="s">
        <v>302</v>
      </c>
      <c r="K287" s="220" t="s">
        <v>302</v>
      </c>
      <c r="L287" s="220" t="s">
        <v>302</v>
      </c>
      <c r="M287" s="220" t="s">
        <v>302</v>
      </c>
      <c r="N287" s="221" t="s">
        <v>302</v>
      </c>
      <c r="O287" s="222" t="s">
        <v>302</v>
      </c>
      <c r="P287" s="222" t="s">
        <v>302</v>
      </c>
      <c r="Q287" s="222" t="s">
        <v>302</v>
      </c>
      <c r="R287" s="222" t="s">
        <v>302</v>
      </c>
      <c r="S287" s="222" t="s">
        <v>302</v>
      </c>
      <c r="T287" s="222" t="s">
        <v>302</v>
      </c>
      <c r="U287" s="222" t="s">
        <v>302</v>
      </c>
      <c r="V287" s="222" t="s">
        <v>302</v>
      </c>
      <c r="W287" s="223" t="s">
        <v>302</v>
      </c>
      <c r="X287" s="223" t="s">
        <v>302</v>
      </c>
      <c r="Y287" s="224" t="s">
        <v>302</v>
      </c>
    </row>
    <row r="288" spans="1:25">
      <c r="A288" s="216">
        <v>5</v>
      </c>
      <c r="B288" s="217" t="str">
        <f>VLOOKUP(Tabel10[[#This Row],[Code]],Ruimtegroepen[[Code]:[Ruimte omschrijving]],2,FALSE)</f>
        <v>Sanitair</v>
      </c>
      <c r="C288" s="218" t="s">
        <v>536</v>
      </c>
      <c r="D288" s="217" t="s">
        <v>28</v>
      </c>
      <c r="E288" s="219" t="s">
        <v>102</v>
      </c>
      <c r="F288" s="218" t="s">
        <v>539</v>
      </c>
      <c r="G288" s="263" t="s">
        <v>302</v>
      </c>
      <c r="H288" s="220" t="s">
        <v>302</v>
      </c>
      <c r="I288" s="220" t="s">
        <v>302</v>
      </c>
      <c r="J288" s="220" t="s">
        <v>17</v>
      </c>
      <c r="K288" s="220" t="s">
        <v>302</v>
      </c>
      <c r="L288" s="220" t="s">
        <v>302</v>
      </c>
      <c r="M288" s="220" t="s">
        <v>302</v>
      </c>
      <c r="N288" s="221" t="s">
        <v>302</v>
      </c>
      <c r="O288" s="222" t="s">
        <v>302</v>
      </c>
      <c r="P288" s="222" t="s">
        <v>302</v>
      </c>
      <c r="Q288" s="222" t="s">
        <v>302</v>
      </c>
      <c r="R288" s="222" t="s">
        <v>302</v>
      </c>
      <c r="S288" s="222" t="s">
        <v>302</v>
      </c>
      <c r="T288" s="222" t="s">
        <v>302</v>
      </c>
      <c r="U288" s="222" t="s">
        <v>302</v>
      </c>
      <c r="V288" s="222" t="s">
        <v>302</v>
      </c>
      <c r="W288" s="242" t="s">
        <v>17</v>
      </c>
      <c r="X288" s="242" t="s">
        <v>17</v>
      </c>
      <c r="Y288" s="224" t="s">
        <v>302</v>
      </c>
    </row>
    <row r="289" spans="1:25">
      <c r="A289" s="216">
        <v>5</v>
      </c>
      <c r="B289" s="217" t="str">
        <f>VLOOKUP(Tabel10[[#This Row],[Code]],Ruimtegroepen[[Code]:[Ruimte omschrijving]],2,FALSE)</f>
        <v>Sanitair</v>
      </c>
      <c r="C289" s="218" t="s">
        <v>536</v>
      </c>
      <c r="D289" s="217" t="s">
        <v>28</v>
      </c>
      <c r="E289" s="219" t="s">
        <v>103</v>
      </c>
      <c r="F289" s="218" t="s">
        <v>540</v>
      </c>
      <c r="G289" s="263" t="s">
        <v>302</v>
      </c>
      <c r="H289" s="220" t="s">
        <v>302</v>
      </c>
      <c r="I289" s="220" t="s">
        <v>302</v>
      </c>
      <c r="J289" s="220" t="s">
        <v>17</v>
      </c>
      <c r="K289" s="220" t="s">
        <v>302</v>
      </c>
      <c r="L289" s="220" t="s">
        <v>302</v>
      </c>
      <c r="M289" s="220" t="s">
        <v>302</v>
      </c>
      <c r="N289" s="221" t="s">
        <v>302</v>
      </c>
      <c r="O289" s="222" t="s">
        <v>302</v>
      </c>
      <c r="P289" s="222" t="s">
        <v>302</v>
      </c>
      <c r="Q289" s="222" t="s">
        <v>302</v>
      </c>
      <c r="R289" s="222" t="s">
        <v>302</v>
      </c>
      <c r="S289" s="222" t="s">
        <v>302</v>
      </c>
      <c r="T289" s="222" t="s">
        <v>302</v>
      </c>
      <c r="U289" s="222" t="s">
        <v>302</v>
      </c>
      <c r="V289" s="222" t="s">
        <v>302</v>
      </c>
      <c r="W289" s="242" t="s">
        <v>17</v>
      </c>
      <c r="X289" s="242" t="s">
        <v>17</v>
      </c>
      <c r="Y289" s="224" t="s">
        <v>302</v>
      </c>
    </row>
    <row r="290" spans="1:25">
      <c r="A290" s="216">
        <v>5</v>
      </c>
      <c r="B290" s="217" t="str">
        <f>VLOOKUP(Tabel10[[#This Row],[Code]],Ruimtegroepen[[Code]:[Ruimte omschrijving]],2,FALSE)</f>
        <v>Sanitair</v>
      </c>
      <c r="C290" s="218" t="s">
        <v>536</v>
      </c>
      <c r="D290" s="217" t="s">
        <v>28</v>
      </c>
      <c r="E290" s="219" t="s">
        <v>100</v>
      </c>
      <c r="F290" s="218" t="s">
        <v>538</v>
      </c>
      <c r="G290" s="263" t="s">
        <v>302</v>
      </c>
      <c r="H290" s="220" t="s">
        <v>302</v>
      </c>
      <c r="I290" s="220" t="s">
        <v>302</v>
      </c>
      <c r="J290" s="221" t="s">
        <v>302</v>
      </c>
      <c r="K290" s="221" t="s">
        <v>302</v>
      </c>
      <c r="L290" s="220" t="s">
        <v>302</v>
      </c>
      <c r="M290" s="220" t="s">
        <v>302</v>
      </c>
      <c r="N290" s="221" t="s">
        <v>302</v>
      </c>
      <c r="O290" s="222" t="s">
        <v>302</v>
      </c>
      <c r="P290" s="222" t="s">
        <v>302</v>
      </c>
      <c r="Q290" s="222" t="s">
        <v>302</v>
      </c>
      <c r="R290" s="222" t="s">
        <v>302</v>
      </c>
      <c r="S290" s="222" t="s">
        <v>302</v>
      </c>
      <c r="T290" s="222" t="s">
        <v>302</v>
      </c>
      <c r="U290" s="222" t="s">
        <v>302</v>
      </c>
      <c r="V290" s="222" t="s">
        <v>302</v>
      </c>
      <c r="W290" s="223" t="s">
        <v>302</v>
      </c>
      <c r="X290" s="223" t="s">
        <v>302</v>
      </c>
      <c r="Y290" s="224" t="s">
        <v>302</v>
      </c>
    </row>
    <row r="291" spans="1:25">
      <c r="A291" s="216">
        <v>5</v>
      </c>
      <c r="B291" s="217" t="str">
        <f>VLOOKUP(Tabel10[[#This Row],[Code]],Ruimtegroepen[[Code]:[Ruimte omschrijving]],2,FALSE)</f>
        <v>Sanitair</v>
      </c>
      <c r="C291" s="218" t="s">
        <v>536</v>
      </c>
      <c r="D291" s="217" t="s">
        <v>28</v>
      </c>
      <c r="E291" s="219" t="s">
        <v>1325</v>
      </c>
      <c r="F291" s="218" t="s">
        <v>1427</v>
      </c>
      <c r="G291" s="263" t="s">
        <v>302</v>
      </c>
      <c r="H291" s="220" t="s">
        <v>302</v>
      </c>
      <c r="I291" s="220" t="s">
        <v>302</v>
      </c>
      <c r="J291" s="220" t="s">
        <v>17</v>
      </c>
      <c r="K291" s="220" t="s">
        <v>302</v>
      </c>
      <c r="L291" s="220" t="s">
        <v>302</v>
      </c>
      <c r="M291" s="220" t="s">
        <v>302</v>
      </c>
      <c r="N291" s="221" t="s">
        <v>302</v>
      </c>
      <c r="O291" s="222" t="s">
        <v>302</v>
      </c>
      <c r="P291" s="222" t="s">
        <v>302</v>
      </c>
      <c r="Q291" s="222" t="s">
        <v>302</v>
      </c>
      <c r="R291" s="222" t="s">
        <v>302</v>
      </c>
      <c r="S291" s="222" t="s">
        <v>302</v>
      </c>
      <c r="T291" s="222" t="s">
        <v>302</v>
      </c>
      <c r="U291" s="222" t="s">
        <v>302</v>
      </c>
      <c r="V291" s="222" t="s">
        <v>302</v>
      </c>
      <c r="W291" s="242" t="s">
        <v>17</v>
      </c>
      <c r="X291" s="242" t="s">
        <v>17</v>
      </c>
      <c r="Y291" s="224" t="s">
        <v>302</v>
      </c>
    </row>
    <row r="292" spans="1:25">
      <c r="A292" s="216">
        <v>5</v>
      </c>
      <c r="B292" s="217" t="str">
        <f>VLOOKUP(Tabel10[[#This Row],[Code]],Ruimtegroepen[[Code]:[Ruimte omschrijving]],2,FALSE)</f>
        <v>Sanitair</v>
      </c>
      <c r="C292" s="218" t="s">
        <v>541</v>
      </c>
      <c r="D292" s="217" t="s">
        <v>542</v>
      </c>
      <c r="E292" s="219" t="s">
        <v>101</v>
      </c>
      <c r="F292" s="218" t="s">
        <v>543</v>
      </c>
      <c r="G292" s="263" t="s">
        <v>302</v>
      </c>
      <c r="H292" s="220" t="s">
        <v>302</v>
      </c>
      <c r="I292" s="220" t="s">
        <v>302</v>
      </c>
      <c r="J292" s="220" t="s">
        <v>20</v>
      </c>
      <c r="K292" s="221" t="s">
        <v>302</v>
      </c>
      <c r="L292" s="220" t="s">
        <v>302</v>
      </c>
      <c r="M292" s="220" t="s">
        <v>302</v>
      </c>
      <c r="N292" s="221" t="s">
        <v>302</v>
      </c>
      <c r="O292" s="222" t="s">
        <v>302</v>
      </c>
      <c r="P292" s="222" t="s">
        <v>302</v>
      </c>
      <c r="Q292" s="222" t="s">
        <v>302</v>
      </c>
      <c r="R292" s="222" t="s">
        <v>302</v>
      </c>
      <c r="S292" s="222" t="s">
        <v>302</v>
      </c>
      <c r="T292" s="222" t="s">
        <v>302</v>
      </c>
      <c r="U292" s="222" t="s">
        <v>302</v>
      </c>
      <c r="V292" s="222" t="s">
        <v>302</v>
      </c>
      <c r="W292" s="223" t="s">
        <v>18</v>
      </c>
      <c r="X292" s="223" t="s">
        <v>15</v>
      </c>
      <c r="Y292" s="224" t="s">
        <v>302</v>
      </c>
    </row>
    <row r="293" spans="1:25">
      <c r="A293" s="216">
        <v>5</v>
      </c>
      <c r="B293" s="217" t="str">
        <f>VLOOKUP(Tabel10[[#This Row],[Code]],Ruimtegroepen[[Code]:[Ruimte omschrijving]],2,FALSE)</f>
        <v>Sanitair</v>
      </c>
      <c r="C293" s="218" t="s">
        <v>541</v>
      </c>
      <c r="D293" s="217" t="s">
        <v>542</v>
      </c>
      <c r="E293" s="219" t="s">
        <v>100</v>
      </c>
      <c r="F293" s="218" t="s">
        <v>544</v>
      </c>
      <c r="G293" s="263" t="s">
        <v>302</v>
      </c>
      <c r="H293" s="220" t="s">
        <v>302</v>
      </c>
      <c r="I293" s="220" t="s">
        <v>302</v>
      </c>
      <c r="J293" s="221" t="s">
        <v>302</v>
      </c>
      <c r="K293" s="221" t="s">
        <v>302</v>
      </c>
      <c r="L293" s="220" t="s">
        <v>302</v>
      </c>
      <c r="M293" s="220" t="s">
        <v>302</v>
      </c>
      <c r="N293" s="221" t="s">
        <v>302</v>
      </c>
      <c r="O293" s="222" t="s">
        <v>302</v>
      </c>
      <c r="P293" s="222" t="s">
        <v>302</v>
      </c>
      <c r="Q293" s="222" t="s">
        <v>302</v>
      </c>
      <c r="R293" s="222" t="s">
        <v>302</v>
      </c>
      <c r="S293" s="222" t="s">
        <v>302</v>
      </c>
      <c r="T293" s="222" t="s">
        <v>302</v>
      </c>
      <c r="U293" s="222" t="s">
        <v>302</v>
      </c>
      <c r="V293" s="222" t="s">
        <v>302</v>
      </c>
      <c r="W293" s="223" t="s">
        <v>302</v>
      </c>
      <c r="X293" s="223" t="s">
        <v>302</v>
      </c>
      <c r="Y293" s="224" t="s">
        <v>302</v>
      </c>
    </row>
    <row r="294" spans="1:25">
      <c r="A294" s="216">
        <v>5</v>
      </c>
      <c r="B294" s="217" t="str">
        <f>VLOOKUP(Tabel10[[#This Row],[Code]],Ruimtegroepen[[Code]:[Ruimte omschrijving]],2,FALSE)</f>
        <v>Sanitair</v>
      </c>
      <c r="C294" s="218" t="s">
        <v>541</v>
      </c>
      <c r="D294" s="217" t="s">
        <v>542</v>
      </c>
      <c r="E294" s="219" t="s">
        <v>102</v>
      </c>
      <c r="F294" s="218" t="s">
        <v>545</v>
      </c>
      <c r="G294" s="263" t="s">
        <v>302</v>
      </c>
      <c r="H294" s="220" t="s">
        <v>302</v>
      </c>
      <c r="I294" s="220" t="s">
        <v>302</v>
      </c>
      <c r="J294" s="220" t="s">
        <v>20</v>
      </c>
      <c r="K294" s="221" t="s">
        <v>302</v>
      </c>
      <c r="L294" s="220" t="s">
        <v>302</v>
      </c>
      <c r="M294" s="220" t="s">
        <v>302</v>
      </c>
      <c r="N294" s="221" t="s">
        <v>302</v>
      </c>
      <c r="O294" s="222" t="s">
        <v>302</v>
      </c>
      <c r="P294" s="222" t="s">
        <v>302</v>
      </c>
      <c r="Q294" s="222" t="s">
        <v>302</v>
      </c>
      <c r="R294" s="222" t="s">
        <v>302</v>
      </c>
      <c r="S294" s="222" t="s">
        <v>302</v>
      </c>
      <c r="T294" s="222" t="s">
        <v>302</v>
      </c>
      <c r="U294" s="222" t="s">
        <v>302</v>
      </c>
      <c r="V294" s="222" t="s">
        <v>302</v>
      </c>
      <c r="W294" s="223" t="s">
        <v>18</v>
      </c>
      <c r="X294" s="223" t="s">
        <v>15</v>
      </c>
      <c r="Y294" s="224" t="s">
        <v>302</v>
      </c>
    </row>
    <row r="295" spans="1:25">
      <c r="A295" s="216">
        <v>5</v>
      </c>
      <c r="B295" s="217" t="str">
        <f>VLOOKUP(Tabel10[[#This Row],[Code]],Ruimtegroepen[[Code]:[Ruimte omschrijving]],2,FALSE)</f>
        <v>Sanitair</v>
      </c>
      <c r="C295" s="218" t="s">
        <v>541</v>
      </c>
      <c r="D295" s="217" t="s">
        <v>542</v>
      </c>
      <c r="E295" s="219" t="s">
        <v>103</v>
      </c>
      <c r="F295" s="218" t="s">
        <v>546</v>
      </c>
      <c r="G295" s="263" t="s">
        <v>302</v>
      </c>
      <c r="H295" s="220" t="s">
        <v>302</v>
      </c>
      <c r="I295" s="220" t="s">
        <v>302</v>
      </c>
      <c r="J295" s="220" t="s">
        <v>20</v>
      </c>
      <c r="K295" s="221" t="s">
        <v>302</v>
      </c>
      <c r="L295" s="220" t="s">
        <v>302</v>
      </c>
      <c r="M295" s="220" t="s">
        <v>302</v>
      </c>
      <c r="N295" s="221" t="s">
        <v>302</v>
      </c>
      <c r="O295" s="222" t="s">
        <v>302</v>
      </c>
      <c r="P295" s="222" t="s">
        <v>302</v>
      </c>
      <c r="Q295" s="222" t="s">
        <v>302</v>
      </c>
      <c r="R295" s="222" t="s">
        <v>302</v>
      </c>
      <c r="S295" s="222" t="s">
        <v>302</v>
      </c>
      <c r="T295" s="222" t="s">
        <v>302</v>
      </c>
      <c r="U295" s="222" t="s">
        <v>302</v>
      </c>
      <c r="V295" s="222" t="s">
        <v>302</v>
      </c>
      <c r="W295" s="223" t="s">
        <v>18</v>
      </c>
      <c r="X295" s="223" t="s">
        <v>15</v>
      </c>
      <c r="Y295" s="224" t="s">
        <v>302</v>
      </c>
    </row>
    <row r="296" spans="1:25">
      <c r="A296" s="216">
        <v>5</v>
      </c>
      <c r="B296" s="217" t="str">
        <f>VLOOKUP(Tabel10[[#This Row],[Code]],Ruimtegroepen[[Code]:[Ruimte omschrijving]],2,FALSE)</f>
        <v>Sanitair</v>
      </c>
      <c r="C296" s="218" t="s">
        <v>541</v>
      </c>
      <c r="D296" s="217" t="s">
        <v>542</v>
      </c>
      <c r="E296" s="219" t="s">
        <v>100</v>
      </c>
      <c r="F296" s="218" t="s">
        <v>544</v>
      </c>
      <c r="G296" s="263" t="s">
        <v>302</v>
      </c>
      <c r="H296" s="220" t="s">
        <v>302</v>
      </c>
      <c r="I296" s="220" t="s">
        <v>302</v>
      </c>
      <c r="J296" s="221" t="s">
        <v>302</v>
      </c>
      <c r="K296" s="221" t="s">
        <v>302</v>
      </c>
      <c r="L296" s="220" t="s">
        <v>302</v>
      </c>
      <c r="M296" s="220" t="s">
        <v>302</v>
      </c>
      <c r="N296" s="221" t="s">
        <v>302</v>
      </c>
      <c r="O296" s="222" t="s">
        <v>302</v>
      </c>
      <c r="P296" s="222" t="s">
        <v>302</v>
      </c>
      <c r="Q296" s="222" t="s">
        <v>302</v>
      </c>
      <c r="R296" s="222" t="s">
        <v>302</v>
      </c>
      <c r="S296" s="222" t="s">
        <v>302</v>
      </c>
      <c r="T296" s="222" t="s">
        <v>302</v>
      </c>
      <c r="U296" s="222" t="s">
        <v>302</v>
      </c>
      <c r="V296" s="222" t="s">
        <v>302</v>
      </c>
      <c r="W296" s="223" t="s">
        <v>302</v>
      </c>
      <c r="X296" s="223" t="s">
        <v>302</v>
      </c>
      <c r="Y296" s="224" t="s">
        <v>302</v>
      </c>
    </row>
    <row r="297" spans="1:25">
      <c r="A297" s="216">
        <v>5</v>
      </c>
      <c r="B297" s="217" t="str">
        <f>VLOOKUP(Tabel10[[#This Row],[Code]],Ruimtegroepen[[Code]:[Ruimte omschrijving]],2,FALSE)</f>
        <v>Sanitair</v>
      </c>
      <c r="C297" s="218" t="s">
        <v>541</v>
      </c>
      <c r="D297" s="217" t="s">
        <v>542</v>
      </c>
      <c r="E297" s="219" t="s">
        <v>1325</v>
      </c>
      <c r="F297" s="218" t="s">
        <v>1476</v>
      </c>
      <c r="G297" s="263" t="s">
        <v>302</v>
      </c>
      <c r="H297" s="220" t="s">
        <v>302</v>
      </c>
      <c r="I297" s="220" t="s">
        <v>302</v>
      </c>
      <c r="J297" s="220" t="s">
        <v>20</v>
      </c>
      <c r="K297" s="221" t="s">
        <v>302</v>
      </c>
      <c r="L297" s="220" t="s">
        <v>302</v>
      </c>
      <c r="M297" s="220" t="s">
        <v>302</v>
      </c>
      <c r="N297" s="221" t="s">
        <v>302</v>
      </c>
      <c r="O297" s="222" t="s">
        <v>302</v>
      </c>
      <c r="P297" s="222" t="s">
        <v>302</v>
      </c>
      <c r="Q297" s="222" t="s">
        <v>302</v>
      </c>
      <c r="R297" s="222" t="s">
        <v>302</v>
      </c>
      <c r="S297" s="222" t="s">
        <v>302</v>
      </c>
      <c r="T297" s="222" t="s">
        <v>302</v>
      </c>
      <c r="U297" s="222" t="s">
        <v>302</v>
      </c>
      <c r="V297" s="222" t="s">
        <v>302</v>
      </c>
      <c r="W297" s="223" t="s">
        <v>18</v>
      </c>
      <c r="X297" s="223" t="s">
        <v>15</v>
      </c>
      <c r="Y297" s="224" t="s">
        <v>302</v>
      </c>
    </row>
    <row r="298" spans="1:25">
      <c r="A298" s="216">
        <v>6</v>
      </c>
      <c r="B298" s="217" t="str">
        <f>VLOOKUP(Tabel10[[#This Row],[Code]],Ruimtegroepen[[Code]:[Ruimte omschrijving]],2,FALSE)</f>
        <v>Gangen/hallen</v>
      </c>
      <c r="C298" s="218" t="s">
        <v>547</v>
      </c>
      <c r="D298" s="217" t="s">
        <v>29</v>
      </c>
      <c r="E298" s="219" t="s">
        <v>101</v>
      </c>
      <c r="F298" s="218" t="s">
        <v>548</v>
      </c>
      <c r="G298" s="263" t="s">
        <v>302</v>
      </c>
      <c r="H298" s="220" t="s">
        <v>302</v>
      </c>
      <c r="I298" s="220" t="s">
        <v>302</v>
      </c>
      <c r="J298" s="220" t="s">
        <v>2</v>
      </c>
      <c r="K298" s="221" t="s">
        <v>302</v>
      </c>
      <c r="L298" s="220" t="s">
        <v>302</v>
      </c>
      <c r="M298" s="220" t="s">
        <v>302</v>
      </c>
      <c r="N298" s="221" t="s">
        <v>2</v>
      </c>
      <c r="O298" s="222" t="s">
        <v>2</v>
      </c>
      <c r="P298" s="222" t="s">
        <v>2</v>
      </c>
      <c r="Q298" s="222" t="s">
        <v>15</v>
      </c>
      <c r="R298" s="222" t="s">
        <v>15</v>
      </c>
      <c r="S298" s="222" t="s">
        <v>16</v>
      </c>
      <c r="T298" s="222" t="s">
        <v>349</v>
      </c>
      <c r="U298" s="222" t="s">
        <v>269</v>
      </c>
      <c r="V298" s="222" t="s">
        <v>2</v>
      </c>
      <c r="W298" s="223" t="s">
        <v>302</v>
      </c>
      <c r="X298" s="223" t="s">
        <v>302</v>
      </c>
      <c r="Y298" s="224" t="s">
        <v>302</v>
      </c>
    </row>
    <row r="299" spans="1:25">
      <c r="A299" s="216">
        <v>6</v>
      </c>
      <c r="B299" s="217" t="str">
        <f>VLOOKUP(Tabel10[[#This Row],[Code]],Ruimtegroepen[[Code]:[Ruimte omschrijving]],2,FALSE)</f>
        <v>Gangen/hallen</v>
      </c>
      <c r="C299" s="218" t="s">
        <v>547</v>
      </c>
      <c r="D299" s="217" t="s">
        <v>29</v>
      </c>
      <c r="E299" s="219" t="s">
        <v>100</v>
      </c>
      <c r="F299" s="218" t="s">
        <v>549</v>
      </c>
      <c r="G299" s="263" t="s">
        <v>302</v>
      </c>
      <c r="H299" s="221" t="s">
        <v>2</v>
      </c>
      <c r="I299" s="220" t="s">
        <v>302</v>
      </c>
      <c r="J299" s="221" t="s">
        <v>302</v>
      </c>
      <c r="K299" s="221" t="s">
        <v>302</v>
      </c>
      <c r="L299" s="220" t="s">
        <v>302</v>
      </c>
      <c r="M299" s="220" t="s">
        <v>302</v>
      </c>
      <c r="N299" s="221" t="s">
        <v>2</v>
      </c>
      <c r="O299" s="222" t="s">
        <v>2</v>
      </c>
      <c r="P299" s="222" t="s">
        <v>2</v>
      </c>
      <c r="Q299" s="222" t="s">
        <v>15</v>
      </c>
      <c r="R299" s="222" t="s">
        <v>15</v>
      </c>
      <c r="S299" s="222" t="s">
        <v>16</v>
      </c>
      <c r="T299" s="222" t="s">
        <v>349</v>
      </c>
      <c r="U299" s="222" t="s">
        <v>269</v>
      </c>
      <c r="V299" s="222" t="s">
        <v>2</v>
      </c>
      <c r="W299" s="223" t="s">
        <v>302</v>
      </c>
      <c r="X299" s="223" t="s">
        <v>302</v>
      </c>
      <c r="Y299" s="224" t="s">
        <v>302</v>
      </c>
    </row>
    <row r="300" spans="1:25">
      <c r="A300" s="216">
        <v>6</v>
      </c>
      <c r="B300" s="217" t="str">
        <f>VLOOKUP(Tabel10[[#This Row],[Code]],Ruimtegroepen[[Code]:[Ruimte omschrijving]],2,FALSE)</f>
        <v>Gangen/hallen</v>
      </c>
      <c r="C300" s="218" t="s">
        <v>547</v>
      </c>
      <c r="D300" s="217" t="s">
        <v>29</v>
      </c>
      <c r="E300" s="219" t="s">
        <v>102</v>
      </c>
      <c r="F300" s="218" t="s">
        <v>550</v>
      </c>
      <c r="G300" s="263" t="s">
        <v>302</v>
      </c>
      <c r="H300" s="220" t="s">
        <v>302</v>
      </c>
      <c r="I300" s="221" t="s">
        <v>2</v>
      </c>
      <c r="J300" s="221" t="s">
        <v>302</v>
      </c>
      <c r="K300" s="221" t="s">
        <v>2</v>
      </c>
      <c r="L300" s="220" t="s">
        <v>302</v>
      </c>
      <c r="M300" s="220" t="s">
        <v>302</v>
      </c>
      <c r="N300" s="221" t="s">
        <v>2</v>
      </c>
      <c r="O300" s="222" t="s">
        <v>2</v>
      </c>
      <c r="P300" s="222" t="s">
        <v>2</v>
      </c>
      <c r="Q300" s="222" t="s">
        <v>15</v>
      </c>
      <c r="R300" s="222" t="s">
        <v>15</v>
      </c>
      <c r="S300" s="222" t="s">
        <v>16</v>
      </c>
      <c r="T300" s="222" t="s">
        <v>349</v>
      </c>
      <c r="U300" s="222" t="s">
        <v>269</v>
      </c>
      <c r="V300" s="222" t="s">
        <v>2</v>
      </c>
      <c r="W300" s="223" t="s">
        <v>302</v>
      </c>
      <c r="X300" s="223" t="s">
        <v>302</v>
      </c>
      <c r="Y300" s="224" t="s">
        <v>302</v>
      </c>
    </row>
    <row r="301" spans="1:25">
      <c r="A301" s="216">
        <v>6</v>
      </c>
      <c r="B301" s="217" t="str">
        <f>VLOOKUP(Tabel10[[#This Row],[Code]],Ruimtegroepen[[Code]:[Ruimte omschrijving]],2,FALSE)</f>
        <v>Gangen/hallen</v>
      </c>
      <c r="C301" s="218" t="s">
        <v>547</v>
      </c>
      <c r="D301" s="217" t="s">
        <v>29</v>
      </c>
      <c r="E301" s="219" t="s">
        <v>103</v>
      </c>
      <c r="F301" s="218" t="s">
        <v>551</v>
      </c>
      <c r="G301" s="263" t="s">
        <v>302</v>
      </c>
      <c r="H301" s="220" t="s">
        <v>302</v>
      </c>
      <c r="I301" s="221" t="s">
        <v>2</v>
      </c>
      <c r="J301" s="221" t="s">
        <v>302</v>
      </c>
      <c r="K301" s="221" t="s">
        <v>2</v>
      </c>
      <c r="L301" s="220" t="s">
        <v>302</v>
      </c>
      <c r="M301" s="220" t="s">
        <v>302</v>
      </c>
      <c r="N301" s="221" t="s">
        <v>2</v>
      </c>
      <c r="O301" s="222" t="s">
        <v>2</v>
      </c>
      <c r="P301" s="222" t="s">
        <v>2</v>
      </c>
      <c r="Q301" s="222" t="s">
        <v>15</v>
      </c>
      <c r="R301" s="222" t="s">
        <v>15</v>
      </c>
      <c r="S301" s="222" t="s">
        <v>16</v>
      </c>
      <c r="T301" s="222" t="s">
        <v>349</v>
      </c>
      <c r="U301" s="222" t="s">
        <v>269</v>
      </c>
      <c r="V301" s="222" t="s">
        <v>2</v>
      </c>
      <c r="W301" s="223" t="s">
        <v>302</v>
      </c>
      <c r="X301" s="223" t="s">
        <v>302</v>
      </c>
      <c r="Y301" s="224" t="s">
        <v>302</v>
      </c>
    </row>
    <row r="302" spans="1:25">
      <c r="A302" s="216">
        <v>6</v>
      </c>
      <c r="B302" s="217" t="str">
        <f>VLOOKUP(Tabel10[[#This Row],[Code]],Ruimtegroepen[[Code]:[Ruimte omschrijving]],2,FALSE)</f>
        <v>Gangen/hallen</v>
      </c>
      <c r="C302" s="218" t="s">
        <v>547</v>
      </c>
      <c r="D302" s="217" t="s">
        <v>29</v>
      </c>
      <c r="E302" s="219" t="s">
        <v>100</v>
      </c>
      <c r="F302" s="218" t="s">
        <v>549</v>
      </c>
      <c r="G302" s="263" t="s">
        <v>302</v>
      </c>
      <c r="H302" s="221" t="s">
        <v>2</v>
      </c>
      <c r="I302" s="220" t="s">
        <v>302</v>
      </c>
      <c r="J302" s="221" t="s">
        <v>302</v>
      </c>
      <c r="K302" s="221" t="s">
        <v>302</v>
      </c>
      <c r="L302" s="220" t="s">
        <v>302</v>
      </c>
      <c r="M302" s="220" t="s">
        <v>302</v>
      </c>
      <c r="N302" s="221" t="s">
        <v>2</v>
      </c>
      <c r="O302" s="222" t="s">
        <v>2</v>
      </c>
      <c r="P302" s="222" t="s">
        <v>2</v>
      </c>
      <c r="Q302" s="222" t="s">
        <v>15</v>
      </c>
      <c r="R302" s="222" t="s">
        <v>15</v>
      </c>
      <c r="S302" s="222" t="s">
        <v>16</v>
      </c>
      <c r="T302" s="222" t="s">
        <v>349</v>
      </c>
      <c r="U302" s="222" t="s">
        <v>269</v>
      </c>
      <c r="V302" s="222" t="s">
        <v>2</v>
      </c>
      <c r="W302" s="223" t="s">
        <v>302</v>
      </c>
      <c r="X302" s="223" t="s">
        <v>302</v>
      </c>
      <c r="Y302" s="224" t="s">
        <v>302</v>
      </c>
    </row>
    <row r="303" spans="1:25">
      <c r="A303" s="216">
        <v>6</v>
      </c>
      <c r="B303" s="217" t="str">
        <f>VLOOKUP(Tabel10[[#This Row],[Code]],Ruimtegroepen[[Code]:[Ruimte omschrijving]],2,FALSE)</f>
        <v>Gangen/hallen</v>
      </c>
      <c r="C303" s="218" t="s">
        <v>547</v>
      </c>
      <c r="D303" s="217" t="s">
        <v>29</v>
      </c>
      <c r="E303" s="219" t="s">
        <v>1325</v>
      </c>
      <c r="F303" s="218" t="s">
        <v>1495</v>
      </c>
      <c r="G303" s="263" t="s">
        <v>302</v>
      </c>
      <c r="H303" s="220" t="s">
        <v>302</v>
      </c>
      <c r="I303" s="221" t="s">
        <v>2</v>
      </c>
      <c r="J303" s="221" t="s">
        <v>302</v>
      </c>
      <c r="K303" s="221" t="s">
        <v>2</v>
      </c>
      <c r="L303" s="220" t="s">
        <v>302</v>
      </c>
      <c r="M303" s="220" t="s">
        <v>302</v>
      </c>
      <c r="N303" s="221" t="s">
        <v>2</v>
      </c>
      <c r="O303" s="222" t="s">
        <v>2</v>
      </c>
      <c r="P303" s="222" t="s">
        <v>2</v>
      </c>
      <c r="Q303" s="222" t="s">
        <v>15</v>
      </c>
      <c r="R303" s="222" t="s">
        <v>15</v>
      </c>
      <c r="S303" s="222" t="s">
        <v>16</v>
      </c>
      <c r="T303" s="222" t="s">
        <v>349</v>
      </c>
      <c r="U303" s="222" t="s">
        <v>269</v>
      </c>
      <c r="V303" s="222" t="s">
        <v>2</v>
      </c>
      <c r="W303" s="223" t="s">
        <v>302</v>
      </c>
      <c r="X303" s="223" t="s">
        <v>302</v>
      </c>
      <c r="Y303" s="224" t="s">
        <v>302</v>
      </c>
    </row>
    <row r="304" spans="1:25">
      <c r="A304" s="216">
        <v>6</v>
      </c>
      <c r="B304" s="217" t="str">
        <f>VLOOKUP(Tabel10[[#This Row],[Code]],Ruimtegroepen[[Code]:[Ruimte omschrijving]],2,FALSE)</f>
        <v>Gangen/hallen</v>
      </c>
      <c r="C304" s="218" t="s">
        <v>552</v>
      </c>
      <c r="D304" s="217" t="s">
        <v>1</v>
      </c>
      <c r="E304" s="219" t="s">
        <v>101</v>
      </c>
      <c r="F304" s="218" t="s">
        <v>553</v>
      </c>
      <c r="G304" s="263" t="s">
        <v>302</v>
      </c>
      <c r="H304" s="220" t="s">
        <v>302</v>
      </c>
      <c r="I304" s="220" t="s">
        <v>302</v>
      </c>
      <c r="J304" s="220" t="s">
        <v>2</v>
      </c>
      <c r="K304" s="221" t="s">
        <v>302</v>
      </c>
      <c r="L304" s="220" t="s">
        <v>302</v>
      </c>
      <c r="M304" s="220" t="s">
        <v>302</v>
      </c>
      <c r="N304" s="221" t="s">
        <v>302</v>
      </c>
      <c r="O304" s="222" t="s">
        <v>2</v>
      </c>
      <c r="P304" s="222" t="s">
        <v>2</v>
      </c>
      <c r="Q304" s="222" t="s">
        <v>15</v>
      </c>
      <c r="R304" s="222" t="s">
        <v>15</v>
      </c>
      <c r="S304" s="222" t="s">
        <v>16</v>
      </c>
      <c r="T304" s="222" t="s">
        <v>349</v>
      </c>
      <c r="U304" s="222" t="s">
        <v>269</v>
      </c>
      <c r="V304" s="222" t="s">
        <v>302</v>
      </c>
      <c r="W304" s="223" t="s">
        <v>302</v>
      </c>
      <c r="X304" s="223" t="s">
        <v>302</v>
      </c>
      <c r="Y304" s="224" t="s">
        <v>302</v>
      </c>
    </row>
    <row r="305" spans="1:25">
      <c r="A305" s="216">
        <v>6</v>
      </c>
      <c r="B305" s="217" t="str">
        <f>VLOOKUP(Tabel10[[#This Row],[Code]],Ruimtegroepen[[Code]:[Ruimte omschrijving]],2,FALSE)</f>
        <v>Gangen/hallen</v>
      </c>
      <c r="C305" s="218" t="s">
        <v>552</v>
      </c>
      <c r="D305" s="217" t="s">
        <v>1</v>
      </c>
      <c r="E305" s="219" t="s">
        <v>100</v>
      </c>
      <c r="F305" s="218" t="s">
        <v>554</v>
      </c>
      <c r="G305" s="263" t="s">
        <v>302</v>
      </c>
      <c r="H305" s="221" t="s">
        <v>2</v>
      </c>
      <c r="I305" s="220" t="s">
        <v>302</v>
      </c>
      <c r="J305" s="221" t="s">
        <v>302</v>
      </c>
      <c r="K305" s="221" t="s">
        <v>302</v>
      </c>
      <c r="L305" s="220" t="s">
        <v>302</v>
      </c>
      <c r="M305" s="220" t="s">
        <v>302</v>
      </c>
      <c r="N305" s="221" t="s">
        <v>302</v>
      </c>
      <c r="O305" s="222" t="s">
        <v>2</v>
      </c>
      <c r="P305" s="222" t="s">
        <v>2</v>
      </c>
      <c r="Q305" s="222" t="s">
        <v>15</v>
      </c>
      <c r="R305" s="222" t="s">
        <v>15</v>
      </c>
      <c r="S305" s="222" t="s">
        <v>16</v>
      </c>
      <c r="T305" s="222" t="s">
        <v>349</v>
      </c>
      <c r="U305" s="222" t="s">
        <v>269</v>
      </c>
      <c r="V305" s="222" t="s">
        <v>302</v>
      </c>
      <c r="W305" s="223" t="s">
        <v>302</v>
      </c>
      <c r="X305" s="223" t="s">
        <v>302</v>
      </c>
      <c r="Y305" s="224" t="s">
        <v>302</v>
      </c>
    </row>
    <row r="306" spans="1:25">
      <c r="A306" s="216">
        <v>6</v>
      </c>
      <c r="B306" s="217" t="str">
        <f>VLOOKUP(Tabel10[[#This Row],[Code]],Ruimtegroepen[[Code]:[Ruimte omschrijving]],2,FALSE)</f>
        <v>Gangen/hallen</v>
      </c>
      <c r="C306" s="218" t="s">
        <v>552</v>
      </c>
      <c r="D306" s="217" t="s">
        <v>1</v>
      </c>
      <c r="E306" s="219" t="s">
        <v>102</v>
      </c>
      <c r="F306" s="218" t="s">
        <v>555</v>
      </c>
      <c r="G306" s="263" t="s">
        <v>302</v>
      </c>
      <c r="H306" s="220" t="s">
        <v>302</v>
      </c>
      <c r="I306" s="221" t="s">
        <v>2</v>
      </c>
      <c r="J306" s="221" t="s">
        <v>302</v>
      </c>
      <c r="K306" s="221" t="s">
        <v>2</v>
      </c>
      <c r="L306" s="220" t="s">
        <v>302</v>
      </c>
      <c r="M306" s="220" t="s">
        <v>302</v>
      </c>
      <c r="N306" s="221" t="s">
        <v>302</v>
      </c>
      <c r="O306" s="222" t="s">
        <v>2</v>
      </c>
      <c r="P306" s="222" t="s">
        <v>2</v>
      </c>
      <c r="Q306" s="222" t="s">
        <v>15</v>
      </c>
      <c r="R306" s="222" t="s">
        <v>15</v>
      </c>
      <c r="S306" s="222" t="s">
        <v>16</v>
      </c>
      <c r="T306" s="222" t="s">
        <v>349</v>
      </c>
      <c r="U306" s="222" t="s">
        <v>269</v>
      </c>
      <c r="V306" s="222" t="s">
        <v>302</v>
      </c>
      <c r="W306" s="223" t="s">
        <v>302</v>
      </c>
      <c r="X306" s="223" t="s">
        <v>302</v>
      </c>
      <c r="Y306" s="224" t="s">
        <v>302</v>
      </c>
    </row>
    <row r="307" spans="1:25">
      <c r="A307" s="216">
        <v>6</v>
      </c>
      <c r="B307" s="217" t="str">
        <f>VLOOKUP(Tabel10[[#This Row],[Code]],Ruimtegroepen[[Code]:[Ruimte omschrijving]],2,FALSE)</f>
        <v>Gangen/hallen</v>
      </c>
      <c r="C307" s="218" t="s">
        <v>552</v>
      </c>
      <c r="D307" s="217" t="s">
        <v>1</v>
      </c>
      <c r="E307" s="219" t="s">
        <v>103</v>
      </c>
      <c r="F307" s="218" t="s">
        <v>556</v>
      </c>
      <c r="G307" s="263" t="s">
        <v>302</v>
      </c>
      <c r="H307" s="220" t="s">
        <v>302</v>
      </c>
      <c r="I307" s="221" t="s">
        <v>2</v>
      </c>
      <c r="J307" s="221" t="s">
        <v>302</v>
      </c>
      <c r="K307" s="221" t="s">
        <v>2</v>
      </c>
      <c r="L307" s="220" t="s">
        <v>302</v>
      </c>
      <c r="M307" s="220" t="s">
        <v>302</v>
      </c>
      <c r="N307" s="221" t="s">
        <v>302</v>
      </c>
      <c r="O307" s="222" t="s">
        <v>2</v>
      </c>
      <c r="P307" s="222" t="s">
        <v>2</v>
      </c>
      <c r="Q307" s="222" t="s">
        <v>15</v>
      </c>
      <c r="R307" s="222" t="s">
        <v>15</v>
      </c>
      <c r="S307" s="222" t="s">
        <v>16</v>
      </c>
      <c r="T307" s="222" t="s">
        <v>349</v>
      </c>
      <c r="U307" s="222" t="s">
        <v>269</v>
      </c>
      <c r="V307" s="222" t="s">
        <v>302</v>
      </c>
      <c r="W307" s="223" t="s">
        <v>302</v>
      </c>
      <c r="X307" s="223" t="s">
        <v>302</v>
      </c>
      <c r="Y307" s="224" t="s">
        <v>302</v>
      </c>
    </row>
    <row r="308" spans="1:25">
      <c r="A308" s="216">
        <v>6</v>
      </c>
      <c r="B308" s="217" t="str">
        <f>VLOOKUP(Tabel10[[#This Row],[Code]],Ruimtegroepen[[Code]:[Ruimte omschrijving]],2,FALSE)</f>
        <v>Gangen/hallen</v>
      </c>
      <c r="C308" s="218" t="s">
        <v>552</v>
      </c>
      <c r="D308" s="217" t="s">
        <v>1</v>
      </c>
      <c r="E308" s="219" t="s">
        <v>100</v>
      </c>
      <c r="F308" s="218" t="s">
        <v>554</v>
      </c>
      <c r="G308" s="263" t="s">
        <v>302</v>
      </c>
      <c r="H308" s="221" t="s">
        <v>2</v>
      </c>
      <c r="I308" s="220" t="s">
        <v>302</v>
      </c>
      <c r="J308" s="221" t="s">
        <v>302</v>
      </c>
      <c r="K308" s="221" t="s">
        <v>302</v>
      </c>
      <c r="L308" s="220" t="s">
        <v>302</v>
      </c>
      <c r="M308" s="220" t="s">
        <v>302</v>
      </c>
      <c r="N308" s="221" t="s">
        <v>302</v>
      </c>
      <c r="O308" s="222" t="s">
        <v>2</v>
      </c>
      <c r="P308" s="222" t="s">
        <v>2</v>
      </c>
      <c r="Q308" s="222" t="s">
        <v>15</v>
      </c>
      <c r="R308" s="222" t="s">
        <v>15</v>
      </c>
      <c r="S308" s="222" t="s">
        <v>16</v>
      </c>
      <c r="T308" s="222" t="s">
        <v>349</v>
      </c>
      <c r="U308" s="222" t="s">
        <v>269</v>
      </c>
      <c r="V308" s="222" t="s">
        <v>302</v>
      </c>
      <c r="W308" s="223" t="s">
        <v>302</v>
      </c>
      <c r="X308" s="223" t="s">
        <v>302</v>
      </c>
      <c r="Y308" s="224" t="s">
        <v>302</v>
      </c>
    </row>
    <row r="309" spans="1:25">
      <c r="A309" s="216">
        <v>6</v>
      </c>
      <c r="B309" s="217" t="str">
        <f>VLOOKUP(Tabel10[[#This Row],[Code]],Ruimtegroepen[[Code]:[Ruimte omschrijving]],2,FALSE)</f>
        <v>Gangen/hallen</v>
      </c>
      <c r="C309" s="218" t="s">
        <v>552</v>
      </c>
      <c r="D309" s="217" t="s">
        <v>1</v>
      </c>
      <c r="E309" s="219" t="s">
        <v>1325</v>
      </c>
      <c r="F309" s="218" t="s">
        <v>1479</v>
      </c>
      <c r="G309" s="263" t="s">
        <v>302</v>
      </c>
      <c r="H309" s="220" t="s">
        <v>302</v>
      </c>
      <c r="I309" s="221" t="s">
        <v>2</v>
      </c>
      <c r="J309" s="221" t="s">
        <v>302</v>
      </c>
      <c r="K309" s="221" t="s">
        <v>2</v>
      </c>
      <c r="L309" s="220" t="s">
        <v>302</v>
      </c>
      <c r="M309" s="220" t="s">
        <v>302</v>
      </c>
      <c r="N309" s="221" t="s">
        <v>302</v>
      </c>
      <c r="O309" s="222" t="s">
        <v>2</v>
      </c>
      <c r="P309" s="222" t="s">
        <v>2</v>
      </c>
      <c r="Q309" s="222" t="s">
        <v>15</v>
      </c>
      <c r="R309" s="222" t="s">
        <v>15</v>
      </c>
      <c r="S309" s="222" t="s">
        <v>16</v>
      </c>
      <c r="T309" s="222" t="s">
        <v>349</v>
      </c>
      <c r="U309" s="222" t="s">
        <v>269</v>
      </c>
      <c r="V309" s="222" t="s">
        <v>302</v>
      </c>
      <c r="W309" s="223" t="s">
        <v>302</v>
      </c>
      <c r="X309" s="223" t="s">
        <v>302</v>
      </c>
      <c r="Y309" s="224" t="s">
        <v>302</v>
      </c>
    </row>
    <row r="310" spans="1:25">
      <c r="A310" s="216">
        <v>6</v>
      </c>
      <c r="B310" s="217" t="str">
        <f>VLOOKUP(Tabel10[[#This Row],[Code]],Ruimtegroepen[[Code]:[Ruimte omschrijving]],2,FALSE)</f>
        <v>Gangen/hallen</v>
      </c>
      <c r="C310" s="218" t="s">
        <v>557</v>
      </c>
      <c r="D310" s="217" t="s">
        <v>21</v>
      </c>
      <c r="E310" s="219" t="s">
        <v>101</v>
      </c>
      <c r="F310" s="218" t="s">
        <v>558</v>
      </c>
      <c r="G310" s="263" t="s">
        <v>302</v>
      </c>
      <c r="H310" s="220" t="s">
        <v>302</v>
      </c>
      <c r="I310" s="220" t="s">
        <v>302</v>
      </c>
      <c r="J310" s="220" t="s">
        <v>20</v>
      </c>
      <c r="K310" s="221" t="s">
        <v>302</v>
      </c>
      <c r="L310" s="220" t="s">
        <v>302</v>
      </c>
      <c r="M310" s="220" t="s">
        <v>302</v>
      </c>
      <c r="N310" s="221" t="s">
        <v>302</v>
      </c>
      <c r="O310" s="222" t="s">
        <v>20</v>
      </c>
      <c r="P310" s="222" t="s">
        <v>20</v>
      </c>
      <c r="Q310" s="222" t="s">
        <v>15</v>
      </c>
      <c r="R310" s="222" t="s">
        <v>15</v>
      </c>
      <c r="S310" s="222" t="s">
        <v>16</v>
      </c>
      <c r="T310" s="222" t="s">
        <v>349</v>
      </c>
      <c r="U310" s="222" t="s">
        <v>269</v>
      </c>
      <c r="V310" s="222" t="s">
        <v>302</v>
      </c>
      <c r="W310" s="223" t="s">
        <v>302</v>
      </c>
      <c r="X310" s="223" t="s">
        <v>302</v>
      </c>
      <c r="Y310" s="224" t="s">
        <v>302</v>
      </c>
    </row>
    <row r="311" spans="1:25">
      <c r="A311" s="216">
        <v>6</v>
      </c>
      <c r="B311" s="217" t="str">
        <f>VLOOKUP(Tabel10[[#This Row],[Code]],Ruimtegroepen[[Code]:[Ruimte omschrijving]],2,FALSE)</f>
        <v>Gangen/hallen</v>
      </c>
      <c r="C311" s="218" t="s">
        <v>557</v>
      </c>
      <c r="D311" s="217" t="s">
        <v>21</v>
      </c>
      <c r="E311" s="219" t="s">
        <v>100</v>
      </c>
      <c r="F311" s="218" t="s">
        <v>559</v>
      </c>
      <c r="G311" s="263" t="s">
        <v>302</v>
      </c>
      <c r="H311" s="221" t="s">
        <v>20</v>
      </c>
      <c r="I311" s="220" t="s">
        <v>302</v>
      </c>
      <c r="J311" s="221" t="s">
        <v>302</v>
      </c>
      <c r="K311" s="221" t="s">
        <v>302</v>
      </c>
      <c r="L311" s="220" t="s">
        <v>302</v>
      </c>
      <c r="M311" s="220" t="s">
        <v>302</v>
      </c>
      <c r="N311" s="221" t="s">
        <v>302</v>
      </c>
      <c r="O311" s="222" t="s">
        <v>20</v>
      </c>
      <c r="P311" s="222" t="s">
        <v>20</v>
      </c>
      <c r="Q311" s="222" t="s">
        <v>15</v>
      </c>
      <c r="R311" s="222" t="s">
        <v>15</v>
      </c>
      <c r="S311" s="222" t="s">
        <v>16</v>
      </c>
      <c r="T311" s="222" t="s">
        <v>349</v>
      </c>
      <c r="U311" s="222" t="s">
        <v>269</v>
      </c>
      <c r="V311" s="222" t="s">
        <v>302</v>
      </c>
      <c r="W311" s="223" t="s">
        <v>302</v>
      </c>
      <c r="X311" s="223" t="s">
        <v>302</v>
      </c>
      <c r="Y311" s="224" t="s">
        <v>302</v>
      </c>
    </row>
    <row r="312" spans="1:25">
      <c r="A312" s="216">
        <v>6</v>
      </c>
      <c r="B312" s="217" t="str">
        <f>VLOOKUP(Tabel10[[#This Row],[Code]],Ruimtegroepen[[Code]:[Ruimte omschrijving]],2,FALSE)</f>
        <v>Gangen/hallen</v>
      </c>
      <c r="C312" s="218" t="s">
        <v>557</v>
      </c>
      <c r="D312" s="217" t="s">
        <v>21</v>
      </c>
      <c r="E312" s="219" t="s">
        <v>102</v>
      </c>
      <c r="F312" s="218" t="s">
        <v>560</v>
      </c>
      <c r="G312" s="263" t="s">
        <v>302</v>
      </c>
      <c r="H312" s="220" t="s">
        <v>302</v>
      </c>
      <c r="I312" s="221" t="s">
        <v>20</v>
      </c>
      <c r="J312" s="221" t="s">
        <v>302</v>
      </c>
      <c r="K312" s="221" t="s">
        <v>20</v>
      </c>
      <c r="L312" s="220" t="s">
        <v>302</v>
      </c>
      <c r="M312" s="220" t="s">
        <v>302</v>
      </c>
      <c r="N312" s="221" t="s">
        <v>302</v>
      </c>
      <c r="O312" s="222" t="s">
        <v>20</v>
      </c>
      <c r="P312" s="222" t="s">
        <v>20</v>
      </c>
      <c r="Q312" s="222" t="s">
        <v>15</v>
      </c>
      <c r="R312" s="222" t="s">
        <v>15</v>
      </c>
      <c r="S312" s="222" t="s">
        <v>16</v>
      </c>
      <c r="T312" s="222" t="s">
        <v>349</v>
      </c>
      <c r="U312" s="222" t="s">
        <v>269</v>
      </c>
      <c r="V312" s="222" t="s">
        <v>302</v>
      </c>
      <c r="W312" s="223" t="s">
        <v>302</v>
      </c>
      <c r="X312" s="223" t="s">
        <v>302</v>
      </c>
      <c r="Y312" s="224" t="s">
        <v>302</v>
      </c>
    </row>
    <row r="313" spans="1:25">
      <c r="A313" s="216">
        <v>6</v>
      </c>
      <c r="B313" s="217" t="str">
        <f>VLOOKUP(Tabel10[[#This Row],[Code]],Ruimtegroepen[[Code]:[Ruimte omschrijving]],2,FALSE)</f>
        <v>Gangen/hallen</v>
      </c>
      <c r="C313" s="218" t="s">
        <v>557</v>
      </c>
      <c r="D313" s="217" t="s">
        <v>21</v>
      </c>
      <c r="E313" s="219" t="s">
        <v>103</v>
      </c>
      <c r="F313" s="218" t="s">
        <v>561</v>
      </c>
      <c r="G313" s="263" t="s">
        <v>302</v>
      </c>
      <c r="H313" s="220" t="s">
        <v>302</v>
      </c>
      <c r="I313" s="221" t="s">
        <v>20</v>
      </c>
      <c r="J313" s="221" t="s">
        <v>302</v>
      </c>
      <c r="K313" s="221" t="s">
        <v>20</v>
      </c>
      <c r="L313" s="220" t="s">
        <v>302</v>
      </c>
      <c r="M313" s="220" t="s">
        <v>302</v>
      </c>
      <c r="N313" s="221" t="s">
        <v>302</v>
      </c>
      <c r="O313" s="222" t="s">
        <v>20</v>
      </c>
      <c r="P313" s="222" t="s">
        <v>20</v>
      </c>
      <c r="Q313" s="222" t="s">
        <v>15</v>
      </c>
      <c r="R313" s="222" t="s">
        <v>15</v>
      </c>
      <c r="S313" s="222" t="s">
        <v>16</v>
      </c>
      <c r="T313" s="222" t="s">
        <v>349</v>
      </c>
      <c r="U313" s="222" t="s">
        <v>269</v>
      </c>
      <c r="V313" s="222" t="s">
        <v>302</v>
      </c>
      <c r="W313" s="223" t="s">
        <v>302</v>
      </c>
      <c r="X313" s="223" t="s">
        <v>302</v>
      </c>
      <c r="Y313" s="224" t="s">
        <v>302</v>
      </c>
    </row>
    <row r="314" spans="1:25">
      <c r="A314" s="216">
        <v>6</v>
      </c>
      <c r="B314" s="217" t="str">
        <f>VLOOKUP(Tabel10[[#This Row],[Code]],Ruimtegroepen[[Code]:[Ruimte omschrijving]],2,FALSE)</f>
        <v>Gangen/hallen</v>
      </c>
      <c r="C314" s="218" t="s">
        <v>557</v>
      </c>
      <c r="D314" s="217" t="s">
        <v>21</v>
      </c>
      <c r="E314" s="219" t="s">
        <v>100</v>
      </c>
      <c r="F314" s="218" t="s">
        <v>559</v>
      </c>
      <c r="G314" s="263" t="s">
        <v>302</v>
      </c>
      <c r="H314" s="221" t="s">
        <v>20</v>
      </c>
      <c r="I314" s="220" t="s">
        <v>302</v>
      </c>
      <c r="J314" s="221" t="s">
        <v>302</v>
      </c>
      <c r="K314" s="221" t="s">
        <v>302</v>
      </c>
      <c r="L314" s="220" t="s">
        <v>302</v>
      </c>
      <c r="M314" s="220" t="s">
        <v>302</v>
      </c>
      <c r="N314" s="221" t="s">
        <v>302</v>
      </c>
      <c r="O314" s="222" t="s">
        <v>20</v>
      </c>
      <c r="P314" s="222" t="s">
        <v>20</v>
      </c>
      <c r="Q314" s="222" t="s">
        <v>15</v>
      </c>
      <c r="R314" s="222" t="s">
        <v>15</v>
      </c>
      <c r="S314" s="222" t="s">
        <v>16</v>
      </c>
      <c r="T314" s="222" t="s">
        <v>349</v>
      </c>
      <c r="U314" s="222" t="s">
        <v>269</v>
      </c>
      <c r="V314" s="222" t="s">
        <v>302</v>
      </c>
      <c r="W314" s="223" t="s">
        <v>302</v>
      </c>
      <c r="X314" s="223" t="s">
        <v>302</v>
      </c>
      <c r="Y314" s="224" t="s">
        <v>302</v>
      </c>
    </row>
    <row r="315" spans="1:25">
      <c r="A315" s="216">
        <v>6</v>
      </c>
      <c r="B315" s="217" t="str">
        <f>VLOOKUP(Tabel10[[#This Row],[Code]],Ruimtegroepen[[Code]:[Ruimte omschrijving]],2,FALSE)</f>
        <v>Gangen/hallen</v>
      </c>
      <c r="C315" s="218" t="s">
        <v>557</v>
      </c>
      <c r="D315" s="217" t="s">
        <v>21</v>
      </c>
      <c r="E315" s="219" t="s">
        <v>1325</v>
      </c>
      <c r="F315" s="218" t="s">
        <v>1462</v>
      </c>
      <c r="G315" s="263" t="s">
        <v>302</v>
      </c>
      <c r="H315" s="220" t="s">
        <v>302</v>
      </c>
      <c r="I315" s="221" t="s">
        <v>20</v>
      </c>
      <c r="J315" s="221" t="s">
        <v>302</v>
      </c>
      <c r="K315" s="221" t="s">
        <v>20</v>
      </c>
      <c r="L315" s="220" t="s">
        <v>302</v>
      </c>
      <c r="M315" s="220" t="s">
        <v>302</v>
      </c>
      <c r="N315" s="221" t="s">
        <v>302</v>
      </c>
      <c r="O315" s="222" t="s">
        <v>20</v>
      </c>
      <c r="P315" s="222" t="s">
        <v>20</v>
      </c>
      <c r="Q315" s="222" t="s">
        <v>15</v>
      </c>
      <c r="R315" s="222" t="s">
        <v>15</v>
      </c>
      <c r="S315" s="222" t="s">
        <v>16</v>
      </c>
      <c r="T315" s="222" t="s">
        <v>349</v>
      </c>
      <c r="U315" s="222" t="s">
        <v>269</v>
      </c>
      <c r="V315" s="222" t="s">
        <v>302</v>
      </c>
      <c r="W315" s="223" t="s">
        <v>302</v>
      </c>
      <c r="X315" s="223" t="s">
        <v>302</v>
      </c>
      <c r="Y315" s="224" t="s">
        <v>302</v>
      </c>
    </row>
    <row r="316" spans="1:25">
      <c r="A316" s="216">
        <v>6</v>
      </c>
      <c r="B316" s="217" t="str">
        <f>VLOOKUP(Tabel10[[#This Row],[Code]],Ruimtegroepen[[Code]:[Ruimte omschrijving]],2,FALSE)</f>
        <v>Gangen/hallen</v>
      </c>
      <c r="C316" s="218" t="s">
        <v>562</v>
      </c>
      <c r="D316" s="217" t="s">
        <v>12</v>
      </c>
      <c r="E316" s="219" t="s">
        <v>101</v>
      </c>
      <c r="F316" s="218" t="s">
        <v>563</v>
      </c>
      <c r="G316" s="263" t="s">
        <v>302</v>
      </c>
      <c r="H316" s="220" t="s">
        <v>302</v>
      </c>
      <c r="I316" s="220" t="s">
        <v>302</v>
      </c>
      <c r="J316" s="220" t="s">
        <v>18</v>
      </c>
      <c r="K316" s="221" t="s">
        <v>302</v>
      </c>
      <c r="L316" s="220" t="s">
        <v>302</v>
      </c>
      <c r="M316" s="220" t="s">
        <v>302</v>
      </c>
      <c r="N316" s="221" t="s">
        <v>302</v>
      </c>
      <c r="O316" s="222" t="s">
        <v>18</v>
      </c>
      <c r="P316" s="222" t="s">
        <v>18</v>
      </c>
      <c r="Q316" s="222" t="s">
        <v>15</v>
      </c>
      <c r="R316" s="222" t="s">
        <v>15</v>
      </c>
      <c r="S316" s="222" t="s">
        <v>16</v>
      </c>
      <c r="T316" s="222" t="s">
        <v>349</v>
      </c>
      <c r="U316" s="222" t="s">
        <v>269</v>
      </c>
      <c r="V316" s="222" t="s">
        <v>302</v>
      </c>
      <c r="W316" s="223" t="s">
        <v>302</v>
      </c>
      <c r="X316" s="223" t="s">
        <v>302</v>
      </c>
      <c r="Y316" s="224" t="s">
        <v>302</v>
      </c>
    </row>
    <row r="317" spans="1:25">
      <c r="A317" s="216">
        <v>6</v>
      </c>
      <c r="B317" s="217" t="str">
        <f>VLOOKUP(Tabel10[[#This Row],[Code]],Ruimtegroepen[[Code]:[Ruimte omschrijving]],2,FALSE)</f>
        <v>Gangen/hallen</v>
      </c>
      <c r="C317" s="218" t="s">
        <v>562</v>
      </c>
      <c r="D317" s="217" t="s">
        <v>12</v>
      </c>
      <c r="E317" s="219" t="s">
        <v>100</v>
      </c>
      <c r="F317" s="218" t="s">
        <v>564</v>
      </c>
      <c r="G317" s="263" t="s">
        <v>302</v>
      </c>
      <c r="H317" s="221" t="s">
        <v>18</v>
      </c>
      <c r="I317" s="220" t="s">
        <v>302</v>
      </c>
      <c r="J317" s="221" t="s">
        <v>302</v>
      </c>
      <c r="K317" s="221" t="s">
        <v>302</v>
      </c>
      <c r="L317" s="220" t="s">
        <v>302</v>
      </c>
      <c r="M317" s="220" t="s">
        <v>302</v>
      </c>
      <c r="N317" s="221" t="s">
        <v>302</v>
      </c>
      <c r="O317" s="222" t="s">
        <v>18</v>
      </c>
      <c r="P317" s="222" t="s">
        <v>18</v>
      </c>
      <c r="Q317" s="222" t="s">
        <v>15</v>
      </c>
      <c r="R317" s="222" t="s">
        <v>15</v>
      </c>
      <c r="S317" s="222" t="s">
        <v>16</v>
      </c>
      <c r="T317" s="222" t="s">
        <v>349</v>
      </c>
      <c r="U317" s="222" t="s">
        <v>269</v>
      </c>
      <c r="V317" s="222" t="s">
        <v>302</v>
      </c>
      <c r="W317" s="223" t="s">
        <v>302</v>
      </c>
      <c r="X317" s="223" t="s">
        <v>302</v>
      </c>
      <c r="Y317" s="224" t="s">
        <v>302</v>
      </c>
    </row>
    <row r="318" spans="1:25">
      <c r="A318" s="216">
        <v>6</v>
      </c>
      <c r="B318" s="217" t="str">
        <f>VLOOKUP(Tabel10[[#This Row],[Code]],Ruimtegroepen[[Code]:[Ruimte omschrijving]],2,FALSE)</f>
        <v>Gangen/hallen</v>
      </c>
      <c r="C318" s="218" t="s">
        <v>562</v>
      </c>
      <c r="D318" s="217" t="s">
        <v>12</v>
      </c>
      <c r="E318" s="219" t="s">
        <v>102</v>
      </c>
      <c r="F318" s="218" t="s">
        <v>565</v>
      </c>
      <c r="G318" s="263" t="s">
        <v>302</v>
      </c>
      <c r="H318" s="220" t="s">
        <v>302</v>
      </c>
      <c r="I318" s="221" t="s">
        <v>18</v>
      </c>
      <c r="J318" s="221" t="s">
        <v>302</v>
      </c>
      <c r="K318" s="221" t="s">
        <v>18</v>
      </c>
      <c r="L318" s="220" t="s">
        <v>302</v>
      </c>
      <c r="M318" s="220" t="s">
        <v>302</v>
      </c>
      <c r="N318" s="221" t="s">
        <v>302</v>
      </c>
      <c r="O318" s="222" t="s">
        <v>18</v>
      </c>
      <c r="P318" s="222" t="s">
        <v>18</v>
      </c>
      <c r="Q318" s="222" t="s">
        <v>15</v>
      </c>
      <c r="R318" s="222" t="s">
        <v>15</v>
      </c>
      <c r="S318" s="222" t="s">
        <v>16</v>
      </c>
      <c r="T318" s="222" t="s">
        <v>349</v>
      </c>
      <c r="U318" s="222" t="s">
        <v>269</v>
      </c>
      <c r="V318" s="222" t="s">
        <v>302</v>
      </c>
      <c r="W318" s="223" t="s">
        <v>302</v>
      </c>
      <c r="X318" s="223" t="s">
        <v>302</v>
      </c>
      <c r="Y318" s="224" t="s">
        <v>302</v>
      </c>
    </row>
    <row r="319" spans="1:25">
      <c r="A319" s="216">
        <v>6</v>
      </c>
      <c r="B319" s="217" t="str">
        <f>VLOOKUP(Tabel10[[#This Row],[Code]],Ruimtegroepen[[Code]:[Ruimte omschrijving]],2,FALSE)</f>
        <v>Gangen/hallen</v>
      </c>
      <c r="C319" s="218" t="s">
        <v>562</v>
      </c>
      <c r="D319" s="217" t="s">
        <v>12</v>
      </c>
      <c r="E319" s="219" t="s">
        <v>103</v>
      </c>
      <c r="F319" s="218" t="s">
        <v>566</v>
      </c>
      <c r="G319" s="263" t="s">
        <v>302</v>
      </c>
      <c r="H319" s="220" t="s">
        <v>302</v>
      </c>
      <c r="I319" s="221" t="s">
        <v>18</v>
      </c>
      <c r="J319" s="221" t="s">
        <v>302</v>
      </c>
      <c r="K319" s="221" t="s">
        <v>18</v>
      </c>
      <c r="L319" s="220" t="s">
        <v>302</v>
      </c>
      <c r="M319" s="220" t="s">
        <v>302</v>
      </c>
      <c r="N319" s="221" t="s">
        <v>302</v>
      </c>
      <c r="O319" s="222" t="s">
        <v>18</v>
      </c>
      <c r="P319" s="222" t="s">
        <v>18</v>
      </c>
      <c r="Q319" s="222" t="s">
        <v>15</v>
      </c>
      <c r="R319" s="222" t="s">
        <v>15</v>
      </c>
      <c r="S319" s="222" t="s">
        <v>16</v>
      </c>
      <c r="T319" s="222" t="s">
        <v>349</v>
      </c>
      <c r="U319" s="222" t="s">
        <v>269</v>
      </c>
      <c r="V319" s="222" t="s">
        <v>302</v>
      </c>
      <c r="W319" s="223" t="s">
        <v>302</v>
      </c>
      <c r="X319" s="223" t="s">
        <v>302</v>
      </c>
      <c r="Y319" s="224" t="s">
        <v>302</v>
      </c>
    </row>
    <row r="320" spans="1:25">
      <c r="A320" s="216">
        <v>6</v>
      </c>
      <c r="B320" s="217" t="str">
        <f>VLOOKUP(Tabel10[[#This Row],[Code]],Ruimtegroepen[[Code]:[Ruimte omschrijving]],2,FALSE)</f>
        <v>Gangen/hallen</v>
      </c>
      <c r="C320" s="218" t="s">
        <v>562</v>
      </c>
      <c r="D320" s="217" t="s">
        <v>12</v>
      </c>
      <c r="E320" s="219" t="s">
        <v>100</v>
      </c>
      <c r="F320" s="218" t="s">
        <v>564</v>
      </c>
      <c r="G320" s="263" t="s">
        <v>302</v>
      </c>
      <c r="H320" s="221" t="s">
        <v>18</v>
      </c>
      <c r="I320" s="220" t="s">
        <v>302</v>
      </c>
      <c r="J320" s="221" t="s">
        <v>302</v>
      </c>
      <c r="K320" s="221" t="s">
        <v>302</v>
      </c>
      <c r="L320" s="220" t="s">
        <v>302</v>
      </c>
      <c r="M320" s="220" t="s">
        <v>302</v>
      </c>
      <c r="N320" s="221" t="s">
        <v>302</v>
      </c>
      <c r="O320" s="222" t="s">
        <v>18</v>
      </c>
      <c r="P320" s="222" t="s">
        <v>18</v>
      </c>
      <c r="Q320" s="222" t="s">
        <v>15</v>
      </c>
      <c r="R320" s="222" t="s">
        <v>15</v>
      </c>
      <c r="S320" s="222" t="s">
        <v>16</v>
      </c>
      <c r="T320" s="222" t="s">
        <v>349</v>
      </c>
      <c r="U320" s="222" t="s">
        <v>269</v>
      </c>
      <c r="V320" s="222" t="s">
        <v>302</v>
      </c>
      <c r="W320" s="223" t="s">
        <v>302</v>
      </c>
      <c r="X320" s="223" t="s">
        <v>302</v>
      </c>
      <c r="Y320" s="224" t="s">
        <v>302</v>
      </c>
    </row>
    <row r="321" spans="1:25">
      <c r="A321" s="216">
        <v>6</v>
      </c>
      <c r="B321" s="217" t="str">
        <f>VLOOKUP(Tabel10[[#This Row],[Code]],Ruimtegroepen[[Code]:[Ruimte omschrijving]],2,FALSE)</f>
        <v>Gangen/hallen</v>
      </c>
      <c r="C321" s="218" t="s">
        <v>562</v>
      </c>
      <c r="D321" s="217" t="s">
        <v>12</v>
      </c>
      <c r="E321" s="219" t="s">
        <v>1325</v>
      </c>
      <c r="F321" s="218" t="s">
        <v>1444</v>
      </c>
      <c r="G321" s="263" t="s">
        <v>302</v>
      </c>
      <c r="H321" s="220" t="s">
        <v>302</v>
      </c>
      <c r="I321" s="221" t="s">
        <v>18</v>
      </c>
      <c r="J321" s="221" t="s">
        <v>302</v>
      </c>
      <c r="K321" s="221" t="s">
        <v>18</v>
      </c>
      <c r="L321" s="220" t="s">
        <v>302</v>
      </c>
      <c r="M321" s="220" t="s">
        <v>302</v>
      </c>
      <c r="N321" s="221" t="s">
        <v>302</v>
      </c>
      <c r="O321" s="222" t="s">
        <v>18</v>
      </c>
      <c r="P321" s="222" t="s">
        <v>18</v>
      </c>
      <c r="Q321" s="222" t="s">
        <v>15</v>
      </c>
      <c r="R321" s="222" t="s">
        <v>15</v>
      </c>
      <c r="S321" s="222" t="s">
        <v>16</v>
      </c>
      <c r="T321" s="222" t="s">
        <v>349</v>
      </c>
      <c r="U321" s="222" t="s">
        <v>269</v>
      </c>
      <c r="V321" s="222" t="s">
        <v>302</v>
      </c>
      <c r="W321" s="223" t="s">
        <v>302</v>
      </c>
      <c r="X321" s="223" t="s">
        <v>302</v>
      </c>
      <c r="Y321" s="224" t="s">
        <v>302</v>
      </c>
    </row>
    <row r="322" spans="1:25">
      <c r="A322" s="216">
        <v>6</v>
      </c>
      <c r="B322" s="217" t="str">
        <f>VLOOKUP(Tabel10[[#This Row],[Code]],Ruimtegroepen[[Code]:[Ruimte omschrijving]],2,FALSE)</f>
        <v>Gangen/hallen</v>
      </c>
      <c r="C322" s="218" t="s">
        <v>567</v>
      </c>
      <c r="D322" s="217" t="s">
        <v>14</v>
      </c>
      <c r="E322" s="219" t="s">
        <v>101</v>
      </c>
      <c r="F322" s="218" t="s">
        <v>568</v>
      </c>
      <c r="G322" s="263" t="s">
        <v>302</v>
      </c>
      <c r="H322" s="220" t="s">
        <v>302</v>
      </c>
      <c r="I322" s="220" t="s">
        <v>302</v>
      </c>
      <c r="J322" s="220" t="s">
        <v>17</v>
      </c>
      <c r="K322" s="221" t="s">
        <v>302</v>
      </c>
      <c r="L322" s="220" t="s">
        <v>302</v>
      </c>
      <c r="M322" s="220" t="s">
        <v>302</v>
      </c>
      <c r="N322" s="221" t="s">
        <v>302</v>
      </c>
      <c r="O322" s="222" t="s">
        <v>17</v>
      </c>
      <c r="P322" s="222" t="s">
        <v>17</v>
      </c>
      <c r="Q322" s="222" t="s">
        <v>15</v>
      </c>
      <c r="R322" s="222" t="s">
        <v>15</v>
      </c>
      <c r="S322" s="222" t="s">
        <v>16</v>
      </c>
      <c r="T322" s="222" t="s">
        <v>349</v>
      </c>
      <c r="U322" s="222" t="s">
        <v>269</v>
      </c>
      <c r="V322" s="222" t="s">
        <v>302</v>
      </c>
      <c r="W322" s="223" t="s">
        <v>302</v>
      </c>
      <c r="X322" s="223" t="s">
        <v>302</v>
      </c>
      <c r="Y322" s="224" t="s">
        <v>302</v>
      </c>
    </row>
    <row r="323" spans="1:25">
      <c r="A323" s="216">
        <v>6</v>
      </c>
      <c r="B323" s="217" t="str">
        <f>VLOOKUP(Tabel10[[#This Row],[Code]],Ruimtegroepen[[Code]:[Ruimte omschrijving]],2,FALSE)</f>
        <v>Gangen/hallen</v>
      </c>
      <c r="C323" s="218" t="s">
        <v>567</v>
      </c>
      <c r="D323" s="217" t="s">
        <v>14</v>
      </c>
      <c r="E323" s="219" t="s">
        <v>100</v>
      </c>
      <c r="F323" s="218" t="s">
        <v>569</v>
      </c>
      <c r="G323" s="263" t="s">
        <v>302</v>
      </c>
      <c r="H323" s="221" t="s">
        <v>17</v>
      </c>
      <c r="I323" s="220" t="s">
        <v>302</v>
      </c>
      <c r="J323" s="221" t="s">
        <v>302</v>
      </c>
      <c r="K323" s="221" t="s">
        <v>302</v>
      </c>
      <c r="L323" s="220" t="s">
        <v>302</v>
      </c>
      <c r="M323" s="220" t="s">
        <v>302</v>
      </c>
      <c r="N323" s="221" t="s">
        <v>302</v>
      </c>
      <c r="O323" s="222" t="s">
        <v>17</v>
      </c>
      <c r="P323" s="222" t="s">
        <v>17</v>
      </c>
      <c r="Q323" s="222" t="s">
        <v>15</v>
      </c>
      <c r="R323" s="222" t="s">
        <v>15</v>
      </c>
      <c r="S323" s="222" t="s">
        <v>16</v>
      </c>
      <c r="T323" s="222" t="s">
        <v>349</v>
      </c>
      <c r="U323" s="222" t="s">
        <v>269</v>
      </c>
      <c r="V323" s="222" t="s">
        <v>302</v>
      </c>
      <c r="W323" s="223" t="s">
        <v>302</v>
      </c>
      <c r="X323" s="223" t="s">
        <v>302</v>
      </c>
      <c r="Y323" s="224" t="s">
        <v>302</v>
      </c>
    </row>
    <row r="324" spans="1:25">
      <c r="A324" s="216">
        <v>6</v>
      </c>
      <c r="B324" s="217" t="str">
        <f>VLOOKUP(Tabel10[[#This Row],[Code]],Ruimtegroepen[[Code]:[Ruimte omschrijving]],2,FALSE)</f>
        <v>Gangen/hallen</v>
      </c>
      <c r="C324" s="218" t="s">
        <v>567</v>
      </c>
      <c r="D324" s="217" t="s">
        <v>14</v>
      </c>
      <c r="E324" s="219" t="s">
        <v>102</v>
      </c>
      <c r="F324" s="218" t="s">
        <v>570</v>
      </c>
      <c r="G324" s="263" t="s">
        <v>302</v>
      </c>
      <c r="H324" s="220" t="s">
        <v>302</v>
      </c>
      <c r="I324" s="221" t="s">
        <v>17</v>
      </c>
      <c r="J324" s="221" t="s">
        <v>302</v>
      </c>
      <c r="K324" s="221" t="s">
        <v>17</v>
      </c>
      <c r="L324" s="220" t="s">
        <v>302</v>
      </c>
      <c r="M324" s="220" t="s">
        <v>302</v>
      </c>
      <c r="N324" s="221" t="s">
        <v>302</v>
      </c>
      <c r="O324" s="222" t="s">
        <v>17</v>
      </c>
      <c r="P324" s="222" t="s">
        <v>17</v>
      </c>
      <c r="Q324" s="222" t="s">
        <v>15</v>
      </c>
      <c r="R324" s="222" t="s">
        <v>15</v>
      </c>
      <c r="S324" s="222" t="s">
        <v>16</v>
      </c>
      <c r="T324" s="222" t="s">
        <v>349</v>
      </c>
      <c r="U324" s="222" t="s">
        <v>269</v>
      </c>
      <c r="V324" s="222" t="s">
        <v>302</v>
      </c>
      <c r="W324" s="223" t="s">
        <v>302</v>
      </c>
      <c r="X324" s="223" t="s">
        <v>302</v>
      </c>
      <c r="Y324" s="224" t="s">
        <v>302</v>
      </c>
    </row>
    <row r="325" spans="1:25">
      <c r="A325" s="216">
        <v>6</v>
      </c>
      <c r="B325" s="217" t="str">
        <f>VLOOKUP(Tabel10[[#This Row],[Code]],Ruimtegroepen[[Code]:[Ruimte omschrijving]],2,FALSE)</f>
        <v>Gangen/hallen</v>
      </c>
      <c r="C325" s="218" t="s">
        <v>567</v>
      </c>
      <c r="D325" s="217" t="s">
        <v>14</v>
      </c>
      <c r="E325" s="219" t="s">
        <v>103</v>
      </c>
      <c r="F325" s="218" t="s">
        <v>571</v>
      </c>
      <c r="G325" s="263" t="s">
        <v>302</v>
      </c>
      <c r="H325" s="220" t="s">
        <v>302</v>
      </c>
      <c r="I325" s="221" t="s">
        <v>17</v>
      </c>
      <c r="J325" s="221" t="s">
        <v>302</v>
      </c>
      <c r="K325" s="221" t="s">
        <v>17</v>
      </c>
      <c r="L325" s="220" t="s">
        <v>302</v>
      </c>
      <c r="M325" s="220" t="s">
        <v>302</v>
      </c>
      <c r="N325" s="221" t="s">
        <v>302</v>
      </c>
      <c r="O325" s="222" t="s">
        <v>17</v>
      </c>
      <c r="P325" s="222" t="s">
        <v>17</v>
      </c>
      <c r="Q325" s="222" t="s">
        <v>15</v>
      </c>
      <c r="R325" s="222" t="s">
        <v>15</v>
      </c>
      <c r="S325" s="222" t="s">
        <v>16</v>
      </c>
      <c r="T325" s="222" t="s">
        <v>349</v>
      </c>
      <c r="U325" s="222" t="s">
        <v>269</v>
      </c>
      <c r="V325" s="222" t="s">
        <v>302</v>
      </c>
      <c r="W325" s="223" t="s">
        <v>302</v>
      </c>
      <c r="X325" s="223" t="s">
        <v>302</v>
      </c>
      <c r="Y325" s="224" t="s">
        <v>302</v>
      </c>
    </row>
    <row r="326" spans="1:25">
      <c r="A326" s="216">
        <v>6</v>
      </c>
      <c r="B326" s="217" t="str">
        <f>VLOOKUP(Tabel10[[#This Row],[Code]],Ruimtegroepen[[Code]:[Ruimte omschrijving]],2,FALSE)</f>
        <v>Gangen/hallen</v>
      </c>
      <c r="C326" s="218" t="s">
        <v>567</v>
      </c>
      <c r="D326" s="217" t="s">
        <v>14</v>
      </c>
      <c r="E326" s="219" t="s">
        <v>100</v>
      </c>
      <c r="F326" s="218" t="s">
        <v>569</v>
      </c>
      <c r="G326" s="263" t="s">
        <v>302</v>
      </c>
      <c r="H326" s="221" t="s">
        <v>17</v>
      </c>
      <c r="I326" s="220" t="s">
        <v>302</v>
      </c>
      <c r="J326" s="221" t="s">
        <v>302</v>
      </c>
      <c r="K326" s="221" t="s">
        <v>302</v>
      </c>
      <c r="L326" s="220" t="s">
        <v>302</v>
      </c>
      <c r="M326" s="220" t="s">
        <v>302</v>
      </c>
      <c r="N326" s="221" t="s">
        <v>302</v>
      </c>
      <c r="O326" s="222" t="s">
        <v>17</v>
      </c>
      <c r="P326" s="222" t="s">
        <v>17</v>
      </c>
      <c r="Q326" s="222" t="s">
        <v>15</v>
      </c>
      <c r="R326" s="222" t="s">
        <v>15</v>
      </c>
      <c r="S326" s="222" t="s">
        <v>16</v>
      </c>
      <c r="T326" s="222" t="s">
        <v>349</v>
      </c>
      <c r="U326" s="222" t="s">
        <v>269</v>
      </c>
      <c r="V326" s="222" t="s">
        <v>302</v>
      </c>
      <c r="W326" s="223" t="s">
        <v>302</v>
      </c>
      <c r="X326" s="223" t="s">
        <v>302</v>
      </c>
      <c r="Y326" s="224" t="s">
        <v>302</v>
      </c>
    </row>
    <row r="327" spans="1:25">
      <c r="A327" s="216">
        <v>6</v>
      </c>
      <c r="B327" s="217" t="str">
        <f>VLOOKUP(Tabel10[[#This Row],[Code]],Ruimtegroepen[[Code]:[Ruimte omschrijving]],2,FALSE)</f>
        <v>Gangen/hallen</v>
      </c>
      <c r="C327" s="218" t="s">
        <v>567</v>
      </c>
      <c r="D327" s="217" t="s">
        <v>14</v>
      </c>
      <c r="E327" s="219" t="s">
        <v>1325</v>
      </c>
      <c r="F327" s="218" t="s">
        <v>1411</v>
      </c>
      <c r="G327" s="263" t="s">
        <v>302</v>
      </c>
      <c r="H327" s="220" t="s">
        <v>302</v>
      </c>
      <c r="I327" s="221" t="s">
        <v>17</v>
      </c>
      <c r="J327" s="221" t="s">
        <v>302</v>
      </c>
      <c r="K327" s="221" t="s">
        <v>17</v>
      </c>
      <c r="L327" s="220" t="s">
        <v>302</v>
      </c>
      <c r="M327" s="220" t="s">
        <v>302</v>
      </c>
      <c r="N327" s="221" t="s">
        <v>302</v>
      </c>
      <c r="O327" s="222" t="s">
        <v>17</v>
      </c>
      <c r="P327" s="222" t="s">
        <v>17</v>
      </c>
      <c r="Q327" s="222" t="s">
        <v>15</v>
      </c>
      <c r="R327" s="222" t="s">
        <v>15</v>
      </c>
      <c r="S327" s="222" t="s">
        <v>16</v>
      </c>
      <c r="T327" s="222" t="s">
        <v>349</v>
      </c>
      <c r="U327" s="222" t="s">
        <v>269</v>
      </c>
      <c r="V327" s="222" t="s">
        <v>302</v>
      </c>
      <c r="W327" s="223" t="s">
        <v>302</v>
      </c>
      <c r="X327" s="223" t="s">
        <v>302</v>
      </c>
      <c r="Y327" s="224" t="s">
        <v>302</v>
      </c>
    </row>
    <row r="328" spans="1:25">
      <c r="A328" s="216">
        <v>6</v>
      </c>
      <c r="B328" s="217" t="str">
        <f>VLOOKUP(Tabel10[[#This Row],[Code]],Ruimtegroepen[[Code]:[Ruimte omschrijving]],2,FALSE)</f>
        <v>Gangen/hallen</v>
      </c>
      <c r="C328" s="218" t="s">
        <v>572</v>
      </c>
      <c r="D328" s="217" t="s">
        <v>13</v>
      </c>
      <c r="E328" s="219" t="s">
        <v>101</v>
      </c>
      <c r="F328" s="218" t="s">
        <v>573</v>
      </c>
      <c r="G328" s="263" t="s">
        <v>302</v>
      </c>
      <c r="H328" s="220" t="s">
        <v>302</v>
      </c>
      <c r="I328" s="220" t="s">
        <v>302</v>
      </c>
      <c r="J328" s="221" t="s">
        <v>15</v>
      </c>
      <c r="K328" s="221" t="s">
        <v>302</v>
      </c>
      <c r="L328" s="220" t="s">
        <v>302</v>
      </c>
      <c r="M328" s="220" t="s">
        <v>302</v>
      </c>
      <c r="N328" s="221" t="s">
        <v>302</v>
      </c>
      <c r="O328" s="222" t="s">
        <v>15</v>
      </c>
      <c r="P328" s="222" t="s">
        <v>15</v>
      </c>
      <c r="Q328" s="222" t="s">
        <v>15</v>
      </c>
      <c r="R328" s="222" t="s">
        <v>15</v>
      </c>
      <c r="S328" s="222" t="s">
        <v>16</v>
      </c>
      <c r="T328" s="222" t="s">
        <v>349</v>
      </c>
      <c r="U328" s="222" t="s">
        <v>269</v>
      </c>
      <c r="V328" s="222" t="s">
        <v>302</v>
      </c>
      <c r="W328" s="223" t="s">
        <v>302</v>
      </c>
      <c r="X328" s="223" t="s">
        <v>302</v>
      </c>
      <c r="Y328" s="224" t="s">
        <v>302</v>
      </c>
    </row>
    <row r="329" spans="1:25">
      <c r="A329" s="216">
        <v>6</v>
      </c>
      <c r="B329" s="217" t="str">
        <f>VLOOKUP(Tabel10[[#This Row],[Code]],Ruimtegroepen[[Code]:[Ruimte omschrijving]],2,FALSE)</f>
        <v>Gangen/hallen</v>
      </c>
      <c r="C329" s="218" t="s">
        <v>572</v>
      </c>
      <c r="D329" s="217" t="s">
        <v>13</v>
      </c>
      <c r="E329" s="219" t="s">
        <v>100</v>
      </c>
      <c r="F329" s="218" t="s">
        <v>574</v>
      </c>
      <c r="G329" s="263" t="s">
        <v>302</v>
      </c>
      <c r="H329" s="221" t="s">
        <v>15</v>
      </c>
      <c r="I329" s="220" t="s">
        <v>302</v>
      </c>
      <c r="J329" s="221" t="s">
        <v>302</v>
      </c>
      <c r="K329" s="221" t="s">
        <v>302</v>
      </c>
      <c r="L329" s="220" t="s">
        <v>302</v>
      </c>
      <c r="M329" s="220" t="s">
        <v>302</v>
      </c>
      <c r="N329" s="221" t="s">
        <v>302</v>
      </c>
      <c r="O329" s="222" t="s">
        <v>15</v>
      </c>
      <c r="P329" s="222" t="s">
        <v>15</v>
      </c>
      <c r="Q329" s="222" t="s">
        <v>15</v>
      </c>
      <c r="R329" s="222" t="s">
        <v>15</v>
      </c>
      <c r="S329" s="222" t="s">
        <v>16</v>
      </c>
      <c r="T329" s="222" t="s">
        <v>349</v>
      </c>
      <c r="U329" s="222" t="s">
        <v>269</v>
      </c>
      <c r="V329" s="222" t="s">
        <v>302</v>
      </c>
      <c r="W329" s="223" t="s">
        <v>302</v>
      </c>
      <c r="X329" s="223" t="s">
        <v>302</v>
      </c>
      <c r="Y329" s="224" t="s">
        <v>302</v>
      </c>
    </row>
    <row r="330" spans="1:25">
      <c r="A330" s="216">
        <v>6</v>
      </c>
      <c r="B330" s="217" t="str">
        <f>VLOOKUP(Tabel10[[#This Row],[Code]],Ruimtegroepen[[Code]:[Ruimte omschrijving]],2,FALSE)</f>
        <v>Gangen/hallen</v>
      </c>
      <c r="C330" s="218" t="s">
        <v>572</v>
      </c>
      <c r="D330" s="217" t="s">
        <v>13</v>
      </c>
      <c r="E330" s="219" t="s">
        <v>102</v>
      </c>
      <c r="F330" s="218" t="s">
        <v>575</v>
      </c>
      <c r="G330" s="263" t="s">
        <v>302</v>
      </c>
      <c r="H330" s="220" t="s">
        <v>302</v>
      </c>
      <c r="I330" s="221" t="s">
        <v>15</v>
      </c>
      <c r="J330" s="221" t="s">
        <v>302</v>
      </c>
      <c r="K330" s="221" t="s">
        <v>15</v>
      </c>
      <c r="L330" s="220" t="s">
        <v>302</v>
      </c>
      <c r="M330" s="220" t="s">
        <v>302</v>
      </c>
      <c r="N330" s="221" t="s">
        <v>302</v>
      </c>
      <c r="O330" s="222" t="s">
        <v>15</v>
      </c>
      <c r="P330" s="222" t="s">
        <v>15</v>
      </c>
      <c r="Q330" s="222" t="s">
        <v>15</v>
      </c>
      <c r="R330" s="222" t="s">
        <v>15</v>
      </c>
      <c r="S330" s="222" t="s">
        <v>16</v>
      </c>
      <c r="T330" s="222" t="s">
        <v>349</v>
      </c>
      <c r="U330" s="222" t="s">
        <v>269</v>
      </c>
      <c r="V330" s="222" t="s">
        <v>302</v>
      </c>
      <c r="W330" s="223" t="s">
        <v>302</v>
      </c>
      <c r="X330" s="223" t="s">
        <v>302</v>
      </c>
      <c r="Y330" s="224" t="s">
        <v>302</v>
      </c>
    </row>
    <row r="331" spans="1:25">
      <c r="A331" s="216">
        <v>6</v>
      </c>
      <c r="B331" s="217" t="str">
        <f>VLOOKUP(Tabel10[[#This Row],[Code]],Ruimtegroepen[[Code]:[Ruimte omschrijving]],2,FALSE)</f>
        <v>Gangen/hallen</v>
      </c>
      <c r="C331" s="218" t="s">
        <v>572</v>
      </c>
      <c r="D331" s="217" t="s">
        <v>13</v>
      </c>
      <c r="E331" s="219" t="s">
        <v>103</v>
      </c>
      <c r="F331" s="218" t="s">
        <v>576</v>
      </c>
      <c r="G331" s="263" t="s">
        <v>302</v>
      </c>
      <c r="H331" s="220" t="s">
        <v>302</v>
      </c>
      <c r="I331" s="221" t="s">
        <v>15</v>
      </c>
      <c r="J331" s="221" t="s">
        <v>302</v>
      </c>
      <c r="K331" s="221" t="s">
        <v>15</v>
      </c>
      <c r="L331" s="220" t="s">
        <v>302</v>
      </c>
      <c r="M331" s="220" t="s">
        <v>302</v>
      </c>
      <c r="N331" s="221" t="s">
        <v>302</v>
      </c>
      <c r="O331" s="222" t="s">
        <v>15</v>
      </c>
      <c r="P331" s="222" t="s">
        <v>15</v>
      </c>
      <c r="Q331" s="222" t="s">
        <v>15</v>
      </c>
      <c r="R331" s="222" t="s">
        <v>15</v>
      </c>
      <c r="S331" s="222" t="s">
        <v>16</v>
      </c>
      <c r="T331" s="222" t="s">
        <v>349</v>
      </c>
      <c r="U331" s="222" t="s">
        <v>269</v>
      </c>
      <c r="V331" s="222" t="s">
        <v>302</v>
      </c>
      <c r="W331" s="223" t="s">
        <v>302</v>
      </c>
      <c r="X331" s="223" t="s">
        <v>302</v>
      </c>
      <c r="Y331" s="224" t="s">
        <v>302</v>
      </c>
    </row>
    <row r="332" spans="1:25">
      <c r="A332" s="216">
        <v>6</v>
      </c>
      <c r="B332" s="217" t="str">
        <f>VLOOKUP(Tabel10[[#This Row],[Code]],Ruimtegroepen[[Code]:[Ruimte omschrijving]],2,FALSE)</f>
        <v>Gangen/hallen</v>
      </c>
      <c r="C332" s="218" t="s">
        <v>572</v>
      </c>
      <c r="D332" s="217" t="s">
        <v>13</v>
      </c>
      <c r="E332" s="219" t="s">
        <v>100</v>
      </c>
      <c r="F332" s="218" t="s">
        <v>574</v>
      </c>
      <c r="G332" s="263" t="s">
        <v>302</v>
      </c>
      <c r="H332" s="221" t="s">
        <v>15</v>
      </c>
      <c r="I332" s="220" t="s">
        <v>302</v>
      </c>
      <c r="J332" s="221" t="s">
        <v>302</v>
      </c>
      <c r="K332" s="221" t="s">
        <v>302</v>
      </c>
      <c r="L332" s="220" t="s">
        <v>302</v>
      </c>
      <c r="M332" s="220" t="s">
        <v>302</v>
      </c>
      <c r="N332" s="221" t="s">
        <v>302</v>
      </c>
      <c r="O332" s="222" t="s">
        <v>15</v>
      </c>
      <c r="P332" s="222" t="s">
        <v>15</v>
      </c>
      <c r="Q332" s="222" t="s">
        <v>15</v>
      </c>
      <c r="R332" s="222" t="s">
        <v>15</v>
      </c>
      <c r="S332" s="222" t="s">
        <v>16</v>
      </c>
      <c r="T332" s="222" t="s">
        <v>349</v>
      </c>
      <c r="U332" s="222" t="s">
        <v>269</v>
      </c>
      <c r="V332" s="222" t="s">
        <v>302</v>
      </c>
      <c r="W332" s="223" t="s">
        <v>302</v>
      </c>
      <c r="X332" s="223" t="s">
        <v>302</v>
      </c>
      <c r="Y332" s="224" t="s">
        <v>302</v>
      </c>
    </row>
    <row r="333" spans="1:25">
      <c r="A333" s="216">
        <v>6</v>
      </c>
      <c r="B333" s="217" t="str">
        <f>VLOOKUP(Tabel10[[#This Row],[Code]],Ruimtegroepen[[Code]:[Ruimte omschrijving]],2,FALSE)</f>
        <v>Gangen/hallen</v>
      </c>
      <c r="C333" s="218" t="s">
        <v>572</v>
      </c>
      <c r="D333" s="217" t="s">
        <v>13</v>
      </c>
      <c r="E333" s="219" t="s">
        <v>1325</v>
      </c>
      <c r="F333" s="218" t="s">
        <v>1378</v>
      </c>
      <c r="G333" s="263" t="s">
        <v>302</v>
      </c>
      <c r="H333" s="220" t="s">
        <v>302</v>
      </c>
      <c r="I333" s="221" t="s">
        <v>15</v>
      </c>
      <c r="J333" s="221" t="s">
        <v>302</v>
      </c>
      <c r="K333" s="221" t="s">
        <v>15</v>
      </c>
      <c r="L333" s="220" t="s">
        <v>302</v>
      </c>
      <c r="M333" s="220" t="s">
        <v>302</v>
      </c>
      <c r="N333" s="221" t="s">
        <v>302</v>
      </c>
      <c r="O333" s="222" t="s">
        <v>15</v>
      </c>
      <c r="P333" s="222" t="s">
        <v>15</v>
      </c>
      <c r="Q333" s="222" t="s">
        <v>15</v>
      </c>
      <c r="R333" s="222" t="s">
        <v>15</v>
      </c>
      <c r="S333" s="222" t="s">
        <v>16</v>
      </c>
      <c r="T333" s="222" t="s">
        <v>349</v>
      </c>
      <c r="U333" s="222" t="s">
        <v>269</v>
      </c>
      <c r="V333" s="222" t="s">
        <v>302</v>
      </c>
      <c r="W333" s="223" t="s">
        <v>302</v>
      </c>
      <c r="X333" s="223" t="s">
        <v>302</v>
      </c>
      <c r="Y333" s="224" t="s">
        <v>302</v>
      </c>
    </row>
    <row r="334" spans="1:25">
      <c r="A334" s="216">
        <v>6</v>
      </c>
      <c r="B334" s="217" t="str">
        <f>VLOOKUP(Tabel10[[#This Row],[Code]],Ruimtegroepen[[Code]:[Ruimte omschrijving]],2,FALSE)</f>
        <v>Gangen/hallen</v>
      </c>
      <c r="C334" s="218" t="s">
        <v>577</v>
      </c>
      <c r="D334" s="217" t="s">
        <v>0</v>
      </c>
      <c r="E334" s="219" t="s">
        <v>101</v>
      </c>
      <c r="F334" s="218" t="s">
        <v>578</v>
      </c>
      <c r="G334" s="263" t="s">
        <v>302</v>
      </c>
      <c r="H334" s="220" t="s">
        <v>302</v>
      </c>
      <c r="I334" s="220" t="s">
        <v>302</v>
      </c>
      <c r="J334" s="221" t="s">
        <v>16</v>
      </c>
      <c r="K334" s="221" t="s">
        <v>302</v>
      </c>
      <c r="L334" s="220" t="s">
        <v>302</v>
      </c>
      <c r="M334" s="220" t="s">
        <v>302</v>
      </c>
      <c r="N334" s="221" t="s">
        <v>302</v>
      </c>
      <c r="O334" s="222" t="s">
        <v>16</v>
      </c>
      <c r="P334" s="222" t="s">
        <v>16</v>
      </c>
      <c r="Q334" s="222" t="s">
        <v>16</v>
      </c>
      <c r="R334" s="222" t="s">
        <v>16</v>
      </c>
      <c r="S334" s="222" t="s">
        <v>16</v>
      </c>
      <c r="T334" s="222" t="s">
        <v>349</v>
      </c>
      <c r="U334" s="222" t="s">
        <v>269</v>
      </c>
      <c r="V334" s="222" t="s">
        <v>302</v>
      </c>
      <c r="W334" s="223" t="s">
        <v>302</v>
      </c>
      <c r="X334" s="223" t="s">
        <v>302</v>
      </c>
      <c r="Y334" s="224" t="s">
        <v>302</v>
      </c>
    </row>
    <row r="335" spans="1:25">
      <c r="A335" s="216">
        <v>6</v>
      </c>
      <c r="B335" s="217" t="str">
        <f>VLOOKUP(Tabel10[[#This Row],[Code]],Ruimtegroepen[[Code]:[Ruimte omschrijving]],2,FALSE)</f>
        <v>Gangen/hallen</v>
      </c>
      <c r="C335" s="218" t="s">
        <v>577</v>
      </c>
      <c r="D335" s="217" t="s">
        <v>0</v>
      </c>
      <c r="E335" s="219" t="s">
        <v>100</v>
      </c>
      <c r="F335" s="218" t="s">
        <v>579</v>
      </c>
      <c r="G335" s="263" t="s">
        <v>302</v>
      </c>
      <c r="H335" s="221" t="s">
        <v>16</v>
      </c>
      <c r="I335" s="220" t="s">
        <v>302</v>
      </c>
      <c r="J335" s="221" t="s">
        <v>302</v>
      </c>
      <c r="K335" s="221" t="s">
        <v>302</v>
      </c>
      <c r="L335" s="220" t="s">
        <v>302</v>
      </c>
      <c r="M335" s="220" t="s">
        <v>302</v>
      </c>
      <c r="N335" s="221" t="s">
        <v>302</v>
      </c>
      <c r="O335" s="222" t="s">
        <v>16</v>
      </c>
      <c r="P335" s="222" t="s">
        <v>16</v>
      </c>
      <c r="Q335" s="222" t="s">
        <v>16</v>
      </c>
      <c r="R335" s="222" t="s">
        <v>16</v>
      </c>
      <c r="S335" s="222" t="s">
        <v>16</v>
      </c>
      <c r="T335" s="222" t="s">
        <v>349</v>
      </c>
      <c r="U335" s="222" t="s">
        <v>269</v>
      </c>
      <c r="V335" s="222" t="s">
        <v>302</v>
      </c>
      <c r="W335" s="223" t="s">
        <v>302</v>
      </c>
      <c r="X335" s="223" t="s">
        <v>302</v>
      </c>
      <c r="Y335" s="224" t="s">
        <v>302</v>
      </c>
    </row>
    <row r="336" spans="1:25">
      <c r="A336" s="216">
        <v>6</v>
      </c>
      <c r="B336" s="217" t="str">
        <f>VLOOKUP(Tabel10[[#This Row],[Code]],Ruimtegroepen[[Code]:[Ruimte omschrijving]],2,FALSE)</f>
        <v>Gangen/hallen</v>
      </c>
      <c r="C336" s="218" t="s">
        <v>577</v>
      </c>
      <c r="D336" s="217" t="s">
        <v>0</v>
      </c>
      <c r="E336" s="219" t="s">
        <v>102</v>
      </c>
      <c r="F336" s="218" t="s">
        <v>580</v>
      </c>
      <c r="G336" s="263" t="s">
        <v>302</v>
      </c>
      <c r="H336" s="220" t="s">
        <v>302</v>
      </c>
      <c r="I336" s="221" t="s">
        <v>16</v>
      </c>
      <c r="J336" s="221" t="s">
        <v>381</v>
      </c>
      <c r="K336" s="221" t="s">
        <v>16</v>
      </c>
      <c r="L336" s="220" t="s">
        <v>302</v>
      </c>
      <c r="M336" s="220" t="s">
        <v>302</v>
      </c>
      <c r="N336" s="221" t="s">
        <v>302</v>
      </c>
      <c r="O336" s="222" t="s">
        <v>16</v>
      </c>
      <c r="P336" s="222" t="s">
        <v>16</v>
      </c>
      <c r="Q336" s="222" t="s">
        <v>16</v>
      </c>
      <c r="R336" s="222" t="s">
        <v>16</v>
      </c>
      <c r="S336" s="222" t="s">
        <v>16</v>
      </c>
      <c r="T336" s="222" t="s">
        <v>349</v>
      </c>
      <c r="U336" s="222" t="s">
        <v>269</v>
      </c>
      <c r="V336" s="222" t="s">
        <v>302</v>
      </c>
      <c r="W336" s="223" t="s">
        <v>302</v>
      </c>
      <c r="X336" s="223" t="s">
        <v>302</v>
      </c>
      <c r="Y336" s="224" t="s">
        <v>302</v>
      </c>
    </row>
    <row r="337" spans="1:25">
      <c r="A337" s="216">
        <v>6</v>
      </c>
      <c r="B337" s="217" t="str">
        <f>VLOOKUP(Tabel10[[#This Row],[Code]],Ruimtegroepen[[Code]:[Ruimte omschrijving]],2,FALSE)</f>
        <v>Gangen/hallen</v>
      </c>
      <c r="C337" s="218" t="s">
        <v>577</v>
      </c>
      <c r="D337" s="217" t="s">
        <v>0</v>
      </c>
      <c r="E337" s="219" t="s">
        <v>103</v>
      </c>
      <c r="F337" s="218" t="s">
        <v>581</v>
      </c>
      <c r="G337" s="263" t="s">
        <v>302</v>
      </c>
      <c r="H337" s="220" t="s">
        <v>302</v>
      </c>
      <c r="I337" s="221" t="s">
        <v>16</v>
      </c>
      <c r="J337" s="221" t="s">
        <v>302</v>
      </c>
      <c r="K337" s="221" t="s">
        <v>16</v>
      </c>
      <c r="L337" s="220" t="s">
        <v>302</v>
      </c>
      <c r="M337" s="220" t="s">
        <v>302</v>
      </c>
      <c r="N337" s="221" t="s">
        <v>302</v>
      </c>
      <c r="O337" s="222" t="s">
        <v>16</v>
      </c>
      <c r="P337" s="222" t="s">
        <v>16</v>
      </c>
      <c r="Q337" s="222" t="s">
        <v>16</v>
      </c>
      <c r="R337" s="222" t="s">
        <v>16</v>
      </c>
      <c r="S337" s="222" t="s">
        <v>16</v>
      </c>
      <c r="T337" s="222" t="s">
        <v>349</v>
      </c>
      <c r="U337" s="222" t="s">
        <v>269</v>
      </c>
      <c r="V337" s="222" t="s">
        <v>302</v>
      </c>
      <c r="W337" s="223" t="s">
        <v>302</v>
      </c>
      <c r="X337" s="223" t="s">
        <v>302</v>
      </c>
      <c r="Y337" s="224" t="s">
        <v>302</v>
      </c>
    </row>
    <row r="338" spans="1:25">
      <c r="A338" s="216">
        <v>6</v>
      </c>
      <c r="B338" s="217" t="str">
        <f>VLOOKUP(Tabel10[[#This Row],[Code]],Ruimtegroepen[[Code]:[Ruimte omschrijving]],2,FALSE)</f>
        <v>Gangen/hallen</v>
      </c>
      <c r="C338" s="218" t="s">
        <v>577</v>
      </c>
      <c r="D338" s="217" t="s">
        <v>0</v>
      </c>
      <c r="E338" s="219" t="s">
        <v>100</v>
      </c>
      <c r="F338" s="218" t="s">
        <v>579</v>
      </c>
      <c r="G338" s="263" t="s">
        <v>302</v>
      </c>
      <c r="H338" s="221" t="s">
        <v>16</v>
      </c>
      <c r="I338" s="220" t="s">
        <v>302</v>
      </c>
      <c r="J338" s="221" t="s">
        <v>302</v>
      </c>
      <c r="K338" s="221" t="s">
        <v>302</v>
      </c>
      <c r="L338" s="220" t="s">
        <v>302</v>
      </c>
      <c r="M338" s="220" t="s">
        <v>302</v>
      </c>
      <c r="N338" s="221" t="s">
        <v>302</v>
      </c>
      <c r="O338" s="222" t="s">
        <v>16</v>
      </c>
      <c r="P338" s="222" t="s">
        <v>16</v>
      </c>
      <c r="Q338" s="222" t="s">
        <v>16</v>
      </c>
      <c r="R338" s="222" t="s">
        <v>16</v>
      </c>
      <c r="S338" s="222" t="s">
        <v>16</v>
      </c>
      <c r="T338" s="222" t="s">
        <v>349</v>
      </c>
      <c r="U338" s="222" t="s">
        <v>269</v>
      </c>
      <c r="V338" s="222" t="s">
        <v>302</v>
      </c>
      <c r="W338" s="223" t="s">
        <v>302</v>
      </c>
      <c r="X338" s="223" t="s">
        <v>302</v>
      </c>
      <c r="Y338" s="224" t="s">
        <v>302</v>
      </c>
    </row>
    <row r="339" spans="1:25">
      <c r="A339" s="216">
        <v>6</v>
      </c>
      <c r="B339" s="217" t="str">
        <f>VLOOKUP(Tabel10[[#This Row],[Code]],Ruimtegroepen[[Code]:[Ruimte omschrijving]],2,FALSE)</f>
        <v>Gangen/hallen</v>
      </c>
      <c r="C339" s="218" t="s">
        <v>577</v>
      </c>
      <c r="D339" s="217" t="s">
        <v>0</v>
      </c>
      <c r="E339" s="219" t="s">
        <v>1325</v>
      </c>
      <c r="F339" s="218" t="s">
        <v>1362</v>
      </c>
      <c r="G339" s="263" t="s">
        <v>302</v>
      </c>
      <c r="H339" s="220" t="s">
        <v>302</v>
      </c>
      <c r="I339" s="221" t="s">
        <v>16</v>
      </c>
      <c r="J339" s="221" t="s">
        <v>302</v>
      </c>
      <c r="K339" s="221" t="s">
        <v>16</v>
      </c>
      <c r="L339" s="220" t="s">
        <v>302</v>
      </c>
      <c r="M339" s="220" t="s">
        <v>302</v>
      </c>
      <c r="N339" s="221" t="s">
        <v>302</v>
      </c>
      <c r="O339" s="222" t="s">
        <v>16</v>
      </c>
      <c r="P339" s="222" t="s">
        <v>16</v>
      </c>
      <c r="Q339" s="222" t="s">
        <v>16</v>
      </c>
      <c r="R339" s="222" t="s">
        <v>16</v>
      </c>
      <c r="S339" s="222" t="s">
        <v>16</v>
      </c>
      <c r="T339" s="222" t="s">
        <v>349</v>
      </c>
      <c r="U339" s="222" t="s">
        <v>269</v>
      </c>
      <c r="V339" s="222" t="s">
        <v>302</v>
      </c>
      <c r="W339" s="223" t="s">
        <v>302</v>
      </c>
      <c r="X339" s="223" t="s">
        <v>302</v>
      </c>
      <c r="Y339" s="224" t="s">
        <v>302</v>
      </c>
    </row>
    <row r="340" spans="1:25">
      <c r="A340" s="216">
        <v>6</v>
      </c>
      <c r="B340" s="217" t="str">
        <f>VLOOKUP(Tabel10[[#This Row],[Code]],Ruimtegroepen[[Code]:[Ruimte omschrijving]],2,FALSE)</f>
        <v>Gangen/hallen</v>
      </c>
      <c r="C340" s="218" t="s">
        <v>582</v>
      </c>
      <c r="D340" s="217" t="s">
        <v>27</v>
      </c>
      <c r="E340" s="219" t="s">
        <v>101</v>
      </c>
      <c r="F340" s="218" t="s">
        <v>583</v>
      </c>
      <c r="G340" s="263" t="s">
        <v>302</v>
      </c>
      <c r="H340" s="220" t="s">
        <v>302</v>
      </c>
      <c r="I340" s="221" t="s">
        <v>15</v>
      </c>
      <c r="J340" s="220" t="s">
        <v>302</v>
      </c>
      <c r="K340" s="221" t="s">
        <v>302</v>
      </c>
      <c r="L340" s="220" t="s">
        <v>302</v>
      </c>
      <c r="M340" s="220" t="s">
        <v>302</v>
      </c>
      <c r="N340" s="221" t="s">
        <v>302</v>
      </c>
      <c r="O340" s="222" t="s">
        <v>15</v>
      </c>
      <c r="P340" s="222" t="s">
        <v>15</v>
      </c>
      <c r="Q340" s="222" t="s">
        <v>15</v>
      </c>
      <c r="R340" s="222" t="s">
        <v>302</v>
      </c>
      <c r="S340" s="222" t="s">
        <v>302</v>
      </c>
      <c r="T340" s="222" t="s">
        <v>302</v>
      </c>
      <c r="U340" s="222" t="s">
        <v>302</v>
      </c>
      <c r="V340" s="222" t="s">
        <v>302</v>
      </c>
      <c r="W340" s="223" t="s">
        <v>302</v>
      </c>
      <c r="X340" s="223" t="s">
        <v>302</v>
      </c>
      <c r="Y340" s="224" t="s">
        <v>302</v>
      </c>
    </row>
    <row r="341" spans="1:25">
      <c r="A341" s="216">
        <v>6</v>
      </c>
      <c r="B341" s="217" t="str">
        <f>VLOOKUP(Tabel10[[#This Row],[Code]],Ruimtegroepen[[Code]:[Ruimte omschrijving]],2,FALSE)</f>
        <v>Gangen/hallen</v>
      </c>
      <c r="C341" s="218" t="s">
        <v>582</v>
      </c>
      <c r="D341" s="217" t="s">
        <v>27</v>
      </c>
      <c r="E341" s="219" t="s">
        <v>100</v>
      </c>
      <c r="F341" s="218" t="s">
        <v>584</v>
      </c>
      <c r="G341" s="263" t="s">
        <v>302</v>
      </c>
      <c r="H341" s="221" t="s">
        <v>15</v>
      </c>
      <c r="I341" s="220" t="s">
        <v>302</v>
      </c>
      <c r="J341" s="221" t="s">
        <v>302</v>
      </c>
      <c r="K341" s="221" t="s">
        <v>302</v>
      </c>
      <c r="L341" s="220" t="s">
        <v>302</v>
      </c>
      <c r="M341" s="220" t="s">
        <v>302</v>
      </c>
      <c r="N341" s="221" t="s">
        <v>302</v>
      </c>
      <c r="O341" s="222" t="s">
        <v>15</v>
      </c>
      <c r="P341" s="222" t="s">
        <v>15</v>
      </c>
      <c r="Q341" s="222" t="s">
        <v>15</v>
      </c>
      <c r="R341" s="222" t="s">
        <v>302</v>
      </c>
      <c r="S341" s="222" t="s">
        <v>302</v>
      </c>
      <c r="T341" s="222" t="s">
        <v>302</v>
      </c>
      <c r="U341" s="222" t="s">
        <v>302</v>
      </c>
      <c r="V341" s="222" t="s">
        <v>302</v>
      </c>
      <c r="W341" s="223" t="s">
        <v>302</v>
      </c>
      <c r="X341" s="223" t="s">
        <v>302</v>
      </c>
      <c r="Y341" s="224" t="s">
        <v>302</v>
      </c>
    </row>
    <row r="342" spans="1:25">
      <c r="A342" s="216">
        <v>6</v>
      </c>
      <c r="B342" s="217" t="str">
        <f>VLOOKUP(Tabel10[[#This Row],[Code]],Ruimtegroepen[[Code]:[Ruimte omschrijving]],2,FALSE)</f>
        <v>Gangen/hallen</v>
      </c>
      <c r="C342" s="218" t="s">
        <v>582</v>
      </c>
      <c r="D342" s="217" t="s">
        <v>27</v>
      </c>
      <c r="E342" s="219" t="s">
        <v>102</v>
      </c>
      <c r="F342" s="218" t="s">
        <v>585</v>
      </c>
      <c r="G342" s="263" t="s">
        <v>302</v>
      </c>
      <c r="H342" s="220" t="s">
        <v>302</v>
      </c>
      <c r="I342" s="221" t="s">
        <v>15</v>
      </c>
      <c r="J342" s="221" t="s">
        <v>302</v>
      </c>
      <c r="K342" s="221" t="s">
        <v>302</v>
      </c>
      <c r="L342" s="220" t="s">
        <v>302</v>
      </c>
      <c r="M342" s="220" t="s">
        <v>302</v>
      </c>
      <c r="N342" s="221" t="s">
        <v>302</v>
      </c>
      <c r="O342" s="222" t="s">
        <v>15</v>
      </c>
      <c r="P342" s="222" t="s">
        <v>15</v>
      </c>
      <c r="Q342" s="222" t="s">
        <v>15</v>
      </c>
      <c r="R342" s="222" t="s">
        <v>302</v>
      </c>
      <c r="S342" s="222" t="s">
        <v>302</v>
      </c>
      <c r="T342" s="222" t="s">
        <v>302</v>
      </c>
      <c r="U342" s="222" t="s">
        <v>302</v>
      </c>
      <c r="V342" s="222" t="s">
        <v>302</v>
      </c>
      <c r="W342" s="223" t="s">
        <v>302</v>
      </c>
      <c r="X342" s="223" t="s">
        <v>302</v>
      </c>
      <c r="Y342" s="224" t="s">
        <v>302</v>
      </c>
    </row>
    <row r="343" spans="1:25">
      <c r="A343" s="216">
        <v>6</v>
      </c>
      <c r="B343" s="217" t="str">
        <f>VLOOKUP(Tabel10[[#This Row],[Code]],Ruimtegroepen[[Code]:[Ruimte omschrijving]],2,FALSE)</f>
        <v>Gangen/hallen</v>
      </c>
      <c r="C343" s="218" t="s">
        <v>582</v>
      </c>
      <c r="D343" s="217" t="s">
        <v>27</v>
      </c>
      <c r="E343" s="219" t="s">
        <v>103</v>
      </c>
      <c r="F343" s="218" t="s">
        <v>586</v>
      </c>
      <c r="G343" s="263" t="s">
        <v>302</v>
      </c>
      <c r="H343" s="220" t="s">
        <v>302</v>
      </c>
      <c r="I343" s="221" t="s">
        <v>15</v>
      </c>
      <c r="J343" s="221" t="s">
        <v>302</v>
      </c>
      <c r="K343" s="221" t="s">
        <v>302</v>
      </c>
      <c r="L343" s="220" t="s">
        <v>302</v>
      </c>
      <c r="M343" s="220" t="s">
        <v>302</v>
      </c>
      <c r="N343" s="221" t="s">
        <v>302</v>
      </c>
      <c r="O343" s="222" t="s">
        <v>15</v>
      </c>
      <c r="P343" s="222" t="s">
        <v>15</v>
      </c>
      <c r="Q343" s="222" t="s">
        <v>15</v>
      </c>
      <c r="R343" s="222" t="s">
        <v>302</v>
      </c>
      <c r="S343" s="222" t="s">
        <v>302</v>
      </c>
      <c r="T343" s="222" t="s">
        <v>302</v>
      </c>
      <c r="U343" s="222" t="s">
        <v>302</v>
      </c>
      <c r="V343" s="222" t="s">
        <v>302</v>
      </c>
      <c r="W343" s="223" t="s">
        <v>302</v>
      </c>
      <c r="X343" s="223" t="s">
        <v>302</v>
      </c>
      <c r="Y343" s="224" t="s">
        <v>302</v>
      </c>
    </row>
    <row r="344" spans="1:25">
      <c r="A344" s="216">
        <v>6</v>
      </c>
      <c r="B344" s="217" t="str">
        <f>VLOOKUP(Tabel10[[#This Row],[Code]],Ruimtegroepen[[Code]:[Ruimte omschrijving]],2,FALSE)</f>
        <v>Gangen/hallen</v>
      </c>
      <c r="C344" s="218" t="s">
        <v>582</v>
      </c>
      <c r="D344" s="217" t="s">
        <v>27</v>
      </c>
      <c r="E344" s="219" t="s">
        <v>100</v>
      </c>
      <c r="F344" s="218" t="s">
        <v>584</v>
      </c>
      <c r="G344" s="263" t="s">
        <v>302</v>
      </c>
      <c r="H344" s="221" t="s">
        <v>15</v>
      </c>
      <c r="I344" s="220" t="s">
        <v>302</v>
      </c>
      <c r="J344" s="221" t="s">
        <v>302</v>
      </c>
      <c r="K344" s="221" t="s">
        <v>302</v>
      </c>
      <c r="L344" s="220" t="s">
        <v>302</v>
      </c>
      <c r="M344" s="220" t="s">
        <v>302</v>
      </c>
      <c r="N344" s="221" t="s">
        <v>302</v>
      </c>
      <c r="O344" s="222" t="s">
        <v>15</v>
      </c>
      <c r="P344" s="222" t="s">
        <v>15</v>
      </c>
      <c r="Q344" s="222" t="s">
        <v>15</v>
      </c>
      <c r="R344" s="222" t="s">
        <v>302</v>
      </c>
      <c r="S344" s="222" t="s">
        <v>302</v>
      </c>
      <c r="T344" s="222" t="s">
        <v>302</v>
      </c>
      <c r="U344" s="222" t="s">
        <v>302</v>
      </c>
      <c r="V344" s="222" t="s">
        <v>302</v>
      </c>
      <c r="W344" s="223" t="s">
        <v>302</v>
      </c>
      <c r="X344" s="223" t="s">
        <v>302</v>
      </c>
      <c r="Y344" s="224" t="s">
        <v>302</v>
      </c>
    </row>
    <row r="345" spans="1:25">
      <c r="A345" s="216">
        <v>6</v>
      </c>
      <c r="B345" s="217" t="str">
        <f>VLOOKUP(Tabel10[[#This Row],[Code]],Ruimtegroepen[[Code]:[Ruimte omschrijving]],2,FALSE)</f>
        <v>Gangen/hallen</v>
      </c>
      <c r="C345" s="218" t="s">
        <v>582</v>
      </c>
      <c r="D345" s="217" t="s">
        <v>27</v>
      </c>
      <c r="E345" s="219" t="s">
        <v>1325</v>
      </c>
      <c r="F345" s="218" t="s">
        <v>1395</v>
      </c>
      <c r="G345" s="263" t="s">
        <v>302</v>
      </c>
      <c r="H345" s="220" t="s">
        <v>302</v>
      </c>
      <c r="I345" s="221" t="s">
        <v>15</v>
      </c>
      <c r="J345" s="221" t="s">
        <v>302</v>
      </c>
      <c r="K345" s="221" t="s">
        <v>302</v>
      </c>
      <c r="L345" s="220" t="s">
        <v>302</v>
      </c>
      <c r="M345" s="220" t="s">
        <v>302</v>
      </c>
      <c r="N345" s="221" t="s">
        <v>302</v>
      </c>
      <c r="O345" s="222" t="s">
        <v>15</v>
      </c>
      <c r="P345" s="222" t="s">
        <v>15</v>
      </c>
      <c r="Q345" s="222" t="s">
        <v>15</v>
      </c>
      <c r="R345" s="222" t="s">
        <v>302</v>
      </c>
      <c r="S345" s="222" t="s">
        <v>302</v>
      </c>
      <c r="T345" s="222" t="s">
        <v>302</v>
      </c>
      <c r="U345" s="222" t="s">
        <v>302</v>
      </c>
      <c r="V345" s="222" t="s">
        <v>302</v>
      </c>
      <c r="W345" s="223" t="s">
        <v>302</v>
      </c>
      <c r="X345" s="223" t="s">
        <v>302</v>
      </c>
      <c r="Y345" s="224" t="s">
        <v>302</v>
      </c>
    </row>
    <row r="346" spans="1:25">
      <c r="A346" s="216">
        <v>6</v>
      </c>
      <c r="B346" s="217" t="str">
        <f>VLOOKUP(Tabel10[[#This Row],[Code]],Ruimtegroepen[[Code]:[Ruimte omschrijving]],2,FALSE)</f>
        <v>Gangen/hallen</v>
      </c>
      <c r="C346" s="218" t="s">
        <v>587</v>
      </c>
      <c r="D346" s="217" t="s">
        <v>28</v>
      </c>
      <c r="E346" s="219" t="s">
        <v>101</v>
      </c>
      <c r="F346" s="218" t="s">
        <v>588</v>
      </c>
      <c r="G346" s="263" t="s">
        <v>302</v>
      </c>
      <c r="H346" s="220" t="s">
        <v>302</v>
      </c>
      <c r="I346" s="221" t="s">
        <v>17</v>
      </c>
      <c r="J346" s="220" t="s">
        <v>302</v>
      </c>
      <c r="K346" s="221" t="s">
        <v>302</v>
      </c>
      <c r="L346" s="220" t="s">
        <v>302</v>
      </c>
      <c r="M346" s="220" t="s">
        <v>302</v>
      </c>
      <c r="N346" s="221" t="s">
        <v>302</v>
      </c>
      <c r="O346" s="222" t="s">
        <v>17</v>
      </c>
      <c r="P346" s="222" t="s">
        <v>17</v>
      </c>
      <c r="Q346" s="222" t="s">
        <v>15</v>
      </c>
      <c r="R346" s="222" t="s">
        <v>302</v>
      </c>
      <c r="S346" s="222" t="s">
        <v>302</v>
      </c>
      <c r="T346" s="222" t="s">
        <v>302</v>
      </c>
      <c r="U346" s="222" t="s">
        <v>302</v>
      </c>
      <c r="V346" s="222" t="s">
        <v>302</v>
      </c>
      <c r="W346" s="223" t="s">
        <v>302</v>
      </c>
      <c r="X346" s="223" t="s">
        <v>302</v>
      </c>
      <c r="Y346" s="224" t="s">
        <v>302</v>
      </c>
    </row>
    <row r="347" spans="1:25">
      <c r="A347" s="216">
        <v>6</v>
      </c>
      <c r="B347" s="217" t="str">
        <f>VLOOKUP(Tabel10[[#This Row],[Code]],Ruimtegroepen[[Code]:[Ruimte omschrijving]],2,FALSE)</f>
        <v>Gangen/hallen</v>
      </c>
      <c r="C347" s="218" t="s">
        <v>587</v>
      </c>
      <c r="D347" s="217" t="s">
        <v>28</v>
      </c>
      <c r="E347" s="219" t="s">
        <v>100</v>
      </c>
      <c r="F347" s="218" t="s">
        <v>589</v>
      </c>
      <c r="G347" s="263" t="s">
        <v>302</v>
      </c>
      <c r="H347" s="221" t="s">
        <v>17</v>
      </c>
      <c r="I347" s="220" t="s">
        <v>302</v>
      </c>
      <c r="J347" s="221" t="s">
        <v>302</v>
      </c>
      <c r="K347" s="221" t="s">
        <v>302</v>
      </c>
      <c r="L347" s="220" t="s">
        <v>302</v>
      </c>
      <c r="M347" s="220" t="s">
        <v>302</v>
      </c>
      <c r="N347" s="221" t="s">
        <v>302</v>
      </c>
      <c r="O347" s="222" t="s">
        <v>17</v>
      </c>
      <c r="P347" s="222" t="s">
        <v>17</v>
      </c>
      <c r="Q347" s="222" t="s">
        <v>15</v>
      </c>
      <c r="R347" s="222" t="s">
        <v>302</v>
      </c>
      <c r="S347" s="222" t="s">
        <v>302</v>
      </c>
      <c r="T347" s="222" t="s">
        <v>302</v>
      </c>
      <c r="U347" s="222" t="s">
        <v>302</v>
      </c>
      <c r="V347" s="222" t="s">
        <v>302</v>
      </c>
      <c r="W347" s="223" t="s">
        <v>302</v>
      </c>
      <c r="X347" s="223" t="s">
        <v>302</v>
      </c>
      <c r="Y347" s="224" t="s">
        <v>302</v>
      </c>
    </row>
    <row r="348" spans="1:25">
      <c r="A348" s="216">
        <v>6</v>
      </c>
      <c r="B348" s="217" t="str">
        <f>VLOOKUP(Tabel10[[#This Row],[Code]],Ruimtegroepen[[Code]:[Ruimte omschrijving]],2,FALSE)</f>
        <v>Gangen/hallen</v>
      </c>
      <c r="C348" s="218" t="s">
        <v>587</v>
      </c>
      <c r="D348" s="217" t="s">
        <v>28</v>
      </c>
      <c r="E348" s="219" t="s">
        <v>102</v>
      </c>
      <c r="F348" s="218" t="s">
        <v>590</v>
      </c>
      <c r="G348" s="263" t="s">
        <v>302</v>
      </c>
      <c r="H348" s="220" t="s">
        <v>302</v>
      </c>
      <c r="I348" s="221" t="s">
        <v>17</v>
      </c>
      <c r="J348" s="221" t="s">
        <v>302</v>
      </c>
      <c r="K348" s="221" t="s">
        <v>302</v>
      </c>
      <c r="L348" s="220" t="s">
        <v>302</v>
      </c>
      <c r="M348" s="220" t="s">
        <v>302</v>
      </c>
      <c r="N348" s="221" t="s">
        <v>302</v>
      </c>
      <c r="O348" s="222" t="s">
        <v>17</v>
      </c>
      <c r="P348" s="222" t="s">
        <v>17</v>
      </c>
      <c r="Q348" s="222" t="s">
        <v>15</v>
      </c>
      <c r="R348" s="222" t="s">
        <v>302</v>
      </c>
      <c r="S348" s="222" t="s">
        <v>302</v>
      </c>
      <c r="T348" s="222" t="s">
        <v>302</v>
      </c>
      <c r="U348" s="222" t="s">
        <v>302</v>
      </c>
      <c r="V348" s="222" t="s">
        <v>302</v>
      </c>
      <c r="W348" s="223" t="s">
        <v>302</v>
      </c>
      <c r="X348" s="223" t="s">
        <v>302</v>
      </c>
      <c r="Y348" s="224" t="s">
        <v>302</v>
      </c>
    </row>
    <row r="349" spans="1:25">
      <c r="A349" s="216">
        <v>6</v>
      </c>
      <c r="B349" s="217" t="str">
        <f>VLOOKUP(Tabel10[[#This Row],[Code]],Ruimtegroepen[[Code]:[Ruimte omschrijving]],2,FALSE)</f>
        <v>Gangen/hallen</v>
      </c>
      <c r="C349" s="218" t="s">
        <v>587</v>
      </c>
      <c r="D349" s="217" t="s">
        <v>28</v>
      </c>
      <c r="E349" s="219" t="s">
        <v>103</v>
      </c>
      <c r="F349" s="218" t="s">
        <v>591</v>
      </c>
      <c r="G349" s="263" t="s">
        <v>302</v>
      </c>
      <c r="H349" s="220" t="s">
        <v>302</v>
      </c>
      <c r="I349" s="221" t="s">
        <v>17</v>
      </c>
      <c r="J349" s="221" t="s">
        <v>302</v>
      </c>
      <c r="K349" s="221" t="s">
        <v>302</v>
      </c>
      <c r="L349" s="220" t="s">
        <v>302</v>
      </c>
      <c r="M349" s="220" t="s">
        <v>302</v>
      </c>
      <c r="N349" s="221" t="s">
        <v>302</v>
      </c>
      <c r="O349" s="222" t="s">
        <v>17</v>
      </c>
      <c r="P349" s="222" t="s">
        <v>17</v>
      </c>
      <c r="Q349" s="222" t="s">
        <v>15</v>
      </c>
      <c r="R349" s="222" t="s">
        <v>302</v>
      </c>
      <c r="S349" s="222" t="s">
        <v>302</v>
      </c>
      <c r="T349" s="222" t="s">
        <v>302</v>
      </c>
      <c r="U349" s="222" t="s">
        <v>302</v>
      </c>
      <c r="V349" s="222" t="s">
        <v>302</v>
      </c>
      <c r="W349" s="223" t="s">
        <v>302</v>
      </c>
      <c r="X349" s="223" t="s">
        <v>302</v>
      </c>
      <c r="Y349" s="224" t="s">
        <v>302</v>
      </c>
    </row>
    <row r="350" spans="1:25">
      <c r="A350" s="216">
        <v>6</v>
      </c>
      <c r="B350" s="217" t="str">
        <f>VLOOKUP(Tabel10[[#This Row],[Code]],Ruimtegroepen[[Code]:[Ruimte omschrijving]],2,FALSE)</f>
        <v>Gangen/hallen</v>
      </c>
      <c r="C350" s="218" t="s">
        <v>587</v>
      </c>
      <c r="D350" s="217" t="s">
        <v>28</v>
      </c>
      <c r="E350" s="219" t="s">
        <v>100</v>
      </c>
      <c r="F350" s="218" t="s">
        <v>589</v>
      </c>
      <c r="G350" s="263" t="s">
        <v>302</v>
      </c>
      <c r="H350" s="221" t="s">
        <v>17</v>
      </c>
      <c r="I350" s="220" t="s">
        <v>302</v>
      </c>
      <c r="J350" s="221" t="s">
        <v>302</v>
      </c>
      <c r="K350" s="221" t="s">
        <v>302</v>
      </c>
      <c r="L350" s="220" t="s">
        <v>302</v>
      </c>
      <c r="M350" s="220" t="s">
        <v>302</v>
      </c>
      <c r="N350" s="221" t="s">
        <v>302</v>
      </c>
      <c r="O350" s="222" t="s">
        <v>17</v>
      </c>
      <c r="P350" s="222" t="s">
        <v>17</v>
      </c>
      <c r="Q350" s="222" t="s">
        <v>15</v>
      </c>
      <c r="R350" s="222" t="s">
        <v>302</v>
      </c>
      <c r="S350" s="222" t="s">
        <v>302</v>
      </c>
      <c r="T350" s="222" t="s">
        <v>302</v>
      </c>
      <c r="U350" s="222" t="s">
        <v>302</v>
      </c>
      <c r="V350" s="222" t="s">
        <v>302</v>
      </c>
      <c r="W350" s="223" t="s">
        <v>302</v>
      </c>
      <c r="X350" s="223" t="s">
        <v>302</v>
      </c>
      <c r="Y350" s="224" t="s">
        <v>302</v>
      </c>
    </row>
    <row r="351" spans="1:25">
      <c r="A351" s="216">
        <v>6</v>
      </c>
      <c r="B351" s="217" t="str">
        <f>VLOOKUP(Tabel10[[#This Row],[Code]],Ruimtegroepen[[Code]:[Ruimte omschrijving]],2,FALSE)</f>
        <v>Gangen/hallen</v>
      </c>
      <c r="C351" s="218" t="s">
        <v>587</v>
      </c>
      <c r="D351" s="217" t="s">
        <v>28</v>
      </c>
      <c r="E351" s="219" t="s">
        <v>1325</v>
      </c>
      <c r="F351" s="218" t="s">
        <v>1428</v>
      </c>
      <c r="G351" s="263" t="s">
        <v>302</v>
      </c>
      <c r="H351" s="220" t="s">
        <v>302</v>
      </c>
      <c r="I351" s="221" t="s">
        <v>17</v>
      </c>
      <c r="J351" s="221" t="s">
        <v>302</v>
      </c>
      <c r="K351" s="221" t="s">
        <v>302</v>
      </c>
      <c r="L351" s="220" t="s">
        <v>302</v>
      </c>
      <c r="M351" s="220" t="s">
        <v>302</v>
      </c>
      <c r="N351" s="221" t="s">
        <v>302</v>
      </c>
      <c r="O351" s="222" t="s">
        <v>17</v>
      </c>
      <c r="P351" s="222" t="s">
        <v>17</v>
      </c>
      <c r="Q351" s="222" t="s">
        <v>15</v>
      </c>
      <c r="R351" s="222" t="s">
        <v>302</v>
      </c>
      <c r="S351" s="222" t="s">
        <v>302</v>
      </c>
      <c r="T351" s="222" t="s">
        <v>302</v>
      </c>
      <c r="U351" s="222" t="s">
        <v>302</v>
      </c>
      <c r="V351" s="222" t="s">
        <v>302</v>
      </c>
      <c r="W351" s="223" t="s">
        <v>302</v>
      </c>
      <c r="X351" s="223" t="s">
        <v>302</v>
      </c>
      <c r="Y351" s="224" t="s">
        <v>302</v>
      </c>
    </row>
    <row r="352" spans="1:25">
      <c r="A352" s="216">
        <v>7</v>
      </c>
      <c r="B352" s="217" t="str">
        <f>VLOOKUP(Tabel10[[#This Row],[Code]],Ruimtegroepen[[Code]:[Ruimte omschrijving]],2,FALSE)</f>
        <v>Entree</v>
      </c>
      <c r="C352" s="218" t="s">
        <v>592</v>
      </c>
      <c r="D352" s="217" t="s">
        <v>29</v>
      </c>
      <c r="E352" s="219" t="s">
        <v>101</v>
      </c>
      <c r="F352" s="218" t="s">
        <v>593</v>
      </c>
      <c r="G352" s="263" t="s">
        <v>302</v>
      </c>
      <c r="H352" s="220" t="s">
        <v>302</v>
      </c>
      <c r="I352" s="220" t="s">
        <v>302</v>
      </c>
      <c r="J352" s="220" t="s">
        <v>2</v>
      </c>
      <c r="K352" s="220" t="s">
        <v>302</v>
      </c>
      <c r="L352" s="220" t="s">
        <v>302</v>
      </c>
      <c r="M352" s="220" t="s">
        <v>302</v>
      </c>
      <c r="N352" s="221" t="s">
        <v>2</v>
      </c>
      <c r="O352" s="222" t="s">
        <v>2</v>
      </c>
      <c r="P352" s="222" t="s">
        <v>2</v>
      </c>
      <c r="Q352" s="222" t="s">
        <v>15</v>
      </c>
      <c r="R352" s="222" t="s">
        <v>15</v>
      </c>
      <c r="S352" s="222" t="s">
        <v>16</v>
      </c>
      <c r="T352" s="222" t="s">
        <v>349</v>
      </c>
      <c r="U352" s="222" t="s">
        <v>269</v>
      </c>
      <c r="V352" s="222" t="s">
        <v>2</v>
      </c>
      <c r="W352" s="223" t="s">
        <v>302</v>
      </c>
      <c r="X352" s="223" t="s">
        <v>302</v>
      </c>
      <c r="Y352" s="224" t="s">
        <v>302</v>
      </c>
    </row>
    <row r="353" spans="1:25">
      <c r="A353" s="216">
        <v>7</v>
      </c>
      <c r="B353" s="217" t="str">
        <f>VLOOKUP(Tabel10[[#This Row],[Code]],Ruimtegroepen[[Code]:[Ruimte omschrijving]],2,FALSE)</f>
        <v>Entree</v>
      </c>
      <c r="C353" s="218" t="s">
        <v>592</v>
      </c>
      <c r="D353" s="217" t="s">
        <v>29</v>
      </c>
      <c r="E353" s="219" t="s">
        <v>100</v>
      </c>
      <c r="F353" s="218" t="s">
        <v>594</v>
      </c>
      <c r="G353" s="263" t="s">
        <v>302</v>
      </c>
      <c r="H353" s="220" t="s">
        <v>2</v>
      </c>
      <c r="I353" s="220" t="s">
        <v>302</v>
      </c>
      <c r="J353" s="221" t="s">
        <v>302</v>
      </c>
      <c r="K353" s="221" t="s">
        <v>302</v>
      </c>
      <c r="L353" s="220" t="s">
        <v>302</v>
      </c>
      <c r="M353" s="220" t="s">
        <v>302</v>
      </c>
      <c r="N353" s="221" t="s">
        <v>2</v>
      </c>
      <c r="O353" s="222" t="s">
        <v>2</v>
      </c>
      <c r="P353" s="222" t="s">
        <v>2</v>
      </c>
      <c r="Q353" s="222" t="s">
        <v>15</v>
      </c>
      <c r="R353" s="222" t="s">
        <v>15</v>
      </c>
      <c r="S353" s="222" t="s">
        <v>16</v>
      </c>
      <c r="T353" s="222" t="s">
        <v>349</v>
      </c>
      <c r="U353" s="222" t="s">
        <v>269</v>
      </c>
      <c r="V353" s="222" t="s">
        <v>2</v>
      </c>
      <c r="W353" s="223" t="s">
        <v>302</v>
      </c>
      <c r="X353" s="223" t="s">
        <v>302</v>
      </c>
      <c r="Y353" s="224" t="s">
        <v>302</v>
      </c>
    </row>
    <row r="354" spans="1:25">
      <c r="A354" s="216">
        <v>7</v>
      </c>
      <c r="B354" s="217" t="str">
        <f>VLOOKUP(Tabel10[[#This Row],[Code]],Ruimtegroepen[[Code]:[Ruimte omschrijving]],2,FALSE)</f>
        <v>Entree</v>
      </c>
      <c r="C354" s="218" t="s">
        <v>592</v>
      </c>
      <c r="D354" s="217" t="s">
        <v>29</v>
      </c>
      <c r="E354" s="219" t="s">
        <v>102</v>
      </c>
      <c r="F354" s="218" t="s">
        <v>595</v>
      </c>
      <c r="G354" s="263" t="s">
        <v>302</v>
      </c>
      <c r="H354" s="220" t="s">
        <v>302</v>
      </c>
      <c r="I354" s="220" t="s">
        <v>2</v>
      </c>
      <c r="J354" s="221" t="s">
        <v>302</v>
      </c>
      <c r="K354" s="220" t="s">
        <v>2</v>
      </c>
      <c r="L354" s="220" t="s">
        <v>302</v>
      </c>
      <c r="M354" s="220" t="s">
        <v>302</v>
      </c>
      <c r="N354" s="221" t="s">
        <v>2</v>
      </c>
      <c r="O354" s="222" t="s">
        <v>2</v>
      </c>
      <c r="P354" s="222" t="s">
        <v>2</v>
      </c>
      <c r="Q354" s="222" t="s">
        <v>15</v>
      </c>
      <c r="R354" s="222" t="s">
        <v>15</v>
      </c>
      <c r="S354" s="222" t="s">
        <v>16</v>
      </c>
      <c r="T354" s="222" t="s">
        <v>349</v>
      </c>
      <c r="U354" s="222" t="s">
        <v>269</v>
      </c>
      <c r="V354" s="222" t="s">
        <v>2</v>
      </c>
      <c r="W354" s="223" t="s">
        <v>302</v>
      </c>
      <c r="X354" s="223" t="s">
        <v>302</v>
      </c>
      <c r="Y354" s="224" t="s">
        <v>302</v>
      </c>
    </row>
    <row r="355" spans="1:25">
      <c r="A355" s="216">
        <v>7</v>
      </c>
      <c r="B355" s="217" t="str">
        <f>VLOOKUP(Tabel10[[#This Row],[Code]],Ruimtegroepen[[Code]:[Ruimte omschrijving]],2,FALSE)</f>
        <v>Entree</v>
      </c>
      <c r="C355" s="218" t="s">
        <v>592</v>
      </c>
      <c r="D355" s="217" t="s">
        <v>29</v>
      </c>
      <c r="E355" s="219" t="s">
        <v>103</v>
      </c>
      <c r="F355" s="218" t="s">
        <v>596</v>
      </c>
      <c r="G355" s="263" t="s">
        <v>302</v>
      </c>
      <c r="H355" s="220" t="s">
        <v>302</v>
      </c>
      <c r="I355" s="220" t="s">
        <v>2</v>
      </c>
      <c r="J355" s="221" t="s">
        <v>302</v>
      </c>
      <c r="K355" s="221" t="s">
        <v>2</v>
      </c>
      <c r="L355" s="220" t="s">
        <v>302</v>
      </c>
      <c r="M355" s="220" t="s">
        <v>302</v>
      </c>
      <c r="N355" s="221" t="s">
        <v>2</v>
      </c>
      <c r="O355" s="222" t="s">
        <v>2</v>
      </c>
      <c r="P355" s="222" t="s">
        <v>2</v>
      </c>
      <c r="Q355" s="222" t="s">
        <v>15</v>
      </c>
      <c r="R355" s="222" t="s">
        <v>15</v>
      </c>
      <c r="S355" s="222" t="s">
        <v>16</v>
      </c>
      <c r="T355" s="222" t="s">
        <v>349</v>
      </c>
      <c r="U355" s="222" t="s">
        <v>269</v>
      </c>
      <c r="V355" s="222" t="s">
        <v>2</v>
      </c>
      <c r="W355" s="223" t="s">
        <v>302</v>
      </c>
      <c r="X355" s="223" t="s">
        <v>302</v>
      </c>
      <c r="Y355" s="224" t="s">
        <v>302</v>
      </c>
    </row>
    <row r="356" spans="1:25">
      <c r="A356" s="216">
        <v>7</v>
      </c>
      <c r="B356" s="217" t="str">
        <f>VLOOKUP(Tabel10[[#This Row],[Code]],Ruimtegroepen[[Code]:[Ruimte omschrijving]],2,FALSE)</f>
        <v>Entree</v>
      </c>
      <c r="C356" s="218" t="s">
        <v>592</v>
      </c>
      <c r="D356" s="217" t="s">
        <v>29</v>
      </c>
      <c r="E356" s="219" t="s">
        <v>100</v>
      </c>
      <c r="F356" s="218" t="s">
        <v>594</v>
      </c>
      <c r="G356" s="263" t="s">
        <v>302</v>
      </c>
      <c r="H356" s="221" t="s">
        <v>2</v>
      </c>
      <c r="I356" s="220" t="s">
        <v>302</v>
      </c>
      <c r="J356" s="221" t="s">
        <v>302</v>
      </c>
      <c r="K356" s="221" t="s">
        <v>302</v>
      </c>
      <c r="L356" s="220" t="s">
        <v>302</v>
      </c>
      <c r="M356" s="220" t="s">
        <v>302</v>
      </c>
      <c r="N356" s="221" t="s">
        <v>2</v>
      </c>
      <c r="O356" s="222" t="s">
        <v>2</v>
      </c>
      <c r="P356" s="222" t="s">
        <v>2</v>
      </c>
      <c r="Q356" s="222" t="s">
        <v>15</v>
      </c>
      <c r="R356" s="222" t="s">
        <v>15</v>
      </c>
      <c r="S356" s="222" t="s">
        <v>16</v>
      </c>
      <c r="T356" s="222" t="s">
        <v>349</v>
      </c>
      <c r="U356" s="222" t="s">
        <v>269</v>
      </c>
      <c r="V356" s="222" t="s">
        <v>2</v>
      </c>
      <c r="W356" s="223" t="s">
        <v>302</v>
      </c>
      <c r="X356" s="223" t="s">
        <v>302</v>
      </c>
      <c r="Y356" s="224" t="s">
        <v>302</v>
      </c>
    </row>
    <row r="357" spans="1:25">
      <c r="A357" s="216">
        <v>7</v>
      </c>
      <c r="B357" s="217" t="str">
        <f>VLOOKUP(Tabel10[[#This Row],[Code]],Ruimtegroepen[[Code]:[Ruimte omschrijving]],2,FALSE)</f>
        <v>Entree</v>
      </c>
      <c r="C357" s="218" t="s">
        <v>592</v>
      </c>
      <c r="D357" s="217" t="s">
        <v>29</v>
      </c>
      <c r="E357" s="219" t="s">
        <v>1325</v>
      </c>
      <c r="F357" s="218" t="s">
        <v>1496</v>
      </c>
      <c r="G357" s="263" t="s">
        <v>302</v>
      </c>
      <c r="H357" s="220" t="s">
        <v>302</v>
      </c>
      <c r="I357" s="220" t="s">
        <v>2</v>
      </c>
      <c r="J357" s="221" t="s">
        <v>302</v>
      </c>
      <c r="K357" s="221" t="s">
        <v>2</v>
      </c>
      <c r="L357" s="220" t="s">
        <v>302</v>
      </c>
      <c r="M357" s="220" t="s">
        <v>302</v>
      </c>
      <c r="N357" s="221" t="s">
        <v>2</v>
      </c>
      <c r="O357" s="222" t="s">
        <v>2</v>
      </c>
      <c r="P357" s="222" t="s">
        <v>2</v>
      </c>
      <c r="Q357" s="222" t="s">
        <v>15</v>
      </c>
      <c r="R357" s="222" t="s">
        <v>15</v>
      </c>
      <c r="S357" s="222" t="s">
        <v>16</v>
      </c>
      <c r="T357" s="222" t="s">
        <v>349</v>
      </c>
      <c r="U357" s="222" t="s">
        <v>269</v>
      </c>
      <c r="V357" s="222" t="s">
        <v>2</v>
      </c>
      <c r="W357" s="223" t="s">
        <v>302</v>
      </c>
      <c r="X357" s="223" t="s">
        <v>302</v>
      </c>
      <c r="Y357" s="224" t="s">
        <v>302</v>
      </c>
    </row>
    <row r="358" spans="1:25">
      <c r="A358" s="216">
        <v>7</v>
      </c>
      <c r="B358" s="217" t="str">
        <f>VLOOKUP(Tabel10[[#This Row],[Code]],Ruimtegroepen[[Code]:[Ruimte omschrijving]],2,FALSE)</f>
        <v>Entree</v>
      </c>
      <c r="C358" s="218" t="s">
        <v>597</v>
      </c>
      <c r="D358" s="217" t="s">
        <v>1</v>
      </c>
      <c r="E358" s="219" t="s">
        <v>101</v>
      </c>
      <c r="F358" s="218" t="s">
        <v>598</v>
      </c>
      <c r="G358" s="263" t="s">
        <v>302</v>
      </c>
      <c r="H358" s="220" t="s">
        <v>302</v>
      </c>
      <c r="I358" s="220" t="s">
        <v>302</v>
      </c>
      <c r="J358" s="220" t="s">
        <v>2</v>
      </c>
      <c r="K358" s="220" t="s">
        <v>302</v>
      </c>
      <c r="L358" s="220" t="s">
        <v>302</v>
      </c>
      <c r="M358" s="220" t="s">
        <v>302</v>
      </c>
      <c r="N358" s="221" t="s">
        <v>302</v>
      </c>
      <c r="O358" s="222" t="s">
        <v>2</v>
      </c>
      <c r="P358" s="222" t="s">
        <v>2</v>
      </c>
      <c r="Q358" s="222" t="s">
        <v>15</v>
      </c>
      <c r="R358" s="222" t="s">
        <v>15</v>
      </c>
      <c r="S358" s="222" t="s">
        <v>16</v>
      </c>
      <c r="T358" s="222" t="s">
        <v>349</v>
      </c>
      <c r="U358" s="222" t="s">
        <v>269</v>
      </c>
      <c r="V358" s="222" t="s">
        <v>302</v>
      </c>
      <c r="W358" s="223" t="s">
        <v>302</v>
      </c>
      <c r="X358" s="223" t="s">
        <v>302</v>
      </c>
      <c r="Y358" s="224" t="s">
        <v>302</v>
      </c>
    </row>
    <row r="359" spans="1:25">
      <c r="A359" s="216">
        <v>7</v>
      </c>
      <c r="B359" s="217" t="str">
        <f>VLOOKUP(Tabel10[[#This Row],[Code]],Ruimtegroepen[[Code]:[Ruimte omschrijving]],2,FALSE)</f>
        <v>Entree</v>
      </c>
      <c r="C359" s="218" t="s">
        <v>597</v>
      </c>
      <c r="D359" s="217" t="s">
        <v>1</v>
      </c>
      <c r="E359" s="219" t="s">
        <v>100</v>
      </c>
      <c r="F359" s="218" t="s">
        <v>599</v>
      </c>
      <c r="G359" s="263" t="s">
        <v>302</v>
      </c>
      <c r="H359" s="220" t="s">
        <v>2</v>
      </c>
      <c r="I359" s="220" t="s">
        <v>302</v>
      </c>
      <c r="J359" s="221" t="s">
        <v>302</v>
      </c>
      <c r="K359" s="221" t="s">
        <v>302</v>
      </c>
      <c r="L359" s="220" t="s">
        <v>302</v>
      </c>
      <c r="M359" s="220" t="s">
        <v>302</v>
      </c>
      <c r="N359" s="221" t="s">
        <v>302</v>
      </c>
      <c r="O359" s="222" t="s">
        <v>2</v>
      </c>
      <c r="P359" s="222" t="s">
        <v>2</v>
      </c>
      <c r="Q359" s="222" t="s">
        <v>15</v>
      </c>
      <c r="R359" s="222" t="s">
        <v>15</v>
      </c>
      <c r="S359" s="222" t="s">
        <v>16</v>
      </c>
      <c r="T359" s="222" t="s">
        <v>349</v>
      </c>
      <c r="U359" s="222" t="s">
        <v>269</v>
      </c>
      <c r="V359" s="222" t="s">
        <v>302</v>
      </c>
      <c r="W359" s="223" t="s">
        <v>302</v>
      </c>
      <c r="X359" s="223" t="s">
        <v>302</v>
      </c>
      <c r="Y359" s="224" t="s">
        <v>302</v>
      </c>
    </row>
    <row r="360" spans="1:25">
      <c r="A360" s="216">
        <v>7</v>
      </c>
      <c r="B360" s="217" t="str">
        <f>VLOOKUP(Tabel10[[#This Row],[Code]],Ruimtegroepen[[Code]:[Ruimte omschrijving]],2,FALSE)</f>
        <v>Entree</v>
      </c>
      <c r="C360" s="218" t="s">
        <v>597</v>
      </c>
      <c r="D360" s="217" t="s">
        <v>1</v>
      </c>
      <c r="E360" s="219" t="s">
        <v>102</v>
      </c>
      <c r="F360" s="218" t="s">
        <v>600</v>
      </c>
      <c r="G360" s="263" t="s">
        <v>302</v>
      </c>
      <c r="H360" s="220" t="s">
        <v>302</v>
      </c>
      <c r="I360" s="220" t="s">
        <v>2</v>
      </c>
      <c r="J360" s="221" t="s">
        <v>302</v>
      </c>
      <c r="K360" s="220" t="s">
        <v>2</v>
      </c>
      <c r="L360" s="220" t="s">
        <v>302</v>
      </c>
      <c r="M360" s="220" t="s">
        <v>302</v>
      </c>
      <c r="N360" s="221" t="s">
        <v>302</v>
      </c>
      <c r="O360" s="222" t="s">
        <v>2</v>
      </c>
      <c r="P360" s="222" t="s">
        <v>2</v>
      </c>
      <c r="Q360" s="222" t="s">
        <v>15</v>
      </c>
      <c r="R360" s="222" t="s">
        <v>15</v>
      </c>
      <c r="S360" s="222" t="s">
        <v>16</v>
      </c>
      <c r="T360" s="222" t="s">
        <v>349</v>
      </c>
      <c r="U360" s="222" t="s">
        <v>269</v>
      </c>
      <c r="V360" s="222" t="s">
        <v>302</v>
      </c>
      <c r="W360" s="223" t="s">
        <v>302</v>
      </c>
      <c r="X360" s="223" t="s">
        <v>302</v>
      </c>
      <c r="Y360" s="224" t="s">
        <v>302</v>
      </c>
    </row>
    <row r="361" spans="1:25">
      <c r="A361" s="216">
        <v>7</v>
      </c>
      <c r="B361" s="217" t="str">
        <f>VLOOKUP(Tabel10[[#This Row],[Code]],Ruimtegroepen[[Code]:[Ruimte omschrijving]],2,FALSE)</f>
        <v>Entree</v>
      </c>
      <c r="C361" s="218" t="s">
        <v>597</v>
      </c>
      <c r="D361" s="217" t="s">
        <v>1</v>
      </c>
      <c r="E361" s="219" t="s">
        <v>103</v>
      </c>
      <c r="F361" s="218" t="s">
        <v>601</v>
      </c>
      <c r="G361" s="263" t="s">
        <v>302</v>
      </c>
      <c r="H361" s="220" t="s">
        <v>302</v>
      </c>
      <c r="I361" s="220" t="s">
        <v>2</v>
      </c>
      <c r="J361" s="221" t="s">
        <v>302</v>
      </c>
      <c r="K361" s="221" t="s">
        <v>2</v>
      </c>
      <c r="L361" s="220" t="s">
        <v>302</v>
      </c>
      <c r="M361" s="220" t="s">
        <v>302</v>
      </c>
      <c r="N361" s="221" t="s">
        <v>302</v>
      </c>
      <c r="O361" s="222" t="s">
        <v>2</v>
      </c>
      <c r="P361" s="222" t="s">
        <v>2</v>
      </c>
      <c r="Q361" s="222" t="s">
        <v>15</v>
      </c>
      <c r="R361" s="222" t="s">
        <v>15</v>
      </c>
      <c r="S361" s="222" t="s">
        <v>16</v>
      </c>
      <c r="T361" s="222" t="s">
        <v>349</v>
      </c>
      <c r="U361" s="222" t="s">
        <v>269</v>
      </c>
      <c r="V361" s="222" t="s">
        <v>302</v>
      </c>
      <c r="W361" s="223" t="s">
        <v>302</v>
      </c>
      <c r="X361" s="223" t="s">
        <v>302</v>
      </c>
      <c r="Y361" s="224" t="s">
        <v>302</v>
      </c>
    </row>
    <row r="362" spans="1:25">
      <c r="A362" s="216">
        <v>7</v>
      </c>
      <c r="B362" s="217" t="str">
        <f>VLOOKUP(Tabel10[[#This Row],[Code]],Ruimtegroepen[[Code]:[Ruimte omschrijving]],2,FALSE)</f>
        <v>Entree</v>
      </c>
      <c r="C362" s="218" t="s">
        <v>597</v>
      </c>
      <c r="D362" s="217" t="s">
        <v>1</v>
      </c>
      <c r="E362" s="219" t="s">
        <v>100</v>
      </c>
      <c r="F362" s="218" t="s">
        <v>599</v>
      </c>
      <c r="G362" s="263" t="s">
        <v>302</v>
      </c>
      <c r="H362" s="221" t="s">
        <v>2</v>
      </c>
      <c r="I362" s="220" t="s">
        <v>302</v>
      </c>
      <c r="J362" s="221" t="s">
        <v>302</v>
      </c>
      <c r="K362" s="221" t="s">
        <v>302</v>
      </c>
      <c r="L362" s="220" t="s">
        <v>302</v>
      </c>
      <c r="M362" s="220" t="s">
        <v>302</v>
      </c>
      <c r="N362" s="221" t="s">
        <v>302</v>
      </c>
      <c r="O362" s="222" t="s">
        <v>2</v>
      </c>
      <c r="P362" s="222" t="s">
        <v>2</v>
      </c>
      <c r="Q362" s="222" t="s">
        <v>15</v>
      </c>
      <c r="R362" s="222" t="s">
        <v>15</v>
      </c>
      <c r="S362" s="222" t="s">
        <v>16</v>
      </c>
      <c r="T362" s="222" t="s">
        <v>349</v>
      </c>
      <c r="U362" s="222" t="s">
        <v>269</v>
      </c>
      <c r="V362" s="222" t="s">
        <v>302</v>
      </c>
      <c r="W362" s="223" t="s">
        <v>302</v>
      </c>
      <c r="X362" s="223" t="s">
        <v>302</v>
      </c>
      <c r="Y362" s="224" t="s">
        <v>302</v>
      </c>
    </row>
    <row r="363" spans="1:25">
      <c r="A363" s="216">
        <v>7</v>
      </c>
      <c r="B363" s="217" t="str">
        <f>VLOOKUP(Tabel10[[#This Row],[Code]],Ruimtegroepen[[Code]:[Ruimte omschrijving]],2,FALSE)</f>
        <v>Entree</v>
      </c>
      <c r="C363" s="218" t="s">
        <v>597</v>
      </c>
      <c r="D363" s="217" t="s">
        <v>1</v>
      </c>
      <c r="E363" s="219" t="s">
        <v>1325</v>
      </c>
      <c r="F363" s="218" t="s">
        <v>1480</v>
      </c>
      <c r="G363" s="263" t="s">
        <v>302</v>
      </c>
      <c r="H363" s="220" t="s">
        <v>302</v>
      </c>
      <c r="I363" s="220" t="s">
        <v>2</v>
      </c>
      <c r="J363" s="221" t="s">
        <v>302</v>
      </c>
      <c r="K363" s="221" t="s">
        <v>2</v>
      </c>
      <c r="L363" s="220" t="s">
        <v>302</v>
      </c>
      <c r="M363" s="220" t="s">
        <v>302</v>
      </c>
      <c r="N363" s="221" t="s">
        <v>302</v>
      </c>
      <c r="O363" s="222" t="s">
        <v>2</v>
      </c>
      <c r="P363" s="222" t="s">
        <v>2</v>
      </c>
      <c r="Q363" s="222" t="s">
        <v>15</v>
      </c>
      <c r="R363" s="222" t="s">
        <v>15</v>
      </c>
      <c r="S363" s="222" t="s">
        <v>16</v>
      </c>
      <c r="T363" s="222" t="s">
        <v>349</v>
      </c>
      <c r="U363" s="222" t="s">
        <v>269</v>
      </c>
      <c r="V363" s="222" t="s">
        <v>302</v>
      </c>
      <c r="W363" s="223" t="s">
        <v>302</v>
      </c>
      <c r="X363" s="223" t="s">
        <v>302</v>
      </c>
      <c r="Y363" s="224" t="s">
        <v>302</v>
      </c>
    </row>
    <row r="364" spans="1:25">
      <c r="A364" s="216">
        <v>7</v>
      </c>
      <c r="B364" s="217" t="str">
        <f>VLOOKUP(Tabel10[[#This Row],[Code]],Ruimtegroepen[[Code]:[Ruimte omschrijving]],2,FALSE)</f>
        <v>Entree</v>
      </c>
      <c r="C364" s="218" t="s">
        <v>602</v>
      </c>
      <c r="D364" s="217" t="s">
        <v>21</v>
      </c>
      <c r="E364" s="219" t="s">
        <v>101</v>
      </c>
      <c r="F364" s="218" t="s">
        <v>603</v>
      </c>
      <c r="G364" s="263" t="s">
        <v>302</v>
      </c>
      <c r="H364" s="220" t="s">
        <v>302</v>
      </c>
      <c r="I364" s="220" t="s">
        <v>302</v>
      </c>
      <c r="J364" s="220" t="s">
        <v>20</v>
      </c>
      <c r="K364" s="220" t="s">
        <v>302</v>
      </c>
      <c r="L364" s="220" t="s">
        <v>302</v>
      </c>
      <c r="M364" s="220" t="s">
        <v>302</v>
      </c>
      <c r="N364" s="221" t="s">
        <v>302</v>
      </c>
      <c r="O364" s="222" t="s">
        <v>20</v>
      </c>
      <c r="P364" s="222" t="s">
        <v>20</v>
      </c>
      <c r="Q364" s="222" t="s">
        <v>15</v>
      </c>
      <c r="R364" s="222" t="s">
        <v>15</v>
      </c>
      <c r="S364" s="222" t="s">
        <v>16</v>
      </c>
      <c r="T364" s="222" t="s">
        <v>349</v>
      </c>
      <c r="U364" s="222" t="s">
        <v>269</v>
      </c>
      <c r="V364" s="222" t="s">
        <v>302</v>
      </c>
      <c r="W364" s="223" t="s">
        <v>302</v>
      </c>
      <c r="X364" s="223" t="s">
        <v>302</v>
      </c>
      <c r="Y364" s="224" t="s">
        <v>302</v>
      </c>
    </row>
    <row r="365" spans="1:25">
      <c r="A365" s="216">
        <v>7</v>
      </c>
      <c r="B365" s="217" t="str">
        <f>VLOOKUP(Tabel10[[#This Row],[Code]],Ruimtegroepen[[Code]:[Ruimte omschrijving]],2,FALSE)</f>
        <v>Entree</v>
      </c>
      <c r="C365" s="218" t="s">
        <v>602</v>
      </c>
      <c r="D365" s="217" t="s">
        <v>21</v>
      </c>
      <c r="E365" s="219" t="s">
        <v>100</v>
      </c>
      <c r="F365" s="218" t="s">
        <v>604</v>
      </c>
      <c r="G365" s="263" t="s">
        <v>302</v>
      </c>
      <c r="H365" s="220" t="s">
        <v>20</v>
      </c>
      <c r="I365" s="220" t="s">
        <v>302</v>
      </c>
      <c r="J365" s="221" t="s">
        <v>302</v>
      </c>
      <c r="K365" s="221" t="s">
        <v>302</v>
      </c>
      <c r="L365" s="220" t="s">
        <v>302</v>
      </c>
      <c r="M365" s="220" t="s">
        <v>302</v>
      </c>
      <c r="N365" s="221" t="s">
        <v>302</v>
      </c>
      <c r="O365" s="222" t="s">
        <v>20</v>
      </c>
      <c r="P365" s="222" t="s">
        <v>20</v>
      </c>
      <c r="Q365" s="222" t="s">
        <v>15</v>
      </c>
      <c r="R365" s="222" t="s">
        <v>15</v>
      </c>
      <c r="S365" s="222" t="s">
        <v>16</v>
      </c>
      <c r="T365" s="222" t="s">
        <v>349</v>
      </c>
      <c r="U365" s="222" t="s">
        <v>269</v>
      </c>
      <c r="V365" s="222" t="s">
        <v>302</v>
      </c>
      <c r="W365" s="223" t="s">
        <v>302</v>
      </c>
      <c r="X365" s="223" t="s">
        <v>302</v>
      </c>
      <c r="Y365" s="224" t="s">
        <v>302</v>
      </c>
    </row>
    <row r="366" spans="1:25">
      <c r="A366" s="216">
        <v>7</v>
      </c>
      <c r="B366" s="217" t="str">
        <f>VLOOKUP(Tabel10[[#This Row],[Code]],Ruimtegroepen[[Code]:[Ruimte omschrijving]],2,FALSE)</f>
        <v>Entree</v>
      </c>
      <c r="C366" s="218" t="s">
        <v>602</v>
      </c>
      <c r="D366" s="217" t="s">
        <v>21</v>
      </c>
      <c r="E366" s="219" t="s">
        <v>102</v>
      </c>
      <c r="F366" s="218" t="s">
        <v>605</v>
      </c>
      <c r="G366" s="263" t="s">
        <v>302</v>
      </c>
      <c r="H366" s="220" t="s">
        <v>302</v>
      </c>
      <c r="I366" s="220" t="s">
        <v>20</v>
      </c>
      <c r="J366" s="221" t="s">
        <v>302</v>
      </c>
      <c r="K366" s="220" t="s">
        <v>20</v>
      </c>
      <c r="L366" s="220" t="s">
        <v>302</v>
      </c>
      <c r="M366" s="220" t="s">
        <v>302</v>
      </c>
      <c r="N366" s="221" t="s">
        <v>302</v>
      </c>
      <c r="O366" s="222" t="s">
        <v>20</v>
      </c>
      <c r="P366" s="222" t="s">
        <v>20</v>
      </c>
      <c r="Q366" s="222" t="s">
        <v>15</v>
      </c>
      <c r="R366" s="222" t="s">
        <v>15</v>
      </c>
      <c r="S366" s="222" t="s">
        <v>16</v>
      </c>
      <c r="T366" s="222" t="s">
        <v>349</v>
      </c>
      <c r="U366" s="222" t="s">
        <v>269</v>
      </c>
      <c r="V366" s="222" t="s">
        <v>302</v>
      </c>
      <c r="W366" s="223" t="s">
        <v>302</v>
      </c>
      <c r="X366" s="223" t="s">
        <v>302</v>
      </c>
      <c r="Y366" s="224" t="s">
        <v>302</v>
      </c>
    </row>
    <row r="367" spans="1:25">
      <c r="A367" s="216">
        <v>7</v>
      </c>
      <c r="B367" s="217" t="str">
        <f>VLOOKUP(Tabel10[[#This Row],[Code]],Ruimtegroepen[[Code]:[Ruimte omschrijving]],2,FALSE)</f>
        <v>Entree</v>
      </c>
      <c r="C367" s="218" t="s">
        <v>602</v>
      </c>
      <c r="D367" s="217" t="s">
        <v>21</v>
      </c>
      <c r="E367" s="219" t="s">
        <v>103</v>
      </c>
      <c r="F367" s="218" t="s">
        <v>606</v>
      </c>
      <c r="G367" s="263" t="s">
        <v>302</v>
      </c>
      <c r="H367" s="220" t="s">
        <v>302</v>
      </c>
      <c r="I367" s="220" t="s">
        <v>20</v>
      </c>
      <c r="J367" s="220" t="s">
        <v>302</v>
      </c>
      <c r="K367" s="220" t="s">
        <v>20</v>
      </c>
      <c r="L367" s="220" t="s">
        <v>302</v>
      </c>
      <c r="M367" s="220" t="s">
        <v>302</v>
      </c>
      <c r="N367" s="221" t="s">
        <v>302</v>
      </c>
      <c r="O367" s="222" t="s">
        <v>20</v>
      </c>
      <c r="P367" s="222" t="s">
        <v>20</v>
      </c>
      <c r="Q367" s="222" t="s">
        <v>15</v>
      </c>
      <c r="R367" s="222" t="s">
        <v>15</v>
      </c>
      <c r="S367" s="222" t="s">
        <v>16</v>
      </c>
      <c r="T367" s="222" t="s">
        <v>349</v>
      </c>
      <c r="U367" s="222" t="s">
        <v>269</v>
      </c>
      <c r="V367" s="222" t="s">
        <v>302</v>
      </c>
      <c r="W367" s="223" t="s">
        <v>302</v>
      </c>
      <c r="X367" s="223" t="s">
        <v>302</v>
      </c>
      <c r="Y367" s="224" t="s">
        <v>302</v>
      </c>
    </row>
    <row r="368" spans="1:25">
      <c r="A368" s="216">
        <v>7</v>
      </c>
      <c r="B368" s="217" t="str">
        <f>VLOOKUP(Tabel10[[#This Row],[Code]],Ruimtegroepen[[Code]:[Ruimte omschrijving]],2,FALSE)</f>
        <v>Entree</v>
      </c>
      <c r="C368" s="218" t="s">
        <v>602</v>
      </c>
      <c r="D368" s="217" t="s">
        <v>21</v>
      </c>
      <c r="E368" s="219" t="s">
        <v>100</v>
      </c>
      <c r="F368" s="218" t="s">
        <v>604</v>
      </c>
      <c r="G368" s="263" t="s">
        <v>302</v>
      </c>
      <c r="H368" s="221" t="s">
        <v>20</v>
      </c>
      <c r="I368" s="220" t="s">
        <v>302</v>
      </c>
      <c r="J368" s="221" t="s">
        <v>302</v>
      </c>
      <c r="K368" s="221" t="s">
        <v>302</v>
      </c>
      <c r="L368" s="220" t="s">
        <v>302</v>
      </c>
      <c r="M368" s="220" t="s">
        <v>302</v>
      </c>
      <c r="N368" s="221" t="s">
        <v>302</v>
      </c>
      <c r="O368" s="222" t="s">
        <v>20</v>
      </c>
      <c r="P368" s="222" t="s">
        <v>20</v>
      </c>
      <c r="Q368" s="222" t="s">
        <v>15</v>
      </c>
      <c r="R368" s="222" t="s">
        <v>15</v>
      </c>
      <c r="S368" s="222" t="s">
        <v>16</v>
      </c>
      <c r="T368" s="222" t="s">
        <v>349</v>
      </c>
      <c r="U368" s="222" t="s">
        <v>269</v>
      </c>
      <c r="V368" s="222" t="s">
        <v>302</v>
      </c>
      <c r="W368" s="223" t="s">
        <v>302</v>
      </c>
      <c r="X368" s="223" t="s">
        <v>302</v>
      </c>
      <c r="Y368" s="224" t="s">
        <v>302</v>
      </c>
    </row>
    <row r="369" spans="1:25">
      <c r="A369" s="216">
        <v>7</v>
      </c>
      <c r="B369" s="217" t="str">
        <f>VLOOKUP(Tabel10[[#This Row],[Code]],Ruimtegroepen[[Code]:[Ruimte omschrijving]],2,FALSE)</f>
        <v>Entree</v>
      </c>
      <c r="C369" s="218" t="s">
        <v>602</v>
      </c>
      <c r="D369" s="217" t="s">
        <v>21</v>
      </c>
      <c r="E369" s="219" t="s">
        <v>1325</v>
      </c>
      <c r="F369" s="218" t="s">
        <v>1463</v>
      </c>
      <c r="G369" s="263" t="s">
        <v>302</v>
      </c>
      <c r="H369" s="220" t="s">
        <v>302</v>
      </c>
      <c r="I369" s="220" t="s">
        <v>20</v>
      </c>
      <c r="J369" s="220" t="s">
        <v>302</v>
      </c>
      <c r="K369" s="220" t="s">
        <v>20</v>
      </c>
      <c r="L369" s="220" t="s">
        <v>302</v>
      </c>
      <c r="M369" s="220" t="s">
        <v>302</v>
      </c>
      <c r="N369" s="221" t="s">
        <v>302</v>
      </c>
      <c r="O369" s="222" t="s">
        <v>20</v>
      </c>
      <c r="P369" s="222" t="s">
        <v>20</v>
      </c>
      <c r="Q369" s="222" t="s">
        <v>15</v>
      </c>
      <c r="R369" s="222" t="s">
        <v>15</v>
      </c>
      <c r="S369" s="222" t="s">
        <v>16</v>
      </c>
      <c r="T369" s="222" t="s">
        <v>349</v>
      </c>
      <c r="U369" s="222" t="s">
        <v>269</v>
      </c>
      <c r="V369" s="222" t="s">
        <v>302</v>
      </c>
      <c r="W369" s="223" t="s">
        <v>302</v>
      </c>
      <c r="X369" s="223" t="s">
        <v>302</v>
      </c>
      <c r="Y369" s="224" t="s">
        <v>302</v>
      </c>
    </row>
    <row r="370" spans="1:25">
      <c r="A370" s="216">
        <v>7</v>
      </c>
      <c r="B370" s="217" t="str">
        <f>VLOOKUP(Tabel10[[#This Row],[Code]],Ruimtegroepen[[Code]:[Ruimte omschrijving]],2,FALSE)</f>
        <v>Entree</v>
      </c>
      <c r="C370" s="218" t="s">
        <v>607</v>
      </c>
      <c r="D370" s="217" t="s">
        <v>12</v>
      </c>
      <c r="E370" s="219" t="s">
        <v>101</v>
      </c>
      <c r="F370" s="218" t="s">
        <v>608</v>
      </c>
      <c r="G370" s="263" t="s">
        <v>302</v>
      </c>
      <c r="H370" s="220" t="s">
        <v>302</v>
      </c>
      <c r="I370" s="220" t="s">
        <v>302</v>
      </c>
      <c r="J370" s="220" t="s">
        <v>18</v>
      </c>
      <c r="K370" s="220" t="s">
        <v>302</v>
      </c>
      <c r="L370" s="220" t="s">
        <v>302</v>
      </c>
      <c r="M370" s="220" t="s">
        <v>302</v>
      </c>
      <c r="N370" s="221" t="s">
        <v>302</v>
      </c>
      <c r="O370" s="222" t="s">
        <v>18</v>
      </c>
      <c r="P370" s="222" t="s">
        <v>18</v>
      </c>
      <c r="Q370" s="222" t="s">
        <v>15</v>
      </c>
      <c r="R370" s="222" t="s">
        <v>15</v>
      </c>
      <c r="S370" s="222" t="s">
        <v>16</v>
      </c>
      <c r="T370" s="222" t="s">
        <v>349</v>
      </c>
      <c r="U370" s="222" t="s">
        <v>269</v>
      </c>
      <c r="V370" s="222" t="s">
        <v>302</v>
      </c>
      <c r="W370" s="223" t="s">
        <v>302</v>
      </c>
      <c r="X370" s="223" t="s">
        <v>302</v>
      </c>
      <c r="Y370" s="224" t="s">
        <v>302</v>
      </c>
    </row>
    <row r="371" spans="1:25">
      <c r="A371" s="216">
        <v>7</v>
      </c>
      <c r="B371" s="217" t="str">
        <f>VLOOKUP(Tabel10[[#This Row],[Code]],Ruimtegroepen[[Code]:[Ruimte omschrijving]],2,FALSE)</f>
        <v>Entree</v>
      </c>
      <c r="C371" s="218" t="s">
        <v>607</v>
      </c>
      <c r="D371" s="217" t="s">
        <v>12</v>
      </c>
      <c r="E371" s="219" t="s">
        <v>100</v>
      </c>
      <c r="F371" s="218" t="s">
        <v>609</v>
      </c>
      <c r="G371" s="263" t="s">
        <v>302</v>
      </c>
      <c r="H371" s="220" t="s">
        <v>18</v>
      </c>
      <c r="I371" s="220" t="s">
        <v>302</v>
      </c>
      <c r="J371" s="221" t="s">
        <v>302</v>
      </c>
      <c r="K371" s="221" t="s">
        <v>302</v>
      </c>
      <c r="L371" s="220" t="s">
        <v>302</v>
      </c>
      <c r="M371" s="220" t="s">
        <v>302</v>
      </c>
      <c r="N371" s="221" t="s">
        <v>302</v>
      </c>
      <c r="O371" s="222" t="s">
        <v>18</v>
      </c>
      <c r="P371" s="222" t="s">
        <v>18</v>
      </c>
      <c r="Q371" s="222" t="s">
        <v>15</v>
      </c>
      <c r="R371" s="222" t="s">
        <v>15</v>
      </c>
      <c r="S371" s="222" t="s">
        <v>16</v>
      </c>
      <c r="T371" s="222" t="s">
        <v>349</v>
      </c>
      <c r="U371" s="222" t="s">
        <v>269</v>
      </c>
      <c r="V371" s="222" t="s">
        <v>302</v>
      </c>
      <c r="W371" s="223" t="s">
        <v>302</v>
      </c>
      <c r="X371" s="223" t="s">
        <v>302</v>
      </c>
      <c r="Y371" s="224" t="s">
        <v>302</v>
      </c>
    </row>
    <row r="372" spans="1:25">
      <c r="A372" s="216">
        <v>7</v>
      </c>
      <c r="B372" s="217" t="str">
        <f>VLOOKUP(Tabel10[[#This Row],[Code]],Ruimtegroepen[[Code]:[Ruimte omschrijving]],2,FALSE)</f>
        <v>Entree</v>
      </c>
      <c r="C372" s="218" t="s">
        <v>607</v>
      </c>
      <c r="D372" s="217" t="s">
        <v>12</v>
      </c>
      <c r="E372" s="219" t="s">
        <v>102</v>
      </c>
      <c r="F372" s="218" t="s">
        <v>610</v>
      </c>
      <c r="G372" s="263" t="s">
        <v>302</v>
      </c>
      <c r="H372" s="220" t="s">
        <v>302</v>
      </c>
      <c r="I372" s="220" t="s">
        <v>18</v>
      </c>
      <c r="J372" s="221" t="s">
        <v>302</v>
      </c>
      <c r="K372" s="220" t="s">
        <v>18</v>
      </c>
      <c r="L372" s="220" t="s">
        <v>302</v>
      </c>
      <c r="M372" s="220" t="s">
        <v>302</v>
      </c>
      <c r="N372" s="221" t="s">
        <v>302</v>
      </c>
      <c r="O372" s="222" t="s">
        <v>18</v>
      </c>
      <c r="P372" s="222" t="s">
        <v>18</v>
      </c>
      <c r="Q372" s="222" t="s">
        <v>15</v>
      </c>
      <c r="R372" s="222" t="s">
        <v>15</v>
      </c>
      <c r="S372" s="222" t="s">
        <v>16</v>
      </c>
      <c r="T372" s="222" t="s">
        <v>349</v>
      </c>
      <c r="U372" s="222" t="s">
        <v>269</v>
      </c>
      <c r="V372" s="222" t="s">
        <v>302</v>
      </c>
      <c r="W372" s="223" t="s">
        <v>302</v>
      </c>
      <c r="X372" s="223" t="s">
        <v>302</v>
      </c>
      <c r="Y372" s="224" t="s">
        <v>302</v>
      </c>
    </row>
    <row r="373" spans="1:25">
      <c r="A373" s="216">
        <v>7</v>
      </c>
      <c r="B373" s="217" t="str">
        <f>VLOOKUP(Tabel10[[#This Row],[Code]],Ruimtegroepen[[Code]:[Ruimte omschrijving]],2,FALSE)</f>
        <v>Entree</v>
      </c>
      <c r="C373" s="218" t="s">
        <v>607</v>
      </c>
      <c r="D373" s="217" t="s">
        <v>12</v>
      </c>
      <c r="E373" s="219" t="s">
        <v>103</v>
      </c>
      <c r="F373" s="218" t="s">
        <v>611</v>
      </c>
      <c r="G373" s="263" t="s">
        <v>302</v>
      </c>
      <c r="H373" s="220" t="s">
        <v>302</v>
      </c>
      <c r="I373" s="221" t="s">
        <v>18</v>
      </c>
      <c r="J373" s="221" t="s">
        <v>302</v>
      </c>
      <c r="K373" s="221" t="s">
        <v>18</v>
      </c>
      <c r="L373" s="220" t="s">
        <v>302</v>
      </c>
      <c r="M373" s="220" t="s">
        <v>302</v>
      </c>
      <c r="N373" s="221" t="s">
        <v>302</v>
      </c>
      <c r="O373" s="222" t="s">
        <v>18</v>
      </c>
      <c r="P373" s="222" t="s">
        <v>18</v>
      </c>
      <c r="Q373" s="222" t="s">
        <v>15</v>
      </c>
      <c r="R373" s="222" t="s">
        <v>15</v>
      </c>
      <c r="S373" s="222" t="s">
        <v>16</v>
      </c>
      <c r="T373" s="222" t="s">
        <v>349</v>
      </c>
      <c r="U373" s="222" t="s">
        <v>269</v>
      </c>
      <c r="V373" s="222" t="s">
        <v>302</v>
      </c>
      <c r="W373" s="223" t="s">
        <v>302</v>
      </c>
      <c r="X373" s="223" t="s">
        <v>302</v>
      </c>
      <c r="Y373" s="224" t="s">
        <v>302</v>
      </c>
    </row>
    <row r="374" spans="1:25">
      <c r="A374" s="216">
        <v>7</v>
      </c>
      <c r="B374" s="217" t="str">
        <f>VLOOKUP(Tabel10[[#This Row],[Code]],Ruimtegroepen[[Code]:[Ruimte omschrijving]],2,FALSE)</f>
        <v>Entree</v>
      </c>
      <c r="C374" s="218" t="s">
        <v>607</v>
      </c>
      <c r="D374" s="217" t="s">
        <v>12</v>
      </c>
      <c r="E374" s="219" t="s">
        <v>100</v>
      </c>
      <c r="F374" s="218" t="s">
        <v>609</v>
      </c>
      <c r="G374" s="263" t="s">
        <v>302</v>
      </c>
      <c r="H374" s="221" t="s">
        <v>18</v>
      </c>
      <c r="I374" s="220" t="s">
        <v>302</v>
      </c>
      <c r="J374" s="221" t="s">
        <v>302</v>
      </c>
      <c r="K374" s="221" t="s">
        <v>302</v>
      </c>
      <c r="L374" s="220" t="s">
        <v>302</v>
      </c>
      <c r="M374" s="220" t="s">
        <v>302</v>
      </c>
      <c r="N374" s="221" t="s">
        <v>302</v>
      </c>
      <c r="O374" s="222" t="s">
        <v>18</v>
      </c>
      <c r="P374" s="222" t="s">
        <v>18</v>
      </c>
      <c r="Q374" s="222" t="s">
        <v>15</v>
      </c>
      <c r="R374" s="222" t="s">
        <v>15</v>
      </c>
      <c r="S374" s="222" t="s">
        <v>16</v>
      </c>
      <c r="T374" s="222" t="s">
        <v>349</v>
      </c>
      <c r="U374" s="222" t="s">
        <v>269</v>
      </c>
      <c r="V374" s="222" t="s">
        <v>302</v>
      </c>
      <c r="W374" s="223" t="s">
        <v>302</v>
      </c>
      <c r="X374" s="223" t="s">
        <v>302</v>
      </c>
      <c r="Y374" s="224" t="s">
        <v>302</v>
      </c>
    </row>
    <row r="375" spans="1:25">
      <c r="A375" s="216">
        <v>7</v>
      </c>
      <c r="B375" s="217" t="str">
        <f>VLOOKUP(Tabel10[[#This Row],[Code]],Ruimtegroepen[[Code]:[Ruimte omschrijving]],2,FALSE)</f>
        <v>Entree</v>
      </c>
      <c r="C375" s="218" t="s">
        <v>607</v>
      </c>
      <c r="D375" s="217" t="s">
        <v>12</v>
      </c>
      <c r="E375" s="219" t="s">
        <v>1325</v>
      </c>
      <c r="F375" s="218" t="s">
        <v>1445</v>
      </c>
      <c r="G375" s="263" t="s">
        <v>302</v>
      </c>
      <c r="H375" s="220" t="s">
        <v>302</v>
      </c>
      <c r="I375" s="221" t="s">
        <v>18</v>
      </c>
      <c r="J375" s="221" t="s">
        <v>302</v>
      </c>
      <c r="K375" s="221" t="s">
        <v>18</v>
      </c>
      <c r="L375" s="220" t="s">
        <v>302</v>
      </c>
      <c r="M375" s="220" t="s">
        <v>302</v>
      </c>
      <c r="N375" s="221" t="s">
        <v>302</v>
      </c>
      <c r="O375" s="222" t="s">
        <v>18</v>
      </c>
      <c r="P375" s="222" t="s">
        <v>18</v>
      </c>
      <c r="Q375" s="222" t="s">
        <v>15</v>
      </c>
      <c r="R375" s="222" t="s">
        <v>15</v>
      </c>
      <c r="S375" s="222" t="s">
        <v>16</v>
      </c>
      <c r="T375" s="222" t="s">
        <v>349</v>
      </c>
      <c r="U375" s="222" t="s">
        <v>269</v>
      </c>
      <c r="V375" s="222" t="s">
        <v>302</v>
      </c>
      <c r="W375" s="223" t="s">
        <v>302</v>
      </c>
      <c r="X375" s="223" t="s">
        <v>302</v>
      </c>
      <c r="Y375" s="224" t="s">
        <v>302</v>
      </c>
    </row>
    <row r="376" spans="1:25">
      <c r="A376" s="216">
        <v>7</v>
      </c>
      <c r="B376" s="217" t="str">
        <f>VLOOKUP(Tabel10[[#This Row],[Code]],Ruimtegroepen[[Code]:[Ruimte omschrijving]],2,FALSE)</f>
        <v>Entree</v>
      </c>
      <c r="C376" s="218" t="s">
        <v>612</v>
      </c>
      <c r="D376" s="217" t="s">
        <v>14</v>
      </c>
      <c r="E376" s="219" t="s">
        <v>101</v>
      </c>
      <c r="F376" s="218" t="s">
        <v>613</v>
      </c>
      <c r="G376" s="263" t="s">
        <v>302</v>
      </c>
      <c r="H376" s="220" t="s">
        <v>302</v>
      </c>
      <c r="I376" s="221" t="s">
        <v>17</v>
      </c>
      <c r="J376" s="221" t="s">
        <v>302</v>
      </c>
      <c r="K376" s="221" t="s">
        <v>15</v>
      </c>
      <c r="L376" s="220" t="s">
        <v>302</v>
      </c>
      <c r="M376" s="220" t="s">
        <v>302</v>
      </c>
      <c r="N376" s="221" t="s">
        <v>302</v>
      </c>
      <c r="O376" s="222" t="s">
        <v>17</v>
      </c>
      <c r="P376" s="222" t="s">
        <v>17</v>
      </c>
      <c r="Q376" s="222" t="s">
        <v>15</v>
      </c>
      <c r="R376" s="222" t="s">
        <v>15</v>
      </c>
      <c r="S376" s="222" t="s">
        <v>16</v>
      </c>
      <c r="T376" s="222" t="s">
        <v>349</v>
      </c>
      <c r="U376" s="222" t="s">
        <v>269</v>
      </c>
      <c r="V376" s="222" t="s">
        <v>302</v>
      </c>
      <c r="W376" s="223" t="s">
        <v>302</v>
      </c>
      <c r="X376" s="223" t="s">
        <v>302</v>
      </c>
      <c r="Y376" s="224" t="s">
        <v>302</v>
      </c>
    </row>
    <row r="377" spans="1:25">
      <c r="A377" s="216">
        <v>7</v>
      </c>
      <c r="B377" s="217" t="str">
        <f>VLOOKUP(Tabel10[[#This Row],[Code]],Ruimtegroepen[[Code]:[Ruimte omschrijving]],2,FALSE)</f>
        <v>Entree</v>
      </c>
      <c r="C377" s="218" t="s">
        <v>612</v>
      </c>
      <c r="D377" s="217" t="s">
        <v>14</v>
      </c>
      <c r="E377" s="219" t="s">
        <v>100</v>
      </c>
      <c r="F377" s="218" t="s">
        <v>614</v>
      </c>
      <c r="G377" s="263" t="s">
        <v>302</v>
      </c>
      <c r="H377" s="220" t="s">
        <v>17</v>
      </c>
      <c r="I377" s="220" t="s">
        <v>302</v>
      </c>
      <c r="J377" s="221" t="s">
        <v>302</v>
      </c>
      <c r="K377" s="221" t="s">
        <v>302</v>
      </c>
      <c r="L377" s="220" t="s">
        <v>302</v>
      </c>
      <c r="M377" s="220" t="s">
        <v>302</v>
      </c>
      <c r="N377" s="221" t="s">
        <v>302</v>
      </c>
      <c r="O377" s="222" t="s">
        <v>17</v>
      </c>
      <c r="P377" s="222" t="s">
        <v>17</v>
      </c>
      <c r="Q377" s="222" t="s">
        <v>15</v>
      </c>
      <c r="R377" s="222" t="s">
        <v>15</v>
      </c>
      <c r="S377" s="222" t="s">
        <v>16</v>
      </c>
      <c r="T377" s="222" t="s">
        <v>349</v>
      </c>
      <c r="U377" s="222" t="s">
        <v>269</v>
      </c>
      <c r="V377" s="222" t="s">
        <v>302</v>
      </c>
      <c r="W377" s="223" t="s">
        <v>302</v>
      </c>
      <c r="X377" s="223" t="s">
        <v>302</v>
      </c>
      <c r="Y377" s="224" t="s">
        <v>302</v>
      </c>
    </row>
    <row r="378" spans="1:25">
      <c r="A378" s="216">
        <v>7</v>
      </c>
      <c r="B378" s="217" t="str">
        <f>VLOOKUP(Tabel10[[#This Row],[Code]],Ruimtegroepen[[Code]:[Ruimte omschrijving]],2,FALSE)</f>
        <v>Entree</v>
      </c>
      <c r="C378" s="218" t="s">
        <v>612</v>
      </c>
      <c r="D378" s="217" t="s">
        <v>14</v>
      </c>
      <c r="E378" s="219" t="s">
        <v>102</v>
      </c>
      <c r="F378" s="218" t="s">
        <v>615</v>
      </c>
      <c r="G378" s="263" t="s">
        <v>302</v>
      </c>
      <c r="H378" s="220" t="s">
        <v>302</v>
      </c>
      <c r="I378" s="220" t="s">
        <v>17</v>
      </c>
      <c r="J378" s="221" t="s">
        <v>302</v>
      </c>
      <c r="K378" s="220" t="s">
        <v>17</v>
      </c>
      <c r="L378" s="220" t="s">
        <v>302</v>
      </c>
      <c r="M378" s="220" t="s">
        <v>302</v>
      </c>
      <c r="N378" s="221" t="s">
        <v>302</v>
      </c>
      <c r="O378" s="222" t="s">
        <v>17</v>
      </c>
      <c r="P378" s="222" t="s">
        <v>17</v>
      </c>
      <c r="Q378" s="222" t="s">
        <v>15</v>
      </c>
      <c r="R378" s="222" t="s">
        <v>15</v>
      </c>
      <c r="S378" s="222" t="s">
        <v>16</v>
      </c>
      <c r="T378" s="222" t="s">
        <v>349</v>
      </c>
      <c r="U378" s="222" t="s">
        <v>269</v>
      </c>
      <c r="V378" s="222" t="s">
        <v>302</v>
      </c>
      <c r="W378" s="223" t="s">
        <v>302</v>
      </c>
      <c r="X378" s="223" t="s">
        <v>302</v>
      </c>
      <c r="Y378" s="224" t="s">
        <v>302</v>
      </c>
    </row>
    <row r="379" spans="1:25">
      <c r="A379" s="216">
        <v>7</v>
      </c>
      <c r="B379" s="217" t="str">
        <f>VLOOKUP(Tabel10[[#This Row],[Code]],Ruimtegroepen[[Code]:[Ruimte omschrijving]],2,FALSE)</f>
        <v>Entree</v>
      </c>
      <c r="C379" s="218" t="s">
        <v>612</v>
      </c>
      <c r="D379" s="217" t="s">
        <v>14</v>
      </c>
      <c r="E379" s="219" t="s">
        <v>103</v>
      </c>
      <c r="F379" s="218" t="s">
        <v>616</v>
      </c>
      <c r="G379" s="263" t="s">
        <v>302</v>
      </c>
      <c r="H379" s="220" t="s">
        <v>302</v>
      </c>
      <c r="I379" s="221" t="s">
        <v>17</v>
      </c>
      <c r="J379" s="221" t="s">
        <v>302</v>
      </c>
      <c r="K379" s="221" t="s">
        <v>17</v>
      </c>
      <c r="L379" s="220" t="s">
        <v>302</v>
      </c>
      <c r="M379" s="220" t="s">
        <v>302</v>
      </c>
      <c r="N379" s="221" t="s">
        <v>302</v>
      </c>
      <c r="O379" s="222" t="s">
        <v>17</v>
      </c>
      <c r="P379" s="222" t="s">
        <v>17</v>
      </c>
      <c r="Q379" s="222" t="s">
        <v>15</v>
      </c>
      <c r="R379" s="222" t="s">
        <v>15</v>
      </c>
      <c r="S379" s="222" t="s">
        <v>16</v>
      </c>
      <c r="T379" s="222" t="s">
        <v>349</v>
      </c>
      <c r="U379" s="222" t="s">
        <v>269</v>
      </c>
      <c r="V379" s="222" t="s">
        <v>302</v>
      </c>
      <c r="W379" s="223" t="s">
        <v>302</v>
      </c>
      <c r="X379" s="223" t="s">
        <v>302</v>
      </c>
      <c r="Y379" s="224" t="s">
        <v>302</v>
      </c>
    </row>
    <row r="380" spans="1:25">
      <c r="A380" s="216">
        <v>7</v>
      </c>
      <c r="B380" s="217" t="str">
        <f>VLOOKUP(Tabel10[[#This Row],[Code]],Ruimtegroepen[[Code]:[Ruimte omschrijving]],2,FALSE)</f>
        <v>Entree</v>
      </c>
      <c r="C380" s="218" t="s">
        <v>612</v>
      </c>
      <c r="D380" s="217" t="s">
        <v>14</v>
      </c>
      <c r="E380" s="219" t="s">
        <v>100</v>
      </c>
      <c r="F380" s="218" t="s">
        <v>614</v>
      </c>
      <c r="G380" s="263" t="s">
        <v>302</v>
      </c>
      <c r="H380" s="221" t="s">
        <v>17</v>
      </c>
      <c r="I380" s="220" t="s">
        <v>302</v>
      </c>
      <c r="J380" s="221" t="s">
        <v>302</v>
      </c>
      <c r="K380" s="221" t="s">
        <v>302</v>
      </c>
      <c r="L380" s="220" t="s">
        <v>302</v>
      </c>
      <c r="M380" s="220" t="s">
        <v>302</v>
      </c>
      <c r="N380" s="221" t="s">
        <v>302</v>
      </c>
      <c r="O380" s="222" t="s">
        <v>17</v>
      </c>
      <c r="P380" s="222" t="s">
        <v>17</v>
      </c>
      <c r="Q380" s="222" t="s">
        <v>15</v>
      </c>
      <c r="R380" s="222" t="s">
        <v>15</v>
      </c>
      <c r="S380" s="222" t="s">
        <v>16</v>
      </c>
      <c r="T380" s="222" t="s">
        <v>349</v>
      </c>
      <c r="U380" s="222" t="s">
        <v>269</v>
      </c>
      <c r="V380" s="222" t="s">
        <v>302</v>
      </c>
      <c r="W380" s="223" t="s">
        <v>302</v>
      </c>
      <c r="X380" s="223" t="s">
        <v>302</v>
      </c>
      <c r="Y380" s="224" t="s">
        <v>302</v>
      </c>
    </row>
    <row r="381" spans="1:25">
      <c r="A381" s="216">
        <v>7</v>
      </c>
      <c r="B381" s="217" t="str">
        <f>VLOOKUP(Tabel10[[#This Row],[Code]],Ruimtegroepen[[Code]:[Ruimte omschrijving]],2,FALSE)</f>
        <v>Entree</v>
      </c>
      <c r="C381" s="218" t="s">
        <v>612</v>
      </c>
      <c r="D381" s="217" t="s">
        <v>14</v>
      </c>
      <c r="E381" s="219" t="s">
        <v>1325</v>
      </c>
      <c r="F381" s="218" t="s">
        <v>1412</v>
      </c>
      <c r="G381" s="263" t="s">
        <v>302</v>
      </c>
      <c r="H381" s="220" t="s">
        <v>302</v>
      </c>
      <c r="I381" s="221" t="s">
        <v>17</v>
      </c>
      <c r="J381" s="221" t="s">
        <v>302</v>
      </c>
      <c r="K381" s="221" t="s">
        <v>17</v>
      </c>
      <c r="L381" s="220" t="s">
        <v>302</v>
      </c>
      <c r="M381" s="220" t="s">
        <v>302</v>
      </c>
      <c r="N381" s="221" t="s">
        <v>302</v>
      </c>
      <c r="O381" s="222" t="s">
        <v>17</v>
      </c>
      <c r="P381" s="222" t="s">
        <v>17</v>
      </c>
      <c r="Q381" s="222" t="s">
        <v>15</v>
      </c>
      <c r="R381" s="222" t="s">
        <v>15</v>
      </c>
      <c r="S381" s="222" t="s">
        <v>16</v>
      </c>
      <c r="T381" s="222" t="s">
        <v>349</v>
      </c>
      <c r="U381" s="222" t="s">
        <v>269</v>
      </c>
      <c r="V381" s="222" t="s">
        <v>302</v>
      </c>
      <c r="W381" s="223" t="s">
        <v>302</v>
      </c>
      <c r="X381" s="223" t="s">
        <v>302</v>
      </c>
      <c r="Y381" s="224" t="s">
        <v>302</v>
      </c>
    </row>
    <row r="382" spans="1:25">
      <c r="A382" s="216">
        <v>7</v>
      </c>
      <c r="B382" s="217" t="str">
        <f>VLOOKUP(Tabel10[[#This Row],[Code]],Ruimtegroepen[[Code]:[Ruimte omschrijving]],2,FALSE)</f>
        <v>Entree</v>
      </c>
      <c r="C382" s="218" t="s">
        <v>617</v>
      </c>
      <c r="D382" s="217" t="s">
        <v>13</v>
      </c>
      <c r="E382" s="219" t="s">
        <v>101</v>
      </c>
      <c r="F382" s="218" t="s">
        <v>618</v>
      </c>
      <c r="G382" s="263" t="s">
        <v>302</v>
      </c>
      <c r="H382" s="220" t="s">
        <v>302</v>
      </c>
      <c r="I382" s="220" t="s">
        <v>302</v>
      </c>
      <c r="J382" s="220" t="s">
        <v>15</v>
      </c>
      <c r="K382" s="220" t="s">
        <v>302</v>
      </c>
      <c r="L382" s="220" t="s">
        <v>302</v>
      </c>
      <c r="M382" s="220" t="s">
        <v>302</v>
      </c>
      <c r="N382" s="221" t="s">
        <v>302</v>
      </c>
      <c r="O382" s="222" t="s">
        <v>15</v>
      </c>
      <c r="P382" s="222" t="s">
        <v>15</v>
      </c>
      <c r="Q382" s="222" t="s">
        <v>15</v>
      </c>
      <c r="R382" s="222" t="s">
        <v>15</v>
      </c>
      <c r="S382" s="222" t="s">
        <v>16</v>
      </c>
      <c r="T382" s="222" t="s">
        <v>349</v>
      </c>
      <c r="U382" s="222" t="s">
        <v>269</v>
      </c>
      <c r="V382" s="222" t="s">
        <v>302</v>
      </c>
      <c r="W382" s="223" t="s">
        <v>302</v>
      </c>
      <c r="X382" s="223" t="s">
        <v>302</v>
      </c>
      <c r="Y382" s="224" t="s">
        <v>302</v>
      </c>
    </row>
    <row r="383" spans="1:25">
      <c r="A383" s="216">
        <v>7</v>
      </c>
      <c r="B383" s="217" t="str">
        <f>VLOOKUP(Tabel10[[#This Row],[Code]],Ruimtegroepen[[Code]:[Ruimte omschrijving]],2,FALSE)</f>
        <v>Entree</v>
      </c>
      <c r="C383" s="218" t="s">
        <v>617</v>
      </c>
      <c r="D383" s="217" t="s">
        <v>13</v>
      </c>
      <c r="E383" s="219" t="s">
        <v>100</v>
      </c>
      <c r="F383" s="218" t="s">
        <v>619</v>
      </c>
      <c r="G383" s="263" t="s">
        <v>302</v>
      </c>
      <c r="H383" s="221" t="s">
        <v>15</v>
      </c>
      <c r="I383" s="220" t="s">
        <v>302</v>
      </c>
      <c r="J383" s="221" t="s">
        <v>302</v>
      </c>
      <c r="K383" s="221" t="s">
        <v>302</v>
      </c>
      <c r="L383" s="220" t="s">
        <v>302</v>
      </c>
      <c r="M383" s="220" t="s">
        <v>302</v>
      </c>
      <c r="N383" s="221" t="s">
        <v>302</v>
      </c>
      <c r="O383" s="222" t="s">
        <v>15</v>
      </c>
      <c r="P383" s="222" t="s">
        <v>15</v>
      </c>
      <c r="Q383" s="222" t="s">
        <v>15</v>
      </c>
      <c r="R383" s="222" t="s">
        <v>15</v>
      </c>
      <c r="S383" s="222" t="s">
        <v>16</v>
      </c>
      <c r="T383" s="222" t="s">
        <v>349</v>
      </c>
      <c r="U383" s="222" t="s">
        <v>269</v>
      </c>
      <c r="V383" s="222" t="s">
        <v>302</v>
      </c>
      <c r="W383" s="223" t="s">
        <v>302</v>
      </c>
      <c r="X383" s="223" t="s">
        <v>302</v>
      </c>
      <c r="Y383" s="224" t="s">
        <v>302</v>
      </c>
    </row>
    <row r="384" spans="1:25">
      <c r="A384" s="216">
        <v>7</v>
      </c>
      <c r="B384" s="217" t="str">
        <f>VLOOKUP(Tabel10[[#This Row],[Code]],Ruimtegroepen[[Code]:[Ruimte omschrijving]],2,FALSE)</f>
        <v>Entree</v>
      </c>
      <c r="C384" s="218" t="s">
        <v>617</v>
      </c>
      <c r="D384" s="217" t="s">
        <v>13</v>
      </c>
      <c r="E384" s="219" t="s">
        <v>102</v>
      </c>
      <c r="F384" s="218" t="s">
        <v>620</v>
      </c>
      <c r="G384" s="263" t="s">
        <v>302</v>
      </c>
      <c r="H384" s="220" t="s">
        <v>302</v>
      </c>
      <c r="I384" s="221" t="s">
        <v>15</v>
      </c>
      <c r="J384" s="221" t="s">
        <v>302</v>
      </c>
      <c r="K384" s="221" t="s">
        <v>15</v>
      </c>
      <c r="L384" s="220" t="s">
        <v>302</v>
      </c>
      <c r="M384" s="220" t="s">
        <v>302</v>
      </c>
      <c r="N384" s="221" t="s">
        <v>302</v>
      </c>
      <c r="O384" s="222" t="s">
        <v>15</v>
      </c>
      <c r="P384" s="222" t="s">
        <v>15</v>
      </c>
      <c r="Q384" s="222" t="s">
        <v>15</v>
      </c>
      <c r="R384" s="222" t="s">
        <v>15</v>
      </c>
      <c r="S384" s="222" t="s">
        <v>16</v>
      </c>
      <c r="T384" s="222" t="s">
        <v>349</v>
      </c>
      <c r="U384" s="222" t="s">
        <v>269</v>
      </c>
      <c r="V384" s="222" t="s">
        <v>302</v>
      </c>
      <c r="W384" s="223" t="s">
        <v>302</v>
      </c>
      <c r="X384" s="223" t="s">
        <v>302</v>
      </c>
      <c r="Y384" s="224" t="s">
        <v>302</v>
      </c>
    </row>
    <row r="385" spans="1:25">
      <c r="A385" s="216">
        <v>7</v>
      </c>
      <c r="B385" s="217" t="str">
        <f>VLOOKUP(Tabel10[[#This Row],[Code]],Ruimtegroepen[[Code]:[Ruimte omschrijving]],2,FALSE)</f>
        <v>Entree</v>
      </c>
      <c r="C385" s="218" t="s">
        <v>617</v>
      </c>
      <c r="D385" s="217" t="s">
        <v>13</v>
      </c>
      <c r="E385" s="219" t="s">
        <v>103</v>
      </c>
      <c r="F385" s="218" t="s">
        <v>621</v>
      </c>
      <c r="G385" s="263" t="s">
        <v>302</v>
      </c>
      <c r="H385" s="220" t="s">
        <v>302</v>
      </c>
      <c r="I385" s="221" t="s">
        <v>15</v>
      </c>
      <c r="J385" s="221" t="s">
        <v>302</v>
      </c>
      <c r="K385" s="221" t="s">
        <v>15</v>
      </c>
      <c r="L385" s="220" t="s">
        <v>302</v>
      </c>
      <c r="M385" s="220" t="s">
        <v>302</v>
      </c>
      <c r="N385" s="221" t="s">
        <v>302</v>
      </c>
      <c r="O385" s="222" t="s">
        <v>15</v>
      </c>
      <c r="P385" s="222" t="s">
        <v>15</v>
      </c>
      <c r="Q385" s="222" t="s">
        <v>15</v>
      </c>
      <c r="R385" s="222" t="s">
        <v>15</v>
      </c>
      <c r="S385" s="222" t="s">
        <v>16</v>
      </c>
      <c r="T385" s="222" t="s">
        <v>349</v>
      </c>
      <c r="U385" s="222" t="s">
        <v>269</v>
      </c>
      <c r="V385" s="222" t="s">
        <v>302</v>
      </c>
      <c r="W385" s="223" t="s">
        <v>302</v>
      </c>
      <c r="X385" s="223" t="s">
        <v>302</v>
      </c>
      <c r="Y385" s="224" t="s">
        <v>302</v>
      </c>
    </row>
    <row r="386" spans="1:25">
      <c r="A386" s="216">
        <v>7</v>
      </c>
      <c r="B386" s="217" t="str">
        <f>VLOOKUP(Tabel10[[#This Row],[Code]],Ruimtegroepen[[Code]:[Ruimte omschrijving]],2,FALSE)</f>
        <v>Entree</v>
      </c>
      <c r="C386" s="218" t="s">
        <v>617</v>
      </c>
      <c r="D386" s="217" t="s">
        <v>13</v>
      </c>
      <c r="E386" s="219" t="s">
        <v>100</v>
      </c>
      <c r="F386" s="218" t="s">
        <v>619</v>
      </c>
      <c r="G386" s="263" t="s">
        <v>302</v>
      </c>
      <c r="H386" s="221" t="s">
        <v>15</v>
      </c>
      <c r="I386" s="220" t="s">
        <v>302</v>
      </c>
      <c r="J386" s="221" t="s">
        <v>302</v>
      </c>
      <c r="K386" s="221" t="s">
        <v>302</v>
      </c>
      <c r="L386" s="220" t="s">
        <v>302</v>
      </c>
      <c r="M386" s="220" t="s">
        <v>302</v>
      </c>
      <c r="N386" s="221" t="s">
        <v>302</v>
      </c>
      <c r="O386" s="222" t="s">
        <v>15</v>
      </c>
      <c r="P386" s="222" t="s">
        <v>15</v>
      </c>
      <c r="Q386" s="222" t="s">
        <v>15</v>
      </c>
      <c r="R386" s="222" t="s">
        <v>15</v>
      </c>
      <c r="S386" s="222" t="s">
        <v>16</v>
      </c>
      <c r="T386" s="222" t="s">
        <v>349</v>
      </c>
      <c r="U386" s="222" t="s">
        <v>269</v>
      </c>
      <c r="V386" s="222" t="s">
        <v>302</v>
      </c>
      <c r="W386" s="223" t="s">
        <v>302</v>
      </c>
      <c r="X386" s="223" t="s">
        <v>302</v>
      </c>
      <c r="Y386" s="224" t="s">
        <v>302</v>
      </c>
    </row>
    <row r="387" spans="1:25">
      <c r="A387" s="216">
        <v>7</v>
      </c>
      <c r="B387" s="217" t="str">
        <f>VLOOKUP(Tabel10[[#This Row],[Code]],Ruimtegroepen[[Code]:[Ruimte omschrijving]],2,FALSE)</f>
        <v>Entree</v>
      </c>
      <c r="C387" s="218" t="s">
        <v>617</v>
      </c>
      <c r="D387" s="217" t="s">
        <v>13</v>
      </c>
      <c r="E387" s="219" t="s">
        <v>1325</v>
      </c>
      <c r="F387" s="218" t="s">
        <v>1379</v>
      </c>
      <c r="G387" s="263" t="s">
        <v>302</v>
      </c>
      <c r="H387" s="220" t="s">
        <v>302</v>
      </c>
      <c r="I387" s="221" t="s">
        <v>15</v>
      </c>
      <c r="J387" s="221" t="s">
        <v>302</v>
      </c>
      <c r="K387" s="221" t="s">
        <v>15</v>
      </c>
      <c r="L387" s="220" t="s">
        <v>302</v>
      </c>
      <c r="M387" s="220" t="s">
        <v>302</v>
      </c>
      <c r="N387" s="221" t="s">
        <v>302</v>
      </c>
      <c r="O387" s="222" t="s">
        <v>15</v>
      </c>
      <c r="P387" s="222" t="s">
        <v>15</v>
      </c>
      <c r="Q387" s="222" t="s">
        <v>15</v>
      </c>
      <c r="R387" s="222" t="s">
        <v>15</v>
      </c>
      <c r="S387" s="222" t="s">
        <v>16</v>
      </c>
      <c r="T387" s="222" t="s">
        <v>349</v>
      </c>
      <c r="U387" s="222" t="s">
        <v>269</v>
      </c>
      <c r="V387" s="222" t="s">
        <v>302</v>
      </c>
      <c r="W387" s="223" t="s">
        <v>302</v>
      </c>
      <c r="X387" s="223" t="s">
        <v>302</v>
      </c>
      <c r="Y387" s="224" t="s">
        <v>302</v>
      </c>
    </row>
    <row r="388" spans="1:25">
      <c r="A388" s="216">
        <v>7</v>
      </c>
      <c r="B388" s="217" t="str">
        <f>VLOOKUP(Tabel10[[#This Row],[Code]],Ruimtegroepen[[Code]:[Ruimte omschrijving]],2,FALSE)</f>
        <v>Entree</v>
      </c>
      <c r="C388" s="218" t="s">
        <v>622</v>
      </c>
      <c r="D388" s="217" t="s">
        <v>0</v>
      </c>
      <c r="E388" s="219" t="s">
        <v>101</v>
      </c>
      <c r="F388" s="218" t="s">
        <v>623</v>
      </c>
      <c r="G388" s="263" t="s">
        <v>302</v>
      </c>
      <c r="H388" s="220" t="s">
        <v>302</v>
      </c>
      <c r="I388" s="220" t="s">
        <v>302</v>
      </c>
      <c r="J388" s="221" t="s">
        <v>16</v>
      </c>
      <c r="K388" s="220" t="s">
        <v>302</v>
      </c>
      <c r="L388" s="220" t="s">
        <v>302</v>
      </c>
      <c r="M388" s="220" t="s">
        <v>302</v>
      </c>
      <c r="N388" s="221" t="s">
        <v>302</v>
      </c>
      <c r="O388" s="222" t="s">
        <v>16</v>
      </c>
      <c r="P388" s="222" t="s">
        <v>16</v>
      </c>
      <c r="Q388" s="222" t="s">
        <v>16</v>
      </c>
      <c r="R388" s="222" t="s">
        <v>16</v>
      </c>
      <c r="S388" s="222" t="s">
        <v>16</v>
      </c>
      <c r="T388" s="222" t="s">
        <v>349</v>
      </c>
      <c r="U388" s="222" t="s">
        <v>269</v>
      </c>
      <c r="V388" s="222" t="s">
        <v>302</v>
      </c>
      <c r="W388" s="223" t="s">
        <v>302</v>
      </c>
      <c r="X388" s="223" t="s">
        <v>302</v>
      </c>
      <c r="Y388" s="224" t="s">
        <v>302</v>
      </c>
    </row>
    <row r="389" spans="1:25">
      <c r="A389" s="216">
        <v>7</v>
      </c>
      <c r="B389" s="217" t="str">
        <f>VLOOKUP(Tabel10[[#This Row],[Code]],Ruimtegroepen[[Code]:[Ruimte omschrijving]],2,FALSE)</f>
        <v>Entree</v>
      </c>
      <c r="C389" s="218" t="s">
        <v>622</v>
      </c>
      <c r="D389" s="217" t="s">
        <v>0</v>
      </c>
      <c r="E389" s="219" t="s">
        <v>100</v>
      </c>
      <c r="F389" s="218" t="s">
        <v>624</v>
      </c>
      <c r="G389" s="263" t="s">
        <v>302</v>
      </c>
      <c r="H389" s="221" t="s">
        <v>16</v>
      </c>
      <c r="I389" s="220" t="s">
        <v>302</v>
      </c>
      <c r="J389" s="221" t="s">
        <v>302</v>
      </c>
      <c r="K389" s="221" t="s">
        <v>302</v>
      </c>
      <c r="L389" s="220" t="s">
        <v>302</v>
      </c>
      <c r="M389" s="220" t="s">
        <v>302</v>
      </c>
      <c r="N389" s="221" t="s">
        <v>302</v>
      </c>
      <c r="O389" s="222" t="s">
        <v>16</v>
      </c>
      <c r="P389" s="222" t="s">
        <v>16</v>
      </c>
      <c r="Q389" s="222" t="s">
        <v>16</v>
      </c>
      <c r="R389" s="222" t="s">
        <v>16</v>
      </c>
      <c r="S389" s="222" t="s">
        <v>16</v>
      </c>
      <c r="T389" s="222" t="s">
        <v>349</v>
      </c>
      <c r="U389" s="222" t="s">
        <v>269</v>
      </c>
      <c r="V389" s="222" t="s">
        <v>302</v>
      </c>
      <c r="W389" s="223" t="s">
        <v>302</v>
      </c>
      <c r="X389" s="223" t="s">
        <v>302</v>
      </c>
      <c r="Y389" s="224" t="s">
        <v>302</v>
      </c>
    </row>
    <row r="390" spans="1:25">
      <c r="A390" s="216">
        <v>7</v>
      </c>
      <c r="B390" s="217" t="str">
        <f>VLOOKUP(Tabel10[[#This Row],[Code]],Ruimtegroepen[[Code]:[Ruimte omschrijving]],2,FALSE)</f>
        <v>Entree</v>
      </c>
      <c r="C390" s="218" t="s">
        <v>622</v>
      </c>
      <c r="D390" s="217" t="s">
        <v>0</v>
      </c>
      <c r="E390" s="219" t="s">
        <v>102</v>
      </c>
      <c r="F390" s="218" t="s">
        <v>625</v>
      </c>
      <c r="G390" s="263" t="s">
        <v>302</v>
      </c>
      <c r="H390" s="220" t="s">
        <v>302</v>
      </c>
      <c r="I390" s="221" t="s">
        <v>16</v>
      </c>
      <c r="J390" s="221" t="s">
        <v>302</v>
      </c>
      <c r="K390" s="221" t="s">
        <v>16</v>
      </c>
      <c r="L390" s="220" t="s">
        <v>302</v>
      </c>
      <c r="M390" s="220" t="s">
        <v>302</v>
      </c>
      <c r="N390" s="221" t="s">
        <v>302</v>
      </c>
      <c r="O390" s="222" t="s">
        <v>16</v>
      </c>
      <c r="P390" s="222" t="s">
        <v>16</v>
      </c>
      <c r="Q390" s="222" t="s">
        <v>16</v>
      </c>
      <c r="R390" s="222" t="s">
        <v>16</v>
      </c>
      <c r="S390" s="222" t="s">
        <v>16</v>
      </c>
      <c r="T390" s="222" t="s">
        <v>349</v>
      </c>
      <c r="U390" s="222" t="s">
        <v>269</v>
      </c>
      <c r="V390" s="222" t="s">
        <v>302</v>
      </c>
      <c r="W390" s="223" t="s">
        <v>302</v>
      </c>
      <c r="X390" s="223" t="s">
        <v>302</v>
      </c>
      <c r="Y390" s="224" t="s">
        <v>302</v>
      </c>
    </row>
    <row r="391" spans="1:25">
      <c r="A391" s="216">
        <v>7</v>
      </c>
      <c r="B391" s="217" t="str">
        <f>VLOOKUP(Tabel10[[#This Row],[Code]],Ruimtegroepen[[Code]:[Ruimte omschrijving]],2,FALSE)</f>
        <v>Entree</v>
      </c>
      <c r="C391" s="218" t="s">
        <v>622</v>
      </c>
      <c r="D391" s="217" t="s">
        <v>0</v>
      </c>
      <c r="E391" s="219" t="s">
        <v>103</v>
      </c>
      <c r="F391" s="218" t="s">
        <v>626</v>
      </c>
      <c r="G391" s="263" t="s">
        <v>302</v>
      </c>
      <c r="H391" s="220" t="s">
        <v>302</v>
      </c>
      <c r="I391" s="221" t="s">
        <v>16</v>
      </c>
      <c r="J391" s="221" t="s">
        <v>302</v>
      </c>
      <c r="K391" s="221" t="s">
        <v>16</v>
      </c>
      <c r="L391" s="220" t="s">
        <v>302</v>
      </c>
      <c r="M391" s="220" t="s">
        <v>302</v>
      </c>
      <c r="N391" s="221" t="s">
        <v>302</v>
      </c>
      <c r="O391" s="222" t="s">
        <v>16</v>
      </c>
      <c r="P391" s="222" t="s">
        <v>16</v>
      </c>
      <c r="Q391" s="222" t="s">
        <v>16</v>
      </c>
      <c r="R391" s="222" t="s">
        <v>16</v>
      </c>
      <c r="S391" s="222" t="s">
        <v>16</v>
      </c>
      <c r="T391" s="222" t="s">
        <v>349</v>
      </c>
      <c r="U391" s="222" t="s">
        <v>269</v>
      </c>
      <c r="V391" s="222" t="s">
        <v>302</v>
      </c>
      <c r="W391" s="223" t="s">
        <v>302</v>
      </c>
      <c r="X391" s="223" t="s">
        <v>302</v>
      </c>
      <c r="Y391" s="224" t="s">
        <v>302</v>
      </c>
    </row>
    <row r="392" spans="1:25">
      <c r="A392" s="216">
        <v>7</v>
      </c>
      <c r="B392" s="217" t="str">
        <f>VLOOKUP(Tabel10[[#This Row],[Code]],Ruimtegroepen[[Code]:[Ruimte omschrijving]],2,FALSE)</f>
        <v>Entree</v>
      </c>
      <c r="C392" s="218" t="s">
        <v>622</v>
      </c>
      <c r="D392" s="217" t="s">
        <v>0</v>
      </c>
      <c r="E392" s="219" t="s">
        <v>100</v>
      </c>
      <c r="F392" s="218" t="s">
        <v>624</v>
      </c>
      <c r="G392" s="263" t="s">
        <v>302</v>
      </c>
      <c r="H392" s="221" t="s">
        <v>16</v>
      </c>
      <c r="I392" s="220" t="s">
        <v>302</v>
      </c>
      <c r="J392" s="221" t="s">
        <v>302</v>
      </c>
      <c r="K392" s="221" t="s">
        <v>302</v>
      </c>
      <c r="L392" s="220" t="s">
        <v>302</v>
      </c>
      <c r="M392" s="220" t="s">
        <v>302</v>
      </c>
      <c r="N392" s="221" t="s">
        <v>302</v>
      </c>
      <c r="O392" s="222" t="s">
        <v>16</v>
      </c>
      <c r="P392" s="222" t="s">
        <v>16</v>
      </c>
      <c r="Q392" s="222" t="s">
        <v>16</v>
      </c>
      <c r="R392" s="222" t="s">
        <v>16</v>
      </c>
      <c r="S392" s="222" t="s">
        <v>16</v>
      </c>
      <c r="T392" s="222" t="s">
        <v>349</v>
      </c>
      <c r="U392" s="222" t="s">
        <v>269</v>
      </c>
      <c r="V392" s="222" t="s">
        <v>302</v>
      </c>
      <c r="W392" s="223" t="s">
        <v>302</v>
      </c>
      <c r="X392" s="223" t="s">
        <v>302</v>
      </c>
      <c r="Y392" s="224" t="s">
        <v>302</v>
      </c>
    </row>
    <row r="393" spans="1:25">
      <c r="A393" s="216">
        <v>7</v>
      </c>
      <c r="B393" s="217" t="str">
        <f>VLOOKUP(Tabel10[[#This Row],[Code]],Ruimtegroepen[[Code]:[Ruimte omschrijving]],2,FALSE)</f>
        <v>Entree</v>
      </c>
      <c r="C393" s="218" t="s">
        <v>622</v>
      </c>
      <c r="D393" s="217" t="s">
        <v>0</v>
      </c>
      <c r="E393" s="219" t="s">
        <v>1325</v>
      </c>
      <c r="F393" s="218" t="s">
        <v>1363</v>
      </c>
      <c r="G393" s="263" t="s">
        <v>302</v>
      </c>
      <c r="H393" s="220" t="s">
        <v>302</v>
      </c>
      <c r="I393" s="221" t="s">
        <v>16</v>
      </c>
      <c r="J393" s="221" t="s">
        <v>302</v>
      </c>
      <c r="K393" s="221" t="s">
        <v>16</v>
      </c>
      <c r="L393" s="220" t="s">
        <v>302</v>
      </c>
      <c r="M393" s="220" t="s">
        <v>302</v>
      </c>
      <c r="N393" s="221" t="s">
        <v>302</v>
      </c>
      <c r="O393" s="222" t="s">
        <v>16</v>
      </c>
      <c r="P393" s="222" t="s">
        <v>16</v>
      </c>
      <c r="Q393" s="222" t="s">
        <v>16</v>
      </c>
      <c r="R393" s="222" t="s">
        <v>16</v>
      </c>
      <c r="S393" s="222" t="s">
        <v>16</v>
      </c>
      <c r="T393" s="222" t="s">
        <v>349</v>
      </c>
      <c r="U393" s="222" t="s">
        <v>269</v>
      </c>
      <c r="V393" s="222" t="s">
        <v>302</v>
      </c>
      <c r="W393" s="223" t="s">
        <v>302</v>
      </c>
      <c r="X393" s="223" t="s">
        <v>302</v>
      </c>
      <c r="Y393" s="224" t="s">
        <v>302</v>
      </c>
    </row>
    <row r="394" spans="1:25">
      <c r="A394" s="216">
        <v>7</v>
      </c>
      <c r="B394" s="217" t="str">
        <f>VLOOKUP(Tabel10[[#This Row],[Code]],Ruimtegroepen[[Code]:[Ruimte omschrijving]],2,FALSE)</f>
        <v>Entree</v>
      </c>
      <c r="C394" s="218" t="s">
        <v>627</v>
      </c>
      <c r="D394" s="217" t="s">
        <v>27</v>
      </c>
      <c r="E394" s="219" t="s">
        <v>101</v>
      </c>
      <c r="F394" s="218" t="s">
        <v>628</v>
      </c>
      <c r="G394" s="263" t="s">
        <v>302</v>
      </c>
      <c r="H394" s="220" t="s">
        <v>302</v>
      </c>
      <c r="I394" s="221" t="s">
        <v>15</v>
      </c>
      <c r="J394" s="221" t="s">
        <v>302</v>
      </c>
      <c r="K394" s="221" t="s">
        <v>302</v>
      </c>
      <c r="L394" s="220" t="s">
        <v>302</v>
      </c>
      <c r="M394" s="220" t="s">
        <v>302</v>
      </c>
      <c r="N394" s="221" t="s">
        <v>302</v>
      </c>
      <c r="O394" s="222" t="s">
        <v>15</v>
      </c>
      <c r="P394" s="222" t="s">
        <v>15</v>
      </c>
      <c r="Q394" s="222" t="s">
        <v>15</v>
      </c>
      <c r="R394" s="222" t="s">
        <v>302</v>
      </c>
      <c r="S394" s="222" t="s">
        <v>302</v>
      </c>
      <c r="T394" s="222" t="s">
        <v>302</v>
      </c>
      <c r="U394" s="222" t="s">
        <v>302</v>
      </c>
      <c r="V394" s="222" t="s">
        <v>302</v>
      </c>
      <c r="W394" s="223" t="s">
        <v>302</v>
      </c>
      <c r="X394" s="223" t="s">
        <v>302</v>
      </c>
      <c r="Y394" s="224" t="s">
        <v>302</v>
      </c>
    </row>
    <row r="395" spans="1:25">
      <c r="A395" s="216">
        <v>7</v>
      </c>
      <c r="B395" s="217" t="str">
        <f>VLOOKUP(Tabel10[[#This Row],[Code]],Ruimtegroepen[[Code]:[Ruimte omschrijving]],2,FALSE)</f>
        <v>Entree</v>
      </c>
      <c r="C395" s="218" t="s">
        <v>627</v>
      </c>
      <c r="D395" s="217" t="s">
        <v>27</v>
      </c>
      <c r="E395" s="219" t="s">
        <v>100</v>
      </c>
      <c r="F395" s="218" t="s">
        <v>629</v>
      </c>
      <c r="G395" s="263" t="s">
        <v>302</v>
      </c>
      <c r="H395" s="221" t="s">
        <v>15</v>
      </c>
      <c r="I395" s="220" t="s">
        <v>302</v>
      </c>
      <c r="J395" s="221" t="s">
        <v>302</v>
      </c>
      <c r="K395" s="221" t="s">
        <v>302</v>
      </c>
      <c r="L395" s="220" t="s">
        <v>302</v>
      </c>
      <c r="M395" s="220" t="s">
        <v>302</v>
      </c>
      <c r="N395" s="221" t="s">
        <v>302</v>
      </c>
      <c r="O395" s="222" t="s">
        <v>15</v>
      </c>
      <c r="P395" s="222" t="s">
        <v>15</v>
      </c>
      <c r="Q395" s="222" t="s">
        <v>15</v>
      </c>
      <c r="R395" s="222" t="s">
        <v>302</v>
      </c>
      <c r="S395" s="222" t="s">
        <v>302</v>
      </c>
      <c r="T395" s="222" t="s">
        <v>302</v>
      </c>
      <c r="U395" s="222" t="s">
        <v>302</v>
      </c>
      <c r="V395" s="222" t="s">
        <v>302</v>
      </c>
      <c r="W395" s="223" t="s">
        <v>302</v>
      </c>
      <c r="X395" s="223" t="s">
        <v>302</v>
      </c>
      <c r="Y395" s="224" t="s">
        <v>302</v>
      </c>
    </row>
    <row r="396" spans="1:25">
      <c r="A396" s="216">
        <v>7</v>
      </c>
      <c r="B396" s="217" t="str">
        <f>VLOOKUP(Tabel10[[#This Row],[Code]],Ruimtegroepen[[Code]:[Ruimte omschrijving]],2,FALSE)</f>
        <v>Entree</v>
      </c>
      <c r="C396" s="218" t="s">
        <v>627</v>
      </c>
      <c r="D396" s="217" t="s">
        <v>27</v>
      </c>
      <c r="E396" s="219" t="s">
        <v>102</v>
      </c>
      <c r="F396" s="218" t="s">
        <v>630</v>
      </c>
      <c r="G396" s="263" t="s">
        <v>302</v>
      </c>
      <c r="H396" s="220" t="s">
        <v>302</v>
      </c>
      <c r="I396" s="221" t="s">
        <v>15</v>
      </c>
      <c r="J396" s="221" t="s">
        <v>302</v>
      </c>
      <c r="K396" s="221" t="s">
        <v>302</v>
      </c>
      <c r="L396" s="220" t="s">
        <v>302</v>
      </c>
      <c r="M396" s="220" t="s">
        <v>302</v>
      </c>
      <c r="N396" s="221" t="s">
        <v>302</v>
      </c>
      <c r="O396" s="222" t="s">
        <v>15</v>
      </c>
      <c r="P396" s="222" t="s">
        <v>15</v>
      </c>
      <c r="Q396" s="222" t="s">
        <v>15</v>
      </c>
      <c r="R396" s="222" t="s">
        <v>302</v>
      </c>
      <c r="S396" s="222" t="s">
        <v>302</v>
      </c>
      <c r="T396" s="222" t="s">
        <v>302</v>
      </c>
      <c r="U396" s="222" t="s">
        <v>302</v>
      </c>
      <c r="V396" s="222" t="s">
        <v>302</v>
      </c>
      <c r="W396" s="223" t="s">
        <v>302</v>
      </c>
      <c r="X396" s="223" t="s">
        <v>302</v>
      </c>
      <c r="Y396" s="224" t="s">
        <v>302</v>
      </c>
    </row>
    <row r="397" spans="1:25">
      <c r="A397" s="216">
        <v>7</v>
      </c>
      <c r="B397" s="217" t="str">
        <f>VLOOKUP(Tabel10[[#This Row],[Code]],Ruimtegroepen[[Code]:[Ruimte omschrijving]],2,FALSE)</f>
        <v>Entree</v>
      </c>
      <c r="C397" s="218" t="s">
        <v>627</v>
      </c>
      <c r="D397" s="217" t="s">
        <v>27</v>
      </c>
      <c r="E397" s="219" t="s">
        <v>103</v>
      </c>
      <c r="F397" s="218" t="s">
        <v>631</v>
      </c>
      <c r="G397" s="263" t="s">
        <v>302</v>
      </c>
      <c r="H397" s="220" t="s">
        <v>302</v>
      </c>
      <c r="I397" s="221" t="s">
        <v>15</v>
      </c>
      <c r="J397" s="221" t="s">
        <v>302</v>
      </c>
      <c r="K397" s="221" t="s">
        <v>302</v>
      </c>
      <c r="L397" s="220" t="s">
        <v>302</v>
      </c>
      <c r="M397" s="220" t="s">
        <v>302</v>
      </c>
      <c r="N397" s="221" t="s">
        <v>302</v>
      </c>
      <c r="O397" s="222" t="s">
        <v>15</v>
      </c>
      <c r="P397" s="222" t="s">
        <v>15</v>
      </c>
      <c r="Q397" s="222" t="s">
        <v>15</v>
      </c>
      <c r="R397" s="222" t="s">
        <v>302</v>
      </c>
      <c r="S397" s="222" t="s">
        <v>302</v>
      </c>
      <c r="T397" s="222" t="s">
        <v>302</v>
      </c>
      <c r="U397" s="222" t="s">
        <v>302</v>
      </c>
      <c r="V397" s="222" t="s">
        <v>302</v>
      </c>
      <c r="W397" s="223" t="s">
        <v>302</v>
      </c>
      <c r="X397" s="223" t="s">
        <v>302</v>
      </c>
      <c r="Y397" s="224" t="s">
        <v>302</v>
      </c>
    </row>
    <row r="398" spans="1:25">
      <c r="A398" s="216">
        <v>7</v>
      </c>
      <c r="B398" s="217" t="str">
        <f>VLOOKUP(Tabel10[[#This Row],[Code]],Ruimtegroepen[[Code]:[Ruimte omschrijving]],2,FALSE)</f>
        <v>Entree</v>
      </c>
      <c r="C398" s="218" t="s">
        <v>627</v>
      </c>
      <c r="D398" s="217" t="s">
        <v>27</v>
      </c>
      <c r="E398" s="219" t="s">
        <v>100</v>
      </c>
      <c r="F398" s="218" t="s">
        <v>629</v>
      </c>
      <c r="G398" s="263" t="s">
        <v>302</v>
      </c>
      <c r="H398" s="221" t="s">
        <v>15</v>
      </c>
      <c r="I398" s="220" t="s">
        <v>302</v>
      </c>
      <c r="J398" s="221" t="s">
        <v>302</v>
      </c>
      <c r="K398" s="221" t="s">
        <v>302</v>
      </c>
      <c r="L398" s="220" t="s">
        <v>302</v>
      </c>
      <c r="M398" s="220" t="s">
        <v>302</v>
      </c>
      <c r="N398" s="221" t="s">
        <v>302</v>
      </c>
      <c r="O398" s="222" t="s">
        <v>15</v>
      </c>
      <c r="P398" s="222" t="s">
        <v>15</v>
      </c>
      <c r="Q398" s="222" t="s">
        <v>15</v>
      </c>
      <c r="R398" s="222" t="s">
        <v>302</v>
      </c>
      <c r="S398" s="222" t="s">
        <v>302</v>
      </c>
      <c r="T398" s="222" t="s">
        <v>302</v>
      </c>
      <c r="U398" s="222" t="s">
        <v>302</v>
      </c>
      <c r="V398" s="222" t="s">
        <v>302</v>
      </c>
      <c r="W398" s="223" t="s">
        <v>302</v>
      </c>
      <c r="X398" s="223" t="s">
        <v>302</v>
      </c>
      <c r="Y398" s="224" t="s">
        <v>302</v>
      </c>
    </row>
    <row r="399" spans="1:25">
      <c r="A399" s="216">
        <v>7</v>
      </c>
      <c r="B399" s="217" t="str">
        <f>VLOOKUP(Tabel10[[#This Row],[Code]],Ruimtegroepen[[Code]:[Ruimte omschrijving]],2,FALSE)</f>
        <v>Entree</v>
      </c>
      <c r="C399" s="218" t="s">
        <v>627</v>
      </c>
      <c r="D399" s="217" t="s">
        <v>27</v>
      </c>
      <c r="E399" s="219" t="s">
        <v>1325</v>
      </c>
      <c r="F399" s="218" t="s">
        <v>1396</v>
      </c>
      <c r="G399" s="263" t="s">
        <v>302</v>
      </c>
      <c r="H399" s="220" t="s">
        <v>302</v>
      </c>
      <c r="I399" s="221" t="s">
        <v>15</v>
      </c>
      <c r="J399" s="221" t="s">
        <v>302</v>
      </c>
      <c r="K399" s="221" t="s">
        <v>302</v>
      </c>
      <c r="L399" s="220" t="s">
        <v>302</v>
      </c>
      <c r="M399" s="220" t="s">
        <v>302</v>
      </c>
      <c r="N399" s="221" t="s">
        <v>302</v>
      </c>
      <c r="O399" s="222" t="s">
        <v>15</v>
      </c>
      <c r="P399" s="222" t="s">
        <v>15</v>
      </c>
      <c r="Q399" s="222" t="s">
        <v>15</v>
      </c>
      <c r="R399" s="222" t="s">
        <v>302</v>
      </c>
      <c r="S399" s="222" t="s">
        <v>302</v>
      </c>
      <c r="T399" s="222" t="s">
        <v>302</v>
      </c>
      <c r="U399" s="222" t="s">
        <v>302</v>
      </c>
      <c r="V399" s="222" t="s">
        <v>302</v>
      </c>
      <c r="W399" s="223" t="s">
        <v>302</v>
      </c>
      <c r="X399" s="223" t="s">
        <v>302</v>
      </c>
      <c r="Y399" s="224" t="s">
        <v>302</v>
      </c>
    </row>
    <row r="400" spans="1:25">
      <c r="A400" s="216">
        <v>7</v>
      </c>
      <c r="B400" s="217" t="str">
        <f>VLOOKUP(Tabel10[[#This Row],[Code]],Ruimtegroepen[[Code]:[Ruimte omschrijving]],2,FALSE)</f>
        <v>Entree</v>
      </c>
      <c r="C400" s="218" t="s">
        <v>632</v>
      </c>
      <c r="D400" s="217" t="s">
        <v>28</v>
      </c>
      <c r="E400" s="219" t="s">
        <v>101</v>
      </c>
      <c r="F400" s="218" t="s">
        <v>633</v>
      </c>
      <c r="G400" s="263" t="s">
        <v>302</v>
      </c>
      <c r="H400" s="220" t="s">
        <v>302</v>
      </c>
      <c r="I400" s="221" t="s">
        <v>17</v>
      </c>
      <c r="J400" s="221" t="s">
        <v>302</v>
      </c>
      <c r="K400" s="221" t="s">
        <v>302</v>
      </c>
      <c r="L400" s="220" t="s">
        <v>302</v>
      </c>
      <c r="M400" s="220" t="s">
        <v>302</v>
      </c>
      <c r="N400" s="221" t="s">
        <v>302</v>
      </c>
      <c r="O400" s="222" t="s">
        <v>17</v>
      </c>
      <c r="P400" s="222" t="s">
        <v>17</v>
      </c>
      <c r="Q400" s="222" t="s">
        <v>15</v>
      </c>
      <c r="R400" s="222" t="s">
        <v>302</v>
      </c>
      <c r="S400" s="222" t="s">
        <v>302</v>
      </c>
      <c r="T400" s="222" t="s">
        <v>302</v>
      </c>
      <c r="U400" s="222" t="s">
        <v>302</v>
      </c>
      <c r="V400" s="222" t="s">
        <v>302</v>
      </c>
      <c r="W400" s="223" t="s">
        <v>302</v>
      </c>
      <c r="X400" s="223" t="s">
        <v>302</v>
      </c>
      <c r="Y400" s="224" t="s">
        <v>302</v>
      </c>
    </row>
    <row r="401" spans="1:25">
      <c r="A401" s="216">
        <v>7</v>
      </c>
      <c r="B401" s="217" t="str">
        <f>VLOOKUP(Tabel10[[#This Row],[Code]],Ruimtegroepen[[Code]:[Ruimte omschrijving]],2,FALSE)</f>
        <v>Entree</v>
      </c>
      <c r="C401" s="218" t="s">
        <v>632</v>
      </c>
      <c r="D401" s="217" t="s">
        <v>28</v>
      </c>
      <c r="E401" s="219" t="s">
        <v>100</v>
      </c>
      <c r="F401" s="218" t="s">
        <v>634</v>
      </c>
      <c r="G401" s="263" t="s">
        <v>302</v>
      </c>
      <c r="H401" s="221" t="s">
        <v>17</v>
      </c>
      <c r="I401" s="220" t="s">
        <v>302</v>
      </c>
      <c r="J401" s="221" t="s">
        <v>302</v>
      </c>
      <c r="K401" s="221" t="s">
        <v>302</v>
      </c>
      <c r="L401" s="220" t="s">
        <v>302</v>
      </c>
      <c r="M401" s="220" t="s">
        <v>302</v>
      </c>
      <c r="N401" s="221" t="s">
        <v>302</v>
      </c>
      <c r="O401" s="222" t="s">
        <v>17</v>
      </c>
      <c r="P401" s="222" t="s">
        <v>17</v>
      </c>
      <c r="Q401" s="222" t="s">
        <v>15</v>
      </c>
      <c r="R401" s="222" t="s">
        <v>302</v>
      </c>
      <c r="S401" s="222" t="s">
        <v>302</v>
      </c>
      <c r="T401" s="222" t="s">
        <v>302</v>
      </c>
      <c r="U401" s="222" t="s">
        <v>302</v>
      </c>
      <c r="V401" s="222" t="s">
        <v>302</v>
      </c>
      <c r="W401" s="223" t="s">
        <v>302</v>
      </c>
      <c r="X401" s="223" t="s">
        <v>302</v>
      </c>
      <c r="Y401" s="224" t="s">
        <v>302</v>
      </c>
    </row>
    <row r="402" spans="1:25">
      <c r="A402" s="216">
        <v>7</v>
      </c>
      <c r="B402" s="217" t="str">
        <f>VLOOKUP(Tabel10[[#This Row],[Code]],Ruimtegroepen[[Code]:[Ruimte omschrijving]],2,FALSE)</f>
        <v>Entree</v>
      </c>
      <c r="C402" s="218" t="s">
        <v>632</v>
      </c>
      <c r="D402" s="217" t="s">
        <v>28</v>
      </c>
      <c r="E402" s="219" t="s">
        <v>102</v>
      </c>
      <c r="F402" s="218" t="s">
        <v>635</v>
      </c>
      <c r="G402" s="263" t="s">
        <v>302</v>
      </c>
      <c r="H402" s="220" t="s">
        <v>302</v>
      </c>
      <c r="I402" s="221" t="s">
        <v>17</v>
      </c>
      <c r="J402" s="221" t="s">
        <v>302</v>
      </c>
      <c r="K402" s="221" t="s">
        <v>302</v>
      </c>
      <c r="L402" s="220" t="s">
        <v>302</v>
      </c>
      <c r="M402" s="220" t="s">
        <v>302</v>
      </c>
      <c r="N402" s="221" t="s">
        <v>302</v>
      </c>
      <c r="O402" s="222" t="s">
        <v>17</v>
      </c>
      <c r="P402" s="222" t="s">
        <v>17</v>
      </c>
      <c r="Q402" s="222" t="s">
        <v>15</v>
      </c>
      <c r="R402" s="222" t="s">
        <v>302</v>
      </c>
      <c r="S402" s="222" t="s">
        <v>302</v>
      </c>
      <c r="T402" s="222" t="s">
        <v>302</v>
      </c>
      <c r="U402" s="222" t="s">
        <v>302</v>
      </c>
      <c r="V402" s="222" t="s">
        <v>302</v>
      </c>
      <c r="W402" s="223" t="s">
        <v>302</v>
      </c>
      <c r="X402" s="223" t="s">
        <v>302</v>
      </c>
      <c r="Y402" s="224" t="s">
        <v>302</v>
      </c>
    </row>
    <row r="403" spans="1:25">
      <c r="A403" s="216">
        <v>7</v>
      </c>
      <c r="B403" s="217" t="str">
        <f>VLOOKUP(Tabel10[[#This Row],[Code]],Ruimtegroepen[[Code]:[Ruimte omschrijving]],2,FALSE)</f>
        <v>Entree</v>
      </c>
      <c r="C403" s="218" t="s">
        <v>632</v>
      </c>
      <c r="D403" s="217" t="s">
        <v>28</v>
      </c>
      <c r="E403" s="219" t="s">
        <v>103</v>
      </c>
      <c r="F403" s="218" t="s">
        <v>636</v>
      </c>
      <c r="G403" s="263" t="s">
        <v>302</v>
      </c>
      <c r="H403" s="220" t="s">
        <v>302</v>
      </c>
      <c r="I403" s="221" t="s">
        <v>17</v>
      </c>
      <c r="J403" s="221" t="s">
        <v>302</v>
      </c>
      <c r="K403" s="221" t="s">
        <v>302</v>
      </c>
      <c r="L403" s="220" t="s">
        <v>302</v>
      </c>
      <c r="M403" s="220" t="s">
        <v>302</v>
      </c>
      <c r="N403" s="221" t="s">
        <v>302</v>
      </c>
      <c r="O403" s="222" t="s">
        <v>17</v>
      </c>
      <c r="P403" s="222" t="s">
        <v>17</v>
      </c>
      <c r="Q403" s="222" t="s">
        <v>15</v>
      </c>
      <c r="R403" s="222" t="s">
        <v>302</v>
      </c>
      <c r="S403" s="222" t="s">
        <v>302</v>
      </c>
      <c r="T403" s="222" t="s">
        <v>302</v>
      </c>
      <c r="U403" s="222" t="s">
        <v>302</v>
      </c>
      <c r="V403" s="222" t="s">
        <v>302</v>
      </c>
      <c r="W403" s="223" t="s">
        <v>302</v>
      </c>
      <c r="X403" s="223" t="s">
        <v>302</v>
      </c>
      <c r="Y403" s="224" t="s">
        <v>302</v>
      </c>
    </row>
    <row r="404" spans="1:25">
      <c r="A404" s="216">
        <v>7</v>
      </c>
      <c r="B404" s="217" t="str">
        <f>VLOOKUP(Tabel10[[#This Row],[Code]],Ruimtegroepen[[Code]:[Ruimte omschrijving]],2,FALSE)</f>
        <v>Entree</v>
      </c>
      <c r="C404" s="218" t="s">
        <v>632</v>
      </c>
      <c r="D404" s="217" t="s">
        <v>28</v>
      </c>
      <c r="E404" s="219" t="s">
        <v>100</v>
      </c>
      <c r="F404" s="218" t="s">
        <v>634</v>
      </c>
      <c r="G404" s="263" t="s">
        <v>302</v>
      </c>
      <c r="H404" s="221" t="s">
        <v>17</v>
      </c>
      <c r="I404" s="220" t="s">
        <v>302</v>
      </c>
      <c r="J404" s="221" t="s">
        <v>302</v>
      </c>
      <c r="K404" s="221" t="s">
        <v>302</v>
      </c>
      <c r="L404" s="220" t="s">
        <v>302</v>
      </c>
      <c r="M404" s="220" t="s">
        <v>302</v>
      </c>
      <c r="N404" s="221" t="s">
        <v>302</v>
      </c>
      <c r="O404" s="222" t="s">
        <v>17</v>
      </c>
      <c r="P404" s="222" t="s">
        <v>17</v>
      </c>
      <c r="Q404" s="222" t="s">
        <v>15</v>
      </c>
      <c r="R404" s="222" t="s">
        <v>302</v>
      </c>
      <c r="S404" s="222" t="s">
        <v>302</v>
      </c>
      <c r="T404" s="222" t="s">
        <v>302</v>
      </c>
      <c r="U404" s="222" t="s">
        <v>302</v>
      </c>
      <c r="V404" s="222" t="s">
        <v>302</v>
      </c>
      <c r="W404" s="223" t="s">
        <v>302</v>
      </c>
      <c r="X404" s="223" t="s">
        <v>302</v>
      </c>
      <c r="Y404" s="224" t="s">
        <v>302</v>
      </c>
    </row>
    <row r="405" spans="1:25">
      <c r="A405" s="216">
        <v>7</v>
      </c>
      <c r="B405" s="217" t="str">
        <f>VLOOKUP(Tabel10[[#This Row],[Code]],Ruimtegroepen[[Code]:[Ruimte omschrijving]],2,FALSE)</f>
        <v>Entree</v>
      </c>
      <c r="C405" s="218" t="s">
        <v>632</v>
      </c>
      <c r="D405" s="217" t="s">
        <v>28</v>
      </c>
      <c r="E405" s="219" t="s">
        <v>1325</v>
      </c>
      <c r="F405" s="218" t="s">
        <v>1429</v>
      </c>
      <c r="G405" s="263" t="s">
        <v>302</v>
      </c>
      <c r="H405" s="220" t="s">
        <v>302</v>
      </c>
      <c r="I405" s="221" t="s">
        <v>17</v>
      </c>
      <c r="J405" s="221" t="s">
        <v>302</v>
      </c>
      <c r="K405" s="221" t="s">
        <v>302</v>
      </c>
      <c r="L405" s="220" t="s">
        <v>302</v>
      </c>
      <c r="M405" s="220" t="s">
        <v>302</v>
      </c>
      <c r="N405" s="221" t="s">
        <v>302</v>
      </c>
      <c r="O405" s="222" t="s">
        <v>17</v>
      </c>
      <c r="P405" s="222" t="s">
        <v>17</v>
      </c>
      <c r="Q405" s="222" t="s">
        <v>15</v>
      </c>
      <c r="R405" s="222" t="s">
        <v>302</v>
      </c>
      <c r="S405" s="222" t="s">
        <v>302</v>
      </c>
      <c r="T405" s="222" t="s">
        <v>302</v>
      </c>
      <c r="U405" s="222" t="s">
        <v>302</v>
      </c>
      <c r="V405" s="222" t="s">
        <v>302</v>
      </c>
      <c r="W405" s="223" t="s">
        <v>302</v>
      </c>
      <c r="X405" s="223" t="s">
        <v>302</v>
      </c>
      <c r="Y405" s="224" t="s">
        <v>302</v>
      </c>
    </row>
    <row r="406" spans="1:25">
      <c r="A406" s="216">
        <v>8</v>
      </c>
      <c r="B406" s="217" t="str">
        <f>VLOOKUP(Tabel10[[#This Row],[Code]],Ruimtegroepen[[Code]:[Ruimte omschrijving]],2,FALSE)</f>
        <v>Mediatheek / OLC</v>
      </c>
      <c r="C406" s="218" t="s">
        <v>637</v>
      </c>
      <c r="D406" s="217" t="s">
        <v>29</v>
      </c>
      <c r="E406" s="219" t="s">
        <v>101</v>
      </c>
      <c r="F406" s="218" t="s">
        <v>638</v>
      </c>
      <c r="G406" s="263" t="s">
        <v>302</v>
      </c>
      <c r="H406" s="220" t="s">
        <v>302</v>
      </c>
      <c r="I406" s="220" t="s">
        <v>20</v>
      </c>
      <c r="J406" s="221" t="s">
        <v>15</v>
      </c>
      <c r="K406" s="221" t="s">
        <v>302</v>
      </c>
      <c r="L406" s="220" t="s">
        <v>302</v>
      </c>
      <c r="M406" s="220" t="s">
        <v>302</v>
      </c>
      <c r="N406" s="221" t="s">
        <v>2</v>
      </c>
      <c r="O406" s="222" t="s">
        <v>2</v>
      </c>
      <c r="P406" s="222" t="s">
        <v>2</v>
      </c>
      <c r="Q406" s="222" t="s">
        <v>15</v>
      </c>
      <c r="R406" s="222" t="s">
        <v>15</v>
      </c>
      <c r="S406" s="222" t="s">
        <v>16</v>
      </c>
      <c r="T406" s="222" t="s">
        <v>349</v>
      </c>
      <c r="U406" s="222" t="s">
        <v>269</v>
      </c>
      <c r="V406" s="222" t="s">
        <v>2</v>
      </c>
      <c r="W406" s="223" t="s">
        <v>302</v>
      </c>
      <c r="X406" s="223" t="s">
        <v>302</v>
      </c>
      <c r="Y406" s="224" t="s">
        <v>302</v>
      </c>
    </row>
    <row r="407" spans="1:25">
      <c r="A407" s="216">
        <v>8</v>
      </c>
      <c r="B407" s="217" t="str">
        <f>VLOOKUP(Tabel10[[#This Row],[Code]],Ruimtegroepen[[Code]:[Ruimte omschrijving]],2,FALSE)</f>
        <v>Mediatheek / OLC</v>
      </c>
      <c r="C407" s="218" t="s">
        <v>637</v>
      </c>
      <c r="D407" s="217" t="s">
        <v>29</v>
      </c>
      <c r="E407" s="219" t="s">
        <v>100</v>
      </c>
      <c r="F407" s="218" t="s">
        <v>639</v>
      </c>
      <c r="G407" s="263" t="s">
        <v>302</v>
      </c>
      <c r="H407" s="221" t="s">
        <v>2</v>
      </c>
      <c r="I407" s="220" t="s">
        <v>302</v>
      </c>
      <c r="J407" s="221" t="s">
        <v>302</v>
      </c>
      <c r="K407" s="221" t="s">
        <v>302</v>
      </c>
      <c r="L407" s="220" t="s">
        <v>302</v>
      </c>
      <c r="M407" s="220" t="s">
        <v>302</v>
      </c>
      <c r="N407" s="221" t="s">
        <v>2</v>
      </c>
      <c r="O407" s="222" t="s">
        <v>2</v>
      </c>
      <c r="P407" s="222" t="s">
        <v>2</v>
      </c>
      <c r="Q407" s="222" t="s">
        <v>15</v>
      </c>
      <c r="R407" s="222" t="s">
        <v>15</v>
      </c>
      <c r="S407" s="222" t="s">
        <v>16</v>
      </c>
      <c r="T407" s="222" t="s">
        <v>349</v>
      </c>
      <c r="U407" s="222" t="s">
        <v>269</v>
      </c>
      <c r="V407" s="222" t="s">
        <v>2</v>
      </c>
      <c r="W407" s="223" t="s">
        <v>302</v>
      </c>
      <c r="X407" s="223" t="s">
        <v>302</v>
      </c>
      <c r="Y407" s="224" t="s">
        <v>302</v>
      </c>
    </row>
    <row r="408" spans="1:25">
      <c r="A408" s="216">
        <v>8</v>
      </c>
      <c r="B408" s="217" t="str">
        <f>VLOOKUP(Tabel10[[#This Row],[Code]],Ruimtegroepen[[Code]:[Ruimte omschrijving]],2,FALSE)</f>
        <v>Mediatheek / OLC</v>
      </c>
      <c r="C408" s="218" t="s">
        <v>637</v>
      </c>
      <c r="D408" s="217" t="s">
        <v>29</v>
      </c>
      <c r="E408" s="219" t="s">
        <v>102</v>
      </c>
      <c r="F408" s="218" t="s">
        <v>640</v>
      </c>
      <c r="G408" s="263" t="s">
        <v>302</v>
      </c>
      <c r="H408" s="220" t="s">
        <v>302</v>
      </c>
      <c r="I408" s="220" t="s">
        <v>20</v>
      </c>
      <c r="J408" s="220" t="s">
        <v>15</v>
      </c>
      <c r="K408" s="220" t="s">
        <v>303</v>
      </c>
      <c r="L408" s="220" t="s">
        <v>302</v>
      </c>
      <c r="M408" s="220" t="s">
        <v>302</v>
      </c>
      <c r="N408" s="221" t="s">
        <v>2</v>
      </c>
      <c r="O408" s="222" t="s">
        <v>2</v>
      </c>
      <c r="P408" s="222" t="s">
        <v>2</v>
      </c>
      <c r="Q408" s="222" t="s">
        <v>15</v>
      </c>
      <c r="R408" s="222" t="s">
        <v>15</v>
      </c>
      <c r="S408" s="222" t="s">
        <v>16</v>
      </c>
      <c r="T408" s="222" t="s">
        <v>349</v>
      </c>
      <c r="U408" s="222" t="s">
        <v>269</v>
      </c>
      <c r="V408" s="222" t="s">
        <v>2</v>
      </c>
      <c r="W408" s="223" t="s">
        <v>302</v>
      </c>
      <c r="X408" s="223" t="s">
        <v>302</v>
      </c>
      <c r="Y408" s="224" t="s">
        <v>302</v>
      </c>
    </row>
    <row r="409" spans="1:25">
      <c r="A409" s="216">
        <v>8</v>
      </c>
      <c r="B409" s="217" t="str">
        <f>VLOOKUP(Tabel10[[#This Row],[Code]],Ruimtegroepen[[Code]:[Ruimte omschrijving]],2,FALSE)</f>
        <v>Mediatheek / OLC</v>
      </c>
      <c r="C409" s="218" t="s">
        <v>637</v>
      </c>
      <c r="D409" s="217" t="s">
        <v>29</v>
      </c>
      <c r="E409" s="219" t="s">
        <v>103</v>
      </c>
      <c r="F409" s="218" t="s">
        <v>641</v>
      </c>
      <c r="G409" s="263" t="s">
        <v>302</v>
      </c>
      <c r="H409" s="220" t="s">
        <v>302</v>
      </c>
      <c r="I409" s="220" t="s">
        <v>20</v>
      </c>
      <c r="J409" s="220" t="s">
        <v>15</v>
      </c>
      <c r="K409" s="220" t="s">
        <v>303</v>
      </c>
      <c r="L409" s="220" t="s">
        <v>302</v>
      </c>
      <c r="M409" s="220" t="s">
        <v>302</v>
      </c>
      <c r="N409" s="221" t="s">
        <v>2</v>
      </c>
      <c r="O409" s="222" t="s">
        <v>2</v>
      </c>
      <c r="P409" s="222" t="s">
        <v>2</v>
      </c>
      <c r="Q409" s="222" t="s">
        <v>15</v>
      </c>
      <c r="R409" s="222" t="s">
        <v>15</v>
      </c>
      <c r="S409" s="222" t="s">
        <v>16</v>
      </c>
      <c r="T409" s="222" t="s">
        <v>349</v>
      </c>
      <c r="U409" s="222" t="s">
        <v>269</v>
      </c>
      <c r="V409" s="222" t="s">
        <v>2</v>
      </c>
      <c r="W409" s="223" t="s">
        <v>302</v>
      </c>
      <c r="X409" s="223" t="s">
        <v>302</v>
      </c>
      <c r="Y409" s="224" t="s">
        <v>302</v>
      </c>
    </row>
    <row r="410" spans="1:25">
      <c r="A410" s="216">
        <v>8</v>
      </c>
      <c r="B410" s="217" t="str">
        <f>VLOOKUP(Tabel10[[#This Row],[Code]],Ruimtegroepen[[Code]:[Ruimte omschrijving]],2,FALSE)</f>
        <v>Mediatheek / OLC</v>
      </c>
      <c r="C410" s="218" t="s">
        <v>637</v>
      </c>
      <c r="D410" s="217" t="s">
        <v>29</v>
      </c>
      <c r="E410" s="219" t="s">
        <v>100</v>
      </c>
      <c r="F410" s="218" t="s">
        <v>639</v>
      </c>
      <c r="G410" s="263" t="s">
        <v>302</v>
      </c>
      <c r="H410" s="221" t="s">
        <v>2</v>
      </c>
      <c r="I410" s="220" t="s">
        <v>302</v>
      </c>
      <c r="J410" s="221" t="s">
        <v>302</v>
      </c>
      <c r="K410" s="221" t="s">
        <v>302</v>
      </c>
      <c r="L410" s="220" t="s">
        <v>302</v>
      </c>
      <c r="M410" s="220" t="s">
        <v>302</v>
      </c>
      <c r="N410" s="221" t="s">
        <v>2</v>
      </c>
      <c r="O410" s="222" t="s">
        <v>2</v>
      </c>
      <c r="P410" s="222" t="s">
        <v>2</v>
      </c>
      <c r="Q410" s="222" t="s">
        <v>15</v>
      </c>
      <c r="R410" s="222" t="s">
        <v>15</v>
      </c>
      <c r="S410" s="222" t="s">
        <v>16</v>
      </c>
      <c r="T410" s="222" t="s">
        <v>349</v>
      </c>
      <c r="U410" s="222" t="s">
        <v>269</v>
      </c>
      <c r="V410" s="222" t="s">
        <v>2</v>
      </c>
      <c r="W410" s="223" t="s">
        <v>302</v>
      </c>
      <c r="X410" s="223" t="s">
        <v>302</v>
      </c>
      <c r="Y410" s="224" t="s">
        <v>302</v>
      </c>
    </row>
    <row r="411" spans="1:25">
      <c r="A411" s="216">
        <v>8</v>
      </c>
      <c r="B411" s="217" t="str">
        <f>VLOOKUP(Tabel10[[#This Row],[Code]],Ruimtegroepen[[Code]:[Ruimte omschrijving]],2,FALSE)</f>
        <v>Mediatheek / OLC</v>
      </c>
      <c r="C411" s="218" t="s">
        <v>637</v>
      </c>
      <c r="D411" s="217" t="s">
        <v>29</v>
      </c>
      <c r="E411" s="219" t="s">
        <v>1325</v>
      </c>
      <c r="F411" s="218" t="s">
        <v>1497</v>
      </c>
      <c r="G411" s="263" t="s">
        <v>302</v>
      </c>
      <c r="H411" s="220" t="s">
        <v>302</v>
      </c>
      <c r="I411" s="220" t="s">
        <v>20</v>
      </c>
      <c r="J411" s="220" t="s">
        <v>15</v>
      </c>
      <c r="K411" s="220" t="s">
        <v>303</v>
      </c>
      <c r="L411" s="220" t="s">
        <v>302</v>
      </c>
      <c r="M411" s="220" t="s">
        <v>302</v>
      </c>
      <c r="N411" s="221" t="s">
        <v>2</v>
      </c>
      <c r="O411" s="222" t="s">
        <v>2</v>
      </c>
      <c r="P411" s="222" t="s">
        <v>2</v>
      </c>
      <c r="Q411" s="222" t="s">
        <v>15</v>
      </c>
      <c r="R411" s="222" t="s">
        <v>15</v>
      </c>
      <c r="S411" s="222" t="s">
        <v>16</v>
      </c>
      <c r="T411" s="222" t="s">
        <v>349</v>
      </c>
      <c r="U411" s="222" t="s">
        <v>269</v>
      </c>
      <c r="V411" s="222" t="s">
        <v>2</v>
      </c>
      <c r="W411" s="223" t="s">
        <v>302</v>
      </c>
      <c r="X411" s="223" t="s">
        <v>302</v>
      </c>
      <c r="Y411" s="224" t="s">
        <v>302</v>
      </c>
    </row>
    <row r="412" spans="1:25">
      <c r="A412" s="216">
        <v>8</v>
      </c>
      <c r="B412" s="217" t="str">
        <f>VLOOKUP(Tabel10[[#This Row],[Code]],Ruimtegroepen[[Code]:[Ruimte omschrijving]],2,FALSE)</f>
        <v>Mediatheek / OLC</v>
      </c>
      <c r="C412" s="218" t="s">
        <v>642</v>
      </c>
      <c r="D412" s="217" t="s">
        <v>1</v>
      </c>
      <c r="E412" s="219" t="s">
        <v>101</v>
      </c>
      <c r="F412" s="218" t="s">
        <v>643</v>
      </c>
      <c r="G412" s="263" t="s">
        <v>302</v>
      </c>
      <c r="H412" s="220" t="s">
        <v>302</v>
      </c>
      <c r="I412" s="220" t="s">
        <v>20</v>
      </c>
      <c r="J412" s="221" t="s">
        <v>15</v>
      </c>
      <c r="K412" s="221" t="s">
        <v>302</v>
      </c>
      <c r="L412" s="220" t="s">
        <v>302</v>
      </c>
      <c r="M412" s="220" t="s">
        <v>302</v>
      </c>
      <c r="N412" s="221" t="s">
        <v>302</v>
      </c>
      <c r="O412" s="222" t="s">
        <v>2</v>
      </c>
      <c r="P412" s="222" t="s">
        <v>2</v>
      </c>
      <c r="Q412" s="222" t="s">
        <v>15</v>
      </c>
      <c r="R412" s="222" t="s">
        <v>15</v>
      </c>
      <c r="S412" s="222" t="s">
        <v>16</v>
      </c>
      <c r="T412" s="222" t="s">
        <v>349</v>
      </c>
      <c r="U412" s="222" t="s">
        <v>269</v>
      </c>
      <c r="V412" s="222" t="s">
        <v>302</v>
      </c>
      <c r="W412" s="223" t="s">
        <v>302</v>
      </c>
      <c r="X412" s="223" t="s">
        <v>302</v>
      </c>
      <c r="Y412" s="224" t="s">
        <v>302</v>
      </c>
    </row>
    <row r="413" spans="1:25">
      <c r="A413" s="216">
        <v>8</v>
      </c>
      <c r="B413" s="217" t="str">
        <f>VLOOKUP(Tabel10[[#This Row],[Code]],Ruimtegroepen[[Code]:[Ruimte omschrijving]],2,FALSE)</f>
        <v>Mediatheek / OLC</v>
      </c>
      <c r="C413" s="218" t="s">
        <v>642</v>
      </c>
      <c r="D413" s="217" t="s">
        <v>1</v>
      </c>
      <c r="E413" s="219" t="s">
        <v>100</v>
      </c>
      <c r="F413" s="218" t="s">
        <v>644</v>
      </c>
      <c r="G413" s="263" t="s">
        <v>302</v>
      </c>
      <c r="H413" s="221" t="s">
        <v>2</v>
      </c>
      <c r="I413" s="220" t="s">
        <v>302</v>
      </c>
      <c r="J413" s="221" t="s">
        <v>302</v>
      </c>
      <c r="K413" s="221" t="s">
        <v>302</v>
      </c>
      <c r="L413" s="220" t="s">
        <v>302</v>
      </c>
      <c r="M413" s="220" t="s">
        <v>302</v>
      </c>
      <c r="N413" s="221" t="s">
        <v>302</v>
      </c>
      <c r="O413" s="222" t="s">
        <v>2</v>
      </c>
      <c r="P413" s="222" t="s">
        <v>2</v>
      </c>
      <c r="Q413" s="222" t="s">
        <v>15</v>
      </c>
      <c r="R413" s="222" t="s">
        <v>15</v>
      </c>
      <c r="S413" s="222" t="s">
        <v>16</v>
      </c>
      <c r="T413" s="222" t="s">
        <v>349</v>
      </c>
      <c r="U413" s="222" t="s">
        <v>269</v>
      </c>
      <c r="V413" s="222" t="s">
        <v>302</v>
      </c>
      <c r="W413" s="223" t="s">
        <v>302</v>
      </c>
      <c r="X413" s="223" t="s">
        <v>302</v>
      </c>
      <c r="Y413" s="224" t="s">
        <v>302</v>
      </c>
    </row>
    <row r="414" spans="1:25">
      <c r="A414" s="216">
        <v>8</v>
      </c>
      <c r="B414" s="217" t="str">
        <f>VLOOKUP(Tabel10[[#This Row],[Code]],Ruimtegroepen[[Code]:[Ruimte omschrijving]],2,FALSE)</f>
        <v>Mediatheek / OLC</v>
      </c>
      <c r="C414" s="218" t="s">
        <v>642</v>
      </c>
      <c r="D414" s="217" t="s">
        <v>1</v>
      </c>
      <c r="E414" s="219" t="s">
        <v>102</v>
      </c>
      <c r="F414" s="218" t="s">
        <v>645</v>
      </c>
      <c r="G414" s="263" t="s">
        <v>302</v>
      </c>
      <c r="H414" s="220" t="s">
        <v>302</v>
      </c>
      <c r="I414" s="220" t="s">
        <v>20</v>
      </c>
      <c r="J414" s="220" t="s">
        <v>15</v>
      </c>
      <c r="K414" s="220" t="s">
        <v>303</v>
      </c>
      <c r="L414" s="220" t="s">
        <v>302</v>
      </c>
      <c r="M414" s="220" t="s">
        <v>302</v>
      </c>
      <c r="N414" s="221" t="s">
        <v>302</v>
      </c>
      <c r="O414" s="222" t="s">
        <v>2</v>
      </c>
      <c r="P414" s="222" t="s">
        <v>2</v>
      </c>
      <c r="Q414" s="222" t="s">
        <v>15</v>
      </c>
      <c r="R414" s="222" t="s">
        <v>15</v>
      </c>
      <c r="S414" s="222" t="s">
        <v>16</v>
      </c>
      <c r="T414" s="222" t="s">
        <v>349</v>
      </c>
      <c r="U414" s="222" t="s">
        <v>269</v>
      </c>
      <c r="V414" s="222" t="s">
        <v>302</v>
      </c>
      <c r="W414" s="223" t="s">
        <v>302</v>
      </c>
      <c r="X414" s="223" t="s">
        <v>302</v>
      </c>
      <c r="Y414" s="224" t="s">
        <v>302</v>
      </c>
    </row>
    <row r="415" spans="1:25">
      <c r="A415" s="216">
        <v>8</v>
      </c>
      <c r="B415" s="217" t="str">
        <f>VLOOKUP(Tabel10[[#This Row],[Code]],Ruimtegroepen[[Code]:[Ruimte omschrijving]],2,FALSE)</f>
        <v>Mediatheek / OLC</v>
      </c>
      <c r="C415" s="218" t="s">
        <v>642</v>
      </c>
      <c r="D415" s="217" t="s">
        <v>1</v>
      </c>
      <c r="E415" s="219" t="s">
        <v>103</v>
      </c>
      <c r="F415" s="218" t="s">
        <v>646</v>
      </c>
      <c r="G415" s="263" t="s">
        <v>302</v>
      </c>
      <c r="H415" s="220" t="s">
        <v>302</v>
      </c>
      <c r="I415" s="221" t="s">
        <v>2</v>
      </c>
      <c r="J415" s="221" t="s">
        <v>302</v>
      </c>
      <c r="K415" s="220" t="s">
        <v>303</v>
      </c>
      <c r="L415" s="220" t="s">
        <v>302</v>
      </c>
      <c r="M415" s="220" t="s">
        <v>302</v>
      </c>
      <c r="N415" s="221" t="s">
        <v>302</v>
      </c>
      <c r="O415" s="222" t="s">
        <v>2</v>
      </c>
      <c r="P415" s="222" t="s">
        <v>2</v>
      </c>
      <c r="Q415" s="222" t="s">
        <v>15</v>
      </c>
      <c r="R415" s="222" t="s">
        <v>15</v>
      </c>
      <c r="S415" s="222" t="s">
        <v>16</v>
      </c>
      <c r="T415" s="222" t="s">
        <v>349</v>
      </c>
      <c r="U415" s="222" t="s">
        <v>269</v>
      </c>
      <c r="V415" s="222" t="s">
        <v>302</v>
      </c>
      <c r="W415" s="223" t="s">
        <v>302</v>
      </c>
      <c r="X415" s="223" t="s">
        <v>302</v>
      </c>
      <c r="Y415" s="224" t="s">
        <v>302</v>
      </c>
    </row>
    <row r="416" spans="1:25">
      <c r="A416" s="216">
        <v>8</v>
      </c>
      <c r="B416" s="217" t="str">
        <f>VLOOKUP(Tabel10[[#This Row],[Code]],Ruimtegroepen[[Code]:[Ruimte omschrijving]],2,FALSE)</f>
        <v>Mediatheek / OLC</v>
      </c>
      <c r="C416" s="218" t="s">
        <v>642</v>
      </c>
      <c r="D416" s="217" t="s">
        <v>1</v>
      </c>
      <c r="E416" s="219" t="s">
        <v>100</v>
      </c>
      <c r="F416" s="218" t="s">
        <v>644</v>
      </c>
      <c r="G416" s="263" t="s">
        <v>302</v>
      </c>
      <c r="H416" s="221" t="s">
        <v>2</v>
      </c>
      <c r="I416" s="220" t="s">
        <v>302</v>
      </c>
      <c r="J416" s="221" t="s">
        <v>302</v>
      </c>
      <c r="K416" s="221" t="s">
        <v>302</v>
      </c>
      <c r="L416" s="220" t="s">
        <v>302</v>
      </c>
      <c r="M416" s="220" t="s">
        <v>302</v>
      </c>
      <c r="N416" s="221" t="s">
        <v>302</v>
      </c>
      <c r="O416" s="222" t="s">
        <v>2</v>
      </c>
      <c r="P416" s="222" t="s">
        <v>2</v>
      </c>
      <c r="Q416" s="222" t="s">
        <v>15</v>
      </c>
      <c r="R416" s="222" t="s">
        <v>15</v>
      </c>
      <c r="S416" s="222" t="s">
        <v>16</v>
      </c>
      <c r="T416" s="222" t="s">
        <v>349</v>
      </c>
      <c r="U416" s="222" t="s">
        <v>269</v>
      </c>
      <c r="V416" s="222" t="s">
        <v>302</v>
      </c>
      <c r="W416" s="223" t="s">
        <v>302</v>
      </c>
      <c r="X416" s="223" t="s">
        <v>302</v>
      </c>
      <c r="Y416" s="224" t="s">
        <v>302</v>
      </c>
    </row>
    <row r="417" spans="1:25">
      <c r="A417" s="216">
        <v>8</v>
      </c>
      <c r="B417" s="217" t="str">
        <f>VLOOKUP(Tabel10[[#This Row],[Code]],Ruimtegroepen[[Code]:[Ruimte omschrijving]],2,FALSE)</f>
        <v>Mediatheek / OLC</v>
      </c>
      <c r="C417" s="218" t="s">
        <v>642</v>
      </c>
      <c r="D417" s="217" t="s">
        <v>1</v>
      </c>
      <c r="E417" s="219" t="s">
        <v>1325</v>
      </c>
      <c r="F417" s="218" t="s">
        <v>1481</v>
      </c>
      <c r="G417" s="263" t="s">
        <v>302</v>
      </c>
      <c r="H417" s="220" t="s">
        <v>302</v>
      </c>
      <c r="I417" s="221" t="s">
        <v>2</v>
      </c>
      <c r="J417" s="221" t="s">
        <v>302</v>
      </c>
      <c r="K417" s="220" t="s">
        <v>303</v>
      </c>
      <c r="L417" s="220" t="s">
        <v>302</v>
      </c>
      <c r="M417" s="220" t="s">
        <v>302</v>
      </c>
      <c r="N417" s="221" t="s">
        <v>302</v>
      </c>
      <c r="O417" s="222" t="s">
        <v>2</v>
      </c>
      <c r="P417" s="222" t="s">
        <v>2</v>
      </c>
      <c r="Q417" s="222" t="s">
        <v>15</v>
      </c>
      <c r="R417" s="222" t="s">
        <v>15</v>
      </c>
      <c r="S417" s="222" t="s">
        <v>16</v>
      </c>
      <c r="T417" s="222" t="s">
        <v>349</v>
      </c>
      <c r="U417" s="222" t="s">
        <v>269</v>
      </c>
      <c r="V417" s="222" t="s">
        <v>302</v>
      </c>
      <c r="W417" s="223" t="s">
        <v>302</v>
      </c>
      <c r="X417" s="223" t="s">
        <v>302</v>
      </c>
      <c r="Y417" s="224" t="s">
        <v>302</v>
      </c>
    </row>
    <row r="418" spans="1:25">
      <c r="A418" s="216">
        <v>8</v>
      </c>
      <c r="B418" s="217" t="str">
        <f>VLOOKUP(Tabel10[[#This Row],[Code]],Ruimtegroepen[[Code]:[Ruimte omschrijving]],2,FALSE)</f>
        <v>Mediatheek / OLC</v>
      </c>
      <c r="C418" s="218" t="s">
        <v>647</v>
      </c>
      <c r="D418" s="217" t="s">
        <v>21</v>
      </c>
      <c r="E418" s="219" t="s">
        <v>101</v>
      </c>
      <c r="F418" s="218" t="s">
        <v>648</v>
      </c>
      <c r="G418" s="263" t="s">
        <v>302</v>
      </c>
      <c r="H418" s="220" t="s">
        <v>302</v>
      </c>
      <c r="I418" s="220" t="s">
        <v>18</v>
      </c>
      <c r="J418" s="221" t="s">
        <v>15</v>
      </c>
      <c r="K418" s="221" t="s">
        <v>302</v>
      </c>
      <c r="L418" s="220" t="s">
        <v>302</v>
      </c>
      <c r="M418" s="220" t="s">
        <v>302</v>
      </c>
      <c r="N418" s="221" t="s">
        <v>302</v>
      </c>
      <c r="O418" s="222" t="s">
        <v>20</v>
      </c>
      <c r="P418" s="222" t="s">
        <v>20</v>
      </c>
      <c r="Q418" s="222" t="s">
        <v>15</v>
      </c>
      <c r="R418" s="222" t="s">
        <v>15</v>
      </c>
      <c r="S418" s="222" t="s">
        <v>16</v>
      </c>
      <c r="T418" s="222" t="s">
        <v>349</v>
      </c>
      <c r="U418" s="222" t="s">
        <v>269</v>
      </c>
      <c r="V418" s="222" t="s">
        <v>302</v>
      </c>
      <c r="W418" s="223" t="s">
        <v>302</v>
      </c>
      <c r="X418" s="223" t="s">
        <v>302</v>
      </c>
      <c r="Y418" s="224" t="s">
        <v>302</v>
      </c>
    </row>
    <row r="419" spans="1:25">
      <c r="A419" s="216">
        <v>8</v>
      </c>
      <c r="B419" s="217" t="str">
        <f>VLOOKUP(Tabel10[[#This Row],[Code]],Ruimtegroepen[[Code]:[Ruimte omschrijving]],2,FALSE)</f>
        <v>Mediatheek / OLC</v>
      </c>
      <c r="C419" s="218" t="s">
        <v>647</v>
      </c>
      <c r="D419" s="217" t="s">
        <v>21</v>
      </c>
      <c r="E419" s="219" t="s">
        <v>100</v>
      </c>
      <c r="F419" s="218" t="s">
        <v>649</v>
      </c>
      <c r="G419" s="263" t="s">
        <v>302</v>
      </c>
      <c r="H419" s="221" t="s">
        <v>20</v>
      </c>
      <c r="I419" s="220" t="s">
        <v>302</v>
      </c>
      <c r="J419" s="221" t="s">
        <v>302</v>
      </c>
      <c r="K419" s="221" t="s">
        <v>302</v>
      </c>
      <c r="L419" s="220" t="s">
        <v>302</v>
      </c>
      <c r="M419" s="220" t="s">
        <v>302</v>
      </c>
      <c r="N419" s="221" t="s">
        <v>302</v>
      </c>
      <c r="O419" s="222" t="s">
        <v>20</v>
      </c>
      <c r="P419" s="222" t="s">
        <v>20</v>
      </c>
      <c r="Q419" s="222" t="s">
        <v>15</v>
      </c>
      <c r="R419" s="222" t="s">
        <v>15</v>
      </c>
      <c r="S419" s="222" t="s">
        <v>16</v>
      </c>
      <c r="T419" s="222" t="s">
        <v>349</v>
      </c>
      <c r="U419" s="222" t="s">
        <v>269</v>
      </c>
      <c r="V419" s="222" t="s">
        <v>302</v>
      </c>
      <c r="W419" s="223" t="s">
        <v>302</v>
      </c>
      <c r="X419" s="223" t="s">
        <v>302</v>
      </c>
      <c r="Y419" s="224" t="s">
        <v>302</v>
      </c>
    </row>
    <row r="420" spans="1:25">
      <c r="A420" s="216">
        <v>8</v>
      </c>
      <c r="B420" s="217" t="str">
        <f>VLOOKUP(Tabel10[[#This Row],[Code]],Ruimtegroepen[[Code]:[Ruimte omschrijving]],2,FALSE)</f>
        <v>Mediatheek / OLC</v>
      </c>
      <c r="C420" s="218" t="s">
        <v>647</v>
      </c>
      <c r="D420" s="217" t="s">
        <v>21</v>
      </c>
      <c r="E420" s="219" t="s">
        <v>102</v>
      </c>
      <c r="F420" s="218" t="s">
        <v>650</v>
      </c>
      <c r="G420" s="263" t="s">
        <v>302</v>
      </c>
      <c r="H420" s="220" t="s">
        <v>302</v>
      </c>
      <c r="I420" s="220" t="s">
        <v>18</v>
      </c>
      <c r="J420" s="220" t="s">
        <v>15</v>
      </c>
      <c r="K420" s="220" t="s">
        <v>303</v>
      </c>
      <c r="L420" s="220" t="s">
        <v>302</v>
      </c>
      <c r="M420" s="220" t="s">
        <v>302</v>
      </c>
      <c r="N420" s="221" t="s">
        <v>302</v>
      </c>
      <c r="O420" s="222" t="s">
        <v>20</v>
      </c>
      <c r="P420" s="222" t="s">
        <v>20</v>
      </c>
      <c r="Q420" s="222" t="s">
        <v>15</v>
      </c>
      <c r="R420" s="222" t="s">
        <v>15</v>
      </c>
      <c r="S420" s="222" t="s">
        <v>16</v>
      </c>
      <c r="T420" s="222" t="s">
        <v>349</v>
      </c>
      <c r="U420" s="222" t="s">
        <v>269</v>
      </c>
      <c r="V420" s="222" t="s">
        <v>302</v>
      </c>
      <c r="W420" s="223" t="s">
        <v>302</v>
      </c>
      <c r="X420" s="223" t="s">
        <v>302</v>
      </c>
      <c r="Y420" s="224" t="s">
        <v>302</v>
      </c>
    </row>
    <row r="421" spans="1:25">
      <c r="A421" s="216">
        <v>8</v>
      </c>
      <c r="B421" s="217" t="str">
        <f>VLOOKUP(Tabel10[[#This Row],[Code]],Ruimtegroepen[[Code]:[Ruimte omschrijving]],2,FALSE)</f>
        <v>Mediatheek / OLC</v>
      </c>
      <c r="C421" s="218" t="s">
        <v>647</v>
      </c>
      <c r="D421" s="217" t="s">
        <v>21</v>
      </c>
      <c r="E421" s="219" t="s">
        <v>103</v>
      </c>
      <c r="F421" s="218" t="s">
        <v>651</v>
      </c>
      <c r="G421" s="263" t="s">
        <v>302</v>
      </c>
      <c r="H421" s="220" t="s">
        <v>302</v>
      </c>
      <c r="I421" s="220" t="s">
        <v>18</v>
      </c>
      <c r="J421" s="220" t="s">
        <v>15</v>
      </c>
      <c r="K421" s="220" t="s">
        <v>303</v>
      </c>
      <c r="L421" s="220" t="s">
        <v>302</v>
      </c>
      <c r="M421" s="220" t="s">
        <v>302</v>
      </c>
      <c r="N421" s="221" t="s">
        <v>302</v>
      </c>
      <c r="O421" s="222" t="s">
        <v>20</v>
      </c>
      <c r="P421" s="222" t="s">
        <v>20</v>
      </c>
      <c r="Q421" s="222" t="s">
        <v>15</v>
      </c>
      <c r="R421" s="222" t="s">
        <v>15</v>
      </c>
      <c r="S421" s="222" t="s">
        <v>16</v>
      </c>
      <c r="T421" s="222" t="s">
        <v>349</v>
      </c>
      <c r="U421" s="222" t="s">
        <v>269</v>
      </c>
      <c r="V421" s="222" t="s">
        <v>302</v>
      </c>
      <c r="W421" s="223" t="s">
        <v>302</v>
      </c>
      <c r="X421" s="223" t="s">
        <v>302</v>
      </c>
      <c r="Y421" s="224" t="s">
        <v>302</v>
      </c>
    </row>
    <row r="422" spans="1:25">
      <c r="A422" s="216">
        <v>8</v>
      </c>
      <c r="B422" s="217" t="str">
        <f>VLOOKUP(Tabel10[[#This Row],[Code]],Ruimtegroepen[[Code]:[Ruimte omschrijving]],2,FALSE)</f>
        <v>Mediatheek / OLC</v>
      </c>
      <c r="C422" s="218" t="s">
        <v>647</v>
      </c>
      <c r="D422" s="217" t="s">
        <v>21</v>
      </c>
      <c r="E422" s="219" t="s">
        <v>100</v>
      </c>
      <c r="F422" s="218" t="s">
        <v>649</v>
      </c>
      <c r="G422" s="263" t="s">
        <v>302</v>
      </c>
      <c r="H422" s="221" t="s">
        <v>20</v>
      </c>
      <c r="I422" s="220" t="s">
        <v>302</v>
      </c>
      <c r="J422" s="221" t="s">
        <v>302</v>
      </c>
      <c r="K422" s="221" t="s">
        <v>302</v>
      </c>
      <c r="L422" s="220" t="s">
        <v>302</v>
      </c>
      <c r="M422" s="220" t="s">
        <v>302</v>
      </c>
      <c r="N422" s="221" t="s">
        <v>302</v>
      </c>
      <c r="O422" s="222" t="s">
        <v>20</v>
      </c>
      <c r="P422" s="222" t="s">
        <v>20</v>
      </c>
      <c r="Q422" s="222" t="s">
        <v>15</v>
      </c>
      <c r="R422" s="222" t="s">
        <v>15</v>
      </c>
      <c r="S422" s="222" t="s">
        <v>16</v>
      </c>
      <c r="T422" s="222" t="s">
        <v>349</v>
      </c>
      <c r="U422" s="222" t="s">
        <v>269</v>
      </c>
      <c r="V422" s="222" t="s">
        <v>302</v>
      </c>
      <c r="W422" s="223" t="s">
        <v>302</v>
      </c>
      <c r="X422" s="223" t="s">
        <v>302</v>
      </c>
      <c r="Y422" s="224" t="s">
        <v>302</v>
      </c>
    </row>
    <row r="423" spans="1:25">
      <c r="A423" s="216">
        <v>8</v>
      </c>
      <c r="B423" s="217" t="str">
        <f>VLOOKUP(Tabel10[[#This Row],[Code]],Ruimtegroepen[[Code]:[Ruimte omschrijving]],2,FALSE)</f>
        <v>Mediatheek / OLC</v>
      </c>
      <c r="C423" s="218" t="s">
        <v>647</v>
      </c>
      <c r="D423" s="217" t="s">
        <v>21</v>
      </c>
      <c r="E423" s="219" t="s">
        <v>1325</v>
      </c>
      <c r="F423" s="218" t="s">
        <v>1464</v>
      </c>
      <c r="G423" s="263" t="s">
        <v>302</v>
      </c>
      <c r="H423" s="220" t="s">
        <v>302</v>
      </c>
      <c r="I423" s="220" t="s">
        <v>18</v>
      </c>
      <c r="J423" s="220" t="s">
        <v>15</v>
      </c>
      <c r="K423" s="220" t="s">
        <v>303</v>
      </c>
      <c r="L423" s="220" t="s">
        <v>302</v>
      </c>
      <c r="M423" s="220" t="s">
        <v>302</v>
      </c>
      <c r="N423" s="221" t="s">
        <v>302</v>
      </c>
      <c r="O423" s="222" t="s">
        <v>20</v>
      </c>
      <c r="P423" s="222" t="s">
        <v>20</v>
      </c>
      <c r="Q423" s="222" t="s">
        <v>15</v>
      </c>
      <c r="R423" s="222" t="s">
        <v>15</v>
      </c>
      <c r="S423" s="222" t="s">
        <v>16</v>
      </c>
      <c r="T423" s="222" t="s">
        <v>349</v>
      </c>
      <c r="U423" s="222" t="s">
        <v>269</v>
      </c>
      <c r="V423" s="222" t="s">
        <v>302</v>
      </c>
      <c r="W423" s="223" t="s">
        <v>302</v>
      </c>
      <c r="X423" s="223" t="s">
        <v>302</v>
      </c>
      <c r="Y423" s="224" t="s">
        <v>302</v>
      </c>
    </row>
    <row r="424" spans="1:25">
      <c r="A424" s="216">
        <v>8</v>
      </c>
      <c r="B424" s="217" t="str">
        <f>VLOOKUP(Tabel10[[#This Row],[Code]],Ruimtegroepen[[Code]:[Ruimte omschrijving]],2,FALSE)</f>
        <v>Mediatheek / OLC</v>
      </c>
      <c r="C424" s="218" t="s">
        <v>652</v>
      </c>
      <c r="D424" s="217" t="s">
        <v>12</v>
      </c>
      <c r="E424" s="219" t="s">
        <v>101</v>
      </c>
      <c r="F424" s="218" t="s">
        <v>653</v>
      </c>
      <c r="G424" s="263" t="s">
        <v>302</v>
      </c>
      <c r="H424" s="220" t="s">
        <v>302</v>
      </c>
      <c r="I424" s="220" t="s">
        <v>17</v>
      </c>
      <c r="J424" s="221" t="s">
        <v>15</v>
      </c>
      <c r="K424" s="221" t="s">
        <v>302</v>
      </c>
      <c r="L424" s="220" t="s">
        <v>302</v>
      </c>
      <c r="M424" s="220" t="s">
        <v>302</v>
      </c>
      <c r="N424" s="221" t="s">
        <v>302</v>
      </c>
      <c r="O424" s="222" t="s">
        <v>18</v>
      </c>
      <c r="P424" s="222" t="s">
        <v>18</v>
      </c>
      <c r="Q424" s="222" t="s">
        <v>15</v>
      </c>
      <c r="R424" s="222" t="s">
        <v>15</v>
      </c>
      <c r="S424" s="222" t="s">
        <v>16</v>
      </c>
      <c r="T424" s="222" t="s">
        <v>349</v>
      </c>
      <c r="U424" s="222" t="s">
        <v>269</v>
      </c>
      <c r="V424" s="222" t="s">
        <v>302</v>
      </c>
      <c r="W424" s="223" t="s">
        <v>302</v>
      </c>
      <c r="X424" s="223" t="s">
        <v>302</v>
      </c>
      <c r="Y424" s="224" t="s">
        <v>302</v>
      </c>
    </row>
    <row r="425" spans="1:25">
      <c r="A425" s="216">
        <v>8</v>
      </c>
      <c r="B425" s="217" t="str">
        <f>VLOOKUP(Tabel10[[#This Row],[Code]],Ruimtegroepen[[Code]:[Ruimte omschrijving]],2,FALSE)</f>
        <v>Mediatheek / OLC</v>
      </c>
      <c r="C425" s="218" t="s">
        <v>652</v>
      </c>
      <c r="D425" s="217" t="s">
        <v>12</v>
      </c>
      <c r="E425" s="219" t="s">
        <v>100</v>
      </c>
      <c r="F425" s="218" t="s">
        <v>654</v>
      </c>
      <c r="G425" s="263" t="s">
        <v>302</v>
      </c>
      <c r="H425" s="221" t="s">
        <v>18</v>
      </c>
      <c r="I425" s="220" t="s">
        <v>302</v>
      </c>
      <c r="J425" s="221" t="s">
        <v>302</v>
      </c>
      <c r="K425" s="221" t="s">
        <v>302</v>
      </c>
      <c r="L425" s="220" t="s">
        <v>302</v>
      </c>
      <c r="M425" s="220" t="s">
        <v>302</v>
      </c>
      <c r="N425" s="221" t="s">
        <v>302</v>
      </c>
      <c r="O425" s="222" t="s">
        <v>18</v>
      </c>
      <c r="P425" s="222" t="s">
        <v>18</v>
      </c>
      <c r="Q425" s="222" t="s">
        <v>15</v>
      </c>
      <c r="R425" s="222" t="s">
        <v>15</v>
      </c>
      <c r="S425" s="222" t="s">
        <v>16</v>
      </c>
      <c r="T425" s="222" t="s">
        <v>349</v>
      </c>
      <c r="U425" s="222" t="s">
        <v>269</v>
      </c>
      <c r="V425" s="222" t="s">
        <v>302</v>
      </c>
      <c r="W425" s="223" t="s">
        <v>302</v>
      </c>
      <c r="X425" s="223" t="s">
        <v>302</v>
      </c>
      <c r="Y425" s="224" t="s">
        <v>302</v>
      </c>
    </row>
    <row r="426" spans="1:25">
      <c r="A426" s="216">
        <v>8</v>
      </c>
      <c r="B426" s="217" t="str">
        <f>VLOOKUP(Tabel10[[#This Row],[Code]],Ruimtegroepen[[Code]:[Ruimte omschrijving]],2,FALSE)</f>
        <v>Mediatheek / OLC</v>
      </c>
      <c r="C426" s="218" t="s">
        <v>652</v>
      </c>
      <c r="D426" s="217" t="s">
        <v>12</v>
      </c>
      <c r="E426" s="219" t="s">
        <v>102</v>
      </c>
      <c r="F426" s="218" t="s">
        <v>655</v>
      </c>
      <c r="G426" s="263" t="s">
        <v>302</v>
      </c>
      <c r="H426" s="220" t="s">
        <v>302</v>
      </c>
      <c r="I426" s="220" t="s">
        <v>17</v>
      </c>
      <c r="J426" s="220" t="s">
        <v>15</v>
      </c>
      <c r="K426" s="220" t="s">
        <v>303</v>
      </c>
      <c r="L426" s="220" t="s">
        <v>302</v>
      </c>
      <c r="M426" s="220" t="s">
        <v>302</v>
      </c>
      <c r="N426" s="221" t="s">
        <v>302</v>
      </c>
      <c r="O426" s="222" t="s">
        <v>18</v>
      </c>
      <c r="P426" s="222" t="s">
        <v>18</v>
      </c>
      <c r="Q426" s="222" t="s">
        <v>15</v>
      </c>
      <c r="R426" s="222" t="s">
        <v>15</v>
      </c>
      <c r="S426" s="222" t="s">
        <v>16</v>
      </c>
      <c r="T426" s="222" t="s">
        <v>349</v>
      </c>
      <c r="U426" s="222" t="s">
        <v>269</v>
      </c>
      <c r="V426" s="222" t="s">
        <v>302</v>
      </c>
      <c r="W426" s="223" t="s">
        <v>302</v>
      </c>
      <c r="X426" s="223" t="s">
        <v>302</v>
      </c>
      <c r="Y426" s="224" t="s">
        <v>302</v>
      </c>
    </row>
    <row r="427" spans="1:25">
      <c r="A427" s="216">
        <v>8</v>
      </c>
      <c r="B427" s="217" t="str">
        <f>VLOOKUP(Tabel10[[#This Row],[Code]],Ruimtegroepen[[Code]:[Ruimte omschrijving]],2,FALSE)</f>
        <v>Mediatheek / OLC</v>
      </c>
      <c r="C427" s="218" t="s">
        <v>652</v>
      </c>
      <c r="D427" s="217" t="s">
        <v>12</v>
      </c>
      <c r="E427" s="219" t="s">
        <v>103</v>
      </c>
      <c r="F427" s="218" t="s">
        <v>656</v>
      </c>
      <c r="G427" s="263" t="s">
        <v>302</v>
      </c>
      <c r="H427" s="220" t="s">
        <v>302</v>
      </c>
      <c r="I427" s="220" t="s">
        <v>17</v>
      </c>
      <c r="J427" s="220" t="s">
        <v>15</v>
      </c>
      <c r="K427" s="220" t="s">
        <v>303</v>
      </c>
      <c r="L427" s="220" t="s">
        <v>302</v>
      </c>
      <c r="M427" s="220" t="s">
        <v>302</v>
      </c>
      <c r="N427" s="221" t="s">
        <v>302</v>
      </c>
      <c r="O427" s="222" t="s">
        <v>18</v>
      </c>
      <c r="P427" s="222" t="s">
        <v>18</v>
      </c>
      <c r="Q427" s="222" t="s">
        <v>15</v>
      </c>
      <c r="R427" s="222" t="s">
        <v>15</v>
      </c>
      <c r="S427" s="222" t="s">
        <v>16</v>
      </c>
      <c r="T427" s="222" t="s">
        <v>349</v>
      </c>
      <c r="U427" s="222" t="s">
        <v>269</v>
      </c>
      <c r="V427" s="222" t="s">
        <v>302</v>
      </c>
      <c r="W427" s="223" t="s">
        <v>302</v>
      </c>
      <c r="X427" s="223" t="s">
        <v>302</v>
      </c>
      <c r="Y427" s="224" t="s">
        <v>302</v>
      </c>
    </row>
    <row r="428" spans="1:25">
      <c r="A428" s="216">
        <v>8</v>
      </c>
      <c r="B428" s="217" t="str">
        <f>VLOOKUP(Tabel10[[#This Row],[Code]],Ruimtegroepen[[Code]:[Ruimte omschrijving]],2,FALSE)</f>
        <v>Mediatheek / OLC</v>
      </c>
      <c r="C428" s="218" t="s">
        <v>652</v>
      </c>
      <c r="D428" s="217" t="s">
        <v>12</v>
      </c>
      <c r="E428" s="219" t="s">
        <v>100</v>
      </c>
      <c r="F428" s="218" t="s">
        <v>654</v>
      </c>
      <c r="G428" s="263" t="s">
        <v>302</v>
      </c>
      <c r="H428" s="221" t="s">
        <v>18</v>
      </c>
      <c r="I428" s="220" t="s">
        <v>302</v>
      </c>
      <c r="J428" s="221" t="s">
        <v>302</v>
      </c>
      <c r="K428" s="221" t="s">
        <v>302</v>
      </c>
      <c r="L428" s="220" t="s">
        <v>302</v>
      </c>
      <c r="M428" s="220" t="s">
        <v>302</v>
      </c>
      <c r="N428" s="221" t="s">
        <v>302</v>
      </c>
      <c r="O428" s="222" t="s">
        <v>18</v>
      </c>
      <c r="P428" s="222" t="s">
        <v>18</v>
      </c>
      <c r="Q428" s="222" t="s">
        <v>15</v>
      </c>
      <c r="R428" s="222" t="s">
        <v>15</v>
      </c>
      <c r="S428" s="222" t="s">
        <v>16</v>
      </c>
      <c r="T428" s="222" t="s">
        <v>349</v>
      </c>
      <c r="U428" s="222" t="s">
        <v>269</v>
      </c>
      <c r="V428" s="222" t="s">
        <v>302</v>
      </c>
      <c r="W428" s="223" t="s">
        <v>302</v>
      </c>
      <c r="X428" s="223" t="s">
        <v>302</v>
      </c>
      <c r="Y428" s="224" t="s">
        <v>302</v>
      </c>
    </row>
    <row r="429" spans="1:25">
      <c r="A429" s="216">
        <v>8</v>
      </c>
      <c r="B429" s="217" t="str">
        <f>VLOOKUP(Tabel10[[#This Row],[Code]],Ruimtegroepen[[Code]:[Ruimte omschrijving]],2,FALSE)</f>
        <v>Mediatheek / OLC</v>
      </c>
      <c r="C429" s="218" t="s">
        <v>652</v>
      </c>
      <c r="D429" s="217" t="s">
        <v>12</v>
      </c>
      <c r="E429" s="219" t="s">
        <v>1325</v>
      </c>
      <c r="F429" s="218" t="s">
        <v>1446</v>
      </c>
      <c r="G429" s="263" t="s">
        <v>302</v>
      </c>
      <c r="H429" s="220" t="s">
        <v>302</v>
      </c>
      <c r="I429" s="220" t="s">
        <v>17</v>
      </c>
      <c r="J429" s="220" t="s">
        <v>15</v>
      </c>
      <c r="K429" s="220" t="s">
        <v>303</v>
      </c>
      <c r="L429" s="220" t="s">
        <v>302</v>
      </c>
      <c r="M429" s="220" t="s">
        <v>302</v>
      </c>
      <c r="N429" s="221" t="s">
        <v>302</v>
      </c>
      <c r="O429" s="222" t="s">
        <v>18</v>
      </c>
      <c r="P429" s="222" t="s">
        <v>18</v>
      </c>
      <c r="Q429" s="222" t="s">
        <v>15</v>
      </c>
      <c r="R429" s="222" t="s">
        <v>15</v>
      </c>
      <c r="S429" s="222" t="s">
        <v>16</v>
      </c>
      <c r="T429" s="222" t="s">
        <v>349</v>
      </c>
      <c r="U429" s="222" t="s">
        <v>269</v>
      </c>
      <c r="V429" s="222" t="s">
        <v>302</v>
      </c>
      <c r="W429" s="223" t="s">
        <v>302</v>
      </c>
      <c r="X429" s="223" t="s">
        <v>302</v>
      </c>
      <c r="Y429" s="224" t="s">
        <v>302</v>
      </c>
    </row>
    <row r="430" spans="1:25">
      <c r="A430" s="216">
        <v>8</v>
      </c>
      <c r="B430" s="217" t="str">
        <f>VLOOKUP(Tabel10[[#This Row],[Code]],Ruimtegroepen[[Code]:[Ruimte omschrijving]],2,FALSE)</f>
        <v>Mediatheek / OLC</v>
      </c>
      <c r="C430" s="218" t="s">
        <v>657</v>
      </c>
      <c r="D430" s="217" t="s">
        <v>14</v>
      </c>
      <c r="E430" s="219" t="s">
        <v>101</v>
      </c>
      <c r="F430" s="218" t="s">
        <v>658</v>
      </c>
      <c r="G430" s="263" t="s">
        <v>302</v>
      </c>
      <c r="H430" s="220" t="s">
        <v>302</v>
      </c>
      <c r="I430" s="220" t="s">
        <v>15</v>
      </c>
      <c r="J430" s="221" t="s">
        <v>15</v>
      </c>
      <c r="K430" s="221" t="s">
        <v>302</v>
      </c>
      <c r="L430" s="220" t="s">
        <v>302</v>
      </c>
      <c r="M430" s="220" t="s">
        <v>302</v>
      </c>
      <c r="N430" s="221" t="s">
        <v>302</v>
      </c>
      <c r="O430" s="222" t="s">
        <v>17</v>
      </c>
      <c r="P430" s="222" t="s">
        <v>17</v>
      </c>
      <c r="Q430" s="222" t="s">
        <v>15</v>
      </c>
      <c r="R430" s="222" t="s">
        <v>15</v>
      </c>
      <c r="S430" s="222" t="s">
        <v>16</v>
      </c>
      <c r="T430" s="222" t="s">
        <v>349</v>
      </c>
      <c r="U430" s="222" t="s">
        <v>269</v>
      </c>
      <c r="V430" s="222" t="s">
        <v>302</v>
      </c>
      <c r="W430" s="223" t="s">
        <v>302</v>
      </c>
      <c r="X430" s="223" t="s">
        <v>302</v>
      </c>
      <c r="Y430" s="224" t="s">
        <v>302</v>
      </c>
    </row>
    <row r="431" spans="1:25">
      <c r="A431" s="216">
        <v>8</v>
      </c>
      <c r="B431" s="217" t="str">
        <f>VLOOKUP(Tabel10[[#This Row],[Code]],Ruimtegroepen[[Code]:[Ruimte omschrijving]],2,FALSE)</f>
        <v>Mediatheek / OLC</v>
      </c>
      <c r="C431" s="218" t="s">
        <v>657</v>
      </c>
      <c r="D431" s="217" t="s">
        <v>14</v>
      </c>
      <c r="E431" s="219" t="s">
        <v>100</v>
      </c>
      <c r="F431" s="218" t="s">
        <v>659</v>
      </c>
      <c r="G431" s="263" t="s">
        <v>302</v>
      </c>
      <c r="H431" s="221" t="s">
        <v>17</v>
      </c>
      <c r="I431" s="220" t="s">
        <v>302</v>
      </c>
      <c r="J431" s="221" t="s">
        <v>302</v>
      </c>
      <c r="K431" s="221" t="s">
        <v>302</v>
      </c>
      <c r="L431" s="220" t="s">
        <v>302</v>
      </c>
      <c r="M431" s="220" t="s">
        <v>302</v>
      </c>
      <c r="N431" s="221" t="s">
        <v>302</v>
      </c>
      <c r="O431" s="222" t="s">
        <v>17</v>
      </c>
      <c r="P431" s="222" t="s">
        <v>17</v>
      </c>
      <c r="Q431" s="222" t="s">
        <v>15</v>
      </c>
      <c r="R431" s="222" t="s">
        <v>15</v>
      </c>
      <c r="S431" s="222" t="s">
        <v>16</v>
      </c>
      <c r="T431" s="222" t="s">
        <v>349</v>
      </c>
      <c r="U431" s="222" t="s">
        <v>269</v>
      </c>
      <c r="V431" s="222" t="s">
        <v>302</v>
      </c>
      <c r="W431" s="223" t="s">
        <v>302</v>
      </c>
      <c r="X431" s="223" t="s">
        <v>302</v>
      </c>
      <c r="Y431" s="224" t="s">
        <v>302</v>
      </c>
    </row>
    <row r="432" spans="1:25">
      <c r="A432" s="216">
        <v>8</v>
      </c>
      <c r="B432" s="217" t="str">
        <f>VLOOKUP(Tabel10[[#This Row],[Code]],Ruimtegroepen[[Code]:[Ruimte omschrijving]],2,FALSE)</f>
        <v>Mediatheek / OLC</v>
      </c>
      <c r="C432" s="218" t="s">
        <v>657</v>
      </c>
      <c r="D432" s="217" t="s">
        <v>14</v>
      </c>
      <c r="E432" s="219" t="s">
        <v>102</v>
      </c>
      <c r="F432" s="218" t="s">
        <v>660</v>
      </c>
      <c r="G432" s="263" t="s">
        <v>302</v>
      </c>
      <c r="H432" s="220" t="s">
        <v>302</v>
      </c>
      <c r="I432" s="220" t="s">
        <v>15</v>
      </c>
      <c r="J432" s="220" t="s">
        <v>15</v>
      </c>
      <c r="K432" s="220" t="s">
        <v>303</v>
      </c>
      <c r="L432" s="220" t="s">
        <v>302</v>
      </c>
      <c r="M432" s="220" t="s">
        <v>302</v>
      </c>
      <c r="N432" s="221" t="s">
        <v>302</v>
      </c>
      <c r="O432" s="222" t="s">
        <v>17</v>
      </c>
      <c r="P432" s="222" t="s">
        <v>17</v>
      </c>
      <c r="Q432" s="222" t="s">
        <v>15</v>
      </c>
      <c r="R432" s="222" t="s">
        <v>15</v>
      </c>
      <c r="S432" s="222" t="s">
        <v>16</v>
      </c>
      <c r="T432" s="222" t="s">
        <v>349</v>
      </c>
      <c r="U432" s="222" t="s">
        <v>269</v>
      </c>
      <c r="V432" s="222" t="s">
        <v>302</v>
      </c>
      <c r="W432" s="223" t="s">
        <v>302</v>
      </c>
      <c r="X432" s="223" t="s">
        <v>302</v>
      </c>
      <c r="Y432" s="224" t="s">
        <v>302</v>
      </c>
    </row>
    <row r="433" spans="1:25">
      <c r="A433" s="216">
        <v>8</v>
      </c>
      <c r="B433" s="217" t="str">
        <f>VLOOKUP(Tabel10[[#This Row],[Code]],Ruimtegroepen[[Code]:[Ruimte omschrijving]],2,FALSE)</f>
        <v>Mediatheek / OLC</v>
      </c>
      <c r="C433" s="218" t="s">
        <v>657</v>
      </c>
      <c r="D433" s="217" t="s">
        <v>14</v>
      </c>
      <c r="E433" s="219" t="s">
        <v>103</v>
      </c>
      <c r="F433" s="218" t="s">
        <v>661</v>
      </c>
      <c r="G433" s="263" t="s">
        <v>302</v>
      </c>
      <c r="H433" s="220" t="s">
        <v>302</v>
      </c>
      <c r="I433" s="220" t="s">
        <v>15</v>
      </c>
      <c r="J433" s="220" t="s">
        <v>15</v>
      </c>
      <c r="K433" s="220" t="s">
        <v>303</v>
      </c>
      <c r="L433" s="220" t="s">
        <v>302</v>
      </c>
      <c r="M433" s="220" t="s">
        <v>302</v>
      </c>
      <c r="N433" s="221" t="s">
        <v>302</v>
      </c>
      <c r="O433" s="222" t="s">
        <v>17</v>
      </c>
      <c r="P433" s="222" t="s">
        <v>17</v>
      </c>
      <c r="Q433" s="222" t="s">
        <v>15</v>
      </c>
      <c r="R433" s="222" t="s">
        <v>15</v>
      </c>
      <c r="S433" s="222" t="s">
        <v>16</v>
      </c>
      <c r="T433" s="222" t="s">
        <v>349</v>
      </c>
      <c r="U433" s="222" t="s">
        <v>269</v>
      </c>
      <c r="V433" s="222" t="s">
        <v>302</v>
      </c>
      <c r="W433" s="223" t="s">
        <v>302</v>
      </c>
      <c r="X433" s="223" t="s">
        <v>302</v>
      </c>
      <c r="Y433" s="224" t="s">
        <v>302</v>
      </c>
    </row>
    <row r="434" spans="1:25">
      <c r="A434" s="216">
        <v>8</v>
      </c>
      <c r="B434" s="217" t="str">
        <f>VLOOKUP(Tabel10[[#This Row],[Code]],Ruimtegroepen[[Code]:[Ruimte omschrijving]],2,FALSE)</f>
        <v>Mediatheek / OLC</v>
      </c>
      <c r="C434" s="218" t="s">
        <v>657</v>
      </c>
      <c r="D434" s="217" t="s">
        <v>14</v>
      </c>
      <c r="E434" s="219" t="s">
        <v>100</v>
      </c>
      <c r="F434" s="218" t="s">
        <v>659</v>
      </c>
      <c r="G434" s="263" t="s">
        <v>302</v>
      </c>
      <c r="H434" s="221" t="s">
        <v>17</v>
      </c>
      <c r="I434" s="220" t="s">
        <v>302</v>
      </c>
      <c r="J434" s="221" t="s">
        <v>302</v>
      </c>
      <c r="K434" s="221" t="s">
        <v>302</v>
      </c>
      <c r="L434" s="220" t="s">
        <v>302</v>
      </c>
      <c r="M434" s="220" t="s">
        <v>302</v>
      </c>
      <c r="N434" s="221" t="s">
        <v>302</v>
      </c>
      <c r="O434" s="222" t="s">
        <v>17</v>
      </c>
      <c r="P434" s="222" t="s">
        <v>17</v>
      </c>
      <c r="Q434" s="222" t="s">
        <v>15</v>
      </c>
      <c r="R434" s="222" t="s">
        <v>15</v>
      </c>
      <c r="S434" s="222" t="s">
        <v>16</v>
      </c>
      <c r="T434" s="222" t="s">
        <v>349</v>
      </c>
      <c r="U434" s="222" t="s">
        <v>269</v>
      </c>
      <c r="V434" s="222" t="s">
        <v>302</v>
      </c>
      <c r="W434" s="223" t="s">
        <v>302</v>
      </c>
      <c r="X434" s="223" t="s">
        <v>302</v>
      </c>
      <c r="Y434" s="224" t="s">
        <v>302</v>
      </c>
    </row>
    <row r="435" spans="1:25">
      <c r="A435" s="216">
        <v>8</v>
      </c>
      <c r="B435" s="217" t="str">
        <f>VLOOKUP(Tabel10[[#This Row],[Code]],Ruimtegroepen[[Code]:[Ruimte omschrijving]],2,FALSE)</f>
        <v>Mediatheek / OLC</v>
      </c>
      <c r="C435" s="218" t="s">
        <v>657</v>
      </c>
      <c r="D435" s="217" t="s">
        <v>14</v>
      </c>
      <c r="E435" s="219" t="s">
        <v>1325</v>
      </c>
      <c r="F435" s="218" t="s">
        <v>1413</v>
      </c>
      <c r="G435" s="263" t="s">
        <v>302</v>
      </c>
      <c r="H435" s="220" t="s">
        <v>302</v>
      </c>
      <c r="I435" s="220" t="s">
        <v>15</v>
      </c>
      <c r="J435" s="220" t="s">
        <v>15</v>
      </c>
      <c r="K435" s="220" t="s">
        <v>303</v>
      </c>
      <c r="L435" s="220" t="s">
        <v>302</v>
      </c>
      <c r="M435" s="220" t="s">
        <v>302</v>
      </c>
      <c r="N435" s="221" t="s">
        <v>302</v>
      </c>
      <c r="O435" s="222" t="s">
        <v>17</v>
      </c>
      <c r="P435" s="222" t="s">
        <v>17</v>
      </c>
      <c r="Q435" s="222" t="s">
        <v>15</v>
      </c>
      <c r="R435" s="222" t="s">
        <v>15</v>
      </c>
      <c r="S435" s="222" t="s">
        <v>16</v>
      </c>
      <c r="T435" s="222" t="s">
        <v>349</v>
      </c>
      <c r="U435" s="222" t="s">
        <v>269</v>
      </c>
      <c r="V435" s="222" t="s">
        <v>302</v>
      </c>
      <c r="W435" s="223" t="s">
        <v>302</v>
      </c>
      <c r="X435" s="223" t="s">
        <v>302</v>
      </c>
      <c r="Y435" s="224" t="s">
        <v>302</v>
      </c>
    </row>
    <row r="436" spans="1:25">
      <c r="A436" s="216">
        <v>8</v>
      </c>
      <c r="B436" s="217" t="str">
        <f>VLOOKUP(Tabel10[[#This Row],[Code]],Ruimtegroepen[[Code]:[Ruimte omschrijving]],2,FALSE)</f>
        <v>Mediatheek / OLC</v>
      </c>
      <c r="C436" s="218" t="s">
        <v>662</v>
      </c>
      <c r="D436" s="217" t="s">
        <v>13</v>
      </c>
      <c r="E436" s="219" t="s">
        <v>101</v>
      </c>
      <c r="F436" s="218" t="s">
        <v>663</v>
      </c>
      <c r="G436" s="263" t="s">
        <v>302</v>
      </c>
      <c r="H436" s="220" t="s">
        <v>302</v>
      </c>
      <c r="I436" s="220" t="s">
        <v>302</v>
      </c>
      <c r="J436" s="221" t="s">
        <v>15</v>
      </c>
      <c r="K436" s="221" t="s">
        <v>302</v>
      </c>
      <c r="L436" s="220" t="s">
        <v>302</v>
      </c>
      <c r="M436" s="220" t="s">
        <v>302</v>
      </c>
      <c r="N436" s="221" t="s">
        <v>302</v>
      </c>
      <c r="O436" s="222" t="s">
        <v>15</v>
      </c>
      <c r="P436" s="222" t="s">
        <v>15</v>
      </c>
      <c r="Q436" s="222" t="s">
        <v>15</v>
      </c>
      <c r="R436" s="222" t="s">
        <v>15</v>
      </c>
      <c r="S436" s="222" t="s">
        <v>16</v>
      </c>
      <c r="T436" s="222" t="s">
        <v>349</v>
      </c>
      <c r="U436" s="222" t="s">
        <v>269</v>
      </c>
      <c r="V436" s="222" t="s">
        <v>302</v>
      </c>
      <c r="W436" s="223" t="s">
        <v>302</v>
      </c>
      <c r="X436" s="223" t="s">
        <v>302</v>
      </c>
      <c r="Y436" s="224" t="s">
        <v>302</v>
      </c>
    </row>
    <row r="437" spans="1:25">
      <c r="A437" s="216">
        <v>8</v>
      </c>
      <c r="B437" s="217" t="str">
        <f>VLOOKUP(Tabel10[[#This Row],[Code]],Ruimtegroepen[[Code]:[Ruimte omschrijving]],2,FALSE)</f>
        <v>Mediatheek / OLC</v>
      </c>
      <c r="C437" s="218" t="s">
        <v>662</v>
      </c>
      <c r="D437" s="217" t="s">
        <v>13</v>
      </c>
      <c r="E437" s="219" t="s">
        <v>100</v>
      </c>
      <c r="F437" s="218" t="s">
        <v>664</v>
      </c>
      <c r="G437" s="263" t="s">
        <v>302</v>
      </c>
      <c r="H437" s="221" t="s">
        <v>15</v>
      </c>
      <c r="I437" s="220" t="s">
        <v>302</v>
      </c>
      <c r="J437" s="221" t="s">
        <v>302</v>
      </c>
      <c r="K437" s="221" t="s">
        <v>302</v>
      </c>
      <c r="L437" s="220" t="s">
        <v>302</v>
      </c>
      <c r="M437" s="220" t="s">
        <v>302</v>
      </c>
      <c r="N437" s="221" t="s">
        <v>302</v>
      </c>
      <c r="O437" s="222" t="s">
        <v>15</v>
      </c>
      <c r="P437" s="222" t="s">
        <v>15</v>
      </c>
      <c r="Q437" s="222" t="s">
        <v>15</v>
      </c>
      <c r="R437" s="222" t="s">
        <v>15</v>
      </c>
      <c r="S437" s="222" t="s">
        <v>16</v>
      </c>
      <c r="T437" s="222" t="s">
        <v>349</v>
      </c>
      <c r="U437" s="222" t="s">
        <v>269</v>
      </c>
      <c r="V437" s="222" t="s">
        <v>302</v>
      </c>
      <c r="W437" s="223" t="s">
        <v>302</v>
      </c>
      <c r="X437" s="223" t="s">
        <v>302</v>
      </c>
      <c r="Y437" s="224" t="s">
        <v>302</v>
      </c>
    </row>
    <row r="438" spans="1:25">
      <c r="A438" s="216">
        <v>8</v>
      </c>
      <c r="B438" s="217" t="str">
        <f>VLOOKUP(Tabel10[[#This Row],[Code]],Ruimtegroepen[[Code]:[Ruimte omschrijving]],2,FALSE)</f>
        <v>Mediatheek / OLC</v>
      </c>
      <c r="C438" s="218" t="s">
        <v>662</v>
      </c>
      <c r="D438" s="217" t="s">
        <v>13</v>
      </c>
      <c r="E438" s="219" t="s">
        <v>102</v>
      </c>
      <c r="F438" s="218" t="s">
        <v>665</v>
      </c>
      <c r="G438" s="263" t="s">
        <v>302</v>
      </c>
      <c r="H438" s="220" t="s">
        <v>302</v>
      </c>
      <c r="I438" s="220" t="s">
        <v>302</v>
      </c>
      <c r="J438" s="220" t="s">
        <v>15</v>
      </c>
      <c r="K438" s="220" t="s">
        <v>303</v>
      </c>
      <c r="L438" s="220" t="s">
        <v>302</v>
      </c>
      <c r="M438" s="220" t="s">
        <v>302</v>
      </c>
      <c r="N438" s="221" t="s">
        <v>302</v>
      </c>
      <c r="O438" s="222" t="s">
        <v>15</v>
      </c>
      <c r="P438" s="222" t="s">
        <v>15</v>
      </c>
      <c r="Q438" s="222" t="s">
        <v>15</v>
      </c>
      <c r="R438" s="222" t="s">
        <v>15</v>
      </c>
      <c r="S438" s="222" t="s">
        <v>16</v>
      </c>
      <c r="T438" s="222" t="s">
        <v>349</v>
      </c>
      <c r="U438" s="222" t="s">
        <v>269</v>
      </c>
      <c r="V438" s="222" t="s">
        <v>302</v>
      </c>
      <c r="W438" s="223" t="s">
        <v>302</v>
      </c>
      <c r="X438" s="223" t="s">
        <v>302</v>
      </c>
      <c r="Y438" s="224" t="s">
        <v>302</v>
      </c>
    </row>
    <row r="439" spans="1:25">
      <c r="A439" s="216">
        <v>8</v>
      </c>
      <c r="B439" s="217" t="str">
        <f>VLOOKUP(Tabel10[[#This Row],[Code]],Ruimtegroepen[[Code]:[Ruimte omschrijving]],2,FALSE)</f>
        <v>Mediatheek / OLC</v>
      </c>
      <c r="C439" s="218" t="s">
        <v>662</v>
      </c>
      <c r="D439" s="217" t="s">
        <v>13</v>
      </c>
      <c r="E439" s="219" t="s">
        <v>103</v>
      </c>
      <c r="F439" s="218" t="s">
        <v>666</v>
      </c>
      <c r="G439" s="263" t="s">
        <v>302</v>
      </c>
      <c r="H439" s="220" t="s">
        <v>302</v>
      </c>
      <c r="I439" s="220" t="s">
        <v>302</v>
      </c>
      <c r="J439" s="220" t="s">
        <v>15</v>
      </c>
      <c r="K439" s="220" t="s">
        <v>303</v>
      </c>
      <c r="L439" s="220" t="s">
        <v>302</v>
      </c>
      <c r="M439" s="220" t="s">
        <v>302</v>
      </c>
      <c r="N439" s="221" t="s">
        <v>302</v>
      </c>
      <c r="O439" s="222" t="s">
        <v>15</v>
      </c>
      <c r="P439" s="222" t="s">
        <v>15</v>
      </c>
      <c r="Q439" s="222" t="s">
        <v>15</v>
      </c>
      <c r="R439" s="222" t="s">
        <v>15</v>
      </c>
      <c r="S439" s="222" t="s">
        <v>16</v>
      </c>
      <c r="T439" s="222" t="s">
        <v>349</v>
      </c>
      <c r="U439" s="222" t="s">
        <v>269</v>
      </c>
      <c r="V439" s="222" t="s">
        <v>302</v>
      </c>
      <c r="W439" s="223" t="s">
        <v>302</v>
      </c>
      <c r="X439" s="223" t="s">
        <v>302</v>
      </c>
      <c r="Y439" s="224" t="s">
        <v>302</v>
      </c>
    </row>
    <row r="440" spans="1:25">
      <c r="A440" s="216">
        <v>8</v>
      </c>
      <c r="B440" s="217" t="str">
        <f>VLOOKUP(Tabel10[[#This Row],[Code]],Ruimtegroepen[[Code]:[Ruimte omschrijving]],2,FALSE)</f>
        <v>Mediatheek / OLC</v>
      </c>
      <c r="C440" s="218" t="s">
        <v>662</v>
      </c>
      <c r="D440" s="217" t="s">
        <v>13</v>
      </c>
      <c r="E440" s="219" t="s">
        <v>100</v>
      </c>
      <c r="F440" s="218" t="s">
        <v>664</v>
      </c>
      <c r="G440" s="263" t="s">
        <v>302</v>
      </c>
      <c r="H440" s="221" t="s">
        <v>15</v>
      </c>
      <c r="I440" s="220" t="s">
        <v>302</v>
      </c>
      <c r="J440" s="221" t="s">
        <v>302</v>
      </c>
      <c r="K440" s="221" t="s">
        <v>302</v>
      </c>
      <c r="L440" s="220" t="s">
        <v>302</v>
      </c>
      <c r="M440" s="220" t="s">
        <v>302</v>
      </c>
      <c r="N440" s="221" t="s">
        <v>302</v>
      </c>
      <c r="O440" s="222" t="s">
        <v>15</v>
      </c>
      <c r="P440" s="222" t="s">
        <v>15</v>
      </c>
      <c r="Q440" s="222" t="s">
        <v>15</v>
      </c>
      <c r="R440" s="222" t="s">
        <v>15</v>
      </c>
      <c r="S440" s="222" t="s">
        <v>16</v>
      </c>
      <c r="T440" s="222" t="s">
        <v>349</v>
      </c>
      <c r="U440" s="222" t="s">
        <v>269</v>
      </c>
      <c r="V440" s="222" t="s">
        <v>302</v>
      </c>
      <c r="W440" s="223" t="s">
        <v>302</v>
      </c>
      <c r="X440" s="223" t="s">
        <v>302</v>
      </c>
      <c r="Y440" s="224" t="s">
        <v>302</v>
      </c>
    </row>
    <row r="441" spans="1:25">
      <c r="A441" s="216">
        <v>8</v>
      </c>
      <c r="B441" s="217" t="str">
        <f>VLOOKUP(Tabel10[[#This Row],[Code]],Ruimtegroepen[[Code]:[Ruimte omschrijving]],2,FALSE)</f>
        <v>Mediatheek / OLC</v>
      </c>
      <c r="C441" s="218" t="s">
        <v>662</v>
      </c>
      <c r="D441" s="217" t="s">
        <v>13</v>
      </c>
      <c r="E441" s="219" t="s">
        <v>1325</v>
      </c>
      <c r="F441" s="218" t="s">
        <v>1380</v>
      </c>
      <c r="G441" s="263" t="s">
        <v>302</v>
      </c>
      <c r="H441" s="220" t="s">
        <v>302</v>
      </c>
      <c r="I441" s="220" t="s">
        <v>302</v>
      </c>
      <c r="J441" s="220" t="s">
        <v>15</v>
      </c>
      <c r="K441" s="220" t="s">
        <v>303</v>
      </c>
      <c r="L441" s="220" t="s">
        <v>302</v>
      </c>
      <c r="M441" s="220" t="s">
        <v>302</v>
      </c>
      <c r="N441" s="221" t="s">
        <v>302</v>
      </c>
      <c r="O441" s="222" t="s">
        <v>15</v>
      </c>
      <c r="P441" s="222" t="s">
        <v>15</v>
      </c>
      <c r="Q441" s="222" t="s">
        <v>15</v>
      </c>
      <c r="R441" s="222" t="s">
        <v>15</v>
      </c>
      <c r="S441" s="222" t="s">
        <v>16</v>
      </c>
      <c r="T441" s="222" t="s">
        <v>349</v>
      </c>
      <c r="U441" s="222" t="s">
        <v>269</v>
      </c>
      <c r="V441" s="222" t="s">
        <v>302</v>
      </c>
      <c r="W441" s="223" t="s">
        <v>302</v>
      </c>
      <c r="X441" s="223" t="s">
        <v>302</v>
      </c>
      <c r="Y441" s="224" t="s">
        <v>302</v>
      </c>
    </row>
    <row r="442" spans="1:25">
      <c r="A442" s="216">
        <v>8</v>
      </c>
      <c r="B442" s="217" t="str">
        <f>VLOOKUP(Tabel10[[#This Row],[Code]],Ruimtegroepen[[Code]:[Ruimte omschrijving]],2,FALSE)</f>
        <v>Mediatheek / OLC</v>
      </c>
      <c r="C442" s="218" t="s">
        <v>667</v>
      </c>
      <c r="D442" s="217" t="s">
        <v>0</v>
      </c>
      <c r="E442" s="219" t="s">
        <v>101</v>
      </c>
      <c r="F442" s="218" t="s">
        <v>668</v>
      </c>
      <c r="G442" s="263" t="s">
        <v>302</v>
      </c>
      <c r="H442" s="220" t="s">
        <v>302</v>
      </c>
      <c r="I442" s="220" t="s">
        <v>302</v>
      </c>
      <c r="J442" s="221" t="s">
        <v>16</v>
      </c>
      <c r="K442" s="221" t="s">
        <v>302</v>
      </c>
      <c r="L442" s="220" t="s">
        <v>302</v>
      </c>
      <c r="M442" s="220" t="s">
        <v>302</v>
      </c>
      <c r="N442" s="221" t="s">
        <v>302</v>
      </c>
      <c r="O442" s="222" t="s">
        <v>16</v>
      </c>
      <c r="P442" s="222" t="s">
        <v>16</v>
      </c>
      <c r="Q442" s="222" t="s">
        <v>16</v>
      </c>
      <c r="R442" s="222" t="s">
        <v>16</v>
      </c>
      <c r="S442" s="222" t="s">
        <v>16</v>
      </c>
      <c r="T442" s="222" t="s">
        <v>349</v>
      </c>
      <c r="U442" s="222" t="s">
        <v>269</v>
      </c>
      <c r="V442" s="222" t="s">
        <v>302</v>
      </c>
      <c r="W442" s="223" t="s">
        <v>302</v>
      </c>
      <c r="X442" s="223" t="s">
        <v>302</v>
      </c>
      <c r="Y442" s="224" t="s">
        <v>302</v>
      </c>
    </row>
    <row r="443" spans="1:25">
      <c r="A443" s="216">
        <v>8</v>
      </c>
      <c r="B443" s="217" t="str">
        <f>VLOOKUP(Tabel10[[#This Row],[Code]],Ruimtegroepen[[Code]:[Ruimte omschrijving]],2,FALSE)</f>
        <v>Mediatheek / OLC</v>
      </c>
      <c r="C443" s="218" t="s">
        <v>667</v>
      </c>
      <c r="D443" s="217" t="s">
        <v>0</v>
      </c>
      <c r="E443" s="219" t="s">
        <v>100</v>
      </c>
      <c r="F443" s="218" t="s">
        <v>669</v>
      </c>
      <c r="G443" s="263" t="s">
        <v>302</v>
      </c>
      <c r="H443" s="221" t="s">
        <v>16</v>
      </c>
      <c r="I443" s="220" t="s">
        <v>302</v>
      </c>
      <c r="J443" s="221" t="s">
        <v>302</v>
      </c>
      <c r="K443" s="221" t="s">
        <v>302</v>
      </c>
      <c r="L443" s="220" t="s">
        <v>302</v>
      </c>
      <c r="M443" s="220" t="s">
        <v>302</v>
      </c>
      <c r="N443" s="221" t="s">
        <v>302</v>
      </c>
      <c r="O443" s="222" t="s">
        <v>16</v>
      </c>
      <c r="P443" s="222" t="s">
        <v>16</v>
      </c>
      <c r="Q443" s="222" t="s">
        <v>16</v>
      </c>
      <c r="R443" s="222" t="s">
        <v>16</v>
      </c>
      <c r="S443" s="222" t="s">
        <v>16</v>
      </c>
      <c r="T443" s="222" t="s">
        <v>349</v>
      </c>
      <c r="U443" s="222" t="s">
        <v>269</v>
      </c>
      <c r="V443" s="222" t="s">
        <v>302</v>
      </c>
      <c r="W443" s="223" t="s">
        <v>302</v>
      </c>
      <c r="X443" s="223" t="s">
        <v>302</v>
      </c>
      <c r="Y443" s="224" t="s">
        <v>302</v>
      </c>
    </row>
    <row r="444" spans="1:25">
      <c r="A444" s="216">
        <v>8</v>
      </c>
      <c r="B444" s="217" t="str">
        <f>VLOOKUP(Tabel10[[#This Row],[Code]],Ruimtegroepen[[Code]:[Ruimte omschrijving]],2,FALSE)</f>
        <v>Mediatheek / OLC</v>
      </c>
      <c r="C444" s="218" t="s">
        <v>667</v>
      </c>
      <c r="D444" s="217" t="s">
        <v>0</v>
      </c>
      <c r="E444" s="219" t="s">
        <v>102</v>
      </c>
      <c r="F444" s="218" t="s">
        <v>670</v>
      </c>
      <c r="G444" s="263" t="s">
        <v>302</v>
      </c>
      <c r="H444" s="220" t="s">
        <v>302</v>
      </c>
      <c r="I444" s="220" t="s">
        <v>302</v>
      </c>
      <c r="J444" s="220" t="s">
        <v>16</v>
      </c>
      <c r="K444" s="220" t="s">
        <v>303</v>
      </c>
      <c r="L444" s="220" t="s">
        <v>302</v>
      </c>
      <c r="M444" s="220" t="s">
        <v>302</v>
      </c>
      <c r="N444" s="221" t="s">
        <v>302</v>
      </c>
      <c r="O444" s="222" t="s">
        <v>16</v>
      </c>
      <c r="P444" s="222" t="s">
        <v>16</v>
      </c>
      <c r="Q444" s="222" t="s">
        <v>16</v>
      </c>
      <c r="R444" s="222" t="s">
        <v>16</v>
      </c>
      <c r="S444" s="222" t="s">
        <v>16</v>
      </c>
      <c r="T444" s="222" t="s">
        <v>349</v>
      </c>
      <c r="U444" s="222" t="s">
        <v>269</v>
      </c>
      <c r="V444" s="222" t="s">
        <v>302</v>
      </c>
      <c r="W444" s="223" t="s">
        <v>302</v>
      </c>
      <c r="X444" s="223" t="s">
        <v>302</v>
      </c>
      <c r="Y444" s="224" t="s">
        <v>302</v>
      </c>
    </row>
    <row r="445" spans="1:25">
      <c r="A445" s="216">
        <v>8</v>
      </c>
      <c r="B445" s="217" t="str">
        <f>VLOOKUP(Tabel10[[#This Row],[Code]],Ruimtegroepen[[Code]:[Ruimte omschrijving]],2,FALSE)</f>
        <v>Mediatheek / OLC</v>
      </c>
      <c r="C445" s="218" t="s">
        <v>667</v>
      </c>
      <c r="D445" s="217" t="s">
        <v>0</v>
      </c>
      <c r="E445" s="219" t="s">
        <v>103</v>
      </c>
      <c r="F445" s="218" t="s">
        <v>671</v>
      </c>
      <c r="G445" s="263" t="s">
        <v>302</v>
      </c>
      <c r="H445" s="220" t="s">
        <v>302</v>
      </c>
      <c r="I445" s="220" t="s">
        <v>302</v>
      </c>
      <c r="J445" s="220" t="s">
        <v>16</v>
      </c>
      <c r="K445" s="220" t="s">
        <v>303</v>
      </c>
      <c r="L445" s="220" t="s">
        <v>302</v>
      </c>
      <c r="M445" s="220" t="s">
        <v>302</v>
      </c>
      <c r="N445" s="221" t="s">
        <v>302</v>
      </c>
      <c r="O445" s="222" t="s">
        <v>16</v>
      </c>
      <c r="P445" s="222" t="s">
        <v>16</v>
      </c>
      <c r="Q445" s="222" t="s">
        <v>16</v>
      </c>
      <c r="R445" s="222" t="s">
        <v>16</v>
      </c>
      <c r="S445" s="222" t="s">
        <v>16</v>
      </c>
      <c r="T445" s="222" t="s">
        <v>349</v>
      </c>
      <c r="U445" s="222" t="s">
        <v>269</v>
      </c>
      <c r="V445" s="222" t="s">
        <v>302</v>
      </c>
      <c r="W445" s="223" t="s">
        <v>302</v>
      </c>
      <c r="X445" s="223" t="s">
        <v>302</v>
      </c>
      <c r="Y445" s="224" t="s">
        <v>302</v>
      </c>
    </row>
    <row r="446" spans="1:25">
      <c r="A446" s="216">
        <v>8</v>
      </c>
      <c r="B446" s="217" t="str">
        <f>VLOOKUP(Tabel10[[#This Row],[Code]],Ruimtegroepen[[Code]:[Ruimte omschrijving]],2,FALSE)</f>
        <v>Mediatheek / OLC</v>
      </c>
      <c r="C446" s="218" t="s">
        <v>667</v>
      </c>
      <c r="D446" s="217" t="s">
        <v>0</v>
      </c>
      <c r="E446" s="219" t="s">
        <v>100</v>
      </c>
      <c r="F446" s="218" t="s">
        <v>669</v>
      </c>
      <c r="G446" s="263" t="s">
        <v>302</v>
      </c>
      <c r="H446" s="221" t="s">
        <v>16</v>
      </c>
      <c r="I446" s="220" t="s">
        <v>302</v>
      </c>
      <c r="J446" s="221" t="s">
        <v>302</v>
      </c>
      <c r="K446" s="221" t="s">
        <v>302</v>
      </c>
      <c r="L446" s="220" t="s">
        <v>302</v>
      </c>
      <c r="M446" s="220" t="s">
        <v>302</v>
      </c>
      <c r="N446" s="221" t="s">
        <v>302</v>
      </c>
      <c r="O446" s="222" t="s">
        <v>16</v>
      </c>
      <c r="P446" s="222" t="s">
        <v>16</v>
      </c>
      <c r="Q446" s="222" t="s">
        <v>16</v>
      </c>
      <c r="R446" s="222" t="s">
        <v>16</v>
      </c>
      <c r="S446" s="222" t="s">
        <v>16</v>
      </c>
      <c r="T446" s="222" t="s">
        <v>349</v>
      </c>
      <c r="U446" s="222" t="s">
        <v>269</v>
      </c>
      <c r="V446" s="222" t="s">
        <v>302</v>
      </c>
      <c r="W446" s="223" t="s">
        <v>302</v>
      </c>
      <c r="X446" s="223" t="s">
        <v>302</v>
      </c>
      <c r="Y446" s="224" t="s">
        <v>302</v>
      </c>
    </row>
    <row r="447" spans="1:25">
      <c r="A447" s="216">
        <v>8</v>
      </c>
      <c r="B447" s="217" t="str">
        <f>VLOOKUP(Tabel10[[#This Row],[Code]],Ruimtegroepen[[Code]:[Ruimte omschrijving]],2,FALSE)</f>
        <v>Mediatheek / OLC</v>
      </c>
      <c r="C447" s="218" t="s">
        <v>667</v>
      </c>
      <c r="D447" s="217" t="s">
        <v>0</v>
      </c>
      <c r="E447" s="219" t="s">
        <v>1325</v>
      </c>
      <c r="F447" s="218" t="s">
        <v>1364</v>
      </c>
      <c r="G447" s="263" t="s">
        <v>302</v>
      </c>
      <c r="H447" s="220" t="s">
        <v>302</v>
      </c>
      <c r="I447" s="220" t="s">
        <v>302</v>
      </c>
      <c r="J447" s="220" t="s">
        <v>16</v>
      </c>
      <c r="K447" s="220" t="s">
        <v>303</v>
      </c>
      <c r="L447" s="220" t="s">
        <v>302</v>
      </c>
      <c r="M447" s="220" t="s">
        <v>302</v>
      </c>
      <c r="N447" s="221" t="s">
        <v>302</v>
      </c>
      <c r="O447" s="222" t="s">
        <v>16</v>
      </c>
      <c r="P447" s="222" t="s">
        <v>16</v>
      </c>
      <c r="Q447" s="222" t="s">
        <v>16</v>
      </c>
      <c r="R447" s="222" t="s">
        <v>16</v>
      </c>
      <c r="S447" s="222" t="s">
        <v>16</v>
      </c>
      <c r="T447" s="222" t="s">
        <v>349</v>
      </c>
      <c r="U447" s="222" t="s">
        <v>269</v>
      </c>
      <c r="V447" s="222" t="s">
        <v>302</v>
      </c>
      <c r="W447" s="223" t="s">
        <v>302</v>
      </c>
      <c r="X447" s="223" t="s">
        <v>302</v>
      </c>
      <c r="Y447" s="224" t="s">
        <v>302</v>
      </c>
    </row>
    <row r="448" spans="1:25">
      <c r="A448" s="216">
        <v>8</v>
      </c>
      <c r="B448" s="217" t="str">
        <f>VLOOKUP(Tabel10[[#This Row],[Code]],Ruimtegroepen[[Code]:[Ruimte omschrijving]],2,FALSE)</f>
        <v>Mediatheek / OLC</v>
      </c>
      <c r="C448" s="218" t="s">
        <v>672</v>
      </c>
      <c r="D448" s="217" t="s">
        <v>27</v>
      </c>
      <c r="E448" s="219" t="s">
        <v>101</v>
      </c>
      <c r="F448" s="218" t="s">
        <v>673</v>
      </c>
      <c r="G448" s="263" t="s">
        <v>302</v>
      </c>
      <c r="H448" s="220" t="s">
        <v>302</v>
      </c>
      <c r="I448" s="221" t="s">
        <v>15</v>
      </c>
      <c r="J448" s="220" t="s">
        <v>302</v>
      </c>
      <c r="K448" s="221" t="s">
        <v>302</v>
      </c>
      <c r="L448" s="220" t="s">
        <v>302</v>
      </c>
      <c r="M448" s="220" t="s">
        <v>302</v>
      </c>
      <c r="N448" s="221" t="s">
        <v>302</v>
      </c>
      <c r="O448" s="222" t="s">
        <v>15</v>
      </c>
      <c r="P448" s="222" t="s">
        <v>15</v>
      </c>
      <c r="Q448" s="222" t="s">
        <v>15</v>
      </c>
      <c r="R448" s="222" t="s">
        <v>302</v>
      </c>
      <c r="S448" s="222" t="s">
        <v>302</v>
      </c>
      <c r="T448" s="222" t="s">
        <v>302</v>
      </c>
      <c r="U448" s="222" t="s">
        <v>302</v>
      </c>
      <c r="V448" s="222" t="s">
        <v>302</v>
      </c>
      <c r="W448" s="223" t="s">
        <v>302</v>
      </c>
      <c r="X448" s="223" t="s">
        <v>302</v>
      </c>
      <c r="Y448" s="224" t="s">
        <v>302</v>
      </c>
    </row>
    <row r="449" spans="1:25">
      <c r="A449" s="216">
        <v>8</v>
      </c>
      <c r="B449" s="217" t="str">
        <f>VLOOKUP(Tabel10[[#This Row],[Code]],Ruimtegroepen[[Code]:[Ruimte omschrijving]],2,FALSE)</f>
        <v>Mediatheek / OLC</v>
      </c>
      <c r="C449" s="218" t="s">
        <v>672</v>
      </c>
      <c r="D449" s="217" t="s">
        <v>27</v>
      </c>
      <c r="E449" s="219" t="s">
        <v>100</v>
      </c>
      <c r="F449" s="218" t="s">
        <v>674</v>
      </c>
      <c r="G449" s="263" t="s">
        <v>302</v>
      </c>
      <c r="H449" s="221" t="s">
        <v>15</v>
      </c>
      <c r="I449" s="220" t="s">
        <v>302</v>
      </c>
      <c r="J449" s="221" t="s">
        <v>302</v>
      </c>
      <c r="K449" s="221" t="s">
        <v>302</v>
      </c>
      <c r="L449" s="220" t="s">
        <v>302</v>
      </c>
      <c r="M449" s="220" t="s">
        <v>302</v>
      </c>
      <c r="N449" s="221" t="s">
        <v>302</v>
      </c>
      <c r="O449" s="222" t="s">
        <v>15</v>
      </c>
      <c r="P449" s="222" t="s">
        <v>15</v>
      </c>
      <c r="Q449" s="222" t="s">
        <v>15</v>
      </c>
      <c r="R449" s="222" t="s">
        <v>302</v>
      </c>
      <c r="S449" s="222" t="s">
        <v>302</v>
      </c>
      <c r="T449" s="222" t="s">
        <v>302</v>
      </c>
      <c r="U449" s="222" t="s">
        <v>302</v>
      </c>
      <c r="V449" s="222" t="s">
        <v>302</v>
      </c>
      <c r="W449" s="223" t="s">
        <v>302</v>
      </c>
      <c r="X449" s="223" t="s">
        <v>302</v>
      </c>
      <c r="Y449" s="224" t="s">
        <v>302</v>
      </c>
    </row>
    <row r="450" spans="1:25">
      <c r="A450" s="216">
        <v>8</v>
      </c>
      <c r="B450" s="217" t="str">
        <f>VLOOKUP(Tabel10[[#This Row],[Code]],Ruimtegroepen[[Code]:[Ruimte omschrijving]],2,FALSE)</f>
        <v>Mediatheek / OLC</v>
      </c>
      <c r="C450" s="218" t="s">
        <v>672</v>
      </c>
      <c r="D450" s="217" t="s">
        <v>27</v>
      </c>
      <c r="E450" s="219" t="s">
        <v>102</v>
      </c>
      <c r="F450" s="218" t="s">
        <v>675</v>
      </c>
      <c r="G450" s="263" t="s">
        <v>302</v>
      </c>
      <c r="H450" s="220" t="s">
        <v>302</v>
      </c>
      <c r="I450" s="221" t="s">
        <v>15</v>
      </c>
      <c r="J450" s="221" t="s">
        <v>302</v>
      </c>
      <c r="K450" s="221" t="s">
        <v>302</v>
      </c>
      <c r="L450" s="220" t="s">
        <v>302</v>
      </c>
      <c r="M450" s="220" t="s">
        <v>302</v>
      </c>
      <c r="N450" s="221" t="s">
        <v>302</v>
      </c>
      <c r="O450" s="222" t="s">
        <v>15</v>
      </c>
      <c r="P450" s="222" t="s">
        <v>15</v>
      </c>
      <c r="Q450" s="222" t="s">
        <v>15</v>
      </c>
      <c r="R450" s="222" t="s">
        <v>302</v>
      </c>
      <c r="S450" s="222" t="s">
        <v>302</v>
      </c>
      <c r="T450" s="222" t="s">
        <v>302</v>
      </c>
      <c r="U450" s="222" t="s">
        <v>302</v>
      </c>
      <c r="V450" s="222" t="s">
        <v>302</v>
      </c>
      <c r="W450" s="223" t="s">
        <v>302</v>
      </c>
      <c r="X450" s="223" t="s">
        <v>302</v>
      </c>
      <c r="Y450" s="224" t="s">
        <v>302</v>
      </c>
    </row>
    <row r="451" spans="1:25">
      <c r="A451" s="216">
        <v>8</v>
      </c>
      <c r="B451" s="217" t="str">
        <f>VLOOKUP(Tabel10[[#This Row],[Code]],Ruimtegroepen[[Code]:[Ruimte omschrijving]],2,FALSE)</f>
        <v>Mediatheek / OLC</v>
      </c>
      <c r="C451" s="218" t="s">
        <v>672</v>
      </c>
      <c r="D451" s="217" t="s">
        <v>27</v>
      </c>
      <c r="E451" s="219" t="s">
        <v>103</v>
      </c>
      <c r="F451" s="218" t="s">
        <v>676</v>
      </c>
      <c r="G451" s="263" t="s">
        <v>302</v>
      </c>
      <c r="H451" s="220" t="s">
        <v>302</v>
      </c>
      <c r="I451" s="221" t="s">
        <v>15</v>
      </c>
      <c r="J451" s="221" t="s">
        <v>302</v>
      </c>
      <c r="K451" s="221" t="s">
        <v>302</v>
      </c>
      <c r="L451" s="220" t="s">
        <v>302</v>
      </c>
      <c r="M451" s="220" t="s">
        <v>302</v>
      </c>
      <c r="N451" s="221" t="s">
        <v>302</v>
      </c>
      <c r="O451" s="222" t="s">
        <v>15</v>
      </c>
      <c r="P451" s="222" t="s">
        <v>15</v>
      </c>
      <c r="Q451" s="222" t="s">
        <v>15</v>
      </c>
      <c r="R451" s="222" t="s">
        <v>302</v>
      </c>
      <c r="S451" s="222" t="s">
        <v>302</v>
      </c>
      <c r="T451" s="222" t="s">
        <v>302</v>
      </c>
      <c r="U451" s="222" t="s">
        <v>302</v>
      </c>
      <c r="V451" s="222" t="s">
        <v>302</v>
      </c>
      <c r="W451" s="223" t="s">
        <v>302</v>
      </c>
      <c r="X451" s="223" t="s">
        <v>302</v>
      </c>
      <c r="Y451" s="224" t="s">
        <v>302</v>
      </c>
    </row>
    <row r="452" spans="1:25">
      <c r="A452" s="216">
        <v>8</v>
      </c>
      <c r="B452" s="217" t="str">
        <f>VLOOKUP(Tabel10[[#This Row],[Code]],Ruimtegroepen[[Code]:[Ruimte omschrijving]],2,FALSE)</f>
        <v>Mediatheek / OLC</v>
      </c>
      <c r="C452" s="218" t="s">
        <v>672</v>
      </c>
      <c r="D452" s="217" t="s">
        <v>27</v>
      </c>
      <c r="E452" s="219" t="s">
        <v>100</v>
      </c>
      <c r="F452" s="218" t="s">
        <v>674</v>
      </c>
      <c r="G452" s="263" t="s">
        <v>302</v>
      </c>
      <c r="H452" s="221" t="s">
        <v>15</v>
      </c>
      <c r="I452" s="220" t="s">
        <v>302</v>
      </c>
      <c r="J452" s="221" t="s">
        <v>302</v>
      </c>
      <c r="K452" s="221" t="s">
        <v>302</v>
      </c>
      <c r="L452" s="220" t="s">
        <v>302</v>
      </c>
      <c r="M452" s="220" t="s">
        <v>302</v>
      </c>
      <c r="N452" s="221" t="s">
        <v>302</v>
      </c>
      <c r="O452" s="222" t="s">
        <v>15</v>
      </c>
      <c r="P452" s="222" t="s">
        <v>15</v>
      </c>
      <c r="Q452" s="222" t="s">
        <v>15</v>
      </c>
      <c r="R452" s="222" t="s">
        <v>302</v>
      </c>
      <c r="S452" s="222" t="s">
        <v>302</v>
      </c>
      <c r="T452" s="222" t="s">
        <v>302</v>
      </c>
      <c r="U452" s="222" t="s">
        <v>302</v>
      </c>
      <c r="V452" s="222" t="s">
        <v>302</v>
      </c>
      <c r="W452" s="223" t="s">
        <v>302</v>
      </c>
      <c r="X452" s="223" t="s">
        <v>302</v>
      </c>
      <c r="Y452" s="224" t="s">
        <v>302</v>
      </c>
    </row>
    <row r="453" spans="1:25">
      <c r="A453" s="216">
        <v>8</v>
      </c>
      <c r="B453" s="217" t="str">
        <f>VLOOKUP(Tabel10[[#This Row],[Code]],Ruimtegroepen[[Code]:[Ruimte omschrijving]],2,FALSE)</f>
        <v>Mediatheek / OLC</v>
      </c>
      <c r="C453" s="218" t="s">
        <v>672</v>
      </c>
      <c r="D453" s="217" t="s">
        <v>27</v>
      </c>
      <c r="E453" s="219" t="s">
        <v>1325</v>
      </c>
      <c r="F453" s="218" t="s">
        <v>1397</v>
      </c>
      <c r="G453" s="263" t="s">
        <v>302</v>
      </c>
      <c r="H453" s="220" t="s">
        <v>302</v>
      </c>
      <c r="I453" s="221" t="s">
        <v>15</v>
      </c>
      <c r="J453" s="221" t="s">
        <v>302</v>
      </c>
      <c r="K453" s="221" t="s">
        <v>302</v>
      </c>
      <c r="L453" s="220" t="s">
        <v>302</v>
      </c>
      <c r="M453" s="220" t="s">
        <v>302</v>
      </c>
      <c r="N453" s="221" t="s">
        <v>302</v>
      </c>
      <c r="O453" s="222" t="s">
        <v>15</v>
      </c>
      <c r="P453" s="222" t="s">
        <v>15</v>
      </c>
      <c r="Q453" s="222" t="s">
        <v>15</v>
      </c>
      <c r="R453" s="222" t="s">
        <v>302</v>
      </c>
      <c r="S453" s="222" t="s">
        <v>302</v>
      </c>
      <c r="T453" s="222" t="s">
        <v>302</v>
      </c>
      <c r="U453" s="222" t="s">
        <v>302</v>
      </c>
      <c r="V453" s="222" t="s">
        <v>302</v>
      </c>
      <c r="W453" s="223" t="s">
        <v>302</v>
      </c>
      <c r="X453" s="223" t="s">
        <v>302</v>
      </c>
      <c r="Y453" s="224" t="s">
        <v>302</v>
      </c>
    </row>
    <row r="454" spans="1:25">
      <c r="A454" s="216">
        <v>8</v>
      </c>
      <c r="B454" s="217" t="str">
        <f>VLOOKUP(Tabel10[[#This Row],[Code]],Ruimtegroepen[[Code]:[Ruimte omschrijving]],2,FALSE)</f>
        <v>Mediatheek / OLC</v>
      </c>
      <c r="C454" s="218" t="s">
        <v>677</v>
      </c>
      <c r="D454" s="217" t="s">
        <v>28</v>
      </c>
      <c r="E454" s="219" t="s">
        <v>101</v>
      </c>
      <c r="F454" s="218" t="s">
        <v>678</v>
      </c>
      <c r="G454" s="263" t="s">
        <v>302</v>
      </c>
      <c r="H454" s="220" t="s">
        <v>302</v>
      </c>
      <c r="I454" s="221" t="s">
        <v>17</v>
      </c>
      <c r="J454" s="220" t="s">
        <v>302</v>
      </c>
      <c r="K454" s="221" t="s">
        <v>302</v>
      </c>
      <c r="L454" s="220" t="s">
        <v>302</v>
      </c>
      <c r="M454" s="220" t="s">
        <v>302</v>
      </c>
      <c r="N454" s="221" t="s">
        <v>302</v>
      </c>
      <c r="O454" s="222" t="s">
        <v>17</v>
      </c>
      <c r="P454" s="222" t="s">
        <v>17</v>
      </c>
      <c r="Q454" s="222" t="s">
        <v>15</v>
      </c>
      <c r="R454" s="222" t="s">
        <v>302</v>
      </c>
      <c r="S454" s="222" t="s">
        <v>302</v>
      </c>
      <c r="T454" s="222" t="s">
        <v>302</v>
      </c>
      <c r="U454" s="222" t="s">
        <v>302</v>
      </c>
      <c r="V454" s="222" t="s">
        <v>302</v>
      </c>
      <c r="W454" s="223" t="s">
        <v>302</v>
      </c>
      <c r="X454" s="223" t="s">
        <v>302</v>
      </c>
      <c r="Y454" s="224" t="s">
        <v>302</v>
      </c>
    </row>
    <row r="455" spans="1:25">
      <c r="A455" s="216">
        <v>8</v>
      </c>
      <c r="B455" s="217" t="str">
        <f>VLOOKUP(Tabel10[[#This Row],[Code]],Ruimtegroepen[[Code]:[Ruimte omschrijving]],2,FALSE)</f>
        <v>Mediatheek / OLC</v>
      </c>
      <c r="C455" s="218" t="s">
        <v>677</v>
      </c>
      <c r="D455" s="217" t="s">
        <v>28</v>
      </c>
      <c r="E455" s="219" t="s">
        <v>100</v>
      </c>
      <c r="F455" s="218" t="s">
        <v>679</v>
      </c>
      <c r="G455" s="263" t="s">
        <v>302</v>
      </c>
      <c r="H455" s="221" t="s">
        <v>17</v>
      </c>
      <c r="I455" s="220" t="s">
        <v>302</v>
      </c>
      <c r="J455" s="221" t="s">
        <v>302</v>
      </c>
      <c r="K455" s="221" t="s">
        <v>302</v>
      </c>
      <c r="L455" s="220" t="s">
        <v>302</v>
      </c>
      <c r="M455" s="220" t="s">
        <v>302</v>
      </c>
      <c r="N455" s="221" t="s">
        <v>302</v>
      </c>
      <c r="O455" s="222" t="s">
        <v>17</v>
      </c>
      <c r="P455" s="222" t="s">
        <v>17</v>
      </c>
      <c r="Q455" s="222" t="s">
        <v>15</v>
      </c>
      <c r="R455" s="222" t="s">
        <v>302</v>
      </c>
      <c r="S455" s="222" t="s">
        <v>302</v>
      </c>
      <c r="T455" s="222" t="s">
        <v>302</v>
      </c>
      <c r="U455" s="222" t="s">
        <v>302</v>
      </c>
      <c r="V455" s="222" t="s">
        <v>302</v>
      </c>
      <c r="W455" s="223" t="s">
        <v>302</v>
      </c>
      <c r="X455" s="223" t="s">
        <v>302</v>
      </c>
      <c r="Y455" s="224" t="s">
        <v>302</v>
      </c>
    </row>
    <row r="456" spans="1:25">
      <c r="A456" s="216">
        <v>8</v>
      </c>
      <c r="B456" s="217" t="str">
        <f>VLOOKUP(Tabel10[[#This Row],[Code]],Ruimtegroepen[[Code]:[Ruimte omschrijving]],2,FALSE)</f>
        <v>Mediatheek / OLC</v>
      </c>
      <c r="C456" s="218" t="s">
        <v>677</v>
      </c>
      <c r="D456" s="217" t="s">
        <v>28</v>
      </c>
      <c r="E456" s="219" t="s">
        <v>102</v>
      </c>
      <c r="F456" s="218" t="s">
        <v>680</v>
      </c>
      <c r="G456" s="263" t="s">
        <v>302</v>
      </c>
      <c r="H456" s="220" t="s">
        <v>302</v>
      </c>
      <c r="I456" s="221" t="s">
        <v>17</v>
      </c>
      <c r="J456" s="221" t="s">
        <v>302</v>
      </c>
      <c r="K456" s="221" t="s">
        <v>302</v>
      </c>
      <c r="L456" s="220" t="s">
        <v>302</v>
      </c>
      <c r="M456" s="220" t="s">
        <v>302</v>
      </c>
      <c r="N456" s="221" t="s">
        <v>302</v>
      </c>
      <c r="O456" s="222" t="s">
        <v>17</v>
      </c>
      <c r="P456" s="222" t="s">
        <v>17</v>
      </c>
      <c r="Q456" s="222" t="s">
        <v>15</v>
      </c>
      <c r="R456" s="222" t="s">
        <v>302</v>
      </c>
      <c r="S456" s="222" t="s">
        <v>302</v>
      </c>
      <c r="T456" s="222" t="s">
        <v>302</v>
      </c>
      <c r="U456" s="222" t="s">
        <v>302</v>
      </c>
      <c r="V456" s="222" t="s">
        <v>302</v>
      </c>
      <c r="W456" s="223" t="s">
        <v>302</v>
      </c>
      <c r="X456" s="223" t="s">
        <v>302</v>
      </c>
      <c r="Y456" s="224" t="s">
        <v>302</v>
      </c>
    </row>
    <row r="457" spans="1:25">
      <c r="A457" s="216">
        <v>8</v>
      </c>
      <c r="B457" s="217" t="str">
        <f>VLOOKUP(Tabel10[[#This Row],[Code]],Ruimtegroepen[[Code]:[Ruimte omschrijving]],2,FALSE)</f>
        <v>Mediatheek / OLC</v>
      </c>
      <c r="C457" s="218" t="s">
        <v>677</v>
      </c>
      <c r="D457" s="217" t="s">
        <v>28</v>
      </c>
      <c r="E457" s="219" t="s">
        <v>103</v>
      </c>
      <c r="F457" s="218" t="s">
        <v>681</v>
      </c>
      <c r="G457" s="263" t="s">
        <v>302</v>
      </c>
      <c r="H457" s="220" t="s">
        <v>302</v>
      </c>
      <c r="I457" s="221" t="s">
        <v>17</v>
      </c>
      <c r="J457" s="221" t="s">
        <v>302</v>
      </c>
      <c r="K457" s="221" t="s">
        <v>302</v>
      </c>
      <c r="L457" s="220" t="s">
        <v>302</v>
      </c>
      <c r="M457" s="220" t="s">
        <v>302</v>
      </c>
      <c r="N457" s="221" t="s">
        <v>302</v>
      </c>
      <c r="O457" s="222" t="s">
        <v>17</v>
      </c>
      <c r="P457" s="222" t="s">
        <v>17</v>
      </c>
      <c r="Q457" s="222" t="s">
        <v>15</v>
      </c>
      <c r="R457" s="222" t="s">
        <v>302</v>
      </c>
      <c r="S457" s="222" t="s">
        <v>302</v>
      </c>
      <c r="T457" s="222" t="s">
        <v>302</v>
      </c>
      <c r="U457" s="222" t="s">
        <v>302</v>
      </c>
      <c r="V457" s="222" t="s">
        <v>302</v>
      </c>
      <c r="W457" s="223" t="s">
        <v>302</v>
      </c>
      <c r="X457" s="223" t="s">
        <v>302</v>
      </c>
      <c r="Y457" s="224" t="s">
        <v>302</v>
      </c>
    </row>
    <row r="458" spans="1:25">
      <c r="A458" s="216">
        <v>8</v>
      </c>
      <c r="B458" s="217" t="str">
        <f>VLOOKUP(Tabel10[[#This Row],[Code]],Ruimtegroepen[[Code]:[Ruimte omschrijving]],2,FALSE)</f>
        <v>Mediatheek / OLC</v>
      </c>
      <c r="C458" s="218" t="s">
        <v>677</v>
      </c>
      <c r="D458" s="217" t="s">
        <v>28</v>
      </c>
      <c r="E458" s="219" t="s">
        <v>100</v>
      </c>
      <c r="F458" s="218" t="s">
        <v>679</v>
      </c>
      <c r="G458" s="263" t="s">
        <v>302</v>
      </c>
      <c r="H458" s="221" t="s">
        <v>17</v>
      </c>
      <c r="I458" s="220" t="s">
        <v>302</v>
      </c>
      <c r="J458" s="221" t="s">
        <v>302</v>
      </c>
      <c r="K458" s="221" t="s">
        <v>302</v>
      </c>
      <c r="L458" s="220" t="s">
        <v>302</v>
      </c>
      <c r="M458" s="220" t="s">
        <v>302</v>
      </c>
      <c r="N458" s="221" t="s">
        <v>302</v>
      </c>
      <c r="O458" s="222" t="s">
        <v>17</v>
      </c>
      <c r="P458" s="222" t="s">
        <v>17</v>
      </c>
      <c r="Q458" s="222" t="s">
        <v>15</v>
      </c>
      <c r="R458" s="222" t="s">
        <v>302</v>
      </c>
      <c r="S458" s="222" t="s">
        <v>302</v>
      </c>
      <c r="T458" s="222" t="s">
        <v>302</v>
      </c>
      <c r="U458" s="222" t="s">
        <v>302</v>
      </c>
      <c r="V458" s="222" t="s">
        <v>302</v>
      </c>
      <c r="W458" s="223" t="s">
        <v>302</v>
      </c>
      <c r="X458" s="223" t="s">
        <v>302</v>
      </c>
      <c r="Y458" s="224" t="s">
        <v>302</v>
      </c>
    </row>
    <row r="459" spans="1:25">
      <c r="A459" s="216">
        <v>8</v>
      </c>
      <c r="B459" s="217" t="str">
        <f>VLOOKUP(Tabel10[[#This Row],[Code]],Ruimtegroepen[[Code]:[Ruimte omschrijving]],2,FALSE)</f>
        <v>Mediatheek / OLC</v>
      </c>
      <c r="C459" s="218" t="s">
        <v>677</v>
      </c>
      <c r="D459" s="217" t="s">
        <v>28</v>
      </c>
      <c r="E459" s="219" t="s">
        <v>1325</v>
      </c>
      <c r="F459" s="218" t="s">
        <v>1430</v>
      </c>
      <c r="G459" s="263" t="s">
        <v>302</v>
      </c>
      <c r="H459" s="220" t="s">
        <v>302</v>
      </c>
      <c r="I459" s="221" t="s">
        <v>17</v>
      </c>
      <c r="J459" s="221" t="s">
        <v>302</v>
      </c>
      <c r="K459" s="221" t="s">
        <v>302</v>
      </c>
      <c r="L459" s="220" t="s">
        <v>302</v>
      </c>
      <c r="M459" s="220" t="s">
        <v>302</v>
      </c>
      <c r="N459" s="221" t="s">
        <v>302</v>
      </c>
      <c r="O459" s="222" t="s">
        <v>17</v>
      </c>
      <c r="P459" s="222" t="s">
        <v>17</v>
      </c>
      <c r="Q459" s="222" t="s">
        <v>15</v>
      </c>
      <c r="R459" s="222" t="s">
        <v>302</v>
      </c>
      <c r="S459" s="222" t="s">
        <v>302</v>
      </c>
      <c r="T459" s="222" t="s">
        <v>302</v>
      </c>
      <c r="U459" s="222" t="s">
        <v>302</v>
      </c>
      <c r="V459" s="222" t="s">
        <v>302</v>
      </c>
      <c r="W459" s="223" t="s">
        <v>302</v>
      </c>
      <c r="X459" s="223" t="s">
        <v>302</v>
      </c>
      <c r="Y459" s="224" t="s">
        <v>302</v>
      </c>
    </row>
    <row r="460" spans="1:25">
      <c r="A460" s="216">
        <v>9</v>
      </c>
      <c r="B460" s="217" t="str">
        <f>VLOOKUP(Tabel10[[#This Row],[Code]],Ruimtegroepen[[Code]:[Ruimte omschrijving]],2,FALSE)</f>
        <v>Publieksruimte</v>
      </c>
      <c r="C460" s="218" t="s">
        <v>682</v>
      </c>
      <c r="D460" s="217" t="s">
        <v>29</v>
      </c>
      <c r="E460" s="219" t="s">
        <v>101</v>
      </c>
      <c r="F460" s="218" t="s">
        <v>683</v>
      </c>
      <c r="G460" s="263" t="s">
        <v>302</v>
      </c>
      <c r="H460" s="220" t="s">
        <v>302</v>
      </c>
      <c r="I460" s="220" t="s">
        <v>20</v>
      </c>
      <c r="J460" s="221" t="s">
        <v>15</v>
      </c>
      <c r="K460" s="221" t="s">
        <v>302</v>
      </c>
      <c r="L460" s="220" t="s">
        <v>302</v>
      </c>
      <c r="M460" s="220" t="s">
        <v>302</v>
      </c>
      <c r="N460" s="221" t="s">
        <v>2</v>
      </c>
      <c r="O460" s="222" t="s">
        <v>2</v>
      </c>
      <c r="P460" s="222" t="s">
        <v>2</v>
      </c>
      <c r="Q460" s="222" t="s">
        <v>15</v>
      </c>
      <c r="R460" s="222" t="s">
        <v>15</v>
      </c>
      <c r="S460" s="222" t="s">
        <v>16</v>
      </c>
      <c r="T460" s="222" t="s">
        <v>349</v>
      </c>
      <c r="U460" s="222" t="s">
        <v>269</v>
      </c>
      <c r="V460" s="222" t="s">
        <v>2</v>
      </c>
      <c r="W460" s="223" t="s">
        <v>302</v>
      </c>
      <c r="X460" s="223" t="s">
        <v>302</v>
      </c>
      <c r="Y460" s="224" t="s">
        <v>302</v>
      </c>
    </row>
    <row r="461" spans="1:25">
      <c r="A461" s="216">
        <v>9</v>
      </c>
      <c r="B461" s="217" t="str">
        <f>VLOOKUP(Tabel10[[#This Row],[Code]],Ruimtegroepen[[Code]:[Ruimte omschrijving]],2,FALSE)</f>
        <v>Publieksruimte</v>
      </c>
      <c r="C461" s="218" t="s">
        <v>682</v>
      </c>
      <c r="D461" s="217" t="s">
        <v>29</v>
      </c>
      <c r="E461" s="219" t="s">
        <v>100</v>
      </c>
      <c r="F461" s="218" t="s">
        <v>684</v>
      </c>
      <c r="G461" s="263" t="s">
        <v>302</v>
      </c>
      <c r="H461" s="221" t="s">
        <v>2</v>
      </c>
      <c r="I461" s="220" t="s">
        <v>302</v>
      </c>
      <c r="J461" s="221" t="s">
        <v>302</v>
      </c>
      <c r="K461" s="221" t="s">
        <v>302</v>
      </c>
      <c r="L461" s="220" t="s">
        <v>302</v>
      </c>
      <c r="M461" s="220" t="s">
        <v>302</v>
      </c>
      <c r="N461" s="221" t="s">
        <v>2</v>
      </c>
      <c r="O461" s="222" t="s">
        <v>2</v>
      </c>
      <c r="P461" s="222" t="s">
        <v>2</v>
      </c>
      <c r="Q461" s="222" t="s">
        <v>15</v>
      </c>
      <c r="R461" s="222" t="s">
        <v>15</v>
      </c>
      <c r="S461" s="222" t="s">
        <v>16</v>
      </c>
      <c r="T461" s="222" t="s">
        <v>349</v>
      </c>
      <c r="U461" s="222" t="s">
        <v>269</v>
      </c>
      <c r="V461" s="222" t="s">
        <v>2</v>
      </c>
      <c r="W461" s="223" t="s">
        <v>302</v>
      </c>
      <c r="X461" s="223" t="s">
        <v>302</v>
      </c>
      <c r="Y461" s="224" t="s">
        <v>302</v>
      </c>
    </row>
    <row r="462" spans="1:25">
      <c r="A462" s="216">
        <v>9</v>
      </c>
      <c r="B462" s="217" t="str">
        <f>VLOOKUP(Tabel10[[#This Row],[Code]],Ruimtegroepen[[Code]:[Ruimte omschrijving]],2,FALSE)</f>
        <v>Publieksruimte</v>
      </c>
      <c r="C462" s="218" t="s">
        <v>682</v>
      </c>
      <c r="D462" s="217" t="s">
        <v>29</v>
      </c>
      <c r="E462" s="219" t="s">
        <v>102</v>
      </c>
      <c r="F462" s="218" t="s">
        <v>685</v>
      </c>
      <c r="G462" s="263" t="s">
        <v>302</v>
      </c>
      <c r="H462" s="220" t="s">
        <v>302</v>
      </c>
      <c r="I462" s="220" t="s">
        <v>20</v>
      </c>
      <c r="J462" s="220" t="s">
        <v>15</v>
      </c>
      <c r="K462" s="220" t="s">
        <v>303</v>
      </c>
      <c r="L462" s="220" t="s">
        <v>302</v>
      </c>
      <c r="M462" s="220" t="s">
        <v>302</v>
      </c>
      <c r="N462" s="221" t="s">
        <v>2</v>
      </c>
      <c r="O462" s="222" t="s">
        <v>2</v>
      </c>
      <c r="P462" s="222" t="s">
        <v>2</v>
      </c>
      <c r="Q462" s="222" t="s">
        <v>15</v>
      </c>
      <c r="R462" s="222" t="s">
        <v>15</v>
      </c>
      <c r="S462" s="222" t="s">
        <v>16</v>
      </c>
      <c r="T462" s="222" t="s">
        <v>349</v>
      </c>
      <c r="U462" s="222" t="s">
        <v>269</v>
      </c>
      <c r="V462" s="222" t="s">
        <v>2</v>
      </c>
      <c r="W462" s="223" t="s">
        <v>302</v>
      </c>
      <c r="X462" s="223" t="s">
        <v>302</v>
      </c>
      <c r="Y462" s="224" t="s">
        <v>302</v>
      </c>
    </row>
    <row r="463" spans="1:25">
      <c r="A463" s="216">
        <v>9</v>
      </c>
      <c r="B463" s="217" t="str">
        <f>VLOOKUP(Tabel10[[#This Row],[Code]],Ruimtegroepen[[Code]:[Ruimte omschrijving]],2,FALSE)</f>
        <v>Publieksruimte</v>
      </c>
      <c r="C463" s="218" t="s">
        <v>682</v>
      </c>
      <c r="D463" s="217" t="s">
        <v>29</v>
      </c>
      <c r="E463" s="219" t="s">
        <v>103</v>
      </c>
      <c r="F463" s="218" t="s">
        <v>686</v>
      </c>
      <c r="G463" s="263" t="s">
        <v>302</v>
      </c>
      <c r="H463" s="220" t="s">
        <v>302</v>
      </c>
      <c r="I463" s="220" t="s">
        <v>20</v>
      </c>
      <c r="J463" s="220" t="s">
        <v>15</v>
      </c>
      <c r="K463" s="220" t="s">
        <v>303</v>
      </c>
      <c r="L463" s="220" t="s">
        <v>302</v>
      </c>
      <c r="M463" s="220" t="s">
        <v>302</v>
      </c>
      <c r="N463" s="221" t="s">
        <v>2</v>
      </c>
      <c r="O463" s="222" t="s">
        <v>2</v>
      </c>
      <c r="P463" s="222" t="s">
        <v>2</v>
      </c>
      <c r="Q463" s="222" t="s">
        <v>15</v>
      </c>
      <c r="R463" s="222" t="s">
        <v>15</v>
      </c>
      <c r="S463" s="222" t="s">
        <v>16</v>
      </c>
      <c r="T463" s="222" t="s">
        <v>349</v>
      </c>
      <c r="U463" s="222" t="s">
        <v>269</v>
      </c>
      <c r="V463" s="222" t="s">
        <v>2</v>
      </c>
      <c r="W463" s="223" t="s">
        <v>302</v>
      </c>
      <c r="X463" s="223" t="s">
        <v>302</v>
      </c>
      <c r="Y463" s="224" t="s">
        <v>302</v>
      </c>
    </row>
    <row r="464" spans="1:25">
      <c r="A464" s="216">
        <v>9</v>
      </c>
      <c r="B464" s="217" t="str">
        <f>VLOOKUP(Tabel10[[#This Row],[Code]],Ruimtegroepen[[Code]:[Ruimte omschrijving]],2,FALSE)</f>
        <v>Publieksruimte</v>
      </c>
      <c r="C464" s="218" t="s">
        <v>682</v>
      </c>
      <c r="D464" s="217" t="s">
        <v>29</v>
      </c>
      <c r="E464" s="219" t="s">
        <v>100</v>
      </c>
      <c r="F464" s="218" t="s">
        <v>684</v>
      </c>
      <c r="G464" s="263" t="s">
        <v>302</v>
      </c>
      <c r="H464" s="221" t="s">
        <v>2</v>
      </c>
      <c r="I464" s="220" t="s">
        <v>302</v>
      </c>
      <c r="J464" s="221" t="s">
        <v>302</v>
      </c>
      <c r="K464" s="221" t="s">
        <v>302</v>
      </c>
      <c r="L464" s="220" t="s">
        <v>302</v>
      </c>
      <c r="M464" s="220" t="s">
        <v>302</v>
      </c>
      <c r="N464" s="221" t="s">
        <v>2</v>
      </c>
      <c r="O464" s="222" t="s">
        <v>2</v>
      </c>
      <c r="P464" s="222" t="s">
        <v>2</v>
      </c>
      <c r="Q464" s="222" t="s">
        <v>15</v>
      </c>
      <c r="R464" s="222" t="s">
        <v>15</v>
      </c>
      <c r="S464" s="222" t="s">
        <v>16</v>
      </c>
      <c r="T464" s="222" t="s">
        <v>349</v>
      </c>
      <c r="U464" s="222" t="s">
        <v>269</v>
      </c>
      <c r="V464" s="222" t="s">
        <v>2</v>
      </c>
      <c r="W464" s="223" t="s">
        <v>302</v>
      </c>
      <c r="X464" s="223" t="s">
        <v>302</v>
      </c>
      <c r="Y464" s="224" t="s">
        <v>302</v>
      </c>
    </row>
    <row r="465" spans="1:25">
      <c r="A465" s="216">
        <v>9</v>
      </c>
      <c r="B465" s="217" t="str">
        <f>VLOOKUP(Tabel10[[#This Row],[Code]],Ruimtegroepen[[Code]:[Ruimte omschrijving]],2,FALSE)</f>
        <v>Publieksruimte</v>
      </c>
      <c r="C465" s="218" t="s">
        <v>682</v>
      </c>
      <c r="D465" s="217" t="s">
        <v>29</v>
      </c>
      <c r="E465" s="219" t="s">
        <v>1325</v>
      </c>
      <c r="F465" s="218" t="s">
        <v>1498</v>
      </c>
      <c r="G465" s="263" t="s">
        <v>302</v>
      </c>
      <c r="H465" s="220" t="s">
        <v>302</v>
      </c>
      <c r="I465" s="220" t="s">
        <v>20</v>
      </c>
      <c r="J465" s="220" t="s">
        <v>15</v>
      </c>
      <c r="K465" s="220" t="s">
        <v>303</v>
      </c>
      <c r="L465" s="220" t="s">
        <v>302</v>
      </c>
      <c r="M465" s="220" t="s">
        <v>302</v>
      </c>
      <c r="N465" s="221" t="s">
        <v>2</v>
      </c>
      <c r="O465" s="222" t="s">
        <v>2</v>
      </c>
      <c r="P465" s="222" t="s">
        <v>2</v>
      </c>
      <c r="Q465" s="222" t="s">
        <v>15</v>
      </c>
      <c r="R465" s="222" t="s">
        <v>15</v>
      </c>
      <c r="S465" s="222" t="s">
        <v>16</v>
      </c>
      <c r="T465" s="222" t="s">
        <v>349</v>
      </c>
      <c r="U465" s="222" t="s">
        <v>269</v>
      </c>
      <c r="V465" s="222" t="s">
        <v>2</v>
      </c>
      <c r="W465" s="223" t="s">
        <v>302</v>
      </c>
      <c r="X465" s="223" t="s">
        <v>302</v>
      </c>
      <c r="Y465" s="224" t="s">
        <v>302</v>
      </c>
    </row>
    <row r="466" spans="1:25">
      <c r="A466" s="216">
        <v>9</v>
      </c>
      <c r="B466" s="217" t="str">
        <f>VLOOKUP(Tabel10[[#This Row],[Code]],Ruimtegroepen[[Code]:[Ruimte omschrijving]],2,FALSE)</f>
        <v>Publieksruimte</v>
      </c>
      <c r="C466" s="218" t="s">
        <v>687</v>
      </c>
      <c r="D466" s="217" t="s">
        <v>1</v>
      </c>
      <c r="E466" s="219" t="s">
        <v>101</v>
      </c>
      <c r="F466" s="218" t="s">
        <v>688</v>
      </c>
      <c r="G466" s="263" t="s">
        <v>302</v>
      </c>
      <c r="H466" s="220" t="s">
        <v>302</v>
      </c>
      <c r="I466" s="220" t="s">
        <v>20</v>
      </c>
      <c r="J466" s="221" t="s">
        <v>15</v>
      </c>
      <c r="K466" s="221" t="s">
        <v>302</v>
      </c>
      <c r="L466" s="220" t="s">
        <v>302</v>
      </c>
      <c r="M466" s="220" t="s">
        <v>302</v>
      </c>
      <c r="N466" s="221" t="s">
        <v>302</v>
      </c>
      <c r="O466" s="222" t="s">
        <v>2</v>
      </c>
      <c r="P466" s="222" t="s">
        <v>2</v>
      </c>
      <c r="Q466" s="222" t="s">
        <v>15</v>
      </c>
      <c r="R466" s="222" t="s">
        <v>15</v>
      </c>
      <c r="S466" s="222" t="s">
        <v>16</v>
      </c>
      <c r="T466" s="222" t="s">
        <v>349</v>
      </c>
      <c r="U466" s="222" t="s">
        <v>269</v>
      </c>
      <c r="V466" s="222" t="s">
        <v>302</v>
      </c>
      <c r="W466" s="223" t="s">
        <v>302</v>
      </c>
      <c r="X466" s="223" t="s">
        <v>302</v>
      </c>
      <c r="Y466" s="224" t="s">
        <v>302</v>
      </c>
    </row>
    <row r="467" spans="1:25">
      <c r="A467" s="216">
        <v>9</v>
      </c>
      <c r="B467" s="217" t="str">
        <f>VLOOKUP(Tabel10[[#This Row],[Code]],Ruimtegroepen[[Code]:[Ruimte omschrijving]],2,FALSE)</f>
        <v>Publieksruimte</v>
      </c>
      <c r="C467" s="218" t="s">
        <v>687</v>
      </c>
      <c r="D467" s="217" t="s">
        <v>1</v>
      </c>
      <c r="E467" s="219" t="s">
        <v>100</v>
      </c>
      <c r="F467" s="218" t="s">
        <v>689</v>
      </c>
      <c r="G467" s="263" t="s">
        <v>302</v>
      </c>
      <c r="H467" s="221" t="s">
        <v>2</v>
      </c>
      <c r="I467" s="220" t="s">
        <v>302</v>
      </c>
      <c r="J467" s="221" t="s">
        <v>302</v>
      </c>
      <c r="K467" s="221" t="s">
        <v>302</v>
      </c>
      <c r="L467" s="220" t="s">
        <v>302</v>
      </c>
      <c r="M467" s="220" t="s">
        <v>302</v>
      </c>
      <c r="N467" s="221" t="s">
        <v>302</v>
      </c>
      <c r="O467" s="222" t="s">
        <v>2</v>
      </c>
      <c r="P467" s="222" t="s">
        <v>2</v>
      </c>
      <c r="Q467" s="222" t="s">
        <v>15</v>
      </c>
      <c r="R467" s="222" t="s">
        <v>15</v>
      </c>
      <c r="S467" s="222" t="s">
        <v>16</v>
      </c>
      <c r="T467" s="222" t="s">
        <v>349</v>
      </c>
      <c r="U467" s="222" t="s">
        <v>269</v>
      </c>
      <c r="V467" s="222" t="s">
        <v>302</v>
      </c>
      <c r="W467" s="223" t="s">
        <v>302</v>
      </c>
      <c r="X467" s="223" t="s">
        <v>302</v>
      </c>
      <c r="Y467" s="224" t="s">
        <v>302</v>
      </c>
    </row>
    <row r="468" spans="1:25">
      <c r="A468" s="216">
        <v>9</v>
      </c>
      <c r="B468" s="217" t="str">
        <f>VLOOKUP(Tabel10[[#This Row],[Code]],Ruimtegroepen[[Code]:[Ruimte omschrijving]],2,FALSE)</f>
        <v>Publieksruimte</v>
      </c>
      <c r="C468" s="218" t="s">
        <v>687</v>
      </c>
      <c r="D468" s="217" t="s">
        <v>1</v>
      </c>
      <c r="E468" s="219" t="s">
        <v>102</v>
      </c>
      <c r="F468" s="218" t="s">
        <v>690</v>
      </c>
      <c r="G468" s="263" t="s">
        <v>302</v>
      </c>
      <c r="H468" s="220" t="s">
        <v>302</v>
      </c>
      <c r="I468" s="220" t="s">
        <v>20</v>
      </c>
      <c r="J468" s="220" t="s">
        <v>15</v>
      </c>
      <c r="K468" s="220" t="s">
        <v>303</v>
      </c>
      <c r="L468" s="220" t="s">
        <v>302</v>
      </c>
      <c r="M468" s="220" t="s">
        <v>302</v>
      </c>
      <c r="N468" s="221" t="s">
        <v>302</v>
      </c>
      <c r="O468" s="222" t="s">
        <v>2</v>
      </c>
      <c r="P468" s="222" t="s">
        <v>2</v>
      </c>
      <c r="Q468" s="222" t="s">
        <v>15</v>
      </c>
      <c r="R468" s="222" t="s">
        <v>15</v>
      </c>
      <c r="S468" s="222" t="s">
        <v>16</v>
      </c>
      <c r="T468" s="222" t="s">
        <v>349</v>
      </c>
      <c r="U468" s="222" t="s">
        <v>269</v>
      </c>
      <c r="V468" s="222" t="s">
        <v>302</v>
      </c>
      <c r="W468" s="223" t="s">
        <v>302</v>
      </c>
      <c r="X468" s="223" t="s">
        <v>302</v>
      </c>
      <c r="Y468" s="224" t="s">
        <v>302</v>
      </c>
    </row>
    <row r="469" spans="1:25">
      <c r="A469" s="216">
        <v>9</v>
      </c>
      <c r="B469" s="217" t="str">
        <f>VLOOKUP(Tabel10[[#This Row],[Code]],Ruimtegroepen[[Code]:[Ruimte omschrijving]],2,FALSE)</f>
        <v>Publieksruimte</v>
      </c>
      <c r="C469" s="218" t="s">
        <v>687</v>
      </c>
      <c r="D469" s="217" t="s">
        <v>1</v>
      </c>
      <c r="E469" s="219" t="s">
        <v>103</v>
      </c>
      <c r="F469" s="218" t="s">
        <v>691</v>
      </c>
      <c r="G469" s="263" t="s">
        <v>302</v>
      </c>
      <c r="H469" s="220" t="s">
        <v>302</v>
      </c>
      <c r="I469" s="221" t="s">
        <v>2</v>
      </c>
      <c r="J469" s="221" t="s">
        <v>302</v>
      </c>
      <c r="K469" s="220" t="s">
        <v>303</v>
      </c>
      <c r="L469" s="220" t="s">
        <v>302</v>
      </c>
      <c r="M469" s="220" t="s">
        <v>302</v>
      </c>
      <c r="N469" s="221" t="s">
        <v>302</v>
      </c>
      <c r="O469" s="222" t="s">
        <v>2</v>
      </c>
      <c r="P469" s="222" t="s">
        <v>2</v>
      </c>
      <c r="Q469" s="222" t="s">
        <v>15</v>
      </c>
      <c r="R469" s="222" t="s">
        <v>15</v>
      </c>
      <c r="S469" s="222" t="s">
        <v>16</v>
      </c>
      <c r="T469" s="222" t="s">
        <v>349</v>
      </c>
      <c r="U469" s="222" t="s">
        <v>269</v>
      </c>
      <c r="V469" s="222" t="s">
        <v>302</v>
      </c>
      <c r="W469" s="223" t="s">
        <v>302</v>
      </c>
      <c r="X469" s="223" t="s">
        <v>302</v>
      </c>
      <c r="Y469" s="224" t="s">
        <v>302</v>
      </c>
    </row>
    <row r="470" spans="1:25">
      <c r="A470" s="216">
        <v>9</v>
      </c>
      <c r="B470" s="217" t="str">
        <f>VLOOKUP(Tabel10[[#This Row],[Code]],Ruimtegroepen[[Code]:[Ruimte omschrijving]],2,FALSE)</f>
        <v>Publieksruimte</v>
      </c>
      <c r="C470" s="218" t="s">
        <v>687</v>
      </c>
      <c r="D470" s="217" t="s">
        <v>1</v>
      </c>
      <c r="E470" s="219" t="s">
        <v>100</v>
      </c>
      <c r="F470" s="218" t="s">
        <v>689</v>
      </c>
      <c r="G470" s="263" t="s">
        <v>302</v>
      </c>
      <c r="H470" s="221" t="s">
        <v>2</v>
      </c>
      <c r="I470" s="220" t="s">
        <v>302</v>
      </c>
      <c r="J470" s="221" t="s">
        <v>302</v>
      </c>
      <c r="K470" s="221" t="s">
        <v>302</v>
      </c>
      <c r="L470" s="220" t="s">
        <v>302</v>
      </c>
      <c r="M470" s="220" t="s">
        <v>302</v>
      </c>
      <c r="N470" s="221" t="s">
        <v>302</v>
      </c>
      <c r="O470" s="222" t="s">
        <v>2</v>
      </c>
      <c r="P470" s="222" t="s">
        <v>2</v>
      </c>
      <c r="Q470" s="222" t="s">
        <v>15</v>
      </c>
      <c r="R470" s="222" t="s">
        <v>15</v>
      </c>
      <c r="S470" s="222" t="s">
        <v>16</v>
      </c>
      <c r="T470" s="222" t="s">
        <v>349</v>
      </c>
      <c r="U470" s="222" t="s">
        <v>269</v>
      </c>
      <c r="V470" s="222" t="s">
        <v>302</v>
      </c>
      <c r="W470" s="223" t="s">
        <v>302</v>
      </c>
      <c r="X470" s="223" t="s">
        <v>302</v>
      </c>
      <c r="Y470" s="224" t="s">
        <v>302</v>
      </c>
    </row>
    <row r="471" spans="1:25">
      <c r="A471" s="216">
        <v>9</v>
      </c>
      <c r="B471" s="217" t="str">
        <f>VLOOKUP(Tabel10[[#This Row],[Code]],Ruimtegroepen[[Code]:[Ruimte omschrijving]],2,FALSE)</f>
        <v>Publieksruimte</v>
      </c>
      <c r="C471" s="218" t="s">
        <v>687</v>
      </c>
      <c r="D471" s="217" t="s">
        <v>1</v>
      </c>
      <c r="E471" s="219" t="s">
        <v>1325</v>
      </c>
      <c r="F471" s="218" t="s">
        <v>1482</v>
      </c>
      <c r="G471" s="263" t="s">
        <v>302</v>
      </c>
      <c r="H471" s="220" t="s">
        <v>302</v>
      </c>
      <c r="I471" s="221" t="s">
        <v>2</v>
      </c>
      <c r="J471" s="221" t="s">
        <v>302</v>
      </c>
      <c r="K471" s="220" t="s">
        <v>303</v>
      </c>
      <c r="L471" s="220" t="s">
        <v>302</v>
      </c>
      <c r="M471" s="220" t="s">
        <v>302</v>
      </c>
      <c r="N471" s="221" t="s">
        <v>302</v>
      </c>
      <c r="O471" s="222" t="s">
        <v>2</v>
      </c>
      <c r="P471" s="222" t="s">
        <v>2</v>
      </c>
      <c r="Q471" s="222" t="s">
        <v>15</v>
      </c>
      <c r="R471" s="222" t="s">
        <v>15</v>
      </c>
      <c r="S471" s="222" t="s">
        <v>16</v>
      </c>
      <c r="T471" s="222" t="s">
        <v>349</v>
      </c>
      <c r="U471" s="222" t="s">
        <v>269</v>
      </c>
      <c r="V471" s="222" t="s">
        <v>302</v>
      </c>
      <c r="W471" s="223" t="s">
        <v>302</v>
      </c>
      <c r="X471" s="223" t="s">
        <v>302</v>
      </c>
      <c r="Y471" s="224" t="s">
        <v>302</v>
      </c>
    </row>
    <row r="472" spans="1:25">
      <c r="A472" s="216">
        <v>9</v>
      </c>
      <c r="B472" s="217" t="str">
        <f>VLOOKUP(Tabel10[[#This Row],[Code]],Ruimtegroepen[[Code]:[Ruimte omschrijving]],2,FALSE)</f>
        <v>Publieksruimte</v>
      </c>
      <c r="C472" s="218" t="s">
        <v>692</v>
      </c>
      <c r="D472" s="217" t="s">
        <v>21</v>
      </c>
      <c r="E472" s="219" t="s">
        <v>101</v>
      </c>
      <c r="F472" s="218" t="s">
        <v>693</v>
      </c>
      <c r="G472" s="263" t="s">
        <v>302</v>
      </c>
      <c r="H472" s="220" t="s">
        <v>302</v>
      </c>
      <c r="I472" s="220" t="s">
        <v>18</v>
      </c>
      <c r="J472" s="221" t="s">
        <v>15</v>
      </c>
      <c r="K472" s="221" t="s">
        <v>302</v>
      </c>
      <c r="L472" s="220" t="s">
        <v>302</v>
      </c>
      <c r="M472" s="220" t="s">
        <v>302</v>
      </c>
      <c r="N472" s="221" t="s">
        <v>302</v>
      </c>
      <c r="O472" s="222" t="s">
        <v>20</v>
      </c>
      <c r="P472" s="222" t="s">
        <v>20</v>
      </c>
      <c r="Q472" s="222" t="s">
        <v>15</v>
      </c>
      <c r="R472" s="222" t="s">
        <v>15</v>
      </c>
      <c r="S472" s="222" t="s">
        <v>16</v>
      </c>
      <c r="T472" s="222" t="s">
        <v>349</v>
      </c>
      <c r="U472" s="222" t="s">
        <v>269</v>
      </c>
      <c r="V472" s="222" t="s">
        <v>302</v>
      </c>
      <c r="W472" s="223" t="s">
        <v>302</v>
      </c>
      <c r="X472" s="223" t="s">
        <v>302</v>
      </c>
      <c r="Y472" s="224" t="s">
        <v>302</v>
      </c>
    </row>
    <row r="473" spans="1:25">
      <c r="A473" s="216">
        <v>9</v>
      </c>
      <c r="B473" s="217" t="str">
        <f>VLOOKUP(Tabel10[[#This Row],[Code]],Ruimtegroepen[[Code]:[Ruimte omschrijving]],2,FALSE)</f>
        <v>Publieksruimte</v>
      </c>
      <c r="C473" s="218" t="s">
        <v>692</v>
      </c>
      <c r="D473" s="217" t="s">
        <v>21</v>
      </c>
      <c r="E473" s="219" t="s">
        <v>100</v>
      </c>
      <c r="F473" s="218" t="s">
        <v>694</v>
      </c>
      <c r="G473" s="263" t="s">
        <v>302</v>
      </c>
      <c r="H473" s="221" t="s">
        <v>20</v>
      </c>
      <c r="I473" s="220" t="s">
        <v>302</v>
      </c>
      <c r="J473" s="221" t="s">
        <v>302</v>
      </c>
      <c r="K473" s="221" t="s">
        <v>302</v>
      </c>
      <c r="L473" s="220" t="s">
        <v>302</v>
      </c>
      <c r="M473" s="220" t="s">
        <v>302</v>
      </c>
      <c r="N473" s="221" t="s">
        <v>302</v>
      </c>
      <c r="O473" s="222" t="s">
        <v>20</v>
      </c>
      <c r="P473" s="222" t="s">
        <v>20</v>
      </c>
      <c r="Q473" s="222" t="s">
        <v>15</v>
      </c>
      <c r="R473" s="222" t="s">
        <v>15</v>
      </c>
      <c r="S473" s="222" t="s">
        <v>16</v>
      </c>
      <c r="T473" s="222" t="s">
        <v>349</v>
      </c>
      <c r="U473" s="222" t="s">
        <v>269</v>
      </c>
      <c r="V473" s="222" t="s">
        <v>302</v>
      </c>
      <c r="W473" s="223" t="s">
        <v>302</v>
      </c>
      <c r="X473" s="223" t="s">
        <v>302</v>
      </c>
      <c r="Y473" s="224" t="s">
        <v>302</v>
      </c>
    </row>
    <row r="474" spans="1:25">
      <c r="A474" s="216">
        <v>9</v>
      </c>
      <c r="B474" s="217" t="str">
        <f>VLOOKUP(Tabel10[[#This Row],[Code]],Ruimtegroepen[[Code]:[Ruimte omschrijving]],2,FALSE)</f>
        <v>Publieksruimte</v>
      </c>
      <c r="C474" s="218" t="s">
        <v>692</v>
      </c>
      <c r="D474" s="217" t="s">
        <v>21</v>
      </c>
      <c r="E474" s="219" t="s">
        <v>102</v>
      </c>
      <c r="F474" s="218" t="s">
        <v>695</v>
      </c>
      <c r="G474" s="263" t="s">
        <v>302</v>
      </c>
      <c r="H474" s="220" t="s">
        <v>302</v>
      </c>
      <c r="I474" s="220" t="s">
        <v>18</v>
      </c>
      <c r="J474" s="220" t="s">
        <v>15</v>
      </c>
      <c r="K474" s="220" t="s">
        <v>303</v>
      </c>
      <c r="L474" s="220" t="s">
        <v>302</v>
      </c>
      <c r="M474" s="220" t="s">
        <v>302</v>
      </c>
      <c r="N474" s="221" t="s">
        <v>302</v>
      </c>
      <c r="O474" s="222" t="s">
        <v>20</v>
      </c>
      <c r="P474" s="222" t="s">
        <v>20</v>
      </c>
      <c r="Q474" s="222" t="s">
        <v>15</v>
      </c>
      <c r="R474" s="222" t="s">
        <v>15</v>
      </c>
      <c r="S474" s="222" t="s">
        <v>16</v>
      </c>
      <c r="T474" s="222" t="s">
        <v>349</v>
      </c>
      <c r="U474" s="222" t="s">
        <v>269</v>
      </c>
      <c r="V474" s="222" t="s">
        <v>302</v>
      </c>
      <c r="W474" s="223" t="s">
        <v>302</v>
      </c>
      <c r="X474" s="223" t="s">
        <v>302</v>
      </c>
      <c r="Y474" s="224" t="s">
        <v>302</v>
      </c>
    </row>
    <row r="475" spans="1:25">
      <c r="A475" s="216">
        <v>9</v>
      </c>
      <c r="B475" s="217" t="str">
        <f>VLOOKUP(Tabel10[[#This Row],[Code]],Ruimtegroepen[[Code]:[Ruimte omschrijving]],2,FALSE)</f>
        <v>Publieksruimte</v>
      </c>
      <c r="C475" s="218" t="s">
        <v>692</v>
      </c>
      <c r="D475" s="217" t="s">
        <v>21</v>
      </c>
      <c r="E475" s="219" t="s">
        <v>103</v>
      </c>
      <c r="F475" s="218" t="s">
        <v>696</v>
      </c>
      <c r="G475" s="263" t="s">
        <v>302</v>
      </c>
      <c r="H475" s="220" t="s">
        <v>302</v>
      </c>
      <c r="I475" s="220" t="s">
        <v>18</v>
      </c>
      <c r="J475" s="220" t="s">
        <v>15</v>
      </c>
      <c r="K475" s="220" t="s">
        <v>303</v>
      </c>
      <c r="L475" s="220" t="s">
        <v>302</v>
      </c>
      <c r="M475" s="220" t="s">
        <v>302</v>
      </c>
      <c r="N475" s="221" t="s">
        <v>302</v>
      </c>
      <c r="O475" s="222" t="s">
        <v>20</v>
      </c>
      <c r="P475" s="222" t="s">
        <v>20</v>
      </c>
      <c r="Q475" s="222" t="s">
        <v>15</v>
      </c>
      <c r="R475" s="222" t="s">
        <v>15</v>
      </c>
      <c r="S475" s="222" t="s">
        <v>16</v>
      </c>
      <c r="T475" s="222" t="s">
        <v>349</v>
      </c>
      <c r="U475" s="222" t="s">
        <v>269</v>
      </c>
      <c r="V475" s="222" t="s">
        <v>302</v>
      </c>
      <c r="W475" s="223" t="s">
        <v>302</v>
      </c>
      <c r="X475" s="223" t="s">
        <v>302</v>
      </c>
      <c r="Y475" s="224" t="s">
        <v>302</v>
      </c>
    </row>
    <row r="476" spans="1:25">
      <c r="A476" s="216">
        <v>9</v>
      </c>
      <c r="B476" s="217" t="str">
        <f>VLOOKUP(Tabel10[[#This Row],[Code]],Ruimtegroepen[[Code]:[Ruimte omschrijving]],2,FALSE)</f>
        <v>Publieksruimte</v>
      </c>
      <c r="C476" s="218" t="s">
        <v>692</v>
      </c>
      <c r="D476" s="217" t="s">
        <v>21</v>
      </c>
      <c r="E476" s="219" t="s">
        <v>100</v>
      </c>
      <c r="F476" s="218" t="s">
        <v>694</v>
      </c>
      <c r="G476" s="263" t="s">
        <v>302</v>
      </c>
      <c r="H476" s="221" t="s">
        <v>20</v>
      </c>
      <c r="I476" s="220" t="s">
        <v>302</v>
      </c>
      <c r="J476" s="221" t="s">
        <v>302</v>
      </c>
      <c r="K476" s="221" t="s">
        <v>302</v>
      </c>
      <c r="L476" s="220" t="s">
        <v>302</v>
      </c>
      <c r="M476" s="220" t="s">
        <v>302</v>
      </c>
      <c r="N476" s="221" t="s">
        <v>302</v>
      </c>
      <c r="O476" s="222" t="s">
        <v>20</v>
      </c>
      <c r="P476" s="222" t="s">
        <v>20</v>
      </c>
      <c r="Q476" s="222" t="s">
        <v>15</v>
      </c>
      <c r="R476" s="222" t="s">
        <v>15</v>
      </c>
      <c r="S476" s="222" t="s">
        <v>16</v>
      </c>
      <c r="T476" s="222" t="s">
        <v>349</v>
      </c>
      <c r="U476" s="222" t="s">
        <v>269</v>
      </c>
      <c r="V476" s="222" t="s">
        <v>302</v>
      </c>
      <c r="W476" s="223" t="s">
        <v>302</v>
      </c>
      <c r="X476" s="223" t="s">
        <v>302</v>
      </c>
      <c r="Y476" s="224" t="s">
        <v>302</v>
      </c>
    </row>
    <row r="477" spans="1:25">
      <c r="A477" s="216">
        <v>9</v>
      </c>
      <c r="B477" s="217" t="str">
        <f>VLOOKUP(Tabel10[[#This Row],[Code]],Ruimtegroepen[[Code]:[Ruimte omschrijving]],2,FALSE)</f>
        <v>Publieksruimte</v>
      </c>
      <c r="C477" s="218" t="s">
        <v>692</v>
      </c>
      <c r="D477" s="217" t="s">
        <v>21</v>
      </c>
      <c r="E477" s="219" t="s">
        <v>1325</v>
      </c>
      <c r="F477" s="218" t="s">
        <v>1465</v>
      </c>
      <c r="G477" s="263" t="s">
        <v>302</v>
      </c>
      <c r="H477" s="220" t="s">
        <v>302</v>
      </c>
      <c r="I477" s="220" t="s">
        <v>18</v>
      </c>
      <c r="J477" s="220" t="s">
        <v>15</v>
      </c>
      <c r="K477" s="220" t="s">
        <v>303</v>
      </c>
      <c r="L477" s="220" t="s">
        <v>302</v>
      </c>
      <c r="M477" s="220" t="s">
        <v>302</v>
      </c>
      <c r="N477" s="221" t="s">
        <v>302</v>
      </c>
      <c r="O477" s="222" t="s">
        <v>20</v>
      </c>
      <c r="P477" s="222" t="s">
        <v>20</v>
      </c>
      <c r="Q477" s="222" t="s">
        <v>15</v>
      </c>
      <c r="R477" s="222" t="s">
        <v>15</v>
      </c>
      <c r="S477" s="222" t="s">
        <v>16</v>
      </c>
      <c r="T477" s="222" t="s">
        <v>349</v>
      </c>
      <c r="U477" s="222" t="s">
        <v>269</v>
      </c>
      <c r="V477" s="222" t="s">
        <v>302</v>
      </c>
      <c r="W477" s="223" t="s">
        <v>302</v>
      </c>
      <c r="X477" s="223" t="s">
        <v>302</v>
      </c>
      <c r="Y477" s="224" t="s">
        <v>302</v>
      </c>
    </row>
    <row r="478" spans="1:25">
      <c r="A478" s="216">
        <v>9</v>
      </c>
      <c r="B478" s="217" t="str">
        <f>VLOOKUP(Tabel10[[#This Row],[Code]],Ruimtegroepen[[Code]:[Ruimte omschrijving]],2,FALSE)</f>
        <v>Publieksruimte</v>
      </c>
      <c r="C478" s="218" t="s">
        <v>697</v>
      </c>
      <c r="D478" s="217" t="s">
        <v>12</v>
      </c>
      <c r="E478" s="219" t="s">
        <v>101</v>
      </c>
      <c r="F478" s="218" t="s">
        <v>698</v>
      </c>
      <c r="G478" s="263" t="s">
        <v>302</v>
      </c>
      <c r="H478" s="220" t="s">
        <v>302</v>
      </c>
      <c r="I478" s="220" t="s">
        <v>17</v>
      </c>
      <c r="J478" s="221" t="s">
        <v>15</v>
      </c>
      <c r="K478" s="221" t="s">
        <v>302</v>
      </c>
      <c r="L478" s="220" t="s">
        <v>302</v>
      </c>
      <c r="M478" s="220" t="s">
        <v>302</v>
      </c>
      <c r="N478" s="221" t="s">
        <v>302</v>
      </c>
      <c r="O478" s="222" t="s">
        <v>18</v>
      </c>
      <c r="P478" s="222" t="s">
        <v>18</v>
      </c>
      <c r="Q478" s="222" t="s">
        <v>15</v>
      </c>
      <c r="R478" s="222" t="s">
        <v>15</v>
      </c>
      <c r="S478" s="222" t="s">
        <v>16</v>
      </c>
      <c r="T478" s="222" t="s">
        <v>349</v>
      </c>
      <c r="U478" s="222" t="s">
        <v>269</v>
      </c>
      <c r="V478" s="222" t="s">
        <v>302</v>
      </c>
      <c r="W478" s="223" t="s">
        <v>302</v>
      </c>
      <c r="X478" s="223" t="s">
        <v>302</v>
      </c>
      <c r="Y478" s="224" t="s">
        <v>302</v>
      </c>
    </row>
    <row r="479" spans="1:25">
      <c r="A479" s="216">
        <v>9</v>
      </c>
      <c r="B479" s="217" t="str">
        <f>VLOOKUP(Tabel10[[#This Row],[Code]],Ruimtegroepen[[Code]:[Ruimte omschrijving]],2,FALSE)</f>
        <v>Publieksruimte</v>
      </c>
      <c r="C479" s="218" t="s">
        <v>697</v>
      </c>
      <c r="D479" s="217" t="s">
        <v>12</v>
      </c>
      <c r="E479" s="219" t="s">
        <v>100</v>
      </c>
      <c r="F479" s="218" t="s">
        <v>699</v>
      </c>
      <c r="G479" s="263" t="s">
        <v>302</v>
      </c>
      <c r="H479" s="221" t="s">
        <v>18</v>
      </c>
      <c r="I479" s="220" t="s">
        <v>302</v>
      </c>
      <c r="J479" s="221" t="s">
        <v>302</v>
      </c>
      <c r="K479" s="221" t="s">
        <v>302</v>
      </c>
      <c r="L479" s="220" t="s">
        <v>302</v>
      </c>
      <c r="M479" s="220" t="s">
        <v>302</v>
      </c>
      <c r="N479" s="221" t="s">
        <v>302</v>
      </c>
      <c r="O479" s="222" t="s">
        <v>18</v>
      </c>
      <c r="P479" s="222" t="s">
        <v>18</v>
      </c>
      <c r="Q479" s="222" t="s">
        <v>15</v>
      </c>
      <c r="R479" s="222" t="s">
        <v>15</v>
      </c>
      <c r="S479" s="222" t="s">
        <v>16</v>
      </c>
      <c r="T479" s="222" t="s">
        <v>349</v>
      </c>
      <c r="U479" s="222" t="s">
        <v>269</v>
      </c>
      <c r="V479" s="222" t="s">
        <v>302</v>
      </c>
      <c r="W479" s="223" t="s">
        <v>302</v>
      </c>
      <c r="X479" s="223" t="s">
        <v>302</v>
      </c>
      <c r="Y479" s="224" t="s">
        <v>302</v>
      </c>
    </row>
    <row r="480" spans="1:25">
      <c r="A480" s="216">
        <v>9</v>
      </c>
      <c r="B480" s="217" t="str">
        <f>VLOOKUP(Tabel10[[#This Row],[Code]],Ruimtegroepen[[Code]:[Ruimte omschrijving]],2,FALSE)</f>
        <v>Publieksruimte</v>
      </c>
      <c r="C480" s="218" t="s">
        <v>697</v>
      </c>
      <c r="D480" s="217" t="s">
        <v>12</v>
      </c>
      <c r="E480" s="219" t="s">
        <v>102</v>
      </c>
      <c r="F480" s="218" t="s">
        <v>700</v>
      </c>
      <c r="G480" s="263" t="s">
        <v>302</v>
      </c>
      <c r="H480" s="220" t="s">
        <v>302</v>
      </c>
      <c r="I480" s="220" t="s">
        <v>17</v>
      </c>
      <c r="J480" s="220" t="s">
        <v>15</v>
      </c>
      <c r="K480" s="220" t="s">
        <v>303</v>
      </c>
      <c r="L480" s="220" t="s">
        <v>302</v>
      </c>
      <c r="M480" s="220" t="s">
        <v>302</v>
      </c>
      <c r="N480" s="221" t="s">
        <v>302</v>
      </c>
      <c r="O480" s="222" t="s">
        <v>18</v>
      </c>
      <c r="P480" s="222" t="s">
        <v>18</v>
      </c>
      <c r="Q480" s="222" t="s">
        <v>15</v>
      </c>
      <c r="R480" s="222" t="s">
        <v>15</v>
      </c>
      <c r="S480" s="222" t="s">
        <v>16</v>
      </c>
      <c r="T480" s="222" t="s">
        <v>349</v>
      </c>
      <c r="U480" s="222" t="s">
        <v>269</v>
      </c>
      <c r="V480" s="222" t="s">
        <v>302</v>
      </c>
      <c r="W480" s="223" t="s">
        <v>302</v>
      </c>
      <c r="X480" s="223" t="s">
        <v>302</v>
      </c>
      <c r="Y480" s="224" t="s">
        <v>302</v>
      </c>
    </row>
    <row r="481" spans="1:25">
      <c r="A481" s="216">
        <v>9</v>
      </c>
      <c r="B481" s="217" t="str">
        <f>VLOOKUP(Tabel10[[#This Row],[Code]],Ruimtegroepen[[Code]:[Ruimte omschrijving]],2,FALSE)</f>
        <v>Publieksruimte</v>
      </c>
      <c r="C481" s="218" t="s">
        <v>697</v>
      </c>
      <c r="D481" s="217" t="s">
        <v>12</v>
      </c>
      <c r="E481" s="219" t="s">
        <v>103</v>
      </c>
      <c r="F481" s="218" t="s">
        <v>701</v>
      </c>
      <c r="G481" s="263" t="s">
        <v>302</v>
      </c>
      <c r="H481" s="220" t="s">
        <v>302</v>
      </c>
      <c r="I481" s="220" t="s">
        <v>17</v>
      </c>
      <c r="J481" s="220" t="s">
        <v>15</v>
      </c>
      <c r="K481" s="220" t="s">
        <v>303</v>
      </c>
      <c r="L481" s="220" t="s">
        <v>302</v>
      </c>
      <c r="M481" s="220" t="s">
        <v>302</v>
      </c>
      <c r="N481" s="221" t="s">
        <v>302</v>
      </c>
      <c r="O481" s="222" t="s">
        <v>18</v>
      </c>
      <c r="P481" s="222" t="s">
        <v>18</v>
      </c>
      <c r="Q481" s="222" t="s">
        <v>15</v>
      </c>
      <c r="R481" s="222" t="s">
        <v>15</v>
      </c>
      <c r="S481" s="222" t="s">
        <v>16</v>
      </c>
      <c r="T481" s="222" t="s">
        <v>349</v>
      </c>
      <c r="U481" s="222" t="s">
        <v>269</v>
      </c>
      <c r="V481" s="222" t="s">
        <v>302</v>
      </c>
      <c r="W481" s="223" t="s">
        <v>302</v>
      </c>
      <c r="X481" s="223" t="s">
        <v>302</v>
      </c>
      <c r="Y481" s="224" t="s">
        <v>302</v>
      </c>
    </row>
    <row r="482" spans="1:25">
      <c r="A482" s="216">
        <v>9</v>
      </c>
      <c r="B482" s="217" t="str">
        <f>VLOOKUP(Tabel10[[#This Row],[Code]],Ruimtegroepen[[Code]:[Ruimte omschrijving]],2,FALSE)</f>
        <v>Publieksruimte</v>
      </c>
      <c r="C482" s="218" t="s">
        <v>697</v>
      </c>
      <c r="D482" s="217" t="s">
        <v>12</v>
      </c>
      <c r="E482" s="219" t="s">
        <v>100</v>
      </c>
      <c r="F482" s="218" t="s">
        <v>699</v>
      </c>
      <c r="G482" s="263" t="s">
        <v>302</v>
      </c>
      <c r="H482" s="221" t="s">
        <v>18</v>
      </c>
      <c r="I482" s="220" t="s">
        <v>302</v>
      </c>
      <c r="J482" s="221" t="s">
        <v>302</v>
      </c>
      <c r="K482" s="221" t="s">
        <v>302</v>
      </c>
      <c r="L482" s="220" t="s">
        <v>302</v>
      </c>
      <c r="M482" s="220" t="s">
        <v>302</v>
      </c>
      <c r="N482" s="221" t="s">
        <v>302</v>
      </c>
      <c r="O482" s="222" t="s">
        <v>18</v>
      </c>
      <c r="P482" s="222" t="s">
        <v>18</v>
      </c>
      <c r="Q482" s="222" t="s">
        <v>15</v>
      </c>
      <c r="R482" s="222" t="s">
        <v>15</v>
      </c>
      <c r="S482" s="222" t="s">
        <v>16</v>
      </c>
      <c r="T482" s="222" t="s">
        <v>349</v>
      </c>
      <c r="U482" s="222" t="s">
        <v>269</v>
      </c>
      <c r="V482" s="222" t="s">
        <v>302</v>
      </c>
      <c r="W482" s="223" t="s">
        <v>302</v>
      </c>
      <c r="X482" s="223" t="s">
        <v>302</v>
      </c>
      <c r="Y482" s="224" t="s">
        <v>302</v>
      </c>
    </row>
    <row r="483" spans="1:25">
      <c r="A483" s="216">
        <v>9</v>
      </c>
      <c r="B483" s="217" t="str">
        <f>VLOOKUP(Tabel10[[#This Row],[Code]],Ruimtegroepen[[Code]:[Ruimte omschrijving]],2,FALSE)</f>
        <v>Publieksruimte</v>
      </c>
      <c r="C483" s="218" t="s">
        <v>697</v>
      </c>
      <c r="D483" s="217" t="s">
        <v>12</v>
      </c>
      <c r="E483" s="219" t="s">
        <v>1325</v>
      </c>
      <c r="F483" s="218" t="s">
        <v>1447</v>
      </c>
      <c r="G483" s="263" t="s">
        <v>302</v>
      </c>
      <c r="H483" s="220" t="s">
        <v>302</v>
      </c>
      <c r="I483" s="220" t="s">
        <v>17</v>
      </c>
      <c r="J483" s="220" t="s">
        <v>15</v>
      </c>
      <c r="K483" s="220" t="s">
        <v>303</v>
      </c>
      <c r="L483" s="220" t="s">
        <v>302</v>
      </c>
      <c r="M483" s="220" t="s">
        <v>302</v>
      </c>
      <c r="N483" s="221" t="s">
        <v>302</v>
      </c>
      <c r="O483" s="222" t="s">
        <v>18</v>
      </c>
      <c r="P483" s="222" t="s">
        <v>18</v>
      </c>
      <c r="Q483" s="222" t="s">
        <v>15</v>
      </c>
      <c r="R483" s="222" t="s">
        <v>15</v>
      </c>
      <c r="S483" s="222" t="s">
        <v>16</v>
      </c>
      <c r="T483" s="222" t="s">
        <v>349</v>
      </c>
      <c r="U483" s="222" t="s">
        <v>269</v>
      </c>
      <c r="V483" s="222" t="s">
        <v>302</v>
      </c>
      <c r="W483" s="223" t="s">
        <v>302</v>
      </c>
      <c r="X483" s="223" t="s">
        <v>302</v>
      </c>
      <c r="Y483" s="224" t="s">
        <v>302</v>
      </c>
    </row>
    <row r="484" spans="1:25">
      <c r="A484" s="216">
        <v>9</v>
      </c>
      <c r="B484" s="217" t="str">
        <f>VLOOKUP(Tabel10[[#This Row],[Code]],Ruimtegroepen[[Code]:[Ruimte omschrijving]],2,FALSE)</f>
        <v>Publieksruimte</v>
      </c>
      <c r="C484" s="218" t="s">
        <v>702</v>
      </c>
      <c r="D484" s="217" t="s">
        <v>14</v>
      </c>
      <c r="E484" s="219" t="s">
        <v>101</v>
      </c>
      <c r="F484" s="218" t="s">
        <v>703</v>
      </c>
      <c r="G484" s="263" t="s">
        <v>302</v>
      </c>
      <c r="H484" s="220" t="s">
        <v>302</v>
      </c>
      <c r="I484" s="220" t="s">
        <v>15</v>
      </c>
      <c r="J484" s="221" t="s">
        <v>15</v>
      </c>
      <c r="K484" s="221" t="s">
        <v>302</v>
      </c>
      <c r="L484" s="220" t="s">
        <v>302</v>
      </c>
      <c r="M484" s="220" t="s">
        <v>302</v>
      </c>
      <c r="N484" s="221" t="s">
        <v>302</v>
      </c>
      <c r="O484" s="222" t="s">
        <v>17</v>
      </c>
      <c r="P484" s="222" t="s">
        <v>17</v>
      </c>
      <c r="Q484" s="222" t="s">
        <v>15</v>
      </c>
      <c r="R484" s="222" t="s">
        <v>15</v>
      </c>
      <c r="S484" s="222" t="s">
        <v>16</v>
      </c>
      <c r="T484" s="222" t="s">
        <v>349</v>
      </c>
      <c r="U484" s="222" t="s">
        <v>269</v>
      </c>
      <c r="V484" s="222" t="s">
        <v>302</v>
      </c>
      <c r="W484" s="223" t="s">
        <v>302</v>
      </c>
      <c r="X484" s="223" t="s">
        <v>302</v>
      </c>
      <c r="Y484" s="224" t="s">
        <v>302</v>
      </c>
    </row>
    <row r="485" spans="1:25">
      <c r="A485" s="216">
        <v>9</v>
      </c>
      <c r="B485" s="217" t="str">
        <f>VLOOKUP(Tabel10[[#This Row],[Code]],Ruimtegroepen[[Code]:[Ruimte omschrijving]],2,FALSE)</f>
        <v>Publieksruimte</v>
      </c>
      <c r="C485" s="218" t="s">
        <v>702</v>
      </c>
      <c r="D485" s="217" t="s">
        <v>14</v>
      </c>
      <c r="E485" s="219" t="s">
        <v>100</v>
      </c>
      <c r="F485" s="218" t="s">
        <v>704</v>
      </c>
      <c r="G485" s="263" t="s">
        <v>302</v>
      </c>
      <c r="H485" s="221" t="s">
        <v>17</v>
      </c>
      <c r="I485" s="220" t="s">
        <v>302</v>
      </c>
      <c r="J485" s="221" t="s">
        <v>302</v>
      </c>
      <c r="K485" s="221" t="s">
        <v>302</v>
      </c>
      <c r="L485" s="220" t="s">
        <v>302</v>
      </c>
      <c r="M485" s="220" t="s">
        <v>302</v>
      </c>
      <c r="N485" s="221" t="s">
        <v>302</v>
      </c>
      <c r="O485" s="222" t="s">
        <v>17</v>
      </c>
      <c r="P485" s="222" t="s">
        <v>17</v>
      </c>
      <c r="Q485" s="222" t="s">
        <v>15</v>
      </c>
      <c r="R485" s="222" t="s">
        <v>15</v>
      </c>
      <c r="S485" s="222" t="s">
        <v>16</v>
      </c>
      <c r="T485" s="222" t="s">
        <v>349</v>
      </c>
      <c r="U485" s="222" t="s">
        <v>269</v>
      </c>
      <c r="V485" s="222" t="s">
        <v>302</v>
      </c>
      <c r="W485" s="223" t="s">
        <v>302</v>
      </c>
      <c r="X485" s="223" t="s">
        <v>302</v>
      </c>
      <c r="Y485" s="224" t="s">
        <v>302</v>
      </c>
    </row>
    <row r="486" spans="1:25">
      <c r="A486" s="216">
        <v>9</v>
      </c>
      <c r="B486" s="217" t="str">
        <f>VLOOKUP(Tabel10[[#This Row],[Code]],Ruimtegroepen[[Code]:[Ruimte omschrijving]],2,FALSE)</f>
        <v>Publieksruimte</v>
      </c>
      <c r="C486" s="218" t="s">
        <v>702</v>
      </c>
      <c r="D486" s="217" t="s">
        <v>14</v>
      </c>
      <c r="E486" s="219" t="s">
        <v>102</v>
      </c>
      <c r="F486" s="218" t="s">
        <v>705</v>
      </c>
      <c r="G486" s="263" t="s">
        <v>302</v>
      </c>
      <c r="H486" s="220" t="s">
        <v>302</v>
      </c>
      <c r="I486" s="220" t="s">
        <v>15</v>
      </c>
      <c r="J486" s="220" t="s">
        <v>15</v>
      </c>
      <c r="K486" s="220" t="s">
        <v>303</v>
      </c>
      <c r="L486" s="220" t="s">
        <v>302</v>
      </c>
      <c r="M486" s="220" t="s">
        <v>302</v>
      </c>
      <c r="N486" s="221" t="s">
        <v>302</v>
      </c>
      <c r="O486" s="222" t="s">
        <v>17</v>
      </c>
      <c r="P486" s="222" t="s">
        <v>17</v>
      </c>
      <c r="Q486" s="222" t="s">
        <v>15</v>
      </c>
      <c r="R486" s="222" t="s">
        <v>15</v>
      </c>
      <c r="S486" s="222" t="s">
        <v>16</v>
      </c>
      <c r="T486" s="222" t="s">
        <v>349</v>
      </c>
      <c r="U486" s="222" t="s">
        <v>269</v>
      </c>
      <c r="V486" s="222" t="s">
        <v>302</v>
      </c>
      <c r="W486" s="223" t="s">
        <v>302</v>
      </c>
      <c r="X486" s="223" t="s">
        <v>302</v>
      </c>
      <c r="Y486" s="224" t="s">
        <v>302</v>
      </c>
    </row>
    <row r="487" spans="1:25">
      <c r="A487" s="216">
        <v>9</v>
      </c>
      <c r="B487" s="217" t="str">
        <f>VLOOKUP(Tabel10[[#This Row],[Code]],Ruimtegroepen[[Code]:[Ruimte omschrijving]],2,FALSE)</f>
        <v>Publieksruimte</v>
      </c>
      <c r="C487" s="218" t="s">
        <v>702</v>
      </c>
      <c r="D487" s="217" t="s">
        <v>14</v>
      </c>
      <c r="E487" s="219" t="s">
        <v>103</v>
      </c>
      <c r="F487" s="218" t="s">
        <v>706</v>
      </c>
      <c r="G487" s="263" t="s">
        <v>302</v>
      </c>
      <c r="H487" s="220" t="s">
        <v>302</v>
      </c>
      <c r="I487" s="220" t="s">
        <v>15</v>
      </c>
      <c r="J487" s="220" t="s">
        <v>15</v>
      </c>
      <c r="K487" s="220" t="s">
        <v>303</v>
      </c>
      <c r="L487" s="220" t="s">
        <v>302</v>
      </c>
      <c r="M487" s="220" t="s">
        <v>302</v>
      </c>
      <c r="N487" s="221" t="s">
        <v>302</v>
      </c>
      <c r="O487" s="222" t="s">
        <v>17</v>
      </c>
      <c r="P487" s="222" t="s">
        <v>17</v>
      </c>
      <c r="Q487" s="222" t="s">
        <v>15</v>
      </c>
      <c r="R487" s="222" t="s">
        <v>15</v>
      </c>
      <c r="S487" s="222" t="s">
        <v>16</v>
      </c>
      <c r="T487" s="222" t="s">
        <v>349</v>
      </c>
      <c r="U487" s="222" t="s">
        <v>269</v>
      </c>
      <c r="V487" s="222" t="s">
        <v>302</v>
      </c>
      <c r="W487" s="223" t="s">
        <v>302</v>
      </c>
      <c r="X487" s="223" t="s">
        <v>302</v>
      </c>
      <c r="Y487" s="224" t="s">
        <v>302</v>
      </c>
    </row>
    <row r="488" spans="1:25">
      <c r="A488" s="216">
        <v>9</v>
      </c>
      <c r="B488" s="217" t="str">
        <f>VLOOKUP(Tabel10[[#This Row],[Code]],Ruimtegroepen[[Code]:[Ruimte omschrijving]],2,FALSE)</f>
        <v>Publieksruimte</v>
      </c>
      <c r="C488" s="218" t="s">
        <v>702</v>
      </c>
      <c r="D488" s="217" t="s">
        <v>14</v>
      </c>
      <c r="E488" s="219" t="s">
        <v>100</v>
      </c>
      <c r="F488" s="218" t="s">
        <v>704</v>
      </c>
      <c r="G488" s="263" t="s">
        <v>302</v>
      </c>
      <c r="H488" s="221" t="s">
        <v>17</v>
      </c>
      <c r="I488" s="220" t="s">
        <v>302</v>
      </c>
      <c r="J488" s="221" t="s">
        <v>302</v>
      </c>
      <c r="K488" s="221" t="s">
        <v>302</v>
      </c>
      <c r="L488" s="220" t="s">
        <v>302</v>
      </c>
      <c r="M488" s="220" t="s">
        <v>302</v>
      </c>
      <c r="N488" s="221" t="s">
        <v>302</v>
      </c>
      <c r="O488" s="222" t="s">
        <v>17</v>
      </c>
      <c r="P488" s="222" t="s">
        <v>17</v>
      </c>
      <c r="Q488" s="222" t="s">
        <v>15</v>
      </c>
      <c r="R488" s="222" t="s">
        <v>15</v>
      </c>
      <c r="S488" s="222" t="s">
        <v>16</v>
      </c>
      <c r="T488" s="222" t="s">
        <v>349</v>
      </c>
      <c r="U488" s="222" t="s">
        <v>269</v>
      </c>
      <c r="V488" s="222" t="s">
        <v>302</v>
      </c>
      <c r="W488" s="223" t="s">
        <v>302</v>
      </c>
      <c r="X488" s="223" t="s">
        <v>302</v>
      </c>
      <c r="Y488" s="224" t="s">
        <v>302</v>
      </c>
    </row>
    <row r="489" spans="1:25">
      <c r="A489" s="216">
        <v>9</v>
      </c>
      <c r="B489" s="217" t="str">
        <f>VLOOKUP(Tabel10[[#This Row],[Code]],Ruimtegroepen[[Code]:[Ruimte omschrijving]],2,FALSE)</f>
        <v>Publieksruimte</v>
      </c>
      <c r="C489" s="218" t="s">
        <v>702</v>
      </c>
      <c r="D489" s="217" t="s">
        <v>14</v>
      </c>
      <c r="E489" s="219" t="s">
        <v>1325</v>
      </c>
      <c r="F489" s="218" t="s">
        <v>1414</v>
      </c>
      <c r="G489" s="263" t="s">
        <v>302</v>
      </c>
      <c r="H489" s="220" t="s">
        <v>302</v>
      </c>
      <c r="I489" s="220" t="s">
        <v>15</v>
      </c>
      <c r="J489" s="220" t="s">
        <v>15</v>
      </c>
      <c r="K489" s="220" t="s">
        <v>303</v>
      </c>
      <c r="L489" s="220" t="s">
        <v>302</v>
      </c>
      <c r="M489" s="220" t="s">
        <v>302</v>
      </c>
      <c r="N489" s="221" t="s">
        <v>302</v>
      </c>
      <c r="O489" s="222" t="s">
        <v>17</v>
      </c>
      <c r="P489" s="222" t="s">
        <v>17</v>
      </c>
      <c r="Q489" s="222" t="s">
        <v>15</v>
      </c>
      <c r="R489" s="222" t="s">
        <v>15</v>
      </c>
      <c r="S489" s="222" t="s">
        <v>16</v>
      </c>
      <c r="T489" s="222" t="s">
        <v>349</v>
      </c>
      <c r="U489" s="222" t="s">
        <v>269</v>
      </c>
      <c r="V489" s="222" t="s">
        <v>302</v>
      </c>
      <c r="W489" s="223" t="s">
        <v>302</v>
      </c>
      <c r="X489" s="223" t="s">
        <v>302</v>
      </c>
      <c r="Y489" s="224" t="s">
        <v>302</v>
      </c>
    </row>
    <row r="490" spans="1:25">
      <c r="A490" s="216">
        <v>9</v>
      </c>
      <c r="B490" s="217" t="str">
        <f>VLOOKUP(Tabel10[[#This Row],[Code]],Ruimtegroepen[[Code]:[Ruimte omschrijving]],2,FALSE)</f>
        <v>Publieksruimte</v>
      </c>
      <c r="C490" s="218" t="s">
        <v>707</v>
      </c>
      <c r="D490" s="217" t="s">
        <v>13</v>
      </c>
      <c r="E490" s="219" t="s">
        <v>101</v>
      </c>
      <c r="F490" s="218" t="s">
        <v>708</v>
      </c>
      <c r="G490" s="263" t="s">
        <v>302</v>
      </c>
      <c r="H490" s="220" t="s">
        <v>302</v>
      </c>
      <c r="I490" s="220" t="s">
        <v>302</v>
      </c>
      <c r="J490" s="221" t="s">
        <v>15</v>
      </c>
      <c r="K490" s="221" t="s">
        <v>302</v>
      </c>
      <c r="L490" s="220" t="s">
        <v>302</v>
      </c>
      <c r="M490" s="220" t="s">
        <v>302</v>
      </c>
      <c r="N490" s="221" t="s">
        <v>302</v>
      </c>
      <c r="O490" s="222" t="s">
        <v>15</v>
      </c>
      <c r="P490" s="222" t="s">
        <v>15</v>
      </c>
      <c r="Q490" s="222" t="s">
        <v>15</v>
      </c>
      <c r="R490" s="222" t="s">
        <v>15</v>
      </c>
      <c r="S490" s="222" t="s">
        <v>16</v>
      </c>
      <c r="T490" s="222" t="s">
        <v>349</v>
      </c>
      <c r="U490" s="222" t="s">
        <v>269</v>
      </c>
      <c r="V490" s="222" t="s">
        <v>302</v>
      </c>
      <c r="W490" s="223" t="s">
        <v>302</v>
      </c>
      <c r="X490" s="223" t="s">
        <v>302</v>
      </c>
      <c r="Y490" s="224" t="s">
        <v>302</v>
      </c>
    </row>
    <row r="491" spans="1:25">
      <c r="A491" s="216">
        <v>9</v>
      </c>
      <c r="B491" s="217" t="str">
        <f>VLOOKUP(Tabel10[[#This Row],[Code]],Ruimtegroepen[[Code]:[Ruimte omschrijving]],2,FALSE)</f>
        <v>Publieksruimte</v>
      </c>
      <c r="C491" s="218" t="s">
        <v>707</v>
      </c>
      <c r="D491" s="217" t="s">
        <v>13</v>
      </c>
      <c r="E491" s="219" t="s">
        <v>100</v>
      </c>
      <c r="F491" s="218" t="s">
        <v>709</v>
      </c>
      <c r="G491" s="263" t="s">
        <v>302</v>
      </c>
      <c r="H491" s="221" t="s">
        <v>15</v>
      </c>
      <c r="I491" s="220" t="s">
        <v>302</v>
      </c>
      <c r="J491" s="221" t="s">
        <v>302</v>
      </c>
      <c r="K491" s="221" t="s">
        <v>302</v>
      </c>
      <c r="L491" s="220" t="s">
        <v>302</v>
      </c>
      <c r="M491" s="220" t="s">
        <v>302</v>
      </c>
      <c r="N491" s="221" t="s">
        <v>302</v>
      </c>
      <c r="O491" s="222" t="s">
        <v>15</v>
      </c>
      <c r="P491" s="222" t="s">
        <v>15</v>
      </c>
      <c r="Q491" s="222" t="s">
        <v>15</v>
      </c>
      <c r="R491" s="222" t="s">
        <v>15</v>
      </c>
      <c r="S491" s="222" t="s">
        <v>16</v>
      </c>
      <c r="T491" s="222" t="s">
        <v>349</v>
      </c>
      <c r="U491" s="222" t="s">
        <v>269</v>
      </c>
      <c r="V491" s="222" t="s">
        <v>302</v>
      </c>
      <c r="W491" s="223" t="s">
        <v>302</v>
      </c>
      <c r="X491" s="223" t="s">
        <v>302</v>
      </c>
      <c r="Y491" s="224" t="s">
        <v>302</v>
      </c>
    </row>
    <row r="492" spans="1:25">
      <c r="A492" s="216">
        <v>9</v>
      </c>
      <c r="B492" s="217" t="str">
        <f>VLOOKUP(Tabel10[[#This Row],[Code]],Ruimtegroepen[[Code]:[Ruimte omschrijving]],2,FALSE)</f>
        <v>Publieksruimte</v>
      </c>
      <c r="C492" s="218" t="s">
        <v>707</v>
      </c>
      <c r="D492" s="217" t="s">
        <v>13</v>
      </c>
      <c r="E492" s="219" t="s">
        <v>102</v>
      </c>
      <c r="F492" s="218" t="s">
        <v>710</v>
      </c>
      <c r="G492" s="263" t="s">
        <v>302</v>
      </c>
      <c r="H492" s="220" t="s">
        <v>302</v>
      </c>
      <c r="I492" s="220" t="s">
        <v>302</v>
      </c>
      <c r="J492" s="220" t="s">
        <v>15</v>
      </c>
      <c r="K492" s="220" t="s">
        <v>303</v>
      </c>
      <c r="L492" s="220" t="s">
        <v>302</v>
      </c>
      <c r="M492" s="220" t="s">
        <v>302</v>
      </c>
      <c r="N492" s="221" t="s">
        <v>302</v>
      </c>
      <c r="O492" s="222" t="s">
        <v>15</v>
      </c>
      <c r="P492" s="222" t="s">
        <v>15</v>
      </c>
      <c r="Q492" s="222" t="s">
        <v>15</v>
      </c>
      <c r="R492" s="222" t="s">
        <v>15</v>
      </c>
      <c r="S492" s="222" t="s">
        <v>16</v>
      </c>
      <c r="T492" s="222" t="s">
        <v>349</v>
      </c>
      <c r="U492" s="222" t="s">
        <v>269</v>
      </c>
      <c r="V492" s="222" t="s">
        <v>302</v>
      </c>
      <c r="W492" s="223" t="s">
        <v>302</v>
      </c>
      <c r="X492" s="223" t="s">
        <v>302</v>
      </c>
      <c r="Y492" s="224" t="s">
        <v>302</v>
      </c>
    </row>
    <row r="493" spans="1:25">
      <c r="A493" s="216">
        <v>9</v>
      </c>
      <c r="B493" s="217" t="str">
        <f>VLOOKUP(Tabel10[[#This Row],[Code]],Ruimtegroepen[[Code]:[Ruimte omschrijving]],2,FALSE)</f>
        <v>Publieksruimte</v>
      </c>
      <c r="C493" s="218" t="s">
        <v>707</v>
      </c>
      <c r="D493" s="217" t="s">
        <v>13</v>
      </c>
      <c r="E493" s="219" t="s">
        <v>103</v>
      </c>
      <c r="F493" s="218" t="s">
        <v>711</v>
      </c>
      <c r="G493" s="263" t="s">
        <v>302</v>
      </c>
      <c r="H493" s="220" t="s">
        <v>302</v>
      </c>
      <c r="I493" s="220" t="s">
        <v>302</v>
      </c>
      <c r="J493" s="220" t="s">
        <v>15</v>
      </c>
      <c r="K493" s="220" t="s">
        <v>303</v>
      </c>
      <c r="L493" s="220" t="s">
        <v>302</v>
      </c>
      <c r="M493" s="220" t="s">
        <v>302</v>
      </c>
      <c r="N493" s="221" t="s">
        <v>302</v>
      </c>
      <c r="O493" s="222" t="s">
        <v>15</v>
      </c>
      <c r="P493" s="222" t="s">
        <v>15</v>
      </c>
      <c r="Q493" s="222" t="s">
        <v>15</v>
      </c>
      <c r="R493" s="222" t="s">
        <v>15</v>
      </c>
      <c r="S493" s="222" t="s">
        <v>16</v>
      </c>
      <c r="T493" s="222" t="s">
        <v>349</v>
      </c>
      <c r="U493" s="222" t="s">
        <v>269</v>
      </c>
      <c r="V493" s="222" t="s">
        <v>302</v>
      </c>
      <c r="W493" s="223" t="s">
        <v>302</v>
      </c>
      <c r="X493" s="223" t="s">
        <v>302</v>
      </c>
      <c r="Y493" s="224" t="s">
        <v>302</v>
      </c>
    </row>
    <row r="494" spans="1:25">
      <c r="A494" s="216">
        <v>9</v>
      </c>
      <c r="B494" s="217" t="str">
        <f>VLOOKUP(Tabel10[[#This Row],[Code]],Ruimtegroepen[[Code]:[Ruimte omschrijving]],2,FALSE)</f>
        <v>Publieksruimte</v>
      </c>
      <c r="C494" s="218" t="s">
        <v>707</v>
      </c>
      <c r="D494" s="217" t="s">
        <v>13</v>
      </c>
      <c r="E494" s="219" t="s">
        <v>100</v>
      </c>
      <c r="F494" s="218" t="s">
        <v>709</v>
      </c>
      <c r="G494" s="263" t="s">
        <v>302</v>
      </c>
      <c r="H494" s="221" t="s">
        <v>15</v>
      </c>
      <c r="I494" s="220" t="s">
        <v>302</v>
      </c>
      <c r="J494" s="221" t="s">
        <v>302</v>
      </c>
      <c r="K494" s="221" t="s">
        <v>302</v>
      </c>
      <c r="L494" s="220" t="s">
        <v>302</v>
      </c>
      <c r="M494" s="220" t="s">
        <v>302</v>
      </c>
      <c r="N494" s="221" t="s">
        <v>302</v>
      </c>
      <c r="O494" s="222" t="s">
        <v>15</v>
      </c>
      <c r="P494" s="222" t="s">
        <v>15</v>
      </c>
      <c r="Q494" s="222" t="s">
        <v>15</v>
      </c>
      <c r="R494" s="222" t="s">
        <v>15</v>
      </c>
      <c r="S494" s="222" t="s">
        <v>16</v>
      </c>
      <c r="T494" s="222" t="s">
        <v>349</v>
      </c>
      <c r="U494" s="222" t="s">
        <v>269</v>
      </c>
      <c r="V494" s="222" t="s">
        <v>302</v>
      </c>
      <c r="W494" s="223" t="s">
        <v>302</v>
      </c>
      <c r="X494" s="223" t="s">
        <v>302</v>
      </c>
      <c r="Y494" s="224" t="s">
        <v>302</v>
      </c>
    </row>
    <row r="495" spans="1:25">
      <c r="A495" s="216">
        <v>9</v>
      </c>
      <c r="B495" s="217" t="str">
        <f>VLOOKUP(Tabel10[[#This Row],[Code]],Ruimtegroepen[[Code]:[Ruimte omschrijving]],2,FALSE)</f>
        <v>Publieksruimte</v>
      </c>
      <c r="C495" s="218" t="s">
        <v>707</v>
      </c>
      <c r="D495" s="217" t="s">
        <v>13</v>
      </c>
      <c r="E495" s="219" t="s">
        <v>1325</v>
      </c>
      <c r="F495" s="218" t="s">
        <v>1381</v>
      </c>
      <c r="G495" s="263" t="s">
        <v>302</v>
      </c>
      <c r="H495" s="220" t="s">
        <v>302</v>
      </c>
      <c r="I495" s="220" t="s">
        <v>302</v>
      </c>
      <c r="J495" s="220" t="s">
        <v>15</v>
      </c>
      <c r="K495" s="220" t="s">
        <v>303</v>
      </c>
      <c r="L495" s="220" t="s">
        <v>302</v>
      </c>
      <c r="M495" s="220" t="s">
        <v>302</v>
      </c>
      <c r="N495" s="221" t="s">
        <v>302</v>
      </c>
      <c r="O495" s="222" t="s">
        <v>15</v>
      </c>
      <c r="P495" s="222" t="s">
        <v>15</v>
      </c>
      <c r="Q495" s="222" t="s">
        <v>15</v>
      </c>
      <c r="R495" s="222" t="s">
        <v>15</v>
      </c>
      <c r="S495" s="222" t="s">
        <v>16</v>
      </c>
      <c r="T495" s="222" t="s">
        <v>349</v>
      </c>
      <c r="U495" s="222" t="s">
        <v>269</v>
      </c>
      <c r="V495" s="222" t="s">
        <v>302</v>
      </c>
      <c r="W495" s="223" t="s">
        <v>302</v>
      </c>
      <c r="X495" s="223" t="s">
        <v>302</v>
      </c>
      <c r="Y495" s="224" t="s">
        <v>302</v>
      </c>
    </row>
    <row r="496" spans="1:25">
      <c r="A496" s="216">
        <v>9</v>
      </c>
      <c r="B496" s="217" t="str">
        <f>VLOOKUP(Tabel10[[#This Row],[Code]],Ruimtegroepen[[Code]:[Ruimte omschrijving]],2,FALSE)</f>
        <v>Publieksruimte</v>
      </c>
      <c r="C496" s="218" t="s">
        <v>712</v>
      </c>
      <c r="D496" s="217" t="s">
        <v>0</v>
      </c>
      <c r="E496" s="219" t="s">
        <v>101</v>
      </c>
      <c r="F496" s="218" t="s">
        <v>713</v>
      </c>
      <c r="G496" s="263" t="s">
        <v>302</v>
      </c>
      <c r="H496" s="220" t="s">
        <v>302</v>
      </c>
      <c r="I496" s="220" t="s">
        <v>302</v>
      </c>
      <c r="J496" s="221" t="s">
        <v>16</v>
      </c>
      <c r="K496" s="221" t="s">
        <v>302</v>
      </c>
      <c r="L496" s="220" t="s">
        <v>302</v>
      </c>
      <c r="M496" s="220" t="s">
        <v>302</v>
      </c>
      <c r="N496" s="221" t="s">
        <v>302</v>
      </c>
      <c r="O496" s="222" t="s">
        <v>16</v>
      </c>
      <c r="P496" s="222" t="s">
        <v>16</v>
      </c>
      <c r="Q496" s="222" t="s">
        <v>16</v>
      </c>
      <c r="R496" s="222" t="s">
        <v>16</v>
      </c>
      <c r="S496" s="222" t="s">
        <v>16</v>
      </c>
      <c r="T496" s="222" t="s">
        <v>349</v>
      </c>
      <c r="U496" s="222" t="s">
        <v>269</v>
      </c>
      <c r="V496" s="222" t="s">
        <v>302</v>
      </c>
      <c r="W496" s="223" t="s">
        <v>302</v>
      </c>
      <c r="X496" s="223" t="s">
        <v>302</v>
      </c>
      <c r="Y496" s="224" t="s">
        <v>302</v>
      </c>
    </row>
    <row r="497" spans="1:25">
      <c r="A497" s="216">
        <v>9</v>
      </c>
      <c r="B497" s="217" t="str">
        <f>VLOOKUP(Tabel10[[#This Row],[Code]],Ruimtegroepen[[Code]:[Ruimte omschrijving]],2,FALSE)</f>
        <v>Publieksruimte</v>
      </c>
      <c r="C497" s="218" t="s">
        <v>712</v>
      </c>
      <c r="D497" s="217" t="s">
        <v>0</v>
      </c>
      <c r="E497" s="219" t="s">
        <v>100</v>
      </c>
      <c r="F497" s="218" t="s">
        <v>714</v>
      </c>
      <c r="G497" s="263" t="s">
        <v>302</v>
      </c>
      <c r="H497" s="221" t="s">
        <v>16</v>
      </c>
      <c r="I497" s="220" t="s">
        <v>302</v>
      </c>
      <c r="J497" s="221" t="s">
        <v>302</v>
      </c>
      <c r="K497" s="221" t="s">
        <v>302</v>
      </c>
      <c r="L497" s="220" t="s">
        <v>302</v>
      </c>
      <c r="M497" s="220" t="s">
        <v>302</v>
      </c>
      <c r="N497" s="221" t="s">
        <v>302</v>
      </c>
      <c r="O497" s="222" t="s">
        <v>16</v>
      </c>
      <c r="P497" s="222" t="s">
        <v>16</v>
      </c>
      <c r="Q497" s="222" t="s">
        <v>16</v>
      </c>
      <c r="R497" s="222" t="s">
        <v>16</v>
      </c>
      <c r="S497" s="222" t="s">
        <v>16</v>
      </c>
      <c r="T497" s="222" t="s">
        <v>349</v>
      </c>
      <c r="U497" s="222" t="s">
        <v>269</v>
      </c>
      <c r="V497" s="222" t="s">
        <v>302</v>
      </c>
      <c r="W497" s="223" t="s">
        <v>302</v>
      </c>
      <c r="X497" s="223" t="s">
        <v>302</v>
      </c>
      <c r="Y497" s="224" t="s">
        <v>302</v>
      </c>
    </row>
    <row r="498" spans="1:25">
      <c r="A498" s="216">
        <v>9</v>
      </c>
      <c r="B498" s="217" t="str">
        <f>VLOOKUP(Tabel10[[#This Row],[Code]],Ruimtegroepen[[Code]:[Ruimte omschrijving]],2,FALSE)</f>
        <v>Publieksruimte</v>
      </c>
      <c r="C498" s="218" t="s">
        <v>712</v>
      </c>
      <c r="D498" s="217" t="s">
        <v>0</v>
      </c>
      <c r="E498" s="219" t="s">
        <v>102</v>
      </c>
      <c r="F498" s="218" t="s">
        <v>715</v>
      </c>
      <c r="G498" s="263" t="s">
        <v>302</v>
      </c>
      <c r="H498" s="220" t="s">
        <v>302</v>
      </c>
      <c r="I498" s="220" t="s">
        <v>302</v>
      </c>
      <c r="J498" s="220" t="s">
        <v>16</v>
      </c>
      <c r="K498" s="220" t="s">
        <v>303</v>
      </c>
      <c r="L498" s="220" t="s">
        <v>302</v>
      </c>
      <c r="M498" s="220" t="s">
        <v>302</v>
      </c>
      <c r="N498" s="221" t="s">
        <v>302</v>
      </c>
      <c r="O498" s="222" t="s">
        <v>16</v>
      </c>
      <c r="P498" s="222" t="s">
        <v>16</v>
      </c>
      <c r="Q498" s="222" t="s">
        <v>16</v>
      </c>
      <c r="R498" s="222" t="s">
        <v>16</v>
      </c>
      <c r="S498" s="222" t="s">
        <v>16</v>
      </c>
      <c r="T498" s="222" t="s">
        <v>349</v>
      </c>
      <c r="U498" s="222" t="s">
        <v>269</v>
      </c>
      <c r="V498" s="222" t="s">
        <v>302</v>
      </c>
      <c r="W498" s="223" t="s">
        <v>302</v>
      </c>
      <c r="X498" s="223" t="s">
        <v>302</v>
      </c>
      <c r="Y498" s="224" t="s">
        <v>302</v>
      </c>
    </row>
    <row r="499" spans="1:25">
      <c r="A499" s="216">
        <v>9</v>
      </c>
      <c r="B499" s="217" t="str">
        <f>VLOOKUP(Tabel10[[#This Row],[Code]],Ruimtegroepen[[Code]:[Ruimte omschrijving]],2,FALSE)</f>
        <v>Publieksruimte</v>
      </c>
      <c r="C499" s="218" t="s">
        <v>712</v>
      </c>
      <c r="D499" s="217" t="s">
        <v>0</v>
      </c>
      <c r="E499" s="219" t="s">
        <v>103</v>
      </c>
      <c r="F499" s="218" t="s">
        <v>716</v>
      </c>
      <c r="G499" s="263" t="s">
        <v>302</v>
      </c>
      <c r="H499" s="220" t="s">
        <v>302</v>
      </c>
      <c r="I499" s="220" t="s">
        <v>302</v>
      </c>
      <c r="J499" s="220" t="s">
        <v>16</v>
      </c>
      <c r="K499" s="220" t="s">
        <v>303</v>
      </c>
      <c r="L499" s="220" t="s">
        <v>302</v>
      </c>
      <c r="M499" s="220" t="s">
        <v>302</v>
      </c>
      <c r="N499" s="221" t="s">
        <v>302</v>
      </c>
      <c r="O499" s="222" t="s">
        <v>16</v>
      </c>
      <c r="P499" s="222" t="s">
        <v>16</v>
      </c>
      <c r="Q499" s="222" t="s">
        <v>16</v>
      </c>
      <c r="R499" s="222" t="s">
        <v>16</v>
      </c>
      <c r="S499" s="222" t="s">
        <v>16</v>
      </c>
      <c r="T499" s="222" t="s">
        <v>349</v>
      </c>
      <c r="U499" s="222" t="s">
        <v>269</v>
      </c>
      <c r="V499" s="222" t="s">
        <v>302</v>
      </c>
      <c r="W499" s="223" t="s">
        <v>302</v>
      </c>
      <c r="X499" s="223" t="s">
        <v>302</v>
      </c>
      <c r="Y499" s="224" t="s">
        <v>302</v>
      </c>
    </row>
    <row r="500" spans="1:25">
      <c r="A500" s="216">
        <v>9</v>
      </c>
      <c r="B500" s="217" t="str">
        <f>VLOOKUP(Tabel10[[#This Row],[Code]],Ruimtegroepen[[Code]:[Ruimte omschrijving]],2,FALSE)</f>
        <v>Publieksruimte</v>
      </c>
      <c r="C500" s="218" t="s">
        <v>712</v>
      </c>
      <c r="D500" s="217" t="s">
        <v>0</v>
      </c>
      <c r="E500" s="219" t="s">
        <v>100</v>
      </c>
      <c r="F500" s="218" t="s">
        <v>714</v>
      </c>
      <c r="G500" s="263" t="s">
        <v>302</v>
      </c>
      <c r="H500" s="221" t="s">
        <v>16</v>
      </c>
      <c r="I500" s="220" t="s">
        <v>302</v>
      </c>
      <c r="J500" s="221" t="s">
        <v>302</v>
      </c>
      <c r="K500" s="221" t="s">
        <v>302</v>
      </c>
      <c r="L500" s="220" t="s">
        <v>302</v>
      </c>
      <c r="M500" s="220" t="s">
        <v>302</v>
      </c>
      <c r="N500" s="221" t="s">
        <v>302</v>
      </c>
      <c r="O500" s="222" t="s">
        <v>16</v>
      </c>
      <c r="P500" s="222" t="s">
        <v>16</v>
      </c>
      <c r="Q500" s="222" t="s">
        <v>16</v>
      </c>
      <c r="R500" s="222" t="s">
        <v>16</v>
      </c>
      <c r="S500" s="222" t="s">
        <v>16</v>
      </c>
      <c r="T500" s="222" t="s">
        <v>349</v>
      </c>
      <c r="U500" s="222" t="s">
        <v>269</v>
      </c>
      <c r="V500" s="222" t="s">
        <v>302</v>
      </c>
      <c r="W500" s="223" t="s">
        <v>302</v>
      </c>
      <c r="X500" s="223" t="s">
        <v>302</v>
      </c>
      <c r="Y500" s="224" t="s">
        <v>302</v>
      </c>
    </row>
    <row r="501" spans="1:25">
      <c r="A501" s="216">
        <v>9</v>
      </c>
      <c r="B501" s="217" t="str">
        <f>VLOOKUP(Tabel10[[#This Row],[Code]],Ruimtegroepen[[Code]:[Ruimte omschrijving]],2,FALSE)</f>
        <v>Publieksruimte</v>
      </c>
      <c r="C501" s="218" t="s">
        <v>712</v>
      </c>
      <c r="D501" s="217" t="s">
        <v>0</v>
      </c>
      <c r="E501" s="219" t="s">
        <v>1325</v>
      </c>
      <c r="F501" s="218" t="s">
        <v>1365</v>
      </c>
      <c r="G501" s="263" t="s">
        <v>302</v>
      </c>
      <c r="H501" s="220" t="s">
        <v>302</v>
      </c>
      <c r="I501" s="220" t="s">
        <v>302</v>
      </c>
      <c r="J501" s="220" t="s">
        <v>16</v>
      </c>
      <c r="K501" s="220" t="s">
        <v>303</v>
      </c>
      <c r="L501" s="220" t="s">
        <v>302</v>
      </c>
      <c r="M501" s="220" t="s">
        <v>302</v>
      </c>
      <c r="N501" s="221" t="s">
        <v>302</v>
      </c>
      <c r="O501" s="222" t="s">
        <v>16</v>
      </c>
      <c r="P501" s="222" t="s">
        <v>16</v>
      </c>
      <c r="Q501" s="222" t="s">
        <v>16</v>
      </c>
      <c r="R501" s="222" t="s">
        <v>16</v>
      </c>
      <c r="S501" s="222" t="s">
        <v>16</v>
      </c>
      <c r="T501" s="222" t="s">
        <v>349</v>
      </c>
      <c r="U501" s="222" t="s">
        <v>269</v>
      </c>
      <c r="V501" s="222" t="s">
        <v>302</v>
      </c>
      <c r="W501" s="223" t="s">
        <v>302</v>
      </c>
      <c r="X501" s="223" t="s">
        <v>302</v>
      </c>
      <c r="Y501" s="224" t="s">
        <v>302</v>
      </c>
    </row>
    <row r="502" spans="1:25">
      <c r="A502" s="216">
        <v>9</v>
      </c>
      <c r="B502" s="217" t="str">
        <f>VLOOKUP(Tabel10[[#This Row],[Code]],Ruimtegroepen[[Code]:[Ruimte omschrijving]],2,FALSE)</f>
        <v>Publieksruimte</v>
      </c>
      <c r="C502" s="218" t="s">
        <v>717</v>
      </c>
      <c r="D502" s="217" t="s">
        <v>27</v>
      </c>
      <c r="E502" s="219" t="s">
        <v>101</v>
      </c>
      <c r="F502" s="218" t="s">
        <v>718</v>
      </c>
      <c r="G502" s="263" t="s">
        <v>302</v>
      </c>
      <c r="H502" s="220" t="s">
        <v>302</v>
      </c>
      <c r="I502" s="221" t="s">
        <v>15</v>
      </c>
      <c r="J502" s="220" t="s">
        <v>302</v>
      </c>
      <c r="K502" s="221" t="s">
        <v>302</v>
      </c>
      <c r="L502" s="220" t="s">
        <v>302</v>
      </c>
      <c r="M502" s="220" t="s">
        <v>302</v>
      </c>
      <c r="N502" s="221" t="s">
        <v>302</v>
      </c>
      <c r="O502" s="222" t="s">
        <v>15</v>
      </c>
      <c r="P502" s="222" t="s">
        <v>15</v>
      </c>
      <c r="Q502" s="222" t="s">
        <v>15</v>
      </c>
      <c r="R502" s="222" t="s">
        <v>302</v>
      </c>
      <c r="S502" s="222" t="s">
        <v>302</v>
      </c>
      <c r="T502" s="222" t="s">
        <v>302</v>
      </c>
      <c r="U502" s="222" t="s">
        <v>302</v>
      </c>
      <c r="V502" s="222" t="s">
        <v>302</v>
      </c>
      <c r="W502" s="223" t="s">
        <v>302</v>
      </c>
      <c r="X502" s="223" t="s">
        <v>302</v>
      </c>
      <c r="Y502" s="224" t="s">
        <v>302</v>
      </c>
    </row>
    <row r="503" spans="1:25">
      <c r="A503" s="216">
        <v>9</v>
      </c>
      <c r="B503" s="217" t="str">
        <f>VLOOKUP(Tabel10[[#This Row],[Code]],Ruimtegroepen[[Code]:[Ruimte omschrijving]],2,FALSE)</f>
        <v>Publieksruimte</v>
      </c>
      <c r="C503" s="218" t="s">
        <v>717</v>
      </c>
      <c r="D503" s="217" t="s">
        <v>27</v>
      </c>
      <c r="E503" s="219" t="s">
        <v>100</v>
      </c>
      <c r="F503" s="218" t="s">
        <v>719</v>
      </c>
      <c r="G503" s="263" t="s">
        <v>302</v>
      </c>
      <c r="H503" s="221" t="s">
        <v>15</v>
      </c>
      <c r="I503" s="220" t="s">
        <v>302</v>
      </c>
      <c r="J503" s="221" t="s">
        <v>302</v>
      </c>
      <c r="K503" s="221" t="s">
        <v>302</v>
      </c>
      <c r="L503" s="220" t="s">
        <v>302</v>
      </c>
      <c r="M503" s="220" t="s">
        <v>302</v>
      </c>
      <c r="N503" s="221" t="s">
        <v>302</v>
      </c>
      <c r="O503" s="222" t="s">
        <v>15</v>
      </c>
      <c r="P503" s="222" t="s">
        <v>15</v>
      </c>
      <c r="Q503" s="222" t="s">
        <v>15</v>
      </c>
      <c r="R503" s="222" t="s">
        <v>302</v>
      </c>
      <c r="S503" s="222" t="s">
        <v>302</v>
      </c>
      <c r="T503" s="222" t="s">
        <v>302</v>
      </c>
      <c r="U503" s="222" t="s">
        <v>302</v>
      </c>
      <c r="V503" s="222" t="s">
        <v>302</v>
      </c>
      <c r="W503" s="223" t="s">
        <v>302</v>
      </c>
      <c r="X503" s="223" t="s">
        <v>302</v>
      </c>
      <c r="Y503" s="224" t="s">
        <v>302</v>
      </c>
    </row>
    <row r="504" spans="1:25">
      <c r="A504" s="216">
        <v>9</v>
      </c>
      <c r="B504" s="217" t="str">
        <f>VLOOKUP(Tabel10[[#This Row],[Code]],Ruimtegroepen[[Code]:[Ruimte omschrijving]],2,FALSE)</f>
        <v>Publieksruimte</v>
      </c>
      <c r="C504" s="218" t="s">
        <v>717</v>
      </c>
      <c r="D504" s="217" t="s">
        <v>27</v>
      </c>
      <c r="E504" s="219" t="s">
        <v>102</v>
      </c>
      <c r="F504" s="218" t="s">
        <v>720</v>
      </c>
      <c r="G504" s="263" t="s">
        <v>302</v>
      </c>
      <c r="H504" s="220" t="s">
        <v>302</v>
      </c>
      <c r="I504" s="221" t="s">
        <v>15</v>
      </c>
      <c r="J504" s="221" t="s">
        <v>302</v>
      </c>
      <c r="K504" s="221" t="s">
        <v>302</v>
      </c>
      <c r="L504" s="220" t="s">
        <v>302</v>
      </c>
      <c r="M504" s="220" t="s">
        <v>302</v>
      </c>
      <c r="N504" s="221" t="s">
        <v>302</v>
      </c>
      <c r="O504" s="222" t="s">
        <v>15</v>
      </c>
      <c r="P504" s="222" t="s">
        <v>15</v>
      </c>
      <c r="Q504" s="222" t="s">
        <v>15</v>
      </c>
      <c r="R504" s="222" t="s">
        <v>302</v>
      </c>
      <c r="S504" s="222" t="s">
        <v>302</v>
      </c>
      <c r="T504" s="222" t="s">
        <v>302</v>
      </c>
      <c r="U504" s="222" t="s">
        <v>302</v>
      </c>
      <c r="V504" s="222" t="s">
        <v>302</v>
      </c>
      <c r="W504" s="223" t="s">
        <v>302</v>
      </c>
      <c r="X504" s="223" t="s">
        <v>302</v>
      </c>
      <c r="Y504" s="224" t="s">
        <v>302</v>
      </c>
    </row>
    <row r="505" spans="1:25">
      <c r="A505" s="216">
        <v>9</v>
      </c>
      <c r="B505" s="217" t="str">
        <f>VLOOKUP(Tabel10[[#This Row],[Code]],Ruimtegroepen[[Code]:[Ruimte omschrijving]],2,FALSE)</f>
        <v>Publieksruimte</v>
      </c>
      <c r="C505" s="218" t="s">
        <v>717</v>
      </c>
      <c r="D505" s="217" t="s">
        <v>27</v>
      </c>
      <c r="E505" s="219" t="s">
        <v>103</v>
      </c>
      <c r="F505" s="218" t="s">
        <v>721</v>
      </c>
      <c r="G505" s="263" t="s">
        <v>302</v>
      </c>
      <c r="H505" s="220" t="s">
        <v>302</v>
      </c>
      <c r="I505" s="221" t="s">
        <v>15</v>
      </c>
      <c r="J505" s="221" t="s">
        <v>302</v>
      </c>
      <c r="K505" s="221" t="s">
        <v>302</v>
      </c>
      <c r="L505" s="220" t="s">
        <v>302</v>
      </c>
      <c r="M505" s="220" t="s">
        <v>302</v>
      </c>
      <c r="N505" s="221" t="s">
        <v>302</v>
      </c>
      <c r="O505" s="222" t="s">
        <v>15</v>
      </c>
      <c r="P505" s="222" t="s">
        <v>15</v>
      </c>
      <c r="Q505" s="222" t="s">
        <v>15</v>
      </c>
      <c r="R505" s="222" t="s">
        <v>302</v>
      </c>
      <c r="S505" s="222" t="s">
        <v>302</v>
      </c>
      <c r="T505" s="222" t="s">
        <v>302</v>
      </c>
      <c r="U505" s="222" t="s">
        <v>302</v>
      </c>
      <c r="V505" s="222" t="s">
        <v>302</v>
      </c>
      <c r="W505" s="223" t="s">
        <v>302</v>
      </c>
      <c r="X505" s="223" t="s">
        <v>302</v>
      </c>
      <c r="Y505" s="224" t="s">
        <v>302</v>
      </c>
    </row>
    <row r="506" spans="1:25">
      <c r="A506" s="216">
        <v>9</v>
      </c>
      <c r="B506" s="217" t="str">
        <f>VLOOKUP(Tabel10[[#This Row],[Code]],Ruimtegroepen[[Code]:[Ruimte omschrijving]],2,FALSE)</f>
        <v>Publieksruimte</v>
      </c>
      <c r="C506" s="218" t="s">
        <v>717</v>
      </c>
      <c r="D506" s="217" t="s">
        <v>27</v>
      </c>
      <c r="E506" s="219" t="s">
        <v>100</v>
      </c>
      <c r="F506" s="218" t="s">
        <v>719</v>
      </c>
      <c r="G506" s="263" t="s">
        <v>302</v>
      </c>
      <c r="H506" s="221" t="s">
        <v>15</v>
      </c>
      <c r="I506" s="220" t="s">
        <v>302</v>
      </c>
      <c r="J506" s="221" t="s">
        <v>302</v>
      </c>
      <c r="K506" s="221" t="s">
        <v>302</v>
      </c>
      <c r="L506" s="220" t="s">
        <v>302</v>
      </c>
      <c r="M506" s="220" t="s">
        <v>302</v>
      </c>
      <c r="N506" s="221" t="s">
        <v>302</v>
      </c>
      <c r="O506" s="222" t="s">
        <v>15</v>
      </c>
      <c r="P506" s="222" t="s">
        <v>15</v>
      </c>
      <c r="Q506" s="222" t="s">
        <v>15</v>
      </c>
      <c r="R506" s="222" t="s">
        <v>302</v>
      </c>
      <c r="S506" s="222" t="s">
        <v>302</v>
      </c>
      <c r="T506" s="222" t="s">
        <v>302</v>
      </c>
      <c r="U506" s="222" t="s">
        <v>302</v>
      </c>
      <c r="V506" s="222" t="s">
        <v>302</v>
      </c>
      <c r="W506" s="223" t="s">
        <v>302</v>
      </c>
      <c r="X506" s="223" t="s">
        <v>302</v>
      </c>
      <c r="Y506" s="224" t="s">
        <v>302</v>
      </c>
    </row>
    <row r="507" spans="1:25">
      <c r="A507" s="216">
        <v>9</v>
      </c>
      <c r="B507" s="217" t="str">
        <f>VLOOKUP(Tabel10[[#This Row],[Code]],Ruimtegroepen[[Code]:[Ruimte omschrijving]],2,FALSE)</f>
        <v>Publieksruimte</v>
      </c>
      <c r="C507" s="218" t="s">
        <v>717</v>
      </c>
      <c r="D507" s="217" t="s">
        <v>27</v>
      </c>
      <c r="E507" s="219" t="s">
        <v>1325</v>
      </c>
      <c r="F507" s="218" t="s">
        <v>1398</v>
      </c>
      <c r="G507" s="263" t="s">
        <v>302</v>
      </c>
      <c r="H507" s="220" t="s">
        <v>302</v>
      </c>
      <c r="I507" s="221" t="s">
        <v>15</v>
      </c>
      <c r="J507" s="221" t="s">
        <v>302</v>
      </c>
      <c r="K507" s="221" t="s">
        <v>302</v>
      </c>
      <c r="L507" s="220" t="s">
        <v>302</v>
      </c>
      <c r="M507" s="220" t="s">
        <v>302</v>
      </c>
      <c r="N507" s="221" t="s">
        <v>302</v>
      </c>
      <c r="O507" s="222" t="s">
        <v>15</v>
      </c>
      <c r="P507" s="222" t="s">
        <v>15</v>
      </c>
      <c r="Q507" s="222" t="s">
        <v>15</v>
      </c>
      <c r="R507" s="222" t="s">
        <v>302</v>
      </c>
      <c r="S507" s="222" t="s">
        <v>302</v>
      </c>
      <c r="T507" s="222" t="s">
        <v>302</v>
      </c>
      <c r="U507" s="222" t="s">
        <v>302</v>
      </c>
      <c r="V507" s="222" t="s">
        <v>302</v>
      </c>
      <c r="W507" s="223" t="s">
        <v>302</v>
      </c>
      <c r="X507" s="223" t="s">
        <v>302</v>
      </c>
      <c r="Y507" s="224" t="s">
        <v>302</v>
      </c>
    </row>
    <row r="508" spans="1:25">
      <c r="A508" s="216">
        <v>9</v>
      </c>
      <c r="B508" s="217" t="str">
        <f>VLOOKUP(Tabel10[[#This Row],[Code]],Ruimtegroepen[[Code]:[Ruimte omschrijving]],2,FALSE)</f>
        <v>Publieksruimte</v>
      </c>
      <c r="C508" s="218" t="s">
        <v>722</v>
      </c>
      <c r="D508" s="217" t="s">
        <v>28</v>
      </c>
      <c r="E508" s="219" t="s">
        <v>101</v>
      </c>
      <c r="F508" s="218" t="s">
        <v>723</v>
      </c>
      <c r="G508" s="263" t="s">
        <v>302</v>
      </c>
      <c r="H508" s="220" t="s">
        <v>302</v>
      </c>
      <c r="I508" s="221" t="s">
        <v>17</v>
      </c>
      <c r="J508" s="220" t="s">
        <v>302</v>
      </c>
      <c r="K508" s="221" t="s">
        <v>302</v>
      </c>
      <c r="L508" s="220" t="s">
        <v>302</v>
      </c>
      <c r="M508" s="220" t="s">
        <v>302</v>
      </c>
      <c r="N508" s="221" t="s">
        <v>302</v>
      </c>
      <c r="O508" s="222" t="s">
        <v>17</v>
      </c>
      <c r="P508" s="222" t="s">
        <v>17</v>
      </c>
      <c r="Q508" s="222" t="s">
        <v>15</v>
      </c>
      <c r="R508" s="222" t="s">
        <v>302</v>
      </c>
      <c r="S508" s="222" t="s">
        <v>302</v>
      </c>
      <c r="T508" s="222" t="s">
        <v>302</v>
      </c>
      <c r="U508" s="222" t="s">
        <v>302</v>
      </c>
      <c r="V508" s="222" t="s">
        <v>302</v>
      </c>
      <c r="W508" s="223" t="s">
        <v>302</v>
      </c>
      <c r="X508" s="223" t="s">
        <v>302</v>
      </c>
      <c r="Y508" s="224" t="s">
        <v>302</v>
      </c>
    </row>
    <row r="509" spans="1:25">
      <c r="A509" s="216">
        <v>9</v>
      </c>
      <c r="B509" s="217" t="str">
        <f>VLOOKUP(Tabel10[[#This Row],[Code]],Ruimtegroepen[[Code]:[Ruimte omschrijving]],2,FALSE)</f>
        <v>Publieksruimte</v>
      </c>
      <c r="C509" s="218" t="s">
        <v>722</v>
      </c>
      <c r="D509" s="217" t="s">
        <v>28</v>
      </c>
      <c r="E509" s="219" t="s">
        <v>100</v>
      </c>
      <c r="F509" s="218" t="s">
        <v>724</v>
      </c>
      <c r="G509" s="263" t="s">
        <v>302</v>
      </c>
      <c r="H509" s="221" t="s">
        <v>17</v>
      </c>
      <c r="I509" s="220" t="s">
        <v>302</v>
      </c>
      <c r="J509" s="221" t="s">
        <v>302</v>
      </c>
      <c r="K509" s="221" t="s">
        <v>302</v>
      </c>
      <c r="L509" s="220" t="s">
        <v>302</v>
      </c>
      <c r="M509" s="220" t="s">
        <v>302</v>
      </c>
      <c r="N509" s="221" t="s">
        <v>302</v>
      </c>
      <c r="O509" s="222" t="s">
        <v>17</v>
      </c>
      <c r="P509" s="222" t="s">
        <v>17</v>
      </c>
      <c r="Q509" s="222" t="s">
        <v>15</v>
      </c>
      <c r="R509" s="222" t="s">
        <v>302</v>
      </c>
      <c r="S509" s="222" t="s">
        <v>302</v>
      </c>
      <c r="T509" s="222" t="s">
        <v>302</v>
      </c>
      <c r="U509" s="222" t="s">
        <v>302</v>
      </c>
      <c r="V509" s="222" t="s">
        <v>302</v>
      </c>
      <c r="W509" s="223" t="s">
        <v>302</v>
      </c>
      <c r="X509" s="223" t="s">
        <v>302</v>
      </c>
      <c r="Y509" s="224" t="s">
        <v>302</v>
      </c>
    </row>
    <row r="510" spans="1:25">
      <c r="A510" s="216">
        <v>9</v>
      </c>
      <c r="B510" s="217" t="str">
        <f>VLOOKUP(Tabel10[[#This Row],[Code]],Ruimtegroepen[[Code]:[Ruimte omschrijving]],2,FALSE)</f>
        <v>Publieksruimte</v>
      </c>
      <c r="C510" s="218" t="s">
        <v>722</v>
      </c>
      <c r="D510" s="217" t="s">
        <v>28</v>
      </c>
      <c r="E510" s="219" t="s">
        <v>102</v>
      </c>
      <c r="F510" s="218" t="s">
        <v>725</v>
      </c>
      <c r="G510" s="263" t="s">
        <v>302</v>
      </c>
      <c r="H510" s="220" t="s">
        <v>302</v>
      </c>
      <c r="I510" s="221" t="s">
        <v>17</v>
      </c>
      <c r="J510" s="221" t="s">
        <v>302</v>
      </c>
      <c r="K510" s="221" t="s">
        <v>302</v>
      </c>
      <c r="L510" s="220" t="s">
        <v>302</v>
      </c>
      <c r="M510" s="220" t="s">
        <v>302</v>
      </c>
      <c r="N510" s="221" t="s">
        <v>302</v>
      </c>
      <c r="O510" s="222" t="s">
        <v>17</v>
      </c>
      <c r="P510" s="222" t="s">
        <v>17</v>
      </c>
      <c r="Q510" s="222" t="s">
        <v>15</v>
      </c>
      <c r="R510" s="222" t="s">
        <v>302</v>
      </c>
      <c r="S510" s="222" t="s">
        <v>302</v>
      </c>
      <c r="T510" s="222" t="s">
        <v>302</v>
      </c>
      <c r="U510" s="222" t="s">
        <v>302</v>
      </c>
      <c r="V510" s="222" t="s">
        <v>302</v>
      </c>
      <c r="W510" s="223" t="s">
        <v>302</v>
      </c>
      <c r="X510" s="223" t="s">
        <v>302</v>
      </c>
      <c r="Y510" s="224" t="s">
        <v>302</v>
      </c>
    </row>
    <row r="511" spans="1:25">
      <c r="A511" s="216">
        <v>9</v>
      </c>
      <c r="B511" s="217" t="str">
        <f>VLOOKUP(Tabel10[[#This Row],[Code]],Ruimtegroepen[[Code]:[Ruimte omschrijving]],2,FALSE)</f>
        <v>Publieksruimte</v>
      </c>
      <c r="C511" s="218" t="s">
        <v>722</v>
      </c>
      <c r="D511" s="217" t="s">
        <v>28</v>
      </c>
      <c r="E511" s="219" t="s">
        <v>103</v>
      </c>
      <c r="F511" s="218" t="s">
        <v>726</v>
      </c>
      <c r="G511" s="263" t="s">
        <v>302</v>
      </c>
      <c r="H511" s="220" t="s">
        <v>302</v>
      </c>
      <c r="I511" s="221" t="s">
        <v>17</v>
      </c>
      <c r="J511" s="221" t="s">
        <v>302</v>
      </c>
      <c r="K511" s="221" t="s">
        <v>302</v>
      </c>
      <c r="L511" s="220" t="s">
        <v>302</v>
      </c>
      <c r="M511" s="220" t="s">
        <v>302</v>
      </c>
      <c r="N511" s="221" t="s">
        <v>302</v>
      </c>
      <c r="O511" s="222" t="s">
        <v>17</v>
      </c>
      <c r="P511" s="222" t="s">
        <v>17</v>
      </c>
      <c r="Q511" s="222" t="s">
        <v>15</v>
      </c>
      <c r="R511" s="222" t="s">
        <v>302</v>
      </c>
      <c r="S511" s="222" t="s">
        <v>302</v>
      </c>
      <c r="T511" s="222" t="s">
        <v>302</v>
      </c>
      <c r="U511" s="222" t="s">
        <v>302</v>
      </c>
      <c r="V511" s="222" t="s">
        <v>302</v>
      </c>
      <c r="W511" s="223" t="s">
        <v>302</v>
      </c>
      <c r="X511" s="223" t="s">
        <v>302</v>
      </c>
      <c r="Y511" s="224" t="s">
        <v>302</v>
      </c>
    </row>
    <row r="512" spans="1:25">
      <c r="A512" s="216">
        <v>9</v>
      </c>
      <c r="B512" s="217" t="str">
        <f>VLOOKUP(Tabel10[[#This Row],[Code]],Ruimtegroepen[[Code]:[Ruimte omschrijving]],2,FALSE)</f>
        <v>Publieksruimte</v>
      </c>
      <c r="C512" s="218" t="s">
        <v>722</v>
      </c>
      <c r="D512" s="217" t="s">
        <v>28</v>
      </c>
      <c r="E512" s="219" t="s">
        <v>100</v>
      </c>
      <c r="F512" s="218" t="s">
        <v>724</v>
      </c>
      <c r="G512" s="263" t="s">
        <v>302</v>
      </c>
      <c r="H512" s="221" t="s">
        <v>17</v>
      </c>
      <c r="I512" s="220" t="s">
        <v>302</v>
      </c>
      <c r="J512" s="221" t="s">
        <v>302</v>
      </c>
      <c r="K512" s="221" t="s">
        <v>302</v>
      </c>
      <c r="L512" s="220" t="s">
        <v>302</v>
      </c>
      <c r="M512" s="220" t="s">
        <v>302</v>
      </c>
      <c r="N512" s="221" t="s">
        <v>302</v>
      </c>
      <c r="O512" s="222" t="s">
        <v>17</v>
      </c>
      <c r="P512" s="222" t="s">
        <v>17</v>
      </c>
      <c r="Q512" s="222" t="s">
        <v>15</v>
      </c>
      <c r="R512" s="222" t="s">
        <v>302</v>
      </c>
      <c r="S512" s="222" t="s">
        <v>302</v>
      </c>
      <c r="T512" s="222" t="s">
        <v>302</v>
      </c>
      <c r="U512" s="222" t="s">
        <v>302</v>
      </c>
      <c r="V512" s="222" t="s">
        <v>302</v>
      </c>
      <c r="W512" s="223" t="s">
        <v>302</v>
      </c>
      <c r="X512" s="223" t="s">
        <v>302</v>
      </c>
      <c r="Y512" s="224" t="s">
        <v>302</v>
      </c>
    </row>
    <row r="513" spans="1:25">
      <c r="A513" s="216">
        <v>9</v>
      </c>
      <c r="B513" s="217" t="str">
        <f>VLOOKUP(Tabel10[[#This Row],[Code]],Ruimtegroepen[[Code]:[Ruimte omschrijving]],2,FALSE)</f>
        <v>Publieksruimte</v>
      </c>
      <c r="C513" s="218" t="s">
        <v>722</v>
      </c>
      <c r="D513" s="217" t="s">
        <v>28</v>
      </c>
      <c r="E513" s="219" t="s">
        <v>1325</v>
      </c>
      <c r="F513" s="218" t="s">
        <v>1431</v>
      </c>
      <c r="G513" s="263" t="s">
        <v>302</v>
      </c>
      <c r="H513" s="220" t="s">
        <v>302</v>
      </c>
      <c r="I513" s="221" t="s">
        <v>17</v>
      </c>
      <c r="J513" s="221" t="s">
        <v>302</v>
      </c>
      <c r="K513" s="221" t="s">
        <v>302</v>
      </c>
      <c r="L513" s="220" t="s">
        <v>302</v>
      </c>
      <c r="M513" s="220" t="s">
        <v>302</v>
      </c>
      <c r="N513" s="221" t="s">
        <v>302</v>
      </c>
      <c r="O513" s="222" t="s">
        <v>17</v>
      </c>
      <c r="P513" s="222" t="s">
        <v>17</v>
      </c>
      <c r="Q513" s="222" t="s">
        <v>15</v>
      </c>
      <c r="R513" s="222" t="s">
        <v>302</v>
      </c>
      <c r="S513" s="222" t="s">
        <v>302</v>
      </c>
      <c r="T513" s="222" t="s">
        <v>302</v>
      </c>
      <c r="U513" s="222" t="s">
        <v>302</v>
      </c>
      <c r="V513" s="222" t="s">
        <v>302</v>
      </c>
      <c r="W513" s="223" t="s">
        <v>302</v>
      </c>
      <c r="X513" s="223" t="s">
        <v>302</v>
      </c>
      <c r="Y513" s="224" t="s">
        <v>302</v>
      </c>
    </row>
    <row r="514" spans="1:25">
      <c r="A514" s="216">
        <v>10</v>
      </c>
      <c r="B514" s="217" t="str">
        <f>VLOOKUP(Tabel10[[#This Row],[Code]],Ruimtegroepen[[Code]:[Ruimte omschrijving]],2,FALSE)</f>
        <v>Trappenhuizen/lift</v>
      </c>
      <c r="C514" s="218" t="s">
        <v>727</v>
      </c>
      <c r="D514" s="217" t="s">
        <v>29</v>
      </c>
      <c r="E514" s="219" t="s">
        <v>101</v>
      </c>
      <c r="F514" s="218" t="s">
        <v>728</v>
      </c>
      <c r="G514" s="263" t="s">
        <v>302</v>
      </c>
      <c r="H514" s="220" t="s">
        <v>302</v>
      </c>
      <c r="I514" s="220" t="s">
        <v>20</v>
      </c>
      <c r="J514" s="221" t="s">
        <v>15</v>
      </c>
      <c r="K514" s="221" t="s">
        <v>302</v>
      </c>
      <c r="L514" s="220" t="s">
        <v>302</v>
      </c>
      <c r="M514" s="220" t="s">
        <v>302</v>
      </c>
      <c r="N514" s="221" t="s">
        <v>2</v>
      </c>
      <c r="O514" s="222" t="s">
        <v>2</v>
      </c>
      <c r="P514" s="222" t="s">
        <v>2</v>
      </c>
      <c r="Q514" s="222" t="s">
        <v>15</v>
      </c>
      <c r="R514" s="222" t="s">
        <v>15</v>
      </c>
      <c r="S514" s="222" t="s">
        <v>16</v>
      </c>
      <c r="T514" s="222" t="s">
        <v>349</v>
      </c>
      <c r="U514" s="222" t="s">
        <v>269</v>
      </c>
      <c r="V514" s="222" t="s">
        <v>2</v>
      </c>
      <c r="W514" s="223" t="s">
        <v>302</v>
      </c>
      <c r="X514" s="223" t="s">
        <v>302</v>
      </c>
      <c r="Y514" s="224" t="s">
        <v>302</v>
      </c>
    </row>
    <row r="515" spans="1:25">
      <c r="A515" s="216">
        <v>10</v>
      </c>
      <c r="B515" s="217" t="str">
        <f>VLOOKUP(Tabel10[[#This Row],[Code]],Ruimtegroepen[[Code]:[Ruimte omschrijving]],2,FALSE)</f>
        <v>Trappenhuizen/lift</v>
      </c>
      <c r="C515" s="218" t="s">
        <v>727</v>
      </c>
      <c r="D515" s="217" t="s">
        <v>29</v>
      </c>
      <c r="E515" s="219" t="s">
        <v>100</v>
      </c>
      <c r="F515" s="218" t="s">
        <v>729</v>
      </c>
      <c r="G515" s="263" t="s">
        <v>302</v>
      </c>
      <c r="H515" s="221" t="s">
        <v>2</v>
      </c>
      <c r="I515" s="220" t="s">
        <v>302</v>
      </c>
      <c r="J515" s="221" t="s">
        <v>302</v>
      </c>
      <c r="K515" s="221" t="s">
        <v>302</v>
      </c>
      <c r="L515" s="220" t="s">
        <v>302</v>
      </c>
      <c r="M515" s="220" t="s">
        <v>302</v>
      </c>
      <c r="N515" s="221" t="s">
        <v>2</v>
      </c>
      <c r="O515" s="222" t="s">
        <v>2</v>
      </c>
      <c r="P515" s="222" t="s">
        <v>2</v>
      </c>
      <c r="Q515" s="222" t="s">
        <v>15</v>
      </c>
      <c r="R515" s="222" t="s">
        <v>15</v>
      </c>
      <c r="S515" s="222" t="s">
        <v>16</v>
      </c>
      <c r="T515" s="222" t="s">
        <v>349</v>
      </c>
      <c r="U515" s="222" t="s">
        <v>269</v>
      </c>
      <c r="V515" s="222" t="s">
        <v>2</v>
      </c>
      <c r="W515" s="223" t="s">
        <v>302</v>
      </c>
      <c r="X515" s="223" t="s">
        <v>302</v>
      </c>
      <c r="Y515" s="224" t="s">
        <v>302</v>
      </c>
    </row>
    <row r="516" spans="1:25">
      <c r="A516" s="216">
        <v>10</v>
      </c>
      <c r="B516" s="217" t="str">
        <f>VLOOKUP(Tabel10[[#This Row],[Code]],Ruimtegroepen[[Code]:[Ruimte omschrijving]],2,FALSE)</f>
        <v>Trappenhuizen/lift</v>
      </c>
      <c r="C516" s="218" t="s">
        <v>727</v>
      </c>
      <c r="D516" s="217" t="s">
        <v>29</v>
      </c>
      <c r="E516" s="219" t="s">
        <v>102</v>
      </c>
      <c r="F516" s="218" t="s">
        <v>730</v>
      </c>
      <c r="G516" s="263" t="s">
        <v>302</v>
      </c>
      <c r="H516" s="220" t="s">
        <v>302</v>
      </c>
      <c r="I516" s="220" t="s">
        <v>20</v>
      </c>
      <c r="J516" s="220" t="s">
        <v>15</v>
      </c>
      <c r="K516" s="220" t="s">
        <v>303</v>
      </c>
      <c r="L516" s="220" t="s">
        <v>302</v>
      </c>
      <c r="M516" s="220" t="s">
        <v>302</v>
      </c>
      <c r="N516" s="221" t="s">
        <v>2</v>
      </c>
      <c r="O516" s="222" t="s">
        <v>2</v>
      </c>
      <c r="P516" s="222" t="s">
        <v>2</v>
      </c>
      <c r="Q516" s="222" t="s">
        <v>15</v>
      </c>
      <c r="R516" s="222" t="s">
        <v>15</v>
      </c>
      <c r="S516" s="222" t="s">
        <v>16</v>
      </c>
      <c r="T516" s="222" t="s">
        <v>349</v>
      </c>
      <c r="U516" s="222" t="s">
        <v>269</v>
      </c>
      <c r="V516" s="222" t="s">
        <v>2</v>
      </c>
      <c r="W516" s="223" t="s">
        <v>302</v>
      </c>
      <c r="X516" s="223" t="s">
        <v>302</v>
      </c>
      <c r="Y516" s="224" t="s">
        <v>302</v>
      </c>
    </row>
    <row r="517" spans="1:25">
      <c r="A517" s="216">
        <v>10</v>
      </c>
      <c r="B517" s="217" t="str">
        <f>VLOOKUP(Tabel10[[#This Row],[Code]],Ruimtegroepen[[Code]:[Ruimte omschrijving]],2,FALSE)</f>
        <v>Trappenhuizen/lift</v>
      </c>
      <c r="C517" s="218" t="s">
        <v>727</v>
      </c>
      <c r="D517" s="217" t="s">
        <v>29</v>
      </c>
      <c r="E517" s="219" t="s">
        <v>103</v>
      </c>
      <c r="F517" s="218" t="s">
        <v>731</v>
      </c>
      <c r="G517" s="263" t="s">
        <v>302</v>
      </c>
      <c r="H517" s="220" t="s">
        <v>302</v>
      </c>
      <c r="I517" s="220" t="s">
        <v>20</v>
      </c>
      <c r="J517" s="220" t="s">
        <v>15</v>
      </c>
      <c r="K517" s="220" t="s">
        <v>303</v>
      </c>
      <c r="L517" s="220" t="s">
        <v>302</v>
      </c>
      <c r="M517" s="220" t="s">
        <v>302</v>
      </c>
      <c r="N517" s="221" t="s">
        <v>2</v>
      </c>
      <c r="O517" s="222" t="s">
        <v>2</v>
      </c>
      <c r="P517" s="222" t="s">
        <v>2</v>
      </c>
      <c r="Q517" s="222" t="s">
        <v>15</v>
      </c>
      <c r="R517" s="222" t="s">
        <v>15</v>
      </c>
      <c r="S517" s="222" t="s">
        <v>16</v>
      </c>
      <c r="T517" s="222" t="s">
        <v>349</v>
      </c>
      <c r="U517" s="222" t="s">
        <v>269</v>
      </c>
      <c r="V517" s="222" t="s">
        <v>2</v>
      </c>
      <c r="W517" s="223" t="s">
        <v>302</v>
      </c>
      <c r="X517" s="223" t="s">
        <v>302</v>
      </c>
      <c r="Y517" s="224" t="s">
        <v>302</v>
      </c>
    </row>
    <row r="518" spans="1:25">
      <c r="A518" s="216">
        <v>10</v>
      </c>
      <c r="B518" s="217" t="str">
        <f>VLOOKUP(Tabel10[[#This Row],[Code]],Ruimtegroepen[[Code]:[Ruimte omschrijving]],2,FALSE)</f>
        <v>Trappenhuizen/lift</v>
      </c>
      <c r="C518" s="218" t="s">
        <v>727</v>
      </c>
      <c r="D518" s="217" t="s">
        <v>29</v>
      </c>
      <c r="E518" s="219" t="s">
        <v>100</v>
      </c>
      <c r="F518" s="218" t="s">
        <v>729</v>
      </c>
      <c r="G518" s="263" t="s">
        <v>302</v>
      </c>
      <c r="H518" s="221" t="s">
        <v>2</v>
      </c>
      <c r="I518" s="220" t="s">
        <v>302</v>
      </c>
      <c r="J518" s="221" t="s">
        <v>302</v>
      </c>
      <c r="K518" s="221" t="s">
        <v>302</v>
      </c>
      <c r="L518" s="220" t="s">
        <v>302</v>
      </c>
      <c r="M518" s="220" t="s">
        <v>302</v>
      </c>
      <c r="N518" s="221" t="s">
        <v>2</v>
      </c>
      <c r="O518" s="222" t="s">
        <v>2</v>
      </c>
      <c r="P518" s="222" t="s">
        <v>2</v>
      </c>
      <c r="Q518" s="222" t="s">
        <v>15</v>
      </c>
      <c r="R518" s="222" t="s">
        <v>15</v>
      </c>
      <c r="S518" s="222" t="s">
        <v>16</v>
      </c>
      <c r="T518" s="222" t="s">
        <v>349</v>
      </c>
      <c r="U518" s="222" t="s">
        <v>269</v>
      </c>
      <c r="V518" s="222" t="s">
        <v>2</v>
      </c>
      <c r="W518" s="223" t="s">
        <v>302</v>
      </c>
      <c r="X518" s="223" t="s">
        <v>302</v>
      </c>
      <c r="Y518" s="224" t="s">
        <v>302</v>
      </c>
    </row>
    <row r="519" spans="1:25">
      <c r="A519" s="216">
        <v>10</v>
      </c>
      <c r="B519" s="217" t="str">
        <f>VLOOKUP(Tabel10[[#This Row],[Code]],Ruimtegroepen[[Code]:[Ruimte omschrijving]],2,FALSE)</f>
        <v>Trappenhuizen/lift</v>
      </c>
      <c r="C519" s="218" t="s">
        <v>727</v>
      </c>
      <c r="D519" s="217" t="s">
        <v>29</v>
      </c>
      <c r="E519" s="219" t="s">
        <v>1325</v>
      </c>
      <c r="F519" s="218" t="s">
        <v>1499</v>
      </c>
      <c r="G519" s="263" t="s">
        <v>302</v>
      </c>
      <c r="H519" s="220" t="s">
        <v>302</v>
      </c>
      <c r="I519" s="220" t="s">
        <v>20</v>
      </c>
      <c r="J519" s="220" t="s">
        <v>15</v>
      </c>
      <c r="K519" s="220" t="s">
        <v>303</v>
      </c>
      <c r="L519" s="220" t="s">
        <v>302</v>
      </c>
      <c r="M519" s="220" t="s">
        <v>302</v>
      </c>
      <c r="N519" s="221" t="s">
        <v>2</v>
      </c>
      <c r="O519" s="222" t="s">
        <v>2</v>
      </c>
      <c r="P519" s="222" t="s">
        <v>2</v>
      </c>
      <c r="Q519" s="222" t="s">
        <v>15</v>
      </c>
      <c r="R519" s="222" t="s">
        <v>15</v>
      </c>
      <c r="S519" s="222" t="s">
        <v>16</v>
      </c>
      <c r="T519" s="222" t="s">
        <v>349</v>
      </c>
      <c r="U519" s="222" t="s">
        <v>269</v>
      </c>
      <c r="V519" s="222" t="s">
        <v>2</v>
      </c>
      <c r="W519" s="223" t="s">
        <v>302</v>
      </c>
      <c r="X519" s="223" t="s">
        <v>302</v>
      </c>
      <c r="Y519" s="224" t="s">
        <v>302</v>
      </c>
    </row>
    <row r="520" spans="1:25">
      <c r="A520" s="216">
        <v>10</v>
      </c>
      <c r="B520" s="217" t="str">
        <f>VLOOKUP(Tabel10[[#This Row],[Code]],Ruimtegroepen[[Code]:[Ruimte omschrijving]],2,FALSE)</f>
        <v>Trappenhuizen/lift</v>
      </c>
      <c r="C520" s="218" t="s">
        <v>732</v>
      </c>
      <c r="D520" s="217" t="s">
        <v>1</v>
      </c>
      <c r="E520" s="219" t="s">
        <v>101</v>
      </c>
      <c r="F520" s="218" t="s">
        <v>733</v>
      </c>
      <c r="G520" s="263" t="s">
        <v>302</v>
      </c>
      <c r="H520" s="220" t="s">
        <v>302</v>
      </c>
      <c r="I520" s="220" t="s">
        <v>20</v>
      </c>
      <c r="J520" s="221" t="s">
        <v>15</v>
      </c>
      <c r="K520" s="221" t="s">
        <v>302</v>
      </c>
      <c r="L520" s="220" t="s">
        <v>302</v>
      </c>
      <c r="M520" s="220" t="s">
        <v>302</v>
      </c>
      <c r="N520" s="221" t="s">
        <v>302</v>
      </c>
      <c r="O520" s="222" t="s">
        <v>2</v>
      </c>
      <c r="P520" s="222" t="s">
        <v>2</v>
      </c>
      <c r="Q520" s="222" t="s">
        <v>15</v>
      </c>
      <c r="R520" s="222" t="s">
        <v>15</v>
      </c>
      <c r="S520" s="222" t="s">
        <v>16</v>
      </c>
      <c r="T520" s="222" t="s">
        <v>349</v>
      </c>
      <c r="U520" s="222" t="s">
        <v>269</v>
      </c>
      <c r="V520" s="222" t="s">
        <v>302</v>
      </c>
      <c r="W520" s="223" t="s">
        <v>302</v>
      </c>
      <c r="X520" s="223" t="s">
        <v>302</v>
      </c>
      <c r="Y520" s="224" t="s">
        <v>302</v>
      </c>
    </row>
    <row r="521" spans="1:25">
      <c r="A521" s="216">
        <v>10</v>
      </c>
      <c r="B521" s="217" t="str">
        <f>VLOOKUP(Tabel10[[#This Row],[Code]],Ruimtegroepen[[Code]:[Ruimte omschrijving]],2,FALSE)</f>
        <v>Trappenhuizen/lift</v>
      </c>
      <c r="C521" s="218" t="s">
        <v>732</v>
      </c>
      <c r="D521" s="217" t="s">
        <v>1</v>
      </c>
      <c r="E521" s="219" t="s">
        <v>100</v>
      </c>
      <c r="F521" s="218" t="s">
        <v>734</v>
      </c>
      <c r="G521" s="263" t="s">
        <v>302</v>
      </c>
      <c r="H521" s="221" t="s">
        <v>2</v>
      </c>
      <c r="I521" s="220" t="s">
        <v>302</v>
      </c>
      <c r="J521" s="221" t="s">
        <v>302</v>
      </c>
      <c r="K521" s="221" t="s">
        <v>302</v>
      </c>
      <c r="L521" s="220" t="s">
        <v>302</v>
      </c>
      <c r="M521" s="220" t="s">
        <v>302</v>
      </c>
      <c r="N521" s="221" t="s">
        <v>302</v>
      </c>
      <c r="O521" s="222" t="s">
        <v>2</v>
      </c>
      <c r="P521" s="222" t="s">
        <v>2</v>
      </c>
      <c r="Q521" s="222" t="s">
        <v>15</v>
      </c>
      <c r="R521" s="222" t="s">
        <v>15</v>
      </c>
      <c r="S521" s="222" t="s">
        <v>16</v>
      </c>
      <c r="T521" s="222" t="s">
        <v>349</v>
      </c>
      <c r="U521" s="222" t="s">
        <v>269</v>
      </c>
      <c r="V521" s="222" t="s">
        <v>302</v>
      </c>
      <c r="W521" s="223" t="s">
        <v>302</v>
      </c>
      <c r="X521" s="223" t="s">
        <v>302</v>
      </c>
      <c r="Y521" s="224" t="s">
        <v>302</v>
      </c>
    </row>
    <row r="522" spans="1:25">
      <c r="A522" s="216">
        <v>10</v>
      </c>
      <c r="B522" s="217" t="str">
        <f>VLOOKUP(Tabel10[[#This Row],[Code]],Ruimtegroepen[[Code]:[Ruimte omschrijving]],2,FALSE)</f>
        <v>Trappenhuizen/lift</v>
      </c>
      <c r="C522" s="218" t="s">
        <v>732</v>
      </c>
      <c r="D522" s="217" t="s">
        <v>1</v>
      </c>
      <c r="E522" s="219" t="s">
        <v>102</v>
      </c>
      <c r="F522" s="218" t="s">
        <v>735</v>
      </c>
      <c r="G522" s="263" t="s">
        <v>302</v>
      </c>
      <c r="H522" s="220" t="s">
        <v>302</v>
      </c>
      <c r="I522" s="220" t="s">
        <v>20</v>
      </c>
      <c r="J522" s="220" t="s">
        <v>15</v>
      </c>
      <c r="K522" s="220" t="s">
        <v>303</v>
      </c>
      <c r="L522" s="220" t="s">
        <v>302</v>
      </c>
      <c r="M522" s="220" t="s">
        <v>302</v>
      </c>
      <c r="N522" s="221" t="s">
        <v>302</v>
      </c>
      <c r="O522" s="222" t="s">
        <v>2</v>
      </c>
      <c r="P522" s="222" t="s">
        <v>2</v>
      </c>
      <c r="Q522" s="222" t="s">
        <v>15</v>
      </c>
      <c r="R522" s="222" t="s">
        <v>15</v>
      </c>
      <c r="S522" s="222" t="s">
        <v>16</v>
      </c>
      <c r="T522" s="222" t="s">
        <v>349</v>
      </c>
      <c r="U522" s="222" t="s">
        <v>269</v>
      </c>
      <c r="V522" s="222" t="s">
        <v>302</v>
      </c>
      <c r="W522" s="223" t="s">
        <v>302</v>
      </c>
      <c r="X522" s="223" t="s">
        <v>302</v>
      </c>
      <c r="Y522" s="224" t="s">
        <v>302</v>
      </c>
    </row>
    <row r="523" spans="1:25">
      <c r="A523" s="216">
        <v>10</v>
      </c>
      <c r="B523" s="217" t="str">
        <f>VLOOKUP(Tabel10[[#This Row],[Code]],Ruimtegroepen[[Code]:[Ruimte omschrijving]],2,FALSE)</f>
        <v>Trappenhuizen/lift</v>
      </c>
      <c r="C523" s="218" t="s">
        <v>732</v>
      </c>
      <c r="D523" s="217" t="s">
        <v>1</v>
      </c>
      <c r="E523" s="219" t="s">
        <v>103</v>
      </c>
      <c r="F523" s="218" t="s">
        <v>736</v>
      </c>
      <c r="G523" s="263" t="s">
        <v>302</v>
      </c>
      <c r="H523" s="220" t="s">
        <v>302</v>
      </c>
      <c r="I523" s="221" t="s">
        <v>2</v>
      </c>
      <c r="J523" s="221" t="s">
        <v>302</v>
      </c>
      <c r="K523" s="220" t="s">
        <v>303</v>
      </c>
      <c r="L523" s="220" t="s">
        <v>302</v>
      </c>
      <c r="M523" s="220" t="s">
        <v>302</v>
      </c>
      <c r="N523" s="221" t="s">
        <v>302</v>
      </c>
      <c r="O523" s="222" t="s">
        <v>2</v>
      </c>
      <c r="P523" s="222" t="s">
        <v>2</v>
      </c>
      <c r="Q523" s="222" t="s">
        <v>15</v>
      </c>
      <c r="R523" s="222" t="s">
        <v>15</v>
      </c>
      <c r="S523" s="222" t="s">
        <v>16</v>
      </c>
      <c r="T523" s="222" t="s">
        <v>349</v>
      </c>
      <c r="U523" s="222" t="s">
        <v>269</v>
      </c>
      <c r="V523" s="222" t="s">
        <v>302</v>
      </c>
      <c r="W523" s="223" t="s">
        <v>302</v>
      </c>
      <c r="X523" s="223" t="s">
        <v>302</v>
      </c>
      <c r="Y523" s="224" t="s">
        <v>302</v>
      </c>
    </row>
    <row r="524" spans="1:25">
      <c r="A524" s="216">
        <v>10</v>
      </c>
      <c r="B524" s="217" t="str">
        <f>VLOOKUP(Tabel10[[#This Row],[Code]],Ruimtegroepen[[Code]:[Ruimte omschrijving]],2,FALSE)</f>
        <v>Trappenhuizen/lift</v>
      </c>
      <c r="C524" s="218" t="s">
        <v>732</v>
      </c>
      <c r="D524" s="217" t="s">
        <v>1</v>
      </c>
      <c r="E524" s="219" t="s">
        <v>100</v>
      </c>
      <c r="F524" s="218" t="s">
        <v>734</v>
      </c>
      <c r="G524" s="263" t="s">
        <v>302</v>
      </c>
      <c r="H524" s="221" t="s">
        <v>2</v>
      </c>
      <c r="I524" s="220" t="s">
        <v>302</v>
      </c>
      <c r="J524" s="221" t="s">
        <v>302</v>
      </c>
      <c r="K524" s="221" t="s">
        <v>302</v>
      </c>
      <c r="L524" s="220" t="s">
        <v>302</v>
      </c>
      <c r="M524" s="220" t="s">
        <v>302</v>
      </c>
      <c r="N524" s="221" t="s">
        <v>302</v>
      </c>
      <c r="O524" s="222" t="s">
        <v>2</v>
      </c>
      <c r="P524" s="222" t="s">
        <v>2</v>
      </c>
      <c r="Q524" s="222" t="s">
        <v>15</v>
      </c>
      <c r="R524" s="222" t="s">
        <v>15</v>
      </c>
      <c r="S524" s="222" t="s">
        <v>16</v>
      </c>
      <c r="T524" s="222" t="s">
        <v>349</v>
      </c>
      <c r="U524" s="222" t="s">
        <v>269</v>
      </c>
      <c r="V524" s="222" t="s">
        <v>302</v>
      </c>
      <c r="W524" s="223" t="s">
        <v>302</v>
      </c>
      <c r="X524" s="223" t="s">
        <v>302</v>
      </c>
      <c r="Y524" s="224" t="s">
        <v>302</v>
      </c>
    </row>
    <row r="525" spans="1:25">
      <c r="A525" s="216">
        <v>10</v>
      </c>
      <c r="B525" s="217" t="str">
        <f>VLOOKUP(Tabel10[[#This Row],[Code]],Ruimtegroepen[[Code]:[Ruimte omschrijving]],2,FALSE)</f>
        <v>Trappenhuizen/lift</v>
      </c>
      <c r="C525" s="218" t="s">
        <v>732</v>
      </c>
      <c r="D525" s="217" t="s">
        <v>1</v>
      </c>
      <c r="E525" s="219" t="s">
        <v>1325</v>
      </c>
      <c r="F525" s="218" t="s">
        <v>1483</v>
      </c>
      <c r="G525" s="263" t="s">
        <v>302</v>
      </c>
      <c r="H525" s="220" t="s">
        <v>302</v>
      </c>
      <c r="I525" s="221" t="s">
        <v>2</v>
      </c>
      <c r="J525" s="221" t="s">
        <v>302</v>
      </c>
      <c r="K525" s="220" t="s">
        <v>303</v>
      </c>
      <c r="L525" s="220" t="s">
        <v>302</v>
      </c>
      <c r="M525" s="220" t="s">
        <v>302</v>
      </c>
      <c r="N525" s="221" t="s">
        <v>302</v>
      </c>
      <c r="O525" s="222" t="s">
        <v>2</v>
      </c>
      <c r="P525" s="222" t="s">
        <v>2</v>
      </c>
      <c r="Q525" s="222" t="s">
        <v>15</v>
      </c>
      <c r="R525" s="222" t="s">
        <v>15</v>
      </c>
      <c r="S525" s="222" t="s">
        <v>16</v>
      </c>
      <c r="T525" s="222" t="s">
        <v>349</v>
      </c>
      <c r="U525" s="222" t="s">
        <v>269</v>
      </c>
      <c r="V525" s="222" t="s">
        <v>302</v>
      </c>
      <c r="W525" s="223" t="s">
        <v>302</v>
      </c>
      <c r="X525" s="223" t="s">
        <v>302</v>
      </c>
      <c r="Y525" s="224" t="s">
        <v>302</v>
      </c>
    </row>
    <row r="526" spans="1:25">
      <c r="A526" s="216">
        <v>10</v>
      </c>
      <c r="B526" s="217" t="str">
        <f>VLOOKUP(Tabel10[[#This Row],[Code]],Ruimtegroepen[[Code]:[Ruimte omschrijving]],2,FALSE)</f>
        <v>Trappenhuizen/lift</v>
      </c>
      <c r="C526" s="218" t="s">
        <v>737</v>
      </c>
      <c r="D526" s="217" t="s">
        <v>21</v>
      </c>
      <c r="E526" s="219" t="s">
        <v>101</v>
      </c>
      <c r="F526" s="218" t="s">
        <v>738</v>
      </c>
      <c r="G526" s="263" t="s">
        <v>302</v>
      </c>
      <c r="H526" s="220" t="s">
        <v>302</v>
      </c>
      <c r="I526" s="220" t="s">
        <v>18</v>
      </c>
      <c r="J526" s="221" t="s">
        <v>15</v>
      </c>
      <c r="K526" s="221" t="s">
        <v>302</v>
      </c>
      <c r="L526" s="220" t="s">
        <v>302</v>
      </c>
      <c r="M526" s="220" t="s">
        <v>302</v>
      </c>
      <c r="N526" s="221" t="s">
        <v>302</v>
      </c>
      <c r="O526" s="222" t="s">
        <v>20</v>
      </c>
      <c r="P526" s="222" t="s">
        <v>20</v>
      </c>
      <c r="Q526" s="222" t="s">
        <v>15</v>
      </c>
      <c r="R526" s="222" t="s">
        <v>15</v>
      </c>
      <c r="S526" s="222" t="s">
        <v>16</v>
      </c>
      <c r="T526" s="222" t="s">
        <v>349</v>
      </c>
      <c r="U526" s="222" t="s">
        <v>269</v>
      </c>
      <c r="V526" s="222" t="s">
        <v>302</v>
      </c>
      <c r="W526" s="223" t="s">
        <v>302</v>
      </c>
      <c r="X526" s="223" t="s">
        <v>302</v>
      </c>
      <c r="Y526" s="224" t="s">
        <v>302</v>
      </c>
    </row>
    <row r="527" spans="1:25">
      <c r="A527" s="216">
        <v>10</v>
      </c>
      <c r="B527" s="217" t="str">
        <f>VLOOKUP(Tabel10[[#This Row],[Code]],Ruimtegroepen[[Code]:[Ruimte omschrijving]],2,FALSE)</f>
        <v>Trappenhuizen/lift</v>
      </c>
      <c r="C527" s="218" t="s">
        <v>737</v>
      </c>
      <c r="D527" s="217" t="s">
        <v>21</v>
      </c>
      <c r="E527" s="219" t="s">
        <v>100</v>
      </c>
      <c r="F527" s="218" t="s">
        <v>739</v>
      </c>
      <c r="G527" s="263" t="s">
        <v>302</v>
      </c>
      <c r="H527" s="221" t="s">
        <v>20</v>
      </c>
      <c r="I527" s="220" t="s">
        <v>302</v>
      </c>
      <c r="J527" s="221" t="s">
        <v>302</v>
      </c>
      <c r="K527" s="221" t="s">
        <v>302</v>
      </c>
      <c r="L527" s="220" t="s">
        <v>302</v>
      </c>
      <c r="M527" s="220" t="s">
        <v>302</v>
      </c>
      <c r="N527" s="221" t="s">
        <v>302</v>
      </c>
      <c r="O527" s="222" t="s">
        <v>20</v>
      </c>
      <c r="P527" s="222" t="s">
        <v>20</v>
      </c>
      <c r="Q527" s="222" t="s">
        <v>15</v>
      </c>
      <c r="R527" s="222" t="s">
        <v>15</v>
      </c>
      <c r="S527" s="222" t="s">
        <v>16</v>
      </c>
      <c r="T527" s="222" t="s">
        <v>349</v>
      </c>
      <c r="U527" s="222" t="s">
        <v>269</v>
      </c>
      <c r="V527" s="222" t="s">
        <v>302</v>
      </c>
      <c r="W527" s="223" t="s">
        <v>302</v>
      </c>
      <c r="X527" s="223" t="s">
        <v>302</v>
      </c>
      <c r="Y527" s="224" t="s">
        <v>302</v>
      </c>
    </row>
    <row r="528" spans="1:25">
      <c r="A528" s="216">
        <v>10</v>
      </c>
      <c r="B528" s="217" t="str">
        <f>VLOOKUP(Tabel10[[#This Row],[Code]],Ruimtegroepen[[Code]:[Ruimte omschrijving]],2,FALSE)</f>
        <v>Trappenhuizen/lift</v>
      </c>
      <c r="C528" s="218" t="s">
        <v>737</v>
      </c>
      <c r="D528" s="217" t="s">
        <v>21</v>
      </c>
      <c r="E528" s="219" t="s">
        <v>102</v>
      </c>
      <c r="F528" s="218" t="s">
        <v>740</v>
      </c>
      <c r="G528" s="263" t="s">
        <v>302</v>
      </c>
      <c r="H528" s="220" t="s">
        <v>302</v>
      </c>
      <c r="I528" s="220" t="s">
        <v>18</v>
      </c>
      <c r="J528" s="220" t="s">
        <v>15</v>
      </c>
      <c r="K528" s="220" t="s">
        <v>303</v>
      </c>
      <c r="L528" s="220" t="s">
        <v>302</v>
      </c>
      <c r="M528" s="220" t="s">
        <v>302</v>
      </c>
      <c r="N528" s="221" t="s">
        <v>302</v>
      </c>
      <c r="O528" s="222" t="s">
        <v>20</v>
      </c>
      <c r="P528" s="222" t="s">
        <v>20</v>
      </c>
      <c r="Q528" s="222" t="s">
        <v>15</v>
      </c>
      <c r="R528" s="222" t="s">
        <v>15</v>
      </c>
      <c r="S528" s="222" t="s">
        <v>16</v>
      </c>
      <c r="T528" s="222" t="s">
        <v>349</v>
      </c>
      <c r="U528" s="222" t="s">
        <v>269</v>
      </c>
      <c r="V528" s="222" t="s">
        <v>302</v>
      </c>
      <c r="W528" s="223" t="s">
        <v>302</v>
      </c>
      <c r="X528" s="223" t="s">
        <v>302</v>
      </c>
      <c r="Y528" s="224" t="s">
        <v>302</v>
      </c>
    </row>
    <row r="529" spans="1:25">
      <c r="A529" s="216">
        <v>10</v>
      </c>
      <c r="B529" s="217" t="str">
        <f>VLOOKUP(Tabel10[[#This Row],[Code]],Ruimtegroepen[[Code]:[Ruimte omschrijving]],2,FALSE)</f>
        <v>Trappenhuizen/lift</v>
      </c>
      <c r="C529" s="218" t="s">
        <v>737</v>
      </c>
      <c r="D529" s="217" t="s">
        <v>21</v>
      </c>
      <c r="E529" s="219" t="s">
        <v>103</v>
      </c>
      <c r="F529" s="218" t="s">
        <v>741</v>
      </c>
      <c r="G529" s="263" t="s">
        <v>302</v>
      </c>
      <c r="H529" s="220" t="s">
        <v>302</v>
      </c>
      <c r="I529" s="220" t="s">
        <v>18</v>
      </c>
      <c r="J529" s="220" t="s">
        <v>15</v>
      </c>
      <c r="K529" s="220" t="s">
        <v>303</v>
      </c>
      <c r="L529" s="220" t="s">
        <v>302</v>
      </c>
      <c r="M529" s="220" t="s">
        <v>302</v>
      </c>
      <c r="N529" s="221" t="s">
        <v>302</v>
      </c>
      <c r="O529" s="222" t="s">
        <v>20</v>
      </c>
      <c r="P529" s="222" t="s">
        <v>20</v>
      </c>
      <c r="Q529" s="222" t="s">
        <v>15</v>
      </c>
      <c r="R529" s="222" t="s">
        <v>15</v>
      </c>
      <c r="S529" s="222" t="s">
        <v>16</v>
      </c>
      <c r="T529" s="222" t="s">
        <v>349</v>
      </c>
      <c r="U529" s="222" t="s">
        <v>269</v>
      </c>
      <c r="V529" s="222" t="s">
        <v>302</v>
      </c>
      <c r="W529" s="223" t="s">
        <v>302</v>
      </c>
      <c r="X529" s="223" t="s">
        <v>302</v>
      </c>
      <c r="Y529" s="224" t="s">
        <v>302</v>
      </c>
    </row>
    <row r="530" spans="1:25">
      <c r="A530" s="216">
        <v>10</v>
      </c>
      <c r="B530" s="217" t="str">
        <f>VLOOKUP(Tabel10[[#This Row],[Code]],Ruimtegroepen[[Code]:[Ruimte omschrijving]],2,FALSE)</f>
        <v>Trappenhuizen/lift</v>
      </c>
      <c r="C530" s="218" t="s">
        <v>737</v>
      </c>
      <c r="D530" s="217" t="s">
        <v>21</v>
      </c>
      <c r="E530" s="219" t="s">
        <v>100</v>
      </c>
      <c r="F530" s="218" t="s">
        <v>739</v>
      </c>
      <c r="G530" s="263" t="s">
        <v>302</v>
      </c>
      <c r="H530" s="221" t="s">
        <v>20</v>
      </c>
      <c r="I530" s="220" t="s">
        <v>302</v>
      </c>
      <c r="J530" s="221" t="s">
        <v>302</v>
      </c>
      <c r="K530" s="221" t="s">
        <v>302</v>
      </c>
      <c r="L530" s="220" t="s">
        <v>302</v>
      </c>
      <c r="M530" s="220" t="s">
        <v>302</v>
      </c>
      <c r="N530" s="221" t="s">
        <v>302</v>
      </c>
      <c r="O530" s="222" t="s">
        <v>20</v>
      </c>
      <c r="P530" s="222" t="s">
        <v>20</v>
      </c>
      <c r="Q530" s="222" t="s">
        <v>15</v>
      </c>
      <c r="R530" s="222" t="s">
        <v>15</v>
      </c>
      <c r="S530" s="222" t="s">
        <v>16</v>
      </c>
      <c r="T530" s="222" t="s">
        <v>349</v>
      </c>
      <c r="U530" s="222" t="s">
        <v>269</v>
      </c>
      <c r="V530" s="222" t="s">
        <v>302</v>
      </c>
      <c r="W530" s="223" t="s">
        <v>302</v>
      </c>
      <c r="X530" s="223" t="s">
        <v>302</v>
      </c>
      <c r="Y530" s="224" t="s">
        <v>302</v>
      </c>
    </row>
    <row r="531" spans="1:25">
      <c r="A531" s="216">
        <v>10</v>
      </c>
      <c r="B531" s="217" t="str">
        <f>VLOOKUP(Tabel10[[#This Row],[Code]],Ruimtegroepen[[Code]:[Ruimte omschrijving]],2,FALSE)</f>
        <v>Trappenhuizen/lift</v>
      </c>
      <c r="C531" s="218" t="s">
        <v>737</v>
      </c>
      <c r="D531" s="217" t="s">
        <v>21</v>
      </c>
      <c r="E531" s="219" t="s">
        <v>1325</v>
      </c>
      <c r="F531" s="218" t="s">
        <v>1466</v>
      </c>
      <c r="G531" s="263" t="s">
        <v>302</v>
      </c>
      <c r="H531" s="220" t="s">
        <v>302</v>
      </c>
      <c r="I531" s="220" t="s">
        <v>18</v>
      </c>
      <c r="J531" s="220" t="s">
        <v>15</v>
      </c>
      <c r="K531" s="220" t="s">
        <v>303</v>
      </c>
      <c r="L531" s="220" t="s">
        <v>302</v>
      </c>
      <c r="M531" s="220" t="s">
        <v>302</v>
      </c>
      <c r="N531" s="221" t="s">
        <v>302</v>
      </c>
      <c r="O531" s="222" t="s">
        <v>20</v>
      </c>
      <c r="P531" s="222" t="s">
        <v>20</v>
      </c>
      <c r="Q531" s="222" t="s">
        <v>15</v>
      </c>
      <c r="R531" s="222" t="s">
        <v>15</v>
      </c>
      <c r="S531" s="222" t="s">
        <v>16</v>
      </c>
      <c r="T531" s="222" t="s">
        <v>349</v>
      </c>
      <c r="U531" s="222" t="s">
        <v>269</v>
      </c>
      <c r="V531" s="222" t="s">
        <v>302</v>
      </c>
      <c r="W531" s="223" t="s">
        <v>302</v>
      </c>
      <c r="X531" s="223" t="s">
        <v>302</v>
      </c>
      <c r="Y531" s="224" t="s">
        <v>302</v>
      </c>
    </row>
    <row r="532" spans="1:25">
      <c r="A532" s="216">
        <v>10</v>
      </c>
      <c r="B532" s="217" t="str">
        <f>VLOOKUP(Tabel10[[#This Row],[Code]],Ruimtegroepen[[Code]:[Ruimte omschrijving]],2,FALSE)</f>
        <v>Trappenhuizen/lift</v>
      </c>
      <c r="C532" s="218" t="s">
        <v>742</v>
      </c>
      <c r="D532" s="217" t="s">
        <v>12</v>
      </c>
      <c r="E532" s="219" t="s">
        <v>101</v>
      </c>
      <c r="F532" s="218" t="s">
        <v>743</v>
      </c>
      <c r="G532" s="263" t="s">
        <v>302</v>
      </c>
      <c r="H532" s="220" t="s">
        <v>302</v>
      </c>
      <c r="I532" s="220" t="s">
        <v>17</v>
      </c>
      <c r="J532" s="221" t="s">
        <v>15</v>
      </c>
      <c r="K532" s="221" t="s">
        <v>302</v>
      </c>
      <c r="L532" s="220" t="s">
        <v>302</v>
      </c>
      <c r="M532" s="220" t="s">
        <v>302</v>
      </c>
      <c r="N532" s="221" t="s">
        <v>302</v>
      </c>
      <c r="O532" s="222" t="s">
        <v>18</v>
      </c>
      <c r="P532" s="222" t="s">
        <v>18</v>
      </c>
      <c r="Q532" s="222" t="s">
        <v>15</v>
      </c>
      <c r="R532" s="222" t="s">
        <v>15</v>
      </c>
      <c r="S532" s="222" t="s">
        <v>16</v>
      </c>
      <c r="T532" s="222" t="s">
        <v>349</v>
      </c>
      <c r="U532" s="222" t="s">
        <v>269</v>
      </c>
      <c r="V532" s="222" t="s">
        <v>302</v>
      </c>
      <c r="W532" s="223" t="s">
        <v>302</v>
      </c>
      <c r="X532" s="223" t="s">
        <v>302</v>
      </c>
      <c r="Y532" s="224" t="s">
        <v>302</v>
      </c>
    </row>
    <row r="533" spans="1:25">
      <c r="A533" s="216">
        <v>10</v>
      </c>
      <c r="B533" s="217" t="str">
        <f>VLOOKUP(Tabel10[[#This Row],[Code]],Ruimtegroepen[[Code]:[Ruimte omschrijving]],2,FALSE)</f>
        <v>Trappenhuizen/lift</v>
      </c>
      <c r="C533" s="218" t="s">
        <v>742</v>
      </c>
      <c r="D533" s="217" t="s">
        <v>12</v>
      </c>
      <c r="E533" s="219" t="s">
        <v>100</v>
      </c>
      <c r="F533" s="218" t="s">
        <v>744</v>
      </c>
      <c r="G533" s="263" t="s">
        <v>302</v>
      </c>
      <c r="H533" s="221" t="s">
        <v>18</v>
      </c>
      <c r="I533" s="220" t="s">
        <v>302</v>
      </c>
      <c r="J533" s="221" t="s">
        <v>302</v>
      </c>
      <c r="K533" s="221" t="s">
        <v>302</v>
      </c>
      <c r="L533" s="220" t="s">
        <v>302</v>
      </c>
      <c r="M533" s="220" t="s">
        <v>302</v>
      </c>
      <c r="N533" s="221" t="s">
        <v>302</v>
      </c>
      <c r="O533" s="222" t="s">
        <v>18</v>
      </c>
      <c r="P533" s="222" t="s">
        <v>18</v>
      </c>
      <c r="Q533" s="222" t="s">
        <v>15</v>
      </c>
      <c r="R533" s="222" t="s">
        <v>15</v>
      </c>
      <c r="S533" s="222" t="s">
        <v>16</v>
      </c>
      <c r="T533" s="222" t="s">
        <v>349</v>
      </c>
      <c r="U533" s="222" t="s">
        <v>269</v>
      </c>
      <c r="V533" s="222" t="s">
        <v>302</v>
      </c>
      <c r="W533" s="223" t="s">
        <v>302</v>
      </c>
      <c r="X533" s="223" t="s">
        <v>302</v>
      </c>
      <c r="Y533" s="224" t="s">
        <v>302</v>
      </c>
    </row>
    <row r="534" spans="1:25">
      <c r="A534" s="216">
        <v>10</v>
      </c>
      <c r="B534" s="217" t="str">
        <f>VLOOKUP(Tabel10[[#This Row],[Code]],Ruimtegroepen[[Code]:[Ruimte omschrijving]],2,FALSE)</f>
        <v>Trappenhuizen/lift</v>
      </c>
      <c r="C534" s="218" t="s">
        <v>742</v>
      </c>
      <c r="D534" s="217" t="s">
        <v>12</v>
      </c>
      <c r="E534" s="219" t="s">
        <v>102</v>
      </c>
      <c r="F534" s="218" t="s">
        <v>745</v>
      </c>
      <c r="G534" s="263" t="s">
        <v>302</v>
      </c>
      <c r="H534" s="220" t="s">
        <v>302</v>
      </c>
      <c r="I534" s="220" t="s">
        <v>17</v>
      </c>
      <c r="J534" s="220" t="s">
        <v>15</v>
      </c>
      <c r="K534" s="220" t="s">
        <v>303</v>
      </c>
      <c r="L534" s="220" t="s">
        <v>302</v>
      </c>
      <c r="M534" s="220" t="s">
        <v>302</v>
      </c>
      <c r="N534" s="221" t="s">
        <v>302</v>
      </c>
      <c r="O534" s="222" t="s">
        <v>18</v>
      </c>
      <c r="P534" s="222" t="s">
        <v>18</v>
      </c>
      <c r="Q534" s="222" t="s">
        <v>15</v>
      </c>
      <c r="R534" s="222" t="s">
        <v>15</v>
      </c>
      <c r="S534" s="222" t="s">
        <v>16</v>
      </c>
      <c r="T534" s="222" t="s">
        <v>349</v>
      </c>
      <c r="U534" s="222" t="s">
        <v>269</v>
      </c>
      <c r="V534" s="222" t="s">
        <v>302</v>
      </c>
      <c r="W534" s="223" t="s">
        <v>302</v>
      </c>
      <c r="X534" s="223" t="s">
        <v>302</v>
      </c>
      <c r="Y534" s="224" t="s">
        <v>302</v>
      </c>
    </row>
    <row r="535" spans="1:25">
      <c r="A535" s="216">
        <v>10</v>
      </c>
      <c r="B535" s="217" t="str">
        <f>VLOOKUP(Tabel10[[#This Row],[Code]],Ruimtegroepen[[Code]:[Ruimte omschrijving]],2,FALSE)</f>
        <v>Trappenhuizen/lift</v>
      </c>
      <c r="C535" s="218" t="s">
        <v>742</v>
      </c>
      <c r="D535" s="217" t="s">
        <v>12</v>
      </c>
      <c r="E535" s="219" t="s">
        <v>103</v>
      </c>
      <c r="F535" s="218" t="s">
        <v>746</v>
      </c>
      <c r="G535" s="263" t="s">
        <v>302</v>
      </c>
      <c r="H535" s="220" t="s">
        <v>302</v>
      </c>
      <c r="I535" s="220" t="s">
        <v>17</v>
      </c>
      <c r="J535" s="220" t="s">
        <v>15</v>
      </c>
      <c r="K535" s="220" t="s">
        <v>303</v>
      </c>
      <c r="L535" s="220" t="s">
        <v>302</v>
      </c>
      <c r="M535" s="220" t="s">
        <v>302</v>
      </c>
      <c r="N535" s="221" t="s">
        <v>302</v>
      </c>
      <c r="O535" s="222" t="s">
        <v>18</v>
      </c>
      <c r="P535" s="222" t="s">
        <v>18</v>
      </c>
      <c r="Q535" s="222" t="s">
        <v>15</v>
      </c>
      <c r="R535" s="222" t="s">
        <v>15</v>
      </c>
      <c r="S535" s="222" t="s">
        <v>16</v>
      </c>
      <c r="T535" s="222" t="s">
        <v>349</v>
      </c>
      <c r="U535" s="222" t="s">
        <v>269</v>
      </c>
      <c r="V535" s="222" t="s">
        <v>302</v>
      </c>
      <c r="W535" s="223" t="s">
        <v>302</v>
      </c>
      <c r="X535" s="223" t="s">
        <v>302</v>
      </c>
      <c r="Y535" s="224" t="s">
        <v>302</v>
      </c>
    </row>
    <row r="536" spans="1:25">
      <c r="A536" s="216">
        <v>10</v>
      </c>
      <c r="B536" s="217" t="str">
        <f>VLOOKUP(Tabel10[[#This Row],[Code]],Ruimtegroepen[[Code]:[Ruimte omschrijving]],2,FALSE)</f>
        <v>Trappenhuizen/lift</v>
      </c>
      <c r="C536" s="218" t="s">
        <v>742</v>
      </c>
      <c r="D536" s="217" t="s">
        <v>12</v>
      </c>
      <c r="E536" s="219" t="s">
        <v>100</v>
      </c>
      <c r="F536" s="218" t="s">
        <v>744</v>
      </c>
      <c r="G536" s="263" t="s">
        <v>302</v>
      </c>
      <c r="H536" s="221" t="s">
        <v>18</v>
      </c>
      <c r="I536" s="220" t="s">
        <v>302</v>
      </c>
      <c r="J536" s="221" t="s">
        <v>302</v>
      </c>
      <c r="K536" s="221" t="s">
        <v>302</v>
      </c>
      <c r="L536" s="220" t="s">
        <v>302</v>
      </c>
      <c r="M536" s="220" t="s">
        <v>302</v>
      </c>
      <c r="N536" s="221" t="s">
        <v>302</v>
      </c>
      <c r="O536" s="222" t="s">
        <v>18</v>
      </c>
      <c r="P536" s="222" t="s">
        <v>18</v>
      </c>
      <c r="Q536" s="222" t="s">
        <v>15</v>
      </c>
      <c r="R536" s="222" t="s">
        <v>15</v>
      </c>
      <c r="S536" s="222" t="s">
        <v>16</v>
      </c>
      <c r="T536" s="222" t="s">
        <v>349</v>
      </c>
      <c r="U536" s="222" t="s">
        <v>269</v>
      </c>
      <c r="V536" s="222" t="s">
        <v>302</v>
      </c>
      <c r="W536" s="223" t="s">
        <v>302</v>
      </c>
      <c r="X536" s="223" t="s">
        <v>302</v>
      </c>
      <c r="Y536" s="224" t="s">
        <v>302</v>
      </c>
    </row>
    <row r="537" spans="1:25">
      <c r="A537" s="216">
        <v>10</v>
      </c>
      <c r="B537" s="217" t="str">
        <f>VLOOKUP(Tabel10[[#This Row],[Code]],Ruimtegroepen[[Code]:[Ruimte omschrijving]],2,FALSE)</f>
        <v>Trappenhuizen/lift</v>
      </c>
      <c r="C537" s="218" t="s">
        <v>742</v>
      </c>
      <c r="D537" s="217" t="s">
        <v>12</v>
      </c>
      <c r="E537" s="219" t="s">
        <v>1325</v>
      </c>
      <c r="F537" s="218" t="s">
        <v>1448</v>
      </c>
      <c r="G537" s="263" t="s">
        <v>302</v>
      </c>
      <c r="H537" s="220" t="s">
        <v>302</v>
      </c>
      <c r="I537" s="220" t="s">
        <v>17</v>
      </c>
      <c r="J537" s="220" t="s">
        <v>15</v>
      </c>
      <c r="K537" s="220" t="s">
        <v>303</v>
      </c>
      <c r="L537" s="220" t="s">
        <v>302</v>
      </c>
      <c r="M537" s="220" t="s">
        <v>302</v>
      </c>
      <c r="N537" s="221" t="s">
        <v>302</v>
      </c>
      <c r="O537" s="222" t="s">
        <v>18</v>
      </c>
      <c r="P537" s="222" t="s">
        <v>18</v>
      </c>
      <c r="Q537" s="222" t="s">
        <v>15</v>
      </c>
      <c r="R537" s="222" t="s">
        <v>15</v>
      </c>
      <c r="S537" s="222" t="s">
        <v>16</v>
      </c>
      <c r="T537" s="222" t="s">
        <v>349</v>
      </c>
      <c r="U537" s="222" t="s">
        <v>269</v>
      </c>
      <c r="V537" s="222" t="s">
        <v>302</v>
      </c>
      <c r="W537" s="223" t="s">
        <v>302</v>
      </c>
      <c r="X537" s="223" t="s">
        <v>302</v>
      </c>
      <c r="Y537" s="224" t="s">
        <v>302</v>
      </c>
    </row>
    <row r="538" spans="1:25">
      <c r="A538" s="216">
        <v>10</v>
      </c>
      <c r="B538" s="217" t="str">
        <f>VLOOKUP(Tabel10[[#This Row],[Code]],Ruimtegroepen[[Code]:[Ruimte omschrijving]],2,FALSE)</f>
        <v>Trappenhuizen/lift</v>
      </c>
      <c r="C538" s="218" t="s">
        <v>747</v>
      </c>
      <c r="D538" s="217" t="s">
        <v>14</v>
      </c>
      <c r="E538" s="219" t="s">
        <v>101</v>
      </c>
      <c r="F538" s="218" t="s">
        <v>748</v>
      </c>
      <c r="G538" s="263" t="s">
        <v>302</v>
      </c>
      <c r="H538" s="220" t="s">
        <v>302</v>
      </c>
      <c r="I538" s="220" t="s">
        <v>15</v>
      </c>
      <c r="J538" s="221" t="s">
        <v>15</v>
      </c>
      <c r="K538" s="221" t="s">
        <v>302</v>
      </c>
      <c r="L538" s="220" t="s">
        <v>302</v>
      </c>
      <c r="M538" s="220" t="s">
        <v>302</v>
      </c>
      <c r="N538" s="221" t="s">
        <v>302</v>
      </c>
      <c r="O538" s="222" t="s">
        <v>17</v>
      </c>
      <c r="P538" s="222" t="s">
        <v>17</v>
      </c>
      <c r="Q538" s="222" t="s">
        <v>15</v>
      </c>
      <c r="R538" s="222" t="s">
        <v>15</v>
      </c>
      <c r="S538" s="222" t="s">
        <v>16</v>
      </c>
      <c r="T538" s="222" t="s">
        <v>349</v>
      </c>
      <c r="U538" s="222" t="s">
        <v>269</v>
      </c>
      <c r="V538" s="222" t="s">
        <v>302</v>
      </c>
      <c r="W538" s="223" t="s">
        <v>302</v>
      </c>
      <c r="X538" s="223" t="s">
        <v>302</v>
      </c>
      <c r="Y538" s="224" t="s">
        <v>302</v>
      </c>
    </row>
    <row r="539" spans="1:25">
      <c r="A539" s="216">
        <v>10</v>
      </c>
      <c r="B539" s="217" t="str">
        <f>VLOOKUP(Tabel10[[#This Row],[Code]],Ruimtegroepen[[Code]:[Ruimte omschrijving]],2,FALSE)</f>
        <v>Trappenhuizen/lift</v>
      </c>
      <c r="C539" s="218" t="s">
        <v>747</v>
      </c>
      <c r="D539" s="217" t="s">
        <v>14</v>
      </c>
      <c r="E539" s="219" t="s">
        <v>100</v>
      </c>
      <c r="F539" s="218" t="s">
        <v>749</v>
      </c>
      <c r="G539" s="263" t="s">
        <v>302</v>
      </c>
      <c r="H539" s="221" t="s">
        <v>17</v>
      </c>
      <c r="I539" s="220" t="s">
        <v>302</v>
      </c>
      <c r="J539" s="221" t="s">
        <v>302</v>
      </c>
      <c r="K539" s="221" t="s">
        <v>302</v>
      </c>
      <c r="L539" s="220" t="s">
        <v>302</v>
      </c>
      <c r="M539" s="220" t="s">
        <v>302</v>
      </c>
      <c r="N539" s="221" t="s">
        <v>302</v>
      </c>
      <c r="O539" s="222" t="s">
        <v>17</v>
      </c>
      <c r="P539" s="222" t="s">
        <v>17</v>
      </c>
      <c r="Q539" s="222" t="s">
        <v>15</v>
      </c>
      <c r="R539" s="222" t="s">
        <v>15</v>
      </c>
      <c r="S539" s="222" t="s">
        <v>16</v>
      </c>
      <c r="T539" s="222" t="s">
        <v>349</v>
      </c>
      <c r="U539" s="222" t="s">
        <v>269</v>
      </c>
      <c r="V539" s="222" t="s">
        <v>302</v>
      </c>
      <c r="W539" s="223" t="s">
        <v>302</v>
      </c>
      <c r="X539" s="223" t="s">
        <v>302</v>
      </c>
      <c r="Y539" s="224" t="s">
        <v>302</v>
      </c>
    </row>
    <row r="540" spans="1:25">
      <c r="A540" s="216">
        <v>10</v>
      </c>
      <c r="B540" s="217" t="str">
        <f>VLOOKUP(Tabel10[[#This Row],[Code]],Ruimtegroepen[[Code]:[Ruimte omschrijving]],2,FALSE)</f>
        <v>Trappenhuizen/lift</v>
      </c>
      <c r="C540" s="218" t="s">
        <v>747</v>
      </c>
      <c r="D540" s="217" t="s">
        <v>14</v>
      </c>
      <c r="E540" s="219" t="s">
        <v>102</v>
      </c>
      <c r="F540" s="218" t="s">
        <v>750</v>
      </c>
      <c r="G540" s="263" t="s">
        <v>302</v>
      </c>
      <c r="H540" s="220" t="s">
        <v>302</v>
      </c>
      <c r="I540" s="220" t="s">
        <v>15</v>
      </c>
      <c r="J540" s="220" t="s">
        <v>15</v>
      </c>
      <c r="K540" s="220" t="s">
        <v>303</v>
      </c>
      <c r="L540" s="220" t="s">
        <v>302</v>
      </c>
      <c r="M540" s="220" t="s">
        <v>302</v>
      </c>
      <c r="N540" s="221" t="s">
        <v>302</v>
      </c>
      <c r="O540" s="222" t="s">
        <v>17</v>
      </c>
      <c r="P540" s="222" t="s">
        <v>17</v>
      </c>
      <c r="Q540" s="222" t="s">
        <v>15</v>
      </c>
      <c r="R540" s="222" t="s">
        <v>15</v>
      </c>
      <c r="S540" s="222" t="s">
        <v>16</v>
      </c>
      <c r="T540" s="222" t="s">
        <v>349</v>
      </c>
      <c r="U540" s="222" t="s">
        <v>269</v>
      </c>
      <c r="V540" s="222" t="s">
        <v>302</v>
      </c>
      <c r="W540" s="223" t="s">
        <v>302</v>
      </c>
      <c r="X540" s="223" t="s">
        <v>302</v>
      </c>
      <c r="Y540" s="224" t="s">
        <v>302</v>
      </c>
    </row>
    <row r="541" spans="1:25">
      <c r="A541" s="216">
        <v>10</v>
      </c>
      <c r="B541" s="217" t="str">
        <f>VLOOKUP(Tabel10[[#This Row],[Code]],Ruimtegroepen[[Code]:[Ruimte omschrijving]],2,FALSE)</f>
        <v>Trappenhuizen/lift</v>
      </c>
      <c r="C541" s="218" t="s">
        <v>747</v>
      </c>
      <c r="D541" s="217" t="s">
        <v>14</v>
      </c>
      <c r="E541" s="219" t="s">
        <v>103</v>
      </c>
      <c r="F541" s="218" t="s">
        <v>751</v>
      </c>
      <c r="G541" s="263" t="s">
        <v>302</v>
      </c>
      <c r="H541" s="220" t="s">
        <v>302</v>
      </c>
      <c r="I541" s="220" t="s">
        <v>15</v>
      </c>
      <c r="J541" s="220" t="s">
        <v>15</v>
      </c>
      <c r="K541" s="220" t="s">
        <v>303</v>
      </c>
      <c r="L541" s="220" t="s">
        <v>302</v>
      </c>
      <c r="M541" s="220" t="s">
        <v>302</v>
      </c>
      <c r="N541" s="221" t="s">
        <v>302</v>
      </c>
      <c r="O541" s="222" t="s">
        <v>17</v>
      </c>
      <c r="P541" s="222" t="s">
        <v>17</v>
      </c>
      <c r="Q541" s="222" t="s">
        <v>15</v>
      </c>
      <c r="R541" s="222" t="s">
        <v>15</v>
      </c>
      <c r="S541" s="222" t="s">
        <v>16</v>
      </c>
      <c r="T541" s="222" t="s">
        <v>349</v>
      </c>
      <c r="U541" s="222" t="s">
        <v>269</v>
      </c>
      <c r="V541" s="222" t="s">
        <v>302</v>
      </c>
      <c r="W541" s="223" t="s">
        <v>302</v>
      </c>
      <c r="X541" s="223" t="s">
        <v>302</v>
      </c>
      <c r="Y541" s="224" t="s">
        <v>302</v>
      </c>
    </row>
    <row r="542" spans="1:25">
      <c r="A542" s="216">
        <v>10</v>
      </c>
      <c r="B542" s="217" t="str">
        <f>VLOOKUP(Tabel10[[#This Row],[Code]],Ruimtegroepen[[Code]:[Ruimte omschrijving]],2,FALSE)</f>
        <v>Trappenhuizen/lift</v>
      </c>
      <c r="C542" s="218" t="s">
        <v>747</v>
      </c>
      <c r="D542" s="217" t="s">
        <v>14</v>
      </c>
      <c r="E542" s="219" t="s">
        <v>100</v>
      </c>
      <c r="F542" s="218" t="s">
        <v>749</v>
      </c>
      <c r="G542" s="263" t="s">
        <v>302</v>
      </c>
      <c r="H542" s="221" t="s">
        <v>17</v>
      </c>
      <c r="I542" s="220" t="s">
        <v>302</v>
      </c>
      <c r="J542" s="221" t="s">
        <v>302</v>
      </c>
      <c r="K542" s="221" t="s">
        <v>302</v>
      </c>
      <c r="L542" s="220" t="s">
        <v>302</v>
      </c>
      <c r="M542" s="220" t="s">
        <v>302</v>
      </c>
      <c r="N542" s="221" t="s">
        <v>302</v>
      </c>
      <c r="O542" s="222" t="s">
        <v>17</v>
      </c>
      <c r="P542" s="222" t="s">
        <v>17</v>
      </c>
      <c r="Q542" s="222" t="s">
        <v>15</v>
      </c>
      <c r="R542" s="222" t="s">
        <v>15</v>
      </c>
      <c r="S542" s="222" t="s">
        <v>16</v>
      </c>
      <c r="T542" s="222" t="s">
        <v>349</v>
      </c>
      <c r="U542" s="222" t="s">
        <v>269</v>
      </c>
      <c r="V542" s="222" t="s">
        <v>302</v>
      </c>
      <c r="W542" s="223" t="s">
        <v>302</v>
      </c>
      <c r="X542" s="223" t="s">
        <v>302</v>
      </c>
      <c r="Y542" s="224" t="s">
        <v>302</v>
      </c>
    </row>
    <row r="543" spans="1:25">
      <c r="A543" s="216">
        <v>10</v>
      </c>
      <c r="B543" s="217" t="str">
        <f>VLOOKUP(Tabel10[[#This Row],[Code]],Ruimtegroepen[[Code]:[Ruimte omschrijving]],2,FALSE)</f>
        <v>Trappenhuizen/lift</v>
      </c>
      <c r="C543" s="218" t="s">
        <v>747</v>
      </c>
      <c r="D543" s="217" t="s">
        <v>14</v>
      </c>
      <c r="E543" s="219" t="s">
        <v>1325</v>
      </c>
      <c r="F543" s="218" t="s">
        <v>1415</v>
      </c>
      <c r="G543" s="263" t="s">
        <v>302</v>
      </c>
      <c r="H543" s="220" t="s">
        <v>302</v>
      </c>
      <c r="I543" s="220" t="s">
        <v>15</v>
      </c>
      <c r="J543" s="220" t="s">
        <v>15</v>
      </c>
      <c r="K543" s="220" t="s">
        <v>303</v>
      </c>
      <c r="L543" s="220" t="s">
        <v>302</v>
      </c>
      <c r="M543" s="220" t="s">
        <v>302</v>
      </c>
      <c r="N543" s="221" t="s">
        <v>302</v>
      </c>
      <c r="O543" s="222" t="s">
        <v>17</v>
      </c>
      <c r="P543" s="222" t="s">
        <v>17</v>
      </c>
      <c r="Q543" s="222" t="s">
        <v>15</v>
      </c>
      <c r="R543" s="222" t="s">
        <v>15</v>
      </c>
      <c r="S543" s="222" t="s">
        <v>16</v>
      </c>
      <c r="T543" s="222" t="s">
        <v>349</v>
      </c>
      <c r="U543" s="222" t="s">
        <v>269</v>
      </c>
      <c r="V543" s="222" t="s">
        <v>302</v>
      </c>
      <c r="W543" s="223" t="s">
        <v>302</v>
      </c>
      <c r="X543" s="223" t="s">
        <v>302</v>
      </c>
      <c r="Y543" s="224" t="s">
        <v>302</v>
      </c>
    </row>
    <row r="544" spans="1:25">
      <c r="A544" s="216">
        <v>10</v>
      </c>
      <c r="B544" s="217" t="str">
        <f>VLOOKUP(Tabel10[[#This Row],[Code]],Ruimtegroepen[[Code]:[Ruimte omschrijving]],2,FALSE)</f>
        <v>Trappenhuizen/lift</v>
      </c>
      <c r="C544" s="218" t="s">
        <v>752</v>
      </c>
      <c r="D544" s="217" t="s">
        <v>13</v>
      </c>
      <c r="E544" s="219" t="s">
        <v>101</v>
      </c>
      <c r="F544" s="218" t="s">
        <v>753</v>
      </c>
      <c r="G544" s="263" t="s">
        <v>302</v>
      </c>
      <c r="H544" s="220" t="s">
        <v>302</v>
      </c>
      <c r="I544" s="220" t="s">
        <v>302</v>
      </c>
      <c r="J544" s="221" t="s">
        <v>15</v>
      </c>
      <c r="K544" s="221" t="s">
        <v>302</v>
      </c>
      <c r="L544" s="220" t="s">
        <v>302</v>
      </c>
      <c r="M544" s="220" t="s">
        <v>302</v>
      </c>
      <c r="N544" s="221" t="s">
        <v>302</v>
      </c>
      <c r="O544" s="222" t="s">
        <v>15</v>
      </c>
      <c r="P544" s="222" t="s">
        <v>15</v>
      </c>
      <c r="Q544" s="222" t="s">
        <v>15</v>
      </c>
      <c r="R544" s="222" t="s">
        <v>15</v>
      </c>
      <c r="S544" s="222" t="s">
        <v>16</v>
      </c>
      <c r="T544" s="222" t="s">
        <v>349</v>
      </c>
      <c r="U544" s="222" t="s">
        <v>269</v>
      </c>
      <c r="V544" s="222" t="s">
        <v>302</v>
      </c>
      <c r="W544" s="223" t="s">
        <v>302</v>
      </c>
      <c r="X544" s="223" t="s">
        <v>302</v>
      </c>
      <c r="Y544" s="224" t="s">
        <v>302</v>
      </c>
    </row>
    <row r="545" spans="1:25">
      <c r="A545" s="216">
        <v>10</v>
      </c>
      <c r="B545" s="217" t="str">
        <f>VLOOKUP(Tabel10[[#This Row],[Code]],Ruimtegroepen[[Code]:[Ruimte omschrijving]],2,FALSE)</f>
        <v>Trappenhuizen/lift</v>
      </c>
      <c r="C545" s="218" t="s">
        <v>752</v>
      </c>
      <c r="D545" s="217" t="s">
        <v>13</v>
      </c>
      <c r="E545" s="219" t="s">
        <v>100</v>
      </c>
      <c r="F545" s="218" t="s">
        <v>754</v>
      </c>
      <c r="G545" s="263" t="s">
        <v>302</v>
      </c>
      <c r="H545" s="221" t="s">
        <v>15</v>
      </c>
      <c r="I545" s="220" t="s">
        <v>302</v>
      </c>
      <c r="J545" s="221" t="s">
        <v>302</v>
      </c>
      <c r="K545" s="221" t="s">
        <v>302</v>
      </c>
      <c r="L545" s="220" t="s">
        <v>302</v>
      </c>
      <c r="M545" s="220" t="s">
        <v>302</v>
      </c>
      <c r="N545" s="221" t="s">
        <v>302</v>
      </c>
      <c r="O545" s="222" t="s">
        <v>15</v>
      </c>
      <c r="P545" s="222" t="s">
        <v>15</v>
      </c>
      <c r="Q545" s="222" t="s">
        <v>15</v>
      </c>
      <c r="R545" s="222" t="s">
        <v>15</v>
      </c>
      <c r="S545" s="222" t="s">
        <v>16</v>
      </c>
      <c r="T545" s="222" t="s">
        <v>349</v>
      </c>
      <c r="U545" s="222" t="s">
        <v>269</v>
      </c>
      <c r="V545" s="222" t="s">
        <v>302</v>
      </c>
      <c r="W545" s="223" t="s">
        <v>302</v>
      </c>
      <c r="X545" s="223" t="s">
        <v>302</v>
      </c>
      <c r="Y545" s="224" t="s">
        <v>302</v>
      </c>
    </row>
    <row r="546" spans="1:25">
      <c r="A546" s="216">
        <v>10</v>
      </c>
      <c r="B546" s="217" t="str">
        <f>VLOOKUP(Tabel10[[#This Row],[Code]],Ruimtegroepen[[Code]:[Ruimte omschrijving]],2,FALSE)</f>
        <v>Trappenhuizen/lift</v>
      </c>
      <c r="C546" s="218" t="s">
        <v>752</v>
      </c>
      <c r="D546" s="217" t="s">
        <v>13</v>
      </c>
      <c r="E546" s="219" t="s">
        <v>102</v>
      </c>
      <c r="F546" s="218" t="s">
        <v>755</v>
      </c>
      <c r="G546" s="263" t="s">
        <v>302</v>
      </c>
      <c r="H546" s="220" t="s">
        <v>302</v>
      </c>
      <c r="I546" s="220" t="s">
        <v>302</v>
      </c>
      <c r="J546" s="220" t="s">
        <v>15</v>
      </c>
      <c r="K546" s="220" t="s">
        <v>303</v>
      </c>
      <c r="L546" s="220" t="s">
        <v>302</v>
      </c>
      <c r="M546" s="220" t="s">
        <v>302</v>
      </c>
      <c r="N546" s="221" t="s">
        <v>302</v>
      </c>
      <c r="O546" s="222" t="s">
        <v>15</v>
      </c>
      <c r="P546" s="222" t="s">
        <v>15</v>
      </c>
      <c r="Q546" s="222" t="s">
        <v>15</v>
      </c>
      <c r="R546" s="222" t="s">
        <v>15</v>
      </c>
      <c r="S546" s="222" t="s">
        <v>16</v>
      </c>
      <c r="T546" s="222" t="s">
        <v>349</v>
      </c>
      <c r="U546" s="222" t="s">
        <v>269</v>
      </c>
      <c r="V546" s="222" t="s">
        <v>302</v>
      </c>
      <c r="W546" s="223" t="s">
        <v>302</v>
      </c>
      <c r="X546" s="223" t="s">
        <v>302</v>
      </c>
      <c r="Y546" s="224" t="s">
        <v>302</v>
      </c>
    </row>
    <row r="547" spans="1:25">
      <c r="A547" s="216">
        <v>10</v>
      </c>
      <c r="B547" s="217" t="str">
        <f>VLOOKUP(Tabel10[[#This Row],[Code]],Ruimtegroepen[[Code]:[Ruimte omschrijving]],2,FALSE)</f>
        <v>Trappenhuizen/lift</v>
      </c>
      <c r="C547" s="218" t="s">
        <v>752</v>
      </c>
      <c r="D547" s="217" t="s">
        <v>13</v>
      </c>
      <c r="E547" s="219" t="s">
        <v>103</v>
      </c>
      <c r="F547" s="218" t="s">
        <v>756</v>
      </c>
      <c r="G547" s="263" t="s">
        <v>302</v>
      </c>
      <c r="H547" s="220" t="s">
        <v>302</v>
      </c>
      <c r="I547" s="220" t="s">
        <v>302</v>
      </c>
      <c r="J547" s="220" t="s">
        <v>15</v>
      </c>
      <c r="K547" s="220" t="s">
        <v>303</v>
      </c>
      <c r="L547" s="220" t="s">
        <v>302</v>
      </c>
      <c r="M547" s="220" t="s">
        <v>302</v>
      </c>
      <c r="N547" s="221" t="s">
        <v>302</v>
      </c>
      <c r="O547" s="222" t="s">
        <v>15</v>
      </c>
      <c r="P547" s="222" t="s">
        <v>15</v>
      </c>
      <c r="Q547" s="222" t="s">
        <v>15</v>
      </c>
      <c r="R547" s="222" t="s">
        <v>15</v>
      </c>
      <c r="S547" s="222" t="s">
        <v>16</v>
      </c>
      <c r="T547" s="222" t="s">
        <v>349</v>
      </c>
      <c r="U547" s="222" t="s">
        <v>269</v>
      </c>
      <c r="V547" s="222" t="s">
        <v>302</v>
      </c>
      <c r="W547" s="223" t="s">
        <v>302</v>
      </c>
      <c r="X547" s="223" t="s">
        <v>302</v>
      </c>
      <c r="Y547" s="224" t="s">
        <v>302</v>
      </c>
    </row>
    <row r="548" spans="1:25">
      <c r="A548" s="216">
        <v>10</v>
      </c>
      <c r="B548" s="217" t="str">
        <f>VLOOKUP(Tabel10[[#This Row],[Code]],Ruimtegroepen[[Code]:[Ruimte omschrijving]],2,FALSE)</f>
        <v>Trappenhuizen/lift</v>
      </c>
      <c r="C548" s="218" t="s">
        <v>752</v>
      </c>
      <c r="D548" s="217" t="s">
        <v>13</v>
      </c>
      <c r="E548" s="219" t="s">
        <v>100</v>
      </c>
      <c r="F548" s="218" t="s">
        <v>754</v>
      </c>
      <c r="G548" s="263" t="s">
        <v>302</v>
      </c>
      <c r="H548" s="221" t="s">
        <v>15</v>
      </c>
      <c r="I548" s="220" t="s">
        <v>302</v>
      </c>
      <c r="J548" s="221" t="s">
        <v>302</v>
      </c>
      <c r="K548" s="221" t="s">
        <v>302</v>
      </c>
      <c r="L548" s="220" t="s">
        <v>302</v>
      </c>
      <c r="M548" s="220" t="s">
        <v>302</v>
      </c>
      <c r="N548" s="221" t="s">
        <v>302</v>
      </c>
      <c r="O548" s="222" t="s">
        <v>15</v>
      </c>
      <c r="P548" s="222" t="s">
        <v>15</v>
      </c>
      <c r="Q548" s="222" t="s">
        <v>15</v>
      </c>
      <c r="R548" s="222" t="s">
        <v>15</v>
      </c>
      <c r="S548" s="222" t="s">
        <v>16</v>
      </c>
      <c r="T548" s="222" t="s">
        <v>349</v>
      </c>
      <c r="U548" s="222" t="s">
        <v>269</v>
      </c>
      <c r="V548" s="222" t="s">
        <v>302</v>
      </c>
      <c r="W548" s="223" t="s">
        <v>302</v>
      </c>
      <c r="X548" s="223" t="s">
        <v>302</v>
      </c>
      <c r="Y548" s="224" t="s">
        <v>302</v>
      </c>
    </row>
    <row r="549" spans="1:25">
      <c r="A549" s="216">
        <v>10</v>
      </c>
      <c r="B549" s="217" t="str">
        <f>VLOOKUP(Tabel10[[#This Row],[Code]],Ruimtegroepen[[Code]:[Ruimte omschrijving]],2,FALSE)</f>
        <v>Trappenhuizen/lift</v>
      </c>
      <c r="C549" s="218" t="s">
        <v>752</v>
      </c>
      <c r="D549" s="217" t="s">
        <v>13</v>
      </c>
      <c r="E549" s="219" t="s">
        <v>1325</v>
      </c>
      <c r="F549" s="218" t="s">
        <v>1382</v>
      </c>
      <c r="G549" s="263" t="s">
        <v>302</v>
      </c>
      <c r="H549" s="220" t="s">
        <v>302</v>
      </c>
      <c r="I549" s="220" t="s">
        <v>302</v>
      </c>
      <c r="J549" s="220" t="s">
        <v>15</v>
      </c>
      <c r="K549" s="220" t="s">
        <v>303</v>
      </c>
      <c r="L549" s="220" t="s">
        <v>302</v>
      </c>
      <c r="M549" s="220" t="s">
        <v>302</v>
      </c>
      <c r="N549" s="221" t="s">
        <v>302</v>
      </c>
      <c r="O549" s="222" t="s">
        <v>15</v>
      </c>
      <c r="P549" s="222" t="s">
        <v>15</v>
      </c>
      <c r="Q549" s="222" t="s">
        <v>15</v>
      </c>
      <c r="R549" s="222" t="s">
        <v>15</v>
      </c>
      <c r="S549" s="222" t="s">
        <v>16</v>
      </c>
      <c r="T549" s="222" t="s">
        <v>349</v>
      </c>
      <c r="U549" s="222" t="s">
        <v>269</v>
      </c>
      <c r="V549" s="222" t="s">
        <v>302</v>
      </c>
      <c r="W549" s="223" t="s">
        <v>302</v>
      </c>
      <c r="X549" s="223" t="s">
        <v>302</v>
      </c>
      <c r="Y549" s="224" t="s">
        <v>302</v>
      </c>
    </row>
    <row r="550" spans="1:25">
      <c r="A550" s="216">
        <v>10</v>
      </c>
      <c r="B550" s="217" t="str">
        <f>VLOOKUP(Tabel10[[#This Row],[Code]],Ruimtegroepen[[Code]:[Ruimte omschrijving]],2,FALSE)</f>
        <v>Trappenhuizen/lift</v>
      </c>
      <c r="C550" s="218" t="s">
        <v>757</v>
      </c>
      <c r="D550" s="217" t="s">
        <v>0</v>
      </c>
      <c r="E550" s="219" t="s">
        <v>101</v>
      </c>
      <c r="F550" s="218" t="s">
        <v>758</v>
      </c>
      <c r="G550" s="263" t="s">
        <v>302</v>
      </c>
      <c r="H550" s="220" t="s">
        <v>302</v>
      </c>
      <c r="I550" s="220" t="s">
        <v>302</v>
      </c>
      <c r="J550" s="221" t="s">
        <v>16</v>
      </c>
      <c r="K550" s="221" t="s">
        <v>302</v>
      </c>
      <c r="L550" s="220" t="s">
        <v>302</v>
      </c>
      <c r="M550" s="220" t="s">
        <v>302</v>
      </c>
      <c r="N550" s="221" t="s">
        <v>302</v>
      </c>
      <c r="O550" s="222" t="s">
        <v>16</v>
      </c>
      <c r="P550" s="222" t="s">
        <v>16</v>
      </c>
      <c r="Q550" s="222" t="s">
        <v>16</v>
      </c>
      <c r="R550" s="222" t="s">
        <v>16</v>
      </c>
      <c r="S550" s="222" t="s">
        <v>16</v>
      </c>
      <c r="T550" s="222" t="s">
        <v>349</v>
      </c>
      <c r="U550" s="222" t="s">
        <v>269</v>
      </c>
      <c r="V550" s="222" t="s">
        <v>302</v>
      </c>
      <c r="W550" s="223" t="s">
        <v>302</v>
      </c>
      <c r="X550" s="223" t="s">
        <v>302</v>
      </c>
      <c r="Y550" s="224" t="s">
        <v>302</v>
      </c>
    </row>
    <row r="551" spans="1:25">
      <c r="A551" s="216">
        <v>10</v>
      </c>
      <c r="B551" s="217" t="str">
        <f>VLOOKUP(Tabel10[[#This Row],[Code]],Ruimtegroepen[[Code]:[Ruimte omschrijving]],2,FALSE)</f>
        <v>Trappenhuizen/lift</v>
      </c>
      <c r="C551" s="218" t="s">
        <v>757</v>
      </c>
      <c r="D551" s="217" t="s">
        <v>0</v>
      </c>
      <c r="E551" s="219" t="s">
        <v>100</v>
      </c>
      <c r="F551" s="218" t="s">
        <v>759</v>
      </c>
      <c r="G551" s="263" t="s">
        <v>302</v>
      </c>
      <c r="H551" s="221" t="s">
        <v>16</v>
      </c>
      <c r="I551" s="220" t="s">
        <v>302</v>
      </c>
      <c r="J551" s="221" t="s">
        <v>302</v>
      </c>
      <c r="K551" s="221" t="s">
        <v>302</v>
      </c>
      <c r="L551" s="220" t="s">
        <v>302</v>
      </c>
      <c r="M551" s="220" t="s">
        <v>302</v>
      </c>
      <c r="N551" s="221" t="s">
        <v>302</v>
      </c>
      <c r="O551" s="222" t="s">
        <v>16</v>
      </c>
      <c r="P551" s="222" t="s">
        <v>16</v>
      </c>
      <c r="Q551" s="222" t="s">
        <v>16</v>
      </c>
      <c r="R551" s="222" t="s">
        <v>16</v>
      </c>
      <c r="S551" s="222" t="s">
        <v>16</v>
      </c>
      <c r="T551" s="222" t="s">
        <v>349</v>
      </c>
      <c r="U551" s="222" t="s">
        <v>269</v>
      </c>
      <c r="V551" s="222" t="s">
        <v>302</v>
      </c>
      <c r="W551" s="223" t="s">
        <v>302</v>
      </c>
      <c r="X551" s="223" t="s">
        <v>302</v>
      </c>
      <c r="Y551" s="224" t="s">
        <v>302</v>
      </c>
    </row>
    <row r="552" spans="1:25">
      <c r="A552" s="216">
        <v>10</v>
      </c>
      <c r="B552" s="217" t="str">
        <f>VLOOKUP(Tabel10[[#This Row],[Code]],Ruimtegroepen[[Code]:[Ruimte omschrijving]],2,FALSE)</f>
        <v>Trappenhuizen/lift</v>
      </c>
      <c r="C552" s="218" t="s">
        <v>757</v>
      </c>
      <c r="D552" s="217" t="s">
        <v>0</v>
      </c>
      <c r="E552" s="219" t="s">
        <v>102</v>
      </c>
      <c r="F552" s="218" t="s">
        <v>760</v>
      </c>
      <c r="G552" s="263" t="s">
        <v>302</v>
      </c>
      <c r="H552" s="220" t="s">
        <v>302</v>
      </c>
      <c r="I552" s="220" t="s">
        <v>302</v>
      </c>
      <c r="J552" s="220" t="s">
        <v>16</v>
      </c>
      <c r="K552" s="220" t="s">
        <v>303</v>
      </c>
      <c r="L552" s="220" t="s">
        <v>302</v>
      </c>
      <c r="M552" s="220" t="s">
        <v>302</v>
      </c>
      <c r="N552" s="221" t="s">
        <v>302</v>
      </c>
      <c r="O552" s="222" t="s">
        <v>16</v>
      </c>
      <c r="P552" s="222" t="s">
        <v>16</v>
      </c>
      <c r="Q552" s="222" t="s">
        <v>16</v>
      </c>
      <c r="R552" s="222" t="s">
        <v>16</v>
      </c>
      <c r="S552" s="222" t="s">
        <v>16</v>
      </c>
      <c r="T552" s="222" t="s">
        <v>349</v>
      </c>
      <c r="U552" s="222" t="s">
        <v>269</v>
      </c>
      <c r="V552" s="222" t="s">
        <v>302</v>
      </c>
      <c r="W552" s="223" t="s">
        <v>302</v>
      </c>
      <c r="X552" s="223" t="s">
        <v>302</v>
      </c>
      <c r="Y552" s="224" t="s">
        <v>302</v>
      </c>
    </row>
    <row r="553" spans="1:25">
      <c r="A553" s="216">
        <v>10</v>
      </c>
      <c r="B553" s="217" t="str">
        <f>VLOOKUP(Tabel10[[#This Row],[Code]],Ruimtegroepen[[Code]:[Ruimte omschrijving]],2,FALSE)</f>
        <v>Trappenhuizen/lift</v>
      </c>
      <c r="C553" s="218" t="s">
        <v>757</v>
      </c>
      <c r="D553" s="217" t="s">
        <v>0</v>
      </c>
      <c r="E553" s="219" t="s">
        <v>103</v>
      </c>
      <c r="F553" s="218" t="s">
        <v>761</v>
      </c>
      <c r="G553" s="263" t="s">
        <v>302</v>
      </c>
      <c r="H553" s="220" t="s">
        <v>302</v>
      </c>
      <c r="I553" s="220" t="s">
        <v>302</v>
      </c>
      <c r="J553" s="220" t="s">
        <v>16</v>
      </c>
      <c r="K553" s="220" t="s">
        <v>303</v>
      </c>
      <c r="L553" s="220" t="s">
        <v>302</v>
      </c>
      <c r="M553" s="220" t="s">
        <v>302</v>
      </c>
      <c r="N553" s="221" t="s">
        <v>302</v>
      </c>
      <c r="O553" s="222" t="s">
        <v>16</v>
      </c>
      <c r="P553" s="222" t="s">
        <v>16</v>
      </c>
      <c r="Q553" s="222" t="s">
        <v>16</v>
      </c>
      <c r="R553" s="222" t="s">
        <v>16</v>
      </c>
      <c r="S553" s="222" t="s">
        <v>16</v>
      </c>
      <c r="T553" s="222" t="s">
        <v>349</v>
      </c>
      <c r="U553" s="222" t="s">
        <v>269</v>
      </c>
      <c r="V553" s="222" t="s">
        <v>302</v>
      </c>
      <c r="W553" s="223" t="s">
        <v>302</v>
      </c>
      <c r="X553" s="223" t="s">
        <v>302</v>
      </c>
      <c r="Y553" s="224" t="s">
        <v>302</v>
      </c>
    </row>
    <row r="554" spans="1:25">
      <c r="A554" s="216">
        <v>10</v>
      </c>
      <c r="B554" s="217" t="str">
        <f>VLOOKUP(Tabel10[[#This Row],[Code]],Ruimtegroepen[[Code]:[Ruimte omschrijving]],2,FALSE)</f>
        <v>Trappenhuizen/lift</v>
      </c>
      <c r="C554" s="218" t="s">
        <v>757</v>
      </c>
      <c r="D554" s="217" t="s">
        <v>0</v>
      </c>
      <c r="E554" s="219" t="s">
        <v>100</v>
      </c>
      <c r="F554" s="218" t="s">
        <v>759</v>
      </c>
      <c r="G554" s="263" t="s">
        <v>302</v>
      </c>
      <c r="H554" s="221" t="s">
        <v>16</v>
      </c>
      <c r="I554" s="220" t="s">
        <v>302</v>
      </c>
      <c r="J554" s="221" t="s">
        <v>302</v>
      </c>
      <c r="K554" s="221" t="s">
        <v>302</v>
      </c>
      <c r="L554" s="220" t="s">
        <v>302</v>
      </c>
      <c r="M554" s="220" t="s">
        <v>302</v>
      </c>
      <c r="N554" s="221" t="s">
        <v>302</v>
      </c>
      <c r="O554" s="222" t="s">
        <v>16</v>
      </c>
      <c r="P554" s="222" t="s">
        <v>16</v>
      </c>
      <c r="Q554" s="222" t="s">
        <v>16</v>
      </c>
      <c r="R554" s="222" t="s">
        <v>16</v>
      </c>
      <c r="S554" s="222" t="s">
        <v>16</v>
      </c>
      <c r="T554" s="222" t="s">
        <v>349</v>
      </c>
      <c r="U554" s="222" t="s">
        <v>269</v>
      </c>
      <c r="V554" s="222" t="s">
        <v>302</v>
      </c>
      <c r="W554" s="223" t="s">
        <v>302</v>
      </c>
      <c r="X554" s="223" t="s">
        <v>302</v>
      </c>
      <c r="Y554" s="224" t="s">
        <v>302</v>
      </c>
    </row>
    <row r="555" spans="1:25">
      <c r="A555" s="216">
        <v>10</v>
      </c>
      <c r="B555" s="217" t="str">
        <f>VLOOKUP(Tabel10[[#This Row],[Code]],Ruimtegroepen[[Code]:[Ruimte omschrijving]],2,FALSE)</f>
        <v>Trappenhuizen/lift</v>
      </c>
      <c r="C555" s="218" t="s">
        <v>757</v>
      </c>
      <c r="D555" s="217" t="s">
        <v>0</v>
      </c>
      <c r="E555" s="219" t="s">
        <v>1325</v>
      </c>
      <c r="F555" s="218" t="s">
        <v>1366</v>
      </c>
      <c r="G555" s="263" t="s">
        <v>302</v>
      </c>
      <c r="H555" s="220" t="s">
        <v>302</v>
      </c>
      <c r="I555" s="220" t="s">
        <v>302</v>
      </c>
      <c r="J555" s="220" t="s">
        <v>16</v>
      </c>
      <c r="K555" s="220" t="s">
        <v>303</v>
      </c>
      <c r="L555" s="220" t="s">
        <v>302</v>
      </c>
      <c r="M555" s="220" t="s">
        <v>302</v>
      </c>
      <c r="N555" s="221" t="s">
        <v>302</v>
      </c>
      <c r="O555" s="222" t="s">
        <v>16</v>
      </c>
      <c r="P555" s="222" t="s">
        <v>16</v>
      </c>
      <c r="Q555" s="222" t="s">
        <v>16</v>
      </c>
      <c r="R555" s="222" t="s">
        <v>16</v>
      </c>
      <c r="S555" s="222" t="s">
        <v>16</v>
      </c>
      <c r="T555" s="222" t="s">
        <v>349</v>
      </c>
      <c r="U555" s="222" t="s">
        <v>269</v>
      </c>
      <c r="V555" s="222" t="s">
        <v>302</v>
      </c>
      <c r="W555" s="223" t="s">
        <v>302</v>
      </c>
      <c r="X555" s="223" t="s">
        <v>302</v>
      </c>
      <c r="Y555" s="224" t="s">
        <v>302</v>
      </c>
    </row>
    <row r="556" spans="1:25">
      <c r="A556" s="216">
        <v>10</v>
      </c>
      <c r="B556" s="217" t="str">
        <f>VLOOKUP(Tabel10[[#This Row],[Code]],Ruimtegroepen[[Code]:[Ruimte omschrijving]],2,FALSE)</f>
        <v>Trappenhuizen/lift</v>
      </c>
      <c r="C556" s="218" t="s">
        <v>762</v>
      </c>
      <c r="D556" s="217" t="s">
        <v>27</v>
      </c>
      <c r="E556" s="219" t="s">
        <v>101</v>
      </c>
      <c r="F556" s="218" t="s">
        <v>763</v>
      </c>
      <c r="G556" s="263" t="s">
        <v>302</v>
      </c>
      <c r="H556" s="220" t="s">
        <v>302</v>
      </c>
      <c r="I556" s="221" t="s">
        <v>15</v>
      </c>
      <c r="J556" s="220" t="s">
        <v>302</v>
      </c>
      <c r="K556" s="221" t="s">
        <v>302</v>
      </c>
      <c r="L556" s="220" t="s">
        <v>302</v>
      </c>
      <c r="M556" s="220" t="s">
        <v>302</v>
      </c>
      <c r="N556" s="221" t="s">
        <v>302</v>
      </c>
      <c r="O556" s="222" t="s">
        <v>15</v>
      </c>
      <c r="P556" s="222" t="s">
        <v>15</v>
      </c>
      <c r="Q556" s="222" t="s">
        <v>15</v>
      </c>
      <c r="R556" s="222" t="s">
        <v>302</v>
      </c>
      <c r="S556" s="222" t="s">
        <v>302</v>
      </c>
      <c r="T556" s="222" t="s">
        <v>302</v>
      </c>
      <c r="U556" s="222" t="s">
        <v>302</v>
      </c>
      <c r="V556" s="222" t="s">
        <v>302</v>
      </c>
      <c r="W556" s="223" t="s">
        <v>302</v>
      </c>
      <c r="X556" s="223" t="s">
        <v>302</v>
      </c>
      <c r="Y556" s="224" t="s">
        <v>302</v>
      </c>
    </row>
    <row r="557" spans="1:25">
      <c r="A557" s="216">
        <v>10</v>
      </c>
      <c r="B557" s="217" t="str">
        <f>VLOOKUP(Tabel10[[#This Row],[Code]],Ruimtegroepen[[Code]:[Ruimte omschrijving]],2,FALSE)</f>
        <v>Trappenhuizen/lift</v>
      </c>
      <c r="C557" s="218" t="s">
        <v>762</v>
      </c>
      <c r="D557" s="217" t="s">
        <v>27</v>
      </c>
      <c r="E557" s="219" t="s">
        <v>100</v>
      </c>
      <c r="F557" s="218" t="s">
        <v>764</v>
      </c>
      <c r="G557" s="263" t="s">
        <v>302</v>
      </c>
      <c r="H557" s="221" t="s">
        <v>15</v>
      </c>
      <c r="I557" s="220" t="s">
        <v>302</v>
      </c>
      <c r="J557" s="221" t="s">
        <v>302</v>
      </c>
      <c r="K557" s="221" t="s">
        <v>302</v>
      </c>
      <c r="L557" s="220" t="s">
        <v>302</v>
      </c>
      <c r="M557" s="220" t="s">
        <v>302</v>
      </c>
      <c r="N557" s="221" t="s">
        <v>302</v>
      </c>
      <c r="O557" s="222" t="s">
        <v>15</v>
      </c>
      <c r="P557" s="222" t="s">
        <v>15</v>
      </c>
      <c r="Q557" s="222" t="s">
        <v>15</v>
      </c>
      <c r="R557" s="222" t="s">
        <v>302</v>
      </c>
      <c r="S557" s="222" t="s">
        <v>302</v>
      </c>
      <c r="T557" s="222" t="s">
        <v>302</v>
      </c>
      <c r="U557" s="222" t="s">
        <v>302</v>
      </c>
      <c r="V557" s="222" t="s">
        <v>302</v>
      </c>
      <c r="W557" s="223" t="s">
        <v>302</v>
      </c>
      <c r="X557" s="223" t="s">
        <v>302</v>
      </c>
      <c r="Y557" s="224" t="s">
        <v>302</v>
      </c>
    </row>
    <row r="558" spans="1:25">
      <c r="A558" s="216">
        <v>10</v>
      </c>
      <c r="B558" s="217" t="str">
        <f>VLOOKUP(Tabel10[[#This Row],[Code]],Ruimtegroepen[[Code]:[Ruimte omschrijving]],2,FALSE)</f>
        <v>Trappenhuizen/lift</v>
      </c>
      <c r="C558" s="218" t="s">
        <v>762</v>
      </c>
      <c r="D558" s="217" t="s">
        <v>27</v>
      </c>
      <c r="E558" s="219" t="s">
        <v>102</v>
      </c>
      <c r="F558" s="218" t="s">
        <v>765</v>
      </c>
      <c r="G558" s="263" t="s">
        <v>302</v>
      </c>
      <c r="H558" s="220" t="s">
        <v>302</v>
      </c>
      <c r="I558" s="221" t="s">
        <v>15</v>
      </c>
      <c r="J558" s="221" t="s">
        <v>302</v>
      </c>
      <c r="K558" s="221" t="s">
        <v>302</v>
      </c>
      <c r="L558" s="220" t="s">
        <v>302</v>
      </c>
      <c r="M558" s="220" t="s">
        <v>302</v>
      </c>
      <c r="N558" s="221" t="s">
        <v>302</v>
      </c>
      <c r="O558" s="222" t="s">
        <v>15</v>
      </c>
      <c r="P558" s="222" t="s">
        <v>15</v>
      </c>
      <c r="Q558" s="222" t="s">
        <v>15</v>
      </c>
      <c r="R558" s="222" t="s">
        <v>302</v>
      </c>
      <c r="S558" s="222" t="s">
        <v>302</v>
      </c>
      <c r="T558" s="222" t="s">
        <v>302</v>
      </c>
      <c r="U558" s="222" t="s">
        <v>302</v>
      </c>
      <c r="V558" s="222" t="s">
        <v>302</v>
      </c>
      <c r="W558" s="223" t="s">
        <v>302</v>
      </c>
      <c r="X558" s="223" t="s">
        <v>302</v>
      </c>
      <c r="Y558" s="224" t="s">
        <v>302</v>
      </c>
    </row>
    <row r="559" spans="1:25">
      <c r="A559" s="216">
        <v>10</v>
      </c>
      <c r="B559" s="217" t="str">
        <f>VLOOKUP(Tabel10[[#This Row],[Code]],Ruimtegroepen[[Code]:[Ruimte omschrijving]],2,FALSE)</f>
        <v>Trappenhuizen/lift</v>
      </c>
      <c r="C559" s="218" t="s">
        <v>762</v>
      </c>
      <c r="D559" s="217" t="s">
        <v>27</v>
      </c>
      <c r="E559" s="219" t="s">
        <v>103</v>
      </c>
      <c r="F559" s="218" t="s">
        <v>766</v>
      </c>
      <c r="G559" s="263" t="s">
        <v>302</v>
      </c>
      <c r="H559" s="220" t="s">
        <v>302</v>
      </c>
      <c r="I559" s="221" t="s">
        <v>15</v>
      </c>
      <c r="J559" s="221" t="s">
        <v>302</v>
      </c>
      <c r="K559" s="221" t="s">
        <v>302</v>
      </c>
      <c r="L559" s="220" t="s">
        <v>302</v>
      </c>
      <c r="M559" s="220" t="s">
        <v>302</v>
      </c>
      <c r="N559" s="221" t="s">
        <v>302</v>
      </c>
      <c r="O559" s="222" t="s">
        <v>15</v>
      </c>
      <c r="P559" s="222" t="s">
        <v>15</v>
      </c>
      <c r="Q559" s="222" t="s">
        <v>15</v>
      </c>
      <c r="R559" s="222" t="s">
        <v>302</v>
      </c>
      <c r="S559" s="222" t="s">
        <v>302</v>
      </c>
      <c r="T559" s="222" t="s">
        <v>302</v>
      </c>
      <c r="U559" s="222" t="s">
        <v>302</v>
      </c>
      <c r="V559" s="222" t="s">
        <v>302</v>
      </c>
      <c r="W559" s="223" t="s">
        <v>302</v>
      </c>
      <c r="X559" s="223" t="s">
        <v>302</v>
      </c>
      <c r="Y559" s="224" t="s">
        <v>302</v>
      </c>
    </row>
    <row r="560" spans="1:25">
      <c r="A560" s="216">
        <v>10</v>
      </c>
      <c r="B560" s="217" t="str">
        <f>VLOOKUP(Tabel10[[#This Row],[Code]],Ruimtegroepen[[Code]:[Ruimte omschrijving]],2,FALSE)</f>
        <v>Trappenhuizen/lift</v>
      </c>
      <c r="C560" s="218" t="s">
        <v>762</v>
      </c>
      <c r="D560" s="217" t="s">
        <v>27</v>
      </c>
      <c r="E560" s="219" t="s">
        <v>100</v>
      </c>
      <c r="F560" s="218" t="s">
        <v>764</v>
      </c>
      <c r="G560" s="263" t="s">
        <v>302</v>
      </c>
      <c r="H560" s="221" t="s">
        <v>15</v>
      </c>
      <c r="I560" s="220" t="s">
        <v>302</v>
      </c>
      <c r="J560" s="221" t="s">
        <v>302</v>
      </c>
      <c r="K560" s="221" t="s">
        <v>302</v>
      </c>
      <c r="L560" s="220" t="s">
        <v>302</v>
      </c>
      <c r="M560" s="220" t="s">
        <v>302</v>
      </c>
      <c r="N560" s="221" t="s">
        <v>302</v>
      </c>
      <c r="O560" s="222" t="s">
        <v>15</v>
      </c>
      <c r="P560" s="222" t="s">
        <v>15</v>
      </c>
      <c r="Q560" s="222" t="s">
        <v>15</v>
      </c>
      <c r="R560" s="222" t="s">
        <v>302</v>
      </c>
      <c r="S560" s="222" t="s">
        <v>302</v>
      </c>
      <c r="T560" s="222" t="s">
        <v>302</v>
      </c>
      <c r="U560" s="222" t="s">
        <v>302</v>
      </c>
      <c r="V560" s="222" t="s">
        <v>302</v>
      </c>
      <c r="W560" s="223" t="s">
        <v>302</v>
      </c>
      <c r="X560" s="223" t="s">
        <v>302</v>
      </c>
      <c r="Y560" s="224" t="s">
        <v>302</v>
      </c>
    </row>
    <row r="561" spans="1:25">
      <c r="A561" s="216">
        <v>10</v>
      </c>
      <c r="B561" s="217" t="str">
        <f>VLOOKUP(Tabel10[[#This Row],[Code]],Ruimtegroepen[[Code]:[Ruimte omschrijving]],2,FALSE)</f>
        <v>Trappenhuizen/lift</v>
      </c>
      <c r="C561" s="218" t="s">
        <v>762</v>
      </c>
      <c r="D561" s="217" t="s">
        <v>27</v>
      </c>
      <c r="E561" s="219" t="s">
        <v>1325</v>
      </c>
      <c r="F561" s="218" t="s">
        <v>1399</v>
      </c>
      <c r="G561" s="263" t="s">
        <v>302</v>
      </c>
      <c r="H561" s="220" t="s">
        <v>302</v>
      </c>
      <c r="I561" s="221" t="s">
        <v>15</v>
      </c>
      <c r="J561" s="221" t="s">
        <v>302</v>
      </c>
      <c r="K561" s="221" t="s">
        <v>302</v>
      </c>
      <c r="L561" s="220" t="s">
        <v>302</v>
      </c>
      <c r="M561" s="220" t="s">
        <v>302</v>
      </c>
      <c r="N561" s="221" t="s">
        <v>302</v>
      </c>
      <c r="O561" s="222" t="s">
        <v>15</v>
      </c>
      <c r="P561" s="222" t="s">
        <v>15</v>
      </c>
      <c r="Q561" s="222" t="s">
        <v>15</v>
      </c>
      <c r="R561" s="222" t="s">
        <v>302</v>
      </c>
      <c r="S561" s="222" t="s">
        <v>302</v>
      </c>
      <c r="T561" s="222" t="s">
        <v>302</v>
      </c>
      <c r="U561" s="222" t="s">
        <v>302</v>
      </c>
      <c r="V561" s="222" t="s">
        <v>302</v>
      </c>
      <c r="W561" s="223" t="s">
        <v>302</v>
      </c>
      <c r="X561" s="223" t="s">
        <v>302</v>
      </c>
      <c r="Y561" s="224" t="s">
        <v>302</v>
      </c>
    </row>
    <row r="562" spans="1:25">
      <c r="A562" s="216">
        <v>10</v>
      </c>
      <c r="B562" s="217" t="str">
        <f>VLOOKUP(Tabel10[[#This Row],[Code]],Ruimtegroepen[[Code]:[Ruimte omschrijving]],2,FALSE)</f>
        <v>Trappenhuizen/lift</v>
      </c>
      <c r="C562" s="218" t="s">
        <v>767</v>
      </c>
      <c r="D562" s="217" t="s">
        <v>28</v>
      </c>
      <c r="E562" s="219" t="s">
        <v>101</v>
      </c>
      <c r="F562" s="218" t="s">
        <v>768</v>
      </c>
      <c r="G562" s="263" t="s">
        <v>302</v>
      </c>
      <c r="H562" s="220" t="s">
        <v>302</v>
      </c>
      <c r="I562" s="221" t="s">
        <v>17</v>
      </c>
      <c r="J562" s="220" t="s">
        <v>302</v>
      </c>
      <c r="K562" s="221" t="s">
        <v>302</v>
      </c>
      <c r="L562" s="220" t="s">
        <v>302</v>
      </c>
      <c r="M562" s="220" t="s">
        <v>302</v>
      </c>
      <c r="N562" s="221" t="s">
        <v>302</v>
      </c>
      <c r="O562" s="222" t="s">
        <v>17</v>
      </c>
      <c r="P562" s="222" t="s">
        <v>17</v>
      </c>
      <c r="Q562" s="222" t="s">
        <v>15</v>
      </c>
      <c r="R562" s="222" t="s">
        <v>302</v>
      </c>
      <c r="S562" s="222" t="s">
        <v>302</v>
      </c>
      <c r="T562" s="222" t="s">
        <v>302</v>
      </c>
      <c r="U562" s="222" t="s">
        <v>302</v>
      </c>
      <c r="V562" s="222" t="s">
        <v>302</v>
      </c>
      <c r="W562" s="223" t="s">
        <v>302</v>
      </c>
      <c r="X562" s="223" t="s">
        <v>302</v>
      </c>
      <c r="Y562" s="224" t="s">
        <v>302</v>
      </c>
    </row>
    <row r="563" spans="1:25">
      <c r="A563" s="216">
        <v>10</v>
      </c>
      <c r="B563" s="217" t="str">
        <f>VLOOKUP(Tabel10[[#This Row],[Code]],Ruimtegroepen[[Code]:[Ruimte omschrijving]],2,FALSE)</f>
        <v>Trappenhuizen/lift</v>
      </c>
      <c r="C563" s="218" t="s">
        <v>767</v>
      </c>
      <c r="D563" s="217" t="s">
        <v>28</v>
      </c>
      <c r="E563" s="219" t="s">
        <v>100</v>
      </c>
      <c r="F563" s="218" t="s">
        <v>769</v>
      </c>
      <c r="G563" s="263" t="s">
        <v>302</v>
      </c>
      <c r="H563" s="221" t="s">
        <v>17</v>
      </c>
      <c r="I563" s="220" t="s">
        <v>302</v>
      </c>
      <c r="J563" s="221" t="s">
        <v>302</v>
      </c>
      <c r="K563" s="221" t="s">
        <v>302</v>
      </c>
      <c r="L563" s="220" t="s">
        <v>302</v>
      </c>
      <c r="M563" s="220" t="s">
        <v>302</v>
      </c>
      <c r="N563" s="221" t="s">
        <v>302</v>
      </c>
      <c r="O563" s="222" t="s">
        <v>17</v>
      </c>
      <c r="P563" s="222" t="s">
        <v>17</v>
      </c>
      <c r="Q563" s="222" t="s">
        <v>15</v>
      </c>
      <c r="R563" s="222" t="s">
        <v>302</v>
      </c>
      <c r="S563" s="222" t="s">
        <v>302</v>
      </c>
      <c r="T563" s="222" t="s">
        <v>302</v>
      </c>
      <c r="U563" s="222" t="s">
        <v>302</v>
      </c>
      <c r="V563" s="222" t="s">
        <v>302</v>
      </c>
      <c r="W563" s="223" t="s">
        <v>302</v>
      </c>
      <c r="X563" s="223" t="s">
        <v>302</v>
      </c>
      <c r="Y563" s="224" t="s">
        <v>302</v>
      </c>
    </row>
    <row r="564" spans="1:25">
      <c r="A564" s="216">
        <v>10</v>
      </c>
      <c r="B564" s="217" t="str">
        <f>VLOOKUP(Tabel10[[#This Row],[Code]],Ruimtegroepen[[Code]:[Ruimte omschrijving]],2,FALSE)</f>
        <v>Trappenhuizen/lift</v>
      </c>
      <c r="C564" s="218" t="s">
        <v>767</v>
      </c>
      <c r="D564" s="217" t="s">
        <v>28</v>
      </c>
      <c r="E564" s="219" t="s">
        <v>102</v>
      </c>
      <c r="F564" s="218" t="s">
        <v>770</v>
      </c>
      <c r="G564" s="263" t="s">
        <v>302</v>
      </c>
      <c r="H564" s="220" t="s">
        <v>302</v>
      </c>
      <c r="I564" s="221" t="s">
        <v>17</v>
      </c>
      <c r="J564" s="221" t="s">
        <v>302</v>
      </c>
      <c r="K564" s="221" t="s">
        <v>302</v>
      </c>
      <c r="L564" s="220" t="s">
        <v>302</v>
      </c>
      <c r="M564" s="220" t="s">
        <v>302</v>
      </c>
      <c r="N564" s="221" t="s">
        <v>302</v>
      </c>
      <c r="O564" s="222" t="s">
        <v>17</v>
      </c>
      <c r="P564" s="222" t="s">
        <v>17</v>
      </c>
      <c r="Q564" s="222" t="s">
        <v>15</v>
      </c>
      <c r="R564" s="222" t="s">
        <v>302</v>
      </c>
      <c r="S564" s="222" t="s">
        <v>302</v>
      </c>
      <c r="T564" s="222" t="s">
        <v>302</v>
      </c>
      <c r="U564" s="222" t="s">
        <v>302</v>
      </c>
      <c r="V564" s="222" t="s">
        <v>302</v>
      </c>
      <c r="W564" s="223" t="s">
        <v>302</v>
      </c>
      <c r="X564" s="223" t="s">
        <v>302</v>
      </c>
      <c r="Y564" s="224" t="s">
        <v>302</v>
      </c>
    </row>
    <row r="565" spans="1:25">
      <c r="A565" s="216">
        <v>10</v>
      </c>
      <c r="B565" s="217" t="str">
        <f>VLOOKUP(Tabel10[[#This Row],[Code]],Ruimtegroepen[[Code]:[Ruimte omschrijving]],2,FALSE)</f>
        <v>Trappenhuizen/lift</v>
      </c>
      <c r="C565" s="218" t="s">
        <v>767</v>
      </c>
      <c r="D565" s="217" t="s">
        <v>28</v>
      </c>
      <c r="E565" s="219" t="s">
        <v>103</v>
      </c>
      <c r="F565" s="218" t="s">
        <v>771</v>
      </c>
      <c r="G565" s="263" t="s">
        <v>302</v>
      </c>
      <c r="H565" s="220" t="s">
        <v>302</v>
      </c>
      <c r="I565" s="221" t="s">
        <v>17</v>
      </c>
      <c r="J565" s="221" t="s">
        <v>302</v>
      </c>
      <c r="K565" s="221" t="s">
        <v>302</v>
      </c>
      <c r="L565" s="220" t="s">
        <v>302</v>
      </c>
      <c r="M565" s="220" t="s">
        <v>302</v>
      </c>
      <c r="N565" s="221" t="s">
        <v>302</v>
      </c>
      <c r="O565" s="222" t="s">
        <v>17</v>
      </c>
      <c r="P565" s="222" t="s">
        <v>17</v>
      </c>
      <c r="Q565" s="222" t="s">
        <v>15</v>
      </c>
      <c r="R565" s="222" t="s">
        <v>302</v>
      </c>
      <c r="S565" s="222" t="s">
        <v>302</v>
      </c>
      <c r="T565" s="222" t="s">
        <v>302</v>
      </c>
      <c r="U565" s="222" t="s">
        <v>302</v>
      </c>
      <c r="V565" s="222" t="s">
        <v>302</v>
      </c>
      <c r="W565" s="223" t="s">
        <v>302</v>
      </c>
      <c r="X565" s="223" t="s">
        <v>302</v>
      </c>
      <c r="Y565" s="224" t="s">
        <v>302</v>
      </c>
    </row>
    <row r="566" spans="1:25">
      <c r="A566" s="216">
        <v>10</v>
      </c>
      <c r="B566" s="217" t="str">
        <f>VLOOKUP(Tabel10[[#This Row],[Code]],Ruimtegroepen[[Code]:[Ruimte omschrijving]],2,FALSE)</f>
        <v>Trappenhuizen/lift</v>
      </c>
      <c r="C566" s="218" t="s">
        <v>767</v>
      </c>
      <c r="D566" s="217" t="s">
        <v>28</v>
      </c>
      <c r="E566" s="219" t="s">
        <v>100</v>
      </c>
      <c r="F566" s="218" t="s">
        <v>769</v>
      </c>
      <c r="G566" s="263" t="s">
        <v>302</v>
      </c>
      <c r="H566" s="221" t="s">
        <v>17</v>
      </c>
      <c r="I566" s="220" t="s">
        <v>302</v>
      </c>
      <c r="J566" s="221" t="s">
        <v>302</v>
      </c>
      <c r="K566" s="221" t="s">
        <v>302</v>
      </c>
      <c r="L566" s="220" t="s">
        <v>302</v>
      </c>
      <c r="M566" s="220" t="s">
        <v>302</v>
      </c>
      <c r="N566" s="221" t="s">
        <v>302</v>
      </c>
      <c r="O566" s="222" t="s">
        <v>17</v>
      </c>
      <c r="P566" s="222" t="s">
        <v>17</v>
      </c>
      <c r="Q566" s="222" t="s">
        <v>15</v>
      </c>
      <c r="R566" s="222" t="s">
        <v>302</v>
      </c>
      <c r="S566" s="222" t="s">
        <v>302</v>
      </c>
      <c r="T566" s="222" t="s">
        <v>302</v>
      </c>
      <c r="U566" s="222" t="s">
        <v>302</v>
      </c>
      <c r="V566" s="222" t="s">
        <v>302</v>
      </c>
      <c r="W566" s="223" t="s">
        <v>302</v>
      </c>
      <c r="X566" s="223" t="s">
        <v>302</v>
      </c>
      <c r="Y566" s="224" t="s">
        <v>302</v>
      </c>
    </row>
    <row r="567" spans="1:25">
      <c r="A567" s="216">
        <v>10</v>
      </c>
      <c r="B567" s="217" t="str">
        <f>VLOOKUP(Tabel10[[#This Row],[Code]],Ruimtegroepen[[Code]:[Ruimte omschrijving]],2,FALSE)</f>
        <v>Trappenhuizen/lift</v>
      </c>
      <c r="C567" s="218" t="s">
        <v>767</v>
      </c>
      <c r="D567" s="217" t="s">
        <v>28</v>
      </c>
      <c r="E567" s="219" t="s">
        <v>1325</v>
      </c>
      <c r="F567" s="218" t="s">
        <v>1432</v>
      </c>
      <c r="G567" s="263" t="s">
        <v>302</v>
      </c>
      <c r="H567" s="220" t="s">
        <v>302</v>
      </c>
      <c r="I567" s="221" t="s">
        <v>17</v>
      </c>
      <c r="J567" s="221" t="s">
        <v>302</v>
      </c>
      <c r="K567" s="221" t="s">
        <v>302</v>
      </c>
      <c r="L567" s="220" t="s">
        <v>302</v>
      </c>
      <c r="M567" s="220" t="s">
        <v>302</v>
      </c>
      <c r="N567" s="221" t="s">
        <v>302</v>
      </c>
      <c r="O567" s="222" t="s">
        <v>17</v>
      </c>
      <c r="P567" s="222" t="s">
        <v>17</v>
      </c>
      <c r="Q567" s="222" t="s">
        <v>15</v>
      </c>
      <c r="R567" s="222" t="s">
        <v>302</v>
      </c>
      <c r="S567" s="222" t="s">
        <v>302</v>
      </c>
      <c r="T567" s="222" t="s">
        <v>302</v>
      </c>
      <c r="U567" s="222" t="s">
        <v>302</v>
      </c>
      <c r="V567" s="222" t="s">
        <v>302</v>
      </c>
      <c r="W567" s="223" t="s">
        <v>302</v>
      </c>
      <c r="X567" s="223" t="s">
        <v>302</v>
      </c>
      <c r="Y567" s="224" t="s">
        <v>302</v>
      </c>
    </row>
    <row r="568" spans="1:25">
      <c r="A568" s="216">
        <v>11</v>
      </c>
      <c r="B568" s="217" t="str">
        <f>VLOOKUP(Tabel10[[#This Row],[Code]],Ruimtegroepen[[Code]:[Ruimte omschrijving]],2,FALSE)</f>
        <v>Kooklokaal/leskeuken</v>
      </c>
      <c r="C568" s="218" t="s">
        <v>772</v>
      </c>
      <c r="D568" s="217" t="s">
        <v>29</v>
      </c>
      <c r="E568" s="219" t="s">
        <v>101</v>
      </c>
      <c r="F568" s="218" t="s">
        <v>773</v>
      </c>
      <c r="G568" s="263" t="s">
        <v>302</v>
      </c>
      <c r="H568" s="220" t="s">
        <v>302</v>
      </c>
      <c r="I568" s="220" t="s">
        <v>302</v>
      </c>
      <c r="J568" s="220" t="s">
        <v>2</v>
      </c>
      <c r="K568" s="221" t="s">
        <v>302</v>
      </c>
      <c r="L568" s="220" t="s">
        <v>302</v>
      </c>
      <c r="M568" s="220" t="s">
        <v>302</v>
      </c>
      <c r="N568" s="221" t="s">
        <v>2</v>
      </c>
      <c r="O568" s="222" t="s">
        <v>2</v>
      </c>
      <c r="P568" s="222" t="s">
        <v>2</v>
      </c>
      <c r="Q568" s="222" t="s">
        <v>15</v>
      </c>
      <c r="R568" s="222" t="s">
        <v>15</v>
      </c>
      <c r="S568" s="222" t="s">
        <v>16</v>
      </c>
      <c r="T568" s="222" t="s">
        <v>349</v>
      </c>
      <c r="U568" s="222" t="s">
        <v>269</v>
      </c>
      <c r="V568" s="222" t="s">
        <v>2</v>
      </c>
      <c r="W568" s="223" t="s">
        <v>302</v>
      </c>
      <c r="X568" s="223" t="s">
        <v>302</v>
      </c>
      <c r="Y568" s="224" t="s">
        <v>302</v>
      </c>
    </row>
    <row r="569" spans="1:25">
      <c r="A569" s="216">
        <v>11</v>
      </c>
      <c r="B569" s="217" t="str">
        <f>VLOOKUP(Tabel10[[#This Row],[Code]],Ruimtegroepen[[Code]:[Ruimte omschrijving]],2,FALSE)</f>
        <v>Kooklokaal/leskeuken</v>
      </c>
      <c r="C569" s="218" t="s">
        <v>772</v>
      </c>
      <c r="D569" s="217" t="s">
        <v>29</v>
      </c>
      <c r="E569" s="219" t="s">
        <v>100</v>
      </c>
      <c r="F569" s="218" t="s">
        <v>774</v>
      </c>
      <c r="G569" s="263" t="s">
        <v>302</v>
      </c>
      <c r="H569" s="221" t="s">
        <v>2</v>
      </c>
      <c r="I569" s="220" t="s">
        <v>302</v>
      </c>
      <c r="J569" s="221" t="s">
        <v>302</v>
      </c>
      <c r="K569" s="221" t="s">
        <v>302</v>
      </c>
      <c r="L569" s="220" t="s">
        <v>302</v>
      </c>
      <c r="M569" s="220" t="s">
        <v>302</v>
      </c>
      <c r="N569" s="221" t="s">
        <v>2</v>
      </c>
      <c r="O569" s="222" t="s">
        <v>2</v>
      </c>
      <c r="P569" s="222" t="s">
        <v>2</v>
      </c>
      <c r="Q569" s="222" t="s">
        <v>15</v>
      </c>
      <c r="R569" s="222" t="s">
        <v>15</v>
      </c>
      <c r="S569" s="222" t="s">
        <v>16</v>
      </c>
      <c r="T569" s="222" t="s">
        <v>349</v>
      </c>
      <c r="U569" s="222" t="s">
        <v>269</v>
      </c>
      <c r="V569" s="222" t="s">
        <v>2</v>
      </c>
      <c r="W569" s="223" t="s">
        <v>302</v>
      </c>
      <c r="X569" s="223" t="s">
        <v>302</v>
      </c>
      <c r="Y569" s="224" t="s">
        <v>302</v>
      </c>
    </row>
    <row r="570" spans="1:25">
      <c r="A570" s="216">
        <v>11</v>
      </c>
      <c r="B570" s="217" t="str">
        <f>VLOOKUP(Tabel10[[#This Row],[Code]],Ruimtegroepen[[Code]:[Ruimte omschrijving]],2,FALSE)</f>
        <v>Kooklokaal/leskeuken</v>
      </c>
      <c r="C570" s="218" t="s">
        <v>772</v>
      </c>
      <c r="D570" s="217" t="s">
        <v>29</v>
      </c>
      <c r="E570" s="219" t="s">
        <v>102</v>
      </c>
      <c r="F570" s="218" t="s">
        <v>775</v>
      </c>
      <c r="G570" s="263" t="s">
        <v>302</v>
      </c>
      <c r="H570" s="220" t="s">
        <v>302</v>
      </c>
      <c r="I570" s="221" t="s">
        <v>2</v>
      </c>
      <c r="J570" s="221" t="s">
        <v>302</v>
      </c>
      <c r="K570" s="221" t="s">
        <v>2</v>
      </c>
      <c r="L570" s="220" t="s">
        <v>302</v>
      </c>
      <c r="M570" s="220" t="s">
        <v>302</v>
      </c>
      <c r="N570" s="221" t="s">
        <v>2</v>
      </c>
      <c r="O570" s="222" t="s">
        <v>2</v>
      </c>
      <c r="P570" s="222" t="s">
        <v>2</v>
      </c>
      <c r="Q570" s="222" t="s">
        <v>15</v>
      </c>
      <c r="R570" s="222" t="s">
        <v>15</v>
      </c>
      <c r="S570" s="222" t="s">
        <v>16</v>
      </c>
      <c r="T570" s="222" t="s">
        <v>349</v>
      </c>
      <c r="U570" s="222" t="s">
        <v>269</v>
      </c>
      <c r="V570" s="222" t="s">
        <v>2</v>
      </c>
      <c r="W570" s="223" t="s">
        <v>302</v>
      </c>
      <c r="X570" s="223" t="s">
        <v>302</v>
      </c>
      <c r="Y570" s="224" t="s">
        <v>302</v>
      </c>
    </row>
    <row r="571" spans="1:25">
      <c r="A571" s="216">
        <v>11</v>
      </c>
      <c r="B571" s="217" t="str">
        <f>VLOOKUP(Tabel10[[#This Row],[Code]],Ruimtegroepen[[Code]:[Ruimte omschrijving]],2,FALSE)</f>
        <v>Kooklokaal/leskeuken</v>
      </c>
      <c r="C571" s="218" t="s">
        <v>772</v>
      </c>
      <c r="D571" s="217" t="s">
        <v>29</v>
      </c>
      <c r="E571" s="219" t="s">
        <v>103</v>
      </c>
      <c r="F571" s="218" t="s">
        <v>776</v>
      </c>
      <c r="G571" s="263" t="s">
        <v>302</v>
      </c>
      <c r="H571" s="220" t="s">
        <v>302</v>
      </c>
      <c r="I571" s="221" t="s">
        <v>2</v>
      </c>
      <c r="J571" s="221" t="s">
        <v>302</v>
      </c>
      <c r="K571" s="221" t="s">
        <v>2</v>
      </c>
      <c r="L571" s="220" t="s">
        <v>302</v>
      </c>
      <c r="M571" s="220" t="s">
        <v>302</v>
      </c>
      <c r="N571" s="221" t="s">
        <v>2</v>
      </c>
      <c r="O571" s="222" t="s">
        <v>2</v>
      </c>
      <c r="P571" s="222" t="s">
        <v>2</v>
      </c>
      <c r="Q571" s="222" t="s">
        <v>15</v>
      </c>
      <c r="R571" s="222" t="s">
        <v>15</v>
      </c>
      <c r="S571" s="222" t="s">
        <v>16</v>
      </c>
      <c r="T571" s="222" t="s">
        <v>349</v>
      </c>
      <c r="U571" s="222" t="s">
        <v>269</v>
      </c>
      <c r="V571" s="222" t="s">
        <v>2</v>
      </c>
      <c r="W571" s="223" t="s">
        <v>302</v>
      </c>
      <c r="X571" s="223" t="s">
        <v>302</v>
      </c>
      <c r="Y571" s="224" t="s">
        <v>302</v>
      </c>
    </row>
    <row r="572" spans="1:25">
      <c r="A572" s="216">
        <v>11</v>
      </c>
      <c r="B572" s="217" t="str">
        <f>VLOOKUP(Tabel10[[#This Row],[Code]],Ruimtegroepen[[Code]:[Ruimte omschrijving]],2,FALSE)</f>
        <v>Kooklokaal/leskeuken</v>
      </c>
      <c r="C572" s="218" t="s">
        <v>772</v>
      </c>
      <c r="D572" s="217" t="s">
        <v>29</v>
      </c>
      <c r="E572" s="219" t="s">
        <v>100</v>
      </c>
      <c r="F572" s="218" t="s">
        <v>774</v>
      </c>
      <c r="G572" s="263" t="s">
        <v>302</v>
      </c>
      <c r="H572" s="221" t="s">
        <v>2</v>
      </c>
      <c r="I572" s="220" t="s">
        <v>302</v>
      </c>
      <c r="J572" s="221" t="s">
        <v>302</v>
      </c>
      <c r="K572" s="221" t="s">
        <v>302</v>
      </c>
      <c r="L572" s="220" t="s">
        <v>302</v>
      </c>
      <c r="M572" s="220" t="s">
        <v>302</v>
      </c>
      <c r="N572" s="221" t="s">
        <v>2</v>
      </c>
      <c r="O572" s="222" t="s">
        <v>2</v>
      </c>
      <c r="P572" s="222" t="s">
        <v>2</v>
      </c>
      <c r="Q572" s="222" t="s">
        <v>15</v>
      </c>
      <c r="R572" s="222" t="s">
        <v>15</v>
      </c>
      <c r="S572" s="222" t="s">
        <v>16</v>
      </c>
      <c r="T572" s="222" t="s">
        <v>349</v>
      </c>
      <c r="U572" s="222" t="s">
        <v>269</v>
      </c>
      <c r="V572" s="222" t="s">
        <v>2</v>
      </c>
      <c r="W572" s="223" t="s">
        <v>302</v>
      </c>
      <c r="X572" s="223" t="s">
        <v>302</v>
      </c>
      <c r="Y572" s="224" t="s">
        <v>302</v>
      </c>
    </row>
    <row r="573" spans="1:25">
      <c r="A573" s="216">
        <v>11</v>
      </c>
      <c r="B573" s="217" t="str">
        <f>VLOOKUP(Tabel10[[#This Row],[Code]],Ruimtegroepen[[Code]:[Ruimte omschrijving]],2,FALSE)</f>
        <v>Kooklokaal/leskeuken</v>
      </c>
      <c r="C573" s="218" t="s">
        <v>772</v>
      </c>
      <c r="D573" s="217" t="s">
        <v>29</v>
      </c>
      <c r="E573" s="219" t="s">
        <v>1325</v>
      </c>
      <c r="F573" s="218" t="s">
        <v>1500</v>
      </c>
      <c r="G573" s="263" t="s">
        <v>302</v>
      </c>
      <c r="H573" s="220" t="s">
        <v>302</v>
      </c>
      <c r="I573" s="221" t="s">
        <v>2</v>
      </c>
      <c r="J573" s="221" t="s">
        <v>302</v>
      </c>
      <c r="K573" s="221" t="s">
        <v>2</v>
      </c>
      <c r="L573" s="220" t="s">
        <v>302</v>
      </c>
      <c r="M573" s="220" t="s">
        <v>302</v>
      </c>
      <c r="N573" s="221" t="s">
        <v>2</v>
      </c>
      <c r="O573" s="222" t="s">
        <v>2</v>
      </c>
      <c r="P573" s="222" t="s">
        <v>2</v>
      </c>
      <c r="Q573" s="222" t="s">
        <v>15</v>
      </c>
      <c r="R573" s="222" t="s">
        <v>15</v>
      </c>
      <c r="S573" s="222" t="s">
        <v>16</v>
      </c>
      <c r="T573" s="222" t="s">
        <v>349</v>
      </c>
      <c r="U573" s="222" t="s">
        <v>269</v>
      </c>
      <c r="V573" s="222" t="s">
        <v>2</v>
      </c>
      <c r="W573" s="223" t="s">
        <v>302</v>
      </c>
      <c r="X573" s="223" t="s">
        <v>302</v>
      </c>
      <c r="Y573" s="224" t="s">
        <v>302</v>
      </c>
    </row>
    <row r="574" spans="1:25">
      <c r="A574" s="216">
        <v>11</v>
      </c>
      <c r="B574" s="217" t="str">
        <f>VLOOKUP(Tabel10[[#This Row],[Code]],Ruimtegroepen[[Code]:[Ruimte omschrijving]],2,FALSE)</f>
        <v>Kooklokaal/leskeuken</v>
      </c>
      <c r="C574" s="218" t="s">
        <v>777</v>
      </c>
      <c r="D574" s="217" t="s">
        <v>1</v>
      </c>
      <c r="E574" s="219" t="s">
        <v>101</v>
      </c>
      <c r="F574" s="218" t="s">
        <v>778</v>
      </c>
      <c r="G574" s="263" t="s">
        <v>302</v>
      </c>
      <c r="H574" s="220" t="s">
        <v>302</v>
      </c>
      <c r="I574" s="220" t="s">
        <v>302</v>
      </c>
      <c r="J574" s="220" t="s">
        <v>2</v>
      </c>
      <c r="K574" s="221" t="s">
        <v>302</v>
      </c>
      <c r="L574" s="220" t="s">
        <v>302</v>
      </c>
      <c r="M574" s="220" t="s">
        <v>302</v>
      </c>
      <c r="N574" s="221" t="s">
        <v>302</v>
      </c>
      <c r="O574" s="222" t="s">
        <v>2</v>
      </c>
      <c r="P574" s="222" t="s">
        <v>2</v>
      </c>
      <c r="Q574" s="222" t="s">
        <v>15</v>
      </c>
      <c r="R574" s="222" t="s">
        <v>15</v>
      </c>
      <c r="S574" s="222" t="s">
        <v>16</v>
      </c>
      <c r="T574" s="222" t="s">
        <v>349</v>
      </c>
      <c r="U574" s="222" t="s">
        <v>269</v>
      </c>
      <c r="V574" s="222" t="s">
        <v>302</v>
      </c>
      <c r="W574" s="223" t="s">
        <v>302</v>
      </c>
      <c r="X574" s="223" t="s">
        <v>302</v>
      </c>
      <c r="Y574" s="224" t="s">
        <v>302</v>
      </c>
    </row>
    <row r="575" spans="1:25">
      <c r="A575" s="216">
        <v>11</v>
      </c>
      <c r="B575" s="217" t="str">
        <f>VLOOKUP(Tabel10[[#This Row],[Code]],Ruimtegroepen[[Code]:[Ruimte omschrijving]],2,FALSE)</f>
        <v>Kooklokaal/leskeuken</v>
      </c>
      <c r="C575" s="218" t="s">
        <v>777</v>
      </c>
      <c r="D575" s="217" t="s">
        <v>1</v>
      </c>
      <c r="E575" s="219" t="s">
        <v>100</v>
      </c>
      <c r="F575" s="218" t="s">
        <v>779</v>
      </c>
      <c r="G575" s="263" t="s">
        <v>302</v>
      </c>
      <c r="H575" s="221" t="s">
        <v>2</v>
      </c>
      <c r="I575" s="220" t="s">
        <v>302</v>
      </c>
      <c r="J575" s="221" t="s">
        <v>302</v>
      </c>
      <c r="K575" s="221" t="s">
        <v>302</v>
      </c>
      <c r="L575" s="220" t="s">
        <v>302</v>
      </c>
      <c r="M575" s="220" t="s">
        <v>302</v>
      </c>
      <c r="N575" s="221" t="s">
        <v>302</v>
      </c>
      <c r="O575" s="222" t="s">
        <v>2</v>
      </c>
      <c r="P575" s="222" t="s">
        <v>2</v>
      </c>
      <c r="Q575" s="222" t="s">
        <v>15</v>
      </c>
      <c r="R575" s="222" t="s">
        <v>15</v>
      </c>
      <c r="S575" s="222" t="s">
        <v>16</v>
      </c>
      <c r="T575" s="222" t="s">
        <v>349</v>
      </c>
      <c r="U575" s="222" t="s">
        <v>269</v>
      </c>
      <c r="V575" s="222" t="s">
        <v>302</v>
      </c>
      <c r="W575" s="223" t="s">
        <v>302</v>
      </c>
      <c r="X575" s="223" t="s">
        <v>302</v>
      </c>
      <c r="Y575" s="224" t="s">
        <v>302</v>
      </c>
    </row>
    <row r="576" spans="1:25">
      <c r="A576" s="216">
        <v>11</v>
      </c>
      <c r="B576" s="217" t="str">
        <f>VLOOKUP(Tabel10[[#This Row],[Code]],Ruimtegroepen[[Code]:[Ruimte omschrijving]],2,FALSE)</f>
        <v>Kooklokaal/leskeuken</v>
      </c>
      <c r="C576" s="218" t="s">
        <v>777</v>
      </c>
      <c r="D576" s="217" t="s">
        <v>1</v>
      </c>
      <c r="E576" s="219" t="s">
        <v>102</v>
      </c>
      <c r="F576" s="218" t="s">
        <v>780</v>
      </c>
      <c r="G576" s="263" t="s">
        <v>302</v>
      </c>
      <c r="H576" s="220" t="s">
        <v>302</v>
      </c>
      <c r="I576" s="221" t="s">
        <v>2</v>
      </c>
      <c r="J576" s="221" t="s">
        <v>302</v>
      </c>
      <c r="K576" s="221" t="s">
        <v>2</v>
      </c>
      <c r="L576" s="220" t="s">
        <v>302</v>
      </c>
      <c r="M576" s="220" t="s">
        <v>302</v>
      </c>
      <c r="N576" s="221" t="s">
        <v>302</v>
      </c>
      <c r="O576" s="222" t="s">
        <v>2</v>
      </c>
      <c r="P576" s="222" t="s">
        <v>2</v>
      </c>
      <c r="Q576" s="222" t="s">
        <v>15</v>
      </c>
      <c r="R576" s="222" t="s">
        <v>15</v>
      </c>
      <c r="S576" s="222" t="s">
        <v>16</v>
      </c>
      <c r="T576" s="222" t="s">
        <v>349</v>
      </c>
      <c r="U576" s="222" t="s">
        <v>269</v>
      </c>
      <c r="V576" s="222" t="s">
        <v>302</v>
      </c>
      <c r="W576" s="223" t="s">
        <v>302</v>
      </c>
      <c r="X576" s="223" t="s">
        <v>302</v>
      </c>
      <c r="Y576" s="224" t="s">
        <v>302</v>
      </c>
    </row>
    <row r="577" spans="1:25">
      <c r="A577" s="216">
        <v>11</v>
      </c>
      <c r="B577" s="217" t="str">
        <f>VLOOKUP(Tabel10[[#This Row],[Code]],Ruimtegroepen[[Code]:[Ruimte omschrijving]],2,FALSE)</f>
        <v>Kooklokaal/leskeuken</v>
      </c>
      <c r="C577" s="218" t="s">
        <v>777</v>
      </c>
      <c r="D577" s="217" t="s">
        <v>1</v>
      </c>
      <c r="E577" s="219" t="s">
        <v>103</v>
      </c>
      <c r="F577" s="218" t="s">
        <v>781</v>
      </c>
      <c r="G577" s="263" t="s">
        <v>302</v>
      </c>
      <c r="H577" s="220" t="s">
        <v>302</v>
      </c>
      <c r="I577" s="221" t="s">
        <v>2</v>
      </c>
      <c r="J577" s="221" t="s">
        <v>302</v>
      </c>
      <c r="K577" s="221" t="s">
        <v>2</v>
      </c>
      <c r="L577" s="220" t="s">
        <v>302</v>
      </c>
      <c r="M577" s="220" t="s">
        <v>302</v>
      </c>
      <c r="N577" s="221" t="s">
        <v>302</v>
      </c>
      <c r="O577" s="222" t="s">
        <v>2</v>
      </c>
      <c r="P577" s="222" t="s">
        <v>2</v>
      </c>
      <c r="Q577" s="222" t="s">
        <v>15</v>
      </c>
      <c r="R577" s="222" t="s">
        <v>15</v>
      </c>
      <c r="S577" s="222" t="s">
        <v>16</v>
      </c>
      <c r="T577" s="222" t="s">
        <v>349</v>
      </c>
      <c r="U577" s="222" t="s">
        <v>269</v>
      </c>
      <c r="V577" s="222" t="s">
        <v>302</v>
      </c>
      <c r="W577" s="223" t="s">
        <v>302</v>
      </c>
      <c r="X577" s="223" t="s">
        <v>302</v>
      </c>
      <c r="Y577" s="224" t="s">
        <v>302</v>
      </c>
    </row>
    <row r="578" spans="1:25">
      <c r="A578" s="216">
        <v>11</v>
      </c>
      <c r="B578" s="217" t="str">
        <f>VLOOKUP(Tabel10[[#This Row],[Code]],Ruimtegroepen[[Code]:[Ruimte omschrijving]],2,FALSE)</f>
        <v>Kooklokaal/leskeuken</v>
      </c>
      <c r="C578" s="218" t="s">
        <v>777</v>
      </c>
      <c r="D578" s="217" t="s">
        <v>1</v>
      </c>
      <c r="E578" s="219" t="s">
        <v>100</v>
      </c>
      <c r="F578" s="218" t="s">
        <v>779</v>
      </c>
      <c r="G578" s="263" t="s">
        <v>302</v>
      </c>
      <c r="H578" s="221" t="s">
        <v>2</v>
      </c>
      <c r="I578" s="220" t="s">
        <v>302</v>
      </c>
      <c r="J578" s="221" t="s">
        <v>302</v>
      </c>
      <c r="K578" s="221" t="s">
        <v>302</v>
      </c>
      <c r="L578" s="220" t="s">
        <v>302</v>
      </c>
      <c r="M578" s="220" t="s">
        <v>302</v>
      </c>
      <c r="N578" s="221" t="s">
        <v>302</v>
      </c>
      <c r="O578" s="222" t="s">
        <v>2</v>
      </c>
      <c r="P578" s="222" t="s">
        <v>2</v>
      </c>
      <c r="Q578" s="222" t="s">
        <v>15</v>
      </c>
      <c r="R578" s="222" t="s">
        <v>15</v>
      </c>
      <c r="S578" s="222" t="s">
        <v>16</v>
      </c>
      <c r="T578" s="222" t="s">
        <v>349</v>
      </c>
      <c r="U578" s="222" t="s">
        <v>269</v>
      </c>
      <c r="V578" s="222" t="s">
        <v>302</v>
      </c>
      <c r="W578" s="223" t="s">
        <v>302</v>
      </c>
      <c r="X578" s="223" t="s">
        <v>302</v>
      </c>
      <c r="Y578" s="224" t="s">
        <v>302</v>
      </c>
    </row>
    <row r="579" spans="1:25">
      <c r="A579" s="216">
        <v>11</v>
      </c>
      <c r="B579" s="217" t="str">
        <f>VLOOKUP(Tabel10[[#This Row],[Code]],Ruimtegroepen[[Code]:[Ruimte omschrijving]],2,FALSE)</f>
        <v>Kooklokaal/leskeuken</v>
      </c>
      <c r="C579" s="218" t="s">
        <v>777</v>
      </c>
      <c r="D579" s="217" t="s">
        <v>1</v>
      </c>
      <c r="E579" s="219" t="s">
        <v>1325</v>
      </c>
      <c r="F579" s="218" t="s">
        <v>1484</v>
      </c>
      <c r="G579" s="263" t="s">
        <v>302</v>
      </c>
      <c r="H579" s="220" t="s">
        <v>302</v>
      </c>
      <c r="I579" s="221" t="s">
        <v>2</v>
      </c>
      <c r="J579" s="221" t="s">
        <v>302</v>
      </c>
      <c r="K579" s="221" t="s">
        <v>2</v>
      </c>
      <c r="L579" s="220" t="s">
        <v>302</v>
      </c>
      <c r="M579" s="220" t="s">
        <v>302</v>
      </c>
      <c r="N579" s="221" t="s">
        <v>302</v>
      </c>
      <c r="O579" s="222" t="s">
        <v>2</v>
      </c>
      <c r="P579" s="222" t="s">
        <v>2</v>
      </c>
      <c r="Q579" s="222" t="s">
        <v>15</v>
      </c>
      <c r="R579" s="222" t="s">
        <v>15</v>
      </c>
      <c r="S579" s="222" t="s">
        <v>16</v>
      </c>
      <c r="T579" s="222" t="s">
        <v>349</v>
      </c>
      <c r="U579" s="222" t="s">
        <v>269</v>
      </c>
      <c r="V579" s="222" t="s">
        <v>302</v>
      </c>
      <c r="W579" s="223" t="s">
        <v>302</v>
      </c>
      <c r="X579" s="223" t="s">
        <v>302</v>
      </c>
      <c r="Y579" s="224" t="s">
        <v>302</v>
      </c>
    </row>
    <row r="580" spans="1:25">
      <c r="A580" s="216">
        <v>11</v>
      </c>
      <c r="B580" s="217" t="str">
        <f>VLOOKUP(Tabel10[[#This Row],[Code]],Ruimtegroepen[[Code]:[Ruimte omschrijving]],2,FALSE)</f>
        <v>Kooklokaal/leskeuken</v>
      </c>
      <c r="C580" s="218" t="s">
        <v>782</v>
      </c>
      <c r="D580" s="217" t="s">
        <v>21</v>
      </c>
      <c r="E580" s="219" t="s">
        <v>101</v>
      </c>
      <c r="F580" s="218" t="s">
        <v>783</v>
      </c>
      <c r="G580" s="263" t="s">
        <v>302</v>
      </c>
      <c r="H580" s="220" t="s">
        <v>302</v>
      </c>
      <c r="I580" s="220" t="s">
        <v>302</v>
      </c>
      <c r="J580" s="220" t="s">
        <v>20</v>
      </c>
      <c r="K580" s="221" t="s">
        <v>302</v>
      </c>
      <c r="L580" s="220" t="s">
        <v>302</v>
      </c>
      <c r="M580" s="220" t="s">
        <v>302</v>
      </c>
      <c r="N580" s="221" t="s">
        <v>302</v>
      </c>
      <c r="O580" s="222" t="s">
        <v>20</v>
      </c>
      <c r="P580" s="222" t="s">
        <v>20</v>
      </c>
      <c r="Q580" s="222" t="s">
        <v>15</v>
      </c>
      <c r="R580" s="222" t="s">
        <v>15</v>
      </c>
      <c r="S580" s="222" t="s">
        <v>16</v>
      </c>
      <c r="T580" s="222" t="s">
        <v>349</v>
      </c>
      <c r="U580" s="222" t="s">
        <v>269</v>
      </c>
      <c r="V580" s="222" t="s">
        <v>302</v>
      </c>
      <c r="W580" s="223" t="s">
        <v>302</v>
      </c>
      <c r="X580" s="223" t="s">
        <v>302</v>
      </c>
      <c r="Y580" s="224" t="s">
        <v>302</v>
      </c>
    </row>
    <row r="581" spans="1:25">
      <c r="A581" s="216">
        <v>11</v>
      </c>
      <c r="B581" s="217" t="str">
        <f>VLOOKUP(Tabel10[[#This Row],[Code]],Ruimtegroepen[[Code]:[Ruimte omschrijving]],2,FALSE)</f>
        <v>Kooklokaal/leskeuken</v>
      </c>
      <c r="C581" s="218" t="s">
        <v>782</v>
      </c>
      <c r="D581" s="217" t="s">
        <v>21</v>
      </c>
      <c r="E581" s="219" t="s">
        <v>100</v>
      </c>
      <c r="F581" s="218" t="s">
        <v>784</v>
      </c>
      <c r="G581" s="263" t="s">
        <v>302</v>
      </c>
      <c r="H581" s="221" t="s">
        <v>20</v>
      </c>
      <c r="I581" s="220" t="s">
        <v>302</v>
      </c>
      <c r="J581" s="221" t="s">
        <v>302</v>
      </c>
      <c r="K581" s="221" t="s">
        <v>302</v>
      </c>
      <c r="L581" s="220" t="s">
        <v>302</v>
      </c>
      <c r="M581" s="220" t="s">
        <v>302</v>
      </c>
      <c r="N581" s="221" t="s">
        <v>302</v>
      </c>
      <c r="O581" s="222" t="s">
        <v>20</v>
      </c>
      <c r="P581" s="222" t="s">
        <v>20</v>
      </c>
      <c r="Q581" s="222" t="s">
        <v>15</v>
      </c>
      <c r="R581" s="222" t="s">
        <v>15</v>
      </c>
      <c r="S581" s="222" t="s">
        <v>16</v>
      </c>
      <c r="T581" s="222" t="s">
        <v>349</v>
      </c>
      <c r="U581" s="222" t="s">
        <v>269</v>
      </c>
      <c r="V581" s="222" t="s">
        <v>302</v>
      </c>
      <c r="W581" s="223" t="s">
        <v>302</v>
      </c>
      <c r="X581" s="223" t="s">
        <v>302</v>
      </c>
      <c r="Y581" s="224" t="s">
        <v>302</v>
      </c>
    </row>
    <row r="582" spans="1:25">
      <c r="A582" s="216">
        <v>11</v>
      </c>
      <c r="B582" s="217" t="str">
        <f>VLOOKUP(Tabel10[[#This Row],[Code]],Ruimtegroepen[[Code]:[Ruimte omschrijving]],2,FALSE)</f>
        <v>Kooklokaal/leskeuken</v>
      </c>
      <c r="C582" s="218" t="s">
        <v>782</v>
      </c>
      <c r="D582" s="217" t="s">
        <v>21</v>
      </c>
      <c r="E582" s="219" t="s">
        <v>102</v>
      </c>
      <c r="F582" s="218" t="s">
        <v>785</v>
      </c>
      <c r="G582" s="263" t="s">
        <v>302</v>
      </c>
      <c r="H582" s="220" t="s">
        <v>302</v>
      </c>
      <c r="I582" s="221" t="s">
        <v>20</v>
      </c>
      <c r="J582" s="221" t="s">
        <v>302</v>
      </c>
      <c r="K582" s="221" t="s">
        <v>20</v>
      </c>
      <c r="L582" s="220" t="s">
        <v>302</v>
      </c>
      <c r="M582" s="220" t="s">
        <v>302</v>
      </c>
      <c r="N582" s="221" t="s">
        <v>302</v>
      </c>
      <c r="O582" s="222" t="s">
        <v>20</v>
      </c>
      <c r="P582" s="222" t="s">
        <v>20</v>
      </c>
      <c r="Q582" s="222" t="s">
        <v>15</v>
      </c>
      <c r="R582" s="222" t="s">
        <v>15</v>
      </c>
      <c r="S582" s="222" t="s">
        <v>16</v>
      </c>
      <c r="T582" s="222" t="s">
        <v>349</v>
      </c>
      <c r="U582" s="222" t="s">
        <v>269</v>
      </c>
      <c r="V582" s="222" t="s">
        <v>302</v>
      </c>
      <c r="W582" s="223" t="s">
        <v>302</v>
      </c>
      <c r="X582" s="223" t="s">
        <v>302</v>
      </c>
      <c r="Y582" s="224" t="s">
        <v>302</v>
      </c>
    </row>
    <row r="583" spans="1:25">
      <c r="A583" s="216">
        <v>11</v>
      </c>
      <c r="B583" s="217" t="str">
        <f>VLOOKUP(Tabel10[[#This Row],[Code]],Ruimtegroepen[[Code]:[Ruimte omschrijving]],2,FALSE)</f>
        <v>Kooklokaal/leskeuken</v>
      </c>
      <c r="C583" s="218" t="s">
        <v>782</v>
      </c>
      <c r="D583" s="217" t="s">
        <v>21</v>
      </c>
      <c r="E583" s="219" t="s">
        <v>103</v>
      </c>
      <c r="F583" s="218" t="s">
        <v>786</v>
      </c>
      <c r="G583" s="263" t="s">
        <v>302</v>
      </c>
      <c r="H583" s="220" t="s">
        <v>302</v>
      </c>
      <c r="I583" s="221" t="s">
        <v>20</v>
      </c>
      <c r="J583" s="221" t="s">
        <v>302</v>
      </c>
      <c r="K583" s="221" t="s">
        <v>20</v>
      </c>
      <c r="L583" s="220" t="s">
        <v>302</v>
      </c>
      <c r="M583" s="220" t="s">
        <v>302</v>
      </c>
      <c r="N583" s="221" t="s">
        <v>302</v>
      </c>
      <c r="O583" s="222" t="s">
        <v>20</v>
      </c>
      <c r="P583" s="222" t="s">
        <v>20</v>
      </c>
      <c r="Q583" s="222" t="s">
        <v>15</v>
      </c>
      <c r="R583" s="222" t="s">
        <v>15</v>
      </c>
      <c r="S583" s="222" t="s">
        <v>16</v>
      </c>
      <c r="T583" s="222" t="s">
        <v>349</v>
      </c>
      <c r="U583" s="222" t="s">
        <v>269</v>
      </c>
      <c r="V583" s="222" t="s">
        <v>302</v>
      </c>
      <c r="W583" s="223" t="s">
        <v>302</v>
      </c>
      <c r="X583" s="223" t="s">
        <v>302</v>
      </c>
      <c r="Y583" s="224" t="s">
        <v>302</v>
      </c>
    </row>
    <row r="584" spans="1:25">
      <c r="A584" s="216">
        <v>11</v>
      </c>
      <c r="B584" s="217" t="str">
        <f>VLOOKUP(Tabel10[[#This Row],[Code]],Ruimtegroepen[[Code]:[Ruimte omschrijving]],2,FALSE)</f>
        <v>Kooklokaal/leskeuken</v>
      </c>
      <c r="C584" s="218" t="s">
        <v>782</v>
      </c>
      <c r="D584" s="217" t="s">
        <v>21</v>
      </c>
      <c r="E584" s="219" t="s">
        <v>100</v>
      </c>
      <c r="F584" s="218" t="s">
        <v>784</v>
      </c>
      <c r="G584" s="263" t="s">
        <v>302</v>
      </c>
      <c r="H584" s="221" t="s">
        <v>20</v>
      </c>
      <c r="I584" s="220" t="s">
        <v>302</v>
      </c>
      <c r="J584" s="221" t="s">
        <v>302</v>
      </c>
      <c r="K584" s="221" t="s">
        <v>302</v>
      </c>
      <c r="L584" s="220" t="s">
        <v>302</v>
      </c>
      <c r="M584" s="220" t="s">
        <v>302</v>
      </c>
      <c r="N584" s="221" t="s">
        <v>302</v>
      </c>
      <c r="O584" s="222" t="s">
        <v>20</v>
      </c>
      <c r="P584" s="222" t="s">
        <v>20</v>
      </c>
      <c r="Q584" s="222" t="s">
        <v>15</v>
      </c>
      <c r="R584" s="222" t="s">
        <v>15</v>
      </c>
      <c r="S584" s="222" t="s">
        <v>16</v>
      </c>
      <c r="T584" s="222" t="s">
        <v>349</v>
      </c>
      <c r="U584" s="222" t="s">
        <v>269</v>
      </c>
      <c r="V584" s="222" t="s">
        <v>302</v>
      </c>
      <c r="W584" s="223" t="s">
        <v>302</v>
      </c>
      <c r="X584" s="223" t="s">
        <v>302</v>
      </c>
      <c r="Y584" s="224" t="s">
        <v>302</v>
      </c>
    </row>
    <row r="585" spans="1:25">
      <c r="A585" s="216">
        <v>11</v>
      </c>
      <c r="B585" s="217" t="str">
        <f>VLOOKUP(Tabel10[[#This Row],[Code]],Ruimtegroepen[[Code]:[Ruimte omschrijving]],2,FALSE)</f>
        <v>Kooklokaal/leskeuken</v>
      </c>
      <c r="C585" s="218" t="s">
        <v>782</v>
      </c>
      <c r="D585" s="217" t="s">
        <v>21</v>
      </c>
      <c r="E585" s="219" t="s">
        <v>1325</v>
      </c>
      <c r="F585" s="218" t="s">
        <v>1467</v>
      </c>
      <c r="G585" s="263" t="s">
        <v>302</v>
      </c>
      <c r="H585" s="220" t="s">
        <v>302</v>
      </c>
      <c r="I585" s="221" t="s">
        <v>20</v>
      </c>
      <c r="J585" s="221" t="s">
        <v>302</v>
      </c>
      <c r="K585" s="221" t="s">
        <v>20</v>
      </c>
      <c r="L585" s="220" t="s">
        <v>302</v>
      </c>
      <c r="M585" s="220" t="s">
        <v>302</v>
      </c>
      <c r="N585" s="221" t="s">
        <v>302</v>
      </c>
      <c r="O585" s="222" t="s">
        <v>20</v>
      </c>
      <c r="P585" s="222" t="s">
        <v>20</v>
      </c>
      <c r="Q585" s="222" t="s">
        <v>15</v>
      </c>
      <c r="R585" s="222" t="s">
        <v>15</v>
      </c>
      <c r="S585" s="222" t="s">
        <v>16</v>
      </c>
      <c r="T585" s="222" t="s">
        <v>349</v>
      </c>
      <c r="U585" s="222" t="s">
        <v>269</v>
      </c>
      <c r="V585" s="222" t="s">
        <v>302</v>
      </c>
      <c r="W585" s="223" t="s">
        <v>302</v>
      </c>
      <c r="X585" s="223" t="s">
        <v>302</v>
      </c>
      <c r="Y585" s="224" t="s">
        <v>302</v>
      </c>
    </row>
    <row r="586" spans="1:25">
      <c r="A586" s="216">
        <v>11</v>
      </c>
      <c r="B586" s="217" t="str">
        <f>VLOOKUP(Tabel10[[#This Row],[Code]],Ruimtegroepen[[Code]:[Ruimte omschrijving]],2,FALSE)</f>
        <v>Kooklokaal/leskeuken</v>
      </c>
      <c r="C586" s="218" t="s">
        <v>787</v>
      </c>
      <c r="D586" s="217" t="s">
        <v>12</v>
      </c>
      <c r="E586" s="219" t="s">
        <v>101</v>
      </c>
      <c r="F586" s="218" t="s">
        <v>788</v>
      </c>
      <c r="G586" s="263" t="s">
        <v>302</v>
      </c>
      <c r="H586" s="220" t="s">
        <v>302</v>
      </c>
      <c r="I586" s="220" t="s">
        <v>302</v>
      </c>
      <c r="J586" s="220" t="s">
        <v>18</v>
      </c>
      <c r="K586" s="221" t="s">
        <v>302</v>
      </c>
      <c r="L586" s="220" t="s">
        <v>302</v>
      </c>
      <c r="M586" s="220" t="s">
        <v>302</v>
      </c>
      <c r="N586" s="221" t="s">
        <v>302</v>
      </c>
      <c r="O586" s="222" t="s">
        <v>18</v>
      </c>
      <c r="P586" s="222" t="s">
        <v>18</v>
      </c>
      <c r="Q586" s="222" t="s">
        <v>15</v>
      </c>
      <c r="R586" s="222" t="s">
        <v>15</v>
      </c>
      <c r="S586" s="222" t="s">
        <v>16</v>
      </c>
      <c r="T586" s="222" t="s">
        <v>349</v>
      </c>
      <c r="U586" s="222" t="s">
        <v>269</v>
      </c>
      <c r="V586" s="222" t="s">
        <v>302</v>
      </c>
      <c r="W586" s="223" t="s">
        <v>302</v>
      </c>
      <c r="X586" s="223" t="s">
        <v>302</v>
      </c>
      <c r="Y586" s="224" t="s">
        <v>302</v>
      </c>
    </row>
    <row r="587" spans="1:25">
      <c r="A587" s="216">
        <v>11</v>
      </c>
      <c r="B587" s="217" t="str">
        <f>VLOOKUP(Tabel10[[#This Row],[Code]],Ruimtegroepen[[Code]:[Ruimte omschrijving]],2,FALSE)</f>
        <v>Kooklokaal/leskeuken</v>
      </c>
      <c r="C587" s="218" t="s">
        <v>787</v>
      </c>
      <c r="D587" s="217" t="s">
        <v>12</v>
      </c>
      <c r="E587" s="219" t="s">
        <v>100</v>
      </c>
      <c r="F587" s="218" t="s">
        <v>789</v>
      </c>
      <c r="G587" s="263" t="s">
        <v>302</v>
      </c>
      <c r="H587" s="221" t="s">
        <v>18</v>
      </c>
      <c r="I587" s="220" t="s">
        <v>302</v>
      </c>
      <c r="J587" s="221" t="s">
        <v>302</v>
      </c>
      <c r="K587" s="221" t="s">
        <v>302</v>
      </c>
      <c r="L587" s="220" t="s">
        <v>302</v>
      </c>
      <c r="M587" s="220" t="s">
        <v>302</v>
      </c>
      <c r="N587" s="221" t="s">
        <v>302</v>
      </c>
      <c r="O587" s="222" t="s">
        <v>18</v>
      </c>
      <c r="P587" s="222" t="s">
        <v>18</v>
      </c>
      <c r="Q587" s="222" t="s">
        <v>15</v>
      </c>
      <c r="R587" s="222" t="s">
        <v>15</v>
      </c>
      <c r="S587" s="222" t="s">
        <v>16</v>
      </c>
      <c r="T587" s="222" t="s">
        <v>349</v>
      </c>
      <c r="U587" s="222" t="s">
        <v>269</v>
      </c>
      <c r="V587" s="222" t="s">
        <v>302</v>
      </c>
      <c r="W587" s="223" t="s">
        <v>302</v>
      </c>
      <c r="X587" s="223" t="s">
        <v>302</v>
      </c>
      <c r="Y587" s="224" t="s">
        <v>302</v>
      </c>
    </row>
    <row r="588" spans="1:25">
      <c r="A588" s="216">
        <v>11</v>
      </c>
      <c r="B588" s="217" t="str">
        <f>VLOOKUP(Tabel10[[#This Row],[Code]],Ruimtegroepen[[Code]:[Ruimte omschrijving]],2,FALSE)</f>
        <v>Kooklokaal/leskeuken</v>
      </c>
      <c r="C588" s="218" t="s">
        <v>787</v>
      </c>
      <c r="D588" s="217" t="s">
        <v>12</v>
      </c>
      <c r="E588" s="219" t="s">
        <v>102</v>
      </c>
      <c r="F588" s="218" t="s">
        <v>790</v>
      </c>
      <c r="G588" s="263" t="s">
        <v>302</v>
      </c>
      <c r="H588" s="220" t="s">
        <v>302</v>
      </c>
      <c r="I588" s="221" t="s">
        <v>18</v>
      </c>
      <c r="J588" s="221" t="s">
        <v>302</v>
      </c>
      <c r="K588" s="221" t="s">
        <v>18</v>
      </c>
      <c r="L588" s="220" t="s">
        <v>302</v>
      </c>
      <c r="M588" s="220" t="s">
        <v>302</v>
      </c>
      <c r="N588" s="221" t="s">
        <v>302</v>
      </c>
      <c r="O588" s="222" t="s">
        <v>18</v>
      </c>
      <c r="P588" s="222" t="s">
        <v>18</v>
      </c>
      <c r="Q588" s="222" t="s">
        <v>15</v>
      </c>
      <c r="R588" s="222" t="s">
        <v>15</v>
      </c>
      <c r="S588" s="222" t="s">
        <v>16</v>
      </c>
      <c r="T588" s="222" t="s">
        <v>349</v>
      </c>
      <c r="U588" s="222" t="s">
        <v>269</v>
      </c>
      <c r="V588" s="222" t="s">
        <v>302</v>
      </c>
      <c r="W588" s="223" t="s">
        <v>302</v>
      </c>
      <c r="X588" s="223" t="s">
        <v>302</v>
      </c>
      <c r="Y588" s="224" t="s">
        <v>302</v>
      </c>
    </row>
    <row r="589" spans="1:25">
      <c r="A589" s="216">
        <v>11</v>
      </c>
      <c r="B589" s="217" t="str">
        <f>VLOOKUP(Tabel10[[#This Row],[Code]],Ruimtegroepen[[Code]:[Ruimte omschrijving]],2,FALSE)</f>
        <v>Kooklokaal/leskeuken</v>
      </c>
      <c r="C589" s="218" t="s">
        <v>787</v>
      </c>
      <c r="D589" s="217" t="s">
        <v>12</v>
      </c>
      <c r="E589" s="219" t="s">
        <v>103</v>
      </c>
      <c r="F589" s="218" t="s">
        <v>791</v>
      </c>
      <c r="G589" s="263" t="s">
        <v>302</v>
      </c>
      <c r="H589" s="220" t="s">
        <v>302</v>
      </c>
      <c r="I589" s="221" t="s">
        <v>18</v>
      </c>
      <c r="J589" s="221" t="s">
        <v>302</v>
      </c>
      <c r="K589" s="221" t="s">
        <v>18</v>
      </c>
      <c r="L589" s="220" t="s">
        <v>302</v>
      </c>
      <c r="M589" s="220" t="s">
        <v>302</v>
      </c>
      <c r="N589" s="221" t="s">
        <v>302</v>
      </c>
      <c r="O589" s="222" t="s">
        <v>18</v>
      </c>
      <c r="P589" s="222" t="s">
        <v>18</v>
      </c>
      <c r="Q589" s="222" t="s">
        <v>15</v>
      </c>
      <c r="R589" s="222" t="s">
        <v>15</v>
      </c>
      <c r="S589" s="222" t="s">
        <v>16</v>
      </c>
      <c r="T589" s="222" t="s">
        <v>349</v>
      </c>
      <c r="U589" s="222" t="s">
        <v>269</v>
      </c>
      <c r="V589" s="222" t="s">
        <v>302</v>
      </c>
      <c r="W589" s="223" t="s">
        <v>302</v>
      </c>
      <c r="X589" s="223" t="s">
        <v>302</v>
      </c>
      <c r="Y589" s="224" t="s">
        <v>302</v>
      </c>
    </row>
    <row r="590" spans="1:25">
      <c r="A590" s="216">
        <v>11</v>
      </c>
      <c r="B590" s="217" t="str">
        <f>VLOOKUP(Tabel10[[#This Row],[Code]],Ruimtegroepen[[Code]:[Ruimte omschrijving]],2,FALSE)</f>
        <v>Kooklokaal/leskeuken</v>
      </c>
      <c r="C590" s="218" t="s">
        <v>787</v>
      </c>
      <c r="D590" s="217" t="s">
        <v>12</v>
      </c>
      <c r="E590" s="219" t="s">
        <v>100</v>
      </c>
      <c r="F590" s="218" t="s">
        <v>789</v>
      </c>
      <c r="G590" s="263" t="s">
        <v>302</v>
      </c>
      <c r="H590" s="221" t="s">
        <v>18</v>
      </c>
      <c r="I590" s="220" t="s">
        <v>302</v>
      </c>
      <c r="J590" s="221" t="s">
        <v>302</v>
      </c>
      <c r="K590" s="221" t="s">
        <v>302</v>
      </c>
      <c r="L590" s="220" t="s">
        <v>302</v>
      </c>
      <c r="M590" s="220" t="s">
        <v>302</v>
      </c>
      <c r="N590" s="221" t="s">
        <v>302</v>
      </c>
      <c r="O590" s="222" t="s">
        <v>18</v>
      </c>
      <c r="P590" s="222" t="s">
        <v>18</v>
      </c>
      <c r="Q590" s="222" t="s">
        <v>15</v>
      </c>
      <c r="R590" s="222" t="s">
        <v>15</v>
      </c>
      <c r="S590" s="222" t="s">
        <v>16</v>
      </c>
      <c r="T590" s="222" t="s">
        <v>349</v>
      </c>
      <c r="U590" s="222" t="s">
        <v>269</v>
      </c>
      <c r="V590" s="222" t="s">
        <v>302</v>
      </c>
      <c r="W590" s="223" t="s">
        <v>302</v>
      </c>
      <c r="X590" s="223" t="s">
        <v>302</v>
      </c>
      <c r="Y590" s="224" t="s">
        <v>302</v>
      </c>
    </row>
    <row r="591" spans="1:25">
      <c r="A591" s="216">
        <v>11</v>
      </c>
      <c r="B591" s="217" t="str">
        <f>VLOOKUP(Tabel10[[#This Row],[Code]],Ruimtegroepen[[Code]:[Ruimte omschrijving]],2,FALSE)</f>
        <v>Kooklokaal/leskeuken</v>
      </c>
      <c r="C591" s="218" t="s">
        <v>787</v>
      </c>
      <c r="D591" s="217" t="s">
        <v>12</v>
      </c>
      <c r="E591" s="219" t="s">
        <v>1325</v>
      </c>
      <c r="F591" s="218" t="s">
        <v>1449</v>
      </c>
      <c r="G591" s="263" t="s">
        <v>302</v>
      </c>
      <c r="H591" s="220" t="s">
        <v>302</v>
      </c>
      <c r="I591" s="221" t="s">
        <v>18</v>
      </c>
      <c r="J591" s="221" t="s">
        <v>302</v>
      </c>
      <c r="K591" s="221" t="s">
        <v>18</v>
      </c>
      <c r="L591" s="220" t="s">
        <v>302</v>
      </c>
      <c r="M591" s="220" t="s">
        <v>302</v>
      </c>
      <c r="N591" s="221" t="s">
        <v>302</v>
      </c>
      <c r="O591" s="222" t="s">
        <v>18</v>
      </c>
      <c r="P591" s="222" t="s">
        <v>18</v>
      </c>
      <c r="Q591" s="222" t="s">
        <v>15</v>
      </c>
      <c r="R591" s="222" t="s">
        <v>15</v>
      </c>
      <c r="S591" s="222" t="s">
        <v>16</v>
      </c>
      <c r="T591" s="222" t="s">
        <v>349</v>
      </c>
      <c r="U591" s="222" t="s">
        <v>269</v>
      </c>
      <c r="V591" s="222" t="s">
        <v>302</v>
      </c>
      <c r="W591" s="223" t="s">
        <v>302</v>
      </c>
      <c r="X591" s="223" t="s">
        <v>302</v>
      </c>
      <c r="Y591" s="224" t="s">
        <v>302</v>
      </c>
    </row>
    <row r="592" spans="1:25">
      <c r="A592" s="216">
        <v>11</v>
      </c>
      <c r="B592" s="217" t="str">
        <f>VLOOKUP(Tabel10[[#This Row],[Code]],Ruimtegroepen[[Code]:[Ruimte omschrijving]],2,FALSE)</f>
        <v>Kooklokaal/leskeuken</v>
      </c>
      <c r="C592" s="218" t="s">
        <v>792</v>
      </c>
      <c r="D592" s="217" t="s">
        <v>14</v>
      </c>
      <c r="E592" s="219" t="s">
        <v>101</v>
      </c>
      <c r="F592" s="218" t="s">
        <v>793</v>
      </c>
      <c r="G592" s="263" t="s">
        <v>302</v>
      </c>
      <c r="H592" s="220" t="s">
        <v>302</v>
      </c>
      <c r="I592" s="220" t="s">
        <v>302</v>
      </c>
      <c r="J592" s="220" t="s">
        <v>17</v>
      </c>
      <c r="K592" s="221" t="s">
        <v>302</v>
      </c>
      <c r="L592" s="220" t="s">
        <v>302</v>
      </c>
      <c r="M592" s="220" t="s">
        <v>302</v>
      </c>
      <c r="N592" s="221" t="s">
        <v>302</v>
      </c>
      <c r="O592" s="222" t="s">
        <v>17</v>
      </c>
      <c r="P592" s="222" t="s">
        <v>17</v>
      </c>
      <c r="Q592" s="222" t="s">
        <v>15</v>
      </c>
      <c r="R592" s="222" t="s">
        <v>15</v>
      </c>
      <c r="S592" s="222" t="s">
        <v>16</v>
      </c>
      <c r="T592" s="222" t="s">
        <v>349</v>
      </c>
      <c r="U592" s="222" t="s">
        <v>269</v>
      </c>
      <c r="V592" s="222" t="s">
        <v>302</v>
      </c>
      <c r="W592" s="223" t="s">
        <v>302</v>
      </c>
      <c r="X592" s="223" t="s">
        <v>302</v>
      </c>
      <c r="Y592" s="224" t="s">
        <v>302</v>
      </c>
    </row>
    <row r="593" spans="1:25">
      <c r="A593" s="216">
        <v>11</v>
      </c>
      <c r="B593" s="217" t="str">
        <f>VLOOKUP(Tabel10[[#This Row],[Code]],Ruimtegroepen[[Code]:[Ruimte omschrijving]],2,FALSE)</f>
        <v>Kooklokaal/leskeuken</v>
      </c>
      <c r="C593" s="218" t="s">
        <v>792</v>
      </c>
      <c r="D593" s="217" t="s">
        <v>14</v>
      </c>
      <c r="E593" s="219" t="s">
        <v>100</v>
      </c>
      <c r="F593" s="218" t="s">
        <v>794</v>
      </c>
      <c r="G593" s="263" t="s">
        <v>302</v>
      </c>
      <c r="H593" s="221" t="s">
        <v>17</v>
      </c>
      <c r="I593" s="220" t="s">
        <v>302</v>
      </c>
      <c r="J593" s="221" t="s">
        <v>302</v>
      </c>
      <c r="K593" s="221" t="s">
        <v>302</v>
      </c>
      <c r="L593" s="220" t="s">
        <v>302</v>
      </c>
      <c r="M593" s="220" t="s">
        <v>302</v>
      </c>
      <c r="N593" s="221" t="s">
        <v>302</v>
      </c>
      <c r="O593" s="222" t="s">
        <v>17</v>
      </c>
      <c r="P593" s="222" t="s">
        <v>17</v>
      </c>
      <c r="Q593" s="222" t="s">
        <v>15</v>
      </c>
      <c r="R593" s="222" t="s">
        <v>15</v>
      </c>
      <c r="S593" s="222" t="s">
        <v>16</v>
      </c>
      <c r="T593" s="222" t="s">
        <v>349</v>
      </c>
      <c r="U593" s="222" t="s">
        <v>269</v>
      </c>
      <c r="V593" s="222" t="s">
        <v>302</v>
      </c>
      <c r="W593" s="223" t="s">
        <v>302</v>
      </c>
      <c r="X593" s="223" t="s">
        <v>302</v>
      </c>
      <c r="Y593" s="224" t="s">
        <v>302</v>
      </c>
    </row>
    <row r="594" spans="1:25">
      <c r="A594" s="216">
        <v>11</v>
      </c>
      <c r="B594" s="217" t="str">
        <f>VLOOKUP(Tabel10[[#This Row],[Code]],Ruimtegroepen[[Code]:[Ruimte omschrijving]],2,FALSE)</f>
        <v>Kooklokaal/leskeuken</v>
      </c>
      <c r="C594" s="218" t="s">
        <v>792</v>
      </c>
      <c r="D594" s="217" t="s">
        <v>14</v>
      </c>
      <c r="E594" s="219" t="s">
        <v>102</v>
      </c>
      <c r="F594" s="218" t="s">
        <v>795</v>
      </c>
      <c r="G594" s="263" t="s">
        <v>302</v>
      </c>
      <c r="H594" s="220" t="s">
        <v>302</v>
      </c>
      <c r="I594" s="221" t="s">
        <v>17</v>
      </c>
      <c r="J594" s="221" t="s">
        <v>302</v>
      </c>
      <c r="K594" s="221" t="s">
        <v>17</v>
      </c>
      <c r="L594" s="220" t="s">
        <v>302</v>
      </c>
      <c r="M594" s="220" t="s">
        <v>302</v>
      </c>
      <c r="N594" s="221" t="s">
        <v>302</v>
      </c>
      <c r="O594" s="222" t="s">
        <v>17</v>
      </c>
      <c r="P594" s="222" t="s">
        <v>17</v>
      </c>
      <c r="Q594" s="222" t="s">
        <v>15</v>
      </c>
      <c r="R594" s="222" t="s">
        <v>15</v>
      </c>
      <c r="S594" s="222" t="s">
        <v>16</v>
      </c>
      <c r="T594" s="222" t="s">
        <v>349</v>
      </c>
      <c r="U594" s="222" t="s">
        <v>269</v>
      </c>
      <c r="V594" s="222" t="s">
        <v>302</v>
      </c>
      <c r="W594" s="223" t="s">
        <v>302</v>
      </c>
      <c r="X594" s="223" t="s">
        <v>302</v>
      </c>
      <c r="Y594" s="224" t="s">
        <v>302</v>
      </c>
    </row>
    <row r="595" spans="1:25">
      <c r="A595" s="216">
        <v>11</v>
      </c>
      <c r="B595" s="217" t="str">
        <f>VLOOKUP(Tabel10[[#This Row],[Code]],Ruimtegroepen[[Code]:[Ruimte omschrijving]],2,FALSE)</f>
        <v>Kooklokaal/leskeuken</v>
      </c>
      <c r="C595" s="218" t="s">
        <v>792</v>
      </c>
      <c r="D595" s="217" t="s">
        <v>14</v>
      </c>
      <c r="E595" s="219" t="s">
        <v>103</v>
      </c>
      <c r="F595" s="218" t="s">
        <v>796</v>
      </c>
      <c r="G595" s="263" t="s">
        <v>302</v>
      </c>
      <c r="H595" s="220" t="s">
        <v>302</v>
      </c>
      <c r="I595" s="221" t="s">
        <v>17</v>
      </c>
      <c r="J595" s="221" t="s">
        <v>302</v>
      </c>
      <c r="K595" s="221" t="s">
        <v>17</v>
      </c>
      <c r="L595" s="220" t="s">
        <v>302</v>
      </c>
      <c r="M595" s="220" t="s">
        <v>302</v>
      </c>
      <c r="N595" s="221" t="s">
        <v>302</v>
      </c>
      <c r="O595" s="222" t="s">
        <v>17</v>
      </c>
      <c r="P595" s="222" t="s">
        <v>17</v>
      </c>
      <c r="Q595" s="222" t="s">
        <v>15</v>
      </c>
      <c r="R595" s="222" t="s">
        <v>15</v>
      </c>
      <c r="S595" s="222" t="s">
        <v>16</v>
      </c>
      <c r="T595" s="222" t="s">
        <v>349</v>
      </c>
      <c r="U595" s="222" t="s">
        <v>269</v>
      </c>
      <c r="V595" s="222" t="s">
        <v>302</v>
      </c>
      <c r="W595" s="223" t="s">
        <v>302</v>
      </c>
      <c r="X595" s="223" t="s">
        <v>302</v>
      </c>
      <c r="Y595" s="224" t="s">
        <v>302</v>
      </c>
    </row>
    <row r="596" spans="1:25">
      <c r="A596" s="216">
        <v>11</v>
      </c>
      <c r="B596" s="217" t="str">
        <f>VLOOKUP(Tabel10[[#This Row],[Code]],Ruimtegroepen[[Code]:[Ruimte omschrijving]],2,FALSE)</f>
        <v>Kooklokaal/leskeuken</v>
      </c>
      <c r="C596" s="218" t="s">
        <v>792</v>
      </c>
      <c r="D596" s="217" t="s">
        <v>14</v>
      </c>
      <c r="E596" s="219" t="s">
        <v>100</v>
      </c>
      <c r="F596" s="218" t="s">
        <v>794</v>
      </c>
      <c r="G596" s="263" t="s">
        <v>302</v>
      </c>
      <c r="H596" s="221" t="s">
        <v>17</v>
      </c>
      <c r="I596" s="220" t="s">
        <v>302</v>
      </c>
      <c r="J596" s="221" t="s">
        <v>302</v>
      </c>
      <c r="K596" s="221" t="s">
        <v>302</v>
      </c>
      <c r="L596" s="220" t="s">
        <v>302</v>
      </c>
      <c r="M596" s="220" t="s">
        <v>302</v>
      </c>
      <c r="N596" s="221" t="s">
        <v>302</v>
      </c>
      <c r="O596" s="222" t="s">
        <v>17</v>
      </c>
      <c r="P596" s="222" t="s">
        <v>17</v>
      </c>
      <c r="Q596" s="222" t="s">
        <v>15</v>
      </c>
      <c r="R596" s="222" t="s">
        <v>15</v>
      </c>
      <c r="S596" s="222" t="s">
        <v>16</v>
      </c>
      <c r="T596" s="222" t="s">
        <v>349</v>
      </c>
      <c r="U596" s="222" t="s">
        <v>269</v>
      </c>
      <c r="V596" s="222" t="s">
        <v>302</v>
      </c>
      <c r="W596" s="223" t="s">
        <v>302</v>
      </c>
      <c r="X596" s="223" t="s">
        <v>302</v>
      </c>
      <c r="Y596" s="224" t="s">
        <v>302</v>
      </c>
    </row>
    <row r="597" spans="1:25">
      <c r="A597" s="216">
        <v>11</v>
      </c>
      <c r="B597" s="217" t="str">
        <f>VLOOKUP(Tabel10[[#This Row],[Code]],Ruimtegroepen[[Code]:[Ruimte omschrijving]],2,FALSE)</f>
        <v>Kooklokaal/leskeuken</v>
      </c>
      <c r="C597" s="218" t="s">
        <v>792</v>
      </c>
      <c r="D597" s="217" t="s">
        <v>14</v>
      </c>
      <c r="E597" s="219" t="s">
        <v>1325</v>
      </c>
      <c r="F597" s="218" t="s">
        <v>1416</v>
      </c>
      <c r="G597" s="263" t="s">
        <v>302</v>
      </c>
      <c r="H597" s="220" t="s">
        <v>302</v>
      </c>
      <c r="I597" s="221" t="s">
        <v>17</v>
      </c>
      <c r="J597" s="221" t="s">
        <v>302</v>
      </c>
      <c r="K597" s="221" t="s">
        <v>17</v>
      </c>
      <c r="L597" s="220" t="s">
        <v>302</v>
      </c>
      <c r="M597" s="220" t="s">
        <v>302</v>
      </c>
      <c r="N597" s="221" t="s">
        <v>302</v>
      </c>
      <c r="O597" s="222" t="s">
        <v>17</v>
      </c>
      <c r="P597" s="222" t="s">
        <v>17</v>
      </c>
      <c r="Q597" s="222" t="s">
        <v>15</v>
      </c>
      <c r="R597" s="222" t="s">
        <v>15</v>
      </c>
      <c r="S597" s="222" t="s">
        <v>16</v>
      </c>
      <c r="T597" s="222" t="s">
        <v>349</v>
      </c>
      <c r="U597" s="222" t="s">
        <v>269</v>
      </c>
      <c r="V597" s="222" t="s">
        <v>302</v>
      </c>
      <c r="W597" s="223" t="s">
        <v>302</v>
      </c>
      <c r="X597" s="223" t="s">
        <v>302</v>
      </c>
      <c r="Y597" s="224" t="s">
        <v>302</v>
      </c>
    </row>
    <row r="598" spans="1:25">
      <c r="A598" s="216">
        <v>11</v>
      </c>
      <c r="B598" s="217" t="str">
        <f>VLOOKUP(Tabel10[[#This Row],[Code]],Ruimtegroepen[[Code]:[Ruimte omschrijving]],2,FALSE)</f>
        <v>Kooklokaal/leskeuken</v>
      </c>
      <c r="C598" s="218" t="s">
        <v>797</v>
      </c>
      <c r="D598" s="217" t="s">
        <v>13</v>
      </c>
      <c r="E598" s="219" t="s">
        <v>101</v>
      </c>
      <c r="F598" s="218" t="s">
        <v>798</v>
      </c>
      <c r="G598" s="263" t="s">
        <v>302</v>
      </c>
      <c r="H598" s="220" t="s">
        <v>302</v>
      </c>
      <c r="I598" s="220" t="s">
        <v>302</v>
      </c>
      <c r="J598" s="221" t="s">
        <v>15</v>
      </c>
      <c r="K598" s="221" t="s">
        <v>302</v>
      </c>
      <c r="L598" s="220" t="s">
        <v>302</v>
      </c>
      <c r="M598" s="220" t="s">
        <v>302</v>
      </c>
      <c r="N598" s="221" t="s">
        <v>302</v>
      </c>
      <c r="O598" s="222" t="s">
        <v>15</v>
      </c>
      <c r="P598" s="222" t="s">
        <v>15</v>
      </c>
      <c r="Q598" s="222" t="s">
        <v>15</v>
      </c>
      <c r="R598" s="222" t="s">
        <v>15</v>
      </c>
      <c r="S598" s="222" t="s">
        <v>16</v>
      </c>
      <c r="T598" s="222" t="s">
        <v>349</v>
      </c>
      <c r="U598" s="222" t="s">
        <v>269</v>
      </c>
      <c r="V598" s="222" t="s">
        <v>302</v>
      </c>
      <c r="W598" s="223" t="s">
        <v>302</v>
      </c>
      <c r="X598" s="223" t="s">
        <v>302</v>
      </c>
      <c r="Y598" s="224" t="s">
        <v>302</v>
      </c>
    </row>
    <row r="599" spans="1:25">
      <c r="A599" s="216">
        <v>11</v>
      </c>
      <c r="B599" s="217" t="str">
        <f>VLOOKUP(Tabel10[[#This Row],[Code]],Ruimtegroepen[[Code]:[Ruimte omschrijving]],2,FALSE)</f>
        <v>Kooklokaal/leskeuken</v>
      </c>
      <c r="C599" s="218" t="s">
        <v>797</v>
      </c>
      <c r="D599" s="217" t="s">
        <v>13</v>
      </c>
      <c r="E599" s="219" t="s">
        <v>100</v>
      </c>
      <c r="F599" s="218" t="s">
        <v>799</v>
      </c>
      <c r="G599" s="263" t="s">
        <v>302</v>
      </c>
      <c r="H599" s="221" t="s">
        <v>15</v>
      </c>
      <c r="I599" s="220" t="s">
        <v>302</v>
      </c>
      <c r="J599" s="221" t="s">
        <v>302</v>
      </c>
      <c r="K599" s="221" t="s">
        <v>302</v>
      </c>
      <c r="L599" s="220" t="s">
        <v>302</v>
      </c>
      <c r="M599" s="220" t="s">
        <v>302</v>
      </c>
      <c r="N599" s="221" t="s">
        <v>302</v>
      </c>
      <c r="O599" s="222" t="s">
        <v>15</v>
      </c>
      <c r="P599" s="222" t="s">
        <v>15</v>
      </c>
      <c r="Q599" s="222" t="s">
        <v>15</v>
      </c>
      <c r="R599" s="222" t="s">
        <v>15</v>
      </c>
      <c r="S599" s="222" t="s">
        <v>16</v>
      </c>
      <c r="T599" s="222" t="s">
        <v>349</v>
      </c>
      <c r="U599" s="222" t="s">
        <v>269</v>
      </c>
      <c r="V599" s="222" t="s">
        <v>302</v>
      </c>
      <c r="W599" s="223" t="s">
        <v>302</v>
      </c>
      <c r="X599" s="223" t="s">
        <v>302</v>
      </c>
      <c r="Y599" s="224" t="s">
        <v>302</v>
      </c>
    </row>
    <row r="600" spans="1:25">
      <c r="A600" s="216">
        <v>11</v>
      </c>
      <c r="B600" s="217" t="str">
        <f>VLOOKUP(Tabel10[[#This Row],[Code]],Ruimtegroepen[[Code]:[Ruimte omschrijving]],2,FALSE)</f>
        <v>Kooklokaal/leskeuken</v>
      </c>
      <c r="C600" s="218" t="s">
        <v>797</v>
      </c>
      <c r="D600" s="217" t="s">
        <v>13</v>
      </c>
      <c r="E600" s="219" t="s">
        <v>102</v>
      </c>
      <c r="F600" s="218" t="s">
        <v>800</v>
      </c>
      <c r="G600" s="263" t="s">
        <v>302</v>
      </c>
      <c r="H600" s="220" t="s">
        <v>302</v>
      </c>
      <c r="I600" s="221" t="s">
        <v>15</v>
      </c>
      <c r="J600" s="221" t="s">
        <v>302</v>
      </c>
      <c r="K600" s="221" t="s">
        <v>15</v>
      </c>
      <c r="L600" s="220" t="s">
        <v>302</v>
      </c>
      <c r="M600" s="220" t="s">
        <v>302</v>
      </c>
      <c r="N600" s="221" t="s">
        <v>302</v>
      </c>
      <c r="O600" s="222" t="s">
        <v>15</v>
      </c>
      <c r="P600" s="222" t="s">
        <v>15</v>
      </c>
      <c r="Q600" s="222" t="s">
        <v>15</v>
      </c>
      <c r="R600" s="222" t="s">
        <v>15</v>
      </c>
      <c r="S600" s="222" t="s">
        <v>16</v>
      </c>
      <c r="T600" s="222" t="s">
        <v>349</v>
      </c>
      <c r="U600" s="222" t="s">
        <v>269</v>
      </c>
      <c r="V600" s="222" t="s">
        <v>302</v>
      </c>
      <c r="W600" s="223" t="s">
        <v>302</v>
      </c>
      <c r="X600" s="223" t="s">
        <v>302</v>
      </c>
      <c r="Y600" s="224" t="s">
        <v>302</v>
      </c>
    </row>
    <row r="601" spans="1:25">
      <c r="A601" s="216">
        <v>11</v>
      </c>
      <c r="B601" s="217" t="str">
        <f>VLOOKUP(Tabel10[[#This Row],[Code]],Ruimtegroepen[[Code]:[Ruimte omschrijving]],2,FALSE)</f>
        <v>Kooklokaal/leskeuken</v>
      </c>
      <c r="C601" s="218" t="s">
        <v>797</v>
      </c>
      <c r="D601" s="217" t="s">
        <v>13</v>
      </c>
      <c r="E601" s="219" t="s">
        <v>103</v>
      </c>
      <c r="F601" s="218" t="s">
        <v>801</v>
      </c>
      <c r="G601" s="263" t="s">
        <v>302</v>
      </c>
      <c r="H601" s="220" t="s">
        <v>302</v>
      </c>
      <c r="I601" s="221" t="s">
        <v>15</v>
      </c>
      <c r="J601" s="221" t="s">
        <v>302</v>
      </c>
      <c r="K601" s="221" t="s">
        <v>15</v>
      </c>
      <c r="L601" s="220" t="s">
        <v>302</v>
      </c>
      <c r="M601" s="220" t="s">
        <v>302</v>
      </c>
      <c r="N601" s="221" t="s">
        <v>302</v>
      </c>
      <c r="O601" s="222" t="s">
        <v>15</v>
      </c>
      <c r="P601" s="222" t="s">
        <v>15</v>
      </c>
      <c r="Q601" s="222" t="s">
        <v>15</v>
      </c>
      <c r="R601" s="222" t="s">
        <v>15</v>
      </c>
      <c r="S601" s="222" t="s">
        <v>16</v>
      </c>
      <c r="T601" s="222" t="s">
        <v>349</v>
      </c>
      <c r="U601" s="222" t="s">
        <v>269</v>
      </c>
      <c r="V601" s="222" t="s">
        <v>302</v>
      </c>
      <c r="W601" s="223" t="s">
        <v>302</v>
      </c>
      <c r="X601" s="223" t="s">
        <v>302</v>
      </c>
      <c r="Y601" s="224" t="s">
        <v>302</v>
      </c>
    </row>
    <row r="602" spans="1:25">
      <c r="A602" s="216">
        <v>11</v>
      </c>
      <c r="B602" s="217" t="str">
        <f>VLOOKUP(Tabel10[[#This Row],[Code]],Ruimtegroepen[[Code]:[Ruimte omschrijving]],2,FALSE)</f>
        <v>Kooklokaal/leskeuken</v>
      </c>
      <c r="C602" s="218" t="s">
        <v>797</v>
      </c>
      <c r="D602" s="217" t="s">
        <v>13</v>
      </c>
      <c r="E602" s="219" t="s">
        <v>100</v>
      </c>
      <c r="F602" s="218" t="s">
        <v>799</v>
      </c>
      <c r="G602" s="263" t="s">
        <v>302</v>
      </c>
      <c r="H602" s="221" t="s">
        <v>15</v>
      </c>
      <c r="I602" s="220" t="s">
        <v>302</v>
      </c>
      <c r="J602" s="221" t="s">
        <v>302</v>
      </c>
      <c r="K602" s="221" t="s">
        <v>302</v>
      </c>
      <c r="L602" s="220" t="s">
        <v>302</v>
      </c>
      <c r="M602" s="220" t="s">
        <v>302</v>
      </c>
      <c r="N602" s="221" t="s">
        <v>302</v>
      </c>
      <c r="O602" s="222" t="s">
        <v>15</v>
      </c>
      <c r="P602" s="222" t="s">
        <v>15</v>
      </c>
      <c r="Q602" s="222" t="s">
        <v>15</v>
      </c>
      <c r="R602" s="222" t="s">
        <v>15</v>
      </c>
      <c r="S602" s="222" t="s">
        <v>16</v>
      </c>
      <c r="T602" s="222" t="s">
        <v>349</v>
      </c>
      <c r="U602" s="222" t="s">
        <v>269</v>
      </c>
      <c r="V602" s="222" t="s">
        <v>302</v>
      </c>
      <c r="W602" s="223" t="s">
        <v>302</v>
      </c>
      <c r="X602" s="223" t="s">
        <v>302</v>
      </c>
      <c r="Y602" s="224" t="s">
        <v>302</v>
      </c>
    </row>
    <row r="603" spans="1:25">
      <c r="A603" s="216">
        <v>11</v>
      </c>
      <c r="B603" s="217" t="str">
        <f>VLOOKUP(Tabel10[[#This Row],[Code]],Ruimtegroepen[[Code]:[Ruimte omschrijving]],2,FALSE)</f>
        <v>Kooklokaal/leskeuken</v>
      </c>
      <c r="C603" s="218" t="s">
        <v>797</v>
      </c>
      <c r="D603" s="217" t="s">
        <v>13</v>
      </c>
      <c r="E603" s="219" t="s">
        <v>1325</v>
      </c>
      <c r="F603" s="218" t="s">
        <v>1383</v>
      </c>
      <c r="G603" s="263" t="s">
        <v>302</v>
      </c>
      <c r="H603" s="220" t="s">
        <v>302</v>
      </c>
      <c r="I603" s="221" t="s">
        <v>15</v>
      </c>
      <c r="J603" s="221" t="s">
        <v>302</v>
      </c>
      <c r="K603" s="221" t="s">
        <v>15</v>
      </c>
      <c r="L603" s="220" t="s">
        <v>302</v>
      </c>
      <c r="M603" s="220" t="s">
        <v>302</v>
      </c>
      <c r="N603" s="221" t="s">
        <v>302</v>
      </c>
      <c r="O603" s="222" t="s">
        <v>15</v>
      </c>
      <c r="P603" s="222" t="s">
        <v>15</v>
      </c>
      <c r="Q603" s="222" t="s">
        <v>15</v>
      </c>
      <c r="R603" s="222" t="s">
        <v>15</v>
      </c>
      <c r="S603" s="222" t="s">
        <v>16</v>
      </c>
      <c r="T603" s="222" t="s">
        <v>349</v>
      </c>
      <c r="U603" s="222" t="s">
        <v>269</v>
      </c>
      <c r="V603" s="222" t="s">
        <v>302</v>
      </c>
      <c r="W603" s="223" t="s">
        <v>302</v>
      </c>
      <c r="X603" s="223" t="s">
        <v>302</v>
      </c>
      <c r="Y603" s="224" t="s">
        <v>302</v>
      </c>
    </row>
    <row r="604" spans="1:25">
      <c r="A604" s="216">
        <v>11</v>
      </c>
      <c r="B604" s="217" t="str">
        <f>VLOOKUP(Tabel10[[#This Row],[Code]],Ruimtegroepen[[Code]:[Ruimte omschrijving]],2,FALSE)</f>
        <v>Kooklokaal/leskeuken</v>
      </c>
      <c r="C604" s="218" t="s">
        <v>802</v>
      </c>
      <c r="D604" s="217" t="s">
        <v>0</v>
      </c>
      <c r="E604" s="219" t="s">
        <v>101</v>
      </c>
      <c r="F604" s="218" t="s">
        <v>803</v>
      </c>
      <c r="G604" s="263" t="s">
        <v>302</v>
      </c>
      <c r="H604" s="220" t="s">
        <v>302</v>
      </c>
      <c r="I604" s="220" t="s">
        <v>302</v>
      </c>
      <c r="J604" s="221" t="s">
        <v>16</v>
      </c>
      <c r="K604" s="221" t="s">
        <v>302</v>
      </c>
      <c r="L604" s="220" t="s">
        <v>302</v>
      </c>
      <c r="M604" s="220" t="s">
        <v>302</v>
      </c>
      <c r="N604" s="221" t="s">
        <v>302</v>
      </c>
      <c r="O604" s="222" t="s">
        <v>16</v>
      </c>
      <c r="P604" s="222" t="s">
        <v>16</v>
      </c>
      <c r="Q604" s="222" t="s">
        <v>16</v>
      </c>
      <c r="R604" s="222" t="s">
        <v>16</v>
      </c>
      <c r="S604" s="222" t="s">
        <v>16</v>
      </c>
      <c r="T604" s="222" t="s">
        <v>349</v>
      </c>
      <c r="U604" s="222" t="s">
        <v>269</v>
      </c>
      <c r="V604" s="222" t="s">
        <v>302</v>
      </c>
      <c r="W604" s="223" t="s">
        <v>302</v>
      </c>
      <c r="X604" s="223" t="s">
        <v>302</v>
      </c>
      <c r="Y604" s="224" t="s">
        <v>302</v>
      </c>
    </row>
    <row r="605" spans="1:25">
      <c r="A605" s="216">
        <v>11</v>
      </c>
      <c r="B605" s="217" t="str">
        <f>VLOOKUP(Tabel10[[#This Row],[Code]],Ruimtegroepen[[Code]:[Ruimte omschrijving]],2,FALSE)</f>
        <v>Kooklokaal/leskeuken</v>
      </c>
      <c r="C605" s="218" t="s">
        <v>802</v>
      </c>
      <c r="D605" s="217" t="s">
        <v>0</v>
      </c>
      <c r="E605" s="219" t="s">
        <v>100</v>
      </c>
      <c r="F605" s="218" t="s">
        <v>804</v>
      </c>
      <c r="G605" s="263" t="s">
        <v>302</v>
      </c>
      <c r="H605" s="221" t="s">
        <v>16</v>
      </c>
      <c r="I605" s="220" t="s">
        <v>302</v>
      </c>
      <c r="J605" s="221" t="s">
        <v>302</v>
      </c>
      <c r="K605" s="221" t="s">
        <v>302</v>
      </c>
      <c r="L605" s="220" t="s">
        <v>302</v>
      </c>
      <c r="M605" s="220" t="s">
        <v>302</v>
      </c>
      <c r="N605" s="221" t="s">
        <v>302</v>
      </c>
      <c r="O605" s="222" t="s">
        <v>16</v>
      </c>
      <c r="P605" s="222" t="s">
        <v>16</v>
      </c>
      <c r="Q605" s="222" t="s">
        <v>16</v>
      </c>
      <c r="R605" s="222" t="s">
        <v>16</v>
      </c>
      <c r="S605" s="222" t="s">
        <v>16</v>
      </c>
      <c r="T605" s="222" t="s">
        <v>349</v>
      </c>
      <c r="U605" s="222" t="s">
        <v>269</v>
      </c>
      <c r="V605" s="222" t="s">
        <v>302</v>
      </c>
      <c r="W605" s="223" t="s">
        <v>302</v>
      </c>
      <c r="X605" s="223" t="s">
        <v>302</v>
      </c>
      <c r="Y605" s="224" t="s">
        <v>302</v>
      </c>
    </row>
    <row r="606" spans="1:25">
      <c r="A606" s="216">
        <v>11</v>
      </c>
      <c r="B606" s="217" t="str">
        <f>VLOOKUP(Tabel10[[#This Row],[Code]],Ruimtegroepen[[Code]:[Ruimte omschrijving]],2,FALSE)</f>
        <v>Kooklokaal/leskeuken</v>
      </c>
      <c r="C606" s="218" t="s">
        <v>802</v>
      </c>
      <c r="D606" s="217" t="s">
        <v>0</v>
      </c>
      <c r="E606" s="219" t="s">
        <v>102</v>
      </c>
      <c r="F606" s="218" t="s">
        <v>805</v>
      </c>
      <c r="G606" s="263" t="s">
        <v>302</v>
      </c>
      <c r="H606" s="220" t="s">
        <v>302</v>
      </c>
      <c r="I606" s="221" t="s">
        <v>16</v>
      </c>
      <c r="J606" s="221" t="s">
        <v>381</v>
      </c>
      <c r="K606" s="221" t="s">
        <v>16</v>
      </c>
      <c r="L606" s="220" t="s">
        <v>302</v>
      </c>
      <c r="M606" s="220" t="s">
        <v>302</v>
      </c>
      <c r="N606" s="221" t="s">
        <v>302</v>
      </c>
      <c r="O606" s="222" t="s">
        <v>16</v>
      </c>
      <c r="P606" s="222" t="s">
        <v>16</v>
      </c>
      <c r="Q606" s="222" t="s">
        <v>16</v>
      </c>
      <c r="R606" s="222" t="s">
        <v>16</v>
      </c>
      <c r="S606" s="222" t="s">
        <v>16</v>
      </c>
      <c r="T606" s="222" t="s">
        <v>349</v>
      </c>
      <c r="U606" s="222" t="s">
        <v>269</v>
      </c>
      <c r="V606" s="222" t="s">
        <v>302</v>
      </c>
      <c r="W606" s="223" t="s">
        <v>302</v>
      </c>
      <c r="X606" s="223" t="s">
        <v>302</v>
      </c>
      <c r="Y606" s="224" t="s">
        <v>302</v>
      </c>
    </row>
    <row r="607" spans="1:25">
      <c r="A607" s="216">
        <v>11</v>
      </c>
      <c r="B607" s="217" t="str">
        <f>VLOOKUP(Tabel10[[#This Row],[Code]],Ruimtegroepen[[Code]:[Ruimte omschrijving]],2,FALSE)</f>
        <v>Kooklokaal/leskeuken</v>
      </c>
      <c r="C607" s="218" t="s">
        <v>802</v>
      </c>
      <c r="D607" s="217" t="s">
        <v>0</v>
      </c>
      <c r="E607" s="219" t="s">
        <v>103</v>
      </c>
      <c r="F607" s="218" t="s">
        <v>806</v>
      </c>
      <c r="G607" s="263" t="s">
        <v>302</v>
      </c>
      <c r="H607" s="220" t="s">
        <v>302</v>
      </c>
      <c r="I607" s="221" t="s">
        <v>16</v>
      </c>
      <c r="J607" s="221" t="s">
        <v>302</v>
      </c>
      <c r="K607" s="221" t="s">
        <v>16</v>
      </c>
      <c r="L607" s="220" t="s">
        <v>302</v>
      </c>
      <c r="M607" s="220" t="s">
        <v>302</v>
      </c>
      <c r="N607" s="221" t="s">
        <v>302</v>
      </c>
      <c r="O607" s="222" t="s">
        <v>16</v>
      </c>
      <c r="P607" s="222" t="s">
        <v>16</v>
      </c>
      <c r="Q607" s="222" t="s">
        <v>16</v>
      </c>
      <c r="R607" s="222" t="s">
        <v>16</v>
      </c>
      <c r="S607" s="222" t="s">
        <v>16</v>
      </c>
      <c r="T607" s="222" t="s">
        <v>349</v>
      </c>
      <c r="U607" s="222" t="s">
        <v>269</v>
      </c>
      <c r="V607" s="222" t="s">
        <v>302</v>
      </c>
      <c r="W607" s="223" t="s">
        <v>302</v>
      </c>
      <c r="X607" s="223" t="s">
        <v>302</v>
      </c>
      <c r="Y607" s="224" t="s">
        <v>302</v>
      </c>
    </row>
    <row r="608" spans="1:25">
      <c r="A608" s="216">
        <v>11</v>
      </c>
      <c r="B608" s="217" t="str">
        <f>VLOOKUP(Tabel10[[#This Row],[Code]],Ruimtegroepen[[Code]:[Ruimte omschrijving]],2,FALSE)</f>
        <v>Kooklokaal/leskeuken</v>
      </c>
      <c r="C608" s="218" t="s">
        <v>802</v>
      </c>
      <c r="D608" s="217" t="s">
        <v>0</v>
      </c>
      <c r="E608" s="219" t="s">
        <v>100</v>
      </c>
      <c r="F608" s="218" t="s">
        <v>804</v>
      </c>
      <c r="G608" s="263" t="s">
        <v>302</v>
      </c>
      <c r="H608" s="221" t="s">
        <v>16</v>
      </c>
      <c r="I608" s="220" t="s">
        <v>302</v>
      </c>
      <c r="J608" s="221" t="s">
        <v>302</v>
      </c>
      <c r="K608" s="221" t="s">
        <v>302</v>
      </c>
      <c r="L608" s="220" t="s">
        <v>302</v>
      </c>
      <c r="M608" s="220" t="s">
        <v>302</v>
      </c>
      <c r="N608" s="221" t="s">
        <v>302</v>
      </c>
      <c r="O608" s="222" t="s">
        <v>16</v>
      </c>
      <c r="P608" s="222" t="s">
        <v>16</v>
      </c>
      <c r="Q608" s="222" t="s">
        <v>16</v>
      </c>
      <c r="R608" s="222" t="s">
        <v>16</v>
      </c>
      <c r="S608" s="222" t="s">
        <v>16</v>
      </c>
      <c r="T608" s="222" t="s">
        <v>349</v>
      </c>
      <c r="U608" s="222" t="s">
        <v>269</v>
      </c>
      <c r="V608" s="222" t="s">
        <v>302</v>
      </c>
      <c r="W608" s="223" t="s">
        <v>302</v>
      </c>
      <c r="X608" s="223" t="s">
        <v>302</v>
      </c>
      <c r="Y608" s="224" t="s">
        <v>302</v>
      </c>
    </row>
    <row r="609" spans="1:25">
      <c r="A609" s="216">
        <v>11</v>
      </c>
      <c r="B609" s="217" t="str">
        <f>VLOOKUP(Tabel10[[#This Row],[Code]],Ruimtegroepen[[Code]:[Ruimte omschrijving]],2,FALSE)</f>
        <v>Kooklokaal/leskeuken</v>
      </c>
      <c r="C609" s="218" t="s">
        <v>802</v>
      </c>
      <c r="D609" s="217" t="s">
        <v>0</v>
      </c>
      <c r="E609" s="219" t="s">
        <v>1325</v>
      </c>
      <c r="F609" s="218" t="s">
        <v>1367</v>
      </c>
      <c r="G609" s="263" t="s">
        <v>302</v>
      </c>
      <c r="H609" s="220" t="s">
        <v>302</v>
      </c>
      <c r="I609" s="221" t="s">
        <v>16</v>
      </c>
      <c r="J609" s="221" t="s">
        <v>302</v>
      </c>
      <c r="K609" s="221" t="s">
        <v>16</v>
      </c>
      <c r="L609" s="220" t="s">
        <v>302</v>
      </c>
      <c r="M609" s="220" t="s">
        <v>302</v>
      </c>
      <c r="N609" s="221" t="s">
        <v>302</v>
      </c>
      <c r="O609" s="222" t="s">
        <v>16</v>
      </c>
      <c r="P609" s="222" t="s">
        <v>16</v>
      </c>
      <c r="Q609" s="222" t="s">
        <v>16</v>
      </c>
      <c r="R609" s="222" t="s">
        <v>16</v>
      </c>
      <c r="S609" s="222" t="s">
        <v>16</v>
      </c>
      <c r="T609" s="222" t="s">
        <v>349</v>
      </c>
      <c r="U609" s="222" t="s">
        <v>269</v>
      </c>
      <c r="V609" s="222" t="s">
        <v>302</v>
      </c>
      <c r="W609" s="223" t="s">
        <v>302</v>
      </c>
      <c r="X609" s="223" t="s">
        <v>302</v>
      </c>
      <c r="Y609" s="224" t="s">
        <v>302</v>
      </c>
    </row>
    <row r="610" spans="1:25">
      <c r="A610" s="216">
        <v>11</v>
      </c>
      <c r="B610" s="217" t="str">
        <f>VLOOKUP(Tabel10[[#This Row],[Code]],Ruimtegroepen[[Code]:[Ruimte omschrijving]],2,FALSE)</f>
        <v>Kooklokaal/leskeuken</v>
      </c>
      <c r="C610" s="218" t="s">
        <v>807</v>
      </c>
      <c r="D610" s="217" t="s">
        <v>27</v>
      </c>
      <c r="E610" s="219" t="s">
        <v>101</v>
      </c>
      <c r="F610" s="218" t="s">
        <v>808</v>
      </c>
      <c r="G610" s="263" t="s">
        <v>302</v>
      </c>
      <c r="H610" s="220" t="s">
        <v>302</v>
      </c>
      <c r="I610" s="221" t="s">
        <v>15</v>
      </c>
      <c r="J610" s="220" t="s">
        <v>302</v>
      </c>
      <c r="K610" s="221" t="s">
        <v>302</v>
      </c>
      <c r="L610" s="220" t="s">
        <v>302</v>
      </c>
      <c r="M610" s="220" t="s">
        <v>302</v>
      </c>
      <c r="N610" s="221" t="s">
        <v>302</v>
      </c>
      <c r="O610" s="222" t="s">
        <v>15</v>
      </c>
      <c r="P610" s="222" t="s">
        <v>15</v>
      </c>
      <c r="Q610" s="222" t="s">
        <v>15</v>
      </c>
      <c r="R610" s="222" t="s">
        <v>302</v>
      </c>
      <c r="S610" s="222" t="s">
        <v>302</v>
      </c>
      <c r="T610" s="222" t="s">
        <v>302</v>
      </c>
      <c r="U610" s="222" t="s">
        <v>302</v>
      </c>
      <c r="V610" s="222" t="s">
        <v>302</v>
      </c>
      <c r="W610" s="223" t="s">
        <v>302</v>
      </c>
      <c r="X610" s="223" t="s">
        <v>302</v>
      </c>
      <c r="Y610" s="224" t="s">
        <v>302</v>
      </c>
    </row>
    <row r="611" spans="1:25">
      <c r="A611" s="216">
        <v>11</v>
      </c>
      <c r="B611" s="217" t="str">
        <f>VLOOKUP(Tabel10[[#This Row],[Code]],Ruimtegroepen[[Code]:[Ruimte omschrijving]],2,FALSE)</f>
        <v>Kooklokaal/leskeuken</v>
      </c>
      <c r="C611" s="218" t="s">
        <v>807</v>
      </c>
      <c r="D611" s="217" t="s">
        <v>27</v>
      </c>
      <c r="E611" s="219" t="s">
        <v>100</v>
      </c>
      <c r="F611" s="218" t="s">
        <v>809</v>
      </c>
      <c r="G611" s="263" t="s">
        <v>302</v>
      </c>
      <c r="H611" s="221" t="s">
        <v>15</v>
      </c>
      <c r="I611" s="220" t="s">
        <v>302</v>
      </c>
      <c r="J611" s="221" t="s">
        <v>302</v>
      </c>
      <c r="K611" s="221" t="s">
        <v>302</v>
      </c>
      <c r="L611" s="220" t="s">
        <v>302</v>
      </c>
      <c r="M611" s="220" t="s">
        <v>302</v>
      </c>
      <c r="N611" s="221" t="s">
        <v>302</v>
      </c>
      <c r="O611" s="222" t="s">
        <v>15</v>
      </c>
      <c r="P611" s="222" t="s">
        <v>15</v>
      </c>
      <c r="Q611" s="222" t="s">
        <v>15</v>
      </c>
      <c r="R611" s="222" t="s">
        <v>302</v>
      </c>
      <c r="S611" s="222" t="s">
        <v>302</v>
      </c>
      <c r="T611" s="222" t="s">
        <v>302</v>
      </c>
      <c r="U611" s="222" t="s">
        <v>302</v>
      </c>
      <c r="V611" s="222" t="s">
        <v>302</v>
      </c>
      <c r="W611" s="223" t="s">
        <v>302</v>
      </c>
      <c r="X611" s="223" t="s">
        <v>302</v>
      </c>
      <c r="Y611" s="224" t="s">
        <v>302</v>
      </c>
    </row>
    <row r="612" spans="1:25">
      <c r="A612" s="216">
        <v>11</v>
      </c>
      <c r="B612" s="217" t="str">
        <f>VLOOKUP(Tabel10[[#This Row],[Code]],Ruimtegroepen[[Code]:[Ruimte omschrijving]],2,FALSE)</f>
        <v>Kooklokaal/leskeuken</v>
      </c>
      <c r="C612" s="218" t="s">
        <v>807</v>
      </c>
      <c r="D612" s="217" t="s">
        <v>27</v>
      </c>
      <c r="E612" s="219" t="s">
        <v>102</v>
      </c>
      <c r="F612" s="218" t="s">
        <v>810</v>
      </c>
      <c r="G612" s="263" t="s">
        <v>302</v>
      </c>
      <c r="H612" s="220" t="s">
        <v>302</v>
      </c>
      <c r="I612" s="221" t="s">
        <v>15</v>
      </c>
      <c r="J612" s="221" t="s">
        <v>302</v>
      </c>
      <c r="K612" s="221" t="s">
        <v>302</v>
      </c>
      <c r="L612" s="220" t="s">
        <v>302</v>
      </c>
      <c r="M612" s="220" t="s">
        <v>302</v>
      </c>
      <c r="N612" s="221" t="s">
        <v>302</v>
      </c>
      <c r="O612" s="222" t="s">
        <v>15</v>
      </c>
      <c r="P612" s="222" t="s">
        <v>15</v>
      </c>
      <c r="Q612" s="222" t="s">
        <v>15</v>
      </c>
      <c r="R612" s="222" t="s">
        <v>302</v>
      </c>
      <c r="S612" s="222" t="s">
        <v>302</v>
      </c>
      <c r="T612" s="222" t="s">
        <v>302</v>
      </c>
      <c r="U612" s="222" t="s">
        <v>302</v>
      </c>
      <c r="V612" s="222" t="s">
        <v>302</v>
      </c>
      <c r="W612" s="223" t="s">
        <v>302</v>
      </c>
      <c r="X612" s="223" t="s">
        <v>302</v>
      </c>
      <c r="Y612" s="224" t="s">
        <v>302</v>
      </c>
    </row>
    <row r="613" spans="1:25">
      <c r="A613" s="216">
        <v>11</v>
      </c>
      <c r="B613" s="217" t="str">
        <f>VLOOKUP(Tabel10[[#This Row],[Code]],Ruimtegroepen[[Code]:[Ruimte omschrijving]],2,FALSE)</f>
        <v>Kooklokaal/leskeuken</v>
      </c>
      <c r="C613" s="218" t="s">
        <v>807</v>
      </c>
      <c r="D613" s="217" t="s">
        <v>27</v>
      </c>
      <c r="E613" s="219" t="s">
        <v>103</v>
      </c>
      <c r="F613" s="218" t="s">
        <v>811</v>
      </c>
      <c r="G613" s="263" t="s">
        <v>302</v>
      </c>
      <c r="H613" s="220" t="s">
        <v>302</v>
      </c>
      <c r="I613" s="221" t="s">
        <v>15</v>
      </c>
      <c r="J613" s="221" t="s">
        <v>302</v>
      </c>
      <c r="K613" s="221" t="s">
        <v>302</v>
      </c>
      <c r="L613" s="220" t="s">
        <v>302</v>
      </c>
      <c r="M613" s="220" t="s">
        <v>302</v>
      </c>
      <c r="N613" s="221" t="s">
        <v>302</v>
      </c>
      <c r="O613" s="222" t="s">
        <v>15</v>
      </c>
      <c r="P613" s="222" t="s">
        <v>15</v>
      </c>
      <c r="Q613" s="222" t="s">
        <v>15</v>
      </c>
      <c r="R613" s="222" t="s">
        <v>302</v>
      </c>
      <c r="S613" s="222" t="s">
        <v>302</v>
      </c>
      <c r="T613" s="222" t="s">
        <v>302</v>
      </c>
      <c r="U613" s="222" t="s">
        <v>302</v>
      </c>
      <c r="V613" s="222" t="s">
        <v>302</v>
      </c>
      <c r="W613" s="223" t="s">
        <v>302</v>
      </c>
      <c r="X613" s="223" t="s">
        <v>302</v>
      </c>
      <c r="Y613" s="224" t="s">
        <v>302</v>
      </c>
    </row>
    <row r="614" spans="1:25">
      <c r="A614" s="216">
        <v>11</v>
      </c>
      <c r="B614" s="217" t="str">
        <f>VLOOKUP(Tabel10[[#This Row],[Code]],Ruimtegroepen[[Code]:[Ruimte omschrijving]],2,FALSE)</f>
        <v>Kooklokaal/leskeuken</v>
      </c>
      <c r="C614" s="218" t="s">
        <v>807</v>
      </c>
      <c r="D614" s="217" t="s">
        <v>27</v>
      </c>
      <c r="E614" s="219" t="s">
        <v>100</v>
      </c>
      <c r="F614" s="218" t="s">
        <v>809</v>
      </c>
      <c r="G614" s="263" t="s">
        <v>302</v>
      </c>
      <c r="H614" s="221" t="s">
        <v>15</v>
      </c>
      <c r="I614" s="220" t="s">
        <v>302</v>
      </c>
      <c r="J614" s="221" t="s">
        <v>302</v>
      </c>
      <c r="K614" s="221" t="s">
        <v>302</v>
      </c>
      <c r="L614" s="220" t="s">
        <v>302</v>
      </c>
      <c r="M614" s="220" t="s">
        <v>302</v>
      </c>
      <c r="N614" s="221" t="s">
        <v>302</v>
      </c>
      <c r="O614" s="222" t="s">
        <v>15</v>
      </c>
      <c r="P614" s="222" t="s">
        <v>15</v>
      </c>
      <c r="Q614" s="222" t="s">
        <v>15</v>
      </c>
      <c r="R614" s="222" t="s">
        <v>302</v>
      </c>
      <c r="S614" s="222" t="s">
        <v>302</v>
      </c>
      <c r="T614" s="222" t="s">
        <v>302</v>
      </c>
      <c r="U614" s="222" t="s">
        <v>302</v>
      </c>
      <c r="V614" s="222" t="s">
        <v>302</v>
      </c>
      <c r="W614" s="223" t="s">
        <v>302</v>
      </c>
      <c r="X614" s="223" t="s">
        <v>302</v>
      </c>
      <c r="Y614" s="224" t="s">
        <v>302</v>
      </c>
    </row>
    <row r="615" spans="1:25">
      <c r="A615" s="216">
        <v>11</v>
      </c>
      <c r="B615" s="217" t="str">
        <f>VLOOKUP(Tabel10[[#This Row],[Code]],Ruimtegroepen[[Code]:[Ruimte omschrijving]],2,FALSE)</f>
        <v>Kooklokaal/leskeuken</v>
      </c>
      <c r="C615" s="218" t="s">
        <v>807</v>
      </c>
      <c r="D615" s="217" t="s">
        <v>27</v>
      </c>
      <c r="E615" s="219" t="s">
        <v>1325</v>
      </c>
      <c r="F615" s="218" t="s">
        <v>1400</v>
      </c>
      <c r="G615" s="263" t="s">
        <v>302</v>
      </c>
      <c r="H615" s="220" t="s">
        <v>302</v>
      </c>
      <c r="I615" s="221" t="s">
        <v>15</v>
      </c>
      <c r="J615" s="221" t="s">
        <v>302</v>
      </c>
      <c r="K615" s="221" t="s">
        <v>302</v>
      </c>
      <c r="L615" s="220" t="s">
        <v>302</v>
      </c>
      <c r="M615" s="220" t="s">
        <v>302</v>
      </c>
      <c r="N615" s="221" t="s">
        <v>302</v>
      </c>
      <c r="O615" s="222" t="s">
        <v>15</v>
      </c>
      <c r="P615" s="222" t="s">
        <v>15</v>
      </c>
      <c r="Q615" s="222" t="s">
        <v>15</v>
      </c>
      <c r="R615" s="222" t="s">
        <v>302</v>
      </c>
      <c r="S615" s="222" t="s">
        <v>302</v>
      </c>
      <c r="T615" s="222" t="s">
        <v>302</v>
      </c>
      <c r="U615" s="222" t="s">
        <v>302</v>
      </c>
      <c r="V615" s="222" t="s">
        <v>302</v>
      </c>
      <c r="W615" s="223" t="s">
        <v>302</v>
      </c>
      <c r="X615" s="223" t="s">
        <v>302</v>
      </c>
      <c r="Y615" s="224" t="s">
        <v>302</v>
      </c>
    </row>
    <row r="616" spans="1:25">
      <c r="A616" s="216">
        <v>11</v>
      </c>
      <c r="B616" s="217" t="str">
        <f>VLOOKUP(Tabel10[[#This Row],[Code]],Ruimtegroepen[[Code]:[Ruimte omschrijving]],2,FALSE)</f>
        <v>Kooklokaal/leskeuken</v>
      </c>
      <c r="C616" s="218" t="s">
        <v>812</v>
      </c>
      <c r="D616" s="217" t="s">
        <v>28</v>
      </c>
      <c r="E616" s="219" t="s">
        <v>101</v>
      </c>
      <c r="F616" s="218" t="s">
        <v>813</v>
      </c>
      <c r="G616" s="263" t="s">
        <v>302</v>
      </c>
      <c r="H616" s="220" t="s">
        <v>302</v>
      </c>
      <c r="I616" s="221" t="s">
        <v>17</v>
      </c>
      <c r="J616" s="220" t="s">
        <v>302</v>
      </c>
      <c r="K616" s="221" t="s">
        <v>302</v>
      </c>
      <c r="L616" s="220" t="s">
        <v>302</v>
      </c>
      <c r="M616" s="220" t="s">
        <v>302</v>
      </c>
      <c r="N616" s="221" t="s">
        <v>302</v>
      </c>
      <c r="O616" s="222" t="s">
        <v>17</v>
      </c>
      <c r="P616" s="222" t="s">
        <v>17</v>
      </c>
      <c r="Q616" s="222" t="s">
        <v>15</v>
      </c>
      <c r="R616" s="222" t="s">
        <v>302</v>
      </c>
      <c r="S616" s="222" t="s">
        <v>302</v>
      </c>
      <c r="T616" s="222" t="s">
        <v>302</v>
      </c>
      <c r="U616" s="222" t="s">
        <v>302</v>
      </c>
      <c r="V616" s="222" t="s">
        <v>302</v>
      </c>
      <c r="W616" s="223" t="s">
        <v>302</v>
      </c>
      <c r="X616" s="223" t="s">
        <v>302</v>
      </c>
      <c r="Y616" s="224" t="s">
        <v>302</v>
      </c>
    </row>
    <row r="617" spans="1:25">
      <c r="A617" s="216">
        <v>11</v>
      </c>
      <c r="B617" s="217" t="str">
        <f>VLOOKUP(Tabel10[[#This Row],[Code]],Ruimtegroepen[[Code]:[Ruimte omschrijving]],2,FALSE)</f>
        <v>Kooklokaal/leskeuken</v>
      </c>
      <c r="C617" s="218" t="s">
        <v>812</v>
      </c>
      <c r="D617" s="217" t="s">
        <v>28</v>
      </c>
      <c r="E617" s="219" t="s">
        <v>100</v>
      </c>
      <c r="F617" s="218" t="s">
        <v>814</v>
      </c>
      <c r="G617" s="263" t="s">
        <v>302</v>
      </c>
      <c r="H617" s="221" t="s">
        <v>17</v>
      </c>
      <c r="I617" s="220" t="s">
        <v>302</v>
      </c>
      <c r="J617" s="221" t="s">
        <v>302</v>
      </c>
      <c r="K617" s="221" t="s">
        <v>302</v>
      </c>
      <c r="L617" s="220" t="s">
        <v>302</v>
      </c>
      <c r="M617" s="220" t="s">
        <v>302</v>
      </c>
      <c r="N617" s="221" t="s">
        <v>302</v>
      </c>
      <c r="O617" s="222" t="s">
        <v>17</v>
      </c>
      <c r="P617" s="222" t="s">
        <v>17</v>
      </c>
      <c r="Q617" s="222" t="s">
        <v>15</v>
      </c>
      <c r="R617" s="222" t="s">
        <v>302</v>
      </c>
      <c r="S617" s="222" t="s">
        <v>302</v>
      </c>
      <c r="T617" s="222" t="s">
        <v>302</v>
      </c>
      <c r="U617" s="222" t="s">
        <v>302</v>
      </c>
      <c r="V617" s="222" t="s">
        <v>302</v>
      </c>
      <c r="W617" s="223" t="s">
        <v>302</v>
      </c>
      <c r="X617" s="223" t="s">
        <v>302</v>
      </c>
      <c r="Y617" s="224" t="s">
        <v>302</v>
      </c>
    </row>
    <row r="618" spans="1:25">
      <c r="A618" s="216">
        <v>11</v>
      </c>
      <c r="B618" s="217" t="str">
        <f>VLOOKUP(Tabel10[[#This Row],[Code]],Ruimtegroepen[[Code]:[Ruimte omschrijving]],2,FALSE)</f>
        <v>Kooklokaal/leskeuken</v>
      </c>
      <c r="C618" s="218" t="s">
        <v>812</v>
      </c>
      <c r="D618" s="217" t="s">
        <v>28</v>
      </c>
      <c r="E618" s="219" t="s">
        <v>102</v>
      </c>
      <c r="F618" s="218" t="s">
        <v>815</v>
      </c>
      <c r="G618" s="263" t="s">
        <v>302</v>
      </c>
      <c r="H618" s="220" t="s">
        <v>302</v>
      </c>
      <c r="I618" s="221" t="s">
        <v>17</v>
      </c>
      <c r="J618" s="221" t="s">
        <v>302</v>
      </c>
      <c r="K618" s="221" t="s">
        <v>302</v>
      </c>
      <c r="L618" s="220" t="s">
        <v>302</v>
      </c>
      <c r="M618" s="220" t="s">
        <v>302</v>
      </c>
      <c r="N618" s="221" t="s">
        <v>302</v>
      </c>
      <c r="O618" s="222" t="s">
        <v>17</v>
      </c>
      <c r="P618" s="222" t="s">
        <v>17</v>
      </c>
      <c r="Q618" s="222" t="s">
        <v>15</v>
      </c>
      <c r="R618" s="222" t="s">
        <v>302</v>
      </c>
      <c r="S618" s="222" t="s">
        <v>302</v>
      </c>
      <c r="T618" s="222" t="s">
        <v>302</v>
      </c>
      <c r="U618" s="222" t="s">
        <v>302</v>
      </c>
      <c r="V618" s="222" t="s">
        <v>302</v>
      </c>
      <c r="W618" s="223" t="s">
        <v>302</v>
      </c>
      <c r="X618" s="223" t="s">
        <v>302</v>
      </c>
      <c r="Y618" s="224" t="s">
        <v>302</v>
      </c>
    </row>
    <row r="619" spans="1:25">
      <c r="A619" s="216">
        <v>11</v>
      </c>
      <c r="B619" s="217" t="str">
        <f>VLOOKUP(Tabel10[[#This Row],[Code]],Ruimtegroepen[[Code]:[Ruimte omschrijving]],2,FALSE)</f>
        <v>Kooklokaal/leskeuken</v>
      </c>
      <c r="C619" s="218" t="s">
        <v>812</v>
      </c>
      <c r="D619" s="217" t="s">
        <v>28</v>
      </c>
      <c r="E619" s="219" t="s">
        <v>103</v>
      </c>
      <c r="F619" s="218" t="s">
        <v>816</v>
      </c>
      <c r="G619" s="263" t="s">
        <v>302</v>
      </c>
      <c r="H619" s="220" t="s">
        <v>302</v>
      </c>
      <c r="I619" s="221" t="s">
        <v>17</v>
      </c>
      <c r="J619" s="221" t="s">
        <v>302</v>
      </c>
      <c r="K619" s="221" t="s">
        <v>302</v>
      </c>
      <c r="L619" s="220" t="s">
        <v>302</v>
      </c>
      <c r="M619" s="220" t="s">
        <v>302</v>
      </c>
      <c r="N619" s="221" t="s">
        <v>302</v>
      </c>
      <c r="O619" s="222" t="s">
        <v>17</v>
      </c>
      <c r="P619" s="222" t="s">
        <v>17</v>
      </c>
      <c r="Q619" s="222" t="s">
        <v>15</v>
      </c>
      <c r="R619" s="222" t="s">
        <v>302</v>
      </c>
      <c r="S619" s="222" t="s">
        <v>302</v>
      </c>
      <c r="T619" s="222" t="s">
        <v>302</v>
      </c>
      <c r="U619" s="222" t="s">
        <v>302</v>
      </c>
      <c r="V619" s="222" t="s">
        <v>302</v>
      </c>
      <c r="W619" s="223" t="s">
        <v>302</v>
      </c>
      <c r="X619" s="223" t="s">
        <v>302</v>
      </c>
      <c r="Y619" s="224" t="s">
        <v>302</v>
      </c>
    </row>
    <row r="620" spans="1:25">
      <c r="A620" s="216">
        <v>11</v>
      </c>
      <c r="B620" s="217" t="str">
        <f>VLOOKUP(Tabel10[[#This Row],[Code]],Ruimtegroepen[[Code]:[Ruimte omschrijving]],2,FALSE)</f>
        <v>Kooklokaal/leskeuken</v>
      </c>
      <c r="C620" s="218" t="s">
        <v>812</v>
      </c>
      <c r="D620" s="217" t="s">
        <v>28</v>
      </c>
      <c r="E620" s="219" t="s">
        <v>100</v>
      </c>
      <c r="F620" s="218" t="s">
        <v>814</v>
      </c>
      <c r="G620" s="263" t="s">
        <v>302</v>
      </c>
      <c r="H620" s="221" t="s">
        <v>17</v>
      </c>
      <c r="I620" s="220" t="s">
        <v>302</v>
      </c>
      <c r="J620" s="221" t="s">
        <v>302</v>
      </c>
      <c r="K620" s="221" t="s">
        <v>302</v>
      </c>
      <c r="L620" s="220" t="s">
        <v>302</v>
      </c>
      <c r="M620" s="220" t="s">
        <v>302</v>
      </c>
      <c r="N620" s="221" t="s">
        <v>302</v>
      </c>
      <c r="O620" s="222" t="s">
        <v>17</v>
      </c>
      <c r="P620" s="222" t="s">
        <v>17</v>
      </c>
      <c r="Q620" s="222" t="s">
        <v>15</v>
      </c>
      <c r="R620" s="222" t="s">
        <v>302</v>
      </c>
      <c r="S620" s="222" t="s">
        <v>302</v>
      </c>
      <c r="T620" s="222" t="s">
        <v>302</v>
      </c>
      <c r="U620" s="222" t="s">
        <v>302</v>
      </c>
      <c r="V620" s="222" t="s">
        <v>302</v>
      </c>
      <c r="W620" s="223" t="s">
        <v>302</v>
      </c>
      <c r="X620" s="223" t="s">
        <v>302</v>
      </c>
      <c r="Y620" s="224" t="s">
        <v>302</v>
      </c>
    </row>
    <row r="621" spans="1:25">
      <c r="A621" s="216">
        <v>11</v>
      </c>
      <c r="B621" s="217" t="str">
        <f>VLOOKUP(Tabel10[[#This Row],[Code]],Ruimtegroepen[[Code]:[Ruimte omschrijving]],2,FALSE)</f>
        <v>Kooklokaal/leskeuken</v>
      </c>
      <c r="C621" s="218" t="s">
        <v>812</v>
      </c>
      <c r="D621" s="217" t="s">
        <v>28</v>
      </c>
      <c r="E621" s="219" t="s">
        <v>1325</v>
      </c>
      <c r="F621" s="218" t="s">
        <v>1433</v>
      </c>
      <c r="G621" s="263" t="s">
        <v>302</v>
      </c>
      <c r="H621" s="220" t="s">
        <v>302</v>
      </c>
      <c r="I621" s="221" t="s">
        <v>17</v>
      </c>
      <c r="J621" s="221" t="s">
        <v>302</v>
      </c>
      <c r="K621" s="221" t="s">
        <v>302</v>
      </c>
      <c r="L621" s="220" t="s">
        <v>302</v>
      </c>
      <c r="M621" s="220" t="s">
        <v>302</v>
      </c>
      <c r="N621" s="221" t="s">
        <v>302</v>
      </c>
      <c r="O621" s="222" t="s">
        <v>17</v>
      </c>
      <c r="P621" s="222" t="s">
        <v>17</v>
      </c>
      <c r="Q621" s="222" t="s">
        <v>15</v>
      </c>
      <c r="R621" s="222" t="s">
        <v>302</v>
      </c>
      <c r="S621" s="222" t="s">
        <v>302</v>
      </c>
      <c r="T621" s="222" t="s">
        <v>302</v>
      </c>
      <c r="U621" s="222" t="s">
        <v>302</v>
      </c>
      <c r="V621" s="222" t="s">
        <v>302</v>
      </c>
      <c r="W621" s="223" t="s">
        <v>302</v>
      </c>
      <c r="X621" s="223" t="s">
        <v>302</v>
      </c>
      <c r="Y621" s="224" t="s">
        <v>302</v>
      </c>
    </row>
    <row r="622" spans="1:25">
      <c r="A622" s="216">
        <v>12</v>
      </c>
      <c r="B622" s="217" t="str">
        <f>VLOOKUP(Tabel10[[#This Row],[Code]],Ruimtegroepen[[Code]:[Ruimte omschrijving]],2,FALSE)</f>
        <v>Kantine</v>
      </c>
      <c r="C622" s="218" t="s">
        <v>817</v>
      </c>
      <c r="D622" s="217" t="s">
        <v>29</v>
      </c>
      <c r="E622" s="219" t="s">
        <v>101</v>
      </c>
      <c r="F622" s="218" t="s">
        <v>818</v>
      </c>
      <c r="G622" s="263" t="s">
        <v>302</v>
      </c>
      <c r="H622" s="220" t="s">
        <v>302</v>
      </c>
      <c r="I622" s="220" t="s">
        <v>302</v>
      </c>
      <c r="J622" s="220" t="s">
        <v>2</v>
      </c>
      <c r="K622" s="221" t="s">
        <v>302</v>
      </c>
      <c r="L622" s="220" t="s">
        <v>302</v>
      </c>
      <c r="M622" s="220" t="s">
        <v>302</v>
      </c>
      <c r="N622" s="221" t="s">
        <v>2</v>
      </c>
      <c r="O622" s="222" t="s">
        <v>2</v>
      </c>
      <c r="P622" s="222" t="s">
        <v>2</v>
      </c>
      <c r="Q622" s="222" t="s">
        <v>15</v>
      </c>
      <c r="R622" s="222" t="s">
        <v>15</v>
      </c>
      <c r="S622" s="222" t="s">
        <v>16</v>
      </c>
      <c r="T622" s="222" t="s">
        <v>349</v>
      </c>
      <c r="U622" s="222" t="s">
        <v>269</v>
      </c>
      <c r="V622" s="222" t="s">
        <v>2</v>
      </c>
      <c r="W622" s="223" t="s">
        <v>302</v>
      </c>
      <c r="X622" s="223" t="s">
        <v>302</v>
      </c>
      <c r="Y622" s="224" t="s">
        <v>302</v>
      </c>
    </row>
    <row r="623" spans="1:25">
      <c r="A623" s="216">
        <v>12</v>
      </c>
      <c r="B623" s="217" t="str">
        <f>VLOOKUP(Tabel10[[#This Row],[Code]],Ruimtegroepen[[Code]:[Ruimte omschrijving]],2,FALSE)</f>
        <v>Kantine</v>
      </c>
      <c r="C623" s="218" t="s">
        <v>817</v>
      </c>
      <c r="D623" s="217" t="s">
        <v>29</v>
      </c>
      <c r="E623" s="219" t="s">
        <v>100</v>
      </c>
      <c r="F623" s="218" t="s">
        <v>819</v>
      </c>
      <c r="G623" s="263" t="s">
        <v>302</v>
      </c>
      <c r="H623" s="221" t="s">
        <v>2</v>
      </c>
      <c r="I623" s="220" t="s">
        <v>302</v>
      </c>
      <c r="J623" s="221" t="s">
        <v>302</v>
      </c>
      <c r="K623" s="221" t="s">
        <v>302</v>
      </c>
      <c r="L623" s="220" t="s">
        <v>302</v>
      </c>
      <c r="M623" s="220" t="s">
        <v>302</v>
      </c>
      <c r="N623" s="221" t="s">
        <v>2</v>
      </c>
      <c r="O623" s="222" t="s">
        <v>2</v>
      </c>
      <c r="P623" s="222" t="s">
        <v>2</v>
      </c>
      <c r="Q623" s="222" t="s">
        <v>15</v>
      </c>
      <c r="R623" s="222" t="s">
        <v>15</v>
      </c>
      <c r="S623" s="222" t="s">
        <v>16</v>
      </c>
      <c r="T623" s="222" t="s">
        <v>349</v>
      </c>
      <c r="U623" s="222" t="s">
        <v>269</v>
      </c>
      <c r="V623" s="222" t="s">
        <v>2</v>
      </c>
      <c r="W623" s="223" t="s">
        <v>302</v>
      </c>
      <c r="X623" s="223" t="s">
        <v>302</v>
      </c>
      <c r="Y623" s="224" t="s">
        <v>302</v>
      </c>
    </row>
    <row r="624" spans="1:25">
      <c r="A624" s="216">
        <v>12</v>
      </c>
      <c r="B624" s="217" t="str">
        <f>VLOOKUP(Tabel10[[#This Row],[Code]],Ruimtegroepen[[Code]:[Ruimte omschrijving]],2,FALSE)</f>
        <v>Kantine</v>
      </c>
      <c r="C624" s="218" t="s">
        <v>817</v>
      </c>
      <c r="D624" s="217" t="s">
        <v>29</v>
      </c>
      <c r="E624" s="219" t="s">
        <v>102</v>
      </c>
      <c r="F624" s="218" t="s">
        <v>820</v>
      </c>
      <c r="G624" s="263" t="s">
        <v>302</v>
      </c>
      <c r="H624" s="220" t="s">
        <v>302</v>
      </c>
      <c r="I624" s="221" t="s">
        <v>2</v>
      </c>
      <c r="J624" s="221" t="s">
        <v>302</v>
      </c>
      <c r="K624" s="221" t="s">
        <v>2</v>
      </c>
      <c r="L624" s="220" t="s">
        <v>302</v>
      </c>
      <c r="M624" s="220" t="s">
        <v>302</v>
      </c>
      <c r="N624" s="221" t="s">
        <v>2</v>
      </c>
      <c r="O624" s="222" t="s">
        <v>2</v>
      </c>
      <c r="P624" s="222" t="s">
        <v>2</v>
      </c>
      <c r="Q624" s="222" t="s">
        <v>15</v>
      </c>
      <c r="R624" s="222" t="s">
        <v>15</v>
      </c>
      <c r="S624" s="222" t="s">
        <v>16</v>
      </c>
      <c r="T624" s="222" t="s">
        <v>349</v>
      </c>
      <c r="U624" s="222" t="s">
        <v>269</v>
      </c>
      <c r="V624" s="222" t="s">
        <v>2</v>
      </c>
      <c r="W624" s="223" t="s">
        <v>302</v>
      </c>
      <c r="X624" s="223" t="s">
        <v>302</v>
      </c>
      <c r="Y624" s="224" t="s">
        <v>302</v>
      </c>
    </row>
    <row r="625" spans="1:25">
      <c r="A625" s="216">
        <v>12</v>
      </c>
      <c r="B625" s="217" t="str">
        <f>VLOOKUP(Tabel10[[#This Row],[Code]],Ruimtegroepen[[Code]:[Ruimte omschrijving]],2,FALSE)</f>
        <v>Kantine</v>
      </c>
      <c r="C625" s="218" t="s">
        <v>817</v>
      </c>
      <c r="D625" s="217" t="s">
        <v>29</v>
      </c>
      <c r="E625" s="219" t="s">
        <v>103</v>
      </c>
      <c r="F625" s="218" t="s">
        <v>821</v>
      </c>
      <c r="G625" s="263" t="s">
        <v>302</v>
      </c>
      <c r="H625" s="220" t="s">
        <v>302</v>
      </c>
      <c r="I625" s="221" t="s">
        <v>2</v>
      </c>
      <c r="J625" s="221" t="s">
        <v>302</v>
      </c>
      <c r="K625" s="221" t="s">
        <v>2</v>
      </c>
      <c r="L625" s="220" t="s">
        <v>302</v>
      </c>
      <c r="M625" s="220" t="s">
        <v>302</v>
      </c>
      <c r="N625" s="221" t="s">
        <v>2</v>
      </c>
      <c r="O625" s="222" t="s">
        <v>2</v>
      </c>
      <c r="P625" s="222" t="s">
        <v>2</v>
      </c>
      <c r="Q625" s="222" t="s">
        <v>15</v>
      </c>
      <c r="R625" s="222" t="s">
        <v>15</v>
      </c>
      <c r="S625" s="222" t="s">
        <v>16</v>
      </c>
      <c r="T625" s="222" t="s">
        <v>349</v>
      </c>
      <c r="U625" s="222" t="s">
        <v>269</v>
      </c>
      <c r="V625" s="222" t="s">
        <v>2</v>
      </c>
      <c r="W625" s="223" t="s">
        <v>302</v>
      </c>
      <c r="X625" s="223" t="s">
        <v>302</v>
      </c>
      <c r="Y625" s="224" t="s">
        <v>302</v>
      </c>
    </row>
    <row r="626" spans="1:25">
      <c r="A626" s="216">
        <v>12</v>
      </c>
      <c r="B626" s="217" t="str">
        <f>VLOOKUP(Tabel10[[#This Row],[Code]],Ruimtegroepen[[Code]:[Ruimte omschrijving]],2,FALSE)</f>
        <v>Kantine</v>
      </c>
      <c r="C626" s="218" t="s">
        <v>817</v>
      </c>
      <c r="D626" s="217" t="s">
        <v>29</v>
      </c>
      <c r="E626" s="219" t="s">
        <v>100</v>
      </c>
      <c r="F626" s="218" t="s">
        <v>819</v>
      </c>
      <c r="G626" s="263" t="s">
        <v>302</v>
      </c>
      <c r="H626" s="221" t="s">
        <v>2</v>
      </c>
      <c r="I626" s="220" t="s">
        <v>302</v>
      </c>
      <c r="J626" s="221" t="s">
        <v>302</v>
      </c>
      <c r="K626" s="221" t="s">
        <v>302</v>
      </c>
      <c r="L626" s="220" t="s">
        <v>302</v>
      </c>
      <c r="M626" s="220" t="s">
        <v>302</v>
      </c>
      <c r="N626" s="221" t="s">
        <v>2</v>
      </c>
      <c r="O626" s="222" t="s">
        <v>2</v>
      </c>
      <c r="P626" s="222" t="s">
        <v>2</v>
      </c>
      <c r="Q626" s="222" t="s">
        <v>15</v>
      </c>
      <c r="R626" s="222" t="s">
        <v>15</v>
      </c>
      <c r="S626" s="222" t="s">
        <v>16</v>
      </c>
      <c r="T626" s="222" t="s">
        <v>349</v>
      </c>
      <c r="U626" s="222" t="s">
        <v>269</v>
      </c>
      <c r="V626" s="222" t="s">
        <v>2</v>
      </c>
      <c r="W626" s="223" t="s">
        <v>302</v>
      </c>
      <c r="X626" s="223" t="s">
        <v>302</v>
      </c>
      <c r="Y626" s="224" t="s">
        <v>302</v>
      </c>
    </row>
    <row r="627" spans="1:25">
      <c r="A627" s="216">
        <v>12</v>
      </c>
      <c r="B627" s="217" t="str">
        <f>VLOOKUP(Tabel10[[#This Row],[Code]],Ruimtegroepen[[Code]:[Ruimte omschrijving]],2,FALSE)</f>
        <v>Kantine</v>
      </c>
      <c r="C627" s="218" t="s">
        <v>817</v>
      </c>
      <c r="D627" s="217" t="s">
        <v>29</v>
      </c>
      <c r="E627" s="219" t="s">
        <v>1325</v>
      </c>
      <c r="F627" s="218" t="s">
        <v>1501</v>
      </c>
      <c r="G627" s="263" t="s">
        <v>302</v>
      </c>
      <c r="H627" s="220" t="s">
        <v>302</v>
      </c>
      <c r="I627" s="221" t="s">
        <v>2</v>
      </c>
      <c r="J627" s="221" t="s">
        <v>302</v>
      </c>
      <c r="K627" s="221" t="s">
        <v>2</v>
      </c>
      <c r="L627" s="220" t="s">
        <v>302</v>
      </c>
      <c r="M627" s="220" t="s">
        <v>302</v>
      </c>
      <c r="N627" s="221" t="s">
        <v>2</v>
      </c>
      <c r="O627" s="222" t="s">
        <v>2</v>
      </c>
      <c r="P627" s="222" t="s">
        <v>2</v>
      </c>
      <c r="Q627" s="222" t="s">
        <v>15</v>
      </c>
      <c r="R627" s="222" t="s">
        <v>15</v>
      </c>
      <c r="S627" s="222" t="s">
        <v>16</v>
      </c>
      <c r="T627" s="222" t="s">
        <v>349</v>
      </c>
      <c r="U627" s="222" t="s">
        <v>269</v>
      </c>
      <c r="V627" s="222" t="s">
        <v>2</v>
      </c>
      <c r="W627" s="223" t="s">
        <v>302</v>
      </c>
      <c r="X627" s="223" t="s">
        <v>302</v>
      </c>
      <c r="Y627" s="224" t="s">
        <v>302</v>
      </c>
    </row>
    <row r="628" spans="1:25">
      <c r="A628" s="216">
        <v>12</v>
      </c>
      <c r="B628" s="217" t="str">
        <f>VLOOKUP(Tabel10[[#This Row],[Code]],Ruimtegroepen[[Code]:[Ruimte omschrijving]],2,FALSE)</f>
        <v>Kantine</v>
      </c>
      <c r="C628" s="218" t="s">
        <v>822</v>
      </c>
      <c r="D628" s="217" t="s">
        <v>1</v>
      </c>
      <c r="E628" s="219" t="s">
        <v>101</v>
      </c>
      <c r="F628" s="218" t="s">
        <v>823</v>
      </c>
      <c r="G628" s="263" t="s">
        <v>302</v>
      </c>
      <c r="H628" s="220" t="s">
        <v>302</v>
      </c>
      <c r="I628" s="220" t="s">
        <v>302</v>
      </c>
      <c r="J628" s="220" t="s">
        <v>2</v>
      </c>
      <c r="K628" s="221" t="s">
        <v>302</v>
      </c>
      <c r="L628" s="220" t="s">
        <v>302</v>
      </c>
      <c r="M628" s="220" t="s">
        <v>302</v>
      </c>
      <c r="N628" s="221" t="s">
        <v>302</v>
      </c>
      <c r="O628" s="222" t="s">
        <v>2</v>
      </c>
      <c r="P628" s="222" t="s">
        <v>2</v>
      </c>
      <c r="Q628" s="222" t="s">
        <v>15</v>
      </c>
      <c r="R628" s="222" t="s">
        <v>15</v>
      </c>
      <c r="S628" s="222" t="s">
        <v>16</v>
      </c>
      <c r="T628" s="222" t="s">
        <v>349</v>
      </c>
      <c r="U628" s="222" t="s">
        <v>269</v>
      </c>
      <c r="V628" s="222" t="s">
        <v>302</v>
      </c>
      <c r="W628" s="223" t="s">
        <v>302</v>
      </c>
      <c r="X628" s="223" t="s">
        <v>302</v>
      </c>
      <c r="Y628" s="224" t="s">
        <v>302</v>
      </c>
    </row>
    <row r="629" spans="1:25">
      <c r="A629" s="216">
        <v>12</v>
      </c>
      <c r="B629" s="217" t="str">
        <f>VLOOKUP(Tabel10[[#This Row],[Code]],Ruimtegroepen[[Code]:[Ruimte omschrijving]],2,FALSE)</f>
        <v>Kantine</v>
      </c>
      <c r="C629" s="218" t="s">
        <v>822</v>
      </c>
      <c r="D629" s="217" t="s">
        <v>1</v>
      </c>
      <c r="E629" s="219" t="s">
        <v>100</v>
      </c>
      <c r="F629" s="218" t="s">
        <v>824</v>
      </c>
      <c r="G629" s="263" t="s">
        <v>302</v>
      </c>
      <c r="H629" s="221" t="s">
        <v>2</v>
      </c>
      <c r="I629" s="220" t="s">
        <v>302</v>
      </c>
      <c r="J629" s="221" t="s">
        <v>302</v>
      </c>
      <c r="K629" s="221" t="s">
        <v>302</v>
      </c>
      <c r="L629" s="220" t="s">
        <v>302</v>
      </c>
      <c r="M629" s="220" t="s">
        <v>302</v>
      </c>
      <c r="N629" s="221" t="s">
        <v>302</v>
      </c>
      <c r="O629" s="222" t="s">
        <v>2</v>
      </c>
      <c r="P629" s="222" t="s">
        <v>2</v>
      </c>
      <c r="Q629" s="222" t="s">
        <v>15</v>
      </c>
      <c r="R629" s="222" t="s">
        <v>15</v>
      </c>
      <c r="S629" s="222" t="s">
        <v>16</v>
      </c>
      <c r="T629" s="222" t="s">
        <v>349</v>
      </c>
      <c r="U629" s="222" t="s">
        <v>269</v>
      </c>
      <c r="V629" s="222" t="s">
        <v>302</v>
      </c>
      <c r="W629" s="223" t="s">
        <v>302</v>
      </c>
      <c r="X629" s="223" t="s">
        <v>302</v>
      </c>
      <c r="Y629" s="224" t="s">
        <v>302</v>
      </c>
    </row>
    <row r="630" spans="1:25">
      <c r="A630" s="216">
        <v>12</v>
      </c>
      <c r="B630" s="217" t="str">
        <f>VLOOKUP(Tabel10[[#This Row],[Code]],Ruimtegroepen[[Code]:[Ruimte omschrijving]],2,FALSE)</f>
        <v>Kantine</v>
      </c>
      <c r="C630" s="218" t="s">
        <v>822</v>
      </c>
      <c r="D630" s="217" t="s">
        <v>1</v>
      </c>
      <c r="E630" s="219" t="s">
        <v>102</v>
      </c>
      <c r="F630" s="218" t="s">
        <v>825</v>
      </c>
      <c r="G630" s="263" t="s">
        <v>302</v>
      </c>
      <c r="H630" s="220" t="s">
        <v>302</v>
      </c>
      <c r="I630" s="221" t="s">
        <v>2</v>
      </c>
      <c r="J630" s="221" t="s">
        <v>302</v>
      </c>
      <c r="K630" s="221" t="s">
        <v>2</v>
      </c>
      <c r="L630" s="220" t="s">
        <v>302</v>
      </c>
      <c r="M630" s="220" t="s">
        <v>302</v>
      </c>
      <c r="N630" s="221" t="s">
        <v>302</v>
      </c>
      <c r="O630" s="222" t="s">
        <v>2</v>
      </c>
      <c r="P630" s="222" t="s">
        <v>2</v>
      </c>
      <c r="Q630" s="222" t="s">
        <v>15</v>
      </c>
      <c r="R630" s="222" t="s">
        <v>15</v>
      </c>
      <c r="S630" s="222" t="s">
        <v>16</v>
      </c>
      <c r="T630" s="222" t="s">
        <v>349</v>
      </c>
      <c r="U630" s="222" t="s">
        <v>269</v>
      </c>
      <c r="V630" s="222" t="s">
        <v>302</v>
      </c>
      <c r="W630" s="223" t="s">
        <v>302</v>
      </c>
      <c r="X630" s="223" t="s">
        <v>302</v>
      </c>
      <c r="Y630" s="224" t="s">
        <v>302</v>
      </c>
    </row>
    <row r="631" spans="1:25">
      <c r="A631" s="216">
        <v>12</v>
      </c>
      <c r="B631" s="217" t="str">
        <f>VLOOKUP(Tabel10[[#This Row],[Code]],Ruimtegroepen[[Code]:[Ruimte omschrijving]],2,FALSE)</f>
        <v>Kantine</v>
      </c>
      <c r="C631" s="218" t="s">
        <v>822</v>
      </c>
      <c r="D631" s="217" t="s">
        <v>1</v>
      </c>
      <c r="E631" s="219" t="s">
        <v>103</v>
      </c>
      <c r="F631" s="218" t="s">
        <v>826</v>
      </c>
      <c r="G631" s="263" t="s">
        <v>302</v>
      </c>
      <c r="H631" s="220" t="s">
        <v>302</v>
      </c>
      <c r="I631" s="221" t="s">
        <v>2</v>
      </c>
      <c r="J631" s="221" t="s">
        <v>302</v>
      </c>
      <c r="K631" s="221" t="s">
        <v>2</v>
      </c>
      <c r="L631" s="220" t="s">
        <v>302</v>
      </c>
      <c r="M631" s="220" t="s">
        <v>302</v>
      </c>
      <c r="N631" s="221" t="s">
        <v>302</v>
      </c>
      <c r="O631" s="222" t="s">
        <v>2</v>
      </c>
      <c r="P631" s="222" t="s">
        <v>2</v>
      </c>
      <c r="Q631" s="222" t="s">
        <v>15</v>
      </c>
      <c r="R631" s="222" t="s">
        <v>15</v>
      </c>
      <c r="S631" s="222" t="s">
        <v>16</v>
      </c>
      <c r="T631" s="222" t="s">
        <v>349</v>
      </c>
      <c r="U631" s="222" t="s">
        <v>269</v>
      </c>
      <c r="V631" s="222" t="s">
        <v>302</v>
      </c>
      <c r="W631" s="223" t="s">
        <v>302</v>
      </c>
      <c r="X631" s="223" t="s">
        <v>302</v>
      </c>
      <c r="Y631" s="224" t="s">
        <v>302</v>
      </c>
    </row>
    <row r="632" spans="1:25">
      <c r="A632" s="216">
        <v>12</v>
      </c>
      <c r="B632" s="217" t="str">
        <f>VLOOKUP(Tabel10[[#This Row],[Code]],Ruimtegroepen[[Code]:[Ruimte omschrijving]],2,FALSE)</f>
        <v>Kantine</v>
      </c>
      <c r="C632" s="218" t="s">
        <v>822</v>
      </c>
      <c r="D632" s="217" t="s">
        <v>1</v>
      </c>
      <c r="E632" s="219" t="s">
        <v>100</v>
      </c>
      <c r="F632" s="218" t="s">
        <v>824</v>
      </c>
      <c r="G632" s="263" t="s">
        <v>302</v>
      </c>
      <c r="H632" s="221" t="s">
        <v>2</v>
      </c>
      <c r="I632" s="220" t="s">
        <v>302</v>
      </c>
      <c r="J632" s="221" t="s">
        <v>302</v>
      </c>
      <c r="K632" s="221" t="s">
        <v>302</v>
      </c>
      <c r="L632" s="220" t="s">
        <v>302</v>
      </c>
      <c r="M632" s="220" t="s">
        <v>302</v>
      </c>
      <c r="N632" s="221" t="s">
        <v>302</v>
      </c>
      <c r="O632" s="222" t="s">
        <v>2</v>
      </c>
      <c r="P632" s="222" t="s">
        <v>2</v>
      </c>
      <c r="Q632" s="222" t="s">
        <v>15</v>
      </c>
      <c r="R632" s="222" t="s">
        <v>15</v>
      </c>
      <c r="S632" s="222" t="s">
        <v>16</v>
      </c>
      <c r="T632" s="222" t="s">
        <v>349</v>
      </c>
      <c r="U632" s="222" t="s">
        <v>269</v>
      </c>
      <c r="V632" s="222" t="s">
        <v>302</v>
      </c>
      <c r="W632" s="223" t="s">
        <v>302</v>
      </c>
      <c r="X632" s="223" t="s">
        <v>302</v>
      </c>
      <c r="Y632" s="224" t="s">
        <v>302</v>
      </c>
    </row>
    <row r="633" spans="1:25">
      <c r="A633" s="216">
        <v>12</v>
      </c>
      <c r="B633" s="217" t="str">
        <f>VLOOKUP(Tabel10[[#This Row],[Code]],Ruimtegroepen[[Code]:[Ruimte omschrijving]],2,FALSE)</f>
        <v>Kantine</v>
      </c>
      <c r="C633" s="218" t="s">
        <v>822</v>
      </c>
      <c r="D633" s="217" t="s">
        <v>1</v>
      </c>
      <c r="E633" s="219" t="s">
        <v>1325</v>
      </c>
      <c r="F633" s="218" t="s">
        <v>1485</v>
      </c>
      <c r="G633" s="263" t="s">
        <v>302</v>
      </c>
      <c r="H633" s="220" t="s">
        <v>302</v>
      </c>
      <c r="I633" s="221" t="s">
        <v>2</v>
      </c>
      <c r="J633" s="221" t="s">
        <v>302</v>
      </c>
      <c r="K633" s="221" t="s">
        <v>2</v>
      </c>
      <c r="L633" s="220" t="s">
        <v>302</v>
      </c>
      <c r="M633" s="220" t="s">
        <v>302</v>
      </c>
      <c r="N633" s="221" t="s">
        <v>302</v>
      </c>
      <c r="O633" s="222" t="s">
        <v>2</v>
      </c>
      <c r="P633" s="222" t="s">
        <v>2</v>
      </c>
      <c r="Q633" s="222" t="s">
        <v>15</v>
      </c>
      <c r="R633" s="222" t="s">
        <v>15</v>
      </c>
      <c r="S633" s="222" t="s">
        <v>16</v>
      </c>
      <c r="T633" s="222" t="s">
        <v>349</v>
      </c>
      <c r="U633" s="222" t="s">
        <v>269</v>
      </c>
      <c r="V633" s="222" t="s">
        <v>302</v>
      </c>
      <c r="W633" s="223" t="s">
        <v>302</v>
      </c>
      <c r="X633" s="223" t="s">
        <v>302</v>
      </c>
      <c r="Y633" s="224" t="s">
        <v>302</v>
      </c>
    </row>
    <row r="634" spans="1:25">
      <c r="A634" s="216">
        <v>12</v>
      </c>
      <c r="B634" s="217" t="str">
        <f>VLOOKUP(Tabel10[[#This Row],[Code]],Ruimtegroepen[[Code]:[Ruimte omschrijving]],2,FALSE)</f>
        <v>Kantine</v>
      </c>
      <c r="C634" s="218" t="s">
        <v>827</v>
      </c>
      <c r="D634" s="217" t="s">
        <v>21</v>
      </c>
      <c r="E634" s="219" t="s">
        <v>101</v>
      </c>
      <c r="F634" s="218" t="s">
        <v>828</v>
      </c>
      <c r="G634" s="263" t="s">
        <v>302</v>
      </c>
      <c r="H634" s="220" t="s">
        <v>302</v>
      </c>
      <c r="I634" s="220" t="s">
        <v>302</v>
      </c>
      <c r="J634" s="220" t="s">
        <v>20</v>
      </c>
      <c r="K634" s="221" t="s">
        <v>302</v>
      </c>
      <c r="L634" s="220" t="s">
        <v>302</v>
      </c>
      <c r="M634" s="220" t="s">
        <v>302</v>
      </c>
      <c r="N634" s="221" t="s">
        <v>302</v>
      </c>
      <c r="O634" s="222" t="s">
        <v>20</v>
      </c>
      <c r="P634" s="222" t="s">
        <v>20</v>
      </c>
      <c r="Q634" s="222" t="s">
        <v>15</v>
      </c>
      <c r="R634" s="222" t="s">
        <v>15</v>
      </c>
      <c r="S634" s="222" t="s">
        <v>16</v>
      </c>
      <c r="T634" s="222" t="s">
        <v>349</v>
      </c>
      <c r="U634" s="222" t="s">
        <v>269</v>
      </c>
      <c r="V634" s="222" t="s">
        <v>302</v>
      </c>
      <c r="W634" s="223" t="s">
        <v>302</v>
      </c>
      <c r="X634" s="223" t="s">
        <v>302</v>
      </c>
      <c r="Y634" s="224" t="s">
        <v>302</v>
      </c>
    </row>
    <row r="635" spans="1:25">
      <c r="A635" s="216">
        <v>12</v>
      </c>
      <c r="B635" s="217" t="str">
        <f>VLOOKUP(Tabel10[[#This Row],[Code]],Ruimtegroepen[[Code]:[Ruimte omschrijving]],2,FALSE)</f>
        <v>Kantine</v>
      </c>
      <c r="C635" s="218" t="s">
        <v>827</v>
      </c>
      <c r="D635" s="217" t="s">
        <v>21</v>
      </c>
      <c r="E635" s="219" t="s">
        <v>100</v>
      </c>
      <c r="F635" s="218" t="s">
        <v>829</v>
      </c>
      <c r="G635" s="263" t="s">
        <v>302</v>
      </c>
      <c r="H635" s="221" t="s">
        <v>20</v>
      </c>
      <c r="I635" s="220" t="s">
        <v>302</v>
      </c>
      <c r="J635" s="221" t="s">
        <v>302</v>
      </c>
      <c r="K635" s="221" t="s">
        <v>302</v>
      </c>
      <c r="L635" s="220" t="s">
        <v>302</v>
      </c>
      <c r="M635" s="220" t="s">
        <v>302</v>
      </c>
      <c r="N635" s="221" t="s">
        <v>302</v>
      </c>
      <c r="O635" s="222" t="s">
        <v>20</v>
      </c>
      <c r="P635" s="222" t="s">
        <v>20</v>
      </c>
      <c r="Q635" s="222" t="s">
        <v>15</v>
      </c>
      <c r="R635" s="222" t="s">
        <v>15</v>
      </c>
      <c r="S635" s="222" t="s">
        <v>16</v>
      </c>
      <c r="T635" s="222" t="s">
        <v>349</v>
      </c>
      <c r="U635" s="222" t="s">
        <v>269</v>
      </c>
      <c r="V635" s="222" t="s">
        <v>302</v>
      </c>
      <c r="W635" s="223" t="s">
        <v>302</v>
      </c>
      <c r="X635" s="223" t="s">
        <v>302</v>
      </c>
      <c r="Y635" s="224" t="s">
        <v>302</v>
      </c>
    </row>
    <row r="636" spans="1:25">
      <c r="A636" s="216">
        <v>12</v>
      </c>
      <c r="B636" s="217" t="str">
        <f>VLOOKUP(Tabel10[[#This Row],[Code]],Ruimtegroepen[[Code]:[Ruimte omschrijving]],2,FALSE)</f>
        <v>Kantine</v>
      </c>
      <c r="C636" s="218" t="s">
        <v>827</v>
      </c>
      <c r="D636" s="217" t="s">
        <v>21</v>
      </c>
      <c r="E636" s="219" t="s">
        <v>102</v>
      </c>
      <c r="F636" s="218" t="s">
        <v>830</v>
      </c>
      <c r="G636" s="263" t="s">
        <v>302</v>
      </c>
      <c r="H636" s="220" t="s">
        <v>302</v>
      </c>
      <c r="I636" s="221" t="s">
        <v>20</v>
      </c>
      <c r="J636" s="221" t="s">
        <v>302</v>
      </c>
      <c r="K636" s="221" t="s">
        <v>20</v>
      </c>
      <c r="L636" s="220" t="s">
        <v>302</v>
      </c>
      <c r="M636" s="220" t="s">
        <v>302</v>
      </c>
      <c r="N636" s="221" t="s">
        <v>302</v>
      </c>
      <c r="O636" s="222" t="s">
        <v>20</v>
      </c>
      <c r="P636" s="222" t="s">
        <v>20</v>
      </c>
      <c r="Q636" s="222" t="s">
        <v>15</v>
      </c>
      <c r="R636" s="222" t="s">
        <v>15</v>
      </c>
      <c r="S636" s="222" t="s">
        <v>16</v>
      </c>
      <c r="T636" s="222" t="s">
        <v>349</v>
      </c>
      <c r="U636" s="222" t="s">
        <v>269</v>
      </c>
      <c r="V636" s="222" t="s">
        <v>302</v>
      </c>
      <c r="W636" s="223" t="s">
        <v>302</v>
      </c>
      <c r="X636" s="223" t="s">
        <v>302</v>
      </c>
      <c r="Y636" s="224" t="s">
        <v>302</v>
      </c>
    </row>
    <row r="637" spans="1:25">
      <c r="A637" s="216">
        <v>12</v>
      </c>
      <c r="B637" s="217" t="str">
        <f>VLOOKUP(Tabel10[[#This Row],[Code]],Ruimtegroepen[[Code]:[Ruimte omschrijving]],2,FALSE)</f>
        <v>Kantine</v>
      </c>
      <c r="C637" s="218" t="s">
        <v>827</v>
      </c>
      <c r="D637" s="217" t="s">
        <v>21</v>
      </c>
      <c r="E637" s="219" t="s">
        <v>103</v>
      </c>
      <c r="F637" s="218" t="s">
        <v>831</v>
      </c>
      <c r="G637" s="263" t="s">
        <v>302</v>
      </c>
      <c r="H637" s="220" t="s">
        <v>302</v>
      </c>
      <c r="I637" s="221" t="s">
        <v>20</v>
      </c>
      <c r="J637" s="221" t="s">
        <v>302</v>
      </c>
      <c r="K637" s="221" t="s">
        <v>20</v>
      </c>
      <c r="L637" s="220" t="s">
        <v>302</v>
      </c>
      <c r="M637" s="220" t="s">
        <v>302</v>
      </c>
      <c r="N637" s="221" t="s">
        <v>302</v>
      </c>
      <c r="O637" s="222" t="s">
        <v>20</v>
      </c>
      <c r="P637" s="222" t="s">
        <v>20</v>
      </c>
      <c r="Q637" s="222" t="s">
        <v>15</v>
      </c>
      <c r="R637" s="222" t="s">
        <v>15</v>
      </c>
      <c r="S637" s="222" t="s">
        <v>16</v>
      </c>
      <c r="T637" s="222" t="s">
        <v>349</v>
      </c>
      <c r="U637" s="222" t="s">
        <v>269</v>
      </c>
      <c r="V637" s="222" t="s">
        <v>302</v>
      </c>
      <c r="W637" s="223" t="s">
        <v>302</v>
      </c>
      <c r="X637" s="223" t="s">
        <v>302</v>
      </c>
      <c r="Y637" s="224" t="s">
        <v>302</v>
      </c>
    </row>
    <row r="638" spans="1:25">
      <c r="A638" s="216">
        <v>12</v>
      </c>
      <c r="B638" s="217" t="str">
        <f>VLOOKUP(Tabel10[[#This Row],[Code]],Ruimtegroepen[[Code]:[Ruimte omschrijving]],2,FALSE)</f>
        <v>Kantine</v>
      </c>
      <c r="C638" s="218" t="s">
        <v>827</v>
      </c>
      <c r="D638" s="217" t="s">
        <v>21</v>
      </c>
      <c r="E638" s="219" t="s">
        <v>100</v>
      </c>
      <c r="F638" s="218" t="s">
        <v>829</v>
      </c>
      <c r="G638" s="263" t="s">
        <v>302</v>
      </c>
      <c r="H638" s="221" t="s">
        <v>20</v>
      </c>
      <c r="I638" s="220" t="s">
        <v>302</v>
      </c>
      <c r="J638" s="221" t="s">
        <v>302</v>
      </c>
      <c r="K638" s="221" t="s">
        <v>302</v>
      </c>
      <c r="L638" s="220" t="s">
        <v>302</v>
      </c>
      <c r="M638" s="220" t="s">
        <v>302</v>
      </c>
      <c r="N638" s="221" t="s">
        <v>302</v>
      </c>
      <c r="O638" s="222" t="s">
        <v>20</v>
      </c>
      <c r="P638" s="222" t="s">
        <v>20</v>
      </c>
      <c r="Q638" s="222" t="s">
        <v>15</v>
      </c>
      <c r="R638" s="222" t="s">
        <v>15</v>
      </c>
      <c r="S638" s="222" t="s">
        <v>16</v>
      </c>
      <c r="T638" s="222" t="s">
        <v>349</v>
      </c>
      <c r="U638" s="222" t="s">
        <v>269</v>
      </c>
      <c r="V638" s="222" t="s">
        <v>302</v>
      </c>
      <c r="W638" s="223" t="s">
        <v>302</v>
      </c>
      <c r="X638" s="223" t="s">
        <v>302</v>
      </c>
      <c r="Y638" s="224" t="s">
        <v>302</v>
      </c>
    </row>
    <row r="639" spans="1:25">
      <c r="A639" s="216">
        <v>12</v>
      </c>
      <c r="B639" s="217" t="str">
        <f>VLOOKUP(Tabel10[[#This Row],[Code]],Ruimtegroepen[[Code]:[Ruimte omschrijving]],2,FALSE)</f>
        <v>Kantine</v>
      </c>
      <c r="C639" s="218" t="s">
        <v>827</v>
      </c>
      <c r="D639" s="217" t="s">
        <v>21</v>
      </c>
      <c r="E639" s="219" t="s">
        <v>1325</v>
      </c>
      <c r="F639" s="218" t="s">
        <v>1468</v>
      </c>
      <c r="G639" s="263" t="s">
        <v>302</v>
      </c>
      <c r="H639" s="220" t="s">
        <v>302</v>
      </c>
      <c r="I639" s="221" t="s">
        <v>20</v>
      </c>
      <c r="J639" s="221" t="s">
        <v>302</v>
      </c>
      <c r="K639" s="221" t="s">
        <v>20</v>
      </c>
      <c r="L639" s="220" t="s">
        <v>302</v>
      </c>
      <c r="M639" s="220" t="s">
        <v>302</v>
      </c>
      <c r="N639" s="221" t="s">
        <v>302</v>
      </c>
      <c r="O639" s="222" t="s">
        <v>20</v>
      </c>
      <c r="P639" s="222" t="s">
        <v>20</v>
      </c>
      <c r="Q639" s="222" t="s">
        <v>15</v>
      </c>
      <c r="R639" s="222" t="s">
        <v>15</v>
      </c>
      <c r="S639" s="222" t="s">
        <v>16</v>
      </c>
      <c r="T639" s="222" t="s">
        <v>349</v>
      </c>
      <c r="U639" s="222" t="s">
        <v>269</v>
      </c>
      <c r="V639" s="222" t="s">
        <v>302</v>
      </c>
      <c r="W639" s="223" t="s">
        <v>302</v>
      </c>
      <c r="X639" s="223" t="s">
        <v>302</v>
      </c>
      <c r="Y639" s="224" t="s">
        <v>302</v>
      </c>
    </row>
    <row r="640" spans="1:25">
      <c r="A640" s="216">
        <v>12</v>
      </c>
      <c r="B640" s="217" t="str">
        <f>VLOOKUP(Tabel10[[#This Row],[Code]],Ruimtegroepen[[Code]:[Ruimte omschrijving]],2,FALSE)</f>
        <v>Kantine</v>
      </c>
      <c r="C640" s="218" t="s">
        <v>832</v>
      </c>
      <c r="D640" s="217" t="s">
        <v>12</v>
      </c>
      <c r="E640" s="219" t="s">
        <v>101</v>
      </c>
      <c r="F640" s="218" t="s">
        <v>833</v>
      </c>
      <c r="G640" s="263" t="s">
        <v>302</v>
      </c>
      <c r="H640" s="220" t="s">
        <v>302</v>
      </c>
      <c r="I640" s="220" t="s">
        <v>302</v>
      </c>
      <c r="J640" s="220" t="s">
        <v>18</v>
      </c>
      <c r="K640" s="221" t="s">
        <v>302</v>
      </c>
      <c r="L640" s="220" t="s">
        <v>302</v>
      </c>
      <c r="M640" s="220" t="s">
        <v>302</v>
      </c>
      <c r="N640" s="221" t="s">
        <v>302</v>
      </c>
      <c r="O640" s="222" t="s">
        <v>18</v>
      </c>
      <c r="P640" s="222" t="s">
        <v>18</v>
      </c>
      <c r="Q640" s="222" t="s">
        <v>15</v>
      </c>
      <c r="R640" s="222" t="s">
        <v>15</v>
      </c>
      <c r="S640" s="222" t="s">
        <v>16</v>
      </c>
      <c r="T640" s="222" t="s">
        <v>349</v>
      </c>
      <c r="U640" s="222" t="s">
        <v>269</v>
      </c>
      <c r="V640" s="222" t="s">
        <v>302</v>
      </c>
      <c r="W640" s="223" t="s">
        <v>302</v>
      </c>
      <c r="X640" s="223" t="s">
        <v>302</v>
      </c>
      <c r="Y640" s="224" t="s">
        <v>302</v>
      </c>
    </row>
    <row r="641" spans="1:25">
      <c r="A641" s="216">
        <v>12</v>
      </c>
      <c r="B641" s="217" t="str">
        <f>VLOOKUP(Tabel10[[#This Row],[Code]],Ruimtegroepen[[Code]:[Ruimte omschrijving]],2,FALSE)</f>
        <v>Kantine</v>
      </c>
      <c r="C641" s="218" t="s">
        <v>832</v>
      </c>
      <c r="D641" s="217" t="s">
        <v>12</v>
      </c>
      <c r="E641" s="219" t="s">
        <v>100</v>
      </c>
      <c r="F641" s="218" t="s">
        <v>834</v>
      </c>
      <c r="G641" s="263" t="s">
        <v>302</v>
      </c>
      <c r="H641" s="221" t="s">
        <v>18</v>
      </c>
      <c r="I641" s="220" t="s">
        <v>302</v>
      </c>
      <c r="J641" s="221" t="s">
        <v>302</v>
      </c>
      <c r="K641" s="221" t="s">
        <v>302</v>
      </c>
      <c r="L641" s="220" t="s">
        <v>302</v>
      </c>
      <c r="M641" s="220" t="s">
        <v>302</v>
      </c>
      <c r="N641" s="221" t="s">
        <v>302</v>
      </c>
      <c r="O641" s="222" t="s">
        <v>18</v>
      </c>
      <c r="P641" s="222" t="s">
        <v>18</v>
      </c>
      <c r="Q641" s="222" t="s">
        <v>15</v>
      </c>
      <c r="R641" s="222" t="s">
        <v>15</v>
      </c>
      <c r="S641" s="222" t="s">
        <v>16</v>
      </c>
      <c r="T641" s="222" t="s">
        <v>349</v>
      </c>
      <c r="U641" s="222" t="s">
        <v>269</v>
      </c>
      <c r="V641" s="222" t="s">
        <v>302</v>
      </c>
      <c r="W641" s="223" t="s">
        <v>302</v>
      </c>
      <c r="X641" s="223" t="s">
        <v>302</v>
      </c>
      <c r="Y641" s="224" t="s">
        <v>302</v>
      </c>
    </row>
    <row r="642" spans="1:25">
      <c r="A642" s="216">
        <v>12</v>
      </c>
      <c r="B642" s="217" t="str">
        <f>VLOOKUP(Tabel10[[#This Row],[Code]],Ruimtegroepen[[Code]:[Ruimte omschrijving]],2,FALSE)</f>
        <v>Kantine</v>
      </c>
      <c r="C642" s="218" t="s">
        <v>832</v>
      </c>
      <c r="D642" s="217" t="s">
        <v>12</v>
      </c>
      <c r="E642" s="219" t="s">
        <v>102</v>
      </c>
      <c r="F642" s="218" t="s">
        <v>835</v>
      </c>
      <c r="G642" s="263" t="s">
        <v>302</v>
      </c>
      <c r="H642" s="220" t="s">
        <v>302</v>
      </c>
      <c r="I642" s="221" t="s">
        <v>18</v>
      </c>
      <c r="J642" s="221" t="s">
        <v>302</v>
      </c>
      <c r="K642" s="221" t="s">
        <v>18</v>
      </c>
      <c r="L642" s="220" t="s">
        <v>302</v>
      </c>
      <c r="M642" s="220" t="s">
        <v>302</v>
      </c>
      <c r="N642" s="221" t="s">
        <v>302</v>
      </c>
      <c r="O642" s="222" t="s">
        <v>18</v>
      </c>
      <c r="P642" s="222" t="s">
        <v>18</v>
      </c>
      <c r="Q642" s="222" t="s">
        <v>15</v>
      </c>
      <c r="R642" s="222" t="s">
        <v>15</v>
      </c>
      <c r="S642" s="222" t="s">
        <v>16</v>
      </c>
      <c r="T642" s="222" t="s">
        <v>349</v>
      </c>
      <c r="U642" s="222" t="s">
        <v>269</v>
      </c>
      <c r="V642" s="222" t="s">
        <v>302</v>
      </c>
      <c r="W642" s="223" t="s">
        <v>302</v>
      </c>
      <c r="X642" s="223" t="s">
        <v>302</v>
      </c>
      <c r="Y642" s="224" t="s">
        <v>302</v>
      </c>
    </row>
    <row r="643" spans="1:25">
      <c r="A643" s="216">
        <v>12</v>
      </c>
      <c r="B643" s="217" t="str">
        <f>VLOOKUP(Tabel10[[#This Row],[Code]],Ruimtegroepen[[Code]:[Ruimte omschrijving]],2,FALSE)</f>
        <v>Kantine</v>
      </c>
      <c r="C643" s="218" t="s">
        <v>832</v>
      </c>
      <c r="D643" s="217" t="s">
        <v>12</v>
      </c>
      <c r="E643" s="219" t="s">
        <v>103</v>
      </c>
      <c r="F643" s="218" t="s">
        <v>836</v>
      </c>
      <c r="G643" s="263" t="s">
        <v>302</v>
      </c>
      <c r="H643" s="220" t="s">
        <v>302</v>
      </c>
      <c r="I643" s="221" t="s">
        <v>18</v>
      </c>
      <c r="J643" s="221" t="s">
        <v>302</v>
      </c>
      <c r="K643" s="221" t="s">
        <v>18</v>
      </c>
      <c r="L643" s="220" t="s">
        <v>302</v>
      </c>
      <c r="M643" s="220" t="s">
        <v>302</v>
      </c>
      <c r="N643" s="221" t="s">
        <v>302</v>
      </c>
      <c r="O643" s="222" t="s">
        <v>18</v>
      </c>
      <c r="P643" s="222" t="s">
        <v>18</v>
      </c>
      <c r="Q643" s="222" t="s">
        <v>15</v>
      </c>
      <c r="R643" s="222" t="s">
        <v>15</v>
      </c>
      <c r="S643" s="222" t="s">
        <v>16</v>
      </c>
      <c r="T643" s="222" t="s">
        <v>349</v>
      </c>
      <c r="U643" s="222" t="s">
        <v>269</v>
      </c>
      <c r="V643" s="222" t="s">
        <v>302</v>
      </c>
      <c r="W643" s="223" t="s">
        <v>302</v>
      </c>
      <c r="X643" s="223" t="s">
        <v>302</v>
      </c>
      <c r="Y643" s="224" t="s">
        <v>302</v>
      </c>
    </row>
    <row r="644" spans="1:25">
      <c r="A644" s="216">
        <v>12</v>
      </c>
      <c r="B644" s="217" t="str">
        <f>VLOOKUP(Tabel10[[#This Row],[Code]],Ruimtegroepen[[Code]:[Ruimte omschrijving]],2,FALSE)</f>
        <v>Kantine</v>
      </c>
      <c r="C644" s="218" t="s">
        <v>832</v>
      </c>
      <c r="D644" s="217" t="s">
        <v>12</v>
      </c>
      <c r="E644" s="219" t="s">
        <v>100</v>
      </c>
      <c r="F644" s="218" t="s">
        <v>834</v>
      </c>
      <c r="G644" s="263" t="s">
        <v>302</v>
      </c>
      <c r="H644" s="221" t="s">
        <v>18</v>
      </c>
      <c r="I644" s="220" t="s">
        <v>302</v>
      </c>
      <c r="J644" s="221" t="s">
        <v>302</v>
      </c>
      <c r="K644" s="221" t="s">
        <v>302</v>
      </c>
      <c r="L644" s="220" t="s">
        <v>302</v>
      </c>
      <c r="M644" s="220" t="s">
        <v>302</v>
      </c>
      <c r="N644" s="221" t="s">
        <v>302</v>
      </c>
      <c r="O644" s="222" t="s">
        <v>18</v>
      </c>
      <c r="P644" s="222" t="s">
        <v>18</v>
      </c>
      <c r="Q644" s="222" t="s">
        <v>15</v>
      </c>
      <c r="R644" s="222" t="s">
        <v>15</v>
      </c>
      <c r="S644" s="222" t="s">
        <v>16</v>
      </c>
      <c r="T644" s="222" t="s">
        <v>349</v>
      </c>
      <c r="U644" s="222" t="s">
        <v>269</v>
      </c>
      <c r="V644" s="222" t="s">
        <v>302</v>
      </c>
      <c r="W644" s="223" t="s">
        <v>302</v>
      </c>
      <c r="X644" s="223" t="s">
        <v>302</v>
      </c>
      <c r="Y644" s="224" t="s">
        <v>302</v>
      </c>
    </row>
    <row r="645" spans="1:25">
      <c r="A645" s="216">
        <v>12</v>
      </c>
      <c r="B645" s="217" t="str">
        <f>VLOOKUP(Tabel10[[#This Row],[Code]],Ruimtegroepen[[Code]:[Ruimte omschrijving]],2,FALSE)</f>
        <v>Kantine</v>
      </c>
      <c r="C645" s="218" t="s">
        <v>832</v>
      </c>
      <c r="D645" s="217" t="s">
        <v>12</v>
      </c>
      <c r="E645" s="219" t="s">
        <v>1325</v>
      </c>
      <c r="F645" s="218" t="s">
        <v>1450</v>
      </c>
      <c r="G645" s="263" t="s">
        <v>302</v>
      </c>
      <c r="H645" s="220" t="s">
        <v>302</v>
      </c>
      <c r="I645" s="221" t="s">
        <v>18</v>
      </c>
      <c r="J645" s="221" t="s">
        <v>302</v>
      </c>
      <c r="K645" s="221" t="s">
        <v>18</v>
      </c>
      <c r="L645" s="220" t="s">
        <v>302</v>
      </c>
      <c r="M645" s="220" t="s">
        <v>302</v>
      </c>
      <c r="N645" s="221" t="s">
        <v>302</v>
      </c>
      <c r="O645" s="222" t="s">
        <v>18</v>
      </c>
      <c r="P645" s="222" t="s">
        <v>18</v>
      </c>
      <c r="Q645" s="222" t="s">
        <v>15</v>
      </c>
      <c r="R645" s="222" t="s">
        <v>15</v>
      </c>
      <c r="S645" s="222" t="s">
        <v>16</v>
      </c>
      <c r="T645" s="222" t="s">
        <v>349</v>
      </c>
      <c r="U645" s="222" t="s">
        <v>269</v>
      </c>
      <c r="V645" s="222" t="s">
        <v>302</v>
      </c>
      <c r="W645" s="223" t="s">
        <v>302</v>
      </c>
      <c r="X645" s="223" t="s">
        <v>302</v>
      </c>
      <c r="Y645" s="224" t="s">
        <v>302</v>
      </c>
    </row>
    <row r="646" spans="1:25">
      <c r="A646" s="216">
        <v>12</v>
      </c>
      <c r="B646" s="217" t="str">
        <f>VLOOKUP(Tabel10[[#This Row],[Code]],Ruimtegroepen[[Code]:[Ruimte omschrijving]],2,FALSE)</f>
        <v>Kantine</v>
      </c>
      <c r="C646" s="218" t="s">
        <v>837</v>
      </c>
      <c r="D646" s="217" t="s">
        <v>14</v>
      </c>
      <c r="E646" s="219" t="s">
        <v>101</v>
      </c>
      <c r="F646" s="218" t="s">
        <v>838</v>
      </c>
      <c r="G646" s="263" t="s">
        <v>302</v>
      </c>
      <c r="H646" s="220" t="s">
        <v>302</v>
      </c>
      <c r="I646" s="220" t="s">
        <v>302</v>
      </c>
      <c r="J646" s="220" t="s">
        <v>17</v>
      </c>
      <c r="K646" s="221" t="s">
        <v>302</v>
      </c>
      <c r="L646" s="220" t="s">
        <v>302</v>
      </c>
      <c r="M646" s="220" t="s">
        <v>302</v>
      </c>
      <c r="N646" s="221" t="s">
        <v>302</v>
      </c>
      <c r="O646" s="222" t="s">
        <v>17</v>
      </c>
      <c r="P646" s="222" t="s">
        <v>17</v>
      </c>
      <c r="Q646" s="222" t="s">
        <v>15</v>
      </c>
      <c r="R646" s="222" t="s">
        <v>15</v>
      </c>
      <c r="S646" s="222" t="s">
        <v>16</v>
      </c>
      <c r="T646" s="222" t="s">
        <v>349</v>
      </c>
      <c r="U646" s="222" t="s">
        <v>269</v>
      </c>
      <c r="V646" s="222" t="s">
        <v>302</v>
      </c>
      <c r="W646" s="223" t="s">
        <v>302</v>
      </c>
      <c r="X646" s="223" t="s">
        <v>302</v>
      </c>
      <c r="Y646" s="224" t="s">
        <v>302</v>
      </c>
    </row>
    <row r="647" spans="1:25">
      <c r="A647" s="216">
        <v>12</v>
      </c>
      <c r="B647" s="217" t="str">
        <f>VLOOKUP(Tabel10[[#This Row],[Code]],Ruimtegroepen[[Code]:[Ruimte omschrijving]],2,FALSE)</f>
        <v>Kantine</v>
      </c>
      <c r="C647" s="218" t="s">
        <v>837</v>
      </c>
      <c r="D647" s="217" t="s">
        <v>14</v>
      </c>
      <c r="E647" s="219" t="s">
        <v>100</v>
      </c>
      <c r="F647" s="218" t="s">
        <v>839</v>
      </c>
      <c r="G647" s="263" t="s">
        <v>302</v>
      </c>
      <c r="H647" s="221" t="s">
        <v>17</v>
      </c>
      <c r="I647" s="220" t="s">
        <v>302</v>
      </c>
      <c r="J647" s="221" t="s">
        <v>302</v>
      </c>
      <c r="K647" s="221" t="s">
        <v>302</v>
      </c>
      <c r="L647" s="220" t="s">
        <v>302</v>
      </c>
      <c r="M647" s="220" t="s">
        <v>302</v>
      </c>
      <c r="N647" s="221" t="s">
        <v>302</v>
      </c>
      <c r="O647" s="222" t="s">
        <v>17</v>
      </c>
      <c r="P647" s="222" t="s">
        <v>17</v>
      </c>
      <c r="Q647" s="222" t="s">
        <v>15</v>
      </c>
      <c r="R647" s="222" t="s">
        <v>15</v>
      </c>
      <c r="S647" s="222" t="s">
        <v>16</v>
      </c>
      <c r="T647" s="222" t="s">
        <v>349</v>
      </c>
      <c r="U647" s="222" t="s">
        <v>269</v>
      </c>
      <c r="V647" s="222" t="s">
        <v>302</v>
      </c>
      <c r="W647" s="223" t="s">
        <v>302</v>
      </c>
      <c r="X647" s="223" t="s">
        <v>302</v>
      </c>
      <c r="Y647" s="224" t="s">
        <v>302</v>
      </c>
    </row>
    <row r="648" spans="1:25">
      <c r="A648" s="216">
        <v>12</v>
      </c>
      <c r="B648" s="217" t="str">
        <f>VLOOKUP(Tabel10[[#This Row],[Code]],Ruimtegroepen[[Code]:[Ruimte omschrijving]],2,FALSE)</f>
        <v>Kantine</v>
      </c>
      <c r="C648" s="218" t="s">
        <v>837</v>
      </c>
      <c r="D648" s="217" t="s">
        <v>14</v>
      </c>
      <c r="E648" s="219" t="s">
        <v>102</v>
      </c>
      <c r="F648" s="218" t="s">
        <v>840</v>
      </c>
      <c r="G648" s="263" t="s">
        <v>302</v>
      </c>
      <c r="H648" s="220" t="s">
        <v>302</v>
      </c>
      <c r="I648" s="221" t="s">
        <v>17</v>
      </c>
      <c r="J648" s="221" t="s">
        <v>302</v>
      </c>
      <c r="K648" s="221" t="s">
        <v>17</v>
      </c>
      <c r="L648" s="220" t="s">
        <v>302</v>
      </c>
      <c r="M648" s="220" t="s">
        <v>302</v>
      </c>
      <c r="N648" s="221" t="s">
        <v>302</v>
      </c>
      <c r="O648" s="222" t="s">
        <v>17</v>
      </c>
      <c r="P648" s="222" t="s">
        <v>17</v>
      </c>
      <c r="Q648" s="222" t="s">
        <v>15</v>
      </c>
      <c r="R648" s="222" t="s">
        <v>15</v>
      </c>
      <c r="S648" s="222" t="s">
        <v>16</v>
      </c>
      <c r="T648" s="222" t="s">
        <v>349</v>
      </c>
      <c r="U648" s="222" t="s">
        <v>269</v>
      </c>
      <c r="V648" s="222" t="s">
        <v>302</v>
      </c>
      <c r="W648" s="223" t="s">
        <v>302</v>
      </c>
      <c r="X648" s="223" t="s">
        <v>302</v>
      </c>
      <c r="Y648" s="224" t="s">
        <v>302</v>
      </c>
    </row>
    <row r="649" spans="1:25">
      <c r="A649" s="216">
        <v>12</v>
      </c>
      <c r="B649" s="217" t="str">
        <f>VLOOKUP(Tabel10[[#This Row],[Code]],Ruimtegroepen[[Code]:[Ruimte omschrijving]],2,FALSE)</f>
        <v>Kantine</v>
      </c>
      <c r="C649" s="218" t="s">
        <v>837</v>
      </c>
      <c r="D649" s="217" t="s">
        <v>14</v>
      </c>
      <c r="E649" s="219" t="s">
        <v>103</v>
      </c>
      <c r="F649" s="218" t="s">
        <v>841</v>
      </c>
      <c r="G649" s="263" t="s">
        <v>302</v>
      </c>
      <c r="H649" s="220" t="s">
        <v>302</v>
      </c>
      <c r="I649" s="221" t="s">
        <v>17</v>
      </c>
      <c r="J649" s="221" t="s">
        <v>302</v>
      </c>
      <c r="K649" s="221" t="s">
        <v>17</v>
      </c>
      <c r="L649" s="220" t="s">
        <v>302</v>
      </c>
      <c r="M649" s="220" t="s">
        <v>302</v>
      </c>
      <c r="N649" s="221" t="s">
        <v>302</v>
      </c>
      <c r="O649" s="222" t="s">
        <v>17</v>
      </c>
      <c r="P649" s="222" t="s">
        <v>17</v>
      </c>
      <c r="Q649" s="222" t="s">
        <v>15</v>
      </c>
      <c r="R649" s="222" t="s">
        <v>15</v>
      </c>
      <c r="S649" s="222" t="s">
        <v>16</v>
      </c>
      <c r="T649" s="222" t="s">
        <v>349</v>
      </c>
      <c r="U649" s="222" t="s">
        <v>269</v>
      </c>
      <c r="V649" s="222" t="s">
        <v>302</v>
      </c>
      <c r="W649" s="223" t="s">
        <v>302</v>
      </c>
      <c r="X649" s="223" t="s">
        <v>302</v>
      </c>
      <c r="Y649" s="224" t="s">
        <v>302</v>
      </c>
    </row>
    <row r="650" spans="1:25">
      <c r="A650" s="216">
        <v>12</v>
      </c>
      <c r="B650" s="217" t="str">
        <f>VLOOKUP(Tabel10[[#This Row],[Code]],Ruimtegroepen[[Code]:[Ruimte omschrijving]],2,FALSE)</f>
        <v>Kantine</v>
      </c>
      <c r="C650" s="218" t="s">
        <v>837</v>
      </c>
      <c r="D650" s="217" t="s">
        <v>14</v>
      </c>
      <c r="E650" s="219" t="s">
        <v>100</v>
      </c>
      <c r="F650" s="218" t="s">
        <v>839</v>
      </c>
      <c r="G650" s="263" t="s">
        <v>302</v>
      </c>
      <c r="H650" s="221" t="s">
        <v>17</v>
      </c>
      <c r="I650" s="220" t="s">
        <v>302</v>
      </c>
      <c r="J650" s="221" t="s">
        <v>302</v>
      </c>
      <c r="K650" s="221" t="s">
        <v>302</v>
      </c>
      <c r="L650" s="220" t="s">
        <v>302</v>
      </c>
      <c r="M650" s="220" t="s">
        <v>302</v>
      </c>
      <c r="N650" s="221" t="s">
        <v>302</v>
      </c>
      <c r="O650" s="222" t="s">
        <v>17</v>
      </c>
      <c r="P650" s="222" t="s">
        <v>17</v>
      </c>
      <c r="Q650" s="222" t="s">
        <v>15</v>
      </c>
      <c r="R650" s="222" t="s">
        <v>15</v>
      </c>
      <c r="S650" s="222" t="s">
        <v>16</v>
      </c>
      <c r="T650" s="222" t="s">
        <v>349</v>
      </c>
      <c r="U650" s="222" t="s">
        <v>269</v>
      </c>
      <c r="V650" s="222" t="s">
        <v>302</v>
      </c>
      <c r="W650" s="223" t="s">
        <v>302</v>
      </c>
      <c r="X650" s="223" t="s">
        <v>302</v>
      </c>
      <c r="Y650" s="224" t="s">
        <v>302</v>
      </c>
    </row>
    <row r="651" spans="1:25">
      <c r="A651" s="216">
        <v>12</v>
      </c>
      <c r="B651" s="217" t="str">
        <f>VLOOKUP(Tabel10[[#This Row],[Code]],Ruimtegroepen[[Code]:[Ruimte omschrijving]],2,FALSE)</f>
        <v>Kantine</v>
      </c>
      <c r="C651" s="218" t="s">
        <v>837</v>
      </c>
      <c r="D651" s="217" t="s">
        <v>14</v>
      </c>
      <c r="E651" s="219" t="s">
        <v>1325</v>
      </c>
      <c r="F651" s="218" t="s">
        <v>1417</v>
      </c>
      <c r="G651" s="263" t="s">
        <v>302</v>
      </c>
      <c r="H651" s="220" t="s">
        <v>302</v>
      </c>
      <c r="I651" s="221" t="s">
        <v>17</v>
      </c>
      <c r="J651" s="221" t="s">
        <v>302</v>
      </c>
      <c r="K651" s="221" t="s">
        <v>17</v>
      </c>
      <c r="L651" s="220" t="s">
        <v>302</v>
      </c>
      <c r="M651" s="220" t="s">
        <v>302</v>
      </c>
      <c r="N651" s="221" t="s">
        <v>302</v>
      </c>
      <c r="O651" s="222" t="s">
        <v>17</v>
      </c>
      <c r="P651" s="222" t="s">
        <v>17</v>
      </c>
      <c r="Q651" s="222" t="s">
        <v>15</v>
      </c>
      <c r="R651" s="222" t="s">
        <v>15</v>
      </c>
      <c r="S651" s="222" t="s">
        <v>16</v>
      </c>
      <c r="T651" s="222" t="s">
        <v>349</v>
      </c>
      <c r="U651" s="222" t="s">
        <v>269</v>
      </c>
      <c r="V651" s="222" t="s">
        <v>302</v>
      </c>
      <c r="W651" s="223" t="s">
        <v>302</v>
      </c>
      <c r="X651" s="223" t="s">
        <v>302</v>
      </c>
      <c r="Y651" s="224" t="s">
        <v>302</v>
      </c>
    </row>
    <row r="652" spans="1:25">
      <c r="A652" s="216">
        <v>12</v>
      </c>
      <c r="B652" s="217" t="str">
        <f>VLOOKUP(Tabel10[[#This Row],[Code]],Ruimtegroepen[[Code]:[Ruimte omschrijving]],2,FALSE)</f>
        <v>Kantine</v>
      </c>
      <c r="C652" s="218" t="s">
        <v>842</v>
      </c>
      <c r="D652" s="217" t="s">
        <v>13</v>
      </c>
      <c r="E652" s="219" t="s">
        <v>101</v>
      </c>
      <c r="F652" s="218" t="s">
        <v>843</v>
      </c>
      <c r="G652" s="263" t="s">
        <v>302</v>
      </c>
      <c r="H652" s="220" t="s">
        <v>302</v>
      </c>
      <c r="I652" s="220" t="s">
        <v>302</v>
      </c>
      <c r="J652" s="221" t="s">
        <v>15</v>
      </c>
      <c r="K652" s="221" t="s">
        <v>302</v>
      </c>
      <c r="L652" s="220" t="s">
        <v>302</v>
      </c>
      <c r="M652" s="220" t="s">
        <v>302</v>
      </c>
      <c r="N652" s="221" t="s">
        <v>302</v>
      </c>
      <c r="O652" s="222" t="s">
        <v>15</v>
      </c>
      <c r="P652" s="222" t="s">
        <v>15</v>
      </c>
      <c r="Q652" s="222" t="s">
        <v>15</v>
      </c>
      <c r="R652" s="222" t="s">
        <v>15</v>
      </c>
      <c r="S652" s="222" t="s">
        <v>16</v>
      </c>
      <c r="T652" s="222" t="s">
        <v>349</v>
      </c>
      <c r="U652" s="222" t="s">
        <v>269</v>
      </c>
      <c r="V652" s="222" t="s">
        <v>302</v>
      </c>
      <c r="W652" s="223" t="s">
        <v>302</v>
      </c>
      <c r="X652" s="223" t="s">
        <v>302</v>
      </c>
      <c r="Y652" s="224" t="s">
        <v>302</v>
      </c>
    </row>
    <row r="653" spans="1:25">
      <c r="A653" s="216">
        <v>12</v>
      </c>
      <c r="B653" s="217" t="str">
        <f>VLOOKUP(Tabel10[[#This Row],[Code]],Ruimtegroepen[[Code]:[Ruimte omschrijving]],2,FALSE)</f>
        <v>Kantine</v>
      </c>
      <c r="C653" s="218" t="s">
        <v>842</v>
      </c>
      <c r="D653" s="217" t="s">
        <v>13</v>
      </c>
      <c r="E653" s="219" t="s">
        <v>100</v>
      </c>
      <c r="F653" s="218" t="s">
        <v>844</v>
      </c>
      <c r="G653" s="263" t="s">
        <v>302</v>
      </c>
      <c r="H653" s="221" t="s">
        <v>15</v>
      </c>
      <c r="I653" s="220" t="s">
        <v>302</v>
      </c>
      <c r="J653" s="221" t="s">
        <v>302</v>
      </c>
      <c r="K653" s="221" t="s">
        <v>302</v>
      </c>
      <c r="L653" s="220" t="s">
        <v>302</v>
      </c>
      <c r="M653" s="220" t="s">
        <v>302</v>
      </c>
      <c r="N653" s="221" t="s">
        <v>302</v>
      </c>
      <c r="O653" s="222" t="s">
        <v>15</v>
      </c>
      <c r="P653" s="222" t="s">
        <v>15</v>
      </c>
      <c r="Q653" s="222" t="s">
        <v>15</v>
      </c>
      <c r="R653" s="222" t="s">
        <v>15</v>
      </c>
      <c r="S653" s="222" t="s">
        <v>16</v>
      </c>
      <c r="T653" s="222" t="s">
        <v>349</v>
      </c>
      <c r="U653" s="222" t="s">
        <v>269</v>
      </c>
      <c r="V653" s="222" t="s">
        <v>302</v>
      </c>
      <c r="W653" s="223" t="s">
        <v>302</v>
      </c>
      <c r="X653" s="223" t="s">
        <v>302</v>
      </c>
      <c r="Y653" s="224" t="s">
        <v>302</v>
      </c>
    </row>
    <row r="654" spans="1:25">
      <c r="A654" s="216">
        <v>12</v>
      </c>
      <c r="B654" s="217" t="str">
        <f>VLOOKUP(Tabel10[[#This Row],[Code]],Ruimtegroepen[[Code]:[Ruimte omschrijving]],2,FALSE)</f>
        <v>Kantine</v>
      </c>
      <c r="C654" s="218" t="s">
        <v>842</v>
      </c>
      <c r="D654" s="217" t="s">
        <v>13</v>
      </c>
      <c r="E654" s="219" t="s">
        <v>102</v>
      </c>
      <c r="F654" s="218" t="s">
        <v>845</v>
      </c>
      <c r="G654" s="263" t="s">
        <v>302</v>
      </c>
      <c r="H654" s="220" t="s">
        <v>302</v>
      </c>
      <c r="I654" s="221" t="s">
        <v>15</v>
      </c>
      <c r="J654" s="221" t="s">
        <v>302</v>
      </c>
      <c r="K654" s="221" t="s">
        <v>15</v>
      </c>
      <c r="L654" s="220" t="s">
        <v>302</v>
      </c>
      <c r="M654" s="220" t="s">
        <v>302</v>
      </c>
      <c r="N654" s="221" t="s">
        <v>302</v>
      </c>
      <c r="O654" s="222" t="s">
        <v>15</v>
      </c>
      <c r="P654" s="222" t="s">
        <v>15</v>
      </c>
      <c r="Q654" s="222" t="s">
        <v>15</v>
      </c>
      <c r="R654" s="222" t="s">
        <v>15</v>
      </c>
      <c r="S654" s="222" t="s">
        <v>16</v>
      </c>
      <c r="T654" s="222" t="s">
        <v>349</v>
      </c>
      <c r="U654" s="222" t="s">
        <v>269</v>
      </c>
      <c r="V654" s="222" t="s">
        <v>302</v>
      </c>
      <c r="W654" s="223" t="s">
        <v>302</v>
      </c>
      <c r="X654" s="223" t="s">
        <v>302</v>
      </c>
      <c r="Y654" s="224" t="s">
        <v>302</v>
      </c>
    </row>
    <row r="655" spans="1:25">
      <c r="A655" s="216">
        <v>12</v>
      </c>
      <c r="B655" s="217" t="str">
        <f>VLOOKUP(Tabel10[[#This Row],[Code]],Ruimtegroepen[[Code]:[Ruimte omschrijving]],2,FALSE)</f>
        <v>Kantine</v>
      </c>
      <c r="C655" s="218" t="s">
        <v>842</v>
      </c>
      <c r="D655" s="217" t="s">
        <v>13</v>
      </c>
      <c r="E655" s="219" t="s">
        <v>103</v>
      </c>
      <c r="F655" s="218" t="s">
        <v>846</v>
      </c>
      <c r="G655" s="263" t="s">
        <v>302</v>
      </c>
      <c r="H655" s="220" t="s">
        <v>302</v>
      </c>
      <c r="I655" s="221" t="s">
        <v>15</v>
      </c>
      <c r="J655" s="221" t="s">
        <v>302</v>
      </c>
      <c r="K655" s="221" t="s">
        <v>15</v>
      </c>
      <c r="L655" s="220" t="s">
        <v>302</v>
      </c>
      <c r="M655" s="220" t="s">
        <v>302</v>
      </c>
      <c r="N655" s="221" t="s">
        <v>302</v>
      </c>
      <c r="O655" s="222" t="s">
        <v>15</v>
      </c>
      <c r="P655" s="222" t="s">
        <v>15</v>
      </c>
      <c r="Q655" s="222" t="s">
        <v>15</v>
      </c>
      <c r="R655" s="222" t="s">
        <v>15</v>
      </c>
      <c r="S655" s="222" t="s">
        <v>16</v>
      </c>
      <c r="T655" s="222" t="s">
        <v>349</v>
      </c>
      <c r="U655" s="222" t="s">
        <v>269</v>
      </c>
      <c r="V655" s="222" t="s">
        <v>302</v>
      </c>
      <c r="W655" s="223" t="s">
        <v>302</v>
      </c>
      <c r="X655" s="223" t="s">
        <v>302</v>
      </c>
      <c r="Y655" s="224" t="s">
        <v>302</v>
      </c>
    </row>
    <row r="656" spans="1:25">
      <c r="A656" s="216">
        <v>12</v>
      </c>
      <c r="B656" s="217" t="str">
        <f>VLOOKUP(Tabel10[[#This Row],[Code]],Ruimtegroepen[[Code]:[Ruimte omschrijving]],2,FALSE)</f>
        <v>Kantine</v>
      </c>
      <c r="C656" s="218" t="s">
        <v>842</v>
      </c>
      <c r="D656" s="217" t="s">
        <v>13</v>
      </c>
      <c r="E656" s="219" t="s">
        <v>100</v>
      </c>
      <c r="F656" s="218" t="s">
        <v>844</v>
      </c>
      <c r="G656" s="263" t="s">
        <v>302</v>
      </c>
      <c r="H656" s="221" t="s">
        <v>15</v>
      </c>
      <c r="I656" s="220" t="s">
        <v>302</v>
      </c>
      <c r="J656" s="221" t="s">
        <v>302</v>
      </c>
      <c r="K656" s="221" t="s">
        <v>302</v>
      </c>
      <c r="L656" s="220" t="s">
        <v>302</v>
      </c>
      <c r="M656" s="220" t="s">
        <v>302</v>
      </c>
      <c r="N656" s="221" t="s">
        <v>302</v>
      </c>
      <c r="O656" s="222" t="s">
        <v>15</v>
      </c>
      <c r="P656" s="222" t="s">
        <v>15</v>
      </c>
      <c r="Q656" s="222" t="s">
        <v>15</v>
      </c>
      <c r="R656" s="222" t="s">
        <v>15</v>
      </c>
      <c r="S656" s="222" t="s">
        <v>16</v>
      </c>
      <c r="T656" s="222" t="s">
        <v>349</v>
      </c>
      <c r="U656" s="222" t="s">
        <v>269</v>
      </c>
      <c r="V656" s="222" t="s">
        <v>302</v>
      </c>
      <c r="W656" s="223" t="s">
        <v>302</v>
      </c>
      <c r="X656" s="223" t="s">
        <v>302</v>
      </c>
      <c r="Y656" s="224" t="s">
        <v>302</v>
      </c>
    </row>
    <row r="657" spans="1:25">
      <c r="A657" s="216">
        <v>12</v>
      </c>
      <c r="B657" s="217" t="str">
        <f>VLOOKUP(Tabel10[[#This Row],[Code]],Ruimtegroepen[[Code]:[Ruimte omschrijving]],2,FALSE)</f>
        <v>Kantine</v>
      </c>
      <c r="C657" s="218" t="s">
        <v>842</v>
      </c>
      <c r="D657" s="217" t="s">
        <v>13</v>
      </c>
      <c r="E657" s="219" t="s">
        <v>1325</v>
      </c>
      <c r="F657" s="218" t="s">
        <v>1384</v>
      </c>
      <c r="G657" s="263" t="s">
        <v>302</v>
      </c>
      <c r="H657" s="220" t="s">
        <v>302</v>
      </c>
      <c r="I657" s="221" t="s">
        <v>15</v>
      </c>
      <c r="J657" s="221" t="s">
        <v>302</v>
      </c>
      <c r="K657" s="221" t="s">
        <v>15</v>
      </c>
      <c r="L657" s="220" t="s">
        <v>302</v>
      </c>
      <c r="M657" s="220" t="s">
        <v>302</v>
      </c>
      <c r="N657" s="221" t="s">
        <v>302</v>
      </c>
      <c r="O657" s="222" t="s">
        <v>15</v>
      </c>
      <c r="P657" s="222" t="s">
        <v>15</v>
      </c>
      <c r="Q657" s="222" t="s">
        <v>15</v>
      </c>
      <c r="R657" s="222" t="s">
        <v>15</v>
      </c>
      <c r="S657" s="222" t="s">
        <v>16</v>
      </c>
      <c r="T657" s="222" t="s">
        <v>349</v>
      </c>
      <c r="U657" s="222" t="s">
        <v>269</v>
      </c>
      <c r="V657" s="222" t="s">
        <v>302</v>
      </c>
      <c r="W657" s="223" t="s">
        <v>302</v>
      </c>
      <c r="X657" s="223" t="s">
        <v>302</v>
      </c>
      <c r="Y657" s="224" t="s">
        <v>302</v>
      </c>
    </row>
    <row r="658" spans="1:25">
      <c r="A658" s="216">
        <v>12</v>
      </c>
      <c r="B658" s="217" t="str">
        <f>VLOOKUP(Tabel10[[#This Row],[Code]],Ruimtegroepen[[Code]:[Ruimte omschrijving]],2,FALSE)</f>
        <v>Kantine</v>
      </c>
      <c r="C658" s="218" t="s">
        <v>847</v>
      </c>
      <c r="D658" s="217" t="s">
        <v>0</v>
      </c>
      <c r="E658" s="219" t="s">
        <v>101</v>
      </c>
      <c r="F658" s="218" t="s">
        <v>848</v>
      </c>
      <c r="G658" s="263" t="s">
        <v>302</v>
      </c>
      <c r="H658" s="220" t="s">
        <v>302</v>
      </c>
      <c r="I658" s="220" t="s">
        <v>302</v>
      </c>
      <c r="J658" s="221" t="s">
        <v>16</v>
      </c>
      <c r="K658" s="221" t="s">
        <v>302</v>
      </c>
      <c r="L658" s="220" t="s">
        <v>302</v>
      </c>
      <c r="M658" s="220" t="s">
        <v>302</v>
      </c>
      <c r="N658" s="221" t="s">
        <v>302</v>
      </c>
      <c r="O658" s="222" t="s">
        <v>16</v>
      </c>
      <c r="P658" s="222" t="s">
        <v>16</v>
      </c>
      <c r="Q658" s="222" t="s">
        <v>16</v>
      </c>
      <c r="R658" s="222" t="s">
        <v>16</v>
      </c>
      <c r="S658" s="222" t="s">
        <v>16</v>
      </c>
      <c r="T658" s="222" t="s">
        <v>349</v>
      </c>
      <c r="U658" s="222" t="s">
        <v>269</v>
      </c>
      <c r="V658" s="222" t="s">
        <v>302</v>
      </c>
      <c r="W658" s="223" t="s">
        <v>302</v>
      </c>
      <c r="X658" s="223" t="s">
        <v>302</v>
      </c>
      <c r="Y658" s="224" t="s">
        <v>302</v>
      </c>
    </row>
    <row r="659" spans="1:25">
      <c r="A659" s="216">
        <v>12</v>
      </c>
      <c r="B659" s="217" t="str">
        <f>VLOOKUP(Tabel10[[#This Row],[Code]],Ruimtegroepen[[Code]:[Ruimte omschrijving]],2,FALSE)</f>
        <v>Kantine</v>
      </c>
      <c r="C659" s="218" t="s">
        <v>847</v>
      </c>
      <c r="D659" s="217" t="s">
        <v>0</v>
      </c>
      <c r="E659" s="219" t="s">
        <v>100</v>
      </c>
      <c r="F659" s="218" t="s">
        <v>849</v>
      </c>
      <c r="G659" s="263" t="s">
        <v>302</v>
      </c>
      <c r="H659" s="221" t="s">
        <v>16</v>
      </c>
      <c r="I659" s="220" t="s">
        <v>302</v>
      </c>
      <c r="J659" s="221" t="s">
        <v>302</v>
      </c>
      <c r="K659" s="221" t="s">
        <v>302</v>
      </c>
      <c r="L659" s="220" t="s">
        <v>302</v>
      </c>
      <c r="M659" s="220" t="s">
        <v>302</v>
      </c>
      <c r="N659" s="221" t="s">
        <v>302</v>
      </c>
      <c r="O659" s="222" t="s">
        <v>16</v>
      </c>
      <c r="P659" s="222" t="s">
        <v>16</v>
      </c>
      <c r="Q659" s="222" t="s">
        <v>16</v>
      </c>
      <c r="R659" s="222" t="s">
        <v>16</v>
      </c>
      <c r="S659" s="222" t="s">
        <v>16</v>
      </c>
      <c r="T659" s="222" t="s">
        <v>349</v>
      </c>
      <c r="U659" s="222" t="s">
        <v>269</v>
      </c>
      <c r="V659" s="222" t="s">
        <v>302</v>
      </c>
      <c r="W659" s="223" t="s">
        <v>302</v>
      </c>
      <c r="X659" s="223" t="s">
        <v>302</v>
      </c>
      <c r="Y659" s="224" t="s">
        <v>302</v>
      </c>
    </row>
    <row r="660" spans="1:25">
      <c r="A660" s="216">
        <v>12</v>
      </c>
      <c r="B660" s="217" t="str">
        <f>VLOOKUP(Tabel10[[#This Row],[Code]],Ruimtegroepen[[Code]:[Ruimte omschrijving]],2,FALSE)</f>
        <v>Kantine</v>
      </c>
      <c r="C660" s="218" t="s">
        <v>847</v>
      </c>
      <c r="D660" s="217" t="s">
        <v>0</v>
      </c>
      <c r="E660" s="219" t="s">
        <v>102</v>
      </c>
      <c r="F660" s="218" t="s">
        <v>850</v>
      </c>
      <c r="G660" s="263" t="s">
        <v>302</v>
      </c>
      <c r="H660" s="220" t="s">
        <v>302</v>
      </c>
      <c r="I660" s="221" t="s">
        <v>16</v>
      </c>
      <c r="J660" s="221" t="s">
        <v>381</v>
      </c>
      <c r="K660" s="221" t="s">
        <v>16</v>
      </c>
      <c r="L660" s="220" t="s">
        <v>302</v>
      </c>
      <c r="M660" s="220" t="s">
        <v>302</v>
      </c>
      <c r="N660" s="221" t="s">
        <v>302</v>
      </c>
      <c r="O660" s="222" t="s">
        <v>16</v>
      </c>
      <c r="P660" s="222" t="s">
        <v>16</v>
      </c>
      <c r="Q660" s="222" t="s">
        <v>16</v>
      </c>
      <c r="R660" s="222" t="s">
        <v>16</v>
      </c>
      <c r="S660" s="222" t="s">
        <v>16</v>
      </c>
      <c r="T660" s="222" t="s">
        <v>349</v>
      </c>
      <c r="U660" s="222" t="s">
        <v>269</v>
      </c>
      <c r="V660" s="222" t="s">
        <v>302</v>
      </c>
      <c r="W660" s="223" t="s">
        <v>302</v>
      </c>
      <c r="X660" s="223" t="s">
        <v>302</v>
      </c>
      <c r="Y660" s="224" t="s">
        <v>302</v>
      </c>
    </row>
    <row r="661" spans="1:25">
      <c r="A661" s="216">
        <v>12</v>
      </c>
      <c r="B661" s="217" t="str">
        <f>VLOOKUP(Tabel10[[#This Row],[Code]],Ruimtegroepen[[Code]:[Ruimte omschrijving]],2,FALSE)</f>
        <v>Kantine</v>
      </c>
      <c r="C661" s="218" t="s">
        <v>847</v>
      </c>
      <c r="D661" s="217" t="s">
        <v>0</v>
      </c>
      <c r="E661" s="219" t="s">
        <v>103</v>
      </c>
      <c r="F661" s="218" t="s">
        <v>851</v>
      </c>
      <c r="G661" s="263" t="s">
        <v>302</v>
      </c>
      <c r="H661" s="220" t="s">
        <v>302</v>
      </c>
      <c r="I661" s="221" t="s">
        <v>16</v>
      </c>
      <c r="J661" s="221" t="s">
        <v>302</v>
      </c>
      <c r="K661" s="221" t="s">
        <v>16</v>
      </c>
      <c r="L661" s="220" t="s">
        <v>302</v>
      </c>
      <c r="M661" s="220" t="s">
        <v>302</v>
      </c>
      <c r="N661" s="221" t="s">
        <v>302</v>
      </c>
      <c r="O661" s="222" t="s">
        <v>16</v>
      </c>
      <c r="P661" s="222" t="s">
        <v>16</v>
      </c>
      <c r="Q661" s="222" t="s">
        <v>16</v>
      </c>
      <c r="R661" s="222" t="s">
        <v>16</v>
      </c>
      <c r="S661" s="222" t="s">
        <v>16</v>
      </c>
      <c r="T661" s="222" t="s">
        <v>349</v>
      </c>
      <c r="U661" s="222" t="s">
        <v>269</v>
      </c>
      <c r="V661" s="222" t="s">
        <v>302</v>
      </c>
      <c r="W661" s="223" t="s">
        <v>302</v>
      </c>
      <c r="X661" s="223" t="s">
        <v>302</v>
      </c>
      <c r="Y661" s="224" t="s">
        <v>302</v>
      </c>
    </row>
    <row r="662" spans="1:25">
      <c r="A662" s="216">
        <v>12</v>
      </c>
      <c r="B662" s="217" t="str">
        <f>VLOOKUP(Tabel10[[#This Row],[Code]],Ruimtegroepen[[Code]:[Ruimte omschrijving]],2,FALSE)</f>
        <v>Kantine</v>
      </c>
      <c r="C662" s="218" t="s">
        <v>847</v>
      </c>
      <c r="D662" s="217" t="s">
        <v>0</v>
      </c>
      <c r="E662" s="219" t="s">
        <v>100</v>
      </c>
      <c r="F662" s="218" t="s">
        <v>849</v>
      </c>
      <c r="G662" s="263" t="s">
        <v>302</v>
      </c>
      <c r="H662" s="221" t="s">
        <v>16</v>
      </c>
      <c r="I662" s="220" t="s">
        <v>302</v>
      </c>
      <c r="J662" s="221" t="s">
        <v>302</v>
      </c>
      <c r="K662" s="221" t="s">
        <v>302</v>
      </c>
      <c r="L662" s="220" t="s">
        <v>302</v>
      </c>
      <c r="M662" s="220" t="s">
        <v>302</v>
      </c>
      <c r="N662" s="221" t="s">
        <v>302</v>
      </c>
      <c r="O662" s="222" t="s">
        <v>16</v>
      </c>
      <c r="P662" s="222" t="s">
        <v>16</v>
      </c>
      <c r="Q662" s="222" t="s">
        <v>16</v>
      </c>
      <c r="R662" s="222" t="s">
        <v>16</v>
      </c>
      <c r="S662" s="222" t="s">
        <v>16</v>
      </c>
      <c r="T662" s="222" t="s">
        <v>349</v>
      </c>
      <c r="U662" s="222" t="s">
        <v>269</v>
      </c>
      <c r="V662" s="222" t="s">
        <v>302</v>
      </c>
      <c r="W662" s="223" t="s">
        <v>302</v>
      </c>
      <c r="X662" s="223" t="s">
        <v>302</v>
      </c>
      <c r="Y662" s="224" t="s">
        <v>302</v>
      </c>
    </row>
    <row r="663" spans="1:25">
      <c r="A663" s="216">
        <v>12</v>
      </c>
      <c r="B663" s="217" t="str">
        <f>VLOOKUP(Tabel10[[#This Row],[Code]],Ruimtegroepen[[Code]:[Ruimte omschrijving]],2,FALSE)</f>
        <v>Kantine</v>
      </c>
      <c r="C663" s="218" t="s">
        <v>847</v>
      </c>
      <c r="D663" s="217" t="s">
        <v>0</v>
      </c>
      <c r="E663" s="219" t="s">
        <v>1325</v>
      </c>
      <c r="F663" s="218" t="s">
        <v>1368</v>
      </c>
      <c r="G663" s="263" t="s">
        <v>302</v>
      </c>
      <c r="H663" s="220" t="s">
        <v>302</v>
      </c>
      <c r="I663" s="221" t="s">
        <v>16</v>
      </c>
      <c r="J663" s="221" t="s">
        <v>302</v>
      </c>
      <c r="K663" s="221" t="s">
        <v>16</v>
      </c>
      <c r="L663" s="220" t="s">
        <v>302</v>
      </c>
      <c r="M663" s="220" t="s">
        <v>302</v>
      </c>
      <c r="N663" s="221" t="s">
        <v>302</v>
      </c>
      <c r="O663" s="222" t="s">
        <v>16</v>
      </c>
      <c r="P663" s="222" t="s">
        <v>16</v>
      </c>
      <c r="Q663" s="222" t="s">
        <v>16</v>
      </c>
      <c r="R663" s="222" t="s">
        <v>16</v>
      </c>
      <c r="S663" s="222" t="s">
        <v>16</v>
      </c>
      <c r="T663" s="222" t="s">
        <v>349</v>
      </c>
      <c r="U663" s="222" t="s">
        <v>269</v>
      </c>
      <c r="V663" s="222" t="s">
        <v>302</v>
      </c>
      <c r="W663" s="223" t="s">
        <v>302</v>
      </c>
      <c r="X663" s="223" t="s">
        <v>302</v>
      </c>
      <c r="Y663" s="224" t="s">
        <v>302</v>
      </c>
    </row>
    <row r="664" spans="1:25">
      <c r="A664" s="216">
        <v>12</v>
      </c>
      <c r="B664" s="217" t="str">
        <f>VLOOKUP(Tabel10[[#This Row],[Code]],Ruimtegroepen[[Code]:[Ruimte omschrijving]],2,FALSE)</f>
        <v>Kantine</v>
      </c>
      <c r="C664" s="218" t="s">
        <v>852</v>
      </c>
      <c r="D664" s="217" t="s">
        <v>27</v>
      </c>
      <c r="E664" s="219" t="s">
        <v>101</v>
      </c>
      <c r="F664" s="218" t="s">
        <v>853</v>
      </c>
      <c r="G664" s="263" t="s">
        <v>302</v>
      </c>
      <c r="H664" s="220" t="s">
        <v>302</v>
      </c>
      <c r="I664" s="221" t="s">
        <v>15</v>
      </c>
      <c r="J664" s="220" t="s">
        <v>302</v>
      </c>
      <c r="K664" s="221" t="s">
        <v>302</v>
      </c>
      <c r="L664" s="220" t="s">
        <v>302</v>
      </c>
      <c r="M664" s="220" t="s">
        <v>302</v>
      </c>
      <c r="N664" s="221" t="s">
        <v>302</v>
      </c>
      <c r="O664" s="222" t="s">
        <v>15</v>
      </c>
      <c r="P664" s="222" t="s">
        <v>15</v>
      </c>
      <c r="Q664" s="222" t="s">
        <v>15</v>
      </c>
      <c r="R664" s="222" t="s">
        <v>302</v>
      </c>
      <c r="S664" s="222" t="s">
        <v>302</v>
      </c>
      <c r="T664" s="222" t="s">
        <v>302</v>
      </c>
      <c r="U664" s="222" t="s">
        <v>302</v>
      </c>
      <c r="V664" s="222" t="s">
        <v>302</v>
      </c>
      <c r="W664" s="223" t="s">
        <v>302</v>
      </c>
      <c r="X664" s="223" t="s">
        <v>302</v>
      </c>
      <c r="Y664" s="224" t="s">
        <v>302</v>
      </c>
    </row>
    <row r="665" spans="1:25">
      <c r="A665" s="216">
        <v>12</v>
      </c>
      <c r="B665" s="217" t="str">
        <f>VLOOKUP(Tabel10[[#This Row],[Code]],Ruimtegroepen[[Code]:[Ruimte omschrijving]],2,FALSE)</f>
        <v>Kantine</v>
      </c>
      <c r="C665" s="218" t="s">
        <v>852</v>
      </c>
      <c r="D665" s="217" t="s">
        <v>27</v>
      </c>
      <c r="E665" s="219" t="s">
        <v>100</v>
      </c>
      <c r="F665" s="218" t="s">
        <v>854</v>
      </c>
      <c r="G665" s="263" t="s">
        <v>302</v>
      </c>
      <c r="H665" s="221" t="s">
        <v>15</v>
      </c>
      <c r="I665" s="220" t="s">
        <v>302</v>
      </c>
      <c r="J665" s="221" t="s">
        <v>302</v>
      </c>
      <c r="K665" s="221" t="s">
        <v>302</v>
      </c>
      <c r="L665" s="220" t="s">
        <v>302</v>
      </c>
      <c r="M665" s="220" t="s">
        <v>302</v>
      </c>
      <c r="N665" s="221" t="s">
        <v>302</v>
      </c>
      <c r="O665" s="222" t="s">
        <v>15</v>
      </c>
      <c r="P665" s="222" t="s">
        <v>15</v>
      </c>
      <c r="Q665" s="222" t="s">
        <v>15</v>
      </c>
      <c r="R665" s="222" t="s">
        <v>302</v>
      </c>
      <c r="S665" s="222" t="s">
        <v>302</v>
      </c>
      <c r="T665" s="222" t="s">
        <v>302</v>
      </c>
      <c r="U665" s="222" t="s">
        <v>302</v>
      </c>
      <c r="V665" s="222" t="s">
        <v>302</v>
      </c>
      <c r="W665" s="223" t="s">
        <v>302</v>
      </c>
      <c r="X665" s="223" t="s">
        <v>302</v>
      </c>
      <c r="Y665" s="224" t="s">
        <v>302</v>
      </c>
    </row>
    <row r="666" spans="1:25">
      <c r="A666" s="216">
        <v>12</v>
      </c>
      <c r="B666" s="217" t="str">
        <f>VLOOKUP(Tabel10[[#This Row],[Code]],Ruimtegroepen[[Code]:[Ruimte omschrijving]],2,FALSE)</f>
        <v>Kantine</v>
      </c>
      <c r="C666" s="218" t="s">
        <v>852</v>
      </c>
      <c r="D666" s="217" t="s">
        <v>27</v>
      </c>
      <c r="E666" s="219" t="s">
        <v>102</v>
      </c>
      <c r="F666" s="218" t="s">
        <v>855</v>
      </c>
      <c r="G666" s="263" t="s">
        <v>302</v>
      </c>
      <c r="H666" s="220" t="s">
        <v>302</v>
      </c>
      <c r="I666" s="221" t="s">
        <v>15</v>
      </c>
      <c r="J666" s="221" t="s">
        <v>302</v>
      </c>
      <c r="K666" s="221" t="s">
        <v>302</v>
      </c>
      <c r="L666" s="220" t="s">
        <v>302</v>
      </c>
      <c r="M666" s="220" t="s">
        <v>302</v>
      </c>
      <c r="N666" s="221" t="s">
        <v>302</v>
      </c>
      <c r="O666" s="222" t="s">
        <v>15</v>
      </c>
      <c r="P666" s="222" t="s">
        <v>15</v>
      </c>
      <c r="Q666" s="222" t="s">
        <v>15</v>
      </c>
      <c r="R666" s="222" t="s">
        <v>302</v>
      </c>
      <c r="S666" s="222" t="s">
        <v>302</v>
      </c>
      <c r="T666" s="222" t="s">
        <v>302</v>
      </c>
      <c r="U666" s="222" t="s">
        <v>302</v>
      </c>
      <c r="V666" s="222" t="s">
        <v>302</v>
      </c>
      <c r="W666" s="223" t="s">
        <v>302</v>
      </c>
      <c r="X666" s="223" t="s">
        <v>302</v>
      </c>
      <c r="Y666" s="224" t="s">
        <v>302</v>
      </c>
    </row>
    <row r="667" spans="1:25">
      <c r="A667" s="216">
        <v>12</v>
      </c>
      <c r="B667" s="217" t="str">
        <f>VLOOKUP(Tabel10[[#This Row],[Code]],Ruimtegroepen[[Code]:[Ruimte omschrijving]],2,FALSE)</f>
        <v>Kantine</v>
      </c>
      <c r="C667" s="218" t="s">
        <v>852</v>
      </c>
      <c r="D667" s="217" t="s">
        <v>27</v>
      </c>
      <c r="E667" s="219" t="s">
        <v>103</v>
      </c>
      <c r="F667" s="218" t="s">
        <v>856</v>
      </c>
      <c r="G667" s="263" t="s">
        <v>302</v>
      </c>
      <c r="H667" s="220" t="s">
        <v>302</v>
      </c>
      <c r="I667" s="221" t="s">
        <v>15</v>
      </c>
      <c r="J667" s="221" t="s">
        <v>302</v>
      </c>
      <c r="K667" s="221" t="s">
        <v>302</v>
      </c>
      <c r="L667" s="220" t="s">
        <v>302</v>
      </c>
      <c r="M667" s="220" t="s">
        <v>302</v>
      </c>
      <c r="N667" s="221" t="s">
        <v>302</v>
      </c>
      <c r="O667" s="222" t="s">
        <v>15</v>
      </c>
      <c r="P667" s="222" t="s">
        <v>15</v>
      </c>
      <c r="Q667" s="222" t="s">
        <v>15</v>
      </c>
      <c r="R667" s="222" t="s">
        <v>302</v>
      </c>
      <c r="S667" s="222" t="s">
        <v>302</v>
      </c>
      <c r="T667" s="222" t="s">
        <v>302</v>
      </c>
      <c r="U667" s="222" t="s">
        <v>302</v>
      </c>
      <c r="V667" s="222" t="s">
        <v>302</v>
      </c>
      <c r="W667" s="223" t="s">
        <v>302</v>
      </c>
      <c r="X667" s="223" t="s">
        <v>302</v>
      </c>
      <c r="Y667" s="224" t="s">
        <v>302</v>
      </c>
    </row>
    <row r="668" spans="1:25">
      <c r="A668" s="216">
        <v>12</v>
      </c>
      <c r="B668" s="217" t="str">
        <f>VLOOKUP(Tabel10[[#This Row],[Code]],Ruimtegroepen[[Code]:[Ruimte omschrijving]],2,FALSE)</f>
        <v>Kantine</v>
      </c>
      <c r="C668" s="218" t="s">
        <v>852</v>
      </c>
      <c r="D668" s="217" t="s">
        <v>27</v>
      </c>
      <c r="E668" s="219" t="s">
        <v>100</v>
      </c>
      <c r="F668" s="218" t="s">
        <v>854</v>
      </c>
      <c r="G668" s="263" t="s">
        <v>302</v>
      </c>
      <c r="H668" s="221" t="s">
        <v>15</v>
      </c>
      <c r="I668" s="220" t="s">
        <v>302</v>
      </c>
      <c r="J668" s="221" t="s">
        <v>302</v>
      </c>
      <c r="K668" s="221" t="s">
        <v>302</v>
      </c>
      <c r="L668" s="220" t="s">
        <v>302</v>
      </c>
      <c r="M668" s="220" t="s">
        <v>302</v>
      </c>
      <c r="N668" s="221" t="s">
        <v>302</v>
      </c>
      <c r="O668" s="222" t="s">
        <v>15</v>
      </c>
      <c r="P668" s="222" t="s">
        <v>15</v>
      </c>
      <c r="Q668" s="222" t="s">
        <v>15</v>
      </c>
      <c r="R668" s="222" t="s">
        <v>302</v>
      </c>
      <c r="S668" s="222" t="s">
        <v>302</v>
      </c>
      <c r="T668" s="222" t="s">
        <v>302</v>
      </c>
      <c r="U668" s="222" t="s">
        <v>302</v>
      </c>
      <c r="V668" s="222" t="s">
        <v>302</v>
      </c>
      <c r="W668" s="223" t="s">
        <v>302</v>
      </c>
      <c r="X668" s="223" t="s">
        <v>302</v>
      </c>
      <c r="Y668" s="224" t="s">
        <v>302</v>
      </c>
    </row>
    <row r="669" spans="1:25">
      <c r="A669" s="216">
        <v>12</v>
      </c>
      <c r="B669" s="217" t="str">
        <f>VLOOKUP(Tabel10[[#This Row],[Code]],Ruimtegroepen[[Code]:[Ruimte omschrijving]],2,FALSE)</f>
        <v>Kantine</v>
      </c>
      <c r="C669" s="218" t="s">
        <v>852</v>
      </c>
      <c r="D669" s="217" t="s">
        <v>27</v>
      </c>
      <c r="E669" s="219" t="s">
        <v>1325</v>
      </c>
      <c r="F669" s="218" t="s">
        <v>1401</v>
      </c>
      <c r="G669" s="263" t="s">
        <v>302</v>
      </c>
      <c r="H669" s="220" t="s">
        <v>302</v>
      </c>
      <c r="I669" s="221" t="s">
        <v>15</v>
      </c>
      <c r="J669" s="221" t="s">
        <v>302</v>
      </c>
      <c r="K669" s="221" t="s">
        <v>302</v>
      </c>
      <c r="L669" s="220" t="s">
        <v>302</v>
      </c>
      <c r="M669" s="220" t="s">
        <v>302</v>
      </c>
      <c r="N669" s="221" t="s">
        <v>302</v>
      </c>
      <c r="O669" s="222" t="s">
        <v>15</v>
      </c>
      <c r="P669" s="222" t="s">
        <v>15</v>
      </c>
      <c r="Q669" s="222" t="s">
        <v>15</v>
      </c>
      <c r="R669" s="222" t="s">
        <v>302</v>
      </c>
      <c r="S669" s="222" t="s">
        <v>302</v>
      </c>
      <c r="T669" s="222" t="s">
        <v>302</v>
      </c>
      <c r="U669" s="222" t="s">
        <v>302</v>
      </c>
      <c r="V669" s="222" t="s">
        <v>302</v>
      </c>
      <c r="W669" s="223" t="s">
        <v>302</v>
      </c>
      <c r="X669" s="223" t="s">
        <v>302</v>
      </c>
      <c r="Y669" s="224" t="s">
        <v>302</v>
      </c>
    </row>
    <row r="670" spans="1:25">
      <c r="A670" s="216">
        <v>12</v>
      </c>
      <c r="B670" s="217" t="str">
        <f>VLOOKUP(Tabel10[[#This Row],[Code]],Ruimtegroepen[[Code]:[Ruimte omschrijving]],2,FALSE)</f>
        <v>Kantine</v>
      </c>
      <c r="C670" s="218" t="s">
        <v>857</v>
      </c>
      <c r="D670" s="217" t="s">
        <v>28</v>
      </c>
      <c r="E670" s="219" t="s">
        <v>101</v>
      </c>
      <c r="F670" s="218" t="s">
        <v>858</v>
      </c>
      <c r="G670" s="263" t="s">
        <v>302</v>
      </c>
      <c r="H670" s="220" t="s">
        <v>302</v>
      </c>
      <c r="I670" s="221" t="s">
        <v>17</v>
      </c>
      <c r="J670" s="220" t="s">
        <v>302</v>
      </c>
      <c r="K670" s="221" t="s">
        <v>302</v>
      </c>
      <c r="L670" s="220" t="s">
        <v>302</v>
      </c>
      <c r="M670" s="220" t="s">
        <v>302</v>
      </c>
      <c r="N670" s="221" t="s">
        <v>302</v>
      </c>
      <c r="O670" s="222" t="s">
        <v>17</v>
      </c>
      <c r="P670" s="222" t="s">
        <v>17</v>
      </c>
      <c r="Q670" s="222" t="s">
        <v>15</v>
      </c>
      <c r="R670" s="222" t="s">
        <v>302</v>
      </c>
      <c r="S670" s="222" t="s">
        <v>302</v>
      </c>
      <c r="T670" s="222" t="s">
        <v>302</v>
      </c>
      <c r="U670" s="222" t="s">
        <v>302</v>
      </c>
      <c r="V670" s="222" t="s">
        <v>302</v>
      </c>
      <c r="W670" s="223" t="s">
        <v>302</v>
      </c>
      <c r="X670" s="223" t="s">
        <v>302</v>
      </c>
      <c r="Y670" s="224" t="s">
        <v>302</v>
      </c>
    </row>
    <row r="671" spans="1:25">
      <c r="A671" s="216">
        <v>12</v>
      </c>
      <c r="B671" s="217" t="str">
        <f>VLOOKUP(Tabel10[[#This Row],[Code]],Ruimtegroepen[[Code]:[Ruimte omschrijving]],2,FALSE)</f>
        <v>Kantine</v>
      </c>
      <c r="C671" s="218" t="s">
        <v>857</v>
      </c>
      <c r="D671" s="217" t="s">
        <v>28</v>
      </c>
      <c r="E671" s="219" t="s">
        <v>100</v>
      </c>
      <c r="F671" s="218" t="s">
        <v>859</v>
      </c>
      <c r="G671" s="263" t="s">
        <v>302</v>
      </c>
      <c r="H671" s="221" t="s">
        <v>17</v>
      </c>
      <c r="I671" s="220" t="s">
        <v>302</v>
      </c>
      <c r="J671" s="221" t="s">
        <v>302</v>
      </c>
      <c r="K671" s="221" t="s">
        <v>302</v>
      </c>
      <c r="L671" s="220" t="s">
        <v>302</v>
      </c>
      <c r="M671" s="220" t="s">
        <v>302</v>
      </c>
      <c r="N671" s="221" t="s">
        <v>302</v>
      </c>
      <c r="O671" s="222" t="s">
        <v>17</v>
      </c>
      <c r="P671" s="222" t="s">
        <v>17</v>
      </c>
      <c r="Q671" s="222" t="s">
        <v>15</v>
      </c>
      <c r="R671" s="222" t="s">
        <v>302</v>
      </c>
      <c r="S671" s="222" t="s">
        <v>302</v>
      </c>
      <c r="T671" s="222" t="s">
        <v>302</v>
      </c>
      <c r="U671" s="222" t="s">
        <v>302</v>
      </c>
      <c r="V671" s="222" t="s">
        <v>302</v>
      </c>
      <c r="W671" s="223" t="s">
        <v>302</v>
      </c>
      <c r="X671" s="223" t="s">
        <v>302</v>
      </c>
      <c r="Y671" s="224" t="s">
        <v>302</v>
      </c>
    </row>
    <row r="672" spans="1:25">
      <c r="A672" s="216">
        <v>12</v>
      </c>
      <c r="B672" s="217" t="str">
        <f>VLOOKUP(Tabel10[[#This Row],[Code]],Ruimtegroepen[[Code]:[Ruimte omschrijving]],2,FALSE)</f>
        <v>Kantine</v>
      </c>
      <c r="C672" s="218" t="s">
        <v>857</v>
      </c>
      <c r="D672" s="217" t="s">
        <v>28</v>
      </c>
      <c r="E672" s="219" t="s">
        <v>102</v>
      </c>
      <c r="F672" s="218" t="s">
        <v>860</v>
      </c>
      <c r="G672" s="263" t="s">
        <v>302</v>
      </c>
      <c r="H672" s="220" t="s">
        <v>302</v>
      </c>
      <c r="I672" s="221" t="s">
        <v>17</v>
      </c>
      <c r="J672" s="221" t="s">
        <v>302</v>
      </c>
      <c r="K672" s="221" t="s">
        <v>302</v>
      </c>
      <c r="L672" s="220" t="s">
        <v>302</v>
      </c>
      <c r="M672" s="220" t="s">
        <v>302</v>
      </c>
      <c r="N672" s="221" t="s">
        <v>302</v>
      </c>
      <c r="O672" s="222" t="s">
        <v>17</v>
      </c>
      <c r="P672" s="222" t="s">
        <v>17</v>
      </c>
      <c r="Q672" s="222" t="s">
        <v>15</v>
      </c>
      <c r="R672" s="222" t="s">
        <v>302</v>
      </c>
      <c r="S672" s="222" t="s">
        <v>302</v>
      </c>
      <c r="T672" s="222" t="s">
        <v>302</v>
      </c>
      <c r="U672" s="222" t="s">
        <v>302</v>
      </c>
      <c r="V672" s="222" t="s">
        <v>302</v>
      </c>
      <c r="W672" s="223" t="s">
        <v>302</v>
      </c>
      <c r="X672" s="223" t="s">
        <v>302</v>
      </c>
      <c r="Y672" s="224" t="s">
        <v>302</v>
      </c>
    </row>
    <row r="673" spans="1:25">
      <c r="A673" s="216">
        <v>12</v>
      </c>
      <c r="B673" s="217" t="str">
        <f>VLOOKUP(Tabel10[[#This Row],[Code]],Ruimtegroepen[[Code]:[Ruimte omschrijving]],2,FALSE)</f>
        <v>Kantine</v>
      </c>
      <c r="C673" s="218" t="s">
        <v>857</v>
      </c>
      <c r="D673" s="217" t="s">
        <v>28</v>
      </c>
      <c r="E673" s="219" t="s">
        <v>103</v>
      </c>
      <c r="F673" s="218" t="s">
        <v>861</v>
      </c>
      <c r="G673" s="263" t="s">
        <v>302</v>
      </c>
      <c r="H673" s="220" t="s">
        <v>302</v>
      </c>
      <c r="I673" s="221" t="s">
        <v>17</v>
      </c>
      <c r="J673" s="221" t="s">
        <v>302</v>
      </c>
      <c r="K673" s="221" t="s">
        <v>302</v>
      </c>
      <c r="L673" s="220" t="s">
        <v>302</v>
      </c>
      <c r="M673" s="220" t="s">
        <v>302</v>
      </c>
      <c r="N673" s="221" t="s">
        <v>302</v>
      </c>
      <c r="O673" s="222" t="s">
        <v>17</v>
      </c>
      <c r="P673" s="222" t="s">
        <v>17</v>
      </c>
      <c r="Q673" s="222" t="s">
        <v>15</v>
      </c>
      <c r="R673" s="222" t="s">
        <v>302</v>
      </c>
      <c r="S673" s="222" t="s">
        <v>302</v>
      </c>
      <c r="T673" s="222" t="s">
        <v>302</v>
      </c>
      <c r="U673" s="222" t="s">
        <v>302</v>
      </c>
      <c r="V673" s="222" t="s">
        <v>302</v>
      </c>
      <c r="W673" s="223" t="s">
        <v>302</v>
      </c>
      <c r="X673" s="223" t="s">
        <v>302</v>
      </c>
      <c r="Y673" s="224" t="s">
        <v>302</v>
      </c>
    </row>
    <row r="674" spans="1:25">
      <c r="A674" s="216">
        <v>12</v>
      </c>
      <c r="B674" s="217" t="str">
        <f>VLOOKUP(Tabel10[[#This Row],[Code]],Ruimtegroepen[[Code]:[Ruimte omschrijving]],2,FALSE)</f>
        <v>Kantine</v>
      </c>
      <c r="C674" s="218" t="s">
        <v>857</v>
      </c>
      <c r="D674" s="217" t="s">
        <v>28</v>
      </c>
      <c r="E674" s="219" t="s">
        <v>100</v>
      </c>
      <c r="F674" s="218" t="s">
        <v>859</v>
      </c>
      <c r="G674" s="263" t="s">
        <v>302</v>
      </c>
      <c r="H674" s="221" t="s">
        <v>17</v>
      </c>
      <c r="I674" s="220" t="s">
        <v>302</v>
      </c>
      <c r="J674" s="221" t="s">
        <v>302</v>
      </c>
      <c r="K674" s="221" t="s">
        <v>302</v>
      </c>
      <c r="L674" s="220" t="s">
        <v>302</v>
      </c>
      <c r="M674" s="220" t="s">
        <v>302</v>
      </c>
      <c r="N674" s="221" t="s">
        <v>302</v>
      </c>
      <c r="O674" s="222" t="s">
        <v>17</v>
      </c>
      <c r="P674" s="222" t="s">
        <v>17</v>
      </c>
      <c r="Q674" s="222" t="s">
        <v>15</v>
      </c>
      <c r="R674" s="222" t="s">
        <v>302</v>
      </c>
      <c r="S674" s="222" t="s">
        <v>302</v>
      </c>
      <c r="T674" s="222" t="s">
        <v>302</v>
      </c>
      <c r="U674" s="222" t="s">
        <v>302</v>
      </c>
      <c r="V674" s="222" t="s">
        <v>302</v>
      </c>
      <c r="W674" s="223" t="s">
        <v>302</v>
      </c>
      <c r="X674" s="223" t="s">
        <v>302</v>
      </c>
      <c r="Y674" s="224" t="s">
        <v>302</v>
      </c>
    </row>
    <row r="675" spans="1:25">
      <c r="A675" s="216">
        <v>12</v>
      </c>
      <c r="B675" s="217" t="str">
        <f>VLOOKUP(Tabel10[[#This Row],[Code]],Ruimtegroepen[[Code]:[Ruimte omschrijving]],2,FALSE)</f>
        <v>Kantine</v>
      </c>
      <c r="C675" s="218" t="s">
        <v>857</v>
      </c>
      <c r="D675" s="217" t="s">
        <v>28</v>
      </c>
      <c r="E675" s="219" t="s">
        <v>1325</v>
      </c>
      <c r="F675" s="218" t="s">
        <v>1434</v>
      </c>
      <c r="G675" s="263" t="s">
        <v>302</v>
      </c>
      <c r="H675" s="220" t="s">
        <v>302</v>
      </c>
      <c r="I675" s="221" t="s">
        <v>17</v>
      </c>
      <c r="J675" s="221" t="s">
        <v>302</v>
      </c>
      <c r="K675" s="221" t="s">
        <v>302</v>
      </c>
      <c r="L675" s="220" t="s">
        <v>302</v>
      </c>
      <c r="M675" s="220" t="s">
        <v>302</v>
      </c>
      <c r="N675" s="221" t="s">
        <v>302</v>
      </c>
      <c r="O675" s="222" t="s">
        <v>17</v>
      </c>
      <c r="P675" s="222" t="s">
        <v>17</v>
      </c>
      <c r="Q675" s="222" t="s">
        <v>15</v>
      </c>
      <c r="R675" s="222" t="s">
        <v>302</v>
      </c>
      <c r="S675" s="222" t="s">
        <v>302</v>
      </c>
      <c r="T675" s="222" t="s">
        <v>302</v>
      </c>
      <c r="U675" s="222" t="s">
        <v>302</v>
      </c>
      <c r="V675" s="222" t="s">
        <v>302</v>
      </c>
      <c r="W675" s="223" t="s">
        <v>302</v>
      </c>
      <c r="X675" s="223" t="s">
        <v>302</v>
      </c>
      <c r="Y675" s="224" t="s">
        <v>302</v>
      </c>
    </row>
    <row r="676" spans="1:25">
      <c r="A676" s="216">
        <v>13</v>
      </c>
      <c r="B676" s="217" t="str">
        <f>VLOOKUP(Tabel10[[#This Row],[Code]],Ruimtegroepen[[Code]:[Ruimte omschrijving]],2,FALSE)</f>
        <v>HV/Technieklokaal</v>
      </c>
      <c r="C676" s="218" t="s">
        <v>862</v>
      </c>
      <c r="D676" s="217" t="s">
        <v>29</v>
      </c>
      <c r="E676" s="219" t="s">
        <v>101</v>
      </c>
      <c r="F676" s="218" t="s">
        <v>863</v>
      </c>
      <c r="G676" s="263" t="s">
        <v>302</v>
      </c>
      <c r="H676" s="220" t="s">
        <v>302</v>
      </c>
      <c r="I676" s="220" t="s">
        <v>20</v>
      </c>
      <c r="J676" s="220" t="s">
        <v>15</v>
      </c>
      <c r="K676" s="220" t="s">
        <v>302</v>
      </c>
      <c r="L676" s="220" t="s">
        <v>302</v>
      </c>
      <c r="M676" s="220" t="s">
        <v>302</v>
      </c>
      <c r="N676" s="221" t="s">
        <v>2</v>
      </c>
      <c r="O676" s="222" t="s">
        <v>2</v>
      </c>
      <c r="P676" s="222" t="s">
        <v>2</v>
      </c>
      <c r="Q676" s="222" t="s">
        <v>15</v>
      </c>
      <c r="R676" s="222" t="s">
        <v>15</v>
      </c>
      <c r="S676" s="222" t="s">
        <v>16</v>
      </c>
      <c r="T676" s="222" t="s">
        <v>349</v>
      </c>
      <c r="U676" s="222" t="s">
        <v>269</v>
      </c>
      <c r="V676" s="222" t="s">
        <v>2</v>
      </c>
      <c r="W676" s="223" t="s">
        <v>302</v>
      </c>
      <c r="X676" s="223" t="s">
        <v>302</v>
      </c>
      <c r="Y676" s="224" t="s">
        <v>302</v>
      </c>
    </row>
    <row r="677" spans="1:25">
      <c r="A677" s="216">
        <v>13</v>
      </c>
      <c r="B677" s="217" t="str">
        <f>VLOOKUP(Tabel10[[#This Row],[Code]],Ruimtegroepen[[Code]:[Ruimte omschrijving]],2,FALSE)</f>
        <v>HV/Technieklokaal</v>
      </c>
      <c r="C677" s="218" t="s">
        <v>862</v>
      </c>
      <c r="D677" s="217" t="s">
        <v>29</v>
      </c>
      <c r="E677" s="219" t="s">
        <v>100</v>
      </c>
      <c r="F677" s="218" t="s">
        <v>864</v>
      </c>
      <c r="G677" s="221" t="s">
        <v>20</v>
      </c>
      <c r="H677" s="221" t="s">
        <v>15</v>
      </c>
      <c r="I677" s="220" t="s">
        <v>302</v>
      </c>
      <c r="J677" s="220" t="s">
        <v>302</v>
      </c>
      <c r="K677" s="220" t="s">
        <v>302</v>
      </c>
      <c r="L677" s="220" t="s">
        <v>302</v>
      </c>
      <c r="M677" s="220" t="s">
        <v>302</v>
      </c>
      <c r="N677" s="221" t="s">
        <v>2</v>
      </c>
      <c r="O677" s="222" t="s">
        <v>2</v>
      </c>
      <c r="P677" s="222" t="s">
        <v>2</v>
      </c>
      <c r="Q677" s="222" t="s">
        <v>15</v>
      </c>
      <c r="R677" s="222" t="s">
        <v>15</v>
      </c>
      <c r="S677" s="222" t="s">
        <v>16</v>
      </c>
      <c r="T677" s="222" t="s">
        <v>349</v>
      </c>
      <c r="U677" s="222" t="s">
        <v>269</v>
      </c>
      <c r="V677" s="222" t="s">
        <v>2</v>
      </c>
      <c r="W677" s="223" t="s">
        <v>302</v>
      </c>
      <c r="X677" s="223" t="s">
        <v>302</v>
      </c>
      <c r="Y677" s="224" t="s">
        <v>302</v>
      </c>
    </row>
    <row r="678" spans="1:25">
      <c r="A678" s="216">
        <v>13</v>
      </c>
      <c r="B678" s="217" t="str">
        <f>VLOOKUP(Tabel10[[#This Row],[Code]],Ruimtegroepen[[Code]:[Ruimte omschrijving]],2,FALSE)</f>
        <v>HV/Technieklokaal</v>
      </c>
      <c r="C678" s="218" t="s">
        <v>862</v>
      </c>
      <c r="D678" s="217" t="s">
        <v>29</v>
      </c>
      <c r="E678" s="219" t="s">
        <v>102</v>
      </c>
      <c r="F678" s="218" t="s">
        <v>865</v>
      </c>
      <c r="G678" s="263" t="s">
        <v>302</v>
      </c>
      <c r="H678" s="220" t="s">
        <v>302</v>
      </c>
      <c r="I678" s="220" t="s">
        <v>20</v>
      </c>
      <c r="J678" s="220" t="s">
        <v>15</v>
      </c>
      <c r="K678" s="220" t="s">
        <v>269</v>
      </c>
      <c r="L678" s="220" t="s">
        <v>302</v>
      </c>
      <c r="M678" s="220" t="s">
        <v>302</v>
      </c>
      <c r="N678" s="221" t="s">
        <v>2</v>
      </c>
      <c r="O678" s="222" t="s">
        <v>2</v>
      </c>
      <c r="P678" s="222" t="s">
        <v>2</v>
      </c>
      <c r="Q678" s="222" t="s">
        <v>15</v>
      </c>
      <c r="R678" s="222" t="s">
        <v>15</v>
      </c>
      <c r="S678" s="222" t="s">
        <v>16</v>
      </c>
      <c r="T678" s="222" t="s">
        <v>349</v>
      </c>
      <c r="U678" s="222" t="s">
        <v>269</v>
      </c>
      <c r="V678" s="222" t="s">
        <v>2</v>
      </c>
      <c r="W678" s="223" t="s">
        <v>302</v>
      </c>
      <c r="X678" s="223" t="s">
        <v>302</v>
      </c>
      <c r="Y678" s="224" t="s">
        <v>302</v>
      </c>
    </row>
    <row r="679" spans="1:25">
      <c r="A679" s="216">
        <v>13</v>
      </c>
      <c r="B679" s="217" t="str">
        <f>VLOOKUP(Tabel10[[#This Row],[Code]],Ruimtegroepen[[Code]:[Ruimte omschrijving]],2,FALSE)</f>
        <v>HV/Technieklokaal</v>
      </c>
      <c r="C679" s="218" t="s">
        <v>862</v>
      </c>
      <c r="D679" s="217" t="s">
        <v>29</v>
      </c>
      <c r="E679" s="219" t="s">
        <v>103</v>
      </c>
      <c r="F679" s="218" t="s">
        <v>866</v>
      </c>
      <c r="G679" s="263" t="s">
        <v>302</v>
      </c>
      <c r="H679" s="220" t="s">
        <v>302</v>
      </c>
      <c r="I679" s="220" t="s">
        <v>20</v>
      </c>
      <c r="J679" s="220" t="s">
        <v>15</v>
      </c>
      <c r="K679" s="220" t="s">
        <v>269</v>
      </c>
      <c r="L679" s="220" t="s">
        <v>302</v>
      </c>
      <c r="M679" s="220" t="s">
        <v>302</v>
      </c>
      <c r="N679" s="221" t="s">
        <v>2</v>
      </c>
      <c r="O679" s="222" t="s">
        <v>2</v>
      </c>
      <c r="P679" s="222" t="s">
        <v>2</v>
      </c>
      <c r="Q679" s="222" t="s">
        <v>15</v>
      </c>
      <c r="R679" s="222" t="s">
        <v>15</v>
      </c>
      <c r="S679" s="222" t="s">
        <v>16</v>
      </c>
      <c r="T679" s="222" t="s">
        <v>349</v>
      </c>
      <c r="U679" s="222" t="s">
        <v>269</v>
      </c>
      <c r="V679" s="222" t="s">
        <v>2</v>
      </c>
      <c r="W679" s="223" t="s">
        <v>302</v>
      </c>
      <c r="X679" s="223" t="s">
        <v>302</v>
      </c>
      <c r="Y679" s="224" t="s">
        <v>302</v>
      </c>
    </row>
    <row r="680" spans="1:25">
      <c r="A680" s="216">
        <v>13</v>
      </c>
      <c r="B680" s="217" t="str">
        <f>VLOOKUP(Tabel10[[#This Row],[Code]],Ruimtegroepen[[Code]:[Ruimte omschrijving]],2,FALSE)</f>
        <v>HV/Technieklokaal</v>
      </c>
      <c r="C680" s="218" t="s">
        <v>862</v>
      </c>
      <c r="D680" s="217" t="s">
        <v>29</v>
      </c>
      <c r="E680" s="219" t="s">
        <v>100</v>
      </c>
      <c r="F680" s="218" t="s">
        <v>864</v>
      </c>
      <c r="G680" s="221" t="s">
        <v>20</v>
      </c>
      <c r="H680" s="221" t="s">
        <v>15</v>
      </c>
      <c r="I680" s="220" t="s">
        <v>302</v>
      </c>
      <c r="J680" s="220" t="s">
        <v>302</v>
      </c>
      <c r="K680" s="220" t="s">
        <v>302</v>
      </c>
      <c r="L680" s="220" t="s">
        <v>302</v>
      </c>
      <c r="M680" s="220" t="s">
        <v>302</v>
      </c>
      <c r="N680" s="221" t="s">
        <v>2</v>
      </c>
      <c r="O680" s="222" t="s">
        <v>2</v>
      </c>
      <c r="P680" s="222" t="s">
        <v>2</v>
      </c>
      <c r="Q680" s="222" t="s">
        <v>15</v>
      </c>
      <c r="R680" s="222" t="s">
        <v>15</v>
      </c>
      <c r="S680" s="222" t="s">
        <v>16</v>
      </c>
      <c r="T680" s="222" t="s">
        <v>349</v>
      </c>
      <c r="U680" s="222" t="s">
        <v>269</v>
      </c>
      <c r="V680" s="222" t="s">
        <v>2</v>
      </c>
      <c r="W680" s="223" t="s">
        <v>302</v>
      </c>
      <c r="X680" s="223" t="s">
        <v>302</v>
      </c>
      <c r="Y680" s="224" t="s">
        <v>302</v>
      </c>
    </row>
    <row r="681" spans="1:25">
      <c r="A681" s="216">
        <v>13</v>
      </c>
      <c r="B681" s="217" t="str">
        <f>VLOOKUP(Tabel10[[#This Row],[Code]],Ruimtegroepen[[Code]:[Ruimte omschrijving]],2,FALSE)</f>
        <v>HV/Technieklokaal</v>
      </c>
      <c r="C681" s="218" t="s">
        <v>862</v>
      </c>
      <c r="D681" s="217" t="s">
        <v>29</v>
      </c>
      <c r="E681" s="219" t="s">
        <v>1325</v>
      </c>
      <c r="F681" s="218" t="s">
        <v>1502</v>
      </c>
      <c r="G681" s="263" t="s">
        <v>302</v>
      </c>
      <c r="H681" s="220" t="s">
        <v>302</v>
      </c>
      <c r="I681" s="220" t="s">
        <v>20</v>
      </c>
      <c r="J681" s="220" t="s">
        <v>15</v>
      </c>
      <c r="K681" s="220" t="s">
        <v>269</v>
      </c>
      <c r="L681" s="220" t="s">
        <v>302</v>
      </c>
      <c r="M681" s="220" t="s">
        <v>302</v>
      </c>
      <c r="N681" s="221" t="s">
        <v>2</v>
      </c>
      <c r="O681" s="222" t="s">
        <v>2</v>
      </c>
      <c r="P681" s="222" t="s">
        <v>2</v>
      </c>
      <c r="Q681" s="222" t="s">
        <v>15</v>
      </c>
      <c r="R681" s="222" t="s">
        <v>15</v>
      </c>
      <c r="S681" s="222" t="s">
        <v>16</v>
      </c>
      <c r="T681" s="222" t="s">
        <v>349</v>
      </c>
      <c r="U681" s="222" t="s">
        <v>269</v>
      </c>
      <c r="V681" s="222" t="s">
        <v>2</v>
      </c>
      <c r="W681" s="223" t="s">
        <v>302</v>
      </c>
      <c r="X681" s="223" t="s">
        <v>302</v>
      </c>
      <c r="Y681" s="224" t="s">
        <v>302</v>
      </c>
    </row>
    <row r="682" spans="1:25">
      <c r="A682" s="216">
        <v>13</v>
      </c>
      <c r="B682" s="217" t="str">
        <f>VLOOKUP(Tabel10[[#This Row],[Code]],Ruimtegroepen[[Code]:[Ruimte omschrijving]],2,FALSE)</f>
        <v>HV/Technieklokaal</v>
      </c>
      <c r="C682" s="218" t="s">
        <v>867</v>
      </c>
      <c r="D682" s="217" t="s">
        <v>1</v>
      </c>
      <c r="E682" s="219" t="s">
        <v>101</v>
      </c>
      <c r="F682" s="218" t="s">
        <v>868</v>
      </c>
      <c r="G682" s="263" t="s">
        <v>302</v>
      </c>
      <c r="H682" s="220" t="s">
        <v>302</v>
      </c>
      <c r="I682" s="220" t="s">
        <v>20</v>
      </c>
      <c r="J682" s="220" t="s">
        <v>15</v>
      </c>
      <c r="K682" s="220" t="s">
        <v>302</v>
      </c>
      <c r="L682" s="220" t="s">
        <v>302</v>
      </c>
      <c r="M682" s="220" t="s">
        <v>302</v>
      </c>
      <c r="N682" s="221" t="s">
        <v>302</v>
      </c>
      <c r="O682" s="222" t="s">
        <v>2</v>
      </c>
      <c r="P682" s="222" t="s">
        <v>2</v>
      </c>
      <c r="Q682" s="222" t="s">
        <v>15</v>
      </c>
      <c r="R682" s="222" t="s">
        <v>15</v>
      </c>
      <c r="S682" s="222" t="s">
        <v>16</v>
      </c>
      <c r="T682" s="222" t="s">
        <v>349</v>
      </c>
      <c r="U682" s="222" t="s">
        <v>269</v>
      </c>
      <c r="V682" s="222" t="s">
        <v>302</v>
      </c>
      <c r="W682" s="223" t="s">
        <v>302</v>
      </c>
      <c r="X682" s="223" t="s">
        <v>302</v>
      </c>
      <c r="Y682" s="224" t="s">
        <v>302</v>
      </c>
    </row>
    <row r="683" spans="1:25">
      <c r="A683" s="216">
        <v>13</v>
      </c>
      <c r="B683" s="217" t="str">
        <f>VLOOKUP(Tabel10[[#This Row],[Code]],Ruimtegroepen[[Code]:[Ruimte omschrijving]],2,FALSE)</f>
        <v>HV/Technieklokaal</v>
      </c>
      <c r="C683" s="218" t="s">
        <v>867</v>
      </c>
      <c r="D683" s="217" t="s">
        <v>1</v>
      </c>
      <c r="E683" s="219" t="s">
        <v>100</v>
      </c>
      <c r="F683" s="218" t="s">
        <v>869</v>
      </c>
      <c r="G683" s="221" t="s">
        <v>20</v>
      </c>
      <c r="H683" s="221" t="s">
        <v>15</v>
      </c>
      <c r="I683" s="220" t="s">
        <v>302</v>
      </c>
      <c r="J683" s="220" t="s">
        <v>302</v>
      </c>
      <c r="K683" s="220" t="s">
        <v>302</v>
      </c>
      <c r="L683" s="220" t="s">
        <v>302</v>
      </c>
      <c r="M683" s="220" t="s">
        <v>302</v>
      </c>
      <c r="N683" s="221" t="s">
        <v>302</v>
      </c>
      <c r="O683" s="222" t="s">
        <v>2</v>
      </c>
      <c r="P683" s="222" t="s">
        <v>2</v>
      </c>
      <c r="Q683" s="222" t="s">
        <v>15</v>
      </c>
      <c r="R683" s="222" t="s">
        <v>15</v>
      </c>
      <c r="S683" s="222" t="s">
        <v>16</v>
      </c>
      <c r="T683" s="222" t="s">
        <v>349</v>
      </c>
      <c r="U683" s="222" t="s">
        <v>269</v>
      </c>
      <c r="V683" s="222" t="s">
        <v>302</v>
      </c>
      <c r="W683" s="223" t="s">
        <v>302</v>
      </c>
      <c r="X683" s="223" t="s">
        <v>302</v>
      </c>
      <c r="Y683" s="224" t="s">
        <v>302</v>
      </c>
    </row>
    <row r="684" spans="1:25">
      <c r="A684" s="216">
        <v>13</v>
      </c>
      <c r="B684" s="217" t="str">
        <f>VLOOKUP(Tabel10[[#This Row],[Code]],Ruimtegroepen[[Code]:[Ruimte omschrijving]],2,FALSE)</f>
        <v>HV/Technieklokaal</v>
      </c>
      <c r="C684" s="218" t="s">
        <v>867</v>
      </c>
      <c r="D684" s="217" t="s">
        <v>1</v>
      </c>
      <c r="E684" s="219" t="s">
        <v>102</v>
      </c>
      <c r="F684" s="218" t="s">
        <v>870</v>
      </c>
      <c r="G684" s="263" t="s">
        <v>302</v>
      </c>
      <c r="H684" s="220" t="s">
        <v>302</v>
      </c>
      <c r="I684" s="220" t="s">
        <v>20</v>
      </c>
      <c r="J684" s="220" t="s">
        <v>15</v>
      </c>
      <c r="K684" s="220" t="s">
        <v>269</v>
      </c>
      <c r="L684" s="220" t="s">
        <v>302</v>
      </c>
      <c r="M684" s="220" t="s">
        <v>302</v>
      </c>
      <c r="N684" s="221" t="s">
        <v>302</v>
      </c>
      <c r="O684" s="222" t="s">
        <v>2</v>
      </c>
      <c r="P684" s="222" t="s">
        <v>2</v>
      </c>
      <c r="Q684" s="222" t="s">
        <v>15</v>
      </c>
      <c r="R684" s="222" t="s">
        <v>15</v>
      </c>
      <c r="S684" s="222" t="s">
        <v>16</v>
      </c>
      <c r="T684" s="222" t="s">
        <v>349</v>
      </c>
      <c r="U684" s="222" t="s">
        <v>269</v>
      </c>
      <c r="V684" s="222" t="s">
        <v>302</v>
      </c>
      <c r="W684" s="223" t="s">
        <v>302</v>
      </c>
      <c r="X684" s="223" t="s">
        <v>302</v>
      </c>
      <c r="Y684" s="224" t="s">
        <v>302</v>
      </c>
    </row>
    <row r="685" spans="1:25">
      <c r="A685" s="216">
        <v>13</v>
      </c>
      <c r="B685" s="217" t="str">
        <f>VLOOKUP(Tabel10[[#This Row],[Code]],Ruimtegroepen[[Code]:[Ruimte omschrijving]],2,FALSE)</f>
        <v>HV/Technieklokaal</v>
      </c>
      <c r="C685" s="218" t="s">
        <v>867</v>
      </c>
      <c r="D685" s="217" t="s">
        <v>1</v>
      </c>
      <c r="E685" s="219" t="s">
        <v>103</v>
      </c>
      <c r="F685" s="218" t="s">
        <v>871</v>
      </c>
      <c r="G685" s="263" t="s">
        <v>302</v>
      </c>
      <c r="H685" s="220" t="s">
        <v>302</v>
      </c>
      <c r="I685" s="220" t="s">
        <v>20</v>
      </c>
      <c r="J685" s="220" t="s">
        <v>15</v>
      </c>
      <c r="K685" s="220" t="s">
        <v>269</v>
      </c>
      <c r="L685" s="220" t="s">
        <v>302</v>
      </c>
      <c r="M685" s="220" t="s">
        <v>302</v>
      </c>
      <c r="N685" s="221" t="s">
        <v>302</v>
      </c>
      <c r="O685" s="222" t="s">
        <v>2</v>
      </c>
      <c r="P685" s="222" t="s">
        <v>2</v>
      </c>
      <c r="Q685" s="222" t="s">
        <v>15</v>
      </c>
      <c r="R685" s="222" t="s">
        <v>15</v>
      </c>
      <c r="S685" s="222" t="s">
        <v>16</v>
      </c>
      <c r="T685" s="222" t="s">
        <v>349</v>
      </c>
      <c r="U685" s="222" t="s">
        <v>269</v>
      </c>
      <c r="V685" s="222" t="s">
        <v>302</v>
      </c>
      <c r="W685" s="223" t="s">
        <v>302</v>
      </c>
      <c r="X685" s="223" t="s">
        <v>302</v>
      </c>
      <c r="Y685" s="224" t="s">
        <v>302</v>
      </c>
    </row>
    <row r="686" spans="1:25">
      <c r="A686" s="216">
        <v>13</v>
      </c>
      <c r="B686" s="217" t="str">
        <f>VLOOKUP(Tabel10[[#This Row],[Code]],Ruimtegroepen[[Code]:[Ruimte omschrijving]],2,FALSE)</f>
        <v>HV/Technieklokaal</v>
      </c>
      <c r="C686" s="218" t="s">
        <v>867</v>
      </c>
      <c r="D686" s="217" t="s">
        <v>1</v>
      </c>
      <c r="E686" s="219" t="s">
        <v>100</v>
      </c>
      <c r="F686" s="218" t="s">
        <v>869</v>
      </c>
      <c r="G686" s="221" t="s">
        <v>20</v>
      </c>
      <c r="H686" s="221" t="s">
        <v>15</v>
      </c>
      <c r="I686" s="220" t="s">
        <v>302</v>
      </c>
      <c r="J686" s="220" t="s">
        <v>302</v>
      </c>
      <c r="K686" s="220" t="s">
        <v>302</v>
      </c>
      <c r="L686" s="220" t="s">
        <v>302</v>
      </c>
      <c r="M686" s="220" t="s">
        <v>302</v>
      </c>
      <c r="N686" s="221" t="s">
        <v>302</v>
      </c>
      <c r="O686" s="222" t="s">
        <v>2</v>
      </c>
      <c r="P686" s="222" t="s">
        <v>2</v>
      </c>
      <c r="Q686" s="222" t="s">
        <v>15</v>
      </c>
      <c r="R686" s="222" t="s">
        <v>15</v>
      </c>
      <c r="S686" s="222" t="s">
        <v>16</v>
      </c>
      <c r="T686" s="222" t="s">
        <v>349</v>
      </c>
      <c r="U686" s="222" t="s">
        <v>269</v>
      </c>
      <c r="V686" s="222" t="s">
        <v>302</v>
      </c>
      <c r="W686" s="223" t="s">
        <v>302</v>
      </c>
      <c r="X686" s="223" t="s">
        <v>302</v>
      </c>
      <c r="Y686" s="224" t="s">
        <v>302</v>
      </c>
    </row>
    <row r="687" spans="1:25">
      <c r="A687" s="216">
        <v>13</v>
      </c>
      <c r="B687" s="217" t="str">
        <f>VLOOKUP(Tabel10[[#This Row],[Code]],Ruimtegroepen[[Code]:[Ruimte omschrijving]],2,FALSE)</f>
        <v>HV/Technieklokaal</v>
      </c>
      <c r="C687" s="218" t="s">
        <v>867</v>
      </c>
      <c r="D687" s="217" t="s">
        <v>1</v>
      </c>
      <c r="E687" s="219" t="s">
        <v>1325</v>
      </c>
      <c r="F687" s="218" t="s">
        <v>1486</v>
      </c>
      <c r="G687" s="263" t="s">
        <v>302</v>
      </c>
      <c r="H687" s="220" t="s">
        <v>302</v>
      </c>
      <c r="I687" s="220" t="s">
        <v>20</v>
      </c>
      <c r="J687" s="220" t="s">
        <v>15</v>
      </c>
      <c r="K687" s="220" t="s">
        <v>269</v>
      </c>
      <c r="L687" s="220" t="s">
        <v>302</v>
      </c>
      <c r="M687" s="220" t="s">
        <v>302</v>
      </c>
      <c r="N687" s="221" t="s">
        <v>302</v>
      </c>
      <c r="O687" s="222" t="s">
        <v>2</v>
      </c>
      <c r="P687" s="222" t="s">
        <v>2</v>
      </c>
      <c r="Q687" s="222" t="s">
        <v>15</v>
      </c>
      <c r="R687" s="222" t="s">
        <v>15</v>
      </c>
      <c r="S687" s="222" t="s">
        <v>16</v>
      </c>
      <c r="T687" s="222" t="s">
        <v>349</v>
      </c>
      <c r="U687" s="222" t="s">
        <v>269</v>
      </c>
      <c r="V687" s="222" t="s">
        <v>302</v>
      </c>
      <c r="W687" s="223" t="s">
        <v>302</v>
      </c>
      <c r="X687" s="223" t="s">
        <v>302</v>
      </c>
      <c r="Y687" s="224" t="s">
        <v>302</v>
      </c>
    </row>
    <row r="688" spans="1:25">
      <c r="A688" s="216">
        <v>13</v>
      </c>
      <c r="B688" s="217" t="str">
        <f>VLOOKUP(Tabel10[[#This Row],[Code]],Ruimtegroepen[[Code]:[Ruimte omschrijving]],2,FALSE)</f>
        <v>HV/Technieklokaal</v>
      </c>
      <c r="C688" s="218" t="s">
        <v>872</v>
      </c>
      <c r="D688" s="217" t="s">
        <v>21</v>
      </c>
      <c r="E688" s="219" t="s">
        <v>101</v>
      </c>
      <c r="F688" s="218" t="s">
        <v>873</v>
      </c>
      <c r="G688" s="263" t="s">
        <v>302</v>
      </c>
      <c r="H688" s="220" t="s">
        <v>302</v>
      </c>
      <c r="I688" s="220" t="s">
        <v>18</v>
      </c>
      <c r="J688" s="220" t="s">
        <v>15</v>
      </c>
      <c r="K688" s="220" t="s">
        <v>302</v>
      </c>
      <c r="L688" s="220" t="s">
        <v>302</v>
      </c>
      <c r="M688" s="220" t="s">
        <v>302</v>
      </c>
      <c r="N688" s="221" t="s">
        <v>302</v>
      </c>
      <c r="O688" s="222" t="s">
        <v>20</v>
      </c>
      <c r="P688" s="222" t="s">
        <v>20</v>
      </c>
      <c r="Q688" s="222" t="s">
        <v>15</v>
      </c>
      <c r="R688" s="222" t="s">
        <v>15</v>
      </c>
      <c r="S688" s="222" t="s">
        <v>16</v>
      </c>
      <c r="T688" s="222" t="s">
        <v>349</v>
      </c>
      <c r="U688" s="222" t="s">
        <v>269</v>
      </c>
      <c r="V688" s="222" t="s">
        <v>302</v>
      </c>
      <c r="W688" s="223" t="s">
        <v>302</v>
      </c>
      <c r="X688" s="223" t="s">
        <v>302</v>
      </c>
      <c r="Y688" s="224" t="s">
        <v>302</v>
      </c>
    </row>
    <row r="689" spans="1:25">
      <c r="A689" s="216">
        <v>13</v>
      </c>
      <c r="B689" s="217" t="str">
        <f>VLOOKUP(Tabel10[[#This Row],[Code]],Ruimtegroepen[[Code]:[Ruimte omschrijving]],2,FALSE)</f>
        <v>HV/Technieklokaal</v>
      </c>
      <c r="C689" s="218" t="s">
        <v>872</v>
      </c>
      <c r="D689" s="217" t="s">
        <v>21</v>
      </c>
      <c r="E689" s="219" t="s">
        <v>100</v>
      </c>
      <c r="F689" s="218" t="s">
        <v>874</v>
      </c>
      <c r="G689" s="221" t="s">
        <v>18</v>
      </c>
      <c r="H689" s="221" t="s">
        <v>15</v>
      </c>
      <c r="I689" s="220" t="s">
        <v>302</v>
      </c>
      <c r="J689" s="220" t="s">
        <v>302</v>
      </c>
      <c r="K689" s="220" t="s">
        <v>302</v>
      </c>
      <c r="L689" s="220" t="s">
        <v>302</v>
      </c>
      <c r="M689" s="220" t="s">
        <v>302</v>
      </c>
      <c r="N689" s="221" t="s">
        <v>302</v>
      </c>
      <c r="O689" s="222" t="s">
        <v>20</v>
      </c>
      <c r="P689" s="222" t="s">
        <v>20</v>
      </c>
      <c r="Q689" s="222" t="s">
        <v>15</v>
      </c>
      <c r="R689" s="222" t="s">
        <v>15</v>
      </c>
      <c r="S689" s="222" t="s">
        <v>16</v>
      </c>
      <c r="T689" s="222" t="s">
        <v>349</v>
      </c>
      <c r="U689" s="222" t="s">
        <v>269</v>
      </c>
      <c r="V689" s="222" t="s">
        <v>302</v>
      </c>
      <c r="W689" s="223" t="s">
        <v>302</v>
      </c>
      <c r="X689" s="223" t="s">
        <v>302</v>
      </c>
      <c r="Y689" s="224" t="s">
        <v>302</v>
      </c>
    </row>
    <row r="690" spans="1:25">
      <c r="A690" s="216">
        <v>13</v>
      </c>
      <c r="B690" s="217" t="str">
        <f>VLOOKUP(Tabel10[[#This Row],[Code]],Ruimtegroepen[[Code]:[Ruimte omschrijving]],2,FALSE)</f>
        <v>HV/Technieklokaal</v>
      </c>
      <c r="C690" s="218" t="s">
        <v>872</v>
      </c>
      <c r="D690" s="217" t="s">
        <v>21</v>
      </c>
      <c r="E690" s="219" t="s">
        <v>102</v>
      </c>
      <c r="F690" s="218" t="s">
        <v>875</v>
      </c>
      <c r="G690" s="263" t="s">
        <v>302</v>
      </c>
      <c r="H690" s="220" t="s">
        <v>302</v>
      </c>
      <c r="I690" s="220" t="s">
        <v>18</v>
      </c>
      <c r="J690" s="220" t="s">
        <v>15</v>
      </c>
      <c r="K690" s="220" t="s">
        <v>269</v>
      </c>
      <c r="L690" s="220" t="s">
        <v>302</v>
      </c>
      <c r="M690" s="220" t="s">
        <v>302</v>
      </c>
      <c r="N690" s="221" t="s">
        <v>302</v>
      </c>
      <c r="O690" s="222" t="s">
        <v>20</v>
      </c>
      <c r="P690" s="222" t="s">
        <v>20</v>
      </c>
      <c r="Q690" s="222" t="s">
        <v>15</v>
      </c>
      <c r="R690" s="222" t="s">
        <v>15</v>
      </c>
      <c r="S690" s="222" t="s">
        <v>16</v>
      </c>
      <c r="T690" s="222" t="s">
        <v>349</v>
      </c>
      <c r="U690" s="222" t="s">
        <v>269</v>
      </c>
      <c r="V690" s="222" t="s">
        <v>302</v>
      </c>
      <c r="W690" s="223" t="s">
        <v>302</v>
      </c>
      <c r="X690" s="223" t="s">
        <v>302</v>
      </c>
      <c r="Y690" s="224" t="s">
        <v>302</v>
      </c>
    </row>
    <row r="691" spans="1:25">
      <c r="A691" s="216">
        <v>13</v>
      </c>
      <c r="B691" s="217" t="str">
        <f>VLOOKUP(Tabel10[[#This Row],[Code]],Ruimtegroepen[[Code]:[Ruimte omschrijving]],2,FALSE)</f>
        <v>HV/Technieklokaal</v>
      </c>
      <c r="C691" s="218" t="s">
        <v>872</v>
      </c>
      <c r="D691" s="217" t="s">
        <v>21</v>
      </c>
      <c r="E691" s="219" t="s">
        <v>103</v>
      </c>
      <c r="F691" s="218" t="s">
        <v>876</v>
      </c>
      <c r="G691" s="263" t="s">
        <v>302</v>
      </c>
      <c r="H691" s="220" t="s">
        <v>302</v>
      </c>
      <c r="I691" s="220" t="s">
        <v>18</v>
      </c>
      <c r="J691" s="220" t="s">
        <v>15</v>
      </c>
      <c r="K691" s="220" t="s">
        <v>269</v>
      </c>
      <c r="L691" s="220" t="s">
        <v>302</v>
      </c>
      <c r="M691" s="220" t="s">
        <v>302</v>
      </c>
      <c r="N691" s="221" t="s">
        <v>302</v>
      </c>
      <c r="O691" s="222" t="s">
        <v>20</v>
      </c>
      <c r="P691" s="222" t="s">
        <v>20</v>
      </c>
      <c r="Q691" s="222" t="s">
        <v>15</v>
      </c>
      <c r="R691" s="222" t="s">
        <v>15</v>
      </c>
      <c r="S691" s="222" t="s">
        <v>16</v>
      </c>
      <c r="T691" s="222" t="s">
        <v>349</v>
      </c>
      <c r="U691" s="222" t="s">
        <v>269</v>
      </c>
      <c r="V691" s="222" t="s">
        <v>302</v>
      </c>
      <c r="W691" s="223" t="s">
        <v>302</v>
      </c>
      <c r="X691" s="223" t="s">
        <v>302</v>
      </c>
      <c r="Y691" s="224" t="s">
        <v>302</v>
      </c>
    </row>
    <row r="692" spans="1:25">
      <c r="A692" s="216">
        <v>13</v>
      </c>
      <c r="B692" s="217" t="str">
        <f>VLOOKUP(Tabel10[[#This Row],[Code]],Ruimtegroepen[[Code]:[Ruimte omschrijving]],2,FALSE)</f>
        <v>HV/Technieklokaal</v>
      </c>
      <c r="C692" s="218" t="s">
        <v>872</v>
      </c>
      <c r="D692" s="217" t="s">
        <v>21</v>
      </c>
      <c r="E692" s="219" t="s">
        <v>100</v>
      </c>
      <c r="F692" s="218" t="s">
        <v>874</v>
      </c>
      <c r="G692" s="221" t="s">
        <v>18</v>
      </c>
      <c r="H692" s="221" t="s">
        <v>15</v>
      </c>
      <c r="I692" s="220" t="s">
        <v>302</v>
      </c>
      <c r="J692" s="220" t="s">
        <v>302</v>
      </c>
      <c r="K692" s="220" t="s">
        <v>302</v>
      </c>
      <c r="L692" s="220" t="s">
        <v>302</v>
      </c>
      <c r="M692" s="220" t="s">
        <v>302</v>
      </c>
      <c r="N692" s="221" t="s">
        <v>302</v>
      </c>
      <c r="O692" s="222" t="s">
        <v>20</v>
      </c>
      <c r="P692" s="222" t="s">
        <v>20</v>
      </c>
      <c r="Q692" s="222" t="s">
        <v>15</v>
      </c>
      <c r="R692" s="222" t="s">
        <v>15</v>
      </c>
      <c r="S692" s="222" t="s">
        <v>16</v>
      </c>
      <c r="T692" s="222" t="s">
        <v>349</v>
      </c>
      <c r="U692" s="222" t="s">
        <v>269</v>
      </c>
      <c r="V692" s="222" t="s">
        <v>302</v>
      </c>
      <c r="W692" s="223" t="s">
        <v>302</v>
      </c>
      <c r="X692" s="223" t="s">
        <v>302</v>
      </c>
      <c r="Y692" s="224" t="s">
        <v>302</v>
      </c>
    </row>
    <row r="693" spans="1:25">
      <c r="A693" s="216">
        <v>13</v>
      </c>
      <c r="B693" s="217" t="str">
        <f>VLOOKUP(Tabel10[[#This Row],[Code]],Ruimtegroepen[[Code]:[Ruimte omschrijving]],2,FALSE)</f>
        <v>HV/Technieklokaal</v>
      </c>
      <c r="C693" s="218" t="s">
        <v>872</v>
      </c>
      <c r="D693" s="217" t="s">
        <v>21</v>
      </c>
      <c r="E693" s="219" t="s">
        <v>1325</v>
      </c>
      <c r="F693" s="218" t="s">
        <v>1469</v>
      </c>
      <c r="G693" s="263" t="s">
        <v>302</v>
      </c>
      <c r="H693" s="220" t="s">
        <v>302</v>
      </c>
      <c r="I693" s="220" t="s">
        <v>18</v>
      </c>
      <c r="J693" s="220" t="s">
        <v>15</v>
      </c>
      <c r="K693" s="220" t="s">
        <v>269</v>
      </c>
      <c r="L693" s="220" t="s">
        <v>302</v>
      </c>
      <c r="M693" s="220" t="s">
        <v>302</v>
      </c>
      <c r="N693" s="221" t="s">
        <v>302</v>
      </c>
      <c r="O693" s="222" t="s">
        <v>20</v>
      </c>
      <c r="P693" s="222" t="s">
        <v>20</v>
      </c>
      <c r="Q693" s="222" t="s">
        <v>15</v>
      </c>
      <c r="R693" s="222" t="s">
        <v>15</v>
      </c>
      <c r="S693" s="222" t="s">
        <v>16</v>
      </c>
      <c r="T693" s="222" t="s">
        <v>349</v>
      </c>
      <c r="U693" s="222" t="s">
        <v>269</v>
      </c>
      <c r="V693" s="222" t="s">
        <v>302</v>
      </c>
      <c r="W693" s="223" t="s">
        <v>302</v>
      </c>
      <c r="X693" s="223" t="s">
        <v>302</v>
      </c>
      <c r="Y693" s="224" t="s">
        <v>302</v>
      </c>
    </row>
    <row r="694" spans="1:25">
      <c r="A694" s="216">
        <v>13</v>
      </c>
      <c r="B694" s="217" t="str">
        <f>VLOOKUP(Tabel10[[#This Row],[Code]],Ruimtegroepen[[Code]:[Ruimte omschrijving]],2,FALSE)</f>
        <v>HV/Technieklokaal</v>
      </c>
      <c r="C694" s="218" t="s">
        <v>877</v>
      </c>
      <c r="D694" s="217" t="s">
        <v>12</v>
      </c>
      <c r="E694" s="219" t="s">
        <v>101</v>
      </c>
      <c r="F694" s="218" t="s">
        <v>878</v>
      </c>
      <c r="G694" s="263" t="s">
        <v>302</v>
      </c>
      <c r="H694" s="220" t="s">
        <v>302</v>
      </c>
      <c r="I694" s="220" t="s">
        <v>17</v>
      </c>
      <c r="J694" s="220" t="s">
        <v>15</v>
      </c>
      <c r="K694" s="220" t="s">
        <v>302</v>
      </c>
      <c r="L694" s="220" t="s">
        <v>302</v>
      </c>
      <c r="M694" s="220" t="s">
        <v>302</v>
      </c>
      <c r="N694" s="221" t="s">
        <v>302</v>
      </c>
      <c r="O694" s="222" t="s">
        <v>18</v>
      </c>
      <c r="P694" s="222" t="s">
        <v>18</v>
      </c>
      <c r="Q694" s="222" t="s">
        <v>15</v>
      </c>
      <c r="R694" s="222" t="s">
        <v>15</v>
      </c>
      <c r="S694" s="222" t="s">
        <v>16</v>
      </c>
      <c r="T694" s="222" t="s">
        <v>349</v>
      </c>
      <c r="U694" s="222" t="s">
        <v>269</v>
      </c>
      <c r="V694" s="222" t="s">
        <v>302</v>
      </c>
      <c r="W694" s="223" t="s">
        <v>302</v>
      </c>
      <c r="X694" s="223" t="s">
        <v>302</v>
      </c>
      <c r="Y694" s="224" t="s">
        <v>302</v>
      </c>
    </row>
    <row r="695" spans="1:25">
      <c r="A695" s="216">
        <v>13</v>
      </c>
      <c r="B695" s="217" t="str">
        <f>VLOOKUP(Tabel10[[#This Row],[Code]],Ruimtegroepen[[Code]:[Ruimte omschrijving]],2,FALSE)</f>
        <v>HV/Technieklokaal</v>
      </c>
      <c r="C695" s="218" t="s">
        <v>877</v>
      </c>
      <c r="D695" s="217" t="s">
        <v>12</v>
      </c>
      <c r="E695" s="219" t="s">
        <v>100</v>
      </c>
      <c r="F695" s="218" t="s">
        <v>879</v>
      </c>
      <c r="G695" s="221" t="s">
        <v>17</v>
      </c>
      <c r="H695" s="221" t="s">
        <v>15</v>
      </c>
      <c r="I695" s="220" t="s">
        <v>302</v>
      </c>
      <c r="J695" s="220" t="s">
        <v>302</v>
      </c>
      <c r="K695" s="220" t="s">
        <v>302</v>
      </c>
      <c r="L695" s="220" t="s">
        <v>302</v>
      </c>
      <c r="M695" s="220" t="s">
        <v>302</v>
      </c>
      <c r="N695" s="221" t="s">
        <v>302</v>
      </c>
      <c r="O695" s="222" t="s">
        <v>18</v>
      </c>
      <c r="P695" s="222" t="s">
        <v>18</v>
      </c>
      <c r="Q695" s="222" t="s">
        <v>15</v>
      </c>
      <c r="R695" s="222" t="s">
        <v>15</v>
      </c>
      <c r="S695" s="222" t="s">
        <v>16</v>
      </c>
      <c r="T695" s="222" t="s">
        <v>349</v>
      </c>
      <c r="U695" s="222" t="s">
        <v>269</v>
      </c>
      <c r="V695" s="222" t="s">
        <v>302</v>
      </c>
      <c r="W695" s="223" t="s">
        <v>302</v>
      </c>
      <c r="X695" s="223" t="s">
        <v>302</v>
      </c>
      <c r="Y695" s="224" t="s">
        <v>302</v>
      </c>
    </row>
    <row r="696" spans="1:25">
      <c r="A696" s="216">
        <v>13</v>
      </c>
      <c r="B696" s="217" t="str">
        <f>VLOOKUP(Tabel10[[#This Row],[Code]],Ruimtegroepen[[Code]:[Ruimte omschrijving]],2,FALSE)</f>
        <v>HV/Technieklokaal</v>
      </c>
      <c r="C696" s="218" t="s">
        <v>877</v>
      </c>
      <c r="D696" s="217" t="s">
        <v>12</v>
      </c>
      <c r="E696" s="219" t="s">
        <v>102</v>
      </c>
      <c r="F696" s="218" t="s">
        <v>880</v>
      </c>
      <c r="G696" s="263" t="s">
        <v>302</v>
      </c>
      <c r="H696" s="220" t="s">
        <v>302</v>
      </c>
      <c r="I696" s="220" t="s">
        <v>17</v>
      </c>
      <c r="J696" s="220" t="s">
        <v>15</v>
      </c>
      <c r="K696" s="220" t="s">
        <v>269</v>
      </c>
      <c r="L696" s="220" t="s">
        <v>302</v>
      </c>
      <c r="M696" s="220" t="s">
        <v>302</v>
      </c>
      <c r="N696" s="221" t="s">
        <v>302</v>
      </c>
      <c r="O696" s="222" t="s">
        <v>18</v>
      </c>
      <c r="P696" s="222" t="s">
        <v>18</v>
      </c>
      <c r="Q696" s="222" t="s">
        <v>15</v>
      </c>
      <c r="R696" s="222" t="s">
        <v>15</v>
      </c>
      <c r="S696" s="222" t="s">
        <v>16</v>
      </c>
      <c r="T696" s="222" t="s">
        <v>349</v>
      </c>
      <c r="U696" s="222" t="s">
        <v>269</v>
      </c>
      <c r="V696" s="222" t="s">
        <v>302</v>
      </c>
      <c r="W696" s="223" t="s">
        <v>302</v>
      </c>
      <c r="X696" s="223" t="s">
        <v>302</v>
      </c>
      <c r="Y696" s="224" t="s">
        <v>302</v>
      </c>
    </row>
    <row r="697" spans="1:25">
      <c r="A697" s="216">
        <v>13</v>
      </c>
      <c r="B697" s="217" t="str">
        <f>VLOOKUP(Tabel10[[#This Row],[Code]],Ruimtegroepen[[Code]:[Ruimte omschrijving]],2,FALSE)</f>
        <v>HV/Technieklokaal</v>
      </c>
      <c r="C697" s="218" t="s">
        <v>877</v>
      </c>
      <c r="D697" s="217" t="s">
        <v>12</v>
      </c>
      <c r="E697" s="219" t="s">
        <v>103</v>
      </c>
      <c r="F697" s="218" t="s">
        <v>881</v>
      </c>
      <c r="G697" s="263" t="s">
        <v>302</v>
      </c>
      <c r="H697" s="220" t="s">
        <v>302</v>
      </c>
      <c r="I697" s="220" t="s">
        <v>17</v>
      </c>
      <c r="J697" s="220" t="s">
        <v>15</v>
      </c>
      <c r="K697" s="220" t="s">
        <v>269</v>
      </c>
      <c r="L697" s="220" t="s">
        <v>302</v>
      </c>
      <c r="M697" s="220" t="s">
        <v>302</v>
      </c>
      <c r="N697" s="221" t="s">
        <v>302</v>
      </c>
      <c r="O697" s="222" t="s">
        <v>18</v>
      </c>
      <c r="P697" s="222" t="s">
        <v>18</v>
      </c>
      <c r="Q697" s="222" t="s">
        <v>15</v>
      </c>
      <c r="R697" s="222" t="s">
        <v>15</v>
      </c>
      <c r="S697" s="222" t="s">
        <v>16</v>
      </c>
      <c r="T697" s="222" t="s">
        <v>349</v>
      </c>
      <c r="U697" s="222" t="s">
        <v>269</v>
      </c>
      <c r="V697" s="222" t="s">
        <v>302</v>
      </c>
      <c r="W697" s="223" t="s">
        <v>302</v>
      </c>
      <c r="X697" s="223" t="s">
        <v>302</v>
      </c>
      <c r="Y697" s="224" t="s">
        <v>302</v>
      </c>
    </row>
    <row r="698" spans="1:25">
      <c r="A698" s="216">
        <v>13</v>
      </c>
      <c r="B698" s="217" t="str">
        <f>VLOOKUP(Tabel10[[#This Row],[Code]],Ruimtegroepen[[Code]:[Ruimte omschrijving]],2,FALSE)</f>
        <v>HV/Technieklokaal</v>
      </c>
      <c r="C698" s="218" t="s">
        <v>877</v>
      </c>
      <c r="D698" s="217" t="s">
        <v>12</v>
      </c>
      <c r="E698" s="219" t="s">
        <v>100</v>
      </c>
      <c r="F698" s="218" t="s">
        <v>879</v>
      </c>
      <c r="G698" s="221" t="s">
        <v>17</v>
      </c>
      <c r="H698" s="221" t="s">
        <v>15</v>
      </c>
      <c r="I698" s="220" t="s">
        <v>302</v>
      </c>
      <c r="J698" s="220" t="s">
        <v>302</v>
      </c>
      <c r="K698" s="220" t="s">
        <v>302</v>
      </c>
      <c r="L698" s="220" t="s">
        <v>302</v>
      </c>
      <c r="M698" s="220" t="s">
        <v>302</v>
      </c>
      <c r="N698" s="221" t="s">
        <v>302</v>
      </c>
      <c r="O698" s="222" t="s">
        <v>18</v>
      </c>
      <c r="P698" s="222" t="s">
        <v>18</v>
      </c>
      <c r="Q698" s="222" t="s">
        <v>15</v>
      </c>
      <c r="R698" s="222" t="s">
        <v>15</v>
      </c>
      <c r="S698" s="222" t="s">
        <v>16</v>
      </c>
      <c r="T698" s="222" t="s">
        <v>349</v>
      </c>
      <c r="U698" s="222" t="s">
        <v>269</v>
      </c>
      <c r="V698" s="222" t="s">
        <v>302</v>
      </c>
      <c r="W698" s="223" t="s">
        <v>302</v>
      </c>
      <c r="X698" s="223" t="s">
        <v>302</v>
      </c>
      <c r="Y698" s="224" t="s">
        <v>302</v>
      </c>
    </row>
    <row r="699" spans="1:25">
      <c r="A699" s="216">
        <v>13</v>
      </c>
      <c r="B699" s="217" t="str">
        <f>VLOOKUP(Tabel10[[#This Row],[Code]],Ruimtegroepen[[Code]:[Ruimte omschrijving]],2,FALSE)</f>
        <v>HV/Technieklokaal</v>
      </c>
      <c r="C699" s="218" t="s">
        <v>877</v>
      </c>
      <c r="D699" s="217" t="s">
        <v>12</v>
      </c>
      <c r="E699" s="219" t="s">
        <v>1325</v>
      </c>
      <c r="F699" s="218" t="s">
        <v>1451</v>
      </c>
      <c r="G699" s="263" t="s">
        <v>302</v>
      </c>
      <c r="H699" s="220" t="s">
        <v>302</v>
      </c>
      <c r="I699" s="220" t="s">
        <v>17</v>
      </c>
      <c r="J699" s="220" t="s">
        <v>15</v>
      </c>
      <c r="K699" s="220" t="s">
        <v>269</v>
      </c>
      <c r="L699" s="220" t="s">
        <v>302</v>
      </c>
      <c r="M699" s="220" t="s">
        <v>302</v>
      </c>
      <c r="N699" s="221" t="s">
        <v>302</v>
      </c>
      <c r="O699" s="222" t="s">
        <v>18</v>
      </c>
      <c r="P699" s="222" t="s">
        <v>18</v>
      </c>
      <c r="Q699" s="222" t="s">
        <v>15</v>
      </c>
      <c r="R699" s="222" t="s">
        <v>15</v>
      </c>
      <c r="S699" s="222" t="s">
        <v>16</v>
      </c>
      <c r="T699" s="222" t="s">
        <v>349</v>
      </c>
      <c r="U699" s="222" t="s">
        <v>269</v>
      </c>
      <c r="V699" s="222" t="s">
        <v>302</v>
      </c>
      <c r="W699" s="223" t="s">
        <v>302</v>
      </c>
      <c r="X699" s="223" t="s">
        <v>302</v>
      </c>
      <c r="Y699" s="224" t="s">
        <v>302</v>
      </c>
    </row>
    <row r="700" spans="1:25">
      <c r="A700" s="216">
        <v>13</v>
      </c>
      <c r="B700" s="217" t="str">
        <f>VLOOKUP(Tabel10[[#This Row],[Code]],Ruimtegroepen[[Code]:[Ruimte omschrijving]],2,FALSE)</f>
        <v>HV/Technieklokaal</v>
      </c>
      <c r="C700" s="218" t="s">
        <v>882</v>
      </c>
      <c r="D700" s="217" t="s">
        <v>14</v>
      </c>
      <c r="E700" s="219" t="s">
        <v>101</v>
      </c>
      <c r="F700" s="218" t="s">
        <v>883</v>
      </c>
      <c r="G700" s="263" t="s">
        <v>302</v>
      </c>
      <c r="H700" s="220" t="s">
        <v>302</v>
      </c>
      <c r="I700" s="220" t="s">
        <v>15</v>
      </c>
      <c r="J700" s="220" t="s">
        <v>15</v>
      </c>
      <c r="K700" s="220" t="s">
        <v>302</v>
      </c>
      <c r="L700" s="220" t="s">
        <v>302</v>
      </c>
      <c r="M700" s="220" t="s">
        <v>302</v>
      </c>
      <c r="N700" s="221" t="s">
        <v>302</v>
      </c>
      <c r="O700" s="222" t="s">
        <v>17</v>
      </c>
      <c r="P700" s="222" t="s">
        <v>17</v>
      </c>
      <c r="Q700" s="222" t="s">
        <v>15</v>
      </c>
      <c r="R700" s="222" t="s">
        <v>15</v>
      </c>
      <c r="S700" s="222" t="s">
        <v>16</v>
      </c>
      <c r="T700" s="222" t="s">
        <v>349</v>
      </c>
      <c r="U700" s="222" t="s">
        <v>269</v>
      </c>
      <c r="V700" s="222" t="s">
        <v>302</v>
      </c>
      <c r="W700" s="223" t="s">
        <v>302</v>
      </c>
      <c r="X700" s="223" t="s">
        <v>302</v>
      </c>
      <c r="Y700" s="224" t="s">
        <v>302</v>
      </c>
    </row>
    <row r="701" spans="1:25">
      <c r="A701" s="216">
        <v>13</v>
      </c>
      <c r="B701" s="217" t="str">
        <f>VLOOKUP(Tabel10[[#This Row],[Code]],Ruimtegroepen[[Code]:[Ruimte omschrijving]],2,FALSE)</f>
        <v>HV/Technieklokaal</v>
      </c>
      <c r="C701" s="218" t="s">
        <v>882</v>
      </c>
      <c r="D701" s="217" t="s">
        <v>14</v>
      </c>
      <c r="E701" s="219" t="s">
        <v>100</v>
      </c>
      <c r="F701" s="218" t="s">
        <v>884</v>
      </c>
      <c r="G701" s="221" t="s">
        <v>15</v>
      </c>
      <c r="H701" s="221" t="s">
        <v>15</v>
      </c>
      <c r="I701" s="220" t="s">
        <v>302</v>
      </c>
      <c r="J701" s="220" t="s">
        <v>302</v>
      </c>
      <c r="K701" s="220" t="s">
        <v>302</v>
      </c>
      <c r="L701" s="220" t="s">
        <v>302</v>
      </c>
      <c r="M701" s="220" t="s">
        <v>302</v>
      </c>
      <c r="N701" s="221" t="s">
        <v>302</v>
      </c>
      <c r="O701" s="222" t="s">
        <v>17</v>
      </c>
      <c r="P701" s="222" t="s">
        <v>17</v>
      </c>
      <c r="Q701" s="222" t="s">
        <v>15</v>
      </c>
      <c r="R701" s="222" t="s">
        <v>15</v>
      </c>
      <c r="S701" s="222" t="s">
        <v>16</v>
      </c>
      <c r="T701" s="222" t="s">
        <v>349</v>
      </c>
      <c r="U701" s="222" t="s">
        <v>269</v>
      </c>
      <c r="V701" s="222" t="s">
        <v>302</v>
      </c>
      <c r="W701" s="223" t="s">
        <v>302</v>
      </c>
      <c r="X701" s="223" t="s">
        <v>302</v>
      </c>
      <c r="Y701" s="224" t="s">
        <v>302</v>
      </c>
    </row>
    <row r="702" spans="1:25">
      <c r="A702" s="216">
        <v>13</v>
      </c>
      <c r="B702" s="217" t="str">
        <f>VLOOKUP(Tabel10[[#This Row],[Code]],Ruimtegroepen[[Code]:[Ruimte omschrijving]],2,FALSE)</f>
        <v>HV/Technieklokaal</v>
      </c>
      <c r="C702" s="218" t="s">
        <v>882</v>
      </c>
      <c r="D702" s="217" t="s">
        <v>14</v>
      </c>
      <c r="E702" s="219" t="s">
        <v>102</v>
      </c>
      <c r="F702" s="218" t="s">
        <v>885</v>
      </c>
      <c r="G702" s="263" t="s">
        <v>302</v>
      </c>
      <c r="H702" s="220" t="s">
        <v>302</v>
      </c>
      <c r="I702" s="220" t="s">
        <v>15</v>
      </c>
      <c r="J702" s="220" t="s">
        <v>15</v>
      </c>
      <c r="K702" s="220" t="s">
        <v>269</v>
      </c>
      <c r="L702" s="220" t="s">
        <v>302</v>
      </c>
      <c r="M702" s="220" t="s">
        <v>302</v>
      </c>
      <c r="N702" s="221" t="s">
        <v>302</v>
      </c>
      <c r="O702" s="222" t="s">
        <v>17</v>
      </c>
      <c r="P702" s="222" t="s">
        <v>17</v>
      </c>
      <c r="Q702" s="222" t="s">
        <v>15</v>
      </c>
      <c r="R702" s="222" t="s">
        <v>15</v>
      </c>
      <c r="S702" s="222" t="s">
        <v>16</v>
      </c>
      <c r="T702" s="222" t="s">
        <v>349</v>
      </c>
      <c r="U702" s="222" t="s">
        <v>269</v>
      </c>
      <c r="V702" s="222" t="s">
        <v>302</v>
      </c>
      <c r="W702" s="223" t="s">
        <v>302</v>
      </c>
      <c r="X702" s="223" t="s">
        <v>302</v>
      </c>
      <c r="Y702" s="224" t="s">
        <v>302</v>
      </c>
    </row>
    <row r="703" spans="1:25">
      <c r="A703" s="216">
        <v>13</v>
      </c>
      <c r="B703" s="217" t="str">
        <f>VLOOKUP(Tabel10[[#This Row],[Code]],Ruimtegroepen[[Code]:[Ruimte omschrijving]],2,FALSE)</f>
        <v>HV/Technieklokaal</v>
      </c>
      <c r="C703" s="218" t="s">
        <v>882</v>
      </c>
      <c r="D703" s="217" t="s">
        <v>14</v>
      </c>
      <c r="E703" s="219" t="s">
        <v>103</v>
      </c>
      <c r="F703" s="218" t="s">
        <v>886</v>
      </c>
      <c r="G703" s="263" t="s">
        <v>302</v>
      </c>
      <c r="H703" s="220" t="s">
        <v>302</v>
      </c>
      <c r="I703" s="220" t="s">
        <v>15</v>
      </c>
      <c r="J703" s="220" t="s">
        <v>15</v>
      </c>
      <c r="K703" s="220" t="s">
        <v>269</v>
      </c>
      <c r="L703" s="220" t="s">
        <v>302</v>
      </c>
      <c r="M703" s="220" t="s">
        <v>302</v>
      </c>
      <c r="N703" s="221" t="s">
        <v>302</v>
      </c>
      <c r="O703" s="222" t="s">
        <v>17</v>
      </c>
      <c r="P703" s="222" t="s">
        <v>17</v>
      </c>
      <c r="Q703" s="222" t="s">
        <v>15</v>
      </c>
      <c r="R703" s="222" t="s">
        <v>15</v>
      </c>
      <c r="S703" s="222" t="s">
        <v>16</v>
      </c>
      <c r="T703" s="222" t="s">
        <v>349</v>
      </c>
      <c r="U703" s="222" t="s">
        <v>269</v>
      </c>
      <c r="V703" s="222" t="s">
        <v>302</v>
      </c>
      <c r="W703" s="223" t="s">
        <v>302</v>
      </c>
      <c r="X703" s="223" t="s">
        <v>302</v>
      </c>
      <c r="Y703" s="224" t="s">
        <v>302</v>
      </c>
    </row>
    <row r="704" spans="1:25">
      <c r="A704" s="216">
        <v>13</v>
      </c>
      <c r="B704" s="217" t="str">
        <f>VLOOKUP(Tabel10[[#This Row],[Code]],Ruimtegroepen[[Code]:[Ruimte omschrijving]],2,FALSE)</f>
        <v>HV/Technieklokaal</v>
      </c>
      <c r="C704" s="218" t="s">
        <v>882</v>
      </c>
      <c r="D704" s="217" t="s">
        <v>14</v>
      </c>
      <c r="E704" s="219" t="s">
        <v>100</v>
      </c>
      <c r="F704" s="218" t="s">
        <v>884</v>
      </c>
      <c r="G704" s="221" t="s">
        <v>15</v>
      </c>
      <c r="H704" s="221" t="s">
        <v>15</v>
      </c>
      <c r="I704" s="220" t="s">
        <v>302</v>
      </c>
      <c r="J704" s="220" t="s">
        <v>302</v>
      </c>
      <c r="K704" s="220" t="s">
        <v>302</v>
      </c>
      <c r="L704" s="220" t="s">
        <v>302</v>
      </c>
      <c r="M704" s="220" t="s">
        <v>302</v>
      </c>
      <c r="N704" s="221" t="s">
        <v>302</v>
      </c>
      <c r="O704" s="222" t="s">
        <v>17</v>
      </c>
      <c r="P704" s="222" t="s">
        <v>17</v>
      </c>
      <c r="Q704" s="222" t="s">
        <v>15</v>
      </c>
      <c r="R704" s="222" t="s">
        <v>15</v>
      </c>
      <c r="S704" s="222" t="s">
        <v>16</v>
      </c>
      <c r="T704" s="222" t="s">
        <v>349</v>
      </c>
      <c r="U704" s="222" t="s">
        <v>269</v>
      </c>
      <c r="V704" s="222" t="s">
        <v>302</v>
      </c>
      <c r="W704" s="223" t="s">
        <v>302</v>
      </c>
      <c r="X704" s="223" t="s">
        <v>302</v>
      </c>
      <c r="Y704" s="224" t="s">
        <v>302</v>
      </c>
    </row>
    <row r="705" spans="1:25">
      <c r="A705" s="216">
        <v>13</v>
      </c>
      <c r="B705" s="217" t="str">
        <f>VLOOKUP(Tabel10[[#This Row],[Code]],Ruimtegroepen[[Code]:[Ruimte omschrijving]],2,FALSE)</f>
        <v>HV/Technieklokaal</v>
      </c>
      <c r="C705" s="218" t="s">
        <v>882</v>
      </c>
      <c r="D705" s="217" t="s">
        <v>14</v>
      </c>
      <c r="E705" s="219" t="s">
        <v>1325</v>
      </c>
      <c r="F705" s="218" t="s">
        <v>1418</v>
      </c>
      <c r="G705" s="263" t="s">
        <v>302</v>
      </c>
      <c r="H705" s="220" t="s">
        <v>302</v>
      </c>
      <c r="I705" s="220" t="s">
        <v>15</v>
      </c>
      <c r="J705" s="220" t="s">
        <v>15</v>
      </c>
      <c r="K705" s="220" t="s">
        <v>269</v>
      </c>
      <c r="L705" s="220" t="s">
        <v>302</v>
      </c>
      <c r="M705" s="220" t="s">
        <v>302</v>
      </c>
      <c r="N705" s="221" t="s">
        <v>302</v>
      </c>
      <c r="O705" s="222" t="s">
        <v>17</v>
      </c>
      <c r="P705" s="222" t="s">
        <v>17</v>
      </c>
      <c r="Q705" s="222" t="s">
        <v>15</v>
      </c>
      <c r="R705" s="222" t="s">
        <v>15</v>
      </c>
      <c r="S705" s="222" t="s">
        <v>16</v>
      </c>
      <c r="T705" s="222" t="s">
        <v>349</v>
      </c>
      <c r="U705" s="222" t="s">
        <v>269</v>
      </c>
      <c r="V705" s="222" t="s">
        <v>302</v>
      </c>
      <c r="W705" s="223" t="s">
        <v>302</v>
      </c>
      <c r="X705" s="223" t="s">
        <v>302</v>
      </c>
      <c r="Y705" s="224" t="s">
        <v>302</v>
      </c>
    </row>
    <row r="706" spans="1:25">
      <c r="A706" s="216">
        <v>13</v>
      </c>
      <c r="B706" s="217" t="str">
        <f>VLOOKUP(Tabel10[[#This Row],[Code]],Ruimtegroepen[[Code]:[Ruimte omschrijving]],2,FALSE)</f>
        <v>HV/Technieklokaal</v>
      </c>
      <c r="C706" s="218" t="s">
        <v>887</v>
      </c>
      <c r="D706" s="217" t="s">
        <v>13</v>
      </c>
      <c r="E706" s="219" t="s">
        <v>101</v>
      </c>
      <c r="F706" s="218" t="s">
        <v>888</v>
      </c>
      <c r="G706" s="263" t="s">
        <v>302</v>
      </c>
      <c r="H706" s="220" t="s">
        <v>302</v>
      </c>
      <c r="I706" s="220" t="s">
        <v>302</v>
      </c>
      <c r="J706" s="220" t="s">
        <v>15</v>
      </c>
      <c r="K706" s="220" t="s">
        <v>302</v>
      </c>
      <c r="L706" s="220" t="s">
        <v>302</v>
      </c>
      <c r="M706" s="220" t="s">
        <v>302</v>
      </c>
      <c r="N706" s="221" t="s">
        <v>302</v>
      </c>
      <c r="O706" s="222" t="s">
        <v>15</v>
      </c>
      <c r="P706" s="222" t="s">
        <v>15</v>
      </c>
      <c r="Q706" s="222" t="s">
        <v>15</v>
      </c>
      <c r="R706" s="222" t="s">
        <v>15</v>
      </c>
      <c r="S706" s="222" t="s">
        <v>16</v>
      </c>
      <c r="T706" s="222" t="s">
        <v>349</v>
      </c>
      <c r="U706" s="222" t="s">
        <v>269</v>
      </c>
      <c r="V706" s="222" t="s">
        <v>302</v>
      </c>
      <c r="W706" s="223" t="s">
        <v>302</v>
      </c>
      <c r="X706" s="223" t="s">
        <v>302</v>
      </c>
      <c r="Y706" s="224" t="s">
        <v>302</v>
      </c>
    </row>
    <row r="707" spans="1:25">
      <c r="A707" s="216">
        <v>13</v>
      </c>
      <c r="B707" s="217" t="str">
        <f>VLOOKUP(Tabel10[[#This Row],[Code]],Ruimtegroepen[[Code]:[Ruimte omschrijving]],2,FALSE)</f>
        <v>HV/Technieklokaal</v>
      </c>
      <c r="C707" s="218" t="s">
        <v>887</v>
      </c>
      <c r="D707" s="217" t="s">
        <v>13</v>
      </c>
      <c r="E707" s="219" t="s">
        <v>100</v>
      </c>
      <c r="F707" s="218" t="s">
        <v>889</v>
      </c>
      <c r="G707" s="263" t="s">
        <v>302</v>
      </c>
      <c r="H707" s="221" t="s">
        <v>15</v>
      </c>
      <c r="I707" s="220" t="s">
        <v>302</v>
      </c>
      <c r="J707" s="220" t="s">
        <v>302</v>
      </c>
      <c r="K707" s="220" t="s">
        <v>302</v>
      </c>
      <c r="L707" s="220" t="s">
        <v>302</v>
      </c>
      <c r="M707" s="220" t="s">
        <v>302</v>
      </c>
      <c r="N707" s="221" t="s">
        <v>302</v>
      </c>
      <c r="O707" s="222" t="s">
        <v>15</v>
      </c>
      <c r="P707" s="222" t="s">
        <v>15</v>
      </c>
      <c r="Q707" s="222" t="s">
        <v>15</v>
      </c>
      <c r="R707" s="222" t="s">
        <v>15</v>
      </c>
      <c r="S707" s="222" t="s">
        <v>16</v>
      </c>
      <c r="T707" s="222" t="s">
        <v>349</v>
      </c>
      <c r="U707" s="222" t="s">
        <v>269</v>
      </c>
      <c r="V707" s="222" t="s">
        <v>302</v>
      </c>
      <c r="W707" s="223" t="s">
        <v>302</v>
      </c>
      <c r="X707" s="223" t="s">
        <v>302</v>
      </c>
      <c r="Y707" s="224" t="s">
        <v>302</v>
      </c>
    </row>
    <row r="708" spans="1:25">
      <c r="A708" s="216">
        <v>13</v>
      </c>
      <c r="B708" s="217" t="str">
        <f>VLOOKUP(Tabel10[[#This Row],[Code]],Ruimtegroepen[[Code]:[Ruimte omschrijving]],2,FALSE)</f>
        <v>HV/Technieklokaal</v>
      </c>
      <c r="C708" s="218" t="s">
        <v>887</v>
      </c>
      <c r="D708" s="217" t="s">
        <v>13</v>
      </c>
      <c r="E708" s="219" t="s">
        <v>102</v>
      </c>
      <c r="F708" s="218" t="s">
        <v>890</v>
      </c>
      <c r="G708" s="263" t="s">
        <v>302</v>
      </c>
      <c r="H708" s="220" t="s">
        <v>302</v>
      </c>
      <c r="I708" s="220" t="s">
        <v>302</v>
      </c>
      <c r="J708" s="220" t="s">
        <v>15</v>
      </c>
      <c r="K708" s="220" t="s">
        <v>269</v>
      </c>
      <c r="L708" s="220" t="s">
        <v>302</v>
      </c>
      <c r="M708" s="220" t="s">
        <v>302</v>
      </c>
      <c r="N708" s="221" t="s">
        <v>302</v>
      </c>
      <c r="O708" s="222" t="s">
        <v>15</v>
      </c>
      <c r="P708" s="222" t="s">
        <v>15</v>
      </c>
      <c r="Q708" s="222" t="s">
        <v>15</v>
      </c>
      <c r="R708" s="222" t="s">
        <v>15</v>
      </c>
      <c r="S708" s="222" t="s">
        <v>16</v>
      </c>
      <c r="T708" s="222" t="s">
        <v>349</v>
      </c>
      <c r="U708" s="222" t="s">
        <v>269</v>
      </c>
      <c r="V708" s="222" t="s">
        <v>302</v>
      </c>
      <c r="W708" s="223" t="s">
        <v>302</v>
      </c>
      <c r="X708" s="223" t="s">
        <v>302</v>
      </c>
      <c r="Y708" s="224" t="s">
        <v>302</v>
      </c>
    </row>
    <row r="709" spans="1:25">
      <c r="A709" s="216">
        <v>13</v>
      </c>
      <c r="B709" s="217" t="str">
        <f>VLOOKUP(Tabel10[[#This Row],[Code]],Ruimtegroepen[[Code]:[Ruimte omschrijving]],2,FALSE)</f>
        <v>HV/Technieklokaal</v>
      </c>
      <c r="C709" s="218" t="s">
        <v>887</v>
      </c>
      <c r="D709" s="217" t="s">
        <v>13</v>
      </c>
      <c r="E709" s="219" t="s">
        <v>103</v>
      </c>
      <c r="F709" s="218" t="s">
        <v>891</v>
      </c>
      <c r="G709" s="263" t="s">
        <v>302</v>
      </c>
      <c r="H709" s="220" t="s">
        <v>302</v>
      </c>
      <c r="I709" s="220" t="s">
        <v>302</v>
      </c>
      <c r="J709" s="220" t="s">
        <v>15</v>
      </c>
      <c r="K709" s="220" t="s">
        <v>269</v>
      </c>
      <c r="L709" s="220" t="s">
        <v>302</v>
      </c>
      <c r="M709" s="220" t="s">
        <v>302</v>
      </c>
      <c r="N709" s="221" t="s">
        <v>302</v>
      </c>
      <c r="O709" s="222" t="s">
        <v>15</v>
      </c>
      <c r="P709" s="222" t="s">
        <v>15</v>
      </c>
      <c r="Q709" s="222" t="s">
        <v>15</v>
      </c>
      <c r="R709" s="222" t="s">
        <v>15</v>
      </c>
      <c r="S709" s="222" t="s">
        <v>16</v>
      </c>
      <c r="T709" s="222" t="s">
        <v>349</v>
      </c>
      <c r="U709" s="222" t="s">
        <v>269</v>
      </c>
      <c r="V709" s="222" t="s">
        <v>302</v>
      </c>
      <c r="W709" s="223" t="s">
        <v>302</v>
      </c>
      <c r="X709" s="223" t="s">
        <v>302</v>
      </c>
      <c r="Y709" s="224" t="s">
        <v>302</v>
      </c>
    </row>
    <row r="710" spans="1:25">
      <c r="A710" s="216">
        <v>13</v>
      </c>
      <c r="B710" s="217" t="str">
        <f>VLOOKUP(Tabel10[[#This Row],[Code]],Ruimtegroepen[[Code]:[Ruimte omschrijving]],2,FALSE)</f>
        <v>HV/Technieklokaal</v>
      </c>
      <c r="C710" s="218" t="s">
        <v>887</v>
      </c>
      <c r="D710" s="217" t="s">
        <v>13</v>
      </c>
      <c r="E710" s="219" t="s">
        <v>100</v>
      </c>
      <c r="F710" s="218" t="s">
        <v>889</v>
      </c>
      <c r="G710" s="263" t="s">
        <v>302</v>
      </c>
      <c r="H710" s="221" t="s">
        <v>15</v>
      </c>
      <c r="I710" s="220" t="s">
        <v>302</v>
      </c>
      <c r="J710" s="220" t="s">
        <v>302</v>
      </c>
      <c r="K710" s="220" t="s">
        <v>302</v>
      </c>
      <c r="L710" s="220" t="s">
        <v>302</v>
      </c>
      <c r="M710" s="220" t="s">
        <v>302</v>
      </c>
      <c r="N710" s="221" t="s">
        <v>302</v>
      </c>
      <c r="O710" s="222" t="s">
        <v>15</v>
      </c>
      <c r="P710" s="222" t="s">
        <v>15</v>
      </c>
      <c r="Q710" s="222" t="s">
        <v>15</v>
      </c>
      <c r="R710" s="222" t="s">
        <v>15</v>
      </c>
      <c r="S710" s="222" t="s">
        <v>16</v>
      </c>
      <c r="T710" s="222" t="s">
        <v>349</v>
      </c>
      <c r="U710" s="222" t="s">
        <v>269</v>
      </c>
      <c r="V710" s="222" t="s">
        <v>302</v>
      </c>
      <c r="W710" s="223" t="s">
        <v>302</v>
      </c>
      <c r="X710" s="223" t="s">
        <v>302</v>
      </c>
      <c r="Y710" s="224" t="s">
        <v>302</v>
      </c>
    </row>
    <row r="711" spans="1:25">
      <c r="A711" s="216">
        <v>13</v>
      </c>
      <c r="B711" s="217" t="str">
        <f>VLOOKUP(Tabel10[[#This Row],[Code]],Ruimtegroepen[[Code]:[Ruimte omschrijving]],2,FALSE)</f>
        <v>HV/Technieklokaal</v>
      </c>
      <c r="C711" s="218" t="s">
        <v>887</v>
      </c>
      <c r="D711" s="217" t="s">
        <v>13</v>
      </c>
      <c r="E711" s="219" t="s">
        <v>1325</v>
      </c>
      <c r="F711" s="218" t="s">
        <v>1385</v>
      </c>
      <c r="G711" s="263" t="s">
        <v>302</v>
      </c>
      <c r="H711" s="220" t="s">
        <v>302</v>
      </c>
      <c r="I711" s="220" t="s">
        <v>302</v>
      </c>
      <c r="J711" s="220" t="s">
        <v>15</v>
      </c>
      <c r="K711" s="220" t="s">
        <v>269</v>
      </c>
      <c r="L711" s="220" t="s">
        <v>302</v>
      </c>
      <c r="M711" s="220" t="s">
        <v>302</v>
      </c>
      <c r="N711" s="221" t="s">
        <v>302</v>
      </c>
      <c r="O711" s="222" t="s">
        <v>15</v>
      </c>
      <c r="P711" s="222" t="s">
        <v>15</v>
      </c>
      <c r="Q711" s="222" t="s">
        <v>15</v>
      </c>
      <c r="R711" s="222" t="s">
        <v>15</v>
      </c>
      <c r="S711" s="222" t="s">
        <v>16</v>
      </c>
      <c r="T711" s="222" t="s">
        <v>349</v>
      </c>
      <c r="U711" s="222" t="s">
        <v>269</v>
      </c>
      <c r="V711" s="222" t="s">
        <v>302</v>
      </c>
      <c r="W711" s="223" t="s">
        <v>302</v>
      </c>
      <c r="X711" s="223" t="s">
        <v>302</v>
      </c>
      <c r="Y711" s="224" t="s">
        <v>302</v>
      </c>
    </row>
    <row r="712" spans="1:25">
      <c r="A712" s="216">
        <v>13</v>
      </c>
      <c r="B712" s="217" t="str">
        <f>VLOOKUP(Tabel10[[#This Row],[Code]],Ruimtegroepen[[Code]:[Ruimte omschrijving]],2,FALSE)</f>
        <v>HV/Technieklokaal</v>
      </c>
      <c r="C712" s="218" t="s">
        <v>892</v>
      </c>
      <c r="D712" s="217" t="s">
        <v>0</v>
      </c>
      <c r="E712" s="219" t="s">
        <v>101</v>
      </c>
      <c r="F712" s="218" t="s">
        <v>893</v>
      </c>
      <c r="G712" s="263" t="s">
        <v>302</v>
      </c>
      <c r="H712" s="220" t="s">
        <v>302</v>
      </c>
      <c r="I712" s="220" t="s">
        <v>16</v>
      </c>
      <c r="J712" s="220" t="s">
        <v>302</v>
      </c>
      <c r="K712" s="220" t="s">
        <v>302</v>
      </c>
      <c r="L712" s="220" t="s">
        <v>302</v>
      </c>
      <c r="M712" s="220" t="s">
        <v>302</v>
      </c>
      <c r="N712" s="221" t="s">
        <v>302</v>
      </c>
      <c r="O712" s="222" t="s">
        <v>16</v>
      </c>
      <c r="P712" s="222" t="s">
        <v>16</v>
      </c>
      <c r="Q712" s="222" t="s">
        <v>16</v>
      </c>
      <c r="R712" s="222" t="s">
        <v>16</v>
      </c>
      <c r="S712" s="222" t="s">
        <v>16</v>
      </c>
      <c r="T712" s="222" t="s">
        <v>349</v>
      </c>
      <c r="U712" s="222" t="s">
        <v>269</v>
      </c>
      <c r="V712" s="222" t="s">
        <v>302</v>
      </c>
      <c r="W712" s="223" t="s">
        <v>302</v>
      </c>
      <c r="X712" s="223" t="s">
        <v>302</v>
      </c>
      <c r="Y712" s="224" t="s">
        <v>302</v>
      </c>
    </row>
    <row r="713" spans="1:25">
      <c r="A713" s="216">
        <v>13</v>
      </c>
      <c r="B713" s="217" t="str">
        <f>VLOOKUP(Tabel10[[#This Row],[Code]],Ruimtegroepen[[Code]:[Ruimte omschrijving]],2,FALSE)</f>
        <v>HV/Technieklokaal</v>
      </c>
      <c r="C713" s="218" t="s">
        <v>892</v>
      </c>
      <c r="D713" s="217" t="s">
        <v>0</v>
      </c>
      <c r="E713" s="219" t="s">
        <v>100</v>
      </c>
      <c r="F713" s="218" t="s">
        <v>894</v>
      </c>
      <c r="G713" s="263" t="s">
        <v>302</v>
      </c>
      <c r="H713" s="221" t="s">
        <v>16</v>
      </c>
      <c r="I713" s="220" t="s">
        <v>302</v>
      </c>
      <c r="J713" s="220" t="s">
        <v>302</v>
      </c>
      <c r="K713" s="220" t="s">
        <v>302</v>
      </c>
      <c r="L713" s="220" t="s">
        <v>302</v>
      </c>
      <c r="M713" s="220" t="s">
        <v>302</v>
      </c>
      <c r="N713" s="221" t="s">
        <v>302</v>
      </c>
      <c r="O713" s="222" t="s">
        <v>16</v>
      </c>
      <c r="P713" s="222" t="s">
        <v>16</v>
      </c>
      <c r="Q713" s="222" t="s">
        <v>16</v>
      </c>
      <c r="R713" s="222" t="s">
        <v>16</v>
      </c>
      <c r="S713" s="222" t="s">
        <v>16</v>
      </c>
      <c r="T713" s="222" t="s">
        <v>349</v>
      </c>
      <c r="U713" s="222" t="s">
        <v>269</v>
      </c>
      <c r="V713" s="222" t="s">
        <v>302</v>
      </c>
      <c r="W713" s="223" t="s">
        <v>302</v>
      </c>
      <c r="X713" s="223" t="s">
        <v>302</v>
      </c>
      <c r="Y713" s="224" t="s">
        <v>302</v>
      </c>
    </row>
    <row r="714" spans="1:25">
      <c r="A714" s="216">
        <v>13</v>
      </c>
      <c r="B714" s="217" t="str">
        <f>VLOOKUP(Tabel10[[#This Row],[Code]],Ruimtegroepen[[Code]:[Ruimte omschrijving]],2,FALSE)</f>
        <v>HV/Technieklokaal</v>
      </c>
      <c r="C714" s="218" t="s">
        <v>892</v>
      </c>
      <c r="D714" s="217" t="s">
        <v>0</v>
      </c>
      <c r="E714" s="219" t="s">
        <v>102</v>
      </c>
      <c r="F714" s="218" t="s">
        <v>895</v>
      </c>
      <c r="G714" s="263" t="s">
        <v>302</v>
      </c>
      <c r="H714" s="220" t="s">
        <v>302</v>
      </c>
      <c r="I714" s="220" t="s">
        <v>302</v>
      </c>
      <c r="J714" s="220" t="s">
        <v>16</v>
      </c>
      <c r="K714" s="220" t="s">
        <v>269</v>
      </c>
      <c r="L714" s="220" t="s">
        <v>302</v>
      </c>
      <c r="M714" s="220" t="s">
        <v>302</v>
      </c>
      <c r="N714" s="221" t="s">
        <v>302</v>
      </c>
      <c r="O714" s="222" t="s">
        <v>16</v>
      </c>
      <c r="P714" s="222" t="s">
        <v>16</v>
      </c>
      <c r="Q714" s="222" t="s">
        <v>16</v>
      </c>
      <c r="R714" s="222" t="s">
        <v>16</v>
      </c>
      <c r="S714" s="222" t="s">
        <v>16</v>
      </c>
      <c r="T714" s="222" t="s">
        <v>349</v>
      </c>
      <c r="U714" s="222" t="s">
        <v>269</v>
      </c>
      <c r="V714" s="222" t="s">
        <v>302</v>
      </c>
      <c r="W714" s="223" t="s">
        <v>302</v>
      </c>
      <c r="X714" s="223" t="s">
        <v>302</v>
      </c>
      <c r="Y714" s="224" t="s">
        <v>302</v>
      </c>
    </row>
    <row r="715" spans="1:25">
      <c r="A715" s="216">
        <v>13</v>
      </c>
      <c r="B715" s="217" t="str">
        <f>VLOOKUP(Tabel10[[#This Row],[Code]],Ruimtegroepen[[Code]:[Ruimte omschrijving]],2,FALSE)</f>
        <v>HV/Technieklokaal</v>
      </c>
      <c r="C715" s="218" t="s">
        <v>892</v>
      </c>
      <c r="D715" s="217" t="s">
        <v>0</v>
      </c>
      <c r="E715" s="219" t="s">
        <v>103</v>
      </c>
      <c r="F715" s="218" t="s">
        <v>896</v>
      </c>
      <c r="G715" s="263" t="s">
        <v>302</v>
      </c>
      <c r="H715" s="220" t="s">
        <v>302</v>
      </c>
      <c r="I715" s="220" t="s">
        <v>16</v>
      </c>
      <c r="J715" s="220" t="s">
        <v>302</v>
      </c>
      <c r="K715" s="220" t="s">
        <v>269</v>
      </c>
      <c r="L715" s="220" t="s">
        <v>302</v>
      </c>
      <c r="M715" s="220" t="s">
        <v>302</v>
      </c>
      <c r="N715" s="221" t="s">
        <v>302</v>
      </c>
      <c r="O715" s="222" t="s">
        <v>16</v>
      </c>
      <c r="P715" s="222" t="s">
        <v>16</v>
      </c>
      <c r="Q715" s="222" t="s">
        <v>16</v>
      </c>
      <c r="R715" s="222" t="s">
        <v>16</v>
      </c>
      <c r="S715" s="222" t="s">
        <v>16</v>
      </c>
      <c r="T715" s="222" t="s">
        <v>349</v>
      </c>
      <c r="U715" s="222" t="s">
        <v>269</v>
      </c>
      <c r="V715" s="222" t="s">
        <v>302</v>
      </c>
      <c r="W715" s="223" t="s">
        <v>302</v>
      </c>
      <c r="X715" s="223" t="s">
        <v>302</v>
      </c>
      <c r="Y715" s="224" t="s">
        <v>302</v>
      </c>
    </row>
    <row r="716" spans="1:25">
      <c r="A716" s="216">
        <v>13</v>
      </c>
      <c r="B716" s="217" t="str">
        <f>VLOOKUP(Tabel10[[#This Row],[Code]],Ruimtegroepen[[Code]:[Ruimte omschrijving]],2,FALSE)</f>
        <v>HV/Technieklokaal</v>
      </c>
      <c r="C716" s="218" t="s">
        <v>892</v>
      </c>
      <c r="D716" s="217" t="s">
        <v>0</v>
      </c>
      <c r="E716" s="219" t="s">
        <v>100</v>
      </c>
      <c r="F716" s="218" t="s">
        <v>894</v>
      </c>
      <c r="G716" s="263" t="s">
        <v>302</v>
      </c>
      <c r="H716" s="221" t="s">
        <v>16</v>
      </c>
      <c r="I716" s="220" t="s">
        <v>302</v>
      </c>
      <c r="J716" s="220" t="s">
        <v>302</v>
      </c>
      <c r="K716" s="220" t="s">
        <v>302</v>
      </c>
      <c r="L716" s="220" t="s">
        <v>302</v>
      </c>
      <c r="M716" s="220" t="s">
        <v>302</v>
      </c>
      <c r="N716" s="221" t="s">
        <v>302</v>
      </c>
      <c r="O716" s="222" t="s">
        <v>16</v>
      </c>
      <c r="P716" s="222" t="s">
        <v>16</v>
      </c>
      <c r="Q716" s="222" t="s">
        <v>16</v>
      </c>
      <c r="R716" s="222" t="s">
        <v>16</v>
      </c>
      <c r="S716" s="222" t="s">
        <v>16</v>
      </c>
      <c r="T716" s="222" t="s">
        <v>349</v>
      </c>
      <c r="U716" s="222" t="s">
        <v>269</v>
      </c>
      <c r="V716" s="222" t="s">
        <v>302</v>
      </c>
      <c r="W716" s="223" t="s">
        <v>302</v>
      </c>
      <c r="X716" s="223" t="s">
        <v>302</v>
      </c>
      <c r="Y716" s="224" t="s">
        <v>302</v>
      </c>
    </row>
    <row r="717" spans="1:25">
      <c r="A717" s="216">
        <v>13</v>
      </c>
      <c r="B717" s="217" t="str">
        <f>VLOOKUP(Tabel10[[#This Row],[Code]],Ruimtegroepen[[Code]:[Ruimte omschrijving]],2,FALSE)</f>
        <v>HV/Technieklokaal</v>
      </c>
      <c r="C717" s="218" t="s">
        <v>892</v>
      </c>
      <c r="D717" s="217" t="s">
        <v>0</v>
      </c>
      <c r="E717" s="219" t="s">
        <v>1325</v>
      </c>
      <c r="F717" s="218" t="s">
        <v>1369</v>
      </c>
      <c r="G717" s="263" t="s">
        <v>302</v>
      </c>
      <c r="H717" s="220" t="s">
        <v>302</v>
      </c>
      <c r="I717" s="220" t="s">
        <v>16</v>
      </c>
      <c r="J717" s="220" t="s">
        <v>302</v>
      </c>
      <c r="K717" s="220" t="s">
        <v>269</v>
      </c>
      <c r="L717" s="220" t="s">
        <v>302</v>
      </c>
      <c r="M717" s="220" t="s">
        <v>302</v>
      </c>
      <c r="N717" s="221" t="s">
        <v>302</v>
      </c>
      <c r="O717" s="222" t="s">
        <v>16</v>
      </c>
      <c r="P717" s="222" t="s">
        <v>16</v>
      </c>
      <c r="Q717" s="222" t="s">
        <v>16</v>
      </c>
      <c r="R717" s="222" t="s">
        <v>16</v>
      </c>
      <c r="S717" s="222" t="s">
        <v>16</v>
      </c>
      <c r="T717" s="222" t="s">
        <v>349</v>
      </c>
      <c r="U717" s="222" t="s">
        <v>269</v>
      </c>
      <c r="V717" s="222" t="s">
        <v>302</v>
      </c>
      <c r="W717" s="223" t="s">
        <v>302</v>
      </c>
      <c r="X717" s="223" t="s">
        <v>302</v>
      </c>
      <c r="Y717" s="224" t="s">
        <v>302</v>
      </c>
    </row>
    <row r="718" spans="1:25">
      <c r="A718" s="216">
        <v>13</v>
      </c>
      <c r="B718" s="217" t="str">
        <f>VLOOKUP(Tabel10[[#This Row],[Code]],Ruimtegroepen[[Code]:[Ruimte omschrijving]],2,FALSE)</f>
        <v>HV/Technieklokaal</v>
      </c>
      <c r="C718" s="218" t="s">
        <v>897</v>
      </c>
      <c r="D718" s="217" t="s">
        <v>27</v>
      </c>
      <c r="E718" s="219" t="s">
        <v>101</v>
      </c>
      <c r="F718" s="218" t="s">
        <v>898</v>
      </c>
      <c r="G718" s="263" t="s">
        <v>302</v>
      </c>
      <c r="H718" s="220" t="s">
        <v>302</v>
      </c>
      <c r="I718" s="220" t="s">
        <v>15</v>
      </c>
      <c r="J718" s="220" t="s">
        <v>302</v>
      </c>
      <c r="K718" s="220" t="s">
        <v>302</v>
      </c>
      <c r="L718" s="220" t="s">
        <v>302</v>
      </c>
      <c r="M718" s="220" t="s">
        <v>302</v>
      </c>
      <c r="N718" s="221" t="s">
        <v>302</v>
      </c>
      <c r="O718" s="222" t="s">
        <v>15</v>
      </c>
      <c r="P718" s="222" t="s">
        <v>15</v>
      </c>
      <c r="Q718" s="222" t="s">
        <v>15</v>
      </c>
      <c r="R718" s="222" t="s">
        <v>302</v>
      </c>
      <c r="S718" s="222" t="s">
        <v>302</v>
      </c>
      <c r="T718" s="222" t="s">
        <v>302</v>
      </c>
      <c r="U718" s="222" t="s">
        <v>302</v>
      </c>
      <c r="V718" s="222" t="s">
        <v>302</v>
      </c>
      <c r="W718" s="223" t="s">
        <v>302</v>
      </c>
      <c r="X718" s="223" t="s">
        <v>302</v>
      </c>
      <c r="Y718" s="224" t="s">
        <v>302</v>
      </c>
    </row>
    <row r="719" spans="1:25">
      <c r="A719" s="216">
        <v>13</v>
      </c>
      <c r="B719" s="217" t="str">
        <f>VLOOKUP(Tabel10[[#This Row],[Code]],Ruimtegroepen[[Code]:[Ruimte omschrijving]],2,FALSE)</f>
        <v>HV/Technieklokaal</v>
      </c>
      <c r="C719" s="218" t="s">
        <v>897</v>
      </c>
      <c r="D719" s="217" t="s">
        <v>27</v>
      </c>
      <c r="E719" s="219" t="s">
        <v>100</v>
      </c>
      <c r="F719" s="218" t="s">
        <v>899</v>
      </c>
      <c r="G719" s="263" t="s">
        <v>302</v>
      </c>
      <c r="H719" s="221" t="s">
        <v>15</v>
      </c>
      <c r="I719" s="220" t="s">
        <v>302</v>
      </c>
      <c r="J719" s="220" t="s">
        <v>302</v>
      </c>
      <c r="K719" s="220" t="s">
        <v>302</v>
      </c>
      <c r="L719" s="220" t="s">
        <v>302</v>
      </c>
      <c r="M719" s="220" t="s">
        <v>302</v>
      </c>
      <c r="N719" s="221" t="s">
        <v>302</v>
      </c>
      <c r="O719" s="222" t="s">
        <v>15</v>
      </c>
      <c r="P719" s="222" t="s">
        <v>15</v>
      </c>
      <c r="Q719" s="222" t="s">
        <v>15</v>
      </c>
      <c r="R719" s="222" t="s">
        <v>302</v>
      </c>
      <c r="S719" s="222" t="s">
        <v>302</v>
      </c>
      <c r="T719" s="222" t="s">
        <v>302</v>
      </c>
      <c r="U719" s="222" t="s">
        <v>302</v>
      </c>
      <c r="V719" s="222" t="s">
        <v>302</v>
      </c>
      <c r="W719" s="223" t="s">
        <v>302</v>
      </c>
      <c r="X719" s="223" t="s">
        <v>302</v>
      </c>
      <c r="Y719" s="224" t="s">
        <v>302</v>
      </c>
    </row>
    <row r="720" spans="1:25">
      <c r="A720" s="216">
        <v>13</v>
      </c>
      <c r="B720" s="217" t="str">
        <f>VLOOKUP(Tabel10[[#This Row],[Code]],Ruimtegroepen[[Code]:[Ruimte omschrijving]],2,FALSE)</f>
        <v>HV/Technieklokaal</v>
      </c>
      <c r="C720" s="218" t="s">
        <v>897</v>
      </c>
      <c r="D720" s="217" t="s">
        <v>27</v>
      </c>
      <c r="E720" s="219" t="s">
        <v>102</v>
      </c>
      <c r="F720" s="218" t="s">
        <v>900</v>
      </c>
      <c r="G720" s="263" t="s">
        <v>302</v>
      </c>
      <c r="H720" s="220" t="s">
        <v>302</v>
      </c>
      <c r="I720" s="220" t="s">
        <v>15</v>
      </c>
      <c r="J720" s="220" t="s">
        <v>302</v>
      </c>
      <c r="K720" s="220" t="s">
        <v>302</v>
      </c>
      <c r="L720" s="220" t="s">
        <v>302</v>
      </c>
      <c r="M720" s="220" t="s">
        <v>302</v>
      </c>
      <c r="N720" s="221" t="s">
        <v>302</v>
      </c>
      <c r="O720" s="222" t="s">
        <v>15</v>
      </c>
      <c r="P720" s="222" t="s">
        <v>15</v>
      </c>
      <c r="Q720" s="222" t="s">
        <v>15</v>
      </c>
      <c r="R720" s="222" t="s">
        <v>302</v>
      </c>
      <c r="S720" s="222" t="s">
        <v>302</v>
      </c>
      <c r="T720" s="222" t="s">
        <v>302</v>
      </c>
      <c r="U720" s="222" t="s">
        <v>302</v>
      </c>
      <c r="V720" s="222" t="s">
        <v>302</v>
      </c>
      <c r="W720" s="223" t="s">
        <v>302</v>
      </c>
      <c r="X720" s="223" t="s">
        <v>302</v>
      </c>
      <c r="Y720" s="224" t="s">
        <v>302</v>
      </c>
    </row>
    <row r="721" spans="1:25">
      <c r="A721" s="216">
        <v>13</v>
      </c>
      <c r="B721" s="217" t="str">
        <f>VLOOKUP(Tabel10[[#This Row],[Code]],Ruimtegroepen[[Code]:[Ruimte omschrijving]],2,FALSE)</f>
        <v>HV/Technieklokaal</v>
      </c>
      <c r="C721" s="218" t="s">
        <v>897</v>
      </c>
      <c r="D721" s="217" t="s">
        <v>27</v>
      </c>
      <c r="E721" s="219" t="s">
        <v>103</v>
      </c>
      <c r="F721" s="218" t="s">
        <v>901</v>
      </c>
      <c r="G721" s="263" t="s">
        <v>302</v>
      </c>
      <c r="H721" s="220" t="s">
        <v>302</v>
      </c>
      <c r="I721" s="220" t="s">
        <v>15</v>
      </c>
      <c r="J721" s="220" t="s">
        <v>302</v>
      </c>
      <c r="K721" s="220" t="s">
        <v>302</v>
      </c>
      <c r="L721" s="220" t="s">
        <v>302</v>
      </c>
      <c r="M721" s="220" t="s">
        <v>302</v>
      </c>
      <c r="N721" s="221" t="s">
        <v>302</v>
      </c>
      <c r="O721" s="222" t="s">
        <v>15</v>
      </c>
      <c r="P721" s="222" t="s">
        <v>15</v>
      </c>
      <c r="Q721" s="222" t="s">
        <v>15</v>
      </c>
      <c r="R721" s="222" t="s">
        <v>302</v>
      </c>
      <c r="S721" s="222" t="s">
        <v>302</v>
      </c>
      <c r="T721" s="222" t="s">
        <v>302</v>
      </c>
      <c r="U721" s="222" t="s">
        <v>302</v>
      </c>
      <c r="V721" s="222" t="s">
        <v>302</v>
      </c>
      <c r="W721" s="223" t="s">
        <v>302</v>
      </c>
      <c r="X721" s="223" t="s">
        <v>302</v>
      </c>
      <c r="Y721" s="224" t="s">
        <v>302</v>
      </c>
    </row>
    <row r="722" spans="1:25">
      <c r="A722" s="216">
        <v>13</v>
      </c>
      <c r="B722" s="217" t="str">
        <f>VLOOKUP(Tabel10[[#This Row],[Code]],Ruimtegroepen[[Code]:[Ruimte omschrijving]],2,FALSE)</f>
        <v>HV/Technieklokaal</v>
      </c>
      <c r="C722" s="218" t="s">
        <v>897</v>
      </c>
      <c r="D722" s="217" t="s">
        <v>27</v>
      </c>
      <c r="E722" s="219" t="s">
        <v>100</v>
      </c>
      <c r="F722" s="218" t="s">
        <v>899</v>
      </c>
      <c r="G722" s="263" t="s">
        <v>302</v>
      </c>
      <c r="H722" s="221" t="s">
        <v>15</v>
      </c>
      <c r="I722" s="220" t="s">
        <v>302</v>
      </c>
      <c r="J722" s="220" t="s">
        <v>302</v>
      </c>
      <c r="K722" s="220" t="s">
        <v>302</v>
      </c>
      <c r="L722" s="220" t="s">
        <v>302</v>
      </c>
      <c r="M722" s="220" t="s">
        <v>302</v>
      </c>
      <c r="N722" s="221" t="s">
        <v>302</v>
      </c>
      <c r="O722" s="222" t="s">
        <v>15</v>
      </c>
      <c r="P722" s="222" t="s">
        <v>15</v>
      </c>
      <c r="Q722" s="222" t="s">
        <v>15</v>
      </c>
      <c r="R722" s="222" t="s">
        <v>302</v>
      </c>
      <c r="S722" s="222" t="s">
        <v>302</v>
      </c>
      <c r="T722" s="222" t="s">
        <v>302</v>
      </c>
      <c r="U722" s="222" t="s">
        <v>302</v>
      </c>
      <c r="V722" s="222" t="s">
        <v>302</v>
      </c>
      <c r="W722" s="223" t="s">
        <v>302</v>
      </c>
      <c r="X722" s="223" t="s">
        <v>302</v>
      </c>
      <c r="Y722" s="224" t="s">
        <v>302</v>
      </c>
    </row>
    <row r="723" spans="1:25">
      <c r="A723" s="216">
        <v>13</v>
      </c>
      <c r="B723" s="217" t="str">
        <f>VLOOKUP(Tabel10[[#This Row],[Code]],Ruimtegroepen[[Code]:[Ruimte omschrijving]],2,FALSE)</f>
        <v>HV/Technieklokaal</v>
      </c>
      <c r="C723" s="218" t="s">
        <v>897</v>
      </c>
      <c r="D723" s="217" t="s">
        <v>27</v>
      </c>
      <c r="E723" s="219" t="s">
        <v>1325</v>
      </c>
      <c r="F723" s="218" t="s">
        <v>1402</v>
      </c>
      <c r="G723" s="263" t="s">
        <v>302</v>
      </c>
      <c r="H723" s="220" t="s">
        <v>302</v>
      </c>
      <c r="I723" s="221" t="s">
        <v>15</v>
      </c>
      <c r="J723" s="221" t="s">
        <v>302</v>
      </c>
      <c r="K723" s="221" t="s">
        <v>302</v>
      </c>
      <c r="L723" s="220" t="s">
        <v>302</v>
      </c>
      <c r="M723" s="220" t="s">
        <v>302</v>
      </c>
      <c r="N723" s="221" t="s">
        <v>302</v>
      </c>
      <c r="O723" s="222" t="s">
        <v>15</v>
      </c>
      <c r="P723" s="222" t="s">
        <v>15</v>
      </c>
      <c r="Q723" s="222" t="s">
        <v>15</v>
      </c>
      <c r="R723" s="222" t="s">
        <v>302</v>
      </c>
      <c r="S723" s="222" t="s">
        <v>302</v>
      </c>
      <c r="T723" s="222" t="s">
        <v>302</v>
      </c>
      <c r="U723" s="222" t="s">
        <v>302</v>
      </c>
      <c r="V723" s="222" t="s">
        <v>302</v>
      </c>
      <c r="W723" s="223" t="s">
        <v>302</v>
      </c>
      <c r="X723" s="223" t="s">
        <v>302</v>
      </c>
      <c r="Y723" s="224" t="s">
        <v>302</v>
      </c>
    </row>
    <row r="724" spans="1:25">
      <c r="A724" s="216">
        <v>13</v>
      </c>
      <c r="B724" s="217" t="str">
        <f>VLOOKUP(Tabel10[[#This Row],[Code]],Ruimtegroepen[[Code]:[Ruimte omschrijving]],2,FALSE)</f>
        <v>HV/Technieklokaal</v>
      </c>
      <c r="C724" s="218" t="s">
        <v>902</v>
      </c>
      <c r="D724" s="217" t="s">
        <v>28</v>
      </c>
      <c r="E724" s="219" t="s">
        <v>101</v>
      </c>
      <c r="F724" s="218" t="s">
        <v>903</v>
      </c>
      <c r="G724" s="263" t="s">
        <v>302</v>
      </c>
      <c r="H724" s="220" t="s">
        <v>302</v>
      </c>
      <c r="I724" s="220" t="s">
        <v>17</v>
      </c>
      <c r="J724" s="220" t="s">
        <v>302</v>
      </c>
      <c r="K724" s="220" t="s">
        <v>302</v>
      </c>
      <c r="L724" s="220" t="s">
        <v>302</v>
      </c>
      <c r="M724" s="220" t="s">
        <v>302</v>
      </c>
      <c r="N724" s="221" t="s">
        <v>302</v>
      </c>
      <c r="O724" s="222" t="s">
        <v>17</v>
      </c>
      <c r="P724" s="222" t="s">
        <v>17</v>
      </c>
      <c r="Q724" s="222" t="s">
        <v>15</v>
      </c>
      <c r="R724" s="222" t="s">
        <v>302</v>
      </c>
      <c r="S724" s="222" t="s">
        <v>302</v>
      </c>
      <c r="T724" s="222" t="s">
        <v>302</v>
      </c>
      <c r="U724" s="222" t="s">
        <v>302</v>
      </c>
      <c r="V724" s="222" t="s">
        <v>302</v>
      </c>
      <c r="W724" s="223" t="s">
        <v>302</v>
      </c>
      <c r="X724" s="223" t="s">
        <v>302</v>
      </c>
      <c r="Y724" s="224" t="s">
        <v>302</v>
      </c>
    </row>
    <row r="725" spans="1:25">
      <c r="A725" s="216">
        <v>13</v>
      </c>
      <c r="B725" s="217" t="str">
        <f>VLOOKUP(Tabel10[[#This Row],[Code]],Ruimtegroepen[[Code]:[Ruimte omschrijving]],2,FALSE)</f>
        <v>HV/Technieklokaal</v>
      </c>
      <c r="C725" s="218" t="s">
        <v>902</v>
      </c>
      <c r="D725" s="217" t="s">
        <v>28</v>
      </c>
      <c r="E725" s="219" t="s">
        <v>100</v>
      </c>
      <c r="F725" s="218" t="s">
        <v>904</v>
      </c>
      <c r="G725" s="263" t="s">
        <v>302</v>
      </c>
      <c r="H725" s="221" t="s">
        <v>17</v>
      </c>
      <c r="I725" s="220" t="s">
        <v>302</v>
      </c>
      <c r="J725" s="220" t="s">
        <v>302</v>
      </c>
      <c r="K725" s="220" t="s">
        <v>302</v>
      </c>
      <c r="L725" s="220" t="s">
        <v>302</v>
      </c>
      <c r="M725" s="220" t="s">
        <v>302</v>
      </c>
      <c r="N725" s="221" t="s">
        <v>302</v>
      </c>
      <c r="O725" s="222" t="s">
        <v>17</v>
      </c>
      <c r="P725" s="222" t="s">
        <v>17</v>
      </c>
      <c r="Q725" s="222" t="s">
        <v>15</v>
      </c>
      <c r="R725" s="222" t="s">
        <v>302</v>
      </c>
      <c r="S725" s="222" t="s">
        <v>302</v>
      </c>
      <c r="T725" s="222" t="s">
        <v>302</v>
      </c>
      <c r="U725" s="222" t="s">
        <v>302</v>
      </c>
      <c r="V725" s="222" t="s">
        <v>302</v>
      </c>
      <c r="W725" s="223" t="s">
        <v>302</v>
      </c>
      <c r="X725" s="223" t="s">
        <v>302</v>
      </c>
      <c r="Y725" s="224" t="s">
        <v>302</v>
      </c>
    </row>
    <row r="726" spans="1:25">
      <c r="A726" s="216">
        <v>13</v>
      </c>
      <c r="B726" s="217" t="str">
        <f>VLOOKUP(Tabel10[[#This Row],[Code]],Ruimtegroepen[[Code]:[Ruimte omschrijving]],2,FALSE)</f>
        <v>HV/Technieklokaal</v>
      </c>
      <c r="C726" s="218" t="s">
        <v>902</v>
      </c>
      <c r="D726" s="217" t="s">
        <v>28</v>
      </c>
      <c r="E726" s="219" t="s">
        <v>102</v>
      </c>
      <c r="F726" s="218" t="s">
        <v>905</v>
      </c>
      <c r="G726" s="263" t="s">
        <v>302</v>
      </c>
      <c r="H726" s="220" t="s">
        <v>302</v>
      </c>
      <c r="I726" s="220" t="s">
        <v>17</v>
      </c>
      <c r="J726" s="220" t="s">
        <v>302</v>
      </c>
      <c r="K726" s="220" t="s">
        <v>302</v>
      </c>
      <c r="L726" s="220" t="s">
        <v>302</v>
      </c>
      <c r="M726" s="220" t="s">
        <v>302</v>
      </c>
      <c r="N726" s="221" t="s">
        <v>302</v>
      </c>
      <c r="O726" s="222" t="s">
        <v>17</v>
      </c>
      <c r="P726" s="222" t="s">
        <v>17</v>
      </c>
      <c r="Q726" s="222" t="s">
        <v>15</v>
      </c>
      <c r="R726" s="222" t="s">
        <v>302</v>
      </c>
      <c r="S726" s="222" t="s">
        <v>302</v>
      </c>
      <c r="T726" s="222" t="s">
        <v>302</v>
      </c>
      <c r="U726" s="222" t="s">
        <v>302</v>
      </c>
      <c r="V726" s="222" t="s">
        <v>302</v>
      </c>
      <c r="W726" s="223" t="s">
        <v>302</v>
      </c>
      <c r="X726" s="223" t="s">
        <v>302</v>
      </c>
      <c r="Y726" s="224" t="s">
        <v>302</v>
      </c>
    </row>
    <row r="727" spans="1:25">
      <c r="A727" s="216">
        <v>13</v>
      </c>
      <c r="B727" s="217" t="str">
        <f>VLOOKUP(Tabel10[[#This Row],[Code]],Ruimtegroepen[[Code]:[Ruimte omschrijving]],2,FALSE)</f>
        <v>HV/Technieklokaal</v>
      </c>
      <c r="C727" s="218" t="s">
        <v>902</v>
      </c>
      <c r="D727" s="217" t="s">
        <v>28</v>
      </c>
      <c r="E727" s="219" t="s">
        <v>103</v>
      </c>
      <c r="F727" s="218" t="s">
        <v>906</v>
      </c>
      <c r="G727" s="263" t="s">
        <v>302</v>
      </c>
      <c r="H727" s="220" t="s">
        <v>302</v>
      </c>
      <c r="I727" s="220" t="s">
        <v>17</v>
      </c>
      <c r="J727" s="220" t="s">
        <v>302</v>
      </c>
      <c r="K727" s="220" t="s">
        <v>302</v>
      </c>
      <c r="L727" s="220" t="s">
        <v>302</v>
      </c>
      <c r="M727" s="220" t="s">
        <v>302</v>
      </c>
      <c r="N727" s="221" t="s">
        <v>302</v>
      </c>
      <c r="O727" s="222" t="s">
        <v>17</v>
      </c>
      <c r="P727" s="222" t="s">
        <v>17</v>
      </c>
      <c r="Q727" s="222" t="s">
        <v>15</v>
      </c>
      <c r="R727" s="222" t="s">
        <v>302</v>
      </c>
      <c r="S727" s="222" t="s">
        <v>302</v>
      </c>
      <c r="T727" s="222" t="s">
        <v>302</v>
      </c>
      <c r="U727" s="222" t="s">
        <v>302</v>
      </c>
      <c r="V727" s="222" t="s">
        <v>302</v>
      </c>
      <c r="W727" s="223" t="s">
        <v>302</v>
      </c>
      <c r="X727" s="223" t="s">
        <v>302</v>
      </c>
      <c r="Y727" s="224" t="s">
        <v>302</v>
      </c>
    </row>
    <row r="728" spans="1:25">
      <c r="A728" s="216">
        <v>13</v>
      </c>
      <c r="B728" s="217" t="str">
        <f>VLOOKUP(Tabel10[[#This Row],[Code]],Ruimtegroepen[[Code]:[Ruimte omschrijving]],2,FALSE)</f>
        <v>HV/Technieklokaal</v>
      </c>
      <c r="C728" s="218" t="s">
        <v>902</v>
      </c>
      <c r="D728" s="217" t="s">
        <v>28</v>
      </c>
      <c r="E728" s="219" t="s">
        <v>100</v>
      </c>
      <c r="F728" s="218" t="s">
        <v>904</v>
      </c>
      <c r="G728" s="263" t="s">
        <v>302</v>
      </c>
      <c r="H728" s="221" t="s">
        <v>17</v>
      </c>
      <c r="I728" s="220" t="s">
        <v>302</v>
      </c>
      <c r="J728" s="220" t="s">
        <v>302</v>
      </c>
      <c r="K728" s="220" t="s">
        <v>302</v>
      </c>
      <c r="L728" s="220" t="s">
        <v>302</v>
      </c>
      <c r="M728" s="220" t="s">
        <v>302</v>
      </c>
      <c r="N728" s="221" t="s">
        <v>302</v>
      </c>
      <c r="O728" s="222" t="s">
        <v>17</v>
      </c>
      <c r="P728" s="222" t="s">
        <v>17</v>
      </c>
      <c r="Q728" s="222" t="s">
        <v>15</v>
      </c>
      <c r="R728" s="222" t="s">
        <v>302</v>
      </c>
      <c r="S728" s="222" t="s">
        <v>302</v>
      </c>
      <c r="T728" s="222" t="s">
        <v>302</v>
      </c>
      <c r="U728" s="222" t="s">
        <v>302</v>
      </c>
      <c r="V728" s="222" t="s">
        <v>302</v>
      </c>
      <c r="W728" s="223" t="s">
        <v>302</v>
      </c>
      <c r="X728" s="223" t="s">
        <v>302</v>
      </c>
      <c r="Y728" s="224" t="s">
        <v>302</v>
      </c>
    </row>
    <row r="729" spans="1:25">
      <c r="A729" s="216">
        <v>13</v>
      </c>
      <c r="B729" s="217" t="str">
        <f>VLOOKUP(Tabel10[[#This Row],[Code]],Ruimtegroepen[[Code]:[Ruimte omschrijving]],2,FALSE)</f>
        <v>HV/Technieklokaal</v>
      </c>
      <c r="C729" s="218" t="s">
        <v>902</v>
      </c>
      <c r="D729" s="217" t="s">
        <v>28</v>
      </c>
      <c r="E729" s="219" t="s">
        <v>1325</v>
      </c>
      <c r="F729" s="218" t="s">
        <v>1435</v>
      </c>
      <c r="G729" s="263" t="s">
        <v>302</v>
      </c>
      <c r="H729" s="220" t="s">
        <v>302</v>
      </c>
      <c r="I729" s="221" t="s">
        <v>17</v>
      </c>
      <c r="J729" s="221" t="s">
        <v>302</v>
      </c>
      <c r="K729" s="221" t="s">
        <v>302</v>
      </c>
      <c r="L729" s="220" t="s">
        <v>302</v>
      </c>
      <c r="M729" s="220" t="s">
        <v>302</v>
      </c>
      <c r="N729" s="221" t="s">
        <v>302</v>
      </c>
      <c r="O729" s="222" t="s">
        <v>17</v>
      </c>
      <c r="P729" s="222" t="s">
        <v>17</v>
      </c>
      <c r="Q729" s="222" t="s">
        <v>15</v>
      </c>
      <c r="R729" s="222" t="s">
        <v>302</v>
      </c>
      <c r="S729" s="222" t="s">
        <v>302</v>
      </c>
      <c r="T729" s="222" t="s">
        <v>302</v>
      </c>
      <c r="U729" s="222" t="s">
        <v>302</v>
      </c>
      <c r="V729" s="222" t="s">
        <v>302</v>
      </c>
      <c r="W729" s="223" t="s">
        <v>302</v>
      </c>
      <c r="X729" s="223" t="s">
        <v>302</v>
      </c>
      <c r="Y729" s="224" t="s">
        <v>302</v>
      </c>
    </row>
    <row r="730" spans="1:25">
      <c r="A730" s="216">
        <v>14</v>
      </c>
      <c r="B730" s="217" t="str">
        <f>VLOOKUP(Tabel10[[#This Row],[Code]],Ruimtegroepen[[Code]:[Ruimte omschrijving]],2,FALSE)</f>
        <v>Praktijklokalen binas/zorg</v>
      </c>
      <c r="C730" s="218" t="s">
        <v>907</v>
      </c>
      <c r="D730" s="217" t="s">
        <v>29</v>
      </c>
      <c r="E730" s="219" t="s">
        <v>101</v>
      </c>
      <c r="F730" s="218" t="s">
        <v>908</v>
      </c>
      <c r="G730" s="263" t="s">
        <v>302</v>
      </c>
      <c r="H730" s="220" t="s">
        <v>302</v>
      </c>
      <c r="I730" s="220" t="s">
        <v>302</v>
      </c>
      <c r="J730" s="220" t="s">
        <v>2</v>
      </c>
      <c r="K730" s="221" t="s">
        <v>302</v>
      </c>
      <c r="L730" s="220" t="s">
        <v>302</v>
      </c>
      <c r="M730" s="220" t="s">
        <v>302</v>
      </c>
      <c r="N730" s="221" t="s">
        <v>2</v>
      </c>
      <c r="O730" s="222" t="s">
        <v>2</v>
      </c>
      <c r="P730" s="222" t="s">
        <v>2</v>
      </c>
      <c r="Q730" s="222" t="s">
        <v>15</v>
      </c>
      <c r="R730" s="222" t="s">
        <v>15</v>
      </c>
      <c r="S730" s="222" t="s">
        <v>16</v>
      </c>
      <c r="T730" s="222" t="s">
        <v>349</v>
      </c>
      <c r="U730" s="222" t="s">
        <v>269</v>
      </c>
      <c r="V730" s="222" t="s">
        <v>2</v>
      </c>
      <c r="W730" s="223" t="s">
        <v>302</v>
      </c>
      <c r="X730" s="223" t="s">
        <v>302</v>
      </c>
      <c r="Y730" s="224" t="s">
        <v>302</v>
      </c>
    </row>
    <row r="731" spans="1:25">
      <c r="A731" s="216">
        <v>14</v>
      </c>
      <c r="B731" s="217" t="str">
        <f>VLOOKUP(Tabel10[[#This Row],[Code]],Ruimtegroepen[[Code]:[Ruimte omschrijving]],2,FALSE)</f>
        <v>Praktijklokalen binas/zorg</v>
      </c>
      <c r="C731" s="218" t="s">
        <v>907</v>
      </c>
      <c r="D731" s="217" t="s">
        <v>29</v>
      </c>
      <c r="E731" s="219" t="s">
        <v>100</v>
      </c>
      <c r="F731" s="218" t="s">
        <v>909</v>
      </c>
      <c r="G731" s="263" t="s">
        <v>302</v>
      </c>
      <c r="H731" s="221" t="s">
        <v>2</v>
      </c>
      <c r="I731" s="220" t="s">
        <v>302</v>
      </c>
      <c r="J731" s="221" t="s">
        <v>302</v>
      </c>
      <c r="K731" s="221" t="s">
        <v>302</v>
      </c>
      <c r="L731" s="220" t="s">
        <v>302</v>
      </c>
      <c r="M731" s="220" t="s">
        <v>302</v>
      </c>
      <c r="N731" s="221" t="s">
        <v>2</v>
      </c>
      <c r="O731" s="222" t="s">
        <v>2</v>
      </c>
      <c r="P731" s="222" t="s">
        <v>2</v>
      </c>
      <c r="Q731" s="222" t="s">
        <v>15</v>
      </c>
      <c r="R731" s="222" t="s">
        <v>15</v>
      </c>
      <c r="S731" s="222" t="s">
        <v>16</v>
      </c>
      <c r="T731" s="222" t="s">
        <v>349</v>
      </c>
      <c r="U731" s="222" t="s">
        <v>269</v>
      </c>
      <c r="V731" s="222" t="s">
        <v>2</v>
      </c>
      <c r="W731" s="223" t="s">
        <v>302</v>
      </c>
      <c r="X731" s="223" t="s">
        <v>302</v>
      </c>
      <c r="Y731" s="224" t="s">
        <v>302</v>
      </c>
    </row>
    <row r="732" spans="1:25">
      <c r="A732" s="216">
        <v>14</v>
      </c>
      <c r="B732" s="217" t="str">
        <f>VLOOKUP(Tabel10[[#This Row],[Code]],Ruimtegroepen[[Code]:[Ruimte omschrijving]],2,FALSE)</f>
        <v>Praktijklokalen binas/zorg</v>
      </c>
      <c r="C732" s="218" t="s">
        <v>907</v>
      </c>
      <c r="D732" s="217" t="s">
        <v>29</v>
      </c>
      <c r="E732" s="219" t="s">
        <v>102</v>
      </c>
      <c r="F732" s="218" t="s">
        <v>910</v>
      </c>
      <c r="G732" s="263" t="s">
        <v>302</v>
      </c>
      <c r="H732" s="220" t="s">
        <v>302</v>
      </c>
      <c r="I732" s="221" t="s">
        <v>2</v>
      </c>
      <c r="J732" s="221" t="s">
        <v>302</v>
      </c>
      <c r="K732" s="221" t="s">
        <v>2</v>
      </c>
      <c r="L732" s="220" t="s">
        <v>302</v>
      </c>
      <c r="M732" s="220" t="s">
        <v>302</v>
      </c>
      <c r="N732" s="221" t="s">
        <v>2</v>
      </c>
      <c r="O732" s="222" t="s">
        <v>2</v>
      </c>
      <c r="P732" s="222" t="s">
        <v>2</v>
      </c>
      <c r="Q732" s="222" t="s">
        <v>15</v>
      </c>
      <c r="R732" s="222" t="s">
        <v>15</v>
      </c>
      <c r="S732" s="222" t="s">
        <v>16</v>
      </c>
      <c r="T732" s="222" t="s">
        <v>349</v>
      </c>
      <c r="U732" s="222" t="s">
        <v>269</v>
      </c>
      <c r="V732" s="222" t="s">
        <v>2</v>
      </c>
      <c r="W732" s="223" t="s">
        <v>302</v>
      </c>
      <c r="X732" s="223" t="s">
        <v>302</v>
      </c>
      <c r="Y732" s="224" t="s">
        <v>302</v>
      </c>
    </row>
    <row r="733" spans="1:25">
      <c r="A733" s="216">
        <v>14</v>
      </c>
      <c r="B733" s="217" t="str">
        <f>VLOOKUP(Tabel10[[#This Row],[Code]],Ruimtegroepen[[Code]:[Ruimte omschrijving]],2,FALSE)</f>
        <v>Praktijklokalen binas/zorg</v>
      </c>
      <c r="C733" s="218" t="s">
        <v>907</v>
      </c>
      <c r="D733" s="217" t="s">
        <v>29</v>
      </c>
      <c r="E733" s="219" t="s">
        <v>103</v>
      </c>
      <c r="F733" s="218" t="s">
        <v>911</v>
      </c>
      <c r="G733" s="263" t="s">
        <v>302</v>
      </c>
      <c r="H733" s="220" t="s">
        <v>302</v>
      </c>
      <c r="I733" s="221" t="s">
        <v>2</v>
      </c>
      <c r="J733" s="221" t="s">
        <v>302</v>
      </c>
      <c r="K733" s="221" t="s">
        <v>2</v>
      </c>
      <c r="L733" s="220" t="s">
        <v>302</v>
      </c>
      <c r="M733" s="220" t="s">
        <v>302</v>
      </c>
      <c r="N733" s="221" t="s">
        <v>2</v>
      </c>
      <c r="O733" s="222" t="s">
        <v>2</v>
      </c>
      <c r="P733" s="222" t="s">
        <v>2</v>
      </c>
      <c r="Q733" s="222" t="s">
        <v>15</v>
      </c>
      <c r="R733" s="222" t="s">
        <v>15</v>
      </c>
      <c r="S733" s="222" t="s">
        <v>16</v>
      </c>
      <c r="T733" s="222" t="s">
        <v>349</v>
      </c>
      <c r="U733" s="222" t="s">
        <v>269</v>
      </c>
      <c r="V733" s="222" t="s">
        <v>2</v>
      </c>
      <c r="W733" s="223" t="s">
        <v>302</v>
      </c>
      <c r="X733" s="223" t="s">
        <v>302</v>
      </c>
      <c r="Y733" s="224" t="s">
        <v>302</v>
      </c>
    </row>
    <row r="734" spans="1:25">
      <c r="A734" s="216">
        <v>14</v>
      </c>
      <c r="B734" s="217" t="str">
        <f>VLOOKUP(Tabel10[[#This Row],[Code]],Ruimtegroepen[[Code]:[Ruimte omschrijving]],2,FALSE)</f>
        <v>Praktijklokalen binas/zorg</v>
      </c>
      <c r="C734" s="218" t="s">
        <v>907</v>
      </c>
      <c r="D734" s="217" t="s">
        <v>29</v>
      </c>
      <c r="E734" s="219" t="s">
        <v>100</v>
      </c>
      <c r="F734" s="218" t="s">
        <v>909</v>
      </c>
      <c r="G734" s="263" t="s">
        <v>302</v>
      </c>
      <c r="H734" s="221" t="s">
        <v>2</v>
      </c>
      <c r="I734" s="220" t="s">
        <v>302</v>
      </c>
      <c r="J734" s="221" t="s">
        <v>302</v>
      </c>
      <c r="K734" s="221" t="s">
        <v>302</v>
      </c>
      <c r="L734" s="220" t="s">
        <v>302</v>
      </c>
      <c r="M734" s="220" t="s">
        <v>302</v>
      </c>
      <c r="N734" s="221" t="s">
        <v>2</v>
      </c>
      <c r="O734" s="222" t="s">
        <v>2</v>
      </c>
      <c r="P734" s="222" t="s">
        <v>2</v>
      </c>
      <c r="Q734" s="222" t="s">
        <v>15</v>
      </c>
      <c r="R734" s="222" t="s">
        <v>15</v>
      </c>
      <c r="S734" s="222" t="s">
        <v>16</v>
      </c>
      <c r="T734" s="222" t="s">
        <v>349</v>
      </c>
      <c r="U734" s="222" t="s">
        <v>269</v>
      </c>
      <c r="V734" s="222" t="s">
        <v>2</v>
      </c>
      <c r="W734" s="223" t="s">
        <v>302</v>
      </c>
      <c r="X734" s="223" t="s">
        <v>302</v>
      </c>
      <c r="Y734" s="224" t="s">
        <v>302</v>
      </c>
    </row>
    <row r="735" spans="1:25">
      <c r="A735" s="216">
        <v>14</v>
      </c>
      <c r="B735" s="217" t="str">
        <f>VLOOKUP(Tabel10[[#This Row],[Code]],Ruimtegroepen[[Code]:[Ruimte omschrijving]],2,FALSE)</f>
        <v>Praktijklokalen binas/zorg</v>
      </c>
      <c r="C735" s="218" t="s">
        <v>907</v>
      </c>
      <c r="D735" s="217" t="s">
        <v>29</v>
      </c>
      <c r="E735" s="219" t="s">
        <v>1325</v>
      </c>
      <c r="F735" s="218" t="s">
        <v>1503</v>
      </c>
      <c r="G735" s="263" t="s">
        <v>302</v>
      </c>
      <c r="H735" s="220" t="s">
        <v>302</v>
      </c>
      <c r="I735" s="221" t="s">
        <v>2</v>
      </c>
      <c r="J735" s="221" t="s">
        <v>302</v>
      </c>
      <c r="K735" s="221" t="s">
        <v>2</v>
      </c>
      <c r="L735" s="220" t="s">
        <v>302</v>
      </c>
      <c r="M735" s="220" t="s">
        <v>302</v>
      </c>
      <c r="N735" s="221" t="s">
        <v>2</v>
      </c>
      <c r="O735" s="222" t="s">
        <v>2</v>
      </c>
      <c r="P735" s="222" t="s">
        <v>2</v>
      </c>
      <c r="Q735" s="222" t="s">
        <v>15</v>
      </c>
      <c r="R735" s="222" t="s">
        <v>15</v>
      </c>
      <c r="S735" s="222" t="s">
        <v>16</v>
      </c>
      <c r="T735" s="222" t="s">
        <v>349</v>
      </c>
      <c r="U735" s="222" t="s">
        <v>269</v>
      </c>
      <c r="V735" s="222" t="s">
        <v>2</v>
      </c>
      <c r="W735" s="223" t="s">
        <v>302</v>
      </c>
      <c r="X735" s="223" t="s">
        <v>302</v>
      </c>
      <c r="Y735" s="224" t="s">
        <v>302</v>
      </c>
    </row>
    <row r="736" spans="1:25">
      <c r="A736" s="216">
        <v>14</v>
      </c>
      <c r="B736" s="217" t="str">
        <f>VLOOKUP(Tabel10[[#This Row],[Code]],Ruimtegroepen[[Code]:[Ruimte omschrijving]],2,FALSE)</f>
        <v>Praktijklokalen binas/zorg</v>
      </c>
      <c r="C736" s="218" t="s">
        <v>912</v>
      </c>
      <c r="D736" s="217" t="s">
        <v>1</v>
      </c>
      <c r="E736" s="219" t="s">
        <v>101</v>
      </c>
      <c r="F736" s="218" t="s">
        <v>913</v>
      </c>
      <c r="G736" s="263" t="s">
        <v>302</v>
      </c>
      <c r="H736" s="220" t="s">
        <v>302</v>
      </c>
      <c r="I736" s="220" t="s">
        <v>302</v>
      </c>
      <c r="J736" s="220" t="s">
        <v>2</v>
      </c>
      <c r="K736" s="221" t="s">
        <v>302</v>
      </c>
      <c r="L736" s="220" t="s">
        <v>302</v>
      </c>
      <c r="M736" s="220" t="s">
        <v>302</v>
      </c>
      <c r="N736" s="221" t="s">
        <v>302</v>
      </c>
      <c r="O736" s="222" t="s">
        <v>2</v>
      </c>
      <c r="P736" s="222" t="s">
        <v>2</v>
      </c>
      <c r="Q736" s="222" t="s">
        <v>15</v>
      </c>
      <c r="R736" s="222" t="s">
        <v>15</v>
      </c>
      <c r="S736" s="222" t="s">
        <v>16</v>
      </c>
      <c r="T736" s="222" t="s">
        <v>349</v>
      </c>
      <c r="U736" s="222" t="s">
        <v>269</v>
      </c>
      <c r="V736" s="222" t="s">
        <v>302</v>
      </c>
      <c r="W736" s="223" t="s">
        <v>302</v>
      </c>
      <c r="X736" s="223" t="s">
        <v>302</v>
      </c>
      <c r="Y736" s="224" t="s">
        <v>302</v>
      </c>
    </row>
    <row r="737" spans="1:25">
      <c r="A737" s="216">
        <v>14</v>
      </c>
      <c r="B737" s="217" t="str">
        <f>VLOOKUP(Tabel10[[#This Row],[Code]],Ruimtegroepen[[Code]:[Ruimte omschrijving]],2,FALSE)</f>
        <v>Praktijklokalen binas/zorg</v>
      </c>
      <c r="C737" s="218" t="s">
        <v>912</v>
      </c>
      <c r="D737" s="217" t="s">
        <v>1</v>
      </c>
      <c r="E737" s="219" t="s">
        <v>100</v>
      </c>
      <c r="F737" s="218" t="s">
        <v>914</v>
      </c>
      <c r="G737" s="263" t="s">
        <v>302</v>
      </c>
      <c r="H737" s="221" t="s">
        <v>2</v>
      </c>
      <c r="I737" s="220" t="s">
        <v>302</v>
      </c>
      <c r="J737" s="221" t="s">
        <v>302</v>
      </c>
      <c r="K737" s="221" t="s">
        <v>302</v>
      </c>
      <c r="L737" s="220" t="s">
        <v>302</v>
      </c>
      <c r="M737" s="220" t="s">
        <v>302</v>
      </c>
      <c r="N737" s="221" t="s">
        <v>302</v>
      </c>
      <c r="O737" s="222" t="s">
        <v>2</v>
      </c>
      <c r="P737" s="222" t="s">
        <v>2</v>
      </c>
      <c r="Q737" s="222" t="s">
        <v>15</v>
      </c>
      <c r="R737" s="222" t="s">
        <v>15</v>
      </c>
      <c r="S737" s="222" t="s">
        <v>16</v>
      </c>
      <c r="T737" s="222" t="s">
        <v>349</v>
      </c>
      <c r="U737" s="222" t="s">
        <v>269</v>
      </c>
      <c r="V737" s="222" t="s">
        <v>302</v>
      </c>
      <c r="W737" s="223" t="s">
        <v>302</v>
      </c>
      <c r="X737" s="223" t="s">
        <v>302</v>
      </c>
      <c r="Y737" s="224" t="s">
        <v>302</v>
      </c>
    </row>
    <row r="738" spans="1:25">
      <c r="A738" s="216">
        <v>14</v>
      </c>
      <c r="B738" s="217" t="str">
        <f>VLOOKUP(Tabel10[[#This Row],[Code]],Ruimtegroepen[[Code]:[Ruimte omschrijving]],2,FALSE)</f>
        <v>Praktijklokalen binas/zorg</v>
      </c>
      <c r="C738" s="218" t="s">
        <v>912</v>
      </c>
      <c r="D738" s="217" t="s">
        <v>1</v>
      </c>
      <c r="E738" s="219" t="s">
        <v>102</v>
      </c>
      <c r="F738" s="218" t="s">
        <v>915</v>
      </c>
      <c r="G738" s="263" t="s">
        <v>302</v>
      </c>
      <c r="H738" s="220" t="s">
        <v>302</v>
      </c>
      <c r="I738" s="221" t="s">
        <v>2</v>
      </c>
      <c r="J738" s="221" t="s">
        <v>302</v>
      </c>
      <c r="K738" s="221" t="s">
        <v>2</v>
      </c>
      <c r="L738" s="220" t="s">
        <v>302</v>
      </c>
      <c r="M738" s="220" t="s">
        <v>302</v>
      </c>
      <c r="N738" s="221" t="s">
        <v>302</v>
      </c>
      <c r="O738" s="222" t="s">
        <v>2</v>
      </c>
      <c r="P738" s="222" t="s">
        <v>2</v>
      </c>
      <c r="Q738" s="222" t="s">
        <v>15</v>
      </c>
      <c r="R738" s="222" t="s">
        <v>15</v>
      </c>
      <c r="S738" s="222" t="s">
        <v>16</v>
      </c>
      <c r="T738" s="222" t="s">
        <v>349</v>
      </c>
      <c r="U738" s="222" t="s">
        <v>269</v>
      </c>
      <c r="V738" s="222" t="s">
        <v>302</v>
      </c>
      <c r="W738" s="223" t="s">
        <v>302</v>
      </c>
      <c r="X738" s="223" t="s">
        <v>302</v>
      </c>
      <c r="Y738" s="224" t="s">
        <v>302</v>
      </c>
    </row>
    <row r="739" spans="1:25">
      <c r="A739" s="216">
        <v>14</v>
      </c>
      <c r="B739" s="217" t="str">
        <f>VLOOKUP(Tabel10[[#This Row],[Code]],Ruimtegroepen[[Code]:[Ruimte omschrijving]],2,FALSE)</f>
        <v>Praktijklokalen binas/zorg</v>
      </c>
      <c r="C739" s="218" t="s">
        <v>912</v>
      </c>
      <c r="D739" s="217" t="s">
        <v>1</v>
      </c>
      <c r="E739" s="219" t="s">
        <v>103</v>
      </c>
      <c r="F739" s="218" t="s">
        <v>916</v>
      </c>
      <c r="G739" s="263" t="s">
        <v>302</v>
      </c>
      <c r="H739" s="220" t="s">
        <v>302</v>
      </c>
      <c r="I739" s="221" t="s">
        <v>2</v>
      </c>
      <c r="J739" s="221" t="s">
        <v>302</v>
      </c>
      <c r="K739" s="221" t="s">
        <v>2</v>
      </c>
      <c r="L739" s="220" t="s">
        <v>302</v>
      </c>
      <c r="M739" s="220" t="s">
        <v>302</v>
      </c>
      <c r="N739" s="221" t="s">
        <v>302</v>
      </c>
      <c r="O739" s="222" t="s">
        <v>2</v>
      </c>
      <c r="P739" s="222" t="s">
        <v>2</v>
      </c>
      <c r="Q739" s="222" t="s">
        <v>15</v>
      </c>
      <c r="R739" s="222" t="s">
        <v>15</v>
      </c>
      <c r="S739" s="222" t="s">
        <v>16</v>
      </c>
      <c r="T739" s="222" t="s">
        <v>349</v>
      </c>
      <c r="U739" s="222" t="s">
        <v>269</v>
      </c>
      <c r="V739" s="222" t="s">
        <v>302</v>
      </c>
      <c r="W739" s="223" t="s">
        <v>302</v>
      </c>
      <c r="X739" s="223" t="s">
        <v>302</v>
      </c>
      <c r="Y739" s="224" t="s">
        <v>302</v>
      </c>
    </row>
    <row r="740" spans="1:25">
      <c r="A740" s="216">
        <v>14</v>
      </c>
      <c r="B740" s="217" t="str">
        <f>VLOOKUP(Tabel10[[#This Row],[Code]],Ruimtegroepen[[Code]:[Ruimte omschrijving]],2,FALSE)</f>
        <v>Praktijklokalen binas/zorg</v>
      </c>
      <c r="C740" s="218" t="s">
        <v>912</v>
      </c>
      <c r="D740" s="217" t="s">
        <v>1</v>
      </c>
      <c r="E740" s="219" t="s">
        <v>100</v>
      </c>
      <c r="F740" s="218" t="s">
        <v>914</v>
      </c>
      <c r="G740" s="263" t="s">
        <v>302</v>
      </c>
      <c r="H740" s="221" t="s">
        <v>2</v>
      </c>
      <c r="I740" s="220" t="s">
        <v>302</v>
      </c>
      <c r="J740" s="221" t="s">
        <v>302</v>
      </c>
      <c r="K740" s="221" t="s">
        <v>302</v>
      </c>
      <c r="L740" s="220" t="s">
        <v>302</v>
      </c>
      <c r="M740" s="220" t="s">
        <v>302</v>
      </c>
      <c r="N740" s="221" t="s">
        <v>302</v>
      </c>
      <c r="O740" s="222" t="s">
        <v>2</v>
      </c>
      <c r="P740" s="222" t="s">
        <v>2</v>
      </c>
      <c r="Q740" s="222" t="s">
        <v>15</v>
      </c>
      <c r="R740" s="222" t="s">
        <v>15</v>
      </c>
      <c r="S740" s="222" t="s">
        <v>16</v>
      </c>
      <c r="T740" s="222" t="s">
        <v>349</v>
      </c>
      <c r="U740" s="222" t="s">
        <v>269</v>
      </c>
      <c r="V740" s="222" t="s">
        <v>302</v>
      </c>
      <c r="W740" s="223" t="s">
        <v>302</v>
      </c>
      <c r="X740" s="223" t="s">
        <v>302</v>
      </c>
      <c r="Y740" s="224" t="s">
        <v>302</v>
      </c>
    </row>
    <row r="741" spans="1:25">
      <c r="A741" s="216">
        <v>14</v>
      </c>
      <c r="B741" s="217" t="str">
        <f>VLOOKUP(Tabel10[[#This Row],[Code]],Ruimtegroepen[[Code]:[Ruimte omschrijving]],2,FALSE)</f>
        <v>Praktijklokalen binas/zorg</v>
      </c>
      <c r="C741" s="218" t="s">
        <v>912</v>
      </c>
      <c r="D741" s="217" t="s">
        <v>1</v>
      </c>
      <c r="E741" s="219" t="s">
        <v>1325</v>
      </c>
      <c r="F741" s="218" t="s">
        <v>1487</v>
      </c>
      <c r="G741" s="263" t="s">
        <v>302</v>
      </c>
      <c r="H741" s="220" t="s">
        <v>302</v>
      </c>
      <c r="I741" s="221" t="s">
        <v>2</v>
      </c>
      <c r="J741" s="221" t="s">
        <v>302</v>
      </c>
      <c r="K741" s="221" t="s">
        <v>2</v>
      </c>
      <c r="L741" s="220" t="s">
        <v>302</v>
      </c>
      <c r="M741" s="220" t="s">
        <v>302</v>
      </c>
      <c r="N741" s="221" t="s">
        <v>302</v>
      </c>
      <c r="O741" s="222" t="s">
        <v>2</v>
      </c>
      <c r="P741" s="222" t="s">
        <v>2</v>
      </c>
      <c r="Q741" s="222" t="s">
        <v>15</v>
      </c>
      <c r="R741" s="222" t="s">
        <v>15</v>
      </c>
      <c r="S741" s="222" t="s">
        <v>16</v>
      </c>
      <c r="T741" s="222" t="s">
        <v>349</v>
      </c>
      <c r="U741" s="222" t="s">
        <v>269</v>
      </c>
      <c r="V741" s="222" t="s">
        <v>302</v>
      </c>
      <c r="W741" s="223" t="s">
        <v>302</v>
      </c>
      <c r="X741" s="223" t="s">
        <v>302</v>
      </c>
      <c r="Y741" s="224" t="s">
        <v>302</v>
      </c>
    </row>
    <row r="742" spans="1:25">
      <c r="A742" s="216">
        <v>14</v>
      </c>
      <c r="B742" s="217" t="str">
        <f>VLOOKUP(Tabel10[[#This Row],[Code]],Ruimtegroepen[[Code]:[Ruimte omschrijving]],2,FALSE)</f>
        <v>Praktijklokalen binas/zorg</v>
      </c>
      <c r="C742" s="218" t="s">
        <v>917</v>
      </c>
      <c r="D742" s="217" t="s">
        <v>21</v>
      </c>
      <c r="E742" s="219" t="s">
        <v>101</v>
      </c>
      <c r="F742" s="218" t="s">
        <v>918</v>
      </c>
      <c r="G742" s="263" t="s">
        <v>302</v>
      </c>
      <c r="H742" s="220" t="s">
        <v>302</v>
      </c>
      <c r="I742" s="220" t="s">
        <v>302</v>
      </c>
      <c r="J742" s="220" t="s">
        <v>20</v>
      </c>
      <c r="K742" s="221" t="s">
        <v>302</v>
      </c>
      <c r="L742" s="220" t="s">
        <v>302</v>
      </c>
      <c r="M742" s="220" t="s">
        <v>302</v>
      </c>
      <c r="N742" s="221" t="s">
        <v>302</v>
      </c>
      <c r="O742" s="222" t="s">
        <v>20</v>
      </c>
      <c r="P742" s="222" t="s">
        <v>20</v>
      </c>
      <c r="Q742" s="222" t="s">
        <v>15</v>
      </c>
      <c r="R742" s="222" t="s">
        <v>15</v>
      </c>
      <c r="S742" s="222" t="s">
        <v>16</v>
      </c>
      <c r="T742" s="222" t="s">
        <v>349</v>
      </c>
      <c r="U742" s="222" t="s">
        <v>269</v>
      </c>
      <c r="V742" s="222" t="s">
        <v>302</v>
      </c>
      <c r="W742" s="223" t="s">
        <v>302</v>
      </c>
      <c r="X742" s="223" t="s">
        <v>302</v>
      </c>
      <c r="Y742" s="224" t="s">
        <v>302</v>
      </c>
    </row>
    <row r="743" spans="1:25">
      <c r="A743" s="216">
        <v>14</v>
      </c>
      <c r="B743" s="217" t="str">
        <f>VLOOKUP(Tabel10[[#This Row],[Code]],Ruimtegroepen[[Code]:[Ruimte omschrijving]],2,FALSE)</f>
        <v>Praktijklokalen binas/zorg</v>
      </c>
      <c r="C743" s="218" t="s">
        <v>917</v>
      </c>
      <c r="D743" s="217" t="s">
        <v>21</v>
      </c>
      <c r="E743" s="219" t="s">
        <v>100</v>
      </c>
      <c r="F743" s="218" t="s">
        <v>919</v>
      </c>
      <c r="G743" s="263" t="s">
        <v>302</v>
      </c>
      <c r="H743" s="221" t="s">
        <v>20</v>
      </c>
      <c r="I743" s="220" t="s">
        <v>302</v>
      </c>
      <c r="J743" s="221" t="s">
        <v>302</v>
      </c>
      <c r="K743" s="221" t="s">
        <v>302</v>
      </c>
      <c r="L743" s="220" t="s">
        <v>302</v>
      </c>
      <c r="M743" s="220" t="s">
        <v>302</v>
      </c>
      <c r="N743" s="221" t="s">
        <v>302</v>
      </c>
      <c r="O743" s="222" t="s">
        <v>20</v>
      </c>
      <c r="P743" s="222" t="s">
        <v>20</v>
      </c>
      <c r="Q743" s="222" t="s">
        <v>15</v>
      </c>
      <c r="R743" s="222" t="s">
        <v>15</v>
      </c>
      <c r="S743" s="222" t="s">
        <v>16</v>
      </c>
      <c r="T743" s="222" t="s">
        <v>349</v>
      </c>
      <c r="U743" s="222" t="s">
        <v>269</v>
      </c>
      <c r="V743" s="222" t="s">
        <v>302</v>
      </c>
      <c r="W743" s="223" t="s">
        <v>302</v>
      </c>
      <c r="X743" s="223" t="s">
        <v>302</v>
      </c>
      <c r="Y743" s="224" t="s">
        <v>302</v>
      </c>
    </row>
    <row r="744" spans="1:25">
      <c r="A744" s="216">
        <v>14</v>
      </c>
      <c r="B744" s="217" t="str">
        <f>VLOOKUP(Tabel10[[#This Row],[Code]],Ruimtegroepen[[Code]:[Ruimte omschrijving]],2,FALSE)</f>
        <v>Praktijklokalen binas/zorg</v>
      </c>
      <c r="C744" s="218" t="s">
        <v>917</v>
      </c>
      <c r="D744" s="217" t="s">
        <v>21</v>
      </c>
      <c r="E744" s="219" t="s">
        <v>102</v>
      </c>
      <c r="F744" s="218" t="s">
        <v>920</v>
      </c>
      <c r="G744" s="263" t="s">
        <v>302</v>
      </c>
      <c r="H744" s="220" t="s">
        <v>302</v>
      </c>
      <c r="I744" s="221" t="s">
        <v>20</v>
      </c>
      <c r="J744" s="221" t="s">
        <v>302</v>
      </c>
      <c r="K744" s="221" t="s">
        <v>20</v>
      </c>
      <c r="L744" s="220" t="s">
        <v>302</v>
      </c>
      <c r="M744" s="220" t="s">
        <v>302</v>
      </c>
      <c r="N744" s="221" t="s">
        <v>302</v>
      </c>
      <c r="O744" s="222" t="s">
        <v>20</v>
      </c>
      <c r="P744" s="222" t="s">
        <v>20</v>
      </c>
      <c r="Q744" s="222" t="s">
        <v>15</v>
      </c>
      <c r="R744" s="222" t="s">
        <v>15</v>
      </c>
      <c r="S744" s="222" t="s">
        <v>16</v>
      </c>
      <c r="T744" s="222" t="s">
        <v>349</v>
      </c>
      <c r="U744" s="222" t="s">
        <v>269</v>
      </c>
      <c r="V744" s="222" t="s">
        <v>302</v>
      </c>
      <c r="W744" s="223" t="s">
        <v>302</v>
      </c>
      <c r="X744" s="223" t="s">
        <v>302</v>
      </c>
      <c r="Y744" s="224" t="s">
        <v>302</v>
      </c>
    </row>
    <row r="745" spans="1:25">
      <c r="A745" s="216">
        <v>14</v>
      </c>
      <c r="B745" s="217" t="str">
        <f>VLOOKUP(Tabel10[[#This Row],[Code]],Ruimtegroepen[[Code]:[Ruimte omschrijving]],2,FALSE)</f>
        <v>Praktijklokalen binas/zorg</v>
      </c>
      <c r="C745" s="218" t="s">
        <v>917</v>
      </c>
      <c r="D745" s="217" t="s">
        <v>21</v>
      </c>
      <c r="E745" s="219" t="s">
        <v>103</v>
      </c>
      <c r="F745" s="218" t="s">
        <v>921</v>
      </c>
      <c r="G745" s="263" t="s">
        <v>302</v>
      </c>
      <c r="H745" s="220" t="s">
        <v>302</v>
      </c>
      <c r="I745" s="221" t="s">
        <v>20</v>
      </c>
      <c r="J745" s="221" t="s">
        <v>302</v>
      </c>
      <c r="K745" s="221" t="s">
        <v>20</v>
      </c>
      <c r="L745" s="220" t="s">
        <v>302</v>
      </c>
      <c r="M745" s="220" t="s">
        <v>302</v>
      </c>
      <c r="N745" s="221" t="s">
        <v>302</v>
      </c>
      <c r="O745" s="222" t="s">
        <v>20</v>
      </c>
      <c r="P745" s="222" t="s">
        <v>20</v>
      </c>
      <c r="Q745" s="222" t="s">
        <v>15</v>
      </c>
      <c r="R745" s="222" t="s">
        <v>15</v>
      </c>
      <c r="S745" s="222" t="s">
        <v>16</v>
      </c>
      <c r="T745" s="222" t="s">
        <v>349</v>
      </c>
      <c r="U745" s="222" t="s">
        <v>269</v>
      </c>
      <c r="V745" s="222" t="s">
        <v>302</v>
      </c>
      <c r="W745" s="223" t="s">
        <v>302</v>
      </c>
      <c r="X745" s="223" t="s">
        <v>302</v>
      </c>
      <c r="Y745" s="224" t="s">
        <v>302</v>
      </c>
    </row>
    <row r="746" spans="1:25">
      <c r="A746" s="216">
        <v>14</v>
      </c>
      <c r="B746" s="217" t="str">
        <f>VLOOKUP(Tabel10[[#This Row],[Code]],Ruimtegroepen[[Code]:[Ruimte omschrijving]],2,FALSE)</f>
        <v>Praktijklokalen binas/zorg</v>
      </c>
      <c r="C746" s="218" t="s">
        <v>917</v>
      </c>
      <c r="D746" s="217" t="s">
        <v>21</v>
      </c>
      <c r="E746" s="219" t="s">
        <v>100</v>
      </c>
      <c r="F746" s="218" t="s">
        <v>919</v>
      </c>
      <c r="G746" s="263" t="s">
        <v>302</v>
      </c>
      <c r="H746" s="221" t="s">
        <v>20</v>
      </c>
      <c r="I746" s="220" t="s">
        <v>302</v>
      </c>
      <c r="J746" s="221" t="s">
        <v>302</v>
      </c>
      <c r="K746" s="221" t="s">
        <v>302</v>
      </c>
      <c r="L746" s="220" t="s">
        <v>302</v>
      </c>
      <c r="M746" s="220" t="s">
        <v>302</v>
      </c>
      <c r="N746" s="221" t="s">
        <v>302</v>
      </c>
      <c r="O746" s="222" t="s">
        <v>20</v>
      </c>
      <c r="P746" s="222" t="s">
        <v>20</v>
      </c>
      <c r="Q746" s="222" t="s">
        <v>15</v>
      </c>
      <c r="R746" s="222" t="s">
        <v>15</v>
      </c>
      <c r="S746" s="222" t="s">
        <v>16</v>
      </c>
      <c r="T746" s="222" t="s">
        <v>349</v>
      </c>
      <c r="U746" s="222" t="s">
        <v>269</v>
      </c>
      <c r="V746" s="222" t="s">
        <v>302</v>
      </c>
      <c r="W746" s="223" t="s">
        <v>302</v>
      </c>
      <c r="X746" s="223" t="s">
        <v>302</v>
      </c>
      <c r="Y746" s="224" t="s">
        <v>302</v>
      </c>
    </row>
    <row r="747" spans="1:25">
      <c r="A747" s="216">
        <v>14</v>
      </c>
      <c r="B747" s="217" t="str">
        <f>VLOOKUP(Tabel10[[#This Row],[Code]],Ruimtegroepen[[Code]:[Ruimte omschrijving]],2,FALSE)</f>
        <v>Praktijklokalen binas/zorg</v>
      </c>
      <c r="C747" s="218" t="s">
        <v>917</v>
      </c>
      <c r="D747" s="217" t="s">
        <v>21</v>
      </c>
      <c r="E747" s="219" t="s">
        <v>1325</v>
      </c>
      <c r="F747" s="218" t="s">
        <v>1470</v>
      </c>
      <c r="G747" s="263" t="s">
        <v>302</v>
      </c>
      <c r="H747" s="220" t="s">
        <v>302</v>
      </c>
      <c r="I747" s="221" t="s">
        <v>20</v>
      </c>
      <c r="J747" s="221" t="s">
        <v>302</v>
      </c>
      <c r="K747" s="221" t="s">
        <v>20</v>
      </c>
      <c r="L747" s="220" t="s">
        <v>302</v>
      </c>
      <c r="M747" s="220" t="s">
        <v>302</v>
      </c>
      <c r="N747" s="221" t="s">
        <v>302</v>
      </c>
      <c r="O747" s="222" t="s">
        <v>20</v>
      </c>
      <c r="P747" s="222" t="s">
        <v>20</v>
      </c>
      <c r="Q747" s="222" t="s">
        <v>15</v>
      </c>
      <c r="R747" s="222" t="s">
        <v>15</v>
      </c>
      <c r="S747" s="222" t="s">
        <v>16</v>
      </c>
      <c r="T747" s="222" t="s">
        <v>349</v>
      </c>
      <c r="U747" s="222" t="s">
        <v>269</v>
      </c>
      <c r="V747" s="222" t="s">
        <v>302</v>
      </c>
      <c r="W747" s="223" t="s">
        <v>302</v>
      </c>
      <c r="X747" s="223" t="s">
        <v>302</v>
      </c>
      <c r="Y747" s="224" t="s">
        <v>302</v>
      </c>
    </row>
    <row r="748" spans="1:25">
      <c r="A748" s="216">
        <v>14</v>
      </c>
      <c r="B748" s="217" t="str">
        <f>VLOOKUP(Tabel10[[#This Row],[Code]],Ruimtegroepen[[Code]:[Ruimte omschrijving]],2,FALSE)</f>
        <v>Praktijklokalen binas/zorg</v>
      </c>
      <c r="C748" s="218" t="s">
        <v>922</v>
      </c>
      <c r="D748" s="217" t="s">
        <v>12</v>
      </c>
      <c r="E748" s="219" t="s">
        <v>101</v>
      </c>
      <c r="F748" s="218" t="s">
        <v>923</v>
      </c>
      <c r="G748" s="263" t="s">
        <v>302</v>
      </c>
      <c r="H748" s="220" t="s">
        <v>302</v>
      </c>
      <c r="I748" s="220" t="s">
        <v>302</v>
      </c>
      <c r="J748" s="220" t="s">
        <v>18</v>
      </c>
      <c r="K748" s="221" t="s">
        <v>302</v>
      </c>
      <c r="L748" s="220" t="s">
        <v>302</v>
      </c>
      <c r="M748" s="220" t="s">
        <v>302</v>
      </c>
      <c r="N748" s="221" t="s">
        <v>302</v>
      </c>
      <c r="O748" s="222" t="s">
        <v>18</v>
      </c>
      <c r="P748" s="222" t="s">
        <v>18</v>
      </c>
      <c r="Q748" s="222" t="s">
        <v>15</v>
      </c>
      <c r="R748" s="222" t="s">
        <v>15</v>
      </c>
      <c r="S748" s="222" t="s">
        <v>16</v>
      </c>
      <c r="T748" s="222" t="s">
        <v>349</v>
      </c>
      <c r="U748" s="222" t="s">
        <v>269</v>
      </c>
      <c r="V748" s="222" t="s">
        <v>302</v>
      </c>
      <c r="W748" s="223" t="s">
        <v>302</v>
      </c>
      <c r="X748" s="223" t="s">
        <v>302</v>
      </c>
      <c r="Y748" s="224" t="s">
        <v>302</v>
      </c>
    </row>
    <row r="749" spans="1:25">
      <c r="A749" s="216">
        <v>14</v>
      </c>
      <c r="B749" s="217" t="str">
        <f>VLOOKUP(Tabel10[[#This Row],[Code]],Ruimtegroepen[[Code]:[Ruimte omschrijving]],2,FALSE)</f>
        <v>Praktijklokalen binas/zorg</v>
      </c>
      <c r="C749" s="218" t="s">
        <v>922</v>
      </c>
      <c r="D749" s="217" t="s">
        <v>12</v>
      </c>
      <c r="E749" s="219" t="s">
        <v>100</v>
      </c>
      <c r="F749" s="218" t="s">
        <v>924</v>
      </c>
      <c r="G749" s="263" t="s">
        <v>302</v>
      </c>
      <c r="H749" s="221" t="s">
        <v>18</v>
      </c>
      <c r="I749" s="220" t="s">
        <v>302</v>
      </c>
      <c r="J749" s="221" t="s">
        <v>302</v>
      </c>
      <c r="K749" s="221" t="s">
        <v>302</v>
      </c>
      <c r="L749" s="220" t="s">
        <v>302</v>
      </c>
      <c r="M749" s="220" t="s">
        <v>302</v>
      </c>
      <c r="N749" s="221" t="s">
        <v>302</v>
      </c>
      <c r="O749" s="222" t="s">
        <v>18</v>
      </c>
      <c r="P749" s="222" t="s">
        <v>18</v>
      </c>
      <c r="Q749" s="222" t="s">
        <v>15</v>
      </c>
      <c r="R749" s="222" t="s">
        <v>15</v>
      </c>
      <c r="S749" s="222" t="s">
        <v>16</v>
      </c>
      <c r="T749" s="222" t="s">
        <v>349</v>
      </c>
      <c r="U749" s="222" t="s">
        <v>269</v>
      </c>
      <c r="V749" s="222" t="s">
        <v>302</v>
      </c>
      <c r="W749" s="223" t="s">
        <v>302</v>
      </c>
      <c r="X749" s="223" t="s">
        <v>302</v>
      </c>
      <c r="Y749" s="224" t="s">
        <v>302</v>
      </c>
    </row>
    <row r="750" spans="1:25">
      <c r="A750" s="216">
        <v>14</v>
      </c>
      <c r="B750" s="217" t="str">
        <f>VLOOKUP(Tabel10[[#This Row],[Code]],Ruimtegroepen[[Code]:[Ruimte omschrijving]],2,FALSE)</f>
        <v>Praktijklokalen binas/zorg</v>
      </c>
      <c r="C750" s="218" t="s">
        <v>922</v>
      </c>
      <c r="D750" s="217" t="s">
        <v>12</v>
      </c>
      <c r="E750" s="219" t="s">
        <v>102</v>
      </c>
      <c r="F750" s="218" t="s">
        <v>925</v>
      </c>
      <c r="G750" s="263" t="s">
        <v>302</v>
      </c>
      <c r="H750" s="220" t="s">
        <v>302</v>
      </c>
      <c r="I750" s="221" t="s">
        <v>18</v>
      </c>
      <c r="J750" s="221" t="s">
        <v>302</v>
      </c>
      <c r="K750" s="221" t="s">
        <v>18</v>
      </c>
      <c r="L750" s="220" t="s">
        <v>302</v>
      </c>
      <c r="M750" s="220" t="s">
        <v>302</v>
      </c>
      <c r="N750" s="221" t="s">
        <v>302</v>
      </c>
      <c r="O750" s="222" t="s">
        <v>18</v>
      </c>
      <c r="P750" s="222" t="s">
        <v>18</v>
      </c>
      <c r="Q750" s="222" t="s">
        <v>15</v>
      </c>
      <c r="R750" s="222" t="s">
        <v>15</v>
      </c>
      <c r="S750" s="222" t="s">
        <v>16</v>
      </c>
      <c r="T750" s="222" t="s">
        <v>349</v>
      </c>
      <c r="U750" s="222" t="s">
        <v>269</v>
      </c>
      <c r="V750" s="222" t="s">
        <v>302</v>
      </c>
      <c r="W750" s="223" t="s">
        <v>302</v>
      </c>
      <c r="X750" s="223" t="s">
        <v>302</v>
      </c>
      <c r="Y750" s="224" t="s">
        <v>302</v>
      </c>
    </row>
    <row r="751" spans="1:25">
      <c r="A751" s="216">
        <v>14</v>
      </c>
      <c r="B751" s="217" t="str">
        <f>VLOOKUP(Tabel10[[#This Row],[Code]],Ruimtegroepen[[Code]:[Ruimte omschrijving]],2,FALSE)</f>
        <v>Praktijklokalen binas/zorg</v>
      </c>
      <c r="C751" s="218" t="s">
        <v>922</v>
      </c>
      <c r="D751" s="217" t="s">
        <v>12</v>
      </c>
      <c r="E751" s="219" t="s">
        <v>103</v>
      </c>
      <c r="F751" s="218" t="s">
        <v>926</v>
      </c>
      <c r="G751" s="263" t="s">
        <v>302</v>
      </c>
      <c r="H751" s="220" t="s">
        <v>302</v>
      </c>
      <c r="I751" s="221" t="s">
        <v>18</v>
      </c>
      <c r="J751" s="221" t="s">
        <v>302</v>
      </c>
      <c r="K751" s="221" t="s">
        <v>18</v>
      </c>
      <c r="L751" s="220" t="s">
        <v>302</v>
      </c>
      <c r="M751" s="220" t="s">
        <v>302</v>
      </c>
      <c r="N751" s="221" t="s">
        <v>302</v>
      </c>
      <c r="O751" s="222" t="s">
        <v>18</v>
      </c>
      <c r="P751" s="222" t="s">
        <v>18</v>
      </c>
      <c r="Q751" s="222" t="s">
        <v>15</v>
      </c>
      <c r="R751" s="222" t="s">
        <v>15</v>
      </c>
      <c r="S751" s="222" t="s">
        <v>16</v>
      </c>
      <c r="T751" s="222" t="s">
        <v>349</v>
      </c>
      <c r="U751" s="222" t="s">
        <v>269</v>
      </c>
      <c r="V751" s="222" t="s">
        <v>302</v>
      </c>
      <c r="W751" s="223" t="s">
        <v>302</v>
      </c>
      <c r="X751" s="223" t="s">
        <v>302</v>
      </c>
      <c r="Y751" s="224" t="s">
        <v>302</v>
      </c>
    </row>
    <row r="752" spans="1:25">
      <c r="A752" s="216">
        <v>14</v>
      </c>
      <c r="B752" s="217" t="str">
        <f>VLOOKUP(Tabel10[[#This Row],[Code]],Ruimtegroepen[[Code]:[Ruimte omschrijving]],2,FALSE)</f>
        <v>Praktijklokalen binas/zorg</v>
      </c>
      <c r="C752" s="218" t="s">
        <v>922</v>
      </c>
      <c r="D752" s="217" t="s">
        <v>12</v>
      </c>
      <c r="E752" s="219" t="s">
        <v>100</v>
      </c>
      <c r="F752" s="218" t="s">
        <v>924</v>
      </c>
      <c r="G752" s="263" t="s">
        <v>302</v>
      </c>
      <c r="H752" s="221" t="s">
        <v>18</v>
      </c>
      <c r="I752" s="220" t="s">
        <v>302</v>
      </c>
      <c r="J752" s="221" t="s">
        <v>302</v>
      </c>
      <c r="K752" s="221" t="s">
        <v>302</v>
      </c>
      <c r="L752" s="220" t="s">
        <v>302</v>
      </c>
      <c r="M752" s="220" t="s">
        <v>302</v>
      </c>
      <c r="N752" s="221" t="s">
        <v>302</v>
      </c>
      <c r="O752" s="222" t="s">
        <v>18</v>
      </c>
      <c r="P752" s="222" t="s">
        <v>18</v>
      </c>
      <c r="Q752" s="222" t="s">
        <v>15</v>
      </c>
      <c r="R752" s="222" t="s">
        <v>15</v>
      </c>
      <c r="S752" s="222" t="s">
        <v>16</v>
      </c>
      <c r="T752" s="222" t="s">
        <v>349</v>
      </c>
      <c r="U752" s="222" t="s">
        <v>269</v>
      </c>
      <c r="V752" s="222" t="s">
        <v>302</v>
      </c>
      <c r="W752" s="223" t="s">
        <v>302</v>
      </c>
      <c r="X752" s="223" t="s">
        <v>302</v>
      </c>
      <c r="Y752" s="224" t="s">
        <v>302</v>
      </c>
    </row>
    <row r="753" spans="1:25">
      <c r="A753" s="216">
        <v>14</v>
      </c>
      <c r="B753" s="217" t="str">
        <f>VLOOKUP(Tabel10[[#This Row],[Code]],Ruimtegroepen[[Code]:[Ruimte omschrijving]],2,FALSE)</f>
        <v>Praktijklokalen binas/zorg</v>
      </c>
      <c r="C753" s="218" t="s">
        <v>922</v>
      </c>
      <c r="D753" s="217" t="s">
        <v>12</v>
      </c>
      <c r="E753" s="219" t="s">
        <v>1325</v>
      </c>
      <c r="F753" s="218" t="s">
        <v>1452</v>
      </c>
      <c r="G753" s="263" t="s">
        <v>302</v>
      </c>
      <c r="H753" s="220" t="s">
        <v>302</v>
      </c>
      <c r="I753" s="221" t="s">
        <v>18</v>
      </c>
      <c r="J753" s="221" t="s">
        <v>302</v>
      </c>
      <c r="K753" s="221" t="s">
        <v>18</v>
      </c>
      <c r="L753" s="220" t="s">
        <v>302</v>
      </c>
      <c r="M753" s="220" t="s">
        <v>302</v>
      </c>
      <c r="N753" s="221" t="s">
        <v>302</v>
      </c>
      <c r="O753" s="222" t="s">
        <v>18</v>
      </c>
      <c r="P753" s="222" t="s">
        <v>18</v>
      </c>
      <c r="Q753" s="222" t="s">
        <v>15</v>
      </c>
      <c r="R753" s="222" t="s">
        <v>15</v>
      </c>
      <c r="S753" s="222" t="s">
        <v>16</v>
      </c>
      <c r="T753" s="222" t="s">
        <v>349</v>
      </c>
      <c r="U753" s="222" t="s">
        <v>269</v>
      </c>
      <c r="V753" s="222" t="s">
        <v>302</v>
      </c>
      <c r="W753" s="223" t="s">
        <v>302</v>
      </c>
      <c r="X753" s="223" t="s">
        <v>302</v>
      </c>
      <c r="Y753" s="224" t="s">
        <v>302</v>
      </c>
    </row>
    <row r="754" spans="1:25">
      <c r="A754" s="216">
        <v>14</v>
      </c>
      <c r="B754" s="217" t="str">
        <f>VLOOKUP(Tabel10[[#This Row],[Code]],Ruimtegroepen[[Code]:[Ruimte omschrijving]],2,FALSE)</f>
        <v>Praktijklokalen binas/zorg</v>
      </c>
      <c r="C754" s="218" t="s">
        <v>927</v>
      </c>
      <c r="D754" s="217" t="s">
        <v>14</v>
      </c>
      <c r="E754" s="219" t="s">
        <v>101</v>
      </c>
      <c r="F754" s="218" t="s">
        <v>928</v>
      </c>
      <c r="G754" s="263" t="s">
        <v>302</v>
      </c>
      <c r="H754" s="220" t="s">
        <v>302</v>
      </c>
      <c r="I754" s="220" t="s">
        <v>302</v>
      </c>
      <c r="J754" s="220" t="s">
        <v>17</v>
      </c>
      <c r="K754" s="221" t="s">
        <v>302</v>
      </c>
      <c r="L754" s="220" t="s">
        <v>302</v>
      </c>
      <c r="M754" s="220" t="s">
        <v>302</v>
      </c>
      <c r="N754" s="221" t="s">
        <v>302</v>
      </c>
      <c r="O754" s="222" t="s">
        <v>17</v>
      </c>
      <c r="P754" s="222" t="s">
        <v>17</v>
      </c>
      <c r="Q754" s="222" t="s">
        <v>15</v>
      </c>
      <c r="R754" s="222" t="s">
        <v>15</v>
      </c>
      <c r="S754" s="222" t="s">
        <v>16</v>
      </c>
      <c r="T754" s="222" t="s">
        <v>349</v>
      </c>
      <c r="U754" s="222" t="s">
        <v>269</v>
      </c>
      <c r="V754" s="222" t="s">
        <v>302</v>
      </c>
      <c r="W754" s="223" t="s">
        <v>302</v>
      </c>
      <c r="X754" s="223" t="s">
        <v>302</v>
      </c>
      <c r="Y754" s="224" t="s">
        <v>302</v>
      </c>
    </row>
    <row r="755" spans="1:25">
      <c r="A755" s="216">
        <v>14</v>
      </c>
      <c r="B755" s="217" t="str">
        <f>VLOOKUP(Tabel10[[#This Row],[Code]],Ruimtegroepen[[Code]:[Ruimte omschrijving]],2,FALSE)</f>
        <v>Praktijklokalen binas/zorg</v>
      </c>
      <c r="C755" s="218" t="s">
        <v>927</v>
      </c>
      <c r="D755" s="217" t="s">
        <v>14</v>
      </c>
      <c r="E755" s="219" t="s">
        <v>100</v>
      </c>
      <c r="F755" s="218" t="s">
        <v>929</v>
      </c>
      <c r="G755" s="263" t="s">
        <v>302</v>
      </c>
      <c r="H755" s="221" t="s">
        <v>17</v>
      </c>
      <c r="I755" s="220" t="s">
        <v>302</v>
      </c>
      <c r="J755" s="221" t="s">
        <v>302</v>
      </c>
      <c r="K755" s="221" t="s">
        <v>302</v>
      </c>
      <c r="L755" s="220" t="s">
        <v>302</v>
      </c>
      <c r="M755" s="220" t="s">
        <v>302</v>
      </c>
      <c r="N755" s="221" t="s">
        <v>302</v>
      </c>
      <c r="O755" s="222" t="s">
        <v>17</v>
      </c>
      <c r="P755" s="222" t="s">
        <v>17</v>
      </c>
      <c r="Q755" s="222" t="s">
        <v>15</v>
      </c>
      <c r="R755" s="222" t="s">
        <v>15</v>
      </c>
      <c r="S755" s="222" t="s">
        <v>16</v>
      </c>
      <c r="T755" s="222" t="s">
        <v>349</v>
      </c>
      <c r="U755" s="222" t="s">
        <v>269</v>
      </c>
      <c r="V755" s="222" t="s">
        <v>302</v>
      </c>
      <c r="W755" s="223" t="s">
        <v>302</v>
      </c>
      <c r="X755" s="223" t="s">
        <v>302</v>
      </c>
      <c r="Y755" s="224" t="s">
        <v>302</v>
      </c>
    </row>
    <row r="756" spans="1:25">
      <c r="A756" s="216">
        <v>14</v>
      </c>
      <c r="B756" s="217" t="str">
        <f>VLOOKUP(Tabel10[[#This Row],[Code]],Ruimtegroepen[[Code]:[Ruimte omschrijving]],2,FALSE)</f>
        <v>Praktijklokalen binas/zorg</v>
      </c>
      <c r="C756" s="218" t="s">
        <v>927</v>
      </c>
      <c r="D756" s="217" t="s">
        <v>14</v>
      </c>
      <c r="E756" s="219" t="s">
        <v>102</v>
      </c>
      <c r="F756" s="218" t="s">
        <v>930</v>
      </c>
      <c r="G756" s="263" t="s">
        <v>302</v>
      </c>
      <c r="H756" s="220" t="s">
        <v>302</v>
      </c>
      <c r="I756" s="221" t="s">
        <v>17</v>
      </c>
      <c r="J756" s="221" t="s">
        <v>302</v>
      </c>
      <c r="K756" s="221" t="s">
        <v>17</v>
      </c>
      <c r="L756" s="220" t="s">
        <v>302</v>
      </c>
      <c r="M756" s="220" t="s">
        <v>302</v>
      </c>
      <c r="N756" s="221" t="s">
        <v>302</v>
      </c>
      <c r="O756" s="222" t="s">
        <v>17</v>
      </c>
      <c r="P756" s="222" t="s">
        <v>17</v>
      </c>
      <c r="Q756" s="222" t="s">
        <v>15</v>
      </c>
      <c r="R756" s="222" t="s">
        <v>15</v>
      </c>
      <c r="S756" s="222" t="s">
        <v>16</v>
      </c>
      <c r="T756" s="222" t="s">
        <v>349</v>
      </c>
      <c r="U756" s="222" t="s">
        <v>269</v>
      </c>
      <c r="V756" s="222" t="s">
        <v>302</v>
      </c>
      <c r="W756" s="223" t="s">
        <v>302</v>
      </c>
      <c r="X756" s="223" t="s">
        <v>302</v>
      </c>
      <c r="Y756" s="224" t="s">
        <v>302</v>
      </c>
    </row>
    <row r="757" spans="1:25">
      <c r="A757" s="216">
        <v>14</v>
      </c>
      <c r="B757" s="217" t="str">
        <f>VLOOKUP(Tabel10[[#This Row],[Code]],Ruimtegroepen[[Code]:[Ruimte omschrijving]],2,FALSE)</f>
        <v>Praktijklokalen binas/zorg</v>
      </c>
      <c r="C757" s="218" t="s">
        <v>927</v>
      </c>
      <c r="D757" s="217" t="s">
        <v>14</v>
      </c>
      <c r="E757" s="219" t="s">
        <v>103</v>
      </c>
      <c r="F757" s="218" t="s">
        <v>931</v>
      </c>
      <c r="G757" s="263" t="s">
        <v>302</v>
      </c>
      <c r="H757" s="220" t="s">
        <v>302</v>
      </c>
      <c r="I757" s="221" t="s">
        <v>17</v>
      </c>
      <c r="J757" s="221" t="s">
        <v>302</v>
      </c>
      <c r="K757" s="221" t="s">
        <v>17</v>
      </c>
      <c r="L757" s="220" t="s">
        <v>302</v>
      </c>
      <c r="M757" s="220" t="s">
        <v>302</v>
      </c>
      <c r="N757" s="221" t="s">
        <v>302</v>
      </c>
      <c r="O757" s="222" t="s">
        <v>17</v>
      </c>
      <c r="P757" s="222" t="s">
        <v>17</v>
      </c>
      <c r="Q757" s="222" t="s">
        <v>15</v>
      </c>
      <c r="R757" s="222" t="s">
        <v>15</v>
      </c>
      <c r="S757" s="222" t="s">
        <v>16</v>
      </c>
      <c r="T757" s="222" t="s">
        <v>349</v>
      </c>
      <c r="U757" s="222" t="s">
        <v>269</v>
      </c>
      <c r="V757" s="222" t="s">
        <v>302</v>
      </c>
      <c r="W757" s="223" t="s">
        <v>302</v>
      </c>
      <c r="X757" s="223" t="s">
        <v>302</v>
      </c>
      <c r="Y757" s="224" t="s">
        <v>302</v>
      </c>
    </row>
    <row r="758" spans="1:25">
      <c r="A758" s="216">
        <v>14</v>
      </c>
      <c r="B758" s="217" t="str">
        <f>VLOOKUP(Tabel10[[#This Row],[Code]],Ruimtegroepen[[Code]:[Ruimte omschrijving]],2,FALSE)</f>
        <v>Praktijklokalen binas/zorg</v>
      </c>
      <c r="C758" s="218" t="s">
        <v>927</v>
      </c>
      <c r="D758" s="217" t="s">
        <v>14</v>
      </c>
      <c r="E758" s="219" t="s">
        <v>100</v>
      </c>
      <c r="F758" s="218" t="s">
        <v>929</v>
      </c>
      <c r="G758" s="263" t="s">
        <v>302</v>
      </c>
      <c r="H758" s="221" t="s">
        <v>17</v>
      </c>
      <c r="I758" s="220" t="s">
        <v>302</v>
      </c>
      <c r="J758" s="221" t="s">
        <v>302</v>
      </c>
      <c r="K758" s="221" t="s">
        <v>302</v>
      </c>
      <c r="L758" s="220" t="s">
        <v>302</v>
      </c>
      <c r="M758" s="220" t="s">
        <v>302</v>
      </c>
      <c r="N758" s="221" t="s">
        <v>302</v>
      </c>
      <c r="O758" s="222" t="s">
        <v>17</v>
      </c>
      <c r="P758" s="222" t="s">
        <v>17</v>
      </c>
      <c r="Q758" s="222" t="s">
        <v>15</v>
      </c>
      <c r="R758" s="222" t="s">
        <v>15</v>
      </c>
      <c r="S758" s="222" t="s">
        <v>16</v>
      </c>
      <c r="T758" s="222" t="s">
        <v>349</v>
      </c>
      <c r="U758" s="222" t="s">
        <v>269</v>
      </c>
      <c r="V758" s="222" t="s">
        <v>302</v>
      </c>
      <c r="W758" s="223" t="s">
        <v>302</v>
      </c>
      <c r="X758" s="223" t="s">
        <v>302</v>
      </c>
      <c r="Y758" s="224" t="s">
        <v>302</v>
      </c>
    </row>
    <row r="759" spans="1:25">
      <c r="A759" s="216">
        <v>14</v>
      </c>
      <c r="B759" s="217" t="str">
        <f>VLOOKUP(Tabel10[[#This Row],[Code]],Ruimtegroepen[[Code]:[Ruimte omschrijving]],2,FALSE)</f>
        <v>Praktijklokalen binas/zorg</v>
      </c>
      <c r="C759" s="218" t="s">
        <v>927</v>
      </c>
      <c r="D759" s="217" t="s">
        <v>14</v>
      </c>
      <c r="E759" s="219" t="s">
        <v>1325</v>
      </c>
      <c r="F759" s="218" t="s">
        <v>1419</v>
      </c>
      <c r="G759" s="263" t="s">
        <v>302</v>
      </c>
      <c r="H759" s="220" t="s">
        <v>302</v>
      </c>
      <c r="I759" s="221" t="s">
        <v>17</v>
      </c>
      <c r="J759" s="221" t="s">
        <v>302</v>
      </c>
      <c r="K759" s="221" t="s">
        <v>17</v>
      </c>
      <c r="L759" s="220" t="s">
        <v>302</v>
      </c>
      <c r="M759" s="220" t="s">
        <v>302</v>
      </c>
      <c r="N759" s="221" t="s">
        <v>302</v>
      </c>
      <c r="O759" s="222" t="s">
        <v>17</v>
      </c>
      <c r="P759" s="222" t="s">
        <v>17</v>
      </c>
      <c r="Q759" s="222" t="s">
        <v>15</v>
      </c>
      <c r="R759" s="222" t="s">
        <v>15</v>
      </c>
      <c r="S759" s="222" t="s">
        <v>16</v>
      </c>
      <c r="T759" s="222" t="s">
        <v>349</v>
      </c>
      <c r="U759" s="222" t="s">
        <v>269</v>
      </c>
      <c r="V759" s="222" t="s">
        <v>302</v>
      </c>
      <c r="W759" s="223" t="s">
        <v>302</v>
      </c>
      <c r="X759" s="223" t="s">
        <v>302</v>
      </c>
      <c r="Y759" s="224" t="s">
        <v>302</v>
      </c>
    </row>
    <row r="760" spans="1:25">
      <c r="A760" s="216">
        <v>14</v>
      </c>
      <c r="B760" s="217" t="str">
        <f>VLOOKUP(Tabel10[[#This Row],[Code]],Ruimtegroepen[[Code]:[Ruimte omschrijving]],2,FALSE)</f>
        <v>Praktijklokalen binas/zorg</v>
      </c>
      <c r="C760" s="218" t="s">
        <v>932</v>
      </c>
      <c r="D760" s="217" t="s">
        <v>13</v>
      </c>
      <c r="E760" s="219" t="s">
        <v>101</v>
      </c>
      <c r="F760" s="218" t="s">
        <v>933</v>
      </c>
      <c r="G760" s="263" t="s">
        <v>302</v>
      </c>
      <c r="H760" s="220" t="s">
        <v>302</v>
      </c>
      <c r="I760" s="220" t="s">
        <v>302</v>
      </c>
      <c r="J760" s="221" t="s">
        <v>15</v>
      </c>
      <c r="K760" s="221" t="s">
        <v>302</v>
      </c>
      <c r="L760" s="220" t="s">
        <v>302</v>
      </c>
      <c r="M760" s="220" t="s">
        <v>302</v>
      </c>
      <c r="N760" s="221" t="s">
        <v>302</v>
      </c>
      <c r="O760" s="222" t="s">
        <v>15</v>
      </c>
      <c r="P760" s="222" t="s">
        <v>15</v>
      </c>
      <c r="Q760" s="222" t="s">
        <v>15</v>
      </c>
      <c r="R760" s="222" t="s">
        <v>15</v>
      </c>
      <c r="S760" s="222" t="s">
        <v>16</v>
      </c>
      <c r="T760" s="222" t="s">
        <v>349</v>
      </c>
      <c r="U760" s="222" t="s">
        <v>269</v>
      </c>
      <c r="V760" s="222" t="s">
        <v>302</v>
      </c>
      <c r="W760" s="223" t="s">
        <v>302</v>
      </c>
      <c r="X760" s="223" t="s">
        <v>302</v>
      </c>
      <c r="Y760" s="224" t="s">
        <v>302</v>
      </c>
    </row>
    <row r="761" spans="1:25">
      <c r="A761" s="216">
        <v>14</v>
      </c>
      <c r="B761" s="217" t="str">
        <f>VLOOKUP(Tabel10[[#This Row],[Code]],Ruimtegroepen[[Code]:[Ruimte omschrijving]],2,FALSE)</f>
        <v>Praktijklokalen binas/zorg</v>
      </c>
      <c r="C761" s="218" t="s">
        <v>932</v>
      </c>
      <c r="D761" s="217" t="s">
        <v>13</v>
      </c>
      <c r="E761" s="219" t="s">
        <v>100</v>
      </c>
      <c r="F761" s="218" t="s">
        <v>934</v>
      </c>
      <c r="G761" s="263" t="s">
        <v>302</v>
      </c>
      <c r="H761" s="221" t="s">
        <v>15</v>
      </c>
      <c r="I761" s="220" t="s">
        <v>302</v>
      </c>
      <c r="J761" s="221" t="s">
        <v>302</v>
      </c>
      <c r="K761" s="221" t="s">
        <v>302</v>
      </c>
      <c r="L761" s="220" t="s">
        <v>302</v>
      </c>
      <c r="M761" s="220" t="s">
        <v>302</v>
      </c>
      <c r="N761" s="221" t="s">
        <v>302</v>
      </c>
      <c r="O761" s="222" t="s">
        <v>15</v>
      </c>
      <c r="P761" s="222" t="s">
        <v>15</v>
      </c>
      <c r="Q761" s="222" t="s">
        <v>15</v>
      </c>
      <c r="R761" s="222" t="s">
        <v>15</v>
      </c>
      <c r="S761" s="222" t="s">
        <v>16</v>
      </c>
      <c r="T761" s="222" t="s">
        <v>349</v>
      </c>
      <c r="U761" s="222" t="s">
        <v>269</v>
      </c>
      <c r="V761" s="222" t="s">
        <v>302</v>
      </c>
      <c r="W761" s="223" t="s">
        <v>302</v>
      </c>
      <c r="X761" s="223" t="s">
        <v>302</v>
      </c>
      <c r="Y761" s="224" t="s">
        <v>302</v>
      </c>
    </row>
    <row r="762" spans="1:25">
      <c r="A762" s="216">
        <v>14</v>
      </c>
      <c r="B762" s="217" t="str">
        <f>VLOOKUP(Tabel10[[#This Row],[Code]],Ruimtegroepen[[Code]:[Ruimte omschrijving]],2,FALSE)</f>
        <v>Praktijklokalen binas/zorg</v>
      </c>
      <c r="C762" s="218" t="s">
        <v>932</v>
      </c>
      <c r="D762" s="217" t="s">
        <v>13</v>
      </c>
      <c r="E762" s="219" t="s">
        <v>102</v>
      </c>
      <c r="F762" s="218" t="s">
        <v>935</v>
      </c>
      <c r="G762" s="263" t="s">
        <v>302</v>
      </c>
      <c r="H762" s="220" t="s">
        <v>302</v>
      </c>
      <c r="I762" s="221" t="s">
        <v>15</v>
      </c>
      <c r="J762" s="221" t="s">
        <v>302</v>
      </c>
      <c r="K762" s="221" t="s">
        <v>15</v>
      </c>
      <c r="L762" s="220" t="s">
        <v>302</v>
      </c>
      <c r="M762" s="220" t="s">
        <v>302</v>
      </c>
      <c r="N762" s="221" t="s">
        <v>302</v>
      </c>
      <c r="O762" s="222" t="s">
        <v>15</v>
      </c>
      <c r="P762" s="222" t="s">
        <v>15</v>
      </c>
      <c r="Q762" s="222" t="s">
        <v>15</v>
      </c>
      <c r="R762" s="222" t="s">
        <v>15</v>
      </c>
      <c r="S762" s="222" t="s">
        <v>16</v>
      </c>
      <c r="T762" s="222" t="s">
        <v>349</v>
      </c>
      <c r="U762" s="222" t="s">
        <v>269</v>
      </c>
      <c r="V762" s="222" t="s">
        <v>302</v>
      </c>
      <c r="W762" s="223" t="s">
        <v>302</v>
      </c>
      <c r="X762" s="223" t="s">
        <v>302</v>
      </c>
      <c r="Y762" s="224" t="s">
        <v>302</v>
      </c>
    </row>
    <row r="763" spans="1:25">
      <c r="A763" s="216">
        <v>14</v>
      </c>
      <c r="B763" s="217" t="str">
        <f>VLOOKUP(Tabel10[[#This Row],[Code]],Ruimtegroepen[[Code]:[Ruimte omschrijving]],2,FALSE)</f>
        <v>Praktijklokalen binas/zorg</v>
      </c>
      <c r="C763" s="218" t="s">
        <v>932</v>
      </c>
      <c r="D763" s="217" t="s">
        <v>13</v>
      </c>
      <c r="E763" s="219" t="s">
        <v>103</v>
      </c>
      <c r="F763" s="218" t="s">
        <v>936</v>
      </c>
      <c r="G763" s="263" t="s">
        <v>302</v>
      </c>
      <c r="H763" s="220" t="s">
        <v>302</v>
      </c>
      <c r="I763" s="221" t="s">
        <v>15</v>
      </c>
      <c r="J763" s="221" t="s">
        <v>302</v>
      </c>
      <c r="K763" s="221" t="s">
        <v>15</v>
      </c>
      <c r="L763" s="220" t="s">
        <v>302</v>
      </c>
      <c r="M763" s="220" t="s">
        <v>302</v>
      </c>
      <c r="N763" s="221" t="s">
        <v>302</v>
      </c>
      <c r="O763" s="222" t="s">
        <v>15</v>
      </c>
      <c r="P763" s="222" t="s">
        <v>15</v>
      </c>
      <c r="Q763" s="222" t="s">
        <v>15</v>
      </c>
      <c r="R763" s="222" t="s">
        <v>15</v>
      </c>
      <c r="S763" s="222" t="s">
        <v>16</v>
      </c>
      <c r="T763" s="222" t="s">
        <v>349</v>
      </c>
      <c r="U763" s="222" t="s">
        <v>269</v>
      </c>
      <c r="V763" s="222" t="s">
        <v>302</v>
      </c>
      <c r="W763" s="223" t="s">
        <v>302</v>
      </c>
      <c r="X763" s="223" t="s">
        <v>302</v>
      </c>
      <c r="Y763" s="224" t="s">
        <v>302</v>
      </c>
    </row>
    <row r="764" spans="1:25">
      <c r="A764" s="216">
        <v>14</v>
      </c>
      <c r="B764" s="217" t="str">
        <f>VLOOKUP(Tabel10[[#This Row],[Code]],Ruimtegroepen[[Code]:[Ruimte omschrijving]],2,FALSE)</f>
        <v>Praktijklokalen binas/zorg</v>
      </c>
      <c r="C764" s="218" t="s">
        <v>932</v>
      </c>
      <c r="D764" s="217" t="s">
        <v>13</v>
      </c>
      <c r="E764" s="219" t="s">
        <v>100</v>
      </c>
      <c r="F764" s="218" t="s">
        <v>934</v>
      </c>
      <c r="G764" s="263" t="s">
        <v>302</v>
      </c>
      <c r="H764" s="221" t="s">
        <v>15</v>
      </c>
      <c r="I764" s="220" t="s">
        <v>302</v>
      </c>
      <c r="J764" s="221" t="s">
        <v>302</v>
      </c>
      <c r="K764" s="221" t="s">
        <v>302</v>
      </c>
      <c r="L764" s="220" t="s">
        <v>302</v>
      </c>
      <c r="M764" s="220" t="s">
        <v>302</v>
      </c>
      <c r="N764" s="221" t="s">
        <v>302</v>
      </c>
      <c r="O764" s="222" t="s">
        <v>15</v>
      </c>
      <c r="P764" s="222" t="s">
        <v>15</v>
      </c>
      <c r="Q764" s="222" t="s">
        <v>15</v>
      </c>
      <c r="R764" s="222" t="s">
        <v>15</v>
      </c>
      <c r="S764" s="222" t="s">
        <v>16</v>
      </c>
      <c r="T764" s="222" t="s">
        <v>349</v>
      </c>
      <c r="U764" s="222" t="s">
        <v>269</v>
      </c>
      <c r="V764" s="222" t="s">
        <v>302</v>
      </c>
      <c r="W764" s="223" t="s">
        <v>302</v>
      </c>
      <c r="X764" s="223" t="s">
        <v>302</v>
      </c>
      <c r="Y764" s="224" t="s">
        <v>302</v>
      </c>
    </row>
    <row r="765" spans="1:25">
      <c r="A765" s="216">
        <v>14</v>
      </c>
      <c r="B765" s="217" t="str">
        <f>VLOOKUP(Tabel10[[#This Row],[Code]],Ruimtegroepen[[Code]:[Ruimte omschrijving]],2,FALSE)</f>
        <v>Praktijklokalen binas/zorg</v>
      </c>
      <c r="C765" s="218" t="s">
        <v>932</v>
      </c>
      <c r="D765" s="217" t="s">
        <v>13</v>
      </c>
      <c r="E765" s="219" t="s">
        <v>1325</v>
      </c>
      <c r="F765" s="218" t="s">
        <v>1386</v>
      </c>
      <c r="G765" s="263" t="s">
        <v>302</v>
      </c>
      <c r="H765" s="220" t="s">
        <v>302</v>
      </c>
      <c r="I765" s="221" t="s">
        <v>15</v>
      </c>
      <c r="J765" s="221" t="s">
        <v>302</v>
      </c>
      <c r="K765" s="221" t="s">
        <v>15</v>
      </c>
      <c r="L765" s="220" t="s">
        <v>302</v>
      </c>
      <c r="M765" s="220" t="s">
        <v>302</v>
      </c>
      <c r="N765" s="221" t="s">
        <v>302</v>
      </c>
      <c r="O765" s="222" t="s">
        <v>15</v>
      </c>
      <c r="P765" s="222" t="s">
        <v>15</v>
      </c>
      <c r="Q765" s="222" t="s">
        <v>15</v>
      </c>
      <c r="R765" s="222" t="s">
        <v>15</v>
      </c>
      <c r="S765" s="222" t="s">
        <v>16</v>
      </c>
      <c r="T765" s="222" t="s">
        <v>349</v>
      </c>
      <c r="U765" s="222" t="s">
        <v>269</v>
      </c>
      <c r="V765" s="222" t="s">
        <v>302</v>
      </c>
      <c r="W765" s="223" t="s">
        <v>302</v>
      </c>
      <c r="X765" s="223" t="s">
        <v>302</v>
      </c>
      <c r="Y765" s="224" t="s">
        <v>302</v>
      </c>
    </row>
    <row r="766" spans="1:25">
      <c r="A766" s="216">
        <v>14</v>
      </c>
      <c r="B766" s="217" t="str">
        <f>VLOOKUP(Tabel10[[#This Row],[Code]],Ruimtegroepen[[Code]:[Ruimte omschrijving]],2,FALSE)</f>
        <v>Praktijklokalen binas/zorg</v>
      </c>
      <c r="C766" s="218" t="s">
        <v>937</v>
      </c>
      <c r="D766" s="217" t="s">
        <v>0</v>
      </c>
      <c r="E766" s="219" t="s">
        <v>101</v>
      </c>
      <c r="F766" s="218" t="s">
        <v>938</v>
      </c>
      <c r="G766" s="263" t="s">
        <v>302</v>
      </c>
      <c r="H766" s="220" t="s">
        <v>302</v>
      </c>
      <c r="I766" s="220" t="s">
        <v>302</v>
      </c>
      <c r="J766" s="221" t="s">
        <v>16</v>
      </c>
      <c r="K766" s="221" t="s">
        <v>302</v>
      </c>
      <c r="L766" s="220" t="s">
        <v>302</v>
      </c>
      <c r="M766" s="220" t="s">
        <v>302</v>
      </c>
      <c r="N766" s="221" t="s">
        <v>302</v>
      </c>
      <c r="O766" s="222" t="s">
        <v>16</v>
      </c>
      <c r="P766" s="222" t="s">
        <v>16</v>
      </c>
      <c r="Q766" s="222" t="s">
        <v>16</v>
      </c>
      <c r="R766" s="222" t="s">
        <v>16</v>
      </c>
      <c r="S766" s="222" t="s">
        <v>16</v>
      </c>
      <c r="T766" s="222" t="s">
        <v>349</v>
      </c>
      <c r="U766" s="222" t="s">
        <v>269</v>
      </c>
      <c r="V766" s="222" t="s">
        <v>302</v>
      </c>
      <c r="W766" s="223" t="s">
        <v>302</v>
      </c>
      <c r="X766" s="223" t="s">
        <v>302</v>
      </c>
      <c r="Y766" s="224" t="s">
        <v>302</v>
      </c>
    </row>
    <row r="767" spans="1:25">
      <c r="A767" s="216">
        <v>14</v>
      </c>
      <c r="B767" s="217" t="str">
        <f>VLOOKUP(Tabel10[[#This Row],[Code]],Ruimtegroepen[[Code]:[Ruimte omschrijving]],2,FALSE)</f>
        <v>Praktijklokalen binas/zorg</v>
      </c>
      <c r="C767" s="218" t="s">
        <v>937</v>
      </c>
      <c r="D767" s="217" t="s">
        <v>0</v>
      </c>
      <c r="E767" s="219" t="s">
        <v>100</v>
      </c>
      <c r="F767" s="218" t="s">
        <v>939</v>
      </c>
      <c r="G767" s="263" t="s">
        <v>302</v>
      </c>
      <c r="H767" s="221" t="s">
        <v>16</v>
      </c>
      <c r="I767" s="220" t="s">
        <v>302</v>
      </c>
      <c r="J767" s="221" t="s">
        <v>302</v>
      </c>
      <c r="K767" s="221" t="s">
        <v>302</v>
      </c>
      <c r="L767" s="220" t="s">
        <v>302</v>
      </c>
      <c r="M767" s="220" t="s">
        <v>302</v>
      </c>
      <c r="N767" s="221" t="s">
        <v>302</v>
      </c>
      <c r="O767" s="222" t="s">
        <v>16</v>
      </c>
      <c r="P767" s="222" t="s">
        <v>16</v>
      </c>
      <c r="Q767" s="222" t="s">
        <v>16</v>
      </c>
      <c r="R767" s="222" t="s">
        <v>16</v>
      </c>
      <c r="S767" s="222" t="s">
        <v>16</v>
      </c>
      <c r="T767" s="222" t="s">
        <v>349</v>
      </c>
      <c r="U767" s="222" t="s">
        <v>269</v>
      </c>
      <c r="V767" s="222" t="s">
        <v>302</v>
      </c>
      <c r="W767" s="223" t="s">
        <v>302</v>
      </c>
      <c r="X767" s="223" t="s">
        <v>302</v>
      </c>
      <c r="Y767" s="224" t="s">
        <v>302</v>
      </c>
    </row>
    <row r="768" spans="1:25">
      <c r="A768" s="216">
        <v>14</v>
      </c>
      <c r="B768" s="217" t="str">
        <f>VLOOKUP(Tabel10[[#This Row],[Code]],Ruimtegroepen[[Code]:[Ruimte omschrijving]],2,FALSE)</f>
        <v>Praktijklokalen binas/zorg</v>
      </c>
      <c r="C768" s="218" t="s">
        <v>937</v>
      </c>
      <c r="D768" s="217" t="s">
        <v>0</v>
      </c>
      <c r="E768" s="219" t="s">
        <v>102</v>
      </c>
      <c r="F768" s="218" t="s">
        <v>940</v>
      </c>
      <c r="G768" s="263" t="s">
        <v>302</v>
      </c>
      <c r="H768" s="220" t="s">
        <v>302</v>
      </c>
      <c r="I768" s="221" t="s">
        <v>16</v>
      </c>
      <c r="J768" s="221" t="s">
        <v>381</v>
      </c>
      <c r="K768" s="221" t="s">
        <v>16</v>
      </c>
      <c r="L768" s="220" t="s">
        <v>302</v>
      </c>
      <c r="M768" s="220" t="s">
        <v>302</v>
      </c>
      <c r="N768" s="221" t="s">
        <v>302</v>
      </c>
      <c r="O768" s="222" t="s">
        <v>16</v>
      </c>
      <c r="P768" s="222" t="s">
        <v>16</v>
      </c>
      <c r="Q768" s="222" t="s">
        <v>16</v>
      </c>
      <c r="R768" s="222" t="s">
        <v>16</v>
      </c>
      <c r="S768" s="222" t="s">
        <v>16</v>
      </c>
      <c r="T768" s="222" t="s">
        <v>349</v>
      </c>
      <c r="U768" s="222" t="s">
        <v>269</v>
      </c>
      <c r="V768" s="222" t="s">
        <v>302</v>
      </c>
      <c r="W768" s="223" t="s">
        <v>302</v>
      </c>
      <c r="X768" s="223" t="s">
        <v>302</v>
      </c>
      <c r="Y768" s="224" t="s">
        <v>302</v>
      </c>
    </row>
    <row r="769" spans="1:25">
      <c r="A769" s="216">
        <v>14</v>
      </c>
      <c r="B769" s="217" t="str">
        <f>VLOOKUP(Tabel10[[#This Row],[Code]],Ruimtegroepen[[Code]:[Ruimte omschrijving]],2,FALSE)</f>
        <v>Praktijklokalen binas/zorg</v>
      </c>
      <c r="C769" s="218" t="s">
        <v>937</v>
      </c>
      <c r="D769" s="217" t="s">
        <v>0</v>
      </c>
      <c r="E769" s="219" t="s">
        <v>103</v>
      </c>
      <c r="F769" s="218" t="s">
        <v>941</v>
      </c>
      <c r="G769" s="263" t="s">
        <v>302</v>
      </c>
      <c r="H769" s="220" t="s">
        <v>302</v>
      </c>
      <c r="I769" s="221" t="s">
        <v>16</v>
      </c>
      <c r="J769" s="221" t="s">
        <v>302</v>
      </c>
      <c r="K769" s="221" t="s">
        <v>16</v>
      </c>
      <c r="L769" s="220" t="s">
        <v>302</v>
      </c>
      <c r="M769" s="220" t="s">
        <v>302</v>
      </c>
      <c r="N769" s="221" t="s">
        <v>302</v>
      </c>
      <c r="O769" s="222" t="s">
        <v>16</v>
      </c>
      <c r="P769" s="222" t="s">
        <v>16</v>
      </c>
      <c r="Q769" s="222" t="s">
        <v>16</v>
      </c>
      <c r="R769" s="222" t="s">
        <v>16</v>
      </c>
      <c r="S769" s="222" t="s">
        <v>16</v>
      </c>
      <c r="T769" s="222" t="s">
        <v>349</v>
      </c>
      <c r="U769" s="222" t="s">
        <v>269</v>
      </c>
      <c r="V769" s="222" t="s">
        <v>302</v>
      </c>
      <c r="W769" s="223" t="s">
        <v>302</v>
      </c>
      <c r="X769" s="223" t="s">
        <v>302</v>
      </c>
      <c r="Y769" s="224" t="s">
        <v>302</v>
      </c>
    </row>
    <row r="770" spans="1:25">
      <c r="A770" s="216">
        <v>14</v>
      </c>
      <c r="B770" s="217" t="str">
        <f>VLOOKUP(Tabel10[[#This Row],[Code]],Ruimtegroepen[[Code]:[Ruimte omschrijving]],2,FALSE)</f>
        <v>Praktijklokalen binas/zorg</v>
      </c>
      <c r="C770" s="218" t="s">
        <v>937</v>
      </c>
      <c r="D770" s="217" t="s">
        <v>0</v>
      </c>
      <c r="E770" s="219" t="s">
        <v>100</v>
      </c>
      <c r="F770" s="218" t="s">
        <v>939</v>
      </c>
      <c r="G770" s="263" t="s">
        <v>302</v>
      </c>
      <c r="H770" s="221" t="s">
        <v>16</v>
      </c>
      <c r="I770" s="220" t="s">
        <v>302</v>
      </c>
      <c r="J770" s="221" t="s">
        <v>302</v>
      </c>
      <c r="K770" s="221" t="s">
        <v>302</v>
      </c>
      <c r="L770" s="220" t="s">
        <v>302</v>
      </c>
      <c r="M770" s="220" t="s">
        <v>302</v>
      </c>
      <c r="N770" s="221" t="s">
        <v>302</v>
      </c>
      <c r="O770" s="222" t="s">
        <v>16</v>
      </c>
      <c r="P770" s="222" t="s">
        <v>16</v>
      </c>
      <c r="Q770" s="222" t="s">
        <v>16</v>
      </c>
      <c r="R770" s="222" t="s">
        <v>16</v>
      </c>
      <c r="S770" s="222" t="s">
        <v>16</v>
      </c>
      <c r="T770" s="222" t="s">
        <v>349</v>
      </c>
      <c r="U770" s="222" t="s">
        <v>269</v>
      </c>
      <c r="V770" s="222" t="s">
        <v>302</v>
      </c>
      <c r="W770" s="223" t="s">
        <v>302</v>
      </c>
      <c r="X770" s="223" t="s">
        <v>302</v>
      </c>
      <c r="Y770" s="224" t="s">
        <v>302</v>
      </c>
    </row>
    <row r="771" spans="1:25">
      <c r="A771" s="216">
        <v>14</v>
      </c>
      <c r="B771" s="217" t="str">
        <f>VLOOKUP(Tabel10[[#This Row],[Code]],Ruimtegroepen[[Code]:[Ruimte omschrijving]],2,FALSE)</f>
        <v>Praktijklokalen binas/zorg</v>
      </c>
      <c r="C771" s="218" t="s">
        <v>937</v>
      </c>
      <c r="D771" s="217" t="s">
        <v>0</v>
      </c>
      <c r="E771" s="219" t="s">
        <v>1325</v>
      </c>
      <c r="F771" s="218" t="s">
        <v>1370</v>
      </c>
      <c r="G771" s="263" t="s">
        <v>302</v>
      </c>
      <c r="H771" s="220" t="s">
        <v>302</v>
      </c>
      <c r="I771" s="221" t="s">
        <v>16</v>
      </c>
      <c r="J771" s="221" t="s">
        <v>302</v>
      </c>
      <c r="K771" s="221" t="s">
        <v>16</v>
      </c>
      <c r="L771" s="220" t="s">
        <v>302</v>
      </c>
      <c r="M771" s="220" t="s">
        <v>302</v>
      </c>
      <c r="N771" s="221" t="s">
        <v>302</v>
      </c>
      <c r="O771" s="222" t="s">
        <v>16</v>
      </c>
      <c r="P771" s="222" t="s">
        <v>16</v>
      </c>
      <c r="Q771" s="222" t="s">
        <v>16</v>
      </c>
      <c r="R771" s="222" t="s">
        <v>16</v>
      </c>
      <c r="S771" s="222" t="s">
        <v>16</v>
      </c>
      <c r="T771" s="222" t="s">
        <v>349</v>
      </c>
      <c r="U771" s="222" t="s">
        <v>269</v>
      </c>
      <c r="V771" s="222" t="s">
        <v>302</v>
      </c>
      <c r="W771" s="223" t="s">
        <v>302</v>
      </c>
      <c r="X771" s="223" t="s">
        <v>302</v>
      </c>
      <c r="Y771" s="224" t="s">
        <v>302</v>
      </c>
    </row>
    <row r="772" spans="1:25">
      <c r="A772" s="216">
        <v>14</v>
      </c>
      <c r="B772" s="217" t="str">
        <f>VLOOKUP(Tabel10[[#This Row],[Code]],Ruimtegroepen[[Code]:[Ruimte omschrijving]],2,FALSE)</f>
        <v>Praktijklokalen binas/zorg</v>
      </c>
      <c r="C772" s="218" t="s">
        <v>942</v>
      </c>
      <c r="D772" s="217" t="s">
        <v>27</v>
      </c>
      <c r="E772" s="219" t="s">
        <v>101</v>
      </c>
      <c r="F772" s="218" t="s">
        <v>943</v>
      </c>
      <c r="G772" s="263" t="s">
        <v>302</v>
      </c>
      <c r="H772" s="220" t="s">
        <v>302</v>
      </c>
      <c r="I772" s="221" t="s">
        <v>15</v>
      </c>
      <c r="J772" s="220" t="s">
        <v>302</v>
      </c>
      <c r="K772" s="221" t="s">
        <v>302</v>
      </c>
      <c r="L772" s="220" t="s">
        <v>302</v>
      </c>
      <c r="M772" s="220" t="s">
        <v>302</v>
      </c>
      <c r="N772" s="221" t="s">
        <v>302</v>
      </c>
      <c r="O772" s="222" t="s">
        <v>15</v>
      </c>
      <c r="P772" s="222" t="s">
        <v>15</v>
      </c>
      <c r="Q772" s="222" t="s">
        <v>15</v>
      </c>
      <c r="R772" s="222" t="s">
        <v>302</v>
      </c>
      <c r="S772" s="222" t="s">
        <v>302</v>
      </c>
      <c r="T772" s="222" t="s">
        <v>302</v>
      </c>
      <c r="U772" s="222" t="s">
        <v>302</v>
      </c>
      <c r="V772" s="222" t="s">
        <v>302</v>
      </c>
      <c r="W772" s="223" t="s">
        <v>302</v>
      </c>
      <c r="X772" s="223" t="s">
        <v>302</v>
      </c>
      <c r="Y772" s="224" t="s">
        <v>302</v>
      </c>
    </row>
    <row r="773" spans="1:25">
      <c r="A773" s="216">
        <v>14</v>
      </c>
      <c r="B773" s="217" t="str">
        <f>VLOOKUP(Tabel10[[#This Row],[Code]],Ruimtegroepen[[Code]:[Ruimte omschrijving]],2,FALSE)</f>
        <v>Praktijklokalen binas/zorg</v>
      </c>
      <c r="C773" s="218" t="s">
        <v>942</v>
      </c>
      <c r="D773" s="217" t="s">
        <v>27</v>
      </c>
      <c r="E773" s="219" t="s">
        <v>100</v>
      </c>
      <c r="F773" s="218" t="s">
        <v>944</v>
      </c>
      <c r="G773" s="263" t="s">
        <v>302</v>
      </c>
      <c r="H773" s="221" t="s">
        <v>15</v>
      </c>
      <c r="I773" s="220" t="s">
        <v>302</v>
      </c>
      <c r="J773" s="221" t="s">
        <v>302</v>
      </c>
      <c r="K773" s="221" t="s">
        <v>302</v>
      </c>
      <c r="L773" s="220" t="s">
        <v>302</v>
      </c>
      <c r="M773" s="220" t="s">
        <v>302</v>
      </c>
      <c r="N773" s="221" t="s">
        <v>302</v>
      </c>
      <c r="O773" s="222" t="s">
        <v>15</v>
      </c>
      <c r="P773" s="222" t="s">
        <v>15</v>
      </c>
      <c r="Q773" s="222" t="s">
        <v>15</v>
      </c>
      <c r="R773" s="222" t="s">
        <v>302</v>
      </c>
      <c r="S773" s="222" t="s">
        <v>302</v>
      </c>
      <c r="T773" s="222" t="s">
        <v>302</v>
      </c>
      <c r="U773" s="222" t="s">
        <v>302</v>
      </c>
      <c r="V773" s="222" t="s">
        <v>302</v>
      </c>
      <c r="W773" s="223" t="s">
        <v>302</v>
      </c>
      <c r="X773" s="223" t="s">
        <v>302</v>
      </c>
      <c r="Y773" s="224" t="s">
        <v>302</v>
      </c>
    </row>
    <row r="774" spans="1:25">
      <c r="A774" s="216">
        <v>14</v>
      </c>
      <c r="B774" s="217" t="str">
        <f>VLOOKUP(Tabel10[[#This Row],[Code]],Ruimtegroepen[[Code]:[Ruimte omschrijving]],2,FALSE)</f>
        <v>Praktijklokalen binas/zorg</v>
      </c>
      <c r="C774" s="218" t="s">
        <v>942</v>
      </c>
      <c r="D774" s="217" t="s">
        <v>27</v>
      </c>
      <c r="E774" s="219" t="s">
        <v>102</v>
      </c>
      <c r="F774" s="218" t="s">
        <v>945</v>
      </c>
      <c r="G774" s="263" t="s">
        <v>302</v>
      </c>
      <c r="H774" s="220" t="s">
        <v>302</v>
      </c>
      <c r="I774" s="221" t="s">
        <v>15</v>
      </c>
      <c r="J774" s="221" t="s">
        <v>302</v>
      </c>
      <c r="K774" s="221" t="s">
        <v>302</v>
      </c>
      <c r="L774" s="220" t="s">
        <v>302</v>
      </c>
      <c r="M774" s="220" t="s">
        <v>302</v>
      </c>
      <c r="N774" s="221" t="s">
        <v>302</v>
      </c>
      <c r="O774" s="222" t="s">
        <v>15</v>
      </c>
      <c r="P774" s="222" t="s">
        <v>15</v>
      </c>
      <c r="Q774" s="222" t="s">
        <v>15</v>
      </c>
      <c r="R774" s="222" t="s">
        <v>302</v>
      </c>
      <c r="S774" s="222" t="s">
        <v>302</v>
      </c>
      <c r="T774" s="222" t="s">
        <v>302</v>
      </c>
      <c r="U774" s="222" t="s">
        <v>302</v>
      </c>
      <c r="V774" s="222" t="s">
        <v>302</v>
      </c>
      <c r="W774" s="223" t="s">
        <v>302</v>
      </c>
      <c r="X774" s="223" t="s">
        <v>302</v>
      </c>
      <c r="Y774" s="224" t="s">
        <v>302</v>
      </c>
    </row>
    <row r="775" spans="1:25">
      <c r="A775" s="216">
        <v>14</v>
      </c>
      <c r="B775" s="217" t="str">
        <f>VLOOKUP(Tabel10[[#This Row],[Code]],Ruimtegroepen[[Code]:[Ruimte omschrijving]],2,FALSE)</f>
        <v>Praktijklokalen binas/zorg</v>
      </c>
      <c r="C775" s="218" t="s">
        <v>942</v>
      </c>
      <c r="D775" s="217" t="s">
        <v>27</v>
      </c>
      <c r="E775" s="219" t="s">
        <v>103</v>
      </c>
      <c r="F775" s="218" t="s">
        <v>946</v>
      </c>
      <c r="G775" s="263" t="s">
        <v>302</v>
      </c>
      <c r="H775" s="220" t="s">
        <v>302</v>
      </c>
      <c r="I775" s="221" t="s">
        <v>15</v>
      </c>
      <c r="J775" s="221" t="s">
        <v>302</v>
      </c>
      <c r="K775" s="221" t="s">
        <v>302</v>
      </c>
      <c r="L775" s="220" t="s">
        <v>302</v>
      </c>
      <c r="M775" s="220" t="s">
        <v>302</v>
      </c>
      <c r="N775" s="221" t="s">
        <v>302</v>
      </c>
      <c r="O775" s="222" t="s">
        <v>15</v>
      </c>
      <c r="P775" s="222" t="s">
        <v>15</v>
      </c>
      <c r="Q775" s="222" t="s">
        <v>15</v>
      </c>
      <c r="R775" s="222" t="s">
        <v>302</v>
      </c>
      <c r="S775" s="222" t="s">
        <v>302</v>
      </c>
      <c r="T775" s="222" t="s">
        <v>302</v>
      </c>
      <c r="U775" s="222" t="s">
        <v>302</v>
      </c>
      <c r="V775" s="222" t="s">
        <v>302</v>
      </c>
      <c r="W775" s="223" t="s">
        <v>302</v>
      </c>
      <c r="X775" s="223" t="s">
        <v>302</v>
      </c>
      <c r="Y775" s="224" t="s">
        <v>302</v>
      </c>
    </row>
    <row r="776" spans="1:25">
      <c r="A776" s="216">
        <v>14</v>
      </c>
      <c r="B776" s="217" t="str">
        <f>VLOOKUP(Tabel10[[#This Row],[Code]],Ruimtegroepen[[Code]:[Ruimte omschrijving]],2,FALSE)</f>
        <v>Praktijklokalen binas/zorg</v>
      </c>
      <c r="C776" s="218" t="s">
        <v>942</v>
      </c>
      <c r="D776" s="217" t="s">
        <v>27</v>
      </c>
      <c r="E776" s="219" t="s">
        <v>100</v>
      </c>
      <c r="F776" s="218" t="s">
        <v>944</v>
      </c>
      <c r="G776" s="263" t="s">
        <v>302</v>
      </c>
      <c r="H776" s="221" t="s">
        <v>15</v>
      </c>
      <c r="I776" s="220" t="s">
        <v>302</v>
      </c>
      <c r="J776" s="221" t="s">
        <v>302</v>
      </c>
      <c r="K776" s="221" t="s">
        <v>302</v>
      </c>
      <c r="L776" s="220" t="s">
        <v>302</v>
      </c>
      <c r="M776" s="220" t="s">
        <v>302</v>
      </c>
      <c r="N776" s="221" t="s">
        <v>302</v>
      </c>
      <c r="O776" s="222" t="s">
        <v>15</v>
      </c>
      <c r="P776" s="222" t="s">
        <v>15</v>
      </c>
      <c r="Q776" s="222" t="s">
        <v>15</v>
      </c>
      <c r="R776" s="222" t="s">
        <v>302</v>
      </c>
      <c r="S776" s="222" t="s">
        <v>302</v>
      </c>
      <c r="T776" s="222" t="s">
        <v>302</v>
      </c>
      <c r="U776" s="222" t="s">
        <v>302</v>
      </c>
      <c r="V776" s="222" t="s">
        <v>302</v>
      </c>
      <c r="W776" s="223" t="s">
        <v>302</v>
      </c>
      <c r="X776" s="223" t="s">
        <v>302</v>
      </c>
      <c r="Y776" s="224" t="s">
        <v>302</v>
      </c>
    </row>
    <row r="777" spans="1:25">
      <c r="A777" s="216">
        <v>14</v>
      </c>
      <c r="B777" s="217" t="str">
        <f>VLOOKUP(Tabel10[[#This Row],[Code]],Ruimtegroepen[[Code]:[Ruimte omschrijving]],2,FALSE)</f>
        <v>Praktijklokalen binas/zorg</v>
      </c>
      <c r="C777" s="218" t="s">
        <v>942</v>
      </c>
      <c r="D777" s="217" t="s">
        <v>27</v>
      </c>
      <c r="E777" s="219" t="s">
        <v>1325</v>
      </c>
      <c r="F777" s="218" t="s">
        <v>1403</v>
      </c>
      <c r="G777" s="263" t="s">
        <v>302</v>
      </c>
      <c r="H777" s="220" t="s">
        <v>302</v>
      </c>
      <c r="I777" s="221" t="s">
        <v>15</v>
      </c>
      <c r="J777" s="221" t="s">
        <v>302</v>
      </c>
      <c r="K777" s="221" t="s">
        <v>302</v>
      </c>
      <c r="L777" s="220" t="s">
        <v>302</v>
      </c>
      <c r="M777" s="220" t="s">
        <v>302</v>
      </c>
      <c r="N777" s="221" t="s">
        <v>302</v>
      </c>
      <c r="O777" s="222" t="s">
        <v>15</v>
      </c>
      <c r="P777" s="222" t="s">
        <v>15</v>
      </c>
      <c r="Q777" s="222" t="s">
        <v>15</v>
      </c>
      <c r="R777" s="222" t="s">
        <v>302</v>
      </c>
      <c r="S777" s="222" t="s">
        <v>302</v>
      </c>
      <c r="T777" s="222" t="s">
        <v>302</v>
      </c>
      <c r="U777" s="222" t="s">
        <v>302</v>
      </c>
      <c r="V777" s="222" t="s">
        <v>302</v>
      </c>
      <c r="W777" s="223" t="s">
        <v>302</v>
      </c>
      <c r="X777" s="223" t="s">
        <v>302</v>
      </c>
      <c r="Y777" s="224" t="s">
        <v>302</v>
      </c>
    </row>
    <row r="778" spans="1:25">
      <c r="A778" s="216">
        <v>14</v>
      </c>
      <c r="B778" s="217" t="str">
        <f>VLOOKUP(Tabel10[[#This Row],[Code]],Ruimtegroepen[[Code]:[Ruimte omschrijving]],2,FALSE)</f>
        <v>Praktijklokalen binas/zorg</v>
      </c>
      <c r="C778" s="218" t="s">
        <v>947</v>
      </c>
      <c r="D778" s="217" t="s">
        <v>28</v>
      </c>
      <c r="E778" s="219" t="s">
        <v>101</v>
      </c>
      <c r="F778" s="218" t="s">
        <v>948</v>
      </c>
      <c r="G778" s="263" t="s">
        <v>302</v>
      </c>
      <c r="H778" s="220" t="s">
        <v>302</v>
      </c>
      <c r="I778" s="221" t="s">
        <v>17</v>
      </c>
      <c r="J778" s="220" t="s">
        <v>302</v>
      </c>
      <c r="K778" s="221" t="s">
        <v>302</v>
      </c>
      <c r="L778" s="220" t="s">
        <v>302</v>
      </c>
      <c r="M778" s="220" t="s">
        <v>302</v>
      </c>
      <c r="N778" s="221" t="s">
        <v>302</v>
      </c>
      <c r="O778" s="222" t="s">
        <v>17</v>
      </c>
      <c r="P778" s="222" t="s">
        <v>17</v>
      </c>
      <c r="Q778" s="222" t="s">
        <v>15</v>
      </c>
      <c r="R778" s="222" t="s">
        <v>302</v>
      </c>
      <c r="S778" s="222" t="s">
        <v>302</v>
      </c>
      <c r="T778" s="222" t="s">
        <v>302</v>
      </c>
      <c r="U778" s="222" t="s">
        <v>302</v>
      </c>
      <c r="V778" s="222" t="s">
        <v>302</v>
      </c>
      <c r="W778" s="223" t="s">
        <v>302</v>
      </c>
      <c r="X778" s="223" t="s">
        <v>302</v>
      </c>
      <c r="Y778" s="224" t="s">
        <v>302</v>
      </c>
    </row>
    <row r="779" spans="1:25">
      <c r="A779" s="216">
        <v>14</v>
      </c>
      <c r="B779" s="217" t="str">
        <f>VLOOKUP(Tabel10[[#This Row],[Code]],Ruimtegroepen[[Code]:[Ruimte omschrijving]],2,FALSE)</f>
        <v>Praktijklokalen binas/zorg</v>
      </c>
      <c r="C779" s="218" t="s">
        <v>947</v>
      </c>
      <c r="D779" s="217" t="s">
        <v>28</v>
      </c>
      <c r="E779" s="219" t="s">
        <v>100</v>
      </c>
      <c r="F779" s="218" t="s">
        <v>949</v>
      </c>
      <c r="G779" s="263" t="s">
        <v>302</v>
      </c>
      <c r="H779" s="221" t="s">
        <v>17</v>
      </c>
      <c r="I779" s="220" t="s">
        <v>302</v>
      </c>
      <c r="J779" s="221" t="s">
        <v>302</v>
      </c>
      <c r="K779" s="221" t="s">
        <v>302</v>
      </c>
      <c r="L779" s="220" t="s">
        <v>302</v>
      </c>
      <c r="M779" s="220" t="s">
        <v>302</v>
      </c>
      <c r="N779" s="221" t="s">
        <v>302</v>
      </c>
      <c r="O779" s="222" t="s">
        <v>17</v>
      </c>
      <c r="P779" s="222" t="s">
        <v>17</v>
      </c>
      <c r="Q779" s="222" t="s">
        <v>15</v>
      </c>
      <c r="R779" s="222" t="s">
        <v>302</v>
      </c>
      <c r="S779" s="222" t="s">
        <v>302</v>
      </c>
      <c r="T779" s="222" t="s">
        <v>302</v>
      </c>
      <c r="U779" s="222" t="s">
        <v>302</v>
      </c>
      <c r="V779" s="222" t="s">
        <v>302</v>
      </c>
      <c r="W779" s="223" t="s">
        <v>302</v>
      </c>
      <c r="X779" s="223" t="s">
        <v>302</v>
      </c>
      <c r="Y779" s="224" t="s">
        <v>302</v>
      </c>
    </row>
    <row r="780" spans="1:25">
      <c r="A780" s="216">
        <v>14</v>
      </c>
      <c r="B780" s="217" t="str">
        <f>VLOOKUP(Tabel10[[#This Row],[Code]],Ruimtegroepen[[Code]:[Ruimte omschrijving]],2,FALSE)</f>
        <v>Praktijklokalen binas/zorg</v>
      </c>
      <c r="C780" s="218" t="s">
        <v>947</v>
      </c>
      <c r="D780" s="217" t="s">
        <v>28</v>
      </c>
      <c r="E780" s="219" t="s">
        <v>102</v>
      </c>
      <c r="F780" s="218" t="s">
        <v>950</v>
      </c>
      <c r="G780" s="263" t="s">
        <v>302</v>
      </c>
      <c r="H780" s="220" t="s">
        <v>302</v>
      </c>
      <c r="I780" s="221" t="s">
        <v>17</v>
      </c>
      <c r="J780" s="221" t="s">
        <v>302</v>
      </c>
      <c r="K780" s="221" t="s">
        <v>302</v>
      </c>
      <c r="L780" s="220" t="s">
        <v>302</v>
      </c>
      <c r="M780" s="220" t="s">
        <v>302</v>
      </c>
      <c r="N780" s="221" t="s">
        <v>302</v>
      </c>
      <c r="O780" s="222" t="s">
        <v>17</v>
      </c>
      <c r="P780" s="222" t="s">
        <v>17</v>
      </c>
      <c r="Q780" s="222" t="s">
        <v>15</v>
      </c>
      <c r="R780" s="222" t="s">
        <v>302</v>
      </c>
      <c r="S780" s="222" t="s">
        <v>302</v>
      </c>
      <c r="T780" s="222" t="s">
        <v>302</v>
      </c>
      <c r="U780" s="222" t="s">
        <v>302</v>
      </c>
      <c r="V780" s="222" t="s">
        <v>302</v>
      </c>
      <c r="W780" s="223" t="s">
        <v>302</v>
      </c>
      <c r="X780" s="223" t="s">
        <v>302</v>
      </c>
      <c r="Y780" s="224" t="s">
        <v>302</v>
      </c>
    </row>
    <row r="781" spans="1:25">
      <c r="A781" s="216">
        <v>14</v>
      </c>
      <c r="B781" s="217" t="str">
        <f>VLOOKUP(Tabel10[[#This Row],[Code]],Ruimtegroepen[[Code]:[Ruimte omschrijving]],2,FALSE)</f>
        <v>Praktijklokalen binas/zorg</v>
      </c>
      <c r="C781" s="218" t="s">
        <v>947</v>
      </c>
      <c r="D781" s="217" t="s">
        <v>28</v>
      </c>
      <c r="E781" s="219" t="s">
        <v>103</v>
      </c>
      <c r="F781" s="218" t="s">
        <v>951</v>
      </c>
      <c r="G781" s="263" t="s">
        <v>302</v>
      </c>
      <c r="H781" s="220" t="s">
        <v>302</v>
      </c>
      <c r="I781" s="221" t="s">
        <v>17</v>
      </c>
      <c r="J781" s="221" t="s">
        <v>302</v>
      </c>
      <c r="K781" s="221" t="s">
        <v>302</v>
      </c>
      <c r="L781" s="220" t="s">
        <v>302</v>
      </c>
      <c r="M781" s="220" t="s">
        <v>302</v>
      </c>
      <c r="N781" s="221" t="s">
        <v>302</v>
      </c>
      <c r="O781" s="222" t="s">
        <v>17</v>
      </c>
      <c r="P781" s="222" t="s">
        <v>17</v>
      </c>
      <c r="Q781" s="222" t="s">
        <v>15</v>
      </c>
      <c r="R781" s="222" t="s">
        <v>302</v>
      </c>
      <c r="S781" s="222" t="s">
        <v>302</v>
      </c>
      <c r="T781" s="222" t="s">
        <v>302</v>
      </c>
      <c r="U781" s="222" t="s">
        <v>302</v>
      </c>
      <c r="V781" s="222" t="s">
        <v>302</v>
      </c>
      <c r="W781" s="223" t="s">
        <v>302</v>
      </c>
      <c r="X781" s="223" t="s">
        <v>302</v>
      </c>
      <c r="Y781" s="224" t="s">
        <v>302</v>
      </c>
    </row>
    <row r="782" spans="1:25">
      <c r="A782" s="216">
        <v>14</v>
      </c>
      <c r="B782" s="217" t="str">
        <f>VLOOKUP(Tabel10[[#This Row],[Code]],Ruimtegroepen[[Code]:[Ruimte omschrijving]],2,FALSE)</f>
        <v>Praktijklokalen binas/zorg</v>
      </c>
      <c r="C782" s="218" t="s">
        <v>947</v>
      </c>
      <c r="D782" s="217" t="s">
        <v>28</v>
      </c>
      <c r="E782" s="219" t="s">
        <v>100</v>
      </c>
      <c r="F782" s="218" t="s">
        <v>949</v>
      </c>
      <c r="G782" s="263" t="s">
        <v>302</v>
      </c>
      <c r="H782" s="221" t="s">
        <v>17</v>
      </c>
      <c r="I782" s="220" t="s">
        <v>302</v>
      </c>
      <c r="J782" s="221" t="s">
        <v>302</v>
      </c>
      <c r="K782" s="221" t="s">
        <v>302</v>
      </c>
      <c r="L782" s="220" t="s">
        <v>302</v>
      </c>
      <c r="M782" s="220" t="s">
        <v>302</v>
      </c>
      <c r="N782" s="221" t="s">
        <v>302</v>
      </c>
      <c r="O782" s="222" t="s">
        <v>17</v>
      </c>
      <c r="P782" s="222" t="s">
        <v>17</v>
      </c>
      <c r="Q782" s="222" t="s">
        <v>15</v>
      </c>
      <c r="R782" s="222" t="s">
        <v>302</v>
      </c>
      <c r="S782" s="222" t="s">
        <v>302</v>
      </c>
      <c r="T782" s="222" t="s">
        <v>302</v>
      </c>
      <c r="U782" s="222" t="s">
        <v>302</v>
      </c>
      <c r="V782" s="222" t="s">
        <v>302</v>
      </c>
      <c r="W782" s="223" t="s">
        <v>302</v>
      </c>
      <c r="X782" s="223" t="s">
        <v>302</v>
      </c>
      <c r="Y782" s="224" t="s">
        <v>302</v>
      </c>
    </row>
    <row r="783" spans="1:25">
      <c r="A783" s="216">
        <v>14</v>
      </c>
      <c r="B783" s="217" t="str">
        <f>VLOOKUP(Tabel10[[#This Row],[Code]],Ruimtegroepen[[Code]:[Ruimte omschrijving]],2,FALSE)</f>
        <v>Praktijklokalen binas/zorg</v>
      </c>
      <c r="C783" s="218" t="s">
        <v>947</v>
      </c>
      <c r="D783" s="217" t="s">
        <v>28</v>
      </c>
      <c r="E783" s="219" t="s">
        <v>1325</v>
      </c>
      <c r="F783" s="218" t="s">
        <v>1436</v>
      </c>
      <c r="G783" s="263" t="s">
        <v>302</v>
      </c>
      <c r="H783" s="220" t="s">
        <v>302</v>
      </c>
      <c r="I783" s="221" t="s">
        <v>17</v>
      </c>
      <c r="J783" s="221" t="s">
        <v>302</v>
      </c>
      <c r="K783" s="221" t="s">
        <v>302</v>
      </c>
      <c r="L783" s="220" t="s">
        <v>302</v>
      </c>
      <c r="M783" s="220" t="s">
        <v>302</v>
      </c>
      <c r="N783" s="221" t="s">
        <v>302</v>
      </c>
      <c r="O783" s="222" t="s">
        <v>17</v>
      </c>
      <c r="P783" s="222" t="s">
        <v>17</v>
      </c>
      <c r="Q783" s="222" t="s">
        <v>15</v>
      </c>
      <c r="R783" s="222" t="s">
        <v>302</v>
      </c>
      <c r="S783" s="222" t="s">
        <v>302</v>
      </c>
      <c r="T783" s="222" t="s">
        <v>302</v>
      </c>
      <c r="U783" s="222" t="s">
        <v>302</v>
      </c>
      <c r="V783" s="222" t="s">
        <v>302</v>
      </c>
      <c r="W783" s="223" t="s">
        <v>302</v>
      </c>
      <c r="X783" s="223" t="s">
        <v>302</v>
      </c>
      <c r="Y783" s="224" t="s">
        <v>302</v>
      </c>
    </row>
    <row r="784" spans="1:25">
      <c r="A784" s="216">
        <v>15</v>
      </c>
      <c r="B784" s="217" t="str">
        <f>VLOOKUP(Tabel10[[#This Row],[Code]],Ruimtegroepen[[Code]:[Ruimte omschrijving]],2,FALSE)</f>
        <v>Keuken/pantry</v>
      </c>
      <c r="C784" s="218" t="s">
        <v>952</v>
      </c>
      <c r="D784" s="217" t="s">
        <v>29</v>
      </c>
      <c r="E784" s="219" t="s">
        <v>101</v>
      </c>
      <c r="F784" s="218" t="s">
        <v>953</v>
      </c>
      <c r="G784" s="263" t="s">
        <v>302</v>
      </c>
      <c r="H784" s="220" t="s">
        <v>302</v>
      </c>
      <c r="I784" s="220" t="s">
        <v>302</v>
      </c>
      <c r="J784" s="220" t="s">
        <v>2</v>
      </c>
      <c r="K784" s="221" t="s">
        <v>302</v>
      </c>
      <c r="L784" s="220" t="s">
        <v>302</v>
      </c>
      <c r="M784" s="220" t="s">
        <v>302</v>
      </c>
      <c r="N784" s="221" t="s">
        <v>2</v>
      </c>
      <c r="O784" s="222" t="s">
        <v>2</v>
      </c>
      <c r="P784" s="222" t="s">
        <v>2</v>
      </c>
      <c r="Q784" s="222" t="s">
        <v>15</v>
      </c>
      <c r="R784" s="222" t="s">
        <v>15</v>
      </c>
      <c r="S784" s="222" t="s">
        <v>16</v>
      </c>
      <c r="T784" s="222" t="s">
        <v>349</v>
      </c>
      <c r="U784" s="222" t="s">
        <v>269</v>
      </c>
      <c r="V784" s="222" t="s">
        <v>2</v>
      </c>
      <c r="W784" s="223" t="s">
        <v>302</v>
      </c>
      <c r="X784" s="223" t="s">
        <v>302</v>
      </c>
      <c r="Y784" s="224" t="s">
        <v>302</v>
      </c>
    </row>
    <row r="785" spans="1:25">
      <c r="A785" s="216">
        <v>15</v>
      </c>
      <c r="B785" s="217" t="str">
        <f>VLOOKUP(Tabel10[[#This Row],[Code]],Ruimtegroepen[[Code]:[Ruimte omschrijving]],2,FALSE)</f>
        <v>Keuken/pantry</v>
      </c>
      <c r="C785" s="218" t="s">
        <v>952</v>
      </c>
      <c r="D785" s="217" t="s">
        <v>29</v>
      </c>
      <c r="E785" s="219" t="s">
        <v>100</v>
      </c>
      <c r="F785" s="218" t="s">
        <v>954</v>
      </c>
      <c r="G785" s="263" t="s">
        <v>302</v>
      </c>
      <c r="H785" s="221" t="s">
        <v>2</v>
      </c>
      <c r="I785" s="220" t="s">
        <v>302</v>
      </c>
      <c r="J785" s="221" t="s">
        <v>302</v>
      </c>
      <c r="K785" s="221" t="s">
        <v>302</v>
      </c>
      <c r="L785" s="220" t="s">
        <v>302</v>
      </c>
      <c r="M785" s="220" t="s">
        <v>302</v>
      </c>
      <c r="N785" s="221" t="s">
        <v>2</v>
      </c>
      <c r="O785" s="222" t="s">
        <v>2</v>
      </c>
      <c r="P785" s="222" t="s">
        <v>2</v>
      </c>
      <c r="Q785" s="222" t="s">
        <v>15</v>
      </c>
      <c r="R785" s="222" t="s">
        <v>15</v>
      </c>
      <c r="S785" s="222" t="s">
        <v>16</v>
      </c>
      <c r="T785" s="222" t="s">
        <v>349</v>
      </c>
      <c r="U785" s="222" t="s">
        <v>269</v>
      </c>
      <c r="V785" s="222" t="s">
        <v>2</v>
      </c>
      <c r="W785" s="223" t="s">
        <v>302</v>
      </c>
      <c r="X785" s="223" t="s">
        <v>302</v>
      </c>
      <c r="Y785" s="224" t="s">
        <v>302</v>
      </c>
    </row>
    <row r="786" spans="1:25">
      <c r="A786" s="216">
        <v>15</v>
      </c>
      <c r="B786" s="217" t="str">
        <f>VLOOKUP(Tabel10[[#This Row],[Code]],Ruimtegroepen[[Code]:[Ruimte omschrijving]],2,FALSE)</f>
        <v>Keuken/pantry</v>
      </c>
      <c r="C786" s="218" t="s">
        <v>952</v>
      </c>
      <c r="D786" s="217" t="s">
        <v>29</v>
      </c>
      <c r="E786" s="219" t="s">
        <v>102</v>
      </c>
      <c r="F786" s="218" t="s">
        <v>955</v>
      </c>
      <c r="G786" s="263" t="s">
        <v>302</v>
      </c>
      <c r="H786" s="220" t="s">
        <v>302</v>
      </c>
      <c r="I786" s="221" t="s">
        <v>2</v>
      </c>
      <c r="J786" s="221" t="s">
        <v>302</v>
      </c>
      <c r="K786" s="221" t="s">
        <v>2</v>
      </c>
      <c r="L786" s="220" t="s">
        <v>302</v>
      </c>
      <c r="M786" s="220" t="s">
        <v>302</v>
      </c>
      <c r="N786" s="221" t="s">
        <v>2</v>
      </c>
      <c r="O786" s="222" t="s">
        <v>2</v>
      </c>
      <c r="P786" s="222" t="s">
        <v>2</v>
      </c>
      <c r="Q786" s="222" t="s">
        <v>15</v>
      </c>
      <c r="R786" s="222" t="s">
        <v>15</v>
      </c>
      <c r="S786" s="222" t="s">
        <v>16</v>
      </c>
      <c r="T786" s="222" t="s">
        <v>349</v>
      </c>
      <c r="U786" s="222" t="s">
        <v>269</v>
      </c>
      <c r="V786" s="222" t="s">
        <v>2</v>
      </c>
      <c r="W786" s="223" t="s">
        <v>302</v>
      </c>
      <c r="X786" s="223" t="s">
        <v>302</v>
      </c>
      <c r="Y786" s="224" t="s">
        <v>302</v>
      </c>
    </row>
    <row r="787" spans="1:25">
      <c r="A787" s="216">
        <v>15</v>
      </c>
      <c r="B787" s="217" t="str">
        <f>VLOOKUP(Tabel10[[#This Row],[Code]],Ruimtegroepen[[Code]:[Ruimte omschrijving]],2,FALSE)</f>
        <v>Keuken/pantry</v>
      </c>
      <c r="C787" s="218" t="s">
        <v>952</v>
      </c>
      <c r="D787" s="217" t="s">
        <v>29</v>
      </c>
      <c r="E787" s="219" t="s">
        <v>103</v>
      </c>
      <c r="F787" s="218" t="s">
        <v>956</v>
      </c>
      <c r="G787" s="263" t="s">
        <v>302</v>
      </c>
      <c r="H787" s="220" t="s">
        <v>302</v>
      </c>
      <c r="I787" s="221" t="s">
        <v>2</v>
      </c>
      <c r="J787" s="221" t="s">
        <v>302</v>
      </c>
      <c r="K787" s="221" t="s">
        <v>2</v>
      </c>
      <c r="L787" s="220" t="s">
        <v>302</v>
      </c>
      <c r="M787" s="220" t="s">
        <v>302</v>
      </c>
      <c r="N787" s="221" t="s">
        <v>2</v>
      </c>
      <c r="O787" s="222" t="s">
        <v>2</v>
      </c>
      <c r="P787" s="222" t="s">
        <v>2</v>
      </c>
      <c r="Q787" s="222" t="s">
        <v>15</v>
      </c>
      <c r="R787" s="222" t="s">
        <v>15</v>
      </c>
      <c r="S787" s="222" t="s">
        <v>16</v>
      </c>
      <c r="T787" s="222" t="s">
        <v>349</v>
      </c>
      <c r="U787" s="222" t="s">
        <v>269</v>
      </c>
      <c r="V787" s="222" t="s">
        <v>2</v>
      </c>
      <c r="W787" s="223" t="s">
        <v>302</v>
      </c>
      <c r="X787" s="223" t="s">
        <v>302</v>
      </c>
      <c r="Y787" s="224" t="s">
        <v>302</v>
      </c>
    </row>
    <row r="788" spans="1:25">
      <c r="A788" s="216">
        <v>15</v>
      </c>
      <c r="B788" s="217" t="str">
        <f>VLOOKUP(Tabel10[[#This Row],[Code]],Ruimtegroepen[[Code]:[Ruimte omschrijving]],2,FALSE)</f>
        <v>Keuken/pantry</v>
      </c>
      <c r="C788" s="218" t="s">
        <v>952</v>
      </c>
      <c r="D788" s="217" t="s">
        <v>29</v>
      </c>
      <c r="E788" s="219" t="s">
        <v>100</v>
      </c>
      <c r="F788" s="218" t="s">
        <v>954</v>
      </c>
      <c r="G788" s="263" t="s">
        <v>302</v>
      </c>
      <c r="H788" s="221" t="s">
        <v>2</v>
      </c>
      <c r="I788" s="220" t="s">
        <v>302</v>
      </c>
      <c r="J788" s="221" t="s">
        <v>302</v>
      </c>
      <c r="K788" s="221" t="s">
        <v>302</v>
      </c>
      <c r="L788" s="220" t="s">
        <v>302</v>
      </c>
      <c r="M788" s="220" t="s">
        <v>302</v>
      </c>
      <c r="N788" s="221" t="s">
        <v>2</v>
      </c>
      <c r="O788" s="222" t="s">
        <v>2</v>
      </c>
      <c r="P788" s="222" t="s">
        <v>2</v>
      </c>
      <c r="Q788" s="222" t="s">
        <v>15</v>
      </c>
      <c r="R788" s="222" t="s">
        <v>15</v>
      </c>
      <c r="S788" s="222" t="s">
        <v>16</v>
      </c>
      <c r="T788" s="222" t="s">
        <v>349</v>
      </c>
      <c r="U788" s="222" t="s">
        <v>269</v>
      </c>
      <c r="V788" s="222" t="s">
        <v>2</v>
      </c>
      <c r="W788" s="223" t="s">
        <v>302</v>
      </c>
      <c r="X788" s="223" t="s">
        <v>302</v>
      </c>
      <c r="Y788" s="224" t="s">
        <v>302</v>
      </c>
    </row>
    <row r="789" spans="1:25">
      <c r="A789" s="216">
        <v>15</v>
      </c>
      <c r="B789" s="217" t="str">
        <f>VLOOKUP(Tabel10[[#This Row],[Code]],Ruimtegroepen[[Code]:[Ruimte omschrijving]],2,FALSE)</f>
        <v>Keuken/pantry</v>
      </c>
      <c r="C789" s="218" t="s">
        <v>952</v>
      </c>
      <c r="D789" s="217" t="s">
        <v>29</v>
      </c>
      <c r="E789" s="219" t="s">
        <v>1325</v>
      </c>
      <c r="F789" s="218" t="s">
        <v>1504</v>
      </c>
      <c r="G789" s="263" t="s">
        <v>302</v>
      </c>
      <c r="H789" s="220" t="s">
        <v>302</v>
      </c>
      <c r="I789" s="221" t="s">
        <v>2</v>
      </c>
      <c r="J789" s="221" t="s">
        <v>302</v>
      </c>
      <c r="K789" s="221" t="s">
        <v>2</v>
      </c>
      <c r="L789" s="220" t="s">
        <v>302</v>
      </c>
      <c r="M789" s="220" t="s">
        <v>302</v>
      </c>
      <c r="N789" s="221" t="s">
        <v>2</v>
      </c>
      <c r="O789" s="222" t="s">
        <v>2</v>
      </c>
      <c r="P789" s="222" t="s">
        <v>2</v>
      </c>
      <c r="Q789" s="222" t="s">
        <v>15</v>
      </c>
      <c r="R789" s="222" t="s">
        <v>15</v>
      </c>
      <c r="S789" s="222" t="s">
        <v>16</v>
      </c>
      <c r="T789" s="222" t="s">
        <v>349</v>
      </c>
      <c r="U789" s="222" t="s">
        <v>269</v>
      </c>
      <c r="V789" s="222" t="s">
        <v>2</v>
      </c>
      <c r="W789" s="223" t="s">
        <v>302</v>
      </c>
      <c r="X789" s="223" t="s">
        <v>302</v>
      </c>
      <c r="Y789" s="224" t="s">
        <v>302</v>
      </c>
    </row>
    <row r="790" spans="1:25">
      <c r="A790" s="216">
        <v>15</v>
      </c>
      <c r="B790" s="217" t="str">
        <f>VLOOKUP(Tabel10[[#This Row],[Code]],Ruimtegroepen[[Code]:[Ruimte omschrijving]],2,FALSE)</f>
        <v>Keuken/pantry</v>
      </c>
      <c r="C790" s="218" t="s">
        <v>957</v>
      </c>
      <c r="D790" s="217" t="s">
        <v>1</v>
      </c>
      <c r="E790" s="219" t="s">
        <v>101</v>
      </c>
      <c r="F790" s="218" t="s">
        <v>958</v>
      </c>
      <c r="G790" s="263" t="s">
        <v>302</v>
      </c>
      <c r="H790" s="220" t="s">
        <v>302</v>
      </c>
      <c r="I790" s="220" t="s">
        <v>302</v>
      </c>
      <c r="J790" s="220" t="s">
        <v>2</v>
      </c>
      <c r="K790" s="221" t="s">
        <v>302</v>
      </c>
      <c r="L790" s="220" t="s">
        <v>302</v>
      </c>
      <c r="M790" s="220" t="s">
        <v>302</v>
      </c>
      <c r="N790" s="221" t="s">
        <v>302</v>
      </c>
      <c r="O790" s="222" t="s">
        <v>2</v>
      </c>
      <c r="P790" s="222" t="s">
        <v>2</v>
      </c>
      <c r="Q790" s="222" t="s">
        <v>15</v>
      </c>
      <c r="R790" s="222" t="s">
        <v>15</v>
      </c>
      <c r="S790" s="222" t="s">
        <v>16</v>
      </c>
      <c r="T790" s="222" t="s">
        <v>349</v>
      </c>
      <c r="U790" s="222" t="s">
        <v>269</v>
      </c>
      <c r="V790" s="222" t="s">
        <v>302</v>
      </c>
      <c r="W790" s="223" t="s">
        <v>302</v>
      </c>
      <c r="X790" s="223" t="s">
        <v>302</v>
      </c>
      <c r="Y790" s="224" t="s">
        <v>302</v>
      </c>
    </row>
    <row r="791" spans="1:25">
      <c r="A791" s="216">
        <v>15</v>
      </c>
      <c r="B791" s="217" t="str">
        <f>VLOOKUP(Tabel10[[#This Row],[Code]],Ruimtegroepen[[Code]:[Ruimte omschrijving]],2,FALSE)</f>
        <v>Keuken/pantry</v>
      </c>
      <c r="C791" s="218" t="s">
        <v>957</v>
      </c>
      <c r="D791" s="217" t="s">
        <v>1</v>
      </c>
      <c r="E791" s="219" t="s">
        <v>100</v>
      </c>
      <c r="F791" s="218" t="s">
        <v>959</v>
      </c>
      <c r="G791" s="263" t="s">
        <v>302</v>
      </c>
      <c r="H791" s="221" t="s">
        <v>2</v>
      </c>
      <c r="I791" s="220" t="s">
        <v>302</v>
      </c>
      <c r="J791" s="221" t="s">
        <v>302</v>
      </c>
      <c r="K791" s="221" t="s">
        <v>302</v>
      </c>
      <c r="L791" s="220" t="s">
        <v>302</v>
      </c>
      <c r="M791" s="220" t="s">
        <v>302</v>
      </c>
      <c r="N791" s="221" t="s">
        <v>302</v>
      </c>
      <c r="O791" s="222" t="s">
        <v>2</v>
      </c>
      <c r="P791" s="222" t="s">
        <v>2</v>
      </c>
      <c r="Q791" s="222" t="s">
        <v>15</v>
      </c>
      <c r="R791" s="222" t="s">
        <v>15</v>
      </c>
      <c r="S791" s="222" t="s">
        <v>16</v>
      </c>
      <c r="T791" s="222" t="s">
        <v>349</v>
      </c>
      <c r="U791" s="222" t="s">
        <v>269</v>
      </c>
      <c r="V791" s="222" t="s">
        <v>302</v>
      </c>
      <c r="W791" s="223" t="s">
        <v>302</v>
      </c>
      <c r="X791" s="223" t="s">
        <v>302</v>
      </c>
      <c r="Y791" s="224" t="s">
        <v>302</v>
      </c>
    </row>
    <row r="792" spans="1:25">
      <c r="A792" s="216">
        <v>15</v>
      </c>
      <c r="B792" s="217" t="str">
        <f>VLOOKUP(Tabel10[[#This Row],[Code]],Ruimtegroepen[[Code]:[Ruimte omschrijving]],2,FALSE)</f>
        <v>Keuken/pantry</v>
      </c>
      <c r="C792" s="218" t="s">
        <v>957</v>
      </c>
      <c r="D792" s="217" t="s">
        <v>1</v>
      </c>
      <c r="E792" s="219" t="s">
        <v>102</v>
      </c>
      <c r="F792" s="218" t="s">
        <v>960</v>
      </c>
      <c r="G792" s="263" t="s">
        <v>302</v>
      </c>
      <c r="H792" s="220" t="s">
        <v>302</v>
      </c>
      <c r="I792" s="221" t="s">
        <v>2</v>
      </c>
      <c r="J792" s="221" t="s">
        <v>302</v>
      </c>
      <c r="K792" s="221" t="s">
        <v>2</v>
      </c>
      <c r="L792" s="220" t="s">
        <v>302</v>
      </c>
      <c r="M792" s="220" t="s">
        <v>302</v>
      </c>
      <c r="N792" s="221" t="s">
        <v>302</v>
      </c>
      <c r="O792" s="222" t="s">
        <v>2</v>
      </c>
      <c r="P792" s="222" t="s">
        <v>2</v>
      </c>
      <c r="Q792" s="222" t="s">
        <v>15</v>
      </c>
      <c r="R792" s="222" t="s">
        <v>15</v>
      </c>
      <c r="S792" s="222" t="s">
        <v>16</v>
      </c>
      <c r="T792" s="222" t="s">
        <v>349</v>
      </c>
      <c r="U792" s="222" t="s">
        <v>269</v>
      </c>
      <c r="V792" s="222" t="s">
        <v>302</v>
      </c>
      <c r="W792" s="223" t="s">
        <v>302</v>
      </c>
      <c r="X792" s="223" t="s">
        <v>302</v>
      </c>
      <c r="Y792" s="224" t="s">
        <v>302</v>
      </c>
    </row>
    <row r="793" spans="1:25">
      <c r="A793" s="216">
        <v>15</v>
      </c>
      <c r="B793" s="217" t="str">
        <f>VLOOKUP(Tabel10[[#This Row],[Code]],Ruimtegroepen[[Code]:[Ruimte omschrijving]],2,FALSE)</f>
        <v>Keuken/pantry</v>
      </c>
      <c r="C793" s="218" t="s">
        <v>957</v>
      </c>
      <c r="D793" s="217" t="s">
        <v>1</v>
      </c>
      <c r="E793" s="219" t="s">
        <v>103</v>
      </c>
      <c r="F793" s="218" t="s">
        <v>961</v>
      </c>
      <c r="G793" s="263" t="s">
        <v>302</v>
      </c>
      <c r="H793" s="220" t="s">
        <v>302</v>
      </c>
      <c r="I793" s="221" t="s">
        <v>2</v>
      </c>
      <c r="J793" s="221" t="s">
        <v>302</v>
      </c>
      <c r="K793" s="221" t="s">
        <v>2</v>
      </c>
      <c r="L793" s="220" t="s">
        <v>302</v>
      </c>
      <c r="M793" s="220" t="s">
        <v>302</v>
      </c>
      <c r="N793" s="221" t="s">
        <v>302</v>
      </c>
      <c r="O793" s="222" t="s">
        <v>2</v>
      </c>
      <c r="P793" s="222" t="s">
        <v>2</v>
      </c>
      <c r="Q793" s="222" t="s">
        <v>15</v>
      </c>
      <c r="R793" s="222" t="s">
        <v>15</v>
      </c>
      <c r="S793" s="222" t="s">
        <v>16</v>
      </c>
      <c r="T793" s="222" t="s">
        <v>349</v>
      </c>
      <c r="U793" s="222" t="s">
        <v>269</v>
      </c>
      <c r="V793" s="222" t="s">
        <v>302</v>
      </c>
      <c r="W793" s="223" t="s">
        <v>302</v>
      </c>
      <c r="X793" s="223" t="s">
        <v>302</v>
      </c>
      <c r="Y793" s="224" t="s">
        <v>302</v>
      </c>
    </row>
    <row r="794" spans="1:25">
      <c r="A794" s="216">
        <v>15</v>
      </c>
      <c r="B794" s="217" t="str">
        <f>VLOOKUP(Tabel10[[#This Row],[Code]],Ruimtegroepen[[Code]:[Ruimte omschrijving]],2,FALSE)</f>
        <v>Keuken/pantry</v>
      </c>
      <c r="C794" s="218" t="s">
        <v>957</v>
      </c>
      <c r="D794" s="217" t="s">
        <v>1</v>
      </c>
      <c r="E794" s="219" t="s">
        <v>100</v>
      </c>
      <c r="F794" s="218" t="s">
        <v>959</v>
      </c>
      <c r="G794" s="263" t="s">
        <v>302</v>
      </c>
      <c r="H794" s="221" t="s">
        <v>2</v>
      </c>
      <c r="I794" s="220" t="s">
        <v>302</v>
      </c>
      <c r="J794" s="221" t="s">
        <v>302</v>
      </c>
      <c r="K794" s="221" t="s">
        <v>302</v>
      </c>
      <c r="L794" s="220" t="s">
        <v>302</v>
      </c>
      <c r="M794" s="220" t="s">
        <v>302</v>
      </c>
      <c r="N794" s="221" t="s">
        <v>302</v>
      </c>
      <c r="O794" s="222" t="s">
        <v>2</v>
      </c>
      <c r="P794" s="222" t="s">
        <v>2</v>
      </c>
      <c r="Q794" s="222" t="s">
        <v>15</v>
      </c>
      <c r="R794" s="222" t="s">
        <v>15</v>
      </c>
      <c r="S794" s="222" t="s">
        <v>16</v>
      </c>
      <c r="T794" s="222" t="s">
        <v>349</v>
      </c>
      <c r="U794" s="222" t="s">
        <v>269</v>
      </c>
      <c r="V794" s="222" t="s">
        <v>302</v>
      </c>
      <c r="W794" s="223" t="s">
        <v>302</v>
      </c>
      <c r="X794" s="223" t="s">
        <v>302</v>
      </c>
      <c r="Y794" s="224" t="s">
        <v>302</v>
      </c>
    </row>
    <row r="795" spans="1:25">
      <c r="A795" s="216">
        <v>15</v>
      </c>
      <c r="B795" s="217" t="str">
        <f>VLOOKUP(Tabel10[[#This Row],[Code]],Ruimtegroepen[[Code]:[Ruimte omschrijving]],2,FALSE)</f>
        <v>Keuken/pantry</v>
      </c>
      <c r="C795" s="218" t="s">
        <v>957</v>
      </c>
      <c r="D795" s="217" t="s">
        <v>1</v>
      </c>
      <c r="E795" s="219" t="s">
        <v>1325</v>
      </c>
      <c r="F795" s="218" t="s">
        <v>1488</v>
      </c>
      <c r="G795" s="263" t="s">
        <v>302</v>
      </c>
      <c r="H795" s="220" t="s">
        <v>302</v>
      </c>
      <c r="I795" s="221" t="s">
        <v>2</v>
      </c>
      <c r="J795" s="221" t="s">
        <v>302</v>
      </c>
      <c r="K795" s="221" t="s">
        <v>2</v>
      </c>
      <c r="L795" s="220" t="s">
        <v>302</v>
      </c>
      <c r="M795" s="220" t="s">
        <v>302</v>
      </c>
      <c r="N795" s="221" t="s">
        <v>302</v>
      </c>
      <c r="O795" s="222" t="s">
        <v>2</v>
      </c>
      <c r="P795" s="222" t="s">
        <v>2</v>
      </c>
      <c r="Q795" s="222" t="s">
        <v>15</v>
      </c>
      <c r="R795" s="222" t="s">
        <v>15</v>
      </c>
      <c r="S795" s="222" t="s">
        <v>16</v>
      </c>
      <c r="T795" s="222" t="s">
        <v>349</v>
      </c>
      <c r="U795" s="222" t="s">
        <v>269</v>
      </c>
      <c r="V795" s="222" t="s">
        <v>302</v>
      </c>
      <c r="W795" s="223" t="s">
        <v>302</v>
      </c>
      <c r="X795" s="223" t="s">
        <v>302</v>
      </c>
      <c r="Y795" s="224" t="s">
        <v>302</v>
      </c>
    </row>
    <row r="796" spans="1:25">
      <c r="A796" s="216">
        <v>15</v>
      </c>
      <c r="B796" s="217" t="str">
        <f>VLOOKUP(Tabel10[[#This Row],[Code]],Ruimtegroepen[[Code]:[Ruimte omschrijving]],2,FALSE)</f>
        <v>Keuken/pantry</v>
      </c>
      <c r="C796" s="218" t="s">
        <v>962</v>
      </c>
      <c r="D796" s="217" t="s">
        <v>21</v>
      </c>
      <c r="E796" s="219" t="s">
        <v>101</v>
      </c>
      <c r="F796" s="218" t="s">
        <v>963</v>
      </c>
      <c r="G796" s="263" t="s">
        <v>302</v>
      </c>
      <c r="H796" s="220" t="s">
        <v>302</v>
      </c>
      <c r="I796" s="220" t="s">
        <v>302</v>
      </c>
      <c r="J796" s="220" t="s">
        <v>20</v>
      </c>
      <c r="K796" s="221" t="s">
        <v>302</v>
      </c>
      <c r="L796" s="220" t="s">
        <v>302</v>
      </c>
      <c r="M796" s="220" t="s">
        <v>302</v>
      </c>
      <c r="N796" s="221" t="s">
        <v>302</v>
      </c>
      <c r="O796" s="222" t="s">
        <v>20</v>
      </c>
      <c r="P796" s="222" t="s">
        <v>20</v>
      </c>
      <c r="Q796" s="222" t="s">
        <v>15</v>
      </c>
      <c r="R796" s="222" t="s">
        <v>15</v>
      </c>
      <c r="S796" s="222" t="s">
        <v>16</v>
      </c>
      <c r="T796" s="222" t="s">
        <v>349</v>
      </c>
      <c r="U796" s="222" t="s">
        <v>269</v>
      </c>
      <c r="V796" s="222" t="s">
        <v>302</v>
      </c>
      <c r="W796" s="223" t="s">
        <v>302</v>
      </c>
      <c r="X796" s="223" t="s">
        <v>302</v>
      </c>
      <c r="Y796" s="224" t="s">
        <v>302</v>
      </c>
    </row>
    <row r="797" spans="1:25">
      <c r="A797" s="216">
        <v>15</v>
      </c>
      <c r="B797" s="217" t="str">
        <f>VLOOKUP(Tabel10[[#This Row],[Code]],Ruimtegroepen[[Code]:[Ruimte omschrijving]],2,FALSE)</f>
        <v>Keuken/pantry</v>
      </c>
      <c r="C797" s="218" t="s">
        <v>962</v>
      </c>
      <c r="D797" s="217" t="s">
        <v>21</v>
      </c>
      <c r="E797" s="219" t="s">
        <v>100</v>
      </c>
      <c r="F797" s="218" t="s">
        <v>964</v>
      </c>
      <c r="G797" s="263" t="s">
        <v>302</v>
      </c>
      <c r="H797" s="221" t="s">
        <v>20</v>
      </c>
      <c r="I797" s="220" t="s">
        <v>302</v>
      </c>
      <c r="J797" s="221" t="s">
        <v>302</v>
      </c>
      <c r="K797" s="221" t="s">
        <v>302</v>
      </c>
      <c r="L797" s="220" t="s">
        <v>302</v>
      </c>
      <c r="M797" s="220" t="s">
        <v>302</v>
      </c>
      <c r="N797" s="221" t="s">
        <v>302</v>
      </c>
      <c r="O797" s="222" t="s">
        <v>20</v>
      </c>
      <c r="P797" s="222" t="s">
        <v>20</v>
      </c>
      <c r="Q797" s="222" t="s">
        <v>15</v>
      </c>
      <c r="R797" s="222" t="s">
        <v>15</v>
      </c>
      <c r="S797" s="222" t="s">
        <v>16</v>
      </c>
      <c r="T797" s="222" t="s">
        <v>349</v>
      </c>
      <c r="U797" s="222" t="s">
        <v>269</v>
      </c>
      <c r="V797" s="222" t="s">
        <v>302</v>
      </c>
      <c r="W797" s="223" t="s">
        <v>302</v>
      </c>
      <c r="X797" s="223" t="s">
        <v>302</v>
      </c>
      <c r="Y797" s="224" t="s">
        <v>302</v>
      </c>
    </row>
    <row r="798" spans="1:25">
      <c r="A798" s="216">
        <v>15</v>
      </c>
      <c r="B798" s="217" t="str">
        <f>VLOOKUP(Tabel10[[#This Row],[Code]],Ruimtegroepen[[Code]:[Ruimte omschrijving]],2,FALSE)</f>
        <v>Keuken/pantry</v>
      </c>
      <c r="C798" s="218" t="s">
        <v>962</v>
      </c>
      <c r="D798" s="217" t="s">
        <v>21</v>
      </c>
      <c r="E798" s="219" t="s">
        <v>102</v>
      </c>
      <c r="F798" s="218" t="s">
        <v>965</v>
      </c>
      <c r="G798" s="263" t="s">
        <v>302</v>
      </c>
      <c r="H798" s="220" t="s">
        <v>302</v>
      </c>
      <c r="I798" s="221" t="s">
        <v>20</v>
      </c>
      <c r="J798" s="221" t="s">
        <v>302</v>
      </c>
      <c r="K798" s="221" t="s">
        <v>20</v>
      </c>
      <c r="L798" s="220" t="s">
        <v>302</v>
      </c>
      <c r="M798" s="220" t="s">
        <v>302</v>
      </c>
      <c r="N798" s="221" t="s">
        <v>302</v>
      </c>
      <c r="O798" s="222" t="s">
        <v>20</v>
      </c>
      <c r="P798" s="222" t="s">
        <v>20</v>
      </c>
      <c r="Q798" s="222" t="s">
        <v>15</v>
      </c>
      <c r="R798" s="222" t="s">
        <v>15</v>
      </c>
      <c r="S798" s="222" t="s">
        <v>16</v>
      </c>
      <c r="T798" s="222" t="s">
        <v>349</v>
      </c>
      <c r="U798" s="222" t="s">
        <v>269</v>
      </c>
      <c r="V798" s="222" t="s">
        <v>302</v>
      </c>
      <c r="W798" s="223" t="s">
        <v>302</v>
      </c>
      <c r="X798" s="223" t="s">
        <v>302</v>
      </c>
      <c r="Y798" s="224" t="s">
        <v>302</v>
      </c>
    </row>
    <row r="799" spans="1:25">
      <c r="A799" s="216">
        <v>15</v>
      </c>
      <c r="B799" s="217" t="str">
        <f>VLOOKUP(Tabel10[[#This Row],[Code]],Ruimtegroepen[[Code]:[Ruimte omschrijving]],2,FALSE)</f>
        <v>Keuken/pantry</v>
      </c>
      <c r="C799" s="218" t="s">
        <v>962</v>
      </c>
      <c r="D799" s="217" t="s">
        <v>21</v>
      </c>
      <c r="E799" s="219" t="s">
        <v>103</v>
      </c>
      <c r="F799" s="218" t="s">
        <v>966</v>
      </c>
      <c r="G799" s="263" t="s">
        <v>302</v>
      </c>
      <c r="H799" s="220" t="s">
        <v>302</v>
      </c>
      <c r="I799" s="221" t="s">
        <v>20</v>
      </c>
      <c r="J799" s="221" t="s">
        <v>302</v>
      </c>
      <c r="K799" s="221" t="s">
        <v>20</v>
      </c>
      <c r="L799" s="220" t="s">
        <v>302</v>
      </c>
      <c r="M799" s="220" t="s">
        <v>302</v>
      </c>
      <c r="N799" s="221" t="s">
        <v>302</v>
      </c>
      <c r="O799" s="222" t="s">
        <v>20</v>
      </c>
      <c r="P799" s="222" t="s">
        <v>20</v>
      </c>
      <c r="Q799" s="222" t="s">
        <v>15</v>
      </c>
      <c r="R799" s="222" t="s">
        <v>15</v>
      </c>
      <c r="S799" s="222" t="s">
        <v>16</v>
      </c>
      <c r="T799" s="222" t="s">
        <v>349</v>
      </c>
      <c r="U799" s="222" t="s">
        <v>269</v>
      </c>
      <c r="V799" s="222" t="s">
        <v>302</v>
      </c>
      <c r="W799" s="223" t="s">
        <v>302</v>
      </c>
      <c r="X799" s="223" t="s">
        <v>302</v>
      </c>
      <c r="Y799" s="224" t="s">
        <v>302</v>
      </c>
    </row>
    <row r="800" spans="1:25">
      <c r="A800" s="216">
        <v>15</v>
      </c>
      <c r="B800" s="217" t="str">
        <f>VLOOKUP(Tabel10[[#This Row],[Code]],Ruimtegroepen[[Code]:[Ruimte omschrijving]],2,FALSE)</f>
        <v>Keuken/pantry</v>
      </c>
      <c r="C800" s="218" t="s">
        <v>962</v>
      </c>
      <c r="D800" s="217" t="s">
        <v>21</v>
      </c>
      <c r="E800" s="219" t="s">
        <v>100</v>
      </c>
      <c r="F800" s="218" t="s">
        <v>964</v>
      </c>
      <c r="G800" s="263" t="s">
        <v>302</v>
      </c>
      <c r="H800" s="221" t="s">
        <v>20</v>
      </c>
      <c r="I800" s="220" t="s">
        <v>302</v>
      </c>
      <c r="J800" s="221" t="s">
        <v>302</v>
      </c>
      <c r="K800" s="221" t="s">
        <v>302</v>
      </c>
      <c r="L800" s="220" t="s">
        <v>302</v>
      </c>
      <c r="M800" s="220" t="s">
        <v>302</v>
      </c>
      <c r="N800" s="221" t="s">
        <v>302</v>
      </c>
      <c r="O800" s="222" t="s">
        <v>20</v>
      </c>
      <c r="P800" s="222" t="s">
        <v>20</v>
      </c>
      <c r="Q800" s="222" t="s">
        <v>15</v>
      </c>
      <c r="R800" s="222" t="s">
        <v>15</v>
      </c>
      <c r="S800" s="222" t="s">
        <v>16</v>
      </c>
      <c r="T800" s="222" t="s">
        <v>349</v>
      </c>
      <c r="U800" s="222" t="s">
        <v>269</v>
      </c>
      <c r="V800" s="222" t="s">
        <v>302</v>
      </c>
      <c r="W800" s="223" t="s">
        <v>302</v>
      </c>
      <c r="X800" s="223" t="s">
        <v>302</v>
      </c>
      <c r="Y800" s="224" t="s">
        <v>302</v>
      </c>
    </row>
    <row r="801" spans="1:25">
      <c r="A801" s="216">
        <v>15</v>
      </c>
      <c r="B801" s="217" t="str">
        <f>VLOOKUP(Tabel10[[#This Row],[Code]],Ruimtegroepen[[Code]:[Ruimte omschrijving]],2,FALSE)</f>
        <v>Keuken/pantry</v>
      </c>
      <c r="C801" s="218" t="s">
        <v>962</v>
      </c>
      <c r="D801" s="217" t="s">
        <v>21</v>
      </c>
      <c r="E801" s="219" t="s">
        <v>1325</v>
      </c>
      <c r="F801" s="218" t="s">
        <v>1471</v>
      </c>
      <c r="G801" s="263" t="s">
        <v>302</v>
      </c>
      <c r="H801" s="220" t="s">
        <v>302</v>
      </c>
      <c r="I801" s="221" t="s">
        <v>20</v>
      </c>
      <c r="J801" s="221" t="s">
        <v>302</v>
      </c>
      <c r="K801" s="221" t="s">
        <v>20</v>
      </c>
      <c r="L801" s="220" t="s">
        <v>302</v>
      </c>
      <c r="M801" s="220" t="s">
        <v>302</v>
      </c>
      <c r="N801" s="221" t="s">
        <v>302</v>
      </c>
      <c r="O801" s="222" t="s">
        <v>20</v>
      </c>
      <c r="P801" s="222" t="s">
        <v>20</v>
      </c>
      <c r="Q801" s="222" t="s">
        <v>15</v>
      </c>
      <c r="R801" s="222" t="s">
        <v>15</v>
      </c>
      <c r="S801" s="222" t="s">
        <v>16</v>
      </c>
      <c r="T801" s="222" t="s">
        <v>349</v>
      </c>
      <c r="U801" s="222" t="s">
        <v>269</v>
      </c>
      <c r="V801" s="222" t="s">
        <v>302</v>
      </c>
      <c r="W801" s="223" t="s">
        <v>302</v>
      </c>
      <c r="X801" s="223" t="s">
        <v>302</v>
      </c>
      <c r="Y801" s="224" t="s">
        <v>302</v>
      </c>
    </row>
    <row r="802" spans="1:25">
      <c r="A802" s="216">
        <v>15</v>
      </c>
      <c r="B802" s="217" t="str">
        <f>VLOOKUP(Tabel10[[#This Row],[Code]],Ruimtegroepen[[Code]:[Ruimte omschrijving]],2,FALSE)</f>
        <v>Keuken/pantry</v>
      </c>
      <c r="C802" s="218" t="s">
        <v>967</v>
      </c>
      <c r="D802" s="217" t="s">
        <v>12</v>
      </c>
      <c r="E802" s="219" t="s">
        <v>101</v>
      </c>
      <c r="F802" s="218" t="s">
        <v>968</v>
      </c>
      <c r="G802" s="263" t="s">
        <v>302</v>
      </c>
      <c r="H802" s="220" t="s">
        <v>302</v>
      </c>
      <c r="I802" s="220" t="s">
        <v>302</v>
      </c>
      <c r="J802" s="220" t="s">
        <v>18</v>
      </c>
      <c r="K802" s="221" t="s">
        <v>302</v>
      </c>
      <c r="L802" s="220" t="s">
        <v>302</v>
      </c>
      <c r="M802" s="220" t="s">
        <v>302</v>
      </c>
      <c r="N802" s="221" t="s">
        <v>302</v>
      </c>
      <c r="O802" s="222" t="s">
        <v>18</v>
      </c>
      <c r="P802" s="222" t="s">
        <v>18</v>
      </c>
      <c r="Q802" s="222" t="s">
        <v>15</v>
      </c>
      <c r="R802" s="222" t="s">
        <v>15</v>
      </c>
      <c r="S802" s="222" t="s">
        <v>16</v>
      </c>
      <c r="T802" s="222" t="s">
        <v>349</v>
      </c>
      <c r="U802" s="222" t="s">
        <v>269</v>
      </c>
      <c r="V802" s="222" t="s">
        <v>302</v>
      </c>
      <c r="W802" s="223" t="s">
        <v>302</v>
      </c>
      <c r="X802" s="223" t="s">
        <v>302</v>
      </c>
      <c r="Y802" s="224" t="s">
        <v>302</v>
      </c>
    </row>
    <row r="803" spans="1:25">
      <c r="A803" s="216">
        <v>15</v>
      </c>
      <c r="B803" s="217" t="str">
        <f>VLOOKUP(Tabel10[[#This Row],[Code]],Ruimtegroepen[[Code]:[Ruimte omschrijving]],2,FALSE)</f>
        <v>Keuken/pantry</v>
      </c>
      <c r="C803" s="218" t="s">
        <v>967</v>
      </c>
      <c r="D803" s="217" t="s">
        <v>12</v>
      </c>
      <c r="E803" s="219" t="s">
        <v>100</v>
      </c>
      <c r="F803" s="218" t="s">
        <v>969</v>
      </c>
      <c r="G803" s="263" t="s">
        <v>302</v>
      </c>
      <c r="H803" s="221" t="s">
        <v>18</v>
      </c>
      <c r="I803" s="220" t="s">
        <v>302</v>
      </c>
      <c r="J803" s="221" t="s">
        <v>302</v>
      </c>
      <c r="K803" s="221" t="s">
        <v>302</v>
      </c>
      <c r="L803" s="220" t="s">
        <v>302</v>
      </c>
      <c r="M803" s="220" t="s">
        <v>302</v>
      </c>
      <c r="N803" s="221" t="s">
        <v>302</v>
      </c>
      <c r="O803" s="222" t="s">
        <v>18</v>
      </c>
      <c r="P803" s="222" t="s">
        <v>18</v>
      </c>
      <c r="Q803" s="222" t="s">
        <v>15</v>
      </c>
      <c r="R803" s="222" t="s">
        <v>15</v>
      </c>
      <c r="S803" s="222" t="s">
        <v>16</v>
      </c>
      <c r="T803" s="222" t="s">
        <v>349</v>
      </c>
      <c r="U803" s="222" t="s">
        <v>269</v>
      </c>
      <c r="V803" s="222" t="s">
        <v>302</v>
      </c>
      <c r="W803" s="223" t="s">
        <v>302</v>
      </c>
      <c r="X803" s="223" t="s">
        <v>302</v>
      </c>
      <c r="Y803" s="224" t="s">
        <v>302</v>
      </c>
    </row>
    <row r="804" spans="1:25">
      <c r="A804" s="216">
        <v>15</v>
      </c>
      <c r="B804" s="217" t="str">
        <f>VLOOKUP(Tabel10[[#This Row],[Code]],Ruimtegroepen[[Code]:[Ruimte omschrijving]],2,FALSE)</f>
        <v>Keuken/pantry</v>
      </c>
      <c r="C804" s="218" t="s">
        <v>967</v>
      </c>
      <c r="D804" s="217" t="s">
        <v>12</v>
      </c>
      <c r="E804" s="219" t="s">
        <v>102</v>
      </c>
      <c r="F804" s="218" t="s">
        <v>970</v>
      </c>
      <c r="G804" s="263" t="s">
        <v>302</v>
      </c>
      <c r="H804" s="220" t="s">
        <v>302</v>
      </c>
      <c r="I804" s="221" t="s">
        <v>18</v>
      </c>
      <c r="J804" s="221" t="s">
        <v>302</v>
      </c>
      <c r="K804" s="221" t="s">
        <v>18</v>
      </c>
      <c r="L804" s="220" t="s">
        <v>302</v>
      </c>
      <c r="M804" s="220" t="s">
        <v>302</v>
      </c>
      <c r="N804" s="221" t="s">
        <v>302</v>
      </c>
      <c r="O804" s="222" t="s">
        <v>18</v>
      </c>
      <c r="P804" s="222" t="s">
        <v>18</v>
      </c>
      <c r="Q804" s="222" t="s">
        <v>15</v>
      </c>
      <c r="R804" s="222" t="s">
        <v>15</v>
      </c>
      <c r="S804" s="222" t="s">
        <v>16</v>
      </c>
      <c r="T804" s="222" t="s">
        <v>349</v>
      </c>
      <c r="U804" s="222" t="s">
        <v>269</v>
      </c>
      <c r="V804" s="222" t="s">
        <v>302</v>
      </c>
      <c r="W804" s="223" t="s">
        <v>302</v>
      </c>
      <c r="X804" s="223" t="s">
        <v>302</v>
      </c>
      <c r="Y804" s="224" t="s">
        <v>302</v>
      </c>
    </row>
    <row r="805" spans="1:25">
      <c r="A805" s="216">
        <v>15</v>
      </c>
      <c r="B805" s="217" t="str">
        <f>VLOOKUP(Tabel10[[#This Row],[Code]],Ruimtegroepen[[Code]:[Ruimte omschrijving]],2,FALSE)</f>
        <v>Keuken/pantry</v>
      </c>
      <c r="C805" s="218" t="s">
        <v>967</v>
      </c>
      <c r="D805" s="217" t="s">
        <v>12</v>
      </c>
      <c r="E805" s="219" t="s">
        <v>103</v>
      </c>
      <c r="F805" s="218" t="s">
        <v>971</v>
      </c>
      <c r="G805" s="263" t="s">
        <v>302</v>
      </c>
      <c r="H805" s="220" t="s">
        <v>302</v>
      </c>
      <c r="I805" s="221" t="s">
        <v>18</v>
      </c>
      <c r="J805" s="221" t="s">
        <v>302</v>
      </c>
      <c r="K805" s="221" t="s">
        <v>18</v>
      </c>
      <c r="L805" s="220" t="s">
        <v>302</v>
      </c>
      <c r="M805" s="220" t="s">
        <v>302</v>
      </c>
      <c r="N805" s="221" t="s">
        <v>302</v>
      </c>
      <c r="O805" s="222" t="s">
        <v>18</v>
      </c>
      <c r="P805" s="222" t="s">
        <v>18</v>
      </c>
      <c r="Q805" s="222" t="s">
        <v>15</v>
      </c>
      <c r="R805" s="222" t="s">
        <v>15</v>
      </c>
      <c r="S805" s="222" t="s">
        <v>16</v>
      </c>
      <c r="T805" s="222" t="s">
        <v>349</v>
      </c>
      <c r="U805" s="222" t="s">
        <v>269</v>
      </c>
      <c r="V805" s="222" t="s">
        <v>302</v>
      </c>
      <c r="W805" s="223" t="s">
        <v>302</v>
      </c>
      <c r="X805" s="223" t="s">
        <v>302</v>
      </c>
      <c r="Y805" s="224" t="s">
        <v>302</v>
      </c>
    </row>
    <row r="806" spans="1:25">
      <c r="A806" s="216">
        <v>15</v>
      </c>
      <c r="B806" s="217" t="str">
        <f>VLOOKUP(Tabel10[[#This Row],[Code]],Ruimtegroepen[[Code]:[Ruimte omschrijving]],2,FALSE)</f>
        <v>Keuken/pantry</v>
      </c>
      <c r="C806" s="218" t="s">
        <v>967</v>
      </c>
      <c r="D806" s="217" t="s">
        <v>12</v>
      </c>
      <c r="E806" s="219" t="s">
        <v>100</v>
      </c>
      <c r="F806" s="218" t="s">
        <v>969</v>
      </c>
      <c r="G806" s="263" t="s">
        <v>302</v>
      </c>
      <c r="H806" s="221" t="s">
        <v>18</v>
      </c>
      <c r="I806" s="220" t="s">
        <v>302</v>
      </c>
      <c r="J806" s="221" t="s">
        <v>302</v>
      </c>
      <c r="K806" s="221" t="s">
        <v>302</v>
      </c>
      <c r="L806" s="220" t="s">
        <v>302</v>
      </c>
      <c r="M806" s="220" t="s">
        <v>302</v>
      </c>
      <c r="N806" s="221" t="s">
        <v>302</v>
      </c>
      <c r="O806" s="222" t="s">
        <v>18</v>
      </c>
      <c r="P806" s="222" t="s">
        <v>18</v>
      </c>
      <c r="Q806" s="222" t="s">
        <v>15</v>
      </c>
      <c r="R806" s="222" t="s">
        <v>15</v>
      </c>
      <c r="S806" s="222" t="s">
        <v>16</v>
      </c>
      <c r="T806" s="222" t="s">
        <v>349</v>
      </c>
      <c r="U806" s="222" t="s">
        <v>269</v>
      </c>
      <c r="V806" s="222" t="s">
        <v>302</v>
      </c>
      <c r="W806" s="223" t="s">
        <v>302</v>
      </c>
      <c r="X806" s="223" t="s">
        <v>302</v>
      </c>
      <c r="Y806" s="224" t="s">
        <v>302</v>
      </c>
    </row>
    <row r="807" spans="1:25">
      <c r="A807" s="216">
        <v>15</v>
      </c>
      <c r="B807" s="217" t="str">
        <f>VLOOKUP(Tabel10[[#This Row],[Code]],Ruimtegroepen[[Code]:[Ruimte omschrijving]],2,FALSE)</f>
        <v>Keuken/pantry</v>
      </c>
      <c r="C807" s="218" t="s">
        <v>967</v>
      </c>
      <c r="D807" s="217" t="s">
        <v>12</v>
      </c>
      <c r="E807" s="219" t="s">
        <v>1325</v>
      </c>
      <c r="F807" s="218" t="s">
        <v>1453</v>
      </c>
      <c r="G807" s="263" t="s">
        <v>302</v>
      </c>
      <c r="H807" s="220" t="s">
        <v>302</v>
      </c>
      <c r="I807" s="221" t="s">
        <v>18</v>
      </c>
      <c r="J807" s="221" t="s">
        <v>302</v>
      </c>
      <c r="K807" s="221" t="s">
        <v>18</v>
      </c>
      <c r="L807" s="220" t="s">
        <v>302</v>
      </c>
      <c r="M807" s="220" t="s">
        <v>302</v>
      </c>
      <c r="N807" s="221" t="s">
        <v>302</v>
      </c>
      <c r="O807" s="222" t="s">
        <v>18</v>
      </c>
      <c r="P807" s="222" t="s">
        <v>18</v>
      </c>
      <c r="Q807" s="222" t="s">
        <v>15</v>
      </c>
      <c r="R807" s="222" t="s">
        <v>15</v>
      </c>
      <c r="S807" s="222" t="s">
        <v>16</v>
      </c>
      <c r="T807" s="222" t="s">
        <v>349</v>
      </c>
      <c r="U807" s="222" t="s">
        <v>269</v>
      </c>
      <c r="V807" s="222" t="s">
        <v>302</v>
      </c>
      <c r="W807" s="223" t="s">
        <v>302</v>
      </c>
      <c r="X807" s="223" t="s">
        <v>302</v>
      </c>
      <c r="Y807" s="224" t="s">
        <v>302</v>
      </c>
    </row>
    <row r="808" spans="1:25">
      <c r="A808" s="216">
        <v>15</v>
      </c>
      <c r="B808" s="217" t="str">
        <f>VLOOKUP(Tabel10[[#This Row],[Code]],Ruimtegroepen[[Code]:[Ruimte omschrijving]],2,FALSE)</f>
        <v>Keuken/pantry</v>
      </c>
      <c r="C808" s="218" t="s">
        <v>972</v>
      </c>
      <c r="D808" s="217" t="s">
        <v>14</v>
      </c>
      <c r="E808" s="219" t="s">
        <v>101</v>
      </c>
      <c r="F808" s="218" t="s">
        <v>973</v>
      </c>
      <c r="G808" s="263" t="s">
        <v>302</v>
      </c>
      <c r="H808" s="220" t="s">
        <v>302</v>
      </c>
      <c r="I808" s="220" t="s">
        <v>302</v>
      </c>
      <c r="J808" s="220" t="s">
        <v>17</v>
      </c>
      <c r="K808" s="221" t="s">
        <v>302</v>
      </c>
      <c r="L808" s="220" t="s">
        <v>302</v>
      </c>
      <c r="M808" s="220" t="s">
        <v>302</v>
      </c>
      <c r="N808" s="221" t="s">
        <v>302</v>
      </c>
      <c r="O808" s="222" t="s">
        <v>17</v>
      </c>
      <c r="P808" s="222" t="s">
        <v>17</v>
      </c>
      <c r="Q808" s="222" t="s">
        <v>15</v>
      </c>
      <c r="R808" s="222" t="s">
        <v>15</v>
      </c>
      <c r="S808" s="222" t="s">
        <v>16</v>
      </c>
      <c r="T808" s="222" t="s">
        <v>349</v>
      </c>
      <c r="U808" s="222" t="s">
        <v>269</v>
      </c>
      <c r="V808" s="222" t="s">
        <v>302</v>
      </c>
      <c r="W808" s="223" t="s">
        <v>302</v>
      </c>
      <c r="X808" s="223" t="s">
        <v>302</v>
      </c>
      <c r="Y808" s="224" t="s">
        <v>302</v>
      </c>
    </row>
    <row r="809" spans="1:25">
      <c r="A809" s="216">
        <v>15</v>
      </c>
      <c r="B809" s="217" t="str">
        <f>VLOOKUP(Tabel10[[#This Row],[Code]],Ruimtegroepen[[Code]:[Ruimte omschrijving]],2,FALSE)</f>
        <v>Keuken/pantry</v>
      </c>
      <c r="C809" s="218" t="s">
        <v>972</v>
      </c>
      <c r="D809" s="217" t="s">
        <v>14</v>
      </c>
      <c r="E809" s="219" t="s">
        <v>100</v>
      </c>
      <c r="F809" s="218" t="s">
        <v>974</v>
      </c>
      <c r="G809" s="263" t="s">
        <v>302</v>
      </c>
      <c r="H809" s="221" t="s">
        <v>17</v>
      </c>
      <c r="I809" s="220" t="s">
        <v>302</v>
      </c>
      <c r="J809" s="221" t="s">
        <v>302</v>
      </c>
      <c r="K809" s="221" t="s">
        <v>302</v>
      </c>
      <c r="L809" s="220" t="s">
        <v>302</v>
      </c>
      <c r="M809" s="220" t="s">
        <v>302</v>
      </c>
      <c r="N809" s="221" t="s">
        <v>302</v>
      </c>
      <c r="O809" s="222" t="s">
        <v>17</v>
      </c>
      <c r="P809" s="222" t="s">
        <v>17</v>
      </c>
      <c r="Q809" s="222" t="s">
        <v>15</v>
      </c>
      <c r="R809" s="222" t="s">
        <v>15</v>
      </c>
      <c r="S809" s="222" t="s">
        <v>16</v>
      </c>
      <c r="T809" s="222" t="s">
        <v>349</v>
      </c>
      <c r="U809" s="222" t="s">
        <v>269</v>
      </c>
      <c r="V809" s="222" t="s">
        <v>302</v>
      </c>
      <c r="W809" s="223" t="s">
        <v>302</v>
      </c>
      <c r="X809" s="223" t="s">
        <v>302</v>
      </c>
      <c r="Y809" s="224" t="s">
        <v>302</v>
      </c>
    </row>
    <row r="810" spans="1:25">
      <c r="A810" s="216">
        <v>15</v>
      </c>
      <c r="B810" s="217" t="str">
        <f>VLOOKUP(Tabel10[[#This Row],[Code]],Ruimtegroepen[[Code]:[Ruimte omschrijving]],2,FALSE)</f>
        <v>Keuken/pantry</v>
      </c>
      <c r="C810" s="218" t="s">
        <v>972</v>
      </c>
      <c r="D810" s="217" t="s">
        <v>14</v>
      </c>
      <c r="E810" s="219" t="s">
        <v>102</v>
      </c>
      <c r="F810" s="218" t="s">
        <v>975</v>
      </c>
      <c r="G810" s="263" t="s">
        <v>302</v>
      </c>
      <c r="H810" s="220" t="s">
        <v>302</v>
      </c>
      <c r="I810" s="221" t="s">
        <v>17</v>
      </c>
      <c r="J810" s="221" t="s">
        <v>302</v>
      </c>
      <c r="K810" s="221" t="s">
        <v>17</v>
      </c>
      <c r="L810" s="220" t="s">
        <v>302</v>
      </c>
      <c r="M810" s="220" t="s">
        <v>302</v>
      </c>
      <c r="N810" s="221" t="s">
        <v>302</v>
      </c>
      <c r="O810" s="222" t="s">
        <v>17</v>
      </c>
      <c r="P810" s="222" t="s">
        <v>17</v>
      </c>
      <c r="Q810" s="222" t="s">
        <v>15</v>
      </c>
      <c r="R810" s="222" t="s">
        <v>15</v>
      </c>
      <c r="S810" s="222" t="s">
        <v>16</v>
      </c>
      <c r="T810" s="222" t="s">
        <v>349</v>
      </c>
      <c r="U810" s="222" t="s">
        <v>269</v>
      </c>
      <c r="V810" s="222" t="s">
        <v>302</v>
      </c>
      <c r="W810" s="223" t="s">
        <v>302</v>
      </c>
      <c r="X810" s="223" t="s">
        <v>302</v>
      </c>
      <c r="Y810" s="224" t="s">
        <v>302</v>
      </c>
    </row>
    <row r="811" spans="1:25">
      <c r="A811" s="216">
        <v>15</v>
      </c>
      <c r="B811" s="217" t="str">
        <f>VLOOKUP(Tabel10[[#This Row],[Code]],Ruimtegroepen[[Code]:[Ruimte omschrijving]],2,FALSE)</f>
        <v>Keuken/pantry</v>
      </c>
      <c r="C811" s="218" t="s">
        <v>972</v>
      </c>
      <c r="D811" s="217" t="s">
        <v>14</v>
      </c>
      <c r="E811" s="219" t="s">
        <v>103</v>
      </c>
      <c r="F811" s="218" t="s">
        <v>976</v>
      </c>
      <c r="G811" s="263" t="s">
        <v>302</v>
      </c>
      <c r="H811" s="220" t="s">
        <v>302</v>
      </c>
      <c r="I811" s="221" t="s">
        <v>17</v>
      </c>
      <c r="J811" s="221" t="s">
        <v>302</v>
      </c>
      <c r="K811" s="221" t="s">
        <v>17</v>
      </c>
      <c r="L811" s="220" t="s">
        <v>302</v>
      </c>
      <c r="M811" s="220" t="s">
        <v>302</v>
      </c>
      <c r="N811" s="221" t="s">
        <v>302</v>
      </c>
      <c r="O811" s="222" t="s">
        <v>17</v>
      </c>
      <c r="P811" s="222" t="s">
        <v>17</v>
      </c>
      <c r="Q811" s="222" t="s">
        <v>15</v>
      </c>
      <c r="R811" s="222" t="s">
        <v>15</v>
      </c>
      <c r="S811" s="222" t="s">
        <v>16</v>
      </c>
      <c r="T811" s="222" t="s">
        <v>349</v>
      </c>
      <c r="U811" s="222" t="s">
        <v>269</v>
      </c>
      <c r="V811" s="222" t="s">
        <v>302</v>
      </c>
      <c r="W811" s="223" t="s">
        <v>302</v>
      </c>
      <c r="X811" s="223" t="s">
        <v>302</v>
      </c>
      <c r="Y811" s="224" t="s">
        <v>302</v>
      </c>
    </row>
    <row r="812" spans="1:25">
      <c r="A812" s="216">
        <v>15</v>
      </c>
      <c r="B812" s="217" t="str">
        <f>VLOOKUP(Tabel10[[#This Row],[Code]],Ruimtegroepen[[Code]:[Ruimte omschrijving]],2,FALSE)</f>
        <v>Keuken/pantry</v>
      </c>
      <c r="C812" s="218" t="s">
        <v>972</v>
      </c>
      <c r="D812" s="217" t="s">
        <v>14</v>
      </c>
      <c r="E812" s="219" t="s">
        <v>100</v>
      </c>
      <c r="F812" s="218" t="s">
        <v>974</v>
      </c>
      <c r="G812" s="263" t="s">
        <v>302</v>
      </c>
      <c r="H812" s="221" t="s">
        <v>17</v>
      </c>
      <c r="I812" s="220" t="s">
        <v>302</v>
      </c>
      <c r="J812" s="221" t="s">
        <v>302</v>
      </c>
      <c r="K812" s="221" t="s">
        <v>302</v>
      </c>
      <c r="L812" s="220" t="s">
        <v>302</v>
      </c>
      <c r="M812" s="220" t="s">
        <v>302</v>
      </c>
      <c r="N812" s="221" t="s">
        <v>302</v>
      </c>
      <c r="O812" s="222" t="s">
        <v>17</v>
      </c>
      <c r="P812" s="222" t="s">
        <v>17</v>
      </c>
      <c r="Q812" s="222" t="s">
        <v>15</v>
      </c>
      <c r="R812" s="222" t="s">
        <v>15</v>
      </c>
      <c r="S812" s="222" t="s">
        <v>16</v>
      </c>
      <c r="T812" s="222" t="s">
        <v>349</v>
      </c>
      <c r="U812" s="222" t="s">
        <v>269</v>
      </c>
      <c r="V812" s="222" t="s">
        <v>302</v>
      </c>
      <c r="W812" s="223" t="s">
        <v>302</v>
      </c>
      <c r="X812" s="223" t="s">
        <v>302</v>
      </c>
      <c r="Y812" s="224" t="s">
        <v>302</v>
      </c>
    </row>
    <row r="813" spans="1:25">
      <c r="A813" s="216">
        <v>15</v>
      </c>
      <c r="B813" s="217" t="str">
        <f>VLOOKUP(Tabel10[[#This Row],[Code]],Ruimtegroepen[[Code]:[Ruimte omschrijving]],2,FALSE)</f>
        <v>Keuken/pantry</v>
      </c>
      <c r="C813" s="218" t="s">
        <v>972</v>
      </c>
      <c r="D813" s="217" t="s">
        <v>14</v>
      </c>
      <c r="E813" s="219" t="s">
        <v>1325</v>
      </c>
      <c r="F813" s="218" t="s">
        <v>1420</v>
      </c>
      <c r="G813" s="263" t="s">
        <v>302</v>
      </c>
      <c r="H813" s="220" t="s">
        <v>302</v>
      </c>
      <c r="I813" s="221" t="s">
        <v>17</v>
      </c>
      <c r="J813" s="221" t="s">
        <v>302</v>
      </c>
      <c r="K813" s="221" t="s">
        <v>17</v>
      </c>
      <c r="L813" s="220" t="s">
        <v>302</v>
      </c>
      <c r="M813" s="220" t="s">
        <v>302</v>
      </c>
      <c r="N813" s="221" t="s">
        <v>302</v>
      </c>
      <c r="O813" s="222" t="s">
        <v>17</v>
      </c>
      <c r="P813" s="222" t="s">
        <v>17</v>
      </c>
      <c r="Q813" s="222" t="s">
        <v>15</v>
      </c>
      <c r="R813" s="222" t="s">
        <v>15</v>
      </c>
      <c r="S813" s="222" t="s">
        <v>16</v>
      </c>
      <c r="T813" s="222" t="s">
        <v>349</v>
      </c>
      <c r="U813" s="222" t="s">
        <v>269</v>
      </c>
      <c r="V813" s="222" t="s">
        <v>302</v>
      </c>
      <c r="W813" s="223" t="s">
        <v>302</v>
      </c>
      <c r="X813" s="223" t="s">
        <v>302</v>
      </c>
      <c r="Y813" s="224" t="s">
        <v>302</v>
      </c>
    </row>
    <row r="814" spans="1:25">
      <c r="A814" s="216">
        <v>15</v>
      </c>
      <c r="B814" s="217" t="str">
        <f>VLOOKUP(Tabel10[[#This Row],[Code]],Ruimtegroepen[[Code]:[Ruimte omschrijving]],2,FALSE)</f>
        <v>Keuken/pantry</v>
      </c>
      <c r="C814" s="218" t="s">
        <v>977</v>
      </c>
      <c r="D814" s="217" t="s">
        <v>13</v>
      </c>
      <c r="E814" s="219" t="s">
        <v>101</v>
      </c>
      <c r="F814" s="218" t="s">
        <v>978</v>
      </c>
      <c r="G814" s="263" t="s">
        <v>302</v>
      </c>
      <c r="H814" s="220" t="s">
        <v>302</v>
      </c>
      <c r="I814" s="220" t="s">
        <v>302</v>
      </c>
      <c r="J814" s="221" t="s">
        <v>15</v>
      </c>
      <c r="K814" s="221" t="s">
        <v>302</v>
      </c>
      <c r="L814" s="220" t="s">
        <v>302</v>
      </c>
      <c r="M814" s="220" t="s">
        <v>302</v>
      </c>
      <c r="N814" s="221" t="s">
        <v>302</v>
      </c>
      <c r="O814" s="222" t="s">
        <v>15</v>
      </c>
      <c r="P814" s="222" t="s">
        <v>15</v>
      </c>
      <c r="Q814" s="222" t="s">
        <v>15</v>
      </c>
      <c r="R814" s="222" t="s">
        <v>15</v>
      </c>
      <c r="S814" s="222" t="s">
        <v>16</v>
      </c>
      <c r="T814" s="222" t="s">
        <v>349</v>
      </c>
      <c r="U814" s="222" t="s">
        <v>269</v>
      </c>
      <c r="V814" s="222" t="s">
        <v>302</v>
      </c>
      <c r="W814" s="223" t="s">
        <v>302</v>
      </c>
      <c r="X814" s="223" t="s">
        <v>302</v>
      </c>
      <c r="Y814" s="224" t="s">
        <v>302</v>
      </c>
    </row>
    <row r="815" spans="1:25">
      <c r="A815" s="216">
        <v>15</v>
      </c>
      <c r="B815" s="217" t="str">
        <f>VLOOKUP(Tabel10[[#This Row],[Code]],Ruimtegroepen[[Code]:[Ruimte omschrijving]],2,FALSE)</f>
        <v>Keuken/pantry</v>
      </c>
      <c r="C815" s="218" t="s">
        <v>977</v>
      </c>
      <c r="D815" s="217" t="s">
        <v>13</v>
      </c>
      <c r="E815" s="219" t="s">
        <v>100</v>
      </c>
      <c r="F815" s="218" t="s">
        <v>979</v>
      </c>
      <c r="G815" s="263" t="s">
        <v>302</v>
      </c>
      <c r="H815" s="221" t="s">
        <v>15</v>
      </c>
      <c r="I815" s="220" t="s">
        <v>302</v>
      </c>
      <c r="J815" s="221" t="s">
        <v>302</v>
      </c>
      <c r="K815" s="221" t="s">
        <v>302</v>
      </c>
      <c r="L815" s="220" t="s">
        <v>302</v>
      </c>
      <c r="M815" s="220" t="s">
        <v>302</v>
      </c>
      <c r="N815" s="221" t="s">
        <v>302</v>
      </c>
      <c r="O815" s="222" t="s">
        <v>15</v>
      </c>
      <c r="P815" s="222" t="s">
        <v>15</v>
      </c>
      <c r="Q815" s="222" t="s">
        <v>15</v>
      </c>
      <c r="R815" s="222" t="s">
        <v>15</v>
      </c>
      <c r="S815" s="222" t="s">
        <v>16</v>
      </c>
      <c r="T815" s="222" t="s">
        <v>349</v>
      </c>
      <c r="U815" s="222" t="s">
        <v>269</v>
      </c>
      <c r="V815" s="222" t="s">
        <v>302</v>
      </c>
      <c r="W815" s="223" t="s">
        <v>302</v>
      </c>
      <c r="X815" s="223" t="s">
        <v>302</v>
      </c>
      <c r="Y815" s="224" t="s">
        <v>302</v>
      </c>
    </row>
    <row r="816" spans="1:25">
      <c r="A816" s="216">
        <v>15</v>
      </c>
      <c r="B816" s="217" t="str">
        <f>VLOOKUP(Tabel10[[#This Row],[Code]],Ruimtegroepen[[Code]:[Ruimte omschrijving]],2,FALSE)</f>
        <v>Keuken/pantry</v>
      </c>
      <c r="C816" s="218" t="s">
        <v>977</v>
      </c>
      <c r="D816" s="217" t="s">
        <v>13</v>
      </c>
      <c r="E816" s="219" t="s">
        <v>102</v>
      </c>
      <c r="F816" s="218" t="s">
        <v>980</v>
      </c>
      <c r="G816" s="263" t="s">
        <v>302</v>
      </c>
      <c r="H816" s="220" t="s">
        <v>302</v>
      </c>
      <c r="I816" s="221" t="s">
        <v>15</v>
      </c>
      <c r="J816" s="221" t="s">
        <v>302</v>
      </c>
      <c r="K816" s="221" t="s">
        <v>15</v>
      </c>
      <c r="L816" s="220" t="s">
        <v>302</v>
      </c>
      <c r="M816" s="220" t="s">
        <v>302</v>
      </c>
      <c r="N816" s="221" t="s">
        <v>302</v>
      </c>
      <c r="O816" s="222" t="s">
        <v>15</v>
      </c>
      <c r="P816" s="222" t="s">
        <v>15</v>
      </c>
      <c r="Q816" s="222" t="s">
        <v>15</v>
      </c>
      <c r="R816" s="222" t="s">
        <v>15</v>
      </c>
      <c r="S816" s="222" t="s">
        <v>16</v>
      </c>
      <c r="T816" s="222" t="s">
        <v>349</v>
      </c>
      <c r="U816" s="222" t="s">
        <v>269</v>
      </c>
      <c r="V816" s="222" t="s">
        <v>302</v>
      </c>
      <c r="W816" s="223" t="s">
        <v>302</v>
      </c>
      <c r="X816" s="223" t="s">
        <v>302</v>
      </c>
      <c r="Y816" s="224" t="s">
        <v>302</v>
      </c>
    </row>
    <row r="817" spans="1:25">
      <c r="A817" s="216">
        <v>15</v>
      </c>
      <c r="B817" s="217" t="str">
        <f>VLOOKUP(Tabel10[[#This Row],[Code]],Ruimtegroepen[[Code]:[Ruimte omschrijving]],2,FALSE)</f>
        <v>Keuken/pantry</v>
      </c>
      <c r="C817" s="218" t="s">
        <v>977</v>
      </c>
      <c r="D817" s="217" t="s">
        <v>13</v>
      </c>
      <c r="E817" s="219" t="s">
        <v>103</v>
      </c>
      <c r="F817" s="218" t="s">
        <v>981</v>
      </c>
      <c r="G817" s="263" t="s">
        <v>302</v>
      </c>
      <c r="H817" s="220" t="s">
        <v>302</v>
      </c>
      <c r="I817" s="221" t="s">
        <v>15</v>
      </c>
      <c r="J817" s="221" t="s">
        <v>302</v>
      </c>
      <c r="K817" s="221" t="s">
        <v>15</v>
      </c>
      <c r="L817" s="220" t="s">
        <v>302</v>
      </c>
      <c r="M817" s="220" t="s">
        <v>302</v>
      </c>
      <c r="N817" s="221" t="s">
        <v>302</v>
      </c>
      <c r="O817" s="222" t="s">
        <v>15</v>
      </c>
      <c r="P817" s="222" t="s">
        <v>15</v>
      </c>
      <c r="Q817" s="222" t="s">
        <v>15</v>
      </c>
      <c r="R817" s="222" t="s">
        <v>15</v>
      </c>
      <c r="S817" s="222" t="s">
        <v>16</v>
      </c>
      <c r="T817" s="222" t="s">
        <v>349</v>
      </c>
      <c r="U817" s="222" t="s">
        <v>269</v>
      </c>
      <c r="V817" s="222" t="s">
        <v>302</v>
      </c>
      <c r="W817" s="223" t="s">
        <v>302</v>
      </c>
      <c r="X817" s="223" t="s">
        <v>302</v>
      </c>
      <c r="Y817" s="224" t="s">
        <v>302</v>
      </c>
    </row>
    <row r="818" spans="1:25">
      <c r="A818" s="216">
        <v>15</v>
      </c>
      <c r="B818" s="217" t="str">
        <f>VLOOKUP(Tabel10[[#This Row],[Code]],Ruimtegroepen[[Code]:[Ruimte omschrijving]],2,FALSE)</f>
        <v>Keuken/pantry</v>
      </c>
      <c r="C818" s="218" t="s">
        <v>977</v>
      </c>
      <c r="D818" s="217" t="s">
        <v>13</v>
      </c>
      <c r="E818" s="219" t="s">
        <v>100</v>
      </c>
      <c r="F818" s="218" t="s">
        <v>979</v>
      </c>
      <c r="G818" s="263" t="s">
        <v>302</v>
      </c>
      <c r="H818" s="221" t="s">
        <v>15</v>
      </c>
      <c r="I818" s="220" t="s">
        <v>302</v>
      </c>
      <c r="J818" s="221" t="s">
        <v>302</v>
      </c>
      <c r="K818" s="221" t="s">
        <v>302</v>
      </c>
      <c r="L818" s="220" t="s">
        <v>302</v>
      </c>
      <c r="M818" s="220" t="s">
        <v>302</v>
      </c>
      <c r="N818" s="221" t="s">
        <v>302</v>
      </c>
      <c r="O818" s="222" t="s">
        <v>15</v>
      </c>
      <c r="P818" s="222" t="s">
        <v>15</v>
      </c>
      <c r="Q818" s="222" t="s">
        <v>15</v>
      </c>
      <c r="R818" s="222" t="s">
        <v>15</v>
      </c>
      <c r="S818" s="222" t="s">
        <v>16</v>
      </c>
      <c r="T818" s="222" t="s">
        <v>349</v>
      </c>
      <c r="U818" s="222" t="s">
        <v>269</v>
      </c>
      <c r="V818" s="222" t="s">
        <v>302</v>
      </c>
      <c r="W818" s="223" t="s">
        <v>302</v>
      </c>
      <c r="X818" s="223" t="s">
        <v>302</v>
      </c>
      <c r="Y818" s="224" t="s">
        <v>302</v>
      </c>
    </row>
    <row r="819" spans="1:25">
      <c r="A819" s="216">
        <v>15</v>
      </c>
      <c r="B819" s="217" t="str">
        <f>VLOOKUP(Tabel10[[#This Row],[Code]],Ruimtegroepen[[Code]:[Ruimte omschrijving]],2,FALSE)</f>
        <v>Keuken/pantry</v>
      </c>
      <c r="C819" s="218" t="s">
        <v>977</v>
      </c>
      <c r="D819" s="217" t="s">
        <v>13</v>
      </c>
      <c r="E819" s="219" t="s">
        <v>1325</v>
      </c>
      <c r="F819" s="218" t="s">
        <v>1387</v>
      </c>
      <c r="G819" s="263" t="s">
        <v>302</v>
      </c>
      <c r="H819" s="220" t="s">
        <v>302</v>
      </c>
      <c r="I819" s="221" t="s">
        <v>15</v>
      </c>
      <c r="J819" s="221" t="s">
        <v>302</v>
      </c>
      <c r="K819" s="221" t="s">
        <v>15</v>
      </c>
      <c r="L819" s="220" t="s">
        <v>302</v>
      </c>
      <c r="M819" s="220" t="s">
        <v>302</v>
      </c>
      <c r="N819" s="221" t="s">
        <v>302</v>
      </c>
      <c r="O819" s="222" t="s">
        <v>15</v>
      </c>
      <c r="P819" s="222" t="s">
        <v>15</v>
      </c>
      <c r="Q819" s="222" t="s">
        <v>15</v>
      </c>
      <c r="R819" s="222" t="s">
        <v>15</v>
      </c>
      <c r="S819" s="222" t="s">
        <v>16</v>
      </c>
      <c r="T819" s="222" t="s">
        <v>349</v>
      </c>
      <c r="U819" s="222" t="s">
        <v>269</v>
      </c>
      <c r="V819" s="222" t="s">
        <v>302</v>
      </c>
      <c r="W819" s="223" t="s">
        <v>302</v>
      </c>
      <c r="X819" s="223" t="s">
        <v>302</v>
      </c>
      <c r="Y819" s="224" t="s">
        <v>302</v>
      </c>
    </row>
    <row r="820" spans="1:25">
      <c r="A820" s="216">
        <v>15</v>
      </c>
      <c r="B820" s="217" t="str">
        <f>VLOOKUP(Tabel10[[#This Row],[Code]],Ruimtegroepen[[Code]:[Ruimte omschrijving]],2,FALSE)</f>
        <v>Keuken/pantry</v>
      </c>
      <c r="C820" s="218" t="s">
        <v>982</v>
      </c>
      <c r="D820" s="217" t="s">
        <v>0</v>
      </c>
      <c r="E820" s="219" t="s">
        <v>101</v>
      </c>
      <c r="F820" s="218" t="s">
        <v>983</v>
      </c>
      <c r="G820" s="263" t="s">
        <v>302</v>
      </c>
      <c r="H820" s="220" t="s">
        <v>302</v>
      </c>
      <c r="I820" s="220" t="s">
        <v>302</v>
      </c>
      <c r="J820" s="221" t="s">
        <v>16</v>
      </c>
      <c r="K820" s="221" t="s">
        <v>302</v>
      </c>
      <c r="L820" s="220" t="s">
        <v>302</v>
      </c>
      <c r="M820" s="220" t="s">
        <v>302</v>
      </c>
      <c r="N820" s="221" t="s">
        <v>302</v>
      </c>
      <c r="O820" s="222" t="s">
        <v>16</v>
      </c>
      <c r="P820" s="222" t="s">
        <v>16</v>
      </c>
      <c r="Q820" s="222" t="s">
        <v>16</v>
      </c>
      <c r="R820" s="222" t="s">
        <v>16</v>
      </c>
      <c r="S820" s="222" t="s">
        <v>16</v>
      </c>
      <c r="T820" s="222" t="s">
        <v>349</v>
      </c>
      <c r="U820" s="222" t="s">
        <v>269</v>
      </c>
      <c r="V820" s="222" t="s">
        <v>302</v>
      </c>
      <c r="W820" s="223" t="s">
        <v>302</v>
      </c>
      <c r="X820" s="223" t="s">
        <v>302</v>
      </c>
      <c r="Y820" s="224" t="s">
        <v>302</v>
      </c>
    </row>
    <row r="821" spans="1:25">
      <c r="A821" s="216">
        <v>15</v>
      </c>
      <c r="B821" s="217" t="str">
        <f>VLOOKUP(Tabel10[[#This Row],[Code]],Ruimtegroepen[[Code]:[Ruimte omschrijving]],2,FALSE)</f>
        <v>Keuken/pantry</v>
      </c>
      <c r="C821" s="218" t="s">
        <v>982</v>
      </c>
      <c r="D821" s="217" t="s">
        <v>0</v>
      </c>
      <c r="E821" s="219" t="s">
        <v>100</v>
      </c>
      <c r="F821" s="218" t="s">
        <v>984</v>
      </c>
      <c r="G821" s="263" t="s">
        <v>302</v>
      </c>
      <c r="H821" s="221" t="s">
        <v>16</v>
      </c>
      <c r="I821" s="220" t="s">
        <v>302</v>
      </c>
      <c r="J821" s="221" t="s">
        <v>302</v>
      </c>
      <c r="K821" s="221" t="s">
        <v>302</v>
      </c>
      <c r="L821" s="220" t="s">
        <v>302</v>
      </c>
      <c r="M821" s="220" t="s">
        <v>302</v>
      </c>
      <c r="N821" s="221" t="s">
        <v>302</v>
      </c>
      <c r="O821" s="222" t="s">
        <v>16</v>
      </c>
      <c r="P821" s="222" t="s">
        <v>16</v>
      </c>
      <c r="Q821" s="222" t="s">
        <v>16</v>
      </c>
      <c r="R821" s="222" t="s">
        <v>16</v>
      </c>
      <c r="S821" s="222" t="s">
        <v>16</v>
      </c>
      <c r="T821" s="222" t="s">
        <v>349</v>
      </c>
      <c r="U821" s="222" t="s">
        <v>269</v>
      </c>
      <c r="V821" s="222" t="s">
        <v>302</v>
      </c>
      <c r="W821" s="223" t="s">
        <v>302</v>
      </c>
      <c r="X821" s="223" t="s">
        <v>302</v>
      </c>
      <c r="Y821" s="224" t="s">
        <v>302</v>
      </c>
    </row>
    <row r="822" spans="1:25">
      <c r="A822" s="216">
        <v>15</v>
      </c>
      <c r="B822" s="217" t="str">
        <f>VLOOKUP(Tabel10[[#This Row],[Code]],Ruimtegroepen[[Code]:[Ruimte omschrijving]],2,FALSE)</f>
        <v>Keuken/pantry</v>
      </c>
      <c r="C822" s="218" t="s">
        <v>982</v>
      </c>
      <c r="D822" s="217" t="s">
        <v>0</v>
      </c>
      <c r="E822" s="219" t="s">
        <v>102</v>
      </c>
      <c r="F822" s="218" t="s">
        <v>985</v>
      </c>
      <c r="G822" s="263" t="s">
        <v>302</v>
      </c>
      <c r="H822" s="220" t="s">
        <v>302</v>
      </c>
      <c r="I822" s="221" t="s">
        <v>16</v>
      </c>
      <c r="J822" s="221" t="s">
        <v>381</v>
      </c>
      <c r="K822" s="221" t="s">
        <v>16</v>
      </c>
      <c r="L822" s="220" t="s">
        <v>302</v>
      </c>
      <c r="M822" s="220" t="s">
        <v>302</v>
      </c>
      <c r="N822" s="221" t="s">
        <v>302</v>
      </c>
      <c r="O822" s="222" t="s">
        <v>16</v>
      </c>
      <c r="P822" s="222" t="s">
        <v>16</v>
      </c>
      <c r="Q822" s="222" t="s">
        <v>16</v>
      </c>
      <c r="R822" s="222" t="s">
        <v>16</v>
      </c>
      <c r="S822" s="222" t="s">
        <v>16</v>
      </c>
      <c r="T822" s="222" t="s">
        <v>349</v>
      </c>
      <c r="U822" s="222" t="s">
        <v>269</v>
      </c>
      <c r="V822" s="222" t="s">
        <v>302</v>
      </c>
      <c r="W822" s="223" t="s">
        <v>302</v>
      </c>
      <c r="X822" s="223" t="s">
        <v>302</v>
      </c>
      <c r="Y822" s="224" t="s">
        <v>302</v>
      </c>
    </row>
    <row r="823" spans="1:25">
      <c r="A823" s="216">
        <v>15</v>
      </c>
      <c r="B823" s="217" t="str">
        <f>VLOOKUP(Tabel10[[#This Row],[Code]],Ruimtegroepen[[Code]:[Ruimte omschrijving]],2,FALSE)</f>
        <v>Keuken/pantry</v>
      </c>
      <c r="C823" s="218" t="s">
        <v>982</v>
      </c>
      <c r="D823" s="217" t="s">
        <v>0</v>
      </c>
      <c r="E823" s="219" t="s">
        <v>103</v>
      </c>
      <c r="F823" s="218" t="s">
        <v>986</v>
      </c>
      <c r="G823" s="263" t="s">
        <v>302</v>
      </c>
      <c r="H823" s="220" t="s">
        <v>302</v>
      </c>
      <c r="I823" s="221" t="s">
        <v>16</v>
      </c>
      <c r="J823" s="221" t="s">
        <v>302</v>
      </c>
      <c r="K823" s="221" t="s">
        <v>16</v>
      </c>
      <c r="L823" s="220" t="s">
        <v>302</v>
      </c>
      <c r="M823" s="220" t="s">
        <v>302</v>
      </c>
      <c r="N823" s="221" t="s">
        <v>302</v>
      </c>
      <c r="O823" s="222" t="s">
        <v>16</v>
      </c>
      <c r="P823" s="222" t="s">
        <v>16</v>
      </c>
      <c r="Q823" s="222" t="s">
        <v>16</v>
      </c>
      <c r="R823" s="222" t="s">
        <v>16</v>
      </c>
      <c r="S823" s="222" t="s">
        <v>16</v>
      </c>
      <c r="T823" s="222" t="s">
        <v>349</v>
      </c>
      <c r="U823" s="222" t="s">
        <v>269</v>
      </c>
      <c r="V823" s="222" t="s">
        <v>302</v>
      </c>
      <c r="W823" s="223" t="s">
        <v>302</v>
      </c>
      <c r="X823" s="223" t="s">
        <v>302</v>
      </c>
      <c r="Y823" s="224" t="s">
        <v>302</v>
      </c>
    </row>
    <row r="824" spans="1:25">
      <c r="A824" s="216">
        <v>15</v>
      </c>
      <c r="B824" s="217" t="str">
        <f>VLOOKUP(Tabel10[[#This Row],[Code]],Ruimtegroepen[[Code]:[Ruimte omschrijving]],2,FALSE)</f>
        <v>Keuken/pantry</v>
      </c>
      <c r="C824" s="218" t="s">
        <v>982</v>
      </c>
      <c r="D824" s="217" t="s">
        <v>0</v>
      </c>
      <c r="E824" s="219" t="s">
        <v>100</v>
      </c>
      <c r="F824" s="218" t="s">
        <v>984</v>
      </c>
      <c r="G824" s="263" t="s">
        <v>302</v>
      </c>
      <c r="H824" s="221" t="s">
        <v>16</v>
      </c>
      <c r="I824" s="220" t="s">
        <v>302</v>
      </c>
      <c r="J824" s="221" t="s">
        <v>302</v>
      </c>
      <c r="K824" s="221" t="s">
        <v>302</v>
      </c>
      <c r="L824" s="220" t="s">
        <v>302</v>
      </c>
      <c r="M824" s="220" t="s">
        <v>302</v>
      </c>
      <c r="N824" s="221" t="s">
        <v>302</v>
      </c>
      <c r="O824" s="222" t="s">
        <v>16</v>
      </c>
      <c r="P824" s="222" t="s">
        <v>16</v>
      </c>
      <c r="Q824" s="222" t="s">
        <v>16</v>
      </c>
      <c r="R824" s="222" t="s">
        <v>16</v>
      </c>
      <c r="S824" s="222" t="s">
        <v>16</v>
      </c>
      <c r="T824" s="222" t="s">
        <v>349</v>
      </c>
      <c r="U824" s="222" t="s">
        <v>269</v>
      </c>
      <c r="V824" s="222" t="s">
        <v>302</v>
      </c>
      <c r="W824" s="223" t="s">
        <v>302</v>
      </c>
      <c r="X824" s="223" t="s">
        <v>302</v>
      </c>
      <c r="Y824" s="224" t="s">
        <v>302</v>
      </c>
    </row>
    <row r="825" spans="1:25">
      <c r="A825" s="216">
        <v>15</v>
      </c>
      <c r="B825" s="217" t="str">
        <f>VLOOKUP(Tabel10[[#This Row],[Code]],Ruimtegroepen[[Code]:[Ruimte omschrijving]],2,FALSE)</f>
        <v>Keuken/pantry</v>
      </c>
      <c r="C825" s="218" t="s">
        <v>982</v>
      </c>
      <c r="D825" s="217" t="s">
        <v>0</v>
      </c>
      <c r="E825" s="219" t="s">
        <v>1325</v>
      </c>
      <c r="F825" s="218" t="s">
        <v>1371</v>
      </c>
      <c r="G825" s="263" t="s">
        <v>302</v>
      </c>
      <c r="H825" s="220" t="s">
        <v>302</v>
      </c>
      <c r="I825" s="221" t="s">
        <v>16</v>
      </c>
      <c r="J825" s="221" t="s">
        <v>302</v>
      </c>
      <c r="K825" s="221" t="s">
        <v>16</v>
      </c>
      <c r="L825" s="220" t="s">
        <v>302</v>
      </c>
      <c r="M825" s="220" t="s">
        <v>302</v>
      </c>
      <c r="N825" s="221" t="s">
        <v>302</v>
      </c>
      <c r="O825" s="222" t="s">
        <v>16</v>
      </c>
      <c r="P825" s="222" t="s">
        <v>16</v>
      </c>
      <c r="Q825" s="222" t="s">
        <v>16</v>
      </c>
      <c r="R825" s="222" t="s">
        <v>16</v>
      </c>
      <c r="S825" s="222" t="s">
        <v>16</v>
      </c>
      <c r="T825" s="222" t="s">
        <v>349</v>
      </c>
      <c r="U825" s="222" t="s">
        <v>269</v>
      </c>
      <c r="V825" s="222" t="s">
        <v>302</v>
      </c>
      <c r="W825" s="223" t="s">
        <v>302</v>
      </c>
      <c r="X825" s="223" t="s">
        <v>302</v>
      </c>
      <c r="Y825" s="224" t="s">
        <v>302</v>
      </c>
    </row>
    <row r="826" spans="1:25">
      <c r="A826" s="216">
        <v>15</v>
      </c>
      <c r="B826" s="217" t="str">
        <f>VLOOKUP(Tabel10[[#This Row],[Code]],Ruimtegroepen[[Code]:[Ruimte omschrijving]],2,FALSE)</f>
        <v>Keuken/pantry</v>
      </c>
      <c r="C826" s="218" t="s">
        <v>987</v>
      </c>
      <c r="D826" s="217" t="s">
        <v>27</v>
      </c>
      <c r="E826" s="219" t="s">
        <v>101</v>
      </c>
      <c r="F826" s="218" t="s">
        <v>988</v>
      </c>
      <c r="G826" s="263" t="s">
        <v>302</v>
      </c>
      <c r="H826" s="220" t="s">
        <v>302</v>
      </c>
      <c r="I826" s="221" t="s">
        <v>15</v>
      </c>
      <c r="J826" s="220" t="s">
        <v>302</v>
      </c>
      <c r="K826" s="221" t="s">
        <v>302</v>
      </c>
      <c r="L826" s="220" t="s">
        <v>302</v>
      </c>
      <c r="M826" s="220" t="s">
        <v>302</v>
      </c>
      <c r="N826" s="221" t="s">
        <v>302</v>
      </c>
      <c r="O826" s="222" t="s">
        <v>15</v>
      </c>
      <c r="P826" s="222" t="s">
        <v>15</v>
      </c>
      <c r="Q826" s="222" t="s">
        <v>15</v>
      </c>
      <c r="R826" s="222" t="s">
        <v>302</v>
      </c>
      <c r="S826" s="222" t="s">
        <v>302</v>
      </c>
      <c r="T826" s="222" t="s">
        <v>302</v>
      </c>
      <c r="U826" s="222" t="s">
        <v>302</v>
      </c>
      <c r="V826" s="222" t="s">
        <v>302</v>
      </c>
      <c r="W826" s="223" t="s">
        <v>302</v>
      </c>
      <c r="X826" s="223" t="s">
        <v>302</v>
      </c>
      <c r="Y826" s="224" t="s">
        <v>302</v>
      </c>
    </row>
    <row r="827" spans="1:25">
      <c r="A827" s="216">
        <v>15</v>
      </c>
      <c r="B827" s="217" t="str">
        <f>VLOOKUP(Tabel10[[#This Row],[Code]],Ruimtegroepen[[Code]:[Ruimte omschrijving]],2,FALSE)</f>
        <v>Keuken/pantry</v>
      </c>
      <c r="C827" s="218" t="s">
        <v>987</v>
      </c>
      <c r="D827" s="217" t="s">
        <v>27</v>
      </c>
      <c r="E827" s="219" t="s">
        <v>100</v>
      </c>
      <c r="F827" s="218" t="s">
        <v>989</v>
      </c>
      <c r="G827" s="263" t="s">
        <v>302</v>
      </c>
      <c r="H827" s="221" t="s">
        <v>15</v>
      </c>
      <c r="I827" s="220" t="s">
        <v>302</v>
      </c>
      <c r="J827" s="221" t="s">
        <v>302</v>
      </c>
      <c r="K827" s="221" t="s">
        <v>302</v>
      </c>
      <c r="L827" s="220" t="s">
        <v>302</v>
      </c>
      <c r="M827" s="220" t="s">
        <v>302</v>
      </c>
      <c r="N827" s="221" t="s">
        <v>302</v>
      </c>
      <c r="O827" s="222" t="s">
        <v>15</v>
      </c>
      <c r="P827" s="222" t="s">
        <v>15</v>
      </c>
      <c r="Q827" s="222" t="s">
        <v>15</v>
      </c>
      <c r="R827" s="222" t="s">
        <v>302</v>
      </c>
      <c r="S827" s="222" t="s">
        <v>302</v>
      </c>
      <c r="T827" s="222" t="s">
        <v>302</v>
      </c>
      <c r="U827" s="222" t="s">
        <v>302</v>
      </c>
      <c r="V827" s="222" t="s">
        <v>302</v>
      </c>
      <c r="W827" s="223" t="s">
        <v>302</v>
      </c>
      <c r="X827" s="223" t="s">
        <v>302</v>
      </c>
      <c r="Y827" s="224" t="s">
        <v>302</v>
      </c>
    </row>
    <row r="828" spans="1:25">
      <c r="A828" s="216">
        <v>15</v>
      </c>
      <c r="B828" s="217" t="str">
        <f>VLOOKUP(Tabel10[[#This Row],[Code]],Ruimtegroepen[[Code]:[Ruimte omschrijving]],2,FALSE)</f>
        <v>Keuken/pantry</v>
      </c>
      <c r="C828" s="218" t="s">
        <v>987</v>
      </c>
      <c r="D828" s="217" t="s">
        <v>27</v>
      </c>
      <c r="E828" s="219" t="s">
        <v>102</v>
      </c>
      <c r="F828" s="218" t="s">
        <v>990</v>
      </c>
      <c r="G828" s="263" t="s">
        <v>302</v>
      </c>
      <c r="H828" s="220" t="s">
        <v>302</v>
      </c>
      <c r="I828" s="221" t="s">
        <v>15</v>
      </c>
      <c r="J828" s="221" t="s">
        <v>302</v>
      </c>
      <c r="K828" s="221" t="s">
        <v>302</v>
      </c>
      <c r="L828" s="220" t="s">
        <v>302</v>
      </c>
      <c r="M828" s="220" t="s">
        <v>302</v>
      </c>
      <c r="N828" s="221" t="s">
        <v>302</v>
      </c>
      <c r="O828" s="222" t="s">
        <v>15</v>
      </c>
      <c r="P828" s="222" t="s">
        <v>15</v>
      </c>
      <c r="Q828" s="222" t="s">
        <v>15</v>
      </c>
      <c r="R828" s="222" t="s">
        <v>302</v>
      </c>
      <c r="S828" s="222" t="s">
        <v>302</v>
      </c>
      <c r="T828" s="222" t="s">
        <v>302</v>
      </c>
      <c r="U828" s="222" t="s">
        <v>302</v>
      </c>
      <c r="V828" s="222" t="s">
        <v>302</v>
      </c>
      <c r="W828" s="223" t="s">
        <v>302</v>
      </c>
      <c r="X828" s="223" t="s">
        <v>302</v>
      </c>
      <c r="Y828" s="224" t="s">
        <v>302</v>
      </c>
    </row>
    <row r="829" spans="1:25">
      <c r="A829" s="216">
        <v>15</v>
      </c>
      <c r="B829" s="217" t="str">
        <f>VLOOKUP(Tabel10[[#This Row],[Code]],Ruimtegroepen[[Code]:[Ruimte omschrijving]],2,FALSE)</f>
        <v>Keuken/pantry</v>
      </c>
      <c r="C829" s="218" t="s">
        <v>987</v>
      </c>
      <c r="D829" s="217" t="s">
        <v>27</v>
      </c>
      <c r="E829" s="219" t="s">
        <v>103</v>
      </c>
      <c r="F829" s="218" t="s">
        <v>991</v>
      </c>
      <c r="G829" s="263" t="s">
        <v>302</v>
      </c>
      <c r="H829" s="220" t="s">
        <v>302</v>
      </c>
      <c r="I829" s="221" t="s">
        <v>15</v>
      </c>
      <c r="J829" s="221" t="s">
        <v>302</v>
      </c>
      <c r="K829" s="221" t="s">
        <v>302</v>
      </c>
      <c r="L829" s="220" t="s">
        <v>302</v>
      </c>
      <c r="M829" s="220" t="s">
        <v>302</v>
      </c>
      <c r="N829" s="221" t="s">
        <v>302</v>
      </c>
      <c r="O829" s="222" t="s">
        <v>15</v>
      </c>
      <c r="P829" s="222" t="s">
        <v>15</v>
      </c>
      <c r="Q829" s="222" t="s">
        <v>15</v>
      </c>
      <c r="R829" s="222" t="s">
        <v>302</v>
      </c>
      <c r="S829" s="222" t="s">
        <v>302</v>
      </c>
      <c r="T829" s="222" t="s">
        <v>302</v>
      </c>
      <c r="U829" s="222" t="s">
        <v>302</v>
      </c>
      <c r="V829" s="222" t="s">
        <v>302</v>
      </c>
      <c r="W829" s="223" t="s">
        <v>302</v>
      </c>
      <c r="X829" s="223" t="s">
        <v>302</v>
      </c>
      <c r="Y829" s="224" t="s">
        <v>302</v>
      </c>
    </row>
    <row r="830" spans="1:25">
      <c r="A830" s="216">
        <v>15</v>
      </c>
      <c r="B830" s="217" t="str">
        <f>VLOOKUP(Tabel10[[#This Row],[Code]],Ruimtegroepen[[Code]:[Ruimte omschrijving]],2,FALSE)</f>
        <v>Keuken/pantry</v>
      </c>
      <c r="C830" s="218" t="s">
        <v>987</v>
      </c>
      <c r="D830" s="217" t="s">
        <v>27</v>
      </c>
      <c r="E830" s="219" t="s">
        <v>100</v>
      </c>
      <c r="F830" s="218" t="s">
        <v>989</v>
      </c>
      <c r="G830" s="263" t="s">
        <v>302</v>
      </c>
      <c r="H830" s="221" t="s">
        <v>15</v>
      </c>
      <c r="I830" s="220" t="s">
        <v>302</v>
      </c>
      <c r="J830" s="221" t="s">
        <v>302</v>
      </c>
      <c r="K830" s="221" t="s">
        <v>302</v>
      </c>
      <c r="L830" s="220" t="s">
        <v>302</v>
      </c>
      <c r="M830" s="220" t="s">
        <v>302</v>
      </c>
      <c r="N830" s="221" t="s">
        <v>302</v>
      </c>
      <c r="O830" s="222" t="s">
        <v>15</v>
      </c>
      <c r="P830" s="222" t="s">
        <v>15</v>
      </c>
      <c r="Q830" s="222" t="s">
        <v>15</v>
      </c>
      <c r="R830" s="222" t="s">
        <v>302</v>
      </c>
      <c r="S830" s="222" t="s">
        <v>302</v>
      </c>
      <c r="T830" s="222" t="s">
        <v>302</v>
      </c>
      <c r="U830" s="222" t="s">
        <v>302</v>
      </c>
      <c r="V830" s="222" t="s">
        <v>302</v>
      </c>
      <c r="W830" s="223" t="s">
        <v>302</v>
      </c>
      <c r="X830" s="223" t="s">
        <v>302</v>
      </c>
      <c r="Y830" s="224" t="s">
        <v>302</v>
      </c>
    </row>
    <row r="831" spans="1:25">
      <c r="A831" s="216">
        <v>15</v>
      </c>
      <c r="B831" s="217" t="str">
        <f>VLOOKUP(Tabel10[[#This Row],[Code]],Ruimtegroepen[[Code]:[Ruimte omschrijving]],2,FALSE)</f>
        <v>Keuken/pantry</v>
      </c>
      <c r="C831" s="218" t="s">
        <v>987</v>
      </c>
      <c r="D831" s="217" t="s">
        <v>27</v>
      </c>
      <c r="E831" s="219" t="s">
        <v>1325</v>
      </c>
      <c r="F831" s="218" t="s">
        <v>1404</v>
      </c>
      <c r="G831" s="263" t="s">
        <v>302</v>
      </c>
      <c r="H831" s="220" t="s">
        <v>302</v>
      </c>
      <c r="I831" s="221" t="s">
        <v>15</v>
      </c>
      <c r="J831" s="221" t="s">
        <v>302</v>
      </c>
      <c r="K831" s="221" t="s">
        <v>302</v>
      </c>
      <c r="L831" s="220" t="s">
        <v>302</v>
      </c>
      <c r="M831" s="220" t="s">
        <v>302</v>
      </c>
      <c r="N831" s="221" t="s">
        <v>302</v>
      </c>
      <c r="O831" s="222" t="s">
        <v>15</v>
      </c>
      <c r="P831" s="222" t="s">
        <v>15</v>
      </c>
      <c r="Q831" s="222" t="s">
        <v>15</v>
      </c>
      <c r="R831" s="222" t="s">
        <v>302</v>
      </c>
      <c r="S831" s="222" t="s">
        <v>302</v>
      </c>
      <c r="T831" s="222" t="s">
        <v>302</v>
      </c>
      <c r="U831" s="222" t="s">
        <v>302</v>
      </c>
      <c r="V831" s="222" t="s">
        <v>302</v>
      </c>
      <c r="W831" s="223" t="s">
        <v>302</v>
      </c>
      <c r="X831" s="223" t="s">
        <v>302</v>
      </c>
      <c r="Y831" s="224" t="s">
        <v>302</v>
      </c>
    </row>
    <row r="832" spans="1:25">
      <c r="A832" s="216">
        <v>15</v>
      </c>
      <c r="B832" s="217" t="str">
        <f>VLOOKUP(Tabel10[[#This Row],[Code]],Ruimtegroepen[[Code]:[Ruimte omschrijving]],2,FALSE)</f>
        <v>Keuken/pantry</v>
      </c>
      <c r="C832" s="218" t="s">
        <v>992</v>
      </c>
      <c r="D832" s="217" t="s">
        <v>28</v>
      </c>
      <c r="E832" s="219" t="s">
        <v>101</v>
      </c>
      <c r="F832" s="218" t="s">
        <v>993</v>
      </c>
      <c r="G832" s="263" t="s">
        <v>302</v>
      </c>
      <c r="H832" s="220" t="s">
        <v>302</v>
      </c>
      <c r="I832" s="221" t="s">
        <v>17</v>
      </c>
      <c r="J832" s="220" t="s">
        <v>302</v>
      </c>
      <c r="K832" s="221" t="s">
        <v>302</v>
      </c>
      <c r="L832" s="220" t="s">
        <v>302</v>
      </c>
      <c r="M832" s="220" t="s">
        <v>302</v>
      </c>
      <c r="N832" s="221" t="s">
        <v>302</v>
      </c>
      <c r="O832" s="222" t="s">
        <v>17</v>
      </c>
      <c r="P832" s="222" t="s">
        <v>17</v>
      </c>
      <c r="Q832" s="222" t="s">
        <v>15</v>
      </c>
      <c r="R832" s="222" t="s">
        <v>302</v>
      </c>
      <c r="S832" s="222" t="s">
        <v>302</v>
      </c>
      <c r="T832" s="222" t="s">
        <v>302</v>
      </c>
      <c r="U832" s="222" t="s">
        <v>302</v>
      </c>
      <c r="V832" s="222" t="s">
        <v>302</v>
      </c>
      <c r="W832" s="223" t="s">
        <v>302</v>
      </c>
      <c r="X832" s="223" t="s">
        <v>302</v>
      </c>
      <c r="Y832" s="224" t="s">
        <v>302</v>
      </c>
    </row>
    <row r="833" spans="1:25">
      <c r="A833" s="216">
        <v>15</v>
      </c>
      <c r="B833" s="217" t="str">
        <f>VLOOKUP(Tabel10[[#This Row],[Code]],Ruimtegroepen[[Code]:[Ruimte omschrijving]],2,FALSE)</f>
        <v>Keuken/pantry</v>
      </c>
      <c r="C833" s="218" t="s">
        <v>992</v>
      </c>
      <c r="D833" s="217" t="s">
        <v>28</v>
      </c>
      <c r="E833" s="219" t="s">
        <v>100</v>
      </c>
      <c r="F833" s="218" t="s">
        <v>994</v>
      </c>
      <c r="G833" s="263" t="s">
        <v>302</v>
      </c>
      <c r="H833" s="221" t="s">
        <v>17</v>
      </c>
      <c r="I833" s="220" t="s">
        <v>302</v>
      </c>
      <c r="J833" s="221" t="s">
        <v>302</v>
      </c>
      <c r="K833" s="221" t="s">
        <v>302</v>
      </c>
      <c r="L833" s="220" t="s">
        <v>302</v>
      </c>
      <c r="M833" s="220" t="s">
        <v>302</v>
      </c>
      <c r="N833" s="221" t="s">
        <v>302</v>
      </c>
      <c r="O833" s="222" t="s">
        <v>17</v>
      </c>
      <c r="P833" s="222" t="s">
        <v>17</v>
      </c>
      <c r="Q833" s="222" t="s">
        <v>15</v>
      </c>
      <c r="R833" s="222" t="s">
        <v>302</v>
      </c>
      <c r="S833" s="222" t="s">
        <v>302</v>
      </c>
      <c r="T833" s="222" t="s">
        <v>302</v>
      </c>
      <c r="U833" s="222" t="s">
        <v>302</v>
      </c>
      <c r="V833" s="222" t="s">
        <v>302</v>
      </c>
      <c r="W833" s="223" t="s">
        <v>302</v>
      </c>
      <c r="X833" s="223" t="s">
        <v>302</v>
      </c>
      <c r="Y833" s="224" t="s">
        <v>302</v>
      </c>
    </row>
    <row r="834" spans="1:25">
      <c r="A834" s="216">
        <v>15</v>
      </c>
      <c r="B834" s="217" t="str">
        <f>VLOOKUP(Tabel10[[#This Row],[Code]],Ruimtegroepen[[Code]:[Ruimte omschrijving]],2,FALSE)</f>
        <v>Keuken/pantry</v>
      </c>
      <c r="C834" s="218" t="s">
        <v>992</v>
      </c>
      <c r="D834" s="217" t="s">
        <v>28</v>
      </c>
      <c r="E834" s="219" t="s">
        <v>102</v>
      </c>
      <c r="F834" s="218" t="s">
        <v>995</v>
      </c>
      <c r="G834" s="263" t="s">
        <v>302</v>
      </c>
      <c r="H834" s="220" t="s">
        <v>302</v>
      </c>
      <c r="I834" s="221" t="s">
        <v>17</v>
      </c>
      <c r="J834" s="221" t="s">
        <v>302</v>
      </c>
      <c r="K834" s="221" t="s">
        <v>302</v>
      </c>
      <c r="L834" s="220" t="s">
        <v>302</v>
      </c>
      <c r="M834" s="220" t="s">
        <v>302</v>
      </c>
      <c r="N834" s="221" t="s">
        <v>302</v>
      </c>
      <c r="O834" s="222" t="s">
        <v>17</v>
      </c>
      <c r="P834" s="222" t="s">
        <v>17</v>
      </c>
      <c r="Q834" s="222" t="s">
        <v>15</v>
      </c>
      <c r="R834" s="222" t="s">
        <v>302</v>
      </c>
      <c r="S834" s="222" t="s">
        <v>302</v>
      </c>
      <c r="T834" s="222" t="s">
        <v>302</v>
      </c>
      <c r="U834" s="222" t="s">
        <v>302</v>
      </c>
      <c r="V834" s="222" t="s">
        <v>302</v>
      </c>
      <c r="W834" s="223" t="s">
        <v>302</v>
      </c>
      <c r="X834" s="223" t="s">
        <v>302</v>
      </c>
      <c r="Y834" s="224" t="s">
        <v>302</v>
      </c>
    </row>
    <row r="835" spans="1:25">
      <c r="A835" s="216">
        <v>15</v>
      </c>
      <c r="B835" s="217" t="str">
        <f>VLOOKUP(Tabel10[[#This Row],[Code]],Ruimtegroepen[[Code]:[Ruimte omschrijving]],2,FALSE)</f>
        <v>Keuken/pantry</v>
      </c>
      <c r="C835" s="218" t="s">
        <v>992</v>
      </c>
      <c r="D835" s="217" t="s">
        <v>28</v>
      </c>
      <c r="E835" s="219" t="s">
        <v>103</v>
      </c>
      <c r="F835" s="218" t="s">
        <v>996</v>
      </c>
      <c r="G835" s="263" t="s">
        <v>302</v>
      </c>
      <c r="H835" s="220" t="s">
        <v>302</v>
      </c>
      <c r="I835" s="221" t="s">
        <v>17</v>
      </c>
      <c r="J835" s="221" t="s">
        <v>302</v>
      </c>
      <c r="K835" s="221" t="s">
        <v>302</v>
      </c>
      <c r="L835" s="220" t="s">
        <v>302</v>
      </c>
      <c r="M835" s="220" t="s">
        <v>302</v>
      </c>
      <c r="N835" s="221" t="s">
        <v>302</v>
      </c>
      <c r="O835" s="222" t="s">
        <v>17</v>
      </c>
      <c r="P835" s="222" t="s">
        <v>17</v>
      </c>
      <c r="Q835" s="222" t="s">
        <v>15</v>
      </c>
      <c r="R835" s="222" t="s">
        <v>302</v>
      </c>
      <c r="S835" s="222" t="s">
        <v>302</v>
      </c>
      <c r="T835" s="222" t="s">
        <v>302</v>
      </c>
      <c r="U835" s="222" t="s">
        <v>302</v>
      </c>
      <c r="V835" s="222" t="s">
        <v>302</v>
      </c>
      <c r="W835" s="223" t="s">
        <v>302</v>
      </c>
      <c r="X835" s="223" t="s">
        <v>302</v>
      </c>
      <c r="Y835" s="224" t="s">
        <v>302</v>
      </c>
    </row>
    <row r="836" spans="1:25">
      <c r="A836" s="216">
        <v>15</v>
      </c>
      <c r="B836" s="217" t="str">
        <f>VLOOKUP(Tabel10[[#This Row],[Code]],Ruimtegroepen[[Code]:[Ruimte omschrijving]],2,FALSE)</f>
        <v>Keuken/pantry</v>
      </c>
      <c r="C836" s="218" t="s">
        <v>992</v>
      </c>
      <c r="D836" s="217" t="s">
        <v>28</v>
      </c>
      <c r="E836" s="219" t="s">
        <v>100</v>
      </c>
      <c r="F836" s="218" t="s">
        <v>994</v>
      </c>
      <c r="G836" s="263" t="s">
        <v>302</v>
      </c>
      <c r="H836" s="221" t="s">
        <v>17</v>
      </c>
      <c r="I836" s="220" t="s">
        <v>302</v>
      </c>
      <c r="J836" s="221" t="s">
        <v>302</v>
      </c>
      <c r="K836" s="221" t="s">
        <v>302</v>
      </c>
      <c r="L836" s="220" t="s">
        <v>302</v>
      </c>
      <c r="M836" s="220" t="s">
        <v>302</v>
      </c>
      <c r="N836" s="221" t="s">
        <v>302</v>
      </c>
      <c r="O836" s="222" t="s">
        <v>17</v>
      </c>
      <c r="P836" s="222" t="s">
        <v>17</v>
      </c>
      <c r="Q836" s="222" t="s">
        <v>15</v>
      </c>
      <c r="R836" s="222" t="s">
        <v>302</v>
      </c>
      <c r="S836" s="222" t="s">
        <v>302</v>
      </c>
      <c r="T836" s="222" t="s">
        <v>302</v>
      </c>
      <c r="U836" s="222" t="s">
        <v>302</v>
      </c>
      <c r="V836" s="222" t="s">
        <v>302</v>
      </c>
      <c r="W836" s="223" t="s">
        <v>302</v>
      </c>
      <c r="X836" s="223" t="s">
        <v>302</v>
      </c>
      <c r="Y836" s="224" t="s">
        <v>302</v>
      </c>
    </row>
    <row r="837" spans="1:25">
      <c r="A837" s="216">
        <v>15</v>
      </c>
      <c r="B837" s="217" t="str">
        <f>VLOOKUP(Tabel10[[#This Row],[Code]],Ruimtegroepen[[Code]:[Ruimte omschrijving]],2,FALSE)</f>
        <v>Keuken/pantry</v>
      </c>
      <c r="C837" s="218" t="s">
        <v>992</v>
      </c>
      <c r="D837" s="217" t="s">
        <v>28</v>
      </c>
      <c r="E837" s="219" t="s">
        <v>1325</v>
      </c>
      <c r="F837" s="218" t="s">
        <v>1437</v>
      </c>
      <c r="G837" s="263" t="s">
        <v>302</v>
      </c>
      <c r="H837" s="220" t="s">
        <v>302</v>
      </c>
      <c r="I837" s="221" t="s">
        <v>17</v>
      </c>
      <c r="J837" s="221" t="s">
        <v>302</v>
      </c>
      <c r="K837" s="221" t="s">
        <v>302</v>
      </c>
      <c r="L837" s="220" t="s">
        <v>302</v>
      </c>
      <c r="M837" s="220" t="s">
        <v>302</v>
      </c>
      <c r="N837" s="221" t="s">
        <v>302</v>
      </c>
      <c r="O837" s="222" t="s">
        <v>17</v>
      </c>
      <c r="P837" s="222" t="s">
        <v>17</v>
      </c>
      <c r="Q837" s="222" t="s">
        <v>15</v>
      </c>
      <c r="R837" s="222" t="s">
        <v>302</v>
      </c>
      <c r="S837" s="222" t="s">
        <v>302</v>
      </c>
      <c r="T837" s="222" t="s">
        <v>302</v>
      </c>
      <c r="U837" s="222" t="s">
        <v>302</v>
      </c>
      <c r="V837" s="222" t="s">
        <v>302</v>
      </c>
      <c r="W837" s="223" t="s">
        <v>302</v>
      </c>
      <c r="X837" s="223" t="s">
        <v>302</v>
      </c>
      <c r="Y837" s="224" t="s">
        <v>302</v>
      </c>
    </row>
    <row r="838" spans="1:25">
      <c r="A838" s="216">
        <v>16</v>
      </c>
      <c r="B838" s="217" t="str">
        <f>VLOOKUP(Tabel10[[#This Row],[Code]],Ruimtegroepen[[Code]:[Ruimte omschrijving]],2,FALSE)</f>
        <v>Leslokalen theorie</v>
      </c>
      <c r="C838" s="218" t="s">
        <v>997</v>
      </c>
      <c r="D838" s="217" t="s">
        <v>29</v>
      </c>
      <c r="E838" s="219" t="s">
        <v>101</v>
      </c>
      <c r="F838" s="218" t="s">
        <v>998</v>
      </c>
      <c r="G838" s="263" t="s">
        <v>302</v>
      </c>
      <c r="H838" s="220" t="s">
        <v>302</v>
      </c>
      <c r="I838" s="220" t="s">
        <v>20</v>
      </c>
      <c r="J838" s="221" t="s">
        <v>15</v>
      </c>
      <c r="K838" s="221" t="s">
        <v>302</v>
      </c>
      <c r="L838" s="220" t="s">
        <v>302</v>
      </c>
      <c r="M838" s="220" t="s">
        <v>302</v>
      </c>
      <c r="N838" s="221" t="s">
        <v>2</v>
      </c>
      <c r="O838" s="222" t="s">
        <v>2</v>
      </c>
      <c r="P838" s="222" t="s">
        <v>2</v>
      </c>
      <c r="Q838" s="222" t="s">
        <v>15</v>
      </c>
      <c r="R838" s="222" t="s">
        <v>15</v>
      </c>
      <c r="S838" s="222" t="s">
        <v>16</v>
      </c>
      <c r="T838" s="222" t="s">
        <v>349</v>
      </c>
      <c r="U838" s="222" t="s">
        <v>269</v>
      </c>
      <c r="V838" s="222" t="s">
        <v>2</v>
      </c>
      <c r="W838" s="223" t="s">
        <v>302</v>
      </c>
      <c r="X838" s="223" t="s">
        <v>302</v>
      </c>
      <c r="Y838" s="224" t="s">
        <v>302</v>
      </c>
    </row>
    <row r="839" spans="1:25">
      <c r="A839" s="216">
        <v>16</v>
      </c>
      <c r="B839" s="217" t="str">
        <f>VLOOKUP(Tabel10[[#This Row],[Code]],Ruimtegroepen[[Code]:[Ruimte omschrijving]],2,FALSE)</f>
        <v>Leslokalen theorie</v>
      </c>
      <c r="C839" s="218" t="s">
        <v>997</v>
      </c>
      <c r="D839" s="217" t="s">
        <v>29</v>
      </c>
      <c r="E839" s="219" t="s">
        <v>100</v>
      </c>
      <c r="F839" s="218" t="s">
        <v>999</v>
      </c>
      <c r="G839" s="221" t="s">
        <v>18</v>
      </c>
      <c r="H839" s="221" t="s">
        <v>17</v>
      </c>
      <c r="I839" s="220" t="s">
        <v>302</v>
      </c>
      <c r="J839" s="221" t="s">
        <v>302</v>
      </c>
      <c r="K839" s="221" t="s">
        <v>302</v>
      </c>
      <c r="L839" s="220" t="s">
        <v>302</v>
      </c>
      <c r="M839" s="220" t="s">
        <v>302</v>
      </c>
      <c r="N839" s="221" t="s">
        <v>2</v>
      </c>
      <c r="O839" s="222" t="s">
        <v>2</v>
      </c>
      <c r="P839" s="222" t="s">
        <v>2</v>
      </c>
      <c r="Q839" s="222" t="s">
        <v>15</v>
      </c>
      <c r="R839" s="222" t="s">
        <v>15</v>
      </c>
      <c r="S839" s="222" t="s">
        <v>16</v>
      </c>
      <c r="T839" s="222" t="s">
        <v>349</v>
      </c>
      <c r="U839" s="222" t="s">
        <v>269</v>
      </c>
      <c r="V839" s="222" t="s">
        <v>2</v>
      </c>
      <c r="W839" s="223" t="s">
        <v>302</v>
      </c>
      <c r="X839" s="223" t="s">
        <v>302</v>
      </c>
      <c r="Y839" s="224" t="s">
        <v>302</v>
      </c>
    </row>
    <row r="840" spans="1:25">
      <c r="A840" s="216">
        <v>16</v>
      </c>
      <c r="B840" s="217" t="str">
        <f>VLOOKUP(Tabel10[[#This Row],[Code]],Ruimtegroepen[[Code]:[Ruimte omschrijving]],2,FALSE)</f>
        <v>Leslokalen theorie</v>
      </c>
      <c r="C840" s="218" t="s">
        <v>997</v>
      </c>
      <c r="D840" s="217" t="s">
        <v>29</v>
      </c>
      <c r="E840" s="219" t="s">
        <v>102</v>
      </c>
      <c r="F840" s="218" t="s">
        <v>1000</v>
      </c>
      <c r="G840" s="263" t="s">
        <v>302</v>
      </c>
      <c r="H840" s="220" t="s">
        <v>302</v>
      </c>
      <c r="I840" s="220" t="s">
        <v>20</v>
      </c>
      <c r="J840" s="221" t="s">
        <v>15</v>
      </c>
      <c r="K840" s="221" t="s">
        <v>16</v>
      </c>
      <c r="L840" s="220" t="s">
        <v>302</v>
      </c>
      <c r="M840" s="220" t="s">
        <v>302</v>
      </c>
      <c r="N840" s="221" t="s">
        <v>2</v>
      </c>
      <c r="O840" s="222" t="s">
        <v>2</v>
      </c>
      <c r="P840" s="222" t="s">
        <v>2</v>
      </c>
      <c r="Q840" s="222" t="s">
        <v>15</v>
      </c>
      <c r="R840" s="222" t="s">
        <v>15</v>
      </c>
      <c r="S840" s="222" t="s">
        <v>16</v>
      </c>
      <c r="T840" s="222" t="s">
        <v>349</v>
      </c>
      <c r="U840" s="222" t="s">
        <v>269</v>
      </c>
      <c r="V840" s="222" t="s">
        <v>2</v>
      </c>
      <c r="W840" s="223" t="s">
        <v>302</v>
      </c>
      <c r="X840" s="223" t="s">
        <v>302</v>
      </c>
      <c r="Y840" s="224" t="s">
        <v>302</v>
      </c>
    </row>
    <row r="841" spans="1:25">
      <c r="A841" s="216">
        <v>16</v>
      </c>
      <c r="B841" s="217" t="str">
        <f>VLOOKUP(Tabel10[[#This Row],[Code]],Ruimtegroepen[[Code]:[Ruimte omschrijving]],2,FALSE)</f>
        <v>Leslokalen theorie</v>
      </c>
      <c r="C841" s="218" t="s">
        <v>997</v>
      </c>
      <c r="D841" s="217" t="s">
        <v>29</v>
      </c>
      <c r="E841" s="219" t="s">
        <v>103</v>
      </c>
      <c r="F841" s="218" t="s">
        <v>1001</v>
      </c>
      <c r="G841" s="263" t="s">
        <v>302</v>
      </c>
      <c r="H841" s="220" t="s">
        <v>302</v>
      </c>
      <c r="I841" s="220" t="s">
        <v>20</v>
      </c>
      <c r="J841" s="221" t="s">
        <v>15</v>
      </c>
      <c r="K841" s="221" t="s">
        <v>16</v>
      </c>
      <c r="L841" s="220" t="s">
        <v>302</v>
      </c>
      <c r="M841" s="220" t="s">
        <v>302</v>
      </c>
      <c r="N841" s="221" t="s">
        <v>2</v>
      </c>
      <c r="O841" s="222" t="s">
        <v>2</v>
      </c>
      <c r="P841" s="222" t="s">
        <v>2</v>
      </c>
      <c r="Q841" s="222" t="s">
        <v>15</v>
      </c>
      <c r="R841" s="222" t="s">
        <v>15</v>
      </c>
      <c r="S841" s="222" t="s">
        <v>16</v>
      </c>
      <c r="T841" s="222" t="s">
        <v>349</v>
      </c>
      <c r="U841" s="222" t="s">
        <v>269</v>
      </c>
      <c r="V841" s="222" t="s">
        <v>2</v>
      </c>
      <c r="W841" s="223" t="s">
        <v>302</v>
      </c>
      <c r="X841" s="223" t="s">
        <v>302</v>
      </c>
      <c r="Y841" s="224" t="s">
        <v>302</v>
      </c>
    </row>
    <row r="842" spans="1:25">
      <c r="A842" s="216">
        <v>16</v>
      </c>
      <c r="B842" s="217" t="str">
        <f>VLOOKUP(Tabel10[[#This Row],[Code]],Ruimtegroepen[[Code]:[Ruimte omschrijving]],2,FALSE)</f>
        <v>Leslokalen theorie</v>
      </c>
      <c r="C842" s="218" t="s">
        <v>997</v>
      </c>
      <c r="D842" s="217" t="s">
        <v>29</v>
      </c>
      <c r="E842" s="219" t="s">
        <v>100</v>
      </c>
      <c r="F842" s="218" t="s">
        <v>999</v>
      </c>
      <c r="G842" s="221" t="s">
        <v>18</v>
      </c>
      <c r="H842" s="221" t="s">
        <v>17</v>
      </c>
      <c r="I842" s="220" t="s">
        <v>302</v>
      </c>
      <c r="J842" s="221" t="s">
        <v>302</v>
      </c>
      <c r="K842" s="221" t="s">
        <v>302</v>
      </c>
      <c r="L842" s="220" t="s">
        <v>302</v>
      </c>
      <c r="M842" s="220" t="s">
        <v>302</v>
      </c>
      <c r="N842" s="221" t="s">
        <v>302</v>
      </c>
      <c r="O842" s="222" t="s">
        <v>302</v>
      </c>
      <c r="P842" s="222" t="s">
        <v>302</v>
      </c>
      <c r="Q842" s="222" t="s">
        <v>302</v>
      </c>
      <c r="R842" s="222" t="s">
        <v>302</v>
      </c>
      <c r="S842" s="222" t="s">
        <v>302</v>
      </c>
      <c r="T842" s="222" t="s">
        <v>302</v>
      </c>
      <c r="U842" s="222" t="s">
        <v>302</v>
      </c>
      <c r="V842" s="222" t="s">
        <v>302</v>
      </c>
      <c r="W842" s="223" t="s">
        <v>302</v>
      </c>
      <c r="X842" s="223" t="s">
        <v>302</v>
      </c>
      <c r="Y842" s="224" t="s">
        <v>302</v>
      </c>
    </row>
    <row r="843" spans="1:25">
      <c r="A843" s="216">
        <v>16</v>
      </c>
      <c r="B843" s="217" t="str">
        <f>VLOOKUP(Tabel10[[#This Row],[Code]],Ruimtegroepen[[Code]:[Ruimte omschrijving]],2,FALSE)</f>
        <v>Leslokalen theorie</v>
      </c>
      <c r="C843" s="218" t="s">
        <v>997</v>
      </c>
      <c r="D843" s="217" t="s">
        <v>29</v>
      </c>
      <c r="E843" s="219" t="s">
        <v>1325</v>
      </c>
      <c r="F843" s="218" t="s">
        <v>1505</v>
      </c>
      <c r="G843" s="263" t="s">
        <v>302</v>
      </c>
      <c r="H843" s="220" t="s">
        <v>302</v>
      </c>
      <c r="I843" s="220" t="s">
        <v>20</v>
      </c>
      <c r="J843" s="221" t="s">
        <v>15</v>
      </c>
      <c r="K843" s="221" t="s">
        <v>16</v>
      </c>
      <c r="L843" s="220" t="s">
        <v>302</v>
      </c>
      <c r="M843" s="220" t="s">
        <v>302</v>
      </c>
      <c r="N843" s="221" t="s">
        <v>2</v>
      </c>
      <c r="O843" s="222" t="s">
        <v>2</v>
      </c>
      <c r="P843" s="222" t="s">
        <v>2</v>
      </c>
      <c r="Q843" s="222" t="s">
        <v>15</v>
      </c>
      <c r="R843" s="222" t="s">
        <v>15</v>
      </c>
      <c r="S843" s="222" t="s">
        <v>16</v>
      </c>
      <c r="T843" s="222" t="s">
        <v>349</v>
      </c>
      <c r="U843" s="222" t="s">
        <v>269</v>
      </c>
      <c r="V843" s="222" t="s">
        <v>2</v>
      </c>
      <c r="W843" s="223" t="s">
        <v>302</v>
      </c>
      <c r="X843" s="223" t="s">
        <v>302</v>
      </c>
      <c r="Y843" s="224" t="s">
        <v>302</v>
      </c>
    </row>
    <row r="844" spans="1:25">
      <c r="A844" s="216">
        <v>16</v>
      </c>
      <c r="B844" s="217" t="str">
        <f>VLOOKUP(Tabel10[[#This Row],[Code]],Ruimtegroepen[[Code]:[Ruimte omschrijving]],2,FALSE)</f>
        <v>Leslokalen theorie</v>
      </c>
      <c r="C844" s="218" t="s">
        <v>1002</v>
      </c>
      <c r="D844" s="217" t="s">
        <v>1</v>
      </c>
      <c r="E844" s="219" t="s">
        <v>101</v>
      </c>
      <c r="F844" s="218" t="s">
        <v>1003</v>
      </c>
      <c r="G844" s="263" t="s">
        <v>302</v>
      </c>
      <c r="H844" s="220" t="s">
        <v>302</v>
      </c>
      <c r="I844" s="220" t="s">
        <v>20</v>
      </c>
      <c r="J844" s="221" t="s">
        <v>15</v>
      </c>
      <c r="K844" s="221" t="s">
        <v>302</v>
      </c>
      <c r="L844" s="220" t="s">
        <v>302</v>
      </c>
      <c r="M844" s="220" t="s">
        <v>302</v>
      </c>
      <c r="N844" s="221" t="s">
        <v>302</v>
      </c>
      <c r="O844" s="222" t="s">
        <v>2</v>
      </c>
      <c r="P844" s="222" t="s">
        <v>2</v>
      </c>
      <c r="Q844" s="222" t="s">
        <v>15</v>
      </c>
      <c r="R844" s="222" t="s">
        <v>15</v>
      </c>
      <c r="S844" s="222" t="s">
        <v>16</v>
      </c>
      <c r="T844" s="222" t="s">
        <v>349</v>
      </c>
      <c r="U844" s="222" t="s">
        <v>269</v>
      </c>
      <c r="V844" s="222" t="s">
        <v>302</v>
      </c>
      <c r="W844" s="223" t="s">
        <v>302</v>
      </c>
      <c r="X844" s="223" t="s">
        <v>302</v>
      </c>
      <c r="Y844" s="224" t="s">
        <v>302</v>
      </c>
    </row>
    <row r="845" spans="1:25">
      <c r="A845" s="216">
        <v>16</v>
      </c>
      <c r="B845" s="217" t="str">
        <f>VLOOKUP(Tabel10[[#This Row],[Code]],Ruimtegroepen[[Code]:[Ruimte omschrijving]],2,FALSE)</f>
        <v>Leslokalen theorie</v>
      </c>
      <c r="C845" s="218" t="s">
        <v>1002</v>
      </c>
      <c r="D845" s="217" t="s">
        <v>1</v>
      </c>
      <c r="E845" s="219" t="s">
        <v>100</v>
      </c>
      <c r="F845" s="218" t="s">
        <v>1004</v>
      </c>
      <c r="G845" s="221" t="s">
        <v>18</v>
      </c>
      <c r="H845" s="221" t="s">
        <v>17</v>
      </c>
      <c r="I845" s="220" t="s">
        <v>302</v>
      </c>
      <c r="J845" s="221" t="s">
        <v>302</v>
      </c>
      <c r="K845" s="221" t="s">
        <v>302</v>
      </c>
      <c r="L845" s="220" t="s">
        <v>302</v>
      </c>
      <c r="M845" s="220" t="s">
        <v>302</v>
      </c>
      <c r="N845" s="221" t="s">
        <v>302</v>
      </c>
      <c r="O845" s="222" t="s">
        <v>2</v>
      </c>
      <c r="P845" s="222" t="s">
        <v>2</v>
      </c>
      <c r="Q845" s="222" t="s">
        <v>15</v>
      </c>
      <c r="R845" s="222" t="s">
        <v>15</v>
      </c>
      <c r="S845" s="222" t="s">
        <v>16</v>
      </c>
      <c r="T845" s="222" t="s">
        <v>349</v>
      </c>
      <c r="U845" s="222" t="s">
        <v>269</v>
      </c>
      <c r="V845" s="222" t="s">
        <v>302</v>
      </c>
      <c r="W845" s="223" t="s">
        <v>302</v>
      </c>
      <c r="X845" s="223" t="s">
        <v>302</v>
      </c>
      <c r="Y845" s="224" t="s">
        <v>302</v>
      </c>
    </row>
    <row r="846" spans="1:25">
      <c r="A846" s="216">
        <v>16</v>
      </c>
      <c r="B846" s="217" t="str">
        <f>VLOOKUP(Tabel10[[#This Row],[Code]],Ruimtegroepen[[Code]:[Ruimte omschrijving]],2,FALSE)</f>
        <v>Leslokalen theorie</v>
      </c>
      <c r="C846" s="218" t="s">
        <v>1002</v>
      </c>
      <c r="D846" s="217" t="s">
        <v>1</v>
      </c>
      <c r="E846" s="219" t="s">
        <v>102</v>
      </c>
      <c r="F846" s="218" t="s">
        <v>1005</v>
      </c>
      <c r="G846" s="263" t="s">
        <v>302</v>
      </c>
      <c r="H846" s="220" t="s">
        <v>302</v>
      </c>
      <c r="I846" s="220" t="s">
        <v>20</v>
      </c>
      <c r="J846" s="221" t="s">
        <v>15</v>
      </c>
      <c r="K846" s="221" t="s">
        <v>16</v>
      </c>
      <c r="L846" s="220" t="s">
        <v>302</v>
      </c>
      <c r="M846" s="220" t="s">
        <v>302</v>
      </c>
      <c r="N846" s="221" t="s">
        <v>302</v>
      </c>
      <c r="O846" s="222" t="s">
        <v>2</v>
      </c>
      <c r="P846" s="222" t="s">
        <v>2</v>
      </c>
      <c r="Q846" s="222" t="s">
        <v>15</v>
      </c>
      <c r="R846" s="222" t="s">
        <v>15</v>
      </c>
      <c r="S846" s="222" t="s">
        <v>16</v>
      </c>
      <c r="T846" s="222" t="s">
        <v>349</v>
      </c>
      <c r="U846" s="222" t="s">
        <v>269</v>
      </c>
      <c r="V846" s="222" t="s">
        <v>302</v>
      </c>
      <c r="W846" s="223" t="s">
        <v>302</v>
      </c>
      <c r="X846" s="223" t="s">
        <v>302</v>
      </c>
      <c r="Y846" s="224" t="s">
        <v>302</v>
      </c>
    </row>
    <row r="847" spans="1:25">
      <c r="A847" s="216">
        <v>16</v>
      </c>
      <c r="B847" s="217" t="str">
        <f>VLOOKUP(Tabel10[[#This Row],[Code]],Ruimtegroepen[[Code]:[Ruimte omschrijving]],2,FALSE)</f>
        <v>Leslokalen theorie</v>
      </c>
      <c r="C847" s="218" t="s">
        <v>1002</v>
      </c>
      <c r="D847" s="217" t="s">
        <v>1</v>
      </c>
      <c r="E847" s="219" t="s">
        <v>103</v>
      </c>
      <c r="F847" s="218" t="s">
        <v>1006</v>
      </c>
      <c r="G847" s="263" t="s">
        <v>302</v>
      </c>
      <c r="H847" s="220" t="s">
        <v>302</v>
      </c>
      <c r="I847" s="220" t="s">
        <v>20</v>
      </c>
      <c r="J847" s="221" t="s">
        <v>15</v>
      </c>
      <c r="K847" s="221" t="s">
        <v>16</v>
      </c>
      <c r="L847" s="220" t="s">
        <v>302</v>
      </c>
      <c r="M847" s="220" t="s">
        <v>302</v>
      </c>
      <c r="N847" s="221" t="s">
        <v>302</v>
      </c>
      <c r="O847" s="222" t="s">
        <v>2</v>
      </c>
      <c r="P847" s="222" t="s">
        <v>2</v>
      </c>
      <c r="Q847" s="222" t="s">
        <v>15</v>
      </c>
      <c r="R847" s="222" t="s">
        <v>15</v>
      </c>
      <c r="S847" s="222" t="s">
        <v>16</v>
      </c>
      <c r="T847" s="222" t="s">
        <v>349</v>
      </c>
      <c r="U847" s="222" t="s">
        <v>269</v>
      </c>
      <c r="V847" s="222" t="s">
        <v>302</v>
      </c>
      <c r="W847" s="223" t="s">
        <v>302</v>
      </c>
      <c r="X847" s="223" t="s">
        <v>302</v>
      </c>
      <c r="Y847" s="224" t="s">
        <v>302</v>
      </c>
    </row>
    <row r="848" spans="1:25">
      <c r="A848" s="216">
        <v>16</v>
      </c>
      <c r="B848" s="217" t="str">
        <f>VLOOKUP(Tabel10[[#This Row],[Code]],Ruimtegroepen[[Code]:[Ruimte omschrijving]],2,FALSE)</f>
        <v>Leslokalen theorie</v>
      </c>
      <c r="C848" s="218" t="s">
        <v>1002</v>
      </c>
      <c r="D848" s="217" t="s">
        <v>1</v>
      </c>
      <c r="E848" s="219" t="s">
        <v>100</v>
      </c>
      <c r="F848" s="218" t="s">
        <v>1004</v>
      </c>
      <c r="G848" s="221" t="s">
        <v>18</v>
      </c>
      <c r="H848" s="221" t="s">
        <v>17</v>
      </c>
      <c r="I848" s="220" t="s">
        <v>302</v>
      </c>
      <c r="J848" s="221" t="s">
        <v>302</v>
      </c>
      <c r="K848" s="221" t="s">
        <v>302</v>
      </c>
      <c r="L848" s="220" t="s">
        <v>302</v>
      </c>
      <c r="M848" s="220" t="s">
        <v>302</v>
      </c>
      <c r="N848" s="221" t="s">
        <v>302</v>
      </c>
      <c r="O848" s="222" t="s">
        <v>2</v>
      </c>
      <c r="P848" s="222" t="s">
        <v>2</v>
      </c>
      <c r="Q848" s="222" t="s">
        <v>15</v>
      </c>
      <c r="R848" s="222" t="s">
        <v>15</v>
      </c>
      <c r="S848" s="222" t="s">
        <v>16</v>
      </c>
      <c r="T848" s="222" t="s">
        <v>349</v>
      </c>
      <c r="U848" s="222" t="s">
        <v>269</v>
      </c>
      <c r="V848" s="222" t="s">
        <v>302</v>
      </c>
      <c r="W848" s="223" t="s">
        <v>302</v>
      </c>
      <c r="X848" s="223" t="s">
        <v>302</v>
      </c>
      <c r="Y848" s="224" t="s">
        <v>302</v>
      </c>
    </row>
    <row r="849" spans="1:25">
      <c r="A849" s="216">
        <v>16</v>
      </c>
      <c r="B849" s="217" t="str">
        <f>VLOOKUP(Tabel10[[#This Row],[Code]],Ruimtegroepen[[Code]:[Ruimte omschrijving]],2,FALSE)</f>
        <v>Leslokalen theorie</v>
      </c>
      <c r="C849" s="218" t="s">
        <v>1002</v>
      </c>
      <c r="D849" s="217" t="s">
        <v>1</v>
      </c>
      <c r="E849" s="219" t="s">
        <v>1325</v>
      </c>
      <c r="F849" s="218" t="s">
        <v>1489</v>
      </c>
      <c r="G849" s="263" t="s">
        <v>302</v>
      </c>
      <c r="H849" s="220" t="s">
        <v>302</v>
      </c>
      <c r="I849" s="220" t="s">
        <v>20</v>
      </c>
      <c r="J849" s="221" t="s">
        <v>15</v>
      </c>
      <c r="K849" s="221" t="s">
        <v>16</v>
      </c>
      <c r="L849" s="220" t="s">
        <v>302</v>
      </c>
      <c r="M849" s="220" t="s">
        <v>302</v>
      </c>
      <c r="N849" s="221" t="s">
        <v>302</v>
      </c>
      <c r="O849" s="222" t="s">
        <v>2</v>
      </c>
      <c r="P849" s="222" t="s">
        <v>2</v>
      </c>
      <c r="Q849" s="222" t="s">
        <v>15</v>
      </c>
      <c r="R849" s="222" t="s">
        <v>15</v>
      </c>
      <c r="S849" s="222" t="s">
        <v>16</v>
      </c>
      <c r="T849" s="222" t="s">
        <v>349</v>
      </c>
      <c r="U849" s="222" t="s">
        <v>269</v>
      </c>
      <c r="V849" s="222" t="s">
        <v>302</v>
      </c>
      <c r="W849" s="223" t="s">
        <v>302</v>
      </c>
      <c r="X849" s="223" t="s">
        <v>302</v>
      </c>
      <c r="Y849" s="224" t="s">
        <v>302</v>
      </c>
    </row>
    <row r="850" spans="1:25">
      <c r="A850" s="216">
        <v>16</v>
      </c>
      <c r="B850" s="217" t="str">
        <f>VLOOKUP(Tabel10[[#This Row],[Code]],Ruimtegroepen[[Code]:[Ruimte omschrijving]],2,FALSE)</f>
        <v>Leslokalen theorie</v>
      </c>
      <c r="C850" s="218" t="s">
        <v>1007</v>
      </c>
      <c r="D850" s="217" t="s">
        <v>21</v>
      </c>
      <c r="E850" s="219" t="s">
        <v>101</v>
      </c>
      <c r="F850" s="218" t="s">
        <v>1008</v>
      </c>
      <c r="G850" s="263" t="s">
        <v>302</v>
      </c>
      <c r="H850" s="220" t="s">
        <v>302</v>
      </c>
      <c r="I850" s="220" t="s">
        <v>18</v>
      </c>
      <c r="J850" s="221" t="s">
        <v>15</v>
      </c>
      <c r="K850" s="221" t="s">
        <v>302</v>
      </c>
      <c r="L850" s="220" t="s">
        <v>302</v>
      </c>
      <c r="M850" s="220" t="s">
        <v>302</v>
      </c>
      <c r="N850" s="221" t="s">
        <v>302</v>
      </c>
      <c r="O850" s="222" t="s">
        <v>20</v>
      </c>
      <c r="P850" s="222" t="s">
        <v>20</v>
      </c>
      <c r="Q850" s="222" t="s">
        <v>15</v>
      </c>
      <c r="R850" s="222" t="s">
        <v>15</v>
      </c>
      <c r="S850" s="222" t="s">
        <v>16</v>
      </c>
      <c r="T850" s="222" t="s">
        <v>349</v>
      </c>
      <c r="U850" s="222" t="s">
        <v>269</v>
      </c>
      <c r="V850" s="222" t="s">
        <v>302</v>
      </c>
      <c r="W850" s="223" t="s">
        <v>302</v>
      </c>
      <c r="X850" s="223" t="s">
        <v>302</v>
      </c>
      <c r="Y850" s="224" t="s">
        <v>302</v>
      </c>
    </row>
    <row r="851" spans="1:25">
      <c r="A851" s="216">
        <v>16</v>
      </c>
      <c r="B851" s="217" t="str">
        <f>VLOOKUP(Tabel10[[#This Row],[Code]],Ruimtegroepen[[Code]:[Ruimte omschrijving]],2,FALSE)</f>
        <v>Leslokalen theorie</v>
      </c>
      <c r="C851" s="218" t="s">
        <v>1007</v>
      </c>
      <c r="D851" s="217" t="s">
        <v>21</v>
      </c>
      <c r="E851" s="219" t="s">
        <v>100</v>
      </c>
      <c r="F851" s="218" t="s">
        <v>1009</v>
      </c>
      <c r="G851" s="221" t="s">
        <v>17</v>
      </c>
      <c r="H851" s="221" t="s">
        <v>17</v>
      </c>
      <c r="I851" s="220" t="s">
        <v>302</v>
      </c>
      <c r="J851" s="221" t="s">
        <v>302</v>
      </c>
      <c r="K851" s="221" t="s">
        <v>302</v>
      </c>
      <c r="L851" s="220" t="s">
        <v>302</v>
      </c>
      <c r="M851" s="220" t="s">
        <v>302</v>
      </c>
      <c r="N851" s="221" t="s">
        <v>302</v>
      </c>
      <c r="O851" s="222" t="s">
        <v>20</v>
      </c>
      <c r="P851" s="222" t="s">
        <v>20</v>
      </c>
      <c r="Q851" s="222" t="s">
        <v>15</v>
      </c>
      <c r="R851" s="222" t="s">
        <v>15</v>
      </c>
      <c r="S851" s="222" t="s">
        <v>16</v>
      </c>
      <c r="T851" s="222" t="s">
        <v>349</v>
      </c>
      <c r="U851" s="222" t="s">
        <v>269</v>
      </c>
      <c r="V851" s="222" t="s">
        <v>302</v>
      </c>
      <c r="W851" s="223" t="s">
        <v>302</v>
      </c>
      <c r="X851" s="223" t="s">
        <v>302</v>
      </c>
      <c r="Y851" s="224" t="s">
        <v>302</v>
      </c>
    </row>
    <row r="852" spans="1:25">
      <c r="A852" s="216">
        <v>16</v>
      </c>
      <c r="B852" s="217" t="str">
        <f>VLOOKUP(Tabel10[[#This Row],[Code]],Ruimtegroepen[[Code]:[Ruimte omschrijving]],2,FALSE)</f>
        <v>Leslokalen theorie</v>
      </c>
      <c r="C852" s="218" t="s">
        <v>1007</v>
      </c>
      <c r="D852" s="217" t="s">
        <v>21</v>
      </c>
      <c r="E852" s="219" t="s">
        <v>102</v>
      </c>
      <c r="F852" s="218" t="s">
        <v>1010</v>
      </c>
      <c r="G852" s="263" t="s">
        <v>302</v>
      </c>
      <c r="H852" s="220" t="s">
        <v>302</v>
      </c>
      <c r="I852" s="220" t="s">
        <v>18</v>
      </c>
      <c r="J852" s="220" t="s">
        <v>15</v>
      </c>
      <c r="K852" s="221" t="s">
        <v>16</v>
      </c>
      <c r="L852" s="220" t="s">
        <v>302</v>
      </c>
      <c r="M852" s="220" t="s">
        <v>302</v>
      </c>
      <c r="N852" s="221" t="s">
        <v>302</v>
      </c>
      <c r="O852" s="222" t="s">
        <v>20</v>
      </c>
      <c r="P852" s="222" t="s">
        <v>20</v>
      </c>
      <c r="Q852" s="222" t="s">
        <v>15</v>
      </c>
      <c r="R852" s="222" t="s">
        <v>15</v>
      </c>
      <c r="S852" s="222" t="s">
        <v>16</v>
      </c>
      <c r="T852" s="222" t="s">
        <v>349</v>
      </c>
      <c r="U852" s="222" t="s">
        <v>269</v>
      </c>
      <c r="V852" s="222" t="s">
        <v>302</v>
      </c>
      <c r="W852" s="223" t="s">
        <v>302</v>
      </c>
      <c r="X852" s="223" t="s">
        <v>302</v>
      </c>
      <c r="Y852" s="224" t="s">
        <v>302</v>
      </c>
    </row>
    <row r="853" spans="1:25">
      <c r="A853" s="216">
        <v>16</v>
      </c>
      <c r="B853" s="217" t="str">
        <f>VLOOKUP(Tabel10[[#This Row],[Code]],Ruimtegroepen[[Code]:[Ruimte omschrijving]],2,FALSE)</f>
        <v>Leslokalen theorie</v>
      </c>
      <c r="C853" s="218" t="s">
        <v>1007</v>
      </c>
      <c r="D853" s="217" t="s">
        <v>21</v>
      </c>
      <c r="E853" s="219" t="s">
        <v>103</v>
      </c>
      <c r="F853" s="218" t="s">
        <v>1011</v>
      </c>
      <c r="G853" s="263" t="s">
        <v>302</v>
      </c>
      <c r="H853" s="220" t="s">
        <v>302</v>
      </c>
      <c r="I853" s="220" t="s">
        <v>18</v>
      </c>
      <c r="J853" s="221" t="s">
        <v>15</v>
      </c>
      <c r="K853" s="221" t="s">
        <v>16</v>
      </c>
      <c r="L853" s="220" t="s">
        <v>302</v>
      </c>
      <c r="M853" s="220" t="s">
        <v>302</v>
      </c>
      <c r="N853" s="221" t="s">
        <v>302</v>
      </c>
      <c r="O853" s="222" t="s">
        <v>20</v>
      </c>
      <c r="P853" s="222" t="s">
        <v>20</v>
      </c>
      <c r="Q853" s="222" t="s">
        <v>15</v>
      </c>
      <c r="R853" s="222" t="s">
        <v>15</v>
      </c>
      <c r="S853" s="222" t="s">
        <v>16</v>
      </c>
      <c r="T853" s="222" t="s">
        <v>349</v>
      </c>
      <c r="U853" s="222" t="s">
        <v>269</v>
      </c>
      <c r="V853" s="222" t="s">
        <v>302</v>
      </c>
      <c r="W853" s="223" t="s">
        <v>302</v>
      </c>
      <c r="X853" s="223" t="s">
        <v>302</v>
      </c>
      <c r="Y853" s="224" t="s">
        <v>302</v>
      </c>
    </row>
    <row r="854" spans="1:25">
      <c r="A854" s="216">
        <v>16</v>
      </c>
      <c r="B854" s="217" t="str">
        <f>VLOOKUP(Tabel10[[#This Row],[Code]],Ruimtegroepen[[Code]:[Ruimte omschrijving]],2,FALSE)</f>
        <v>Leslokalen theorie</v>
      </c>
      <c r="C854" s="218" t="s">
        <v>1007</v>
      </c>
      <c r="D854" s="217" t="s">
        <v>21</v>
      </c>
      <c r="E854" s="219" t="s">
        <v>100</v>
      </c>
      <c r="F854" s="218" t="s">
        <v>1009</v>
      </c>
      <c r="G854" s="221" t="s">
        <v>17</v>
      </c>
      <c r="H854" s="221" t="s">
        <v>17</v>
      </c>
      <c r="I854" s="220" t="s">
        <v>302</v>
      </c>
      <c r="J854" s="221" t="s">
        <v>302</v>
      </c>
      <c r="K854" s="221" t="s">
        <v>302</v>
      </c>
      <c r="L854" s="220" t="s">
        <v>302</v>
      </c>
      <c r="M854" s="220" t="s">
        <v>302</v>
      </c>
      <c r="N854" s="221" t="s">
        <v>302</v>
      </c>
      <c r="O854" s="222" t="s">
        <v>302</v>
      </c>
      <c r="P854" s="222" t="s">
        <v>302</v>
      </c>
      <c r="Q854" s="222" t="s">
        <v>302</v>
      </c>
      <c r="R854" s="222" t="s">
        <v>302</v>
      </c>
      <c r="S854" s="222" t="s">
        <v>302</v>
      </c>
      <c r="T854" s="222" t="s">
        <v>302</v>
      </c>
      <c r="U854" s="222" t="s">
        <v>302</v>
      </c>
      <c r="V854" s="222" t="s">
        <v>302</v>
      </c>
      <c r="W854" s="223" t="s">
        <v>302</v>
      </c>
      <c r="X854" s="223" t="s">
        <v>302</v>
      </c>
      <c r="Y854" s="224" t="s">
        <v>302</v>
      </c>
    </row>
    <row r="855" spans="1:25">
      <c r="A855" s="216">
        <v>16</v>
      </c>
      <c r="B855" s="217" t="str">
        <f>VLOOKUP(Tabel10[[#This Row],[Code]],Ruimtegroepen[[Code]:[Ruimte omschrijving]],2,FALSE)</f>
        <v>Leslokalen theorie</v>
      </c>
      <c r="C855" s="218" t="s">
        <v>1007</v>
      </c>
      <c r="D855" s="217" t="s">
        <v>21</v>
      </c>
      <c r="E855" s="219" t="s">
        <v>1325</v>
      </c>
      <c r="F855" s="218" t="s">
        <v>1472</v>
      </c>
      <c r="G855" s="263" t="s">
        <v>302</v>
      </c>
      <c r="H855" s="220" t="s">
        <v>302</v>
      </c>
      <c r="I855" s="220" t="s">
        <v>18</v>
      </c>
      <c r="J855" s="221" t="s">
        <v>15</v>
      </c>
      <c r="K855" s="221" t="s">
        <v>16</v>
      </c>
      <c r="L855" s="220" t="s">
        <v>302</v>
      </c>
      <c r="M855" s="220" t="s">
        <v>302</v>
      </c>
      <c r="N855" s="221" t="s">
        <v>302</v>
      </c>
      <c r="O855" s="222" t="s">
        <v>20</v>
      </c>
      <c r="P855" s="222" t="s">
        <v>20</v>
      </c>
      <c r="Q855" s="222" t="s">
        <v>15</v>
      </c>
      <c r="R855" s="222" t="s">
        <v>15</v>
      </c>
      <c r="S855" s="222" t="s">
        <v>16</v>
      </c>
      <c r="T855" s="222" t="s">
        <v>349</v>
      </c>
      <c r="U855" s="222" t="s">
        <v>269</v>
      </c>
      <c r="V855" s="222" t="s">
        <v>302</v>
      </c>
      <c r="W855" s="223" t="s">
        <v>302</v>
      </c>
      <c r="X855" s="223" t="s">
        <v>302</v>
      </c>
      <c r="Y855" s="224" t="s">
        <v>302</v>
      </c>
    </row>
    <row r="856" spans="1:25">
      <c r="A856" s="216">
        <v>16</v>
      </c>
      <c r="B856" s="217" t="str">
        <f>VLOOKUP(Tabel10[[#This Row],[Code]],Ruimtegroepen[[Code]:[Ruimte omschrijving]],2,FALSE)</f>
        <v>Leslokalen theorie</v>
      </c>
      <c r="C856" s="218" t="s">
        <v>1012</v>
      </c>
      <c r="D856" s="217" t="s">
        <v>12</v>
      </c>
      <c r="E856" s="219" t="s">
        <v>101</v>
      </c>
      <c r="F856" s="218" t="s">
        <v>1013</v>
      </c>
      <c r="G856" s="263" t="s">
        <v>302</v>
      </c>
      <c r="H856" s="220" t="s">
        <v>302</v>
      </c>
      <c r="I856" s="220" t="s">
        <v>17</v>
      </c>
      <c r="J856" s="221" t="s">
        <v>15</v>
      </c>
      <c r="K856" s="221" t="s">
        <v>302</v>
      </c>
      <c r="L856" s="220" t="s">
        <v>302</v>
      </c>
      <c r="M856" s="220" t="s">
        <v>302</v>
      </c>
      <c r="N856" s="221" t="s">
        <v>302</v>
      </c>
      <c r="O856" s="222" t="s">
        <v>18</v>
      </c>
      <c r="P856" s="222" t="s">
        <v>18</v>
      </c>
      <c r="Q856" s="222" t="s">
        <v>15</v>
      </c>
      <c r="R856" s="222" t="s">
        <v>15</v>
      </c>
      <c r="S856" s="222" t="s">
        <v>16</v>
      </c>
      <c r="T856" s="222" t="s">
        <v>349</v>
      </c>
      <c r="U856" s="222" t="s">
        <v>269</v>
      </c>
      <c r="V856" s="222" t="s">
        <v>302</v>
      </c>
      <c r="W856" s="223" t="s">
        <v>302</v>
      </c>
      <c r="X856" s="223" t="s">
        <v>302</v>
      </c>
      <c r="Y856" s="224" t="s">
        <v>302</v>
      </c>
    </row>
    <row r="857" spans="1:25">
      <c r="A857" s="216">
        <v>16</v>
      </c>
      <c r="B857" s="217" t="str">
        <f>VLOOKUP(Tabel10[[#This Row],[Code]],Ruimtegroepen[[Code]:[Ruimte omschrijving]],2,FALSE)</f>
        <v>Leslokalen theorie</v>
      </c>
      <c r="C857" s="218" t="s">
        <v>1012</v>
      </c>
      <c r="D857" s="217" t="s">
        <v>12</v>
      </c>
      <c r="E857" s="219" t="s">
        <v>100</v>
      </c>
      <c r="F857" s="218" t="s">
        <v>1014</v>
      </c>
      <c r="G857" s="221" t="s">
        <v>17</v>
      </c>
      <c r="H857" s="221" t="s">
        <v>15</v>
      </c>
      <c r="I857" s="220" t="s">
        <v>302</v>
      </c>
      <c r="J857" s="221" t="s">
        <v>302</v>
      </c>
      <c r="K857" s="221" t="s">
        <v>302</v>
      </c>
      <c r="L857" s="220" t="s">
        <v>302</v>
      </c>
      <c r="M857" s="220" t="s">
        <v>302</v>
      </c>
      <c r="N857" s="221" t="s">
        <v>302</v>
      </c>
      <c r="O857" s="222" t="s">
        <v>18</v>
      </c>
      <c r="P857" s="222" t="s">
        <v>18</v>
      </c>
      <c r="Q857" s="222" t="s">
        <v>15</v>
      </c>
      <c r="R857" s="222" t="s">
        <v>15</v>
      </c>
      <c r="S857" s="222" t="s">
        <v>16</v>
      </c>
      <c r="T857" s="222" t="s">
        <v>349</v>
      </c>
      <c r="U857" s="222" t="s">
        <v>269</v>
      </c>
      <c r="V857" s="222" t="s">
        <v>302</v>
      </c>
      <c r="W857" s="223" t="s">
        <v>302</v>
      </c>
      <c r="X857" s="223" t="s">
        <v>302</v>
      </c>
      <c r="Y857" s="224" t="s">
        <v>302</v>
      </c>
    </row>
    <row r="858" spans="1:25">
      <c r="A858" s="216">
        <v>16</v>
      </c>
      <c r="B858" s="217" t="str">
        <f>VLOOKUP(Tabel10[[#This Row],[Code]],Ruimtegroepen[[Code]:[Ruimte omschrijving]],2,FALSE)</f>
        <v>Leslokalen theorie</v>
      </c>
      <c r="C858" s="218" t="s">
        <v>1012</v>
      </c>
      <c r="D858" s="217" t="s">
        <v>12</v>
      </c>
      <c r="E858" s="219" t="s">
        <v>102</v>
      </c>
      <c r="F858" s="218" t="s">
        <v>1015</v>
      </c>
      <c r="G858" s="263" t="s">
        <v>302</v>
      </c>
      <c r="H858" s="220" t="s">
        <v>302</v>
      </c>
      <c r="I858" s="220" t="s">
        <v>17</v>
      </c>
      <c r="J858" s="220" t="s">
        <v>15</v>
      </c>
      <c r="K858" s="221" t="s">
        <v>16</v>
      </c>
      <c r="L858" s="220" t="s">
        <v>302</v>
      </c>
      <c r="M858" s="220" t="s">
        <v>302</v>
      </c>
      <c r="N858" s="221" t="s">
        <v>302</v>
      </c>
      <c r="O858" s="222" t="s">
        <v>18</v>
      </c>
      <c r="P858" s="222" t="s">
        <v>18</v>
      </c>
      <c r="Q858" s="222" t="s">
        <v>15</v>
      </c>
      <c r="R858" s="222" t="s">
        <v>15</v>
      </c>
      <c r="S858" s="222" t="s">
        <v>16</v>
      </c>
      <c r="T858" s="222" t="s">
        <v>349</v>
      </c>
      <c r="U858" s="222" t="s">
        <v>269</v>
      </c>
      <c r="V858" s="222" t="s">
        <v>302</v>
      </c>
      <c r="W858" s="223" t="s">
        <v>302</v>
      </c>
      <c r="X858" s="223" t="s">
        <v>302</v>
      </c>
      <c r="Y858" s="224" t="s">
        <v>302</v>
      </c>
    </row>
    <row r="859" spans="1:25">
      <c r="A859" s="216">
        <v>16</v>
      </c>
      <c r="B859" s="217" t="str">
        <f>VLOOKUP(Tabel10[[#This Row],[Code]],Ruimtegroepen[[Code]:[Ruimte omschrijving]],2,FALSE)</f>
        <v>Leslokalen theorie</v>
      </c>
      <c r="C859" s="218" t="s">
        <v>1012</v>
      </c>
      <c r="D859" s="217" t="s">
        <v>12</v>
      </c>
      <c r="E859" s="219" t="s">
        <v>103</v>
      </c>
      <c r="F859" s="218" t="s">
        <v>1016</v>
      </c>
      <c r="G859" s="263" t="s">
        <v>302</v>
      </c>
      <c r="H859" s="220" t="s">
        <v>302</v>
      </c>
      <c r="I859" s="220" t="s">
        <v>17</v>
      </c>
      <c r="J859" s="221" t="s">
        <v>15</v>
      </c>
      <c r="K859" s="221" t="s">
        <v>16</v>
      </c>
      <c r="L859" s="220" t="s">
        <v>302</v>
      </c>
      <c r="M859" s="220" t="s">
        <v>302</v>
      </c>
      <c r="N859" s="221" t="s">
        <v>302</v>
      </c>
      <c r="O859" s="222" t="s">
        <v>18</v>
      </c>
      <c r="P859" s="222" t="s">
        <v>18</v>
      </c>
      <c r="Q859" s="222" t="s">
        <v>15</v>
      </c>
      <c r="R859" s="222" t="s">
        <v>15</v>
      </c>
      <c r="S859" s="222" t="s">
        <v>16</v>
      </c>
      <c r="T859" s="222" t="s">
        <v>349</v>
      </c>
      <c r="U859" s="222" t="s">
        <v>269</v>
      </c>
      <c r="V859" s="222" t="s">
        <v>302</v>
      </c>
      <c r="W859" s="223" t="s">
        <v>302</v>
      </c>
      <c r="X859" s="223" t="s">
        <v>302</v>
      </c>
      <c r="Y859" s="224" t="s">
        <v>302</v>
      </c>
    </row>
    <row r="860" spans="1:25">
      <c r="A860" s="216">
        <v>16</v>
      </c>
      <c r="B860" s="217" t="str">
        <f>VLOOKUP(Tabel10[[#This Row],[Code]],Ruimtegroepen[[Code]:[Ruimte omschrijving]],2,FALSE)</f>
        <v>Leslokalen theorie</v>
      </c>
      <c r="C860" s="218" t="s">
        <v>1012</v>
      </c>
      <c r="D860" s="217" t="s">
        <v>12</v>
      </c>
      <c r="E860" s="219" t="s">
        <v>100</v>
      </c>
      <c r="F860" s="218" t="s">
        <v>1014</v>
      </c>
      <c r="G860" s="221" t="s">
        <v>17</v>
      </c>
      <c r="H860" s="221" t="s">
        <v>15</v>
      </c>
      <c r="I860" s="220" t="s">
        <v>302</v>
      </c>
      <c r="J860" s="221" t="s">
        <v>302</v>
      </c>
      <c r="K860" s="221" t="s">
        <v>302</v>
      </c>
      <c r="L860" s="220" t="s">
        <v>302</v>
      </c>
      <c r="M860" s="220" t="s">
        <v>302</v>
      </c>
      <c r="N860" s="221" t="s">
        <v>302</v>
      </c>
      <c r="O860" s="222" t="s">
        <v>302</v>
      </c>
      <c r="P860" s="222" t="s">
        <v>302</v>
      </c>
      <c r="Q860" s="222" t="s">
        <v>302</v>
      </c>
      <c r="R860" s="222" t="s">
        <v>302</v>
      </c>
      <c r="S860" s="222" t="s">
        <v>302</v>
      </c>
      <c r="T860" s="222" t="s">
        <v>302</v>
      </c>
      <c r="U860" s="222" t="s">
        <v>302</v>
      </c>
      <c r="V860" s="222" t="s">
        <v>302</v>
      </c>
      <c r="W860" s="223" t="s">
        <v>302</v>
      </c>
      <c r="X860" s="223" t="s">
        <v>302</v>
      </c>
      <c r="Y860" s="224" t="s">
        <v>302</v>
      </c>
    </row>
    <row r="861" spans="1:25">
      <c r="A861" s="216">
        <v>16</v>
      </c>
      <c r="B861" s="217" t="str">
        <f>VLOOKUP(Tabel10[[#This Row],[Code]],Ruimtegroepen[[Code]:[Ruimte omschrijving]],2,FALSE)</f>
        <v>Leslokalen theorie</v>
      </c>
      <c r="C861" s="218" t="s">
        <v>1012</v>
      </c>
      <c r="D861" s="217" t="s">
        <v>12</v>
      </c>
      <c r="E861" s="219" t="s">
        <v>1325</v>
      </c>
      <c r="F861" s="218" t="s">
        <v>1454</v>
      </c>
      <c r="G861" s="263" t="s">
        <v>302</v>
      </c>
      <c r="H861" s="220" t="s">
        <v>302</v>
      </c>
      <c r="I861" s="220" t="s">
        <v>17</v>
      </c>
      <c r="J861" s="221" t="s">
        <v>15</v>
      </c>
      <c r="K861" s="221" t="s">
        <v>16</v>
      </c>
      <c r="L861" s="220" t="s">
        <v>302</v>
      </c>
      <c r="M861" s="220" t="s">
        <v>302</v>
      </c>
      <c r="N861" s="221" t="s">
        <v>302</v>
      </c>
      <c r="O861" s="222" t="s">
        <v>18</v>
      </c>
      <c r="P861" s="222" t="s">
        <v>18</v>
      </c>
      <c r="Q861" s="222" t="s">
        <v>15</v>
      </c>
      <c r="R861" s="222" t="s">
        <v>15</v>
      </c>
      <c r="S861" s="222" t="s">
        <v>16</v>
      </c>
      <c r="T861" s="222" t="s">
        <v>349</v>
      </c>
      <c r="U861" s="222" t="s">
        <v>269</v>
      </c>
      <c r="V861" s="222" t="s">
        <v>302</v>
      </c>
      <c r="W861" s="223" t="s">
        <v>302</v>
      </c>
      <c r="X861" s="223" t="s">
        <v>302</v>
      </c>
      <c r="Y861" s="224" t="s">
        <v>302</v>
      </c>
    </row>
    <row r="862" spans="1:25">
      <c r="A862" s="216">
        <v>16</v>
      </c>
      <c r="B862" s="217" t="str">
        <f>VLOOKUP(Tabel10[[#This Row],[Code]],Ruimtegroepen[[Code]:[Ruimte omschrijving]],2,FALSE)</f>
        <v>Leslokalen theorie</v>
      </c>
      <c r="C862" s="218" t="s">
        <v>1017</v>
      </c>
      <c r="D862" s="217" t="s">
        <v>14</v>
      </c>
      <c r="E862" s="219" t="s">
        <v>101</v>
      </c>
      <c r="F862" s="218" t="s">
        <v>1018</v>
      </c>
      <c r="G862" s="263" t="s">
        <v>302</v>
      </c>
      <c r="H862" s="220" t="s">
        <v>302</v>
      </c>
      <c r="I862" s="220" t="s">
        <v>302</v>
      </c>
      <c r="J862" s="220" t="s">
        <v>17</v>
      </c>
      <c r="K862" s="221" t="s">
        <v>302</v>
      </c>
      <c r="L862" s="220" t="s">
        <v>302</v>
      </c>
      <c r="M862" s="220" t="s">
        <v>302</v>
      </c>
      <c r="N862" s="221" t="s">
        <v>302</v>
      </c>
      <c r="O862" s="222" t="s">
        <v>17</v>
      </c>
      <c r="P862" s="222" t="s">
        <v>17</v>
      </c>
      <c r="Q862" s="222" t="s">
        <v>15</v>
      </c>
      <c r="R862" s="222" t="s">
        <v>15</v>
      </c>
      <c r="S862" s="222" t="s">
        <v>16</v>
      </c>
      <c r="T862" s="222" t="s">
        <v>349</v>
      </c>
      <c r="U862" s="222" t="s">
        <v>269</v>
      </c>
      <c r="V862" s="222" t="s">
        <v>302</v>
      </c>
      <c r="W862" s="223" t="s">
        <v>302</v>
      </c>
      <c r="X862" s="223" t="s">
        <v>302</v>
      </c>
      <c r="Y862" s="224" t="s">
        <v>302</v>
      </c>
    </row>
    <row r="863" spans="1:25">
      <c r="A863" s="216">
        <v>16</v>
      </c>
      <c r="B863" s="217" t="str">
        <f>VLOOKUP(Tabel10[[#This Row],[Code]],Ruimtegroepen[[Code]:[Ruimte omschrijving]],2,FALSE)</f>
        <v>Leslokalen theorie</v>
      </c>
      <c r="C863" s="218" t="s">
        <v>1017</v>
      </c>
      <c r="D863" s="217" t="s">
        <v>14</v>
      </c>
      <c r="E863" s="219" t="s">
        <v>100</v>
      </c>
      <c r="F863" s="218" t="s">
        <v>1019</v>
      </c>
      <c r="G863" s="221" t="s">
        <v>15</v>
      </c>
      <c r="H863" s="221" t="s">
        <v>15</v>
      </c>
      <c r="I863" s="220" t="s">
        <v>302</v>
      </c>
      <c r="J863" s="221" t="s">
        <v>302</v>
      </c>
      <c r="K863" s="221" t="s">
        <v>302</v>
      </c>
      <c r="L863" s="220" t="s">
        <v>302</v>
      </c>
      <c r="M863" s="220" t="s">
        <v>302</v>
      </c>
      <c r="N863" s="221" t="s">
        <v>302</v>
      </c>
      <c r="O863" s="222" t="s">
        <v>17</v>
      </c>
      <c r="P863" s="222" t="s">
        <v>17</v>
      </c>
      <c r="Q863" s="222" t="s">
        <v>15</v>
      </c>
      <c r="R863" s="222" t="s">
        <v>15</v>
      </c>
      <c r="S863" s="222" t="s">
        <v>16</v>
      </c>
      <c r="T863" s="222" t="s">
        <v>349</v>
      </c>
      <c r="U863" s="222" t="s">
        <v>269</v>
      </c>
      <c r="V863" s="222" t="s">
        <v>302</v>
      </c>
      <c r="W863" s="223" t="s">
        <v>302</v>
      </c>
      <c r="X863" s="223" t="s">
        <v>302</v>
      </c>
      <c r="Y863" s="224" t="s">
        <v>302</v>
      </c>
    </row>
    <row r="864" spans="1:25">
      <c r="A864" s="216">
        <v>16</v>
      </c>
      <c r="B864" s="217" t="str">
        <f>VLOOKUP(Tabel10[[#This Row],[Code]],Ruimtegroepen[[Code]:[Ruimte omschrijving]],2,FALSE)</f>
        <v>Leslokalen theorie</v>
      </c>
      <c r="C864" s="218" t="s">
        <v>1017</v>
      </c>
      <c r="D864" s="217" t="s">
        <v>14</v>
      </c>
      <c r="E864" s="219" t="s">
        <v>102</v>
      </c>
      <c r="F864" s="218" t="s">
        <v>1020</v>
      </c>
      <c r="G864" s="263" t="s">
        <v>302</v>
      </c>
      <c r="H864" s="220" t="s">
        <v>302</v>
      </c>
      <c r="I864" s="220" t="s">
        <v>302</v>
      </c>
      <c r="J864" s="220" t="s">
        <v>17</v>
      </c>
      <c r="K864" s="221" t="s">
        <v>16</v>
      </c>
      <c r="L864" s="220" t="s">
        <v>302</v>
      </c>
      <c r="M864" s="220" t="s">
        <v>302</v>
      </c>
      <c r="N864" s="221" t="s">
        <v>302</v>
      </c>
      <c r="O864" s="222" t="s">
        <v>17</v>
      </c>
      <c r="P864" s="222" t="s">
        <v>17</v>
      </c>
      <c r="Q864" s="222" t="s">
        <v>15</v>
      </c>
      <c r="R864" s="222" t="s">
        <v>15</v>
      </c>
      <c r="S864" s="222" t="s">
        <v>16</v>
      </c>
      <c r="T864" s="222" t="s">
        <v>349</v>
      </c>
      <c r="U864" s="222" t="s">
        <v>269</v>
      </c>
      <c r="V864" s="222" t="s">
        <v>302</v>
      </c>
      <c r="W864" s="223" t="s">
        <v>302</v>
      </c>
      <c r="X864" s="223" t="s">
        <v>302</v>
      </c>
      <c r="Y864" s="224" t="s">
        <v>302</v>
      </c>
    </row>
    <row r="865" spans="1:25">
      <c r="A865" s="216">
        <v>16</v>
      </c>
      <c r="B865" s="217" t="str">
        <f>VLOOKUP(Tabel10[[#This Row],[Code]],Ruimtegroepen[[Code]:[Ruimte omschrijving]],2,FALSE)</f>
        <v>Leslokalen theorie</v>
      </c>
      <c r="C865" s="218" t="s">
        <v>1017</v>
      </c>
      <c r="D865" s="217" t="s">
        <v>14</v>
      </c>
      <c r="E865" s="219" t="s">
        <v>103</v>
      </c>
      <c r="F865" s="218" t="s">
        <v>1021</v>
      </c>
      <c r="G865" s="263" t="s">
        <v>302</v>
      </c>
      <c r="H865" s="220" t="s">
        <v>302</v>
      </c>
      <c r="I865" s="220" t="s">
        <v>302</v>
      </c>
      <c r="J865" s="220" t="s">
        <v>17</v>
      </c>
      <c r="K865" s="221" t="s">
        <v>16</v>
      </c>
      <c r="L865" s="220" t="s">
        <v>302</v>
      </c>
      <c r="M865" s="220" t="s">
        <v>302</v>
      </c>
      <c r="N865" s="221" t="s">
        <v>302</v>
      </c>
      <c r="O865" s="222" t="s">
        <v>17</v>
      </c>
      <c r="P865" s="222" t="s">
        <v>17</v>
      </c>
      <c r="Q865" s="222" t="s">
        <v>15</v>
      </c>
      <c r="R865" s="222" t="s">
        <v>15</v>
      </c>
      <c r="S865" s="222" t="s">
        <v>16</v>
      </c>
      <c r="T865" s="222" t="s">
        <v>349</v>
      </c>
      <c r="U865" s="222" t="s">
        <v>269</v>
      </c>
      <c r="V865" s="222" t="s">
        <v>302</v>
      </c>
      <c r="W865" s="223" t="s">
        <v>302</v>
      </c>
      <c r="X865" s="223" t="s">
        <v>302</v>
      </c>
      <c r="Y865" s="224" t="s">
        <v>302</v>
      </c>
    </row>
    <row r="866" spans="1:25">
      <c r="A866" s="216">
        <v>16</v>
      </c>
      <c r="B866" s="217" t="str">
        <f>VLOOKUP(Tabel10[[#This Row],[Code]],Ruimtegroepen[[Code]:[Ruimte omschrijving]],2,FALSE)</f>
        <v>Leslokalen theorie</v>
      </c>
      <c r="C866" s="218" t="s">
        <v>1017</v>
      </c>
      <c r="D866" s="217" t="s">
        <v>14</v>
      </c>
      <c r="E866" s="219" t="s">
        <v>100</v>
      </c>
      <c r="F866" s="218" t="s">
        <v>1019</v>
      </c>
      <c r="G866" s="221" t="s">
        <v>15</v>
      </c>
      <c r="H866" s="221" t="s">
        <v>15</v>
      </c>
      <c r="I866" s="220" t="s">
        <v>302</v>
      </c>
      <c r="J866" s="221" t="s">
        <v>302</v>
      </c>
      <c r="K866" s="221" t="s">
        <v>302</v>
      </c>
      <c r="L866" s="220" t="s">
        <v>302</v>
      </c>
      <c r="M866" s="220" t="s">
        <v>302</v>
      </c>
      <c r="N866" s="221" t="s">
        <v>302</v>
      </c>
      <c r="O866" s="222" t="s">
        <v>302</v>
      </c>
      <c r="P866" s="222" t="s">
        <v>302</v>
      </c>
      <c r="Q866" s="222" t="s">
        <v>302</v>
      </c>
      <c r="R866" s="222" t="s">
        <v>302</v>
      </c>
      <c r="S866" s="222" t="s">
        <v>302</v>
      </c>
      <c r="T866" s="222" t="s">
        <v>302</v>
      </c>
      <c r="U866" s="222" t="s">
        <v>302</v>
      </c>
      <c r="V866" s="222" t="s">
        <v>302</v>
      </c>
      <c r="W866" s="223" t="s">
        <v>302</v>
      </c>
      <c r="X866" s="223" t="s">
        <v>302</v>
      </c>
      <c r="Y866" s="224" t="s">
        <v>302</v>
      </c>
    </row>
    <row r="867" spans="1:25">
      <c r="A867" s="216">
        <v>16</v>
      </c>
      <c r="B867" s="217" t="str">
        <f>VLOOKUP(Tabel10[[#This Row],[Code]],Ruimtegroepen[[Code]:[Ruimte omschrijving]],2,FALSE)</f>
        <v>Leslokalen theorie</v>
      </c>
      <c r="C867" s="218" t="s">
        <v>1017</v>
      </c>
      <c r="D867" s="217" t="s">
        <v>14</v>
      </c>
      <c r="E867" s="219" t="s">
        <v>1325</v>
      </c>
      <c r="F867" s="218" t="s">
        <v>1421</v>
      </c>
      <c r="G867" s="263" t="s">
        <v>302</v>
      </c>
      <c r="H867" s="220" t="s">
        <v>302</v>
      </c>
      <c r="I867" s="220" t="s">
        <v>302</v>
      </c>
      <c r="J867" s="220" t="s">
        <v>17</v>
      </c>
      <c r="K867" s="221" t="s">
        <v>16</v>
      </c>
      <c r="L867" s="220" t="s">
        <v>302</v>
      </c>
      <c r="M867" s="220" t="s">
        <v>302</v>
      </c>
      <c r="N867" s="221" t="s">
        <v>302</v>
      </c>
      <c r="O867" s="222" t="s">
        <v>17</v>
      </c>
      <c r="P867" s="222" t="s">
        <v>17</v>
      </c>
      <c r="Q867" s="222" t="s">
        <v>15</v>
      </c>
      <c r="R867" s="222" t="s">
        <v>15</v>
      </c>
      <c r="S867" s="222" t="s">
        <v>16</v>
      </c>
      <c r="T867" s="222" t="s">
        <v>349</v>
      </c>
      <c r="U867" s="222" t="s">
        <v>269</v>
      </c>
      <c r="V867" s="222" t="s">
        <v>302</v>
      </c>
      <c r="W867" s="223" t="s">
        <v>302</v>
      </c>
      <c r="X867" s="223" t="s">
        <v>302</v>
      </c>
      <c r="Y867" s="224" t="s">
        <v>302</v>
      </c>
    </row>
    <row r="868" spans="1:25">
      <c r="A868" s="216">
        <v>16</v>
      </c>
      <c r="B868" s="217" t="str">
        <f>VLOOKUP(Tabel10[[#This Row],[Code]],Ruimtegroepen[[Code]:[Ruimte omschrijving]],2,FALSE)</f>
        <v>Leslokalen theorie</v>
      </c>
      <c r="C868" s="218" t="s">
        <v>1022</v>
      </c>
      <c r="D868" s="217" t="s">
        <v>13</v>
      </c>
      <c r="E868" s="219" t="s">
        <v>101</v>
      </c>
      <c r="F868" s="218" t="s">
        <v>1023</v>
      </c>
      <c r="G868" s="263" t="s">
        <v>302</v>
      </c>
      <c r="H868" s="220" t="s">
        <v>302</v>
      </c>
      <c r="I868" s="220" t="s">
        <v>302</v>
      </c>
      <c r="J868" s="221" t="s">
        <v>15</v>
      </c>
      <c r="K868" s="221" t="s">
        <v>302</v>
      </c>
      <c r="L868" s="220" t="s">
        <v>302</v>
      </c>
      <c r="M868" s="220" t="s">
        <v>302</v>
      </c>
      <c r="N868" s="221" t="s">
        <v>302</v>
      </c>
      <c r="O868" s="222" t="s">
        <v>15</v>
      </c>
      <c r="P868" s="222" t="s">
        <v>15</v>
      </c>
      <c r="Q868" s="222" t="s">
        <v>15</v>
      </c>
      <c r="R868" s="222" t="s">
        <v>15</v>
      </c>
      <c r="S868" s="222" t="s">
        <v>16</v>
      </c>
      <c r="T868" s="222" t="s">
        <v>349</v>
      </c>
      <c r="U868" s="222" t="s">
        <v>269</v>
      </c>
      <c r="V868" s="222" t="s">
        <v>302</v>
      </c>
      <c r="W868" s="223" t="s">
        <v>302</v>
      </c>
      <c r="X868" s="223" t="s">
        <v>302</v>
      </c>
      <c r="Y868" s="224" t="s">
        <v>302</v>
      </c>
    </row>
    <row r="869" spans="1:25">
      <c r="A869" s="216">
        <v>16</v>
      </c>
      <c r="B869" s="217" t="str">
        <f>VLOOKUP(Tabel10[[#This Row],[Code]],Ruimtegroepen[[Code]:[Ruimte omschrijving]],2,FALSE)</f>
        <v>Leslokalen theorie</v>
      </c>
      <c r="C869" s="218" t="s">
        <v>1022</v>
      </c>
      <c r="D869" s="217" t="s">
        <v>13</v>
      </c>
      <c r="E869" s="219" t="s">
        <v>100</v>
      </c>
      <c r="F869" s="218" t="s">
        <v>1024</v>
      </c>
      <c r="G869" s="263" t="s">
        <v>302</v>
      </c>
      <c r="H869" s="221" t="s">
        <v>15</v>
      </c>
      <c r="I869" s="220" t="s">
        <v>302</v>
      </c>
      <c r="J869" s="221" t="s">
        <v>302</v>
      </c>
      <c r="K869" s="221" t="s">
        <v>302</v>
      </c>
      <c r="L869" s="220" t="s">
        <v>302</v>
      </c>
      <c r="M869" s="220" t="s">
        <v>302</v>
      </c>
      <c r="N869" s="221" t="s">
        <v>302</v>
      </c>
      <c r="O869" s="222" t="s">
        <v>15</v>
      </c>
      <c r="P869" s="222" t="s">
        <v>15</v>
      </c>
      <c r="Q869" s="222" t="s">
        <v>15</v>
      </c>
      <c r="R869" s="222" t="s">
        <v>15</v>
      </c>
      <c r="S869" s="222" t="s">
        <v>16</v>
      </c>
      <c r="T869" s="222" t="s">
        <v>349</v>
      </c>
      <c r="U869" s="222" t="s">
        <v>269</v>
      </c>
      <c r="V869" s="222" t="s">
        <v>302</v>
      </c>
      <c r="W869" s="223" t="s">
        <v>302</v>
      </c>
      <c r="X869" s="223" t="s">
        <v>302</v>
      </c>
      <c r="Y869" s="224" t="s">
        <v>302</v>
      </c>
    </row>
    <row r="870" spans="1:25">
      <c r="A870" s="216">
        <v>16</v>
      </c>
      <c r="B870" s="217" t="str">
        <f>VLOOKUP(Tabel10[[#This Row],[Code]],Ruimtegroepen[[Code]:[Ruimte omschrijving]],2,FALSE)</f>
        <v>Leslokalen theorie</v>
      </c>
      <c r="C870" s="218" t="s">
        <v>1022</v>
      </c>
      <c r="D870" s="217" t="s">
        <v>13</v>
      </c>
      <c r="E870" s="219" t="s">
        <v>102</v>
      </c>
      <c r="F870" s="218" t="s">
        <v>1025</v>
      </c>
      <c r="G870" s="263" t="s">
        <v>302</v>
      </c>
      <c r="H870" s="220" t="s">
        <v>302</v>
      </c>
      <c r="I870" s="220" t="s">
        <v>302</v>
      </c>
      <c r="J870" s="220" t="s">
        <v>15</v>
      </c>
      <c r="K870" s="221" t="s">
        <v>16</v>
      </c>
      <c r="L870" s="220" t="s">
        <v>302</v>
      </c>
      <c r="M870" s="220" t="s">
        <v>302</v>
      </c>
      <c r="N870" s="221" t="s">
        <v>302</v>
      </c>
      <c r="O870" s="222" t="s">
        <v>15</v>
      </c>
      <c r="P870" s="222" t="s">
        <v>15</v>
      </c>
      <c r="Q870" s="222" t="s">
        <v>15</v>
      </c>
      <c r="R870" s="222" t="s">
        <v>15</v>
      </c>
      <c r="S870" s="222" t="s">
        <v>16</v>
      </c>
      <c r="T870" s="222" t="s">
        <v>349</v>
      </c>
      <c r="U870" s="222" t="s">
        <v>269</v>
      </c>
      <c r="V870" s="222" t="s">
        <v>302</v>
      </c>
      <c r="W870" s="223" t="s">
        <v>302</v>
      </c>
      <c r="X870" s="223" t="s">
        <v>302</v>
      </c>
      <c r="Y870" s="224" t="s">
        <v>302</v>
      </c>
    </row>
    <row r="871" spans="1:25">
      <c r="A871" s="216">
        <v>16</v>
      </c>
      <c r="B871" s="217" t="str">
        <f>VLOOKUP(Tabel10[[#This Row],[Code]],Ruimtegroepen[[Code]:[Ruimte omschrijving]],2,FALSE)</f>
        <v>Leslokalen theorie</v>
      </c>
      <c r="C871" s="218" t="s">
        <v>1022</v>
      </c>
      <c r="D871" s="217" t="s">
        <v>13</v>
      </c>
      <c r="E871" s="219" t="s">
        <v>103</v>
      </c>
      <c r="F871" s="218" t="s">
        <v>1026</v>
      </c>
      <c r="G871" s="263" t="s">
        <v>302</v>
      </c>
      <c r="H871" s="220" t="s">
        <v>302</v>
      </c>
      <c r="I871" s="220" t="s">
        <v>302</v>
      </c>
      <c r="J871" s="221" t="s">
        <v>15</v>
      </c>
      <c r="K871" s="221" t="s">
        <v>16</v>
      </c>
      <c r="L871" s="220" t="s">
        <v>302</v>
      </c>
      <c r="M871" s="220" t="s">
        <v>302</v>
      </c>
      <c r="N871" s="221" t="s">
        <v>302</v>
      </c>
      <c r="O871" s="222" t="s">
        <v>15</v>
      </c>
      <c r="P871" s="222" t="s">
        <v>15</v>
      </c>
      <c r="Q871" s="222" t="s">
        <v>15</v>
      </c>
      <c r="R871" s="222" t="s">
        <v>15</v>
      </c>
      <c r="S871" s="222" t="s">
        <v>16</v>
      </c>
      <c r="T871" s="222" t="s">
        <v>349</v>
      </c>
      <c r="U871" s="222" t="s">
        <v>269</v>
      </c>
      <c r="V871" s="222" t="s">
        <v>302</v>
      </c>
      <c r="W871" s="223" t="s">
        <v>302</v>
      </c>
      <c r="X871" s="223" t="s">
        <v>302</v>
      </c>
      <c r="Y871" s="224" t="s">
        <v>302</v>
      </c>
    </row>
    <row r="872" spans="1:25">
      <c r="A872" s="216">
        <v>16</v>
      </c>
      <c r="B872" s="217" t="str">
        <f>VLOOKUP(Tabel10[[#This Row],[Code]],Ruimtegroepen[[Code]:[Ruimte omschrijving]],2,FALSE)</f>
        <v>Leslokalen theorie</v>
      </c>
      <c r="C872" s="218" t="s">
        <v>1022</v>
      </c>
      <c r="D872" s="217" t="s">
        <v>13</v>
      </c>
      <c r="E872" s="219" t="s">
        <v>100</v>
      </c>
      <c r="F872" s="218" t="s">
        <v>1024</v>
      </c>
      <c r="G872" s="263" t="s">
        <v>302</v>
      </c>
      <c r="H872" s="221" t="s">
        <v>15</v>
      </c>
      <c r="I872" s="220" t="s">
        <v>302</v>
      </c>
      <c r="J872" s="221" t="s">
        <v>302</v>
      </c>
      <c r="K872" s="221" t="s">
        <v>302</v>
      </c>
      <c r="L872" s="220" t="s">
        <v>302</v>
      </c>
      <c r="M872" s="220" t="s">
        <v>302</v>
      </c>
      <c r="N872" s="221" t="s">
        <v>302</v>
      </c>
      <c r="O872" s="222" t="s">
        <v>302</v>
      </c>
      <c r="P872" s="222" t="s">
        <v>302</v>
      </c>
      <c r="Q872" s="222" t="s">
        <v>302</v>
      </c>
      <c r="R872" s="222" t="s">
        <v>302</v>
      </c>
      <c r="S872" s="222" t="s">
        <v>302</v>
      </c>
      <c r="T872" s="222" t="s">
        <v>302</v>
      </c>
      <c r="U872" s="222" t="s">
        <v>302</v>
      </c>
      <c r="V872" s="222" t="s">
        <v>302</v>
      </c>
      <c r="W872" s="223" t="s">
        <v>302</v>
      </c>
      <c r="X872" s="223" t="s">
        <v>302</v>
      </c>
      <c r="Y872" s="224" t="s">
        <v>302</v>
      </c>
    </row>
    <row r="873" spans="1:25">
      <c r="A873" s="216">
        <v>16</v>
      </c>
      <c r="B873" s="217" t="str">
        <f>VLOOKUP(Tabel10[[#This Row],[Code]],Ruimtegroepen[[Code]:[Ruimte omschrijving]],2,FALSE)</f>
        <v>Leslokalen theorie</v>
      </c>
      <c r="C873" s="218" t="s">
        <v>1022</v>
      </c>
      <c r="D873" s="217" t="s">
        <v>13</v>
      </c>
      <c r="E873" s="219" t="s">
        <v>1325</v>
      </c>
      <c r="F873" s="218" t="s">
        <v>1388</v>
      </c>
      <c r="G873" s="263" t="s">
        <v>302</v>
      </c>
      <c r="H873" s="220" t="s">
        <v>302</v>
      </c>
      <c r="I873" s="220" t="s">
        <v>302</v>
      </c>
      <c r="J873" s="221" t="s">
        <v>15</v>
      </c>
      <c r="K873" s="221" t="s">
        <v>16</v>
      </c>
      <c r="L873" s="220" t="s">
        <v>302</v>
      </c>
      <c r="M873" s="220" t="s">
        <v>302</v>
      </c>
      <c r="N873" s="221" t="s">
        <v>302</v>
      </c>
      <c r="O873" s="222" t="s">
        <v>15</v>
      </c>
      <c r="P873" s="222" t="s">
        <v>15</v>
      </c>
      <c r="Q873" s="222" t="s">
        <v>15</v>
      </c>
      <c r="R873" s="222" t="s">
        <v>15</v>
      </c>
      <c r="S873" s="222" t="s">
        <v>16</v>
      </c>
      <c r="T873" s="222" t="s">
        <v>349</v>
      </c>
      <c r="U873" s="222" t="s">
        <v>269</v>
      </c>
      <c r="V873" s="222" t="s">
        <v>302</v>
      </c>
      <c r="W873" s="223" t="s">
        <v>302</v>
      </c>
      <c r="X873" s="223" t="s">
        <v>302</v>
      </c>
      <c r="Y873" s="224" t="s">
        <v>302</v>
      </c>
    </row>
    <row r="874" spans="1:25">
      <c r="A874" s="216">
        <v>16</v>
      </c>
      <c r="B874" s="217" t="str">
        <f>VLOOKUP(Tabel10[[#This Row],[Code]],Ruimtegroepen[[Code]:[Ruimte omschrijving]],2,FALSE)</f>
        <v>Leslokalen theorie</v>
      </c>
      <c r="C874" s="218" t="s">
        <v>1027</v>
      </c>
      <c r="D874" s="217" t="s">
        <v>0</v>
      </c>
      <c r="E874" s="219" t="s">
        <v>101</v>
      </c>
      <c r="F874" s="218" t="s">
        <v>1028</v>
      </c>
      <c r="G874" s="263" t="s">
        <v>302</v>
      </c>
      <c r="H874" s="220" t="s">
        <v>302</v>
      </c>
      <c r="I874" s="221" t="s">
        <v>16</v>
      </c>
      <c r="J874" s="221" t="s">
        <v>302</v>
      </c>
      <c r="K874" s="221" t="s">
        <v>302</v>
      </c>
      <c r="L874" s="220" t="s">
        <v>302</v>
      </c>
      <c r="M874" s="220" t="s">
        <v>302</v>
      </c>
      <c r="N874" s="221" t="s">
        <v>302</v>
      </c>
      <c r="O874" s="222" t="s">
        <v>16</v>
      </c>
      <c r="P874" s="222" t="s">
        <v>16</v>
      </c>
      <c r="Q874" s="222" t="s">
        <v>16</v>
      </c>
      <c r="R874" s="222" t="s">
        <v>16</v>
      </c>
      <c r="S874" s="222" t="s">
        <v>16</v>
      </c>
      <c r="T874" s="222" t="s">
        <v>349</v>
      </c>
      <c r="U874" s="222" t="s">
        <v>269</v>
      </c>
      <c r="V874" s="222" t="s">
        <v>302</v>
      </c>
      <c r="W874" s="223" t="s">
        <v>302</v>
      </c>
      <c r="X874" s="223" t="s">
        <v>302</v>
      </c>
      <c r="Y874" s="224" t="s">
        <v>302</v>
      </c>
    </row>
    <row r="875" spans="1:25">
      <c r="A875" s="216">
        <v>16</v>
      </c>
      <c r="B875" s="217" t="str">
        <f>VLOOKUP(Tabel10[[#This Row],[Code]],Ruimtegroepen[[Code]:[Ruimte omschrijving]],2,FALSE)</f>
        <v>Leslokalen theorie</v>
      </c>
      <c r="C875" s="218" t="s">
        <v>1027</v>
      </c>
      <c r="D875" s="217" t="s">
        <v>0</v>
      </c>
      <c r="E875" s="219" t="s">
        <v>100</v>
      </c>
      <c r="F875" s="218" t="s">
        <v>1029</v>
      </c>
      <c r="G875" s="263" t="s">
        <v>302</v>
      </c>
      <c r="H875" s="221" t="s">
        <v>16</v>
      </c>
      <c r="I875" s="220" t="s">
        <v>302</v>
      </c>
      <c r="J875" s="221" t="s">
        <v>302</v>
      </c>
      <c r="K875" s="221" t="s">
        <v>302</v>
      </c>
      <c r="L875" s="220" t="s">
        <v>302</v>
      </c>
      <c r="M875" s="220" t="s">
        <v>302</v>
      </c>
      <c r="N875" s="221" t="s">
        <v>302</v>
      </c>
      <c r="O875" s="222" t="s">
        <v>16</v>
      </c>
      <c r="P875" s="222" t="s">
        <v>16</v>
      </c>
      <c r="Q875" s="222" t="s">
        <v>16</v>
      </c>
      <c r="R875" s="222" t="s">
        <v>16</v>
      </c>
      <c r="S875" s="222" t="s">
        <v>16</v>
      </c>
      <c r="T875" s="222" t="s">
        <v>349</v>
      </c>
      <c r="U875" s="222" t="s">
        <v>269</v>
      </c>
      <c r="V875" s="222" t="s">
        <v>302</v>
      </c>
      <c r="W875" s="223" t="s">
        <v>302</v>
      </c>
      <c r="X875" s="223" t="s">
        <v>302</v>
      </c>
      <c r="Y875" s="224" t="s">
        <v>302</v>
      </c>
    </row>
    <row r="876" spans="1:25">
      <c r="A876" s="216">
        <v>16</v>
      </c>
      <c r="B876" s="217" t="str">
        <f>VLOOKUP(Tabel10[[#This Row],[Code]],Ruimtegroepen[[Code]:[Ruimte omschrijving]],2,FALSE)</f>
        <v>Leslokalen theorie</v>
      </c>
      <c r="C876" s="218" t="s">
        <v>1027</v>
      </c>
      <c r="D876" s="217" t="s">
        <v>0</v>
      </c>
      <c r="E876" s="219" t="s">
        <v>102</v>
      </c>
      <c r="F876" s="218" t="s">
        <v>1030</v>
      </c>
      <c r="G876" s="263" t="s">
        <v>302</v>
      </c>
      <c r="H876" s="220" t="s">
        <v>302</v>
      </c>
      <c r="I876" s="220" t="s">
        <v>302</v>
      </c>
      <c r="J876" s="221" t="s">
        <v>381</v>
      </c>
      <c r="K876" s="221" t="s">
        <v>16</v>
      </c>
      <c r="L876" s="220" t="s">
        <v>302</v>
      </c>
      <c r="M876" s="220" t="s">
        <v>302</v>
      </c>
      <c r="N876" s="221" t="s">
        <v>302</v>
      </c>
      <c r="O876" s="222" t="s">
        <v>16</v>
      </c>
      <c r="P876" s="222" t="s">
        <v>16</v>
      </c>
      <c r="Q876" s="222" t="s">
        <v>16</v>
      </c>
      <c r="R876" s="222" t="s">
        <v>16</v>
      </c>
      <c r="S876" s="222" t="s">
        <v>16</v>
      </c>
      <c r="T876" s="222" t="s">
        <v>349</v>
      </c>
      <c r="U876" s="222" t="s">
        <v>269</v>
      </c>
      <c r="V876" s="222" t="s">
        <v>302</v>
      </c>
      <c r="W876" s="223" t="s">
        <v>302</v>
      </c>
      <c r="X876" s="223" t="s">
        <v>302</v>
      </c>
      <c r="Y876" s="224" t="s">
        <v>302</v>
      </c>
    </row>
    <row r="877" spans="1:25">
      <c r="A877" s="216">
        <v>16</v>
      </c>
      <c r="B877" s="217" t="str">
        <f>VLOOKUP(Tabel10[[#This Row],[Code]],Ruimtegroepen[[Code]:[Ruimte omschrijving]],2,FALSE)</f>
        <v>Leslokalen theorie</v>
      </c>
      <c r="C877" s="218" t="s">
        <v>1027</v>
      </c>
      <c r="D877" s="217" t="s">
        <v>0</v>
      </c>
      <c r="E877" s="219" t="s">
        <v>103</v>
      </c>
      <c r="F877" s="218" t="s">
        <v>1031</v>
      </c>
      <c r="G877" s="263" t="s">
        <v>302</v>
      </c>
      <c r="H877" s="220" t="s">
        <v>302</v>
      </c>
      <c r="I877" s="221" t="s">
        <v>16</v>
      </c>
      <c r="J877" s="221" t="s">
        <v>302</v>
      </c>
      <c r="K877" s="221" t="s">
        <v>16</v>
      </c>
      <c r="L877" s="220" t="s">
        <v>302</v>
      </c>
      <c r="M877" s="220" t="s">
        <v>302</v>
      </c>
      <c r="N877" s="221" t="s">
        <v>302</v>
      </c>
      <c r="O877" s="222" t="s">
        <v>16</v>
      </c>
      <c r="P877" s="222" t="s">
        <v>16</v>
      </c>
      <c r="Q877" s="222" t="s">
        <v>16</v>
      </c>
      <c r="R877" s="222" t="s">
        <v>16</v>
      </c>
      <c r="S877" s="222" t="s">
        <v>16</v>
      </c>
      <c r="T877" s="222" t="s">
        <v>349</v>
      </c>
      <c r="U877" s="222" t="s">
        <v>269</v>
      </c>
      <c r="V877" s="222" t="s">
        <v>302</v>
      </c>
      <c r="W877" s="223" t="s">
        <v>302</v>
      </c>
      <c r="X877" s="223" t="s">
        <v>302</v>
      </c>
      <c r="Y877" s="224" t="s">
        <v>302</v>
      </c>
    </row>
    <row r="878" spans="1:25">
      <c r="A878" s="216">
        <v>16</v>
      </c>
      <c r="B878" s="217" t="str">
        <f>VLOOKUP(Tabel10[[#This Row],[Code]],Ruimtegroepen[[Code]:[Ruimte omschrijving]],2,FALSE)</f>
        <v>Leslokalen theorie</v>
      </c>
      <c r="C878" s="218" t="s">
        <v>1027</v>
      </c>
      <c r="D878" s="217" t="s">
        <v>0</v>
      </c>
      <c r="E878" s="219" t="s">
        <v>100</v>
      </c>
      <c r="F878" s="218" t="s">
        <v>1029</v>
      </c>
      <c r="G878" s="263" t="s">
        <v>302</v>
      </c>
      <c r="H878" s="221" t="s">
        <v>16</v>
      </c>
      <c r="I878" s="220" t="s">
        <v>302</v>
      </c>
      <c r="J878" s="221" t="s">
        <v>302</v>
      </c>
      <c r="K878" s="221" t="s">
        <v>302</v>
      </c>
      <c r="L878" s="220" t="s">
        <v>302</v>
      </c>
      <c r="M878" s="220" t="s">
        <v>302</v>
      </c>
      <c r="N878" s="221" t="s">
        <v>302</v>
      </c>
      <c r="O878" s="222" t="s">
        <v>302</v>
      </c>
      <c r="P878" s="222" t="s">
        <v>302</v>
      </c>
      <c r="Q878" s="222" t="s">
        <v>302</v>
      </c>
      <c r="R878" s="222" t="s">
        <v>302</v>
      </c>
      <c r="S878" s="222" t="s">
        <v>302</v>
      </c>
      <c r="T878" s="222" t="s">
        <v>302</v>
      </c>
      <c r="U878" s="222" t="s">
        <v>302</v>
      </c>
      <c r="V878" s="222" t="s">
        <v>302</v>
      </c>
      <c r="W878" s="223" t="s">
        <v>302</v>
      </c>
      <c r="X878" s="223" t="s">
        <v>302</v>
      </c>
      <c r="Y878" s="224" t="s">
        <v>302</v>
      </c>
    </row>
    <row r="879" spans="1:25">
      <c r="A879" s="216">
        <v>16</v>
      </c>
      <c r="B879" s="217" t="str">
        <f>VLOOKUP(Tabel10[[#This Row],[Code]],Ruimtegroepen[[Code]:[Ruimte omschrijving]],2,FALSE)</f>
        <v>Leslokalen theorie</v>
      </c>
      <c r="C879" s="218" t="s">
        <v>1027</v>
      </c>
      <c r="D879" s="217" t="s">
        <v>0</v>
      </c>
      <c r="E879" s="219" t="s">
        <v>1325</v>
      </c>
      <c r="F879" s="218" t="s">
        <v>1372</v>
      </c>
      <c r="G879" s="263" t="s">
        <v>302</v>
      </c>
      <c r="H879" s="220" t="s">
        <v>302</v>
      </c>
      <c r="I879" s="221" t="s">
        <v>16</v>
      </c>
      <c r="J879" s="221" t="s">
        <v>302</v>
      </c>
      <c r="K879" s="221" t="s">
        <v>16</v>
      </c>
      <c r="L879" s="220" t="s">
        <v>302</v>
      </c>
      <c r="M879" s="220" t="s">
        <v>302</v>
      </c>
      <c r="N879" s="221" t="s">
        <v>302</v>
      </c>
      <c r="O879" s="222" t="s">
        <v>16</v>
      </c>
      <c r="P879" s="222" t="s">
        <v>16</v>
      </c>
      <c r="Q879" s="222" t="s">
        <v>16</v>
      </c>
      <c r="R879" s="222" t="s">
        <v>16</v>
      </c>
      <c r="S879" s="222" t="s">
        <v>16</v>
      </c>
      <c r="T879" s="222" t="s">
        <v>349</v>
      </c>
      <c r="U879" s="222" t="s">
        <v>269</v>
      </c>
      <c r="V879" s="222" t="s">
        <v>302</v>
      </c>
      <c r="W879" s="223" t="s">
        <v>302</v>
      </c>
      <c r="X879" s="223" t="s">
        <v>302</v>
      </c>
      <c r="Y879" s="224" t="s">
        <v>302</v>
      </c>
    </row>
    <row r="880" spans="1:25">
      <c r="A880" s="216">
        <v>16</v>
      </c>
      <c r="B880" s="217" t="str">
        <f>VLOOKUP(Tabel10[[#This Row],[Code]],Ruimtegroepen[[Code]:[Ruimte omschrijving]],2,FALSE)</f>
        <v>Leslokalen theorie</v>
      </c>
      <c r="C880" s="218" t="s">
        <v>1032</v>
      </c>
      <c r="D880" s="217" t="s">
        <v>27</v>
      </c>
      <c r="E880" s="219" t="s">
        <v>101</v>
      </c>
      <c r="F880" s="218" t="s">
        <v>1033</v>
      </c>
      <c r="G880" s="263" t="s">
        <v>302</v>
      </c>
      <c r="H880" s="220" t="s">
        <v>302</v>
      </c>
      <c r="I880" s="220" t="s">
        <v>15</v>
      </c>
      <c r="J880" s="220" t="s">
        <v>302</v>
      </c>
      <c r="K880" s="221" t="s">
        <v>302</v>
      </c>
      <c r="L880" s="220" t="s">
        <v>302</v>
      </c>
      <c r="M880" s="220" t="s">
        <v>302</v>
      </c>
      <c r="N880" s="221" t="s">
        <v>302</v>
      </c>
      <c r="O880" s="222" t="s">
        <v>15</v>
      </c>
      <c r="P880" s="222" t="s">
        <v>15</v>
      </c>
      <c r="Q880" s="222" t="s">
        <v>15</v>
      </c>
      <c r="R880" s="222" t="s">
        <v>302</v>
      </c>
      <c r="S880" s="222" t="s">
        <v>302</v>
      </c>
      <c r="T880" s="222" t="s">
        <v>302</v>
      </c>
      <c r="U880" s="222" t="s">
        <v>302</v>
      </c>
      <c r="V880" s="222" t="s">
        <v>302</v>
      </c>
      <c r="W880" s="223" t="s">
        <v>302</v>
      </c>
      <c r="X880" s="223" t="s">
        <v>302</v>
      </c>
      <c r="Y880" s="224" t="s">
        <v>302</v>
      </c>
    </row>
    <row r="881" spans="1:25">
      <c r="A881" s="216">
        <v>16</v>
      </c>
      <c r="B881" s="217" t="str">
        <f>VLOOKUP(Tabel10[[#This Row],[Code]],Ruimtegroepen[[Code]:[Ruimte omschrijving]],2,FALSE)</f>
        <v>Leslokalen theorie</v>
      </c>
      <c r="C881" s="218" t="s">
        <v>1032</v>
      </c>
      <c r="D881" s="217" t="s">
        <v>27</v>
      </c>
      <c r="E881" s="219" t="s">
        <v>100</v>
      </c>
      <c r="F881" s="218" t="s">
        <v>1034</v>
      </c>
      <c r="G881" s="263" t="s">
        <v>302</v>
      </c>
      <c r="H881" s="221" t="s">
        <v>15</v>
      </c>
      <c r="I881" s="220" t="s">
        <v>302</v>
      </c>
      <c r="J881" s="221" t="s">
        <v>302</v>
      </c>
      <c r="K881" s="221" t="s">
        <v>302</v>
      </c>
      <c r="L881" s="220" t="s">
        <v>302</v>
      </c>
      <c r="M881" s="220" t="s">
        <v>302</v>
      </c>
      <c r="N881" s="221" t="s">
        <v>302</v>
      </c>
      <c r="O881" s="222" t="s">
        <v>15</v>
      </c>
      <c r="P881" s="222" t="s">
        <v>15</v>
      </c>
      <c r="Q881" s="222" t="s">
        <v>15</v>
      </c>
      <c r="R881" s="222" t="s">
        <v>302</v>
      </c>
      <c r="S881" s="222" t="s">
        <v>302</v>
      </c>
      <c r="T881" s="222" t="s">
        <v>302</v>
      </c>
      <c r="U881" s="222" t="s">
        <v>302</v>
      </c>
      <c r="V881" s="222" t="s">
        <v>302</v>
      </c>
      <c r="W881" s="223" t="s">
        <v>302</v>
      </c>
      <c r="X881" s="223" t="s">
        <v>302</v>
      </c>
      <c r="Y881" s="224" t="s">
        <v>302</v>
      </c>
    </row>
    <row r="882" spans="1:25">
      <c r="A882" s="216">
        <v>16</v>
      </c>
      <c r="B882" s="217" t="str">
        <f>VLOOKUP(Tabel10[[#This Row],[Code]],Ruimtegroepen[[Code]:[Ruimte omschrijving]],2,FALSE)</f>
        <v>Leslokalen theorie</v>
      </c>
      <c r="C882" s="218" t="s">
        <v>1032</v>
      </c>
      <c r="D882" s="217" t="s">
        <v>27</v>
      </c>
      <c r="E882" s="219" t="s">
        <v>102</v>
      </c>
      <c r="F882" s="218" t="s">
        <v>1035</v>
      </c>
      <c r="G882" s="263" t="s">
        <v>302</v>
      </c>
      <c r="H882" s="220" t="s">
        <v>302</v>
      </c>
      <c r="I882" s="221" t="s">
        <v>15</v>
      </c>
      <c r="J882" s="221" t="s">
        <v>302</v>
      </c>
      <c r="K882" s="221" t="s">
        <v>302</v>
      </c>
      <c r="L882" s="220" t="s">
        <v>302</v>
      </c>
      <c r="M882" s="220" t="s">
        <v>302</v>
      </c>
      <c r="N882" s="221" t="s">
        <v>302</v>
      </c>
      <c r="O882" s="222" t="s">
        <v>15</v>
      </c>
      <c r="P882" s="222" t="s">
        <v>15</v>
      </c>
      <c r="Q882" s="222" t="s">
        <v>15</v>
      </c>
      <c r="R882" s="222" t="s">
        <v>302</v>
      </c>
      <c r="S882" s="222" t="s">
        <v>302</v>
      </c>
      <c r="T882" s="222" t="s">
        <v>302</v>
      </c>
      <c r="U882" s="222" t="s">
        <v>302</v>
      </c>
      <c r="V882" s="222" t="s">
        <v>302</v>
      </c>
      <c r="W882" s="223" t="s">
        <v>302</v>
      </c>
      <c r="X882" s="223" t="s">
        <v>302</v>
      </c>
      <c r="Y882" s="224" t="s">
        <v>302</v>
      </c>
    </row>
    <row r="883" spans="1:25">
      <c r="A883" s="216">
        <v>16</v>
      </c>
      <c r="B883" s="217" t="str">
        <f>VLOOKUP(Tabel10[[#This Row],[Code]],Ruimtegroepen[[Code]:[Ruimte omschrijving]],2,FALSE)</f>
        <v>Leslokalen theorie</v>
      </c>
      <c r="C883" s="218" t="s">
        <v>1032</v>
      </c>
      <c r="D883" s="217" t="s">
        <v>27</v>
      </c>
      <c r="E883" s="219" t="s">
        <v>103</v>
      </c>
      <c r="F883" s="218" t="s">
        <v>1036</v>
      </c>
      <c r="G883" s="263" t="s">
        <v>302</v>
      </c>
      <c r="H883" s="220" t="s">
        <v>302</v>
      </c>
      <c r="I883" s="221" t="s">
        <v>15</v>
      </c>
      <c r="J883" s="221" t="s">
        <v>302</v>
      </c>
      <c r="K883" s="221" t="s">
        <v>302</v>
      </c>
      <c r="L883" s="220" t="s">
        <v>302</v>
      </c>
      <c r="M883" s="220" t="s">
        <v>302</v>
      </c>
      <c r="N883" s="221" t="s">
        <v>302</v>
      </c>
      <c r="O883" s="222" t="s">
        <v>15</v>
      </c>
      <c r="P883" s="222" t="s">
        <v>15</v>
      </c>
      <c r="Q883" s="222" t="s">
        <v>15</v>
      </c>
      <c r="R883" s="222" t="s">
        <v>302</v>
      </c>
      <c r="S883" s="222" t="s">
        <v>302</v>
      </c>
      <c r="T883" s="222" t="s">
        <v>302</v>
      </c>
      <c r="U883" s="222" t="s">
        <v>302</v>
      </c>
      <c r="V883" s="222" t="s">
        <v>302</v>
      </c>
      <c r="W883" s="223" t="s">
        <v>302</v>
      </c>
      <c r="X883" s="223" t="s">
        <v>302</v>
      </c>
      <c r="Y883" s="224" t="s">
        <v>302</v>
      </c>
    </row>
    <row r="884" spans="1:25">
      <c r="A884" s="216">
        <v>16</v>
      </c>
      <c r="B884" s="217" t="str">
        <f>VLOOKUP(Tabel10[[#This Row],[Code]],Ruimtegroepen[[Code]:[Ruimte omschrijving]],2,FALSE)</f>
        <v>Leslokalen theorie</v>
      </c>
      <c r="C884" s="218" t="s">
        <v>1032</v>
      </c>
      <c r="D884" s="217" t="s">
        <v>27</v>
      </c>
      <c r="E884" s="219" t="s">
        <v>100</v>
      </c>
      <c r="F884" s="218" t="s">
        <v>1034</v>
      </c>
      <c r="G884" s="263" t="s">
        <v>302</v>
      </c>
      <c r="H884" s="221" t="s">
        <v>15</v>
      </c>
      <c r="I884" s="220" t="s">
        <v>302</v>
      </c>
      <c r="J884" s="221" t="s">
        <v>302</v>
      </c>
      <c r="K884" s="221" t="s">
        <v>302</v>
      </c>
      <c r="L884" s="220" t="s">
        <v>302</v>
      </c>
      <c r="M884" s="220" t="s">
        <v>302</v>
      </c>
      <c r="N884" s="221" t="s">
        <v>302</v>
      </c>
      <c r="O884" s="222" t="s">
        <v>15</v>
      </c>
      <c r="P884" s="222" t="s">
        <v>15</v>
      </c>
      <c r="Q884" s="222" t="s">
        <v>15</v>
      </c>
      <c r="R884" s="222" t="s">
        <v>302</v>
      </c>
      <c r="S884" s="222" t="s">
        <v>302</v>
      </c>
      <c r="T884" s="222" t="s">
        <v>302</v>
      </c>
      <c r="U884" s="222" t="s">
        <v>302</v>
      </c>
      <c r="V884" s="222" t="s">
        <v>302</v>
      </c>
      <c r="W884" s="223" t="s">
        <v>302</v>
      </c>
      <c r="X884" s="223" t="s">
        <v>302</v>
      </c>
      <c r="Y884" s="224" t="s">
        <v>302</v>
      </c>
    </row>
    <row r="885" spans="1:25">
      <c r="A885" s="216">
        <v>16</v>
      </c>
      <c r="B885" s="217" t="str">
        <f>VLOOKUP(Tabel10[[#This Row],[Code]],Ruimtegroepen[[Code]:[Ruimte omschrijving]],2,FALSE)</f>
        <v>Leslokalen theorie</v>
      </c>
      <c r="C885" s="218" t="s">
        <v>1032</v>
      </c>
      <c r="D885" s="217" t="s">
        <v>27</v>
      </c>
      <c r="E885" s="219" t="s">
        <v>1325</v>
      </c>
      <c r="F885" s="218" t="s">
        <v>1405</v>
      </c>
      <c r="G885" s="263" t="s">
        <v>302</v>
      </c>
      <c r="H885" s="220" t="s">
        <v>302</v>
      </c>
      <c r="I885" s="221" t="s">
        <v>15</v>
      </c>
      <c r="J885" s="221" t="s">
        <v>302</v>
      </c>
      <c r="K885" s="221" t="s">
        <v>302</v>
      </c>
      <c r="L885" s="220" t="s">
        <v>302</v>
      </c>
      <c r="M885" s="220" t="s">
        <v>302</v>
      </c>
      <c r="N885" s="221" t="s">
        <v>302</v>
      </c>
      <c r="O885" s="222" t="s">
        <v>15</v>
      </c>
      <c r="P885" s="222" t="s">
        <v>15</v>
      </c>
      <c r="Q885" s="222" t="s">
        <v>15</v>
      </c>
      <c r="R885" s="222" t="s">
        <v>302</v>
      </c>
      <c r="S885" s="222" t="s">
        <v>302</v>
      </c>
      <c r="T885" s="222" t="s">
        <v>302</v>
      </c>
      <c r="U885" s="222" t="s">
        <v>302</v>
      </c>
      <c r="V885" s="222" t="s">
        <v>302</v>
      </c>
      <c r="W885" s="223" t="s">
        <v>302</v>
      </c>
      <c r="X885" s="223" t="s">
        <v>302</v>
      </c>
      <c r="Y885" s="224" t="s">
        <v>302</v>
      </c>
    </row>
    <row r="886" spans="1:25">
      <c r="A886" s="216">
        <v>16</v>
      </c>
      <c r="B886" s="217" t="str">
        <f>VLOOKUP(Tabel10[[#This Row],[Code]],Ruimtegroepen[[Code]:[Ruimte omschrijving]],2,FALSE)</f>
        <v>Leslokalen theorie</v>
      </c>
      <c r="C886" s="218" t="s">
        <v>1037</v>
      </c>
      <c r="D886" s="217" t="s">
        <v>28</v>
      </c>
      <c r="E886" s="219" t="s">
        <v>101</v>
      </c>
      <c r="F886" s="218" t="s">
        <v>1038</v>
      </c>
      <c r="G886" s="263" t="s">
        <v>302</v>
      </c>
      <c r="H886" s="220" t="s">
        <v>302</v>
      </c>
      <c r="I886" s="221" t="s">
        <v>17</v>
      </c>
      <c r="J886" s="220" t="s">
        <v>302</v>
      </c>
      <c r="K886" s="221" t="s">
        <v>302</v>
      </c>
      <c r="L886" s="220" t="s">
        <v>302</v>
      </c>
      <c r="M886" s="220" t="s">
        <v>302</v>
      </c>
      <c r="N886" s="221" t="s">
        <v>302</v>
      </c>
      <c r="O886" s="222" t="s">
        <v>17</v>
      </c>
      <c r="P886" s="222" t="s">
        <v>17</v>
      </c>
      <c r="Q886" s="222" t="s">
        <v>15</v>
      </c>
      <c r="R886" s="222" t="s">
        <v>302</v>
      </c>
      <c r="S886" s="222" t="s">
        <v>302</v>
      </c>
      <c r="T886" s="222" t="s">
        <v>302</v>
      </c>
      <c r="U886" s="222" t="s">
        <v>302</v>
      </c>
      <c r="V886" s="222" t="s">
        <v>302</v>
      </c>
      <c r="W886" s="223" t="s">
        <v>302</v>
      </c>
      <c r="X886" s="223" t="s">
        <v>302</v>
      </c>
      <c r="Y886" s="224" t="s">
        <v>302</v>
      </c>
    </row>
    <row r="887" spans="1:25">
      <c r="A887" s="216">
        <v>16</v>
      </c>
      <c r="B887" s="217" t="str">
        <f>VLOOKUP(Tabel10[[#This Row],[Code]],Ruimtegroepen[[Code]:[Ruimte omschrijving]],2,FALSE)</f>
        <v>Leslokalen theorie</v>
      </c>
      <c r="C887" s="218" t="s">
        <v>1037</v>
      </c>
      <c r="D887" s="217" t="s">
        <v>28</v>
      </c>
      <c r="E887" s="219" t="s">
        <v>100</v>
      </c>
      <c r="F887" s="218" t="s">
        <v>1039</v>
      </c>
      <c r="G887" s="263" t="s">
        <v>302</v>
      </c>
      <c r="H887" s="221" t="s">
        <v>17</v>
      </c>
      <c r="I887" s="220" t="s">
        <v>302</v>
      </c>
      <c r="J887" s="221" t="s">
        <v>302</v>
      </c>
      <c r="K887" s="221" t="s">
        <v>302</v>
      </c>
      <c r="L887" s="220" t="s">
        <v>302</v>
      </c>
      <c r="M887" s="220" t="s">
        <v>302</v>
      </c>
      <c r="N887" s="221" t="s">
        <v>302</v>
      </c>
      <c r="O887" s="222" t="s">
        <v>17</v>
      </c>
      <c r="P887" s="222" t="s">
        <v>17</v>
      </c>
      <c r="Q887" s="222" t="s">
        <v>15</v>
      </c>
      <c r="R887" s="222" t="s">
        <v>302</v>
      </c>
      <c r="S887" s="222" t="s">
        <v>302</v>
      </c>
      <c r="T887" s="222" t="s">
        <v>302</v>
      </c>
      <c r="U887" s="222" t="s">
        <v>302</v>
      </c>
      <c r="V887" s="222" t="s">
        <v>302</v>
      </c>
      <c r="W887" s="223" t="s">
        <v>302</v>
      </c>
      <c r="X887" s="223" t="s">
        <v>302</v>
      </c>
      <c r="Y887" s="224" t="s">
        <v>302</v>
      </c>
    </row>
    <row r="888" spans="1:25">
      <c r="A888" s="216">
        <v>16</v>
      </c>
      <c r="B888" s="217" t="str">
        <f>VLOOKUP(Tabel10[[#This Row],[Code]],Ruimtegroepen[[Code]:[Ruimte omschrijving]],2,FALSE)</f>
        <v>Leslokalen theorie</v>
      </c>
      <c r="C888" s="218" t="s">
        <v>1037</v>
      </c>
      <c r="D888" s="217" t="s">
        <v>28</v>
      </c>
      <c r="E888" s="219" t="s">
        <v>102</v>
      </c>
      <c r="F888" s="218" t="s">
        <v>1040</v>
      </c>
      <c r="G888" s="263" t="s">
        <v>302</v>
      </c>
      <c r="H888" s="220" t="s">
        <v>302</v>
      </c>
      <c r="I888" s="221" t="s">
        <v>17</v>
      </c>
      <c r="J888" s="221" t="s">
        <v>302</v>
      </c>
      <c r="K888" s="221" t="s">
        <v>302</v>
      </c>
      <c r="L888" s="220" t="s">
        <v>302</v>
      </c>
      <c r="M888" s="220" t="s">
        <v>302</v>
      </c>
      <c r="N888" s="221" t="s">
        <v>302</v>
      </c>
      <c r="O888" s="222" t="s">
        <v>17</v>
      </c>
      <c r="P888" s="222" t="s">
        <v>17</v>
      </c>
      <c r="Q888" s="222" t="s">
        <v>15</v>
      </c>
      <c r="R888" s="222" t="s">
        <v>302</v>
      </c>
      <c r="S888" s="222" t="s">
        <v>302</v>
      </c>
      <c r="T888" s="222" t="s">
        <v>302</v>
      </c>
      <c r="U888" s="222" t="s">
        <v>302</v>
      </c>
      <c r="V888" s="222" t="s">
        <v>302</v>
      </c>
      <c r="W888" s="223" t="s">
        <v>302</v>
      </c>
      <c r="X888" s="223" t="s">
        <v>302</v>
      </c>
      <c r="Y888" s="224" t="s">
        <v>302</v>
      </c>
    </row>
    <row r="889" spans="1:25">
      <c r="A889" s="216">
        <v>16</v>
      </c>
      <c r="B889" s="217" t="str">
        <f>VLOOKUP(Tabel10[[#This Row],[Code]],Ruimtegroepen[[Code]:[Ruimte omschrijving]],2,FALSE)</f>
        <v>Leslokalen theorie</v>
      </c>
      <c r="C889" s="218" t="s">
        <v>1037</v>
      </c>
      <c r="D889" s="217" t="s">
        <v>28</v>
      </c>
      <c r="E889" s="219" t="s">
        <v>103</v>
      </c>
      <c r="F889" s="218" t="s">
        <v>1041</v>
      </c>
      <c r="G889" s="263" t="s">
        <v>302</v>
      </c>
      <c r="H889" s="220" t="s">
        <v>302</v>
      </c>
      <c r="I889" s="221" t="s">
        <v>17</v>
      </c>
      <c r="J889" s="220" t="s">
        <v>302</v>
      </c>
      <c r="K889" s="221" t="s">
        <v>302</v>
      </c>
      <c r="L889" s="220" t="s">
        <v>302</v>
      </c>
      <c r="M889" s="220" t="s">
        <v>302</v>
      </c>
      <c r="N889" s="221" t="s">
        <v>302</v>
      </c>
      <c r="O889" s="222" t="s">
        <v>17</v>
      </c>
      <c r="P889" s="222" t="s">
        <v>17</v>
      </c>
      <c r="Q889" s="222" t="s">
        <v>15</v>
      </c>
      <c r="R889" s="222" t="s">
        <v>302</v>
      </c>
      <c r="S889" s="222" t="s">
        <v>302</v>
      </c>
      <c r="T889" s="222" t="s">
        <v>302</v>
      </c>
      <c r="U889" s="222" t="s">
        <v>302</v>
      </c>
      <c r="V889" s="222" t="s">
        <v>302</v>
      </c>
      <c r="W889" s="223" t="s">
        <v>302</v>
      </c>
      <c r="X889" s="223" t="s">
        <v>302</v>
      </c>
      <c r="Y889" s="224" t="s">
        <v>302</v>
      </c>
    </row>
    <row r="890" spans="1:25">
      <c r="A890" s="216">
        <v>16</v>
      </c>
      <c r="B890" s="217" t="str">
        <f>VLOOKUP(Tabel10[[#This Row],[Code]],Ruimtegroepen[[Code]:[Ruimte omschrijving]],2,FALSE)</f>
        <v>Leslokalen theorie</v>
      </c>
      <c r="C890" s="218" t="s">
        <v>1037</v>
      </c>
      <c r="D890" s="217" t="s">
        <v>28</v>
      </c>
      <c r="E890" s="219" t="s">
        <v>100</v>
      </c>
      <c r="F890" s="218" t="s">
        <v>1039</v>
      </c>
      <c r="G890" s="263" t="s">
        <v>302</v>
      </c>
      <c r="H890" s="221" t="s">
        <v>17</v>
      </c>
      <c r="I890" s="220" t="s">
        <v>302</v>
      </c>
      <c r="J890" s="221" t="s">
        <v>302</v>
      </c>
      <c r="K890" s="221" t="s">
        <v>302</v>
      </c>
      <c r="L890" s="220" t="s">
        <v>302</v>
      </c>
      <c r="M890" s="220" t="s">
        <v>302</v>
      </c>
      <c r="N890" s="221" t="s">
        <v>302</v>
      </c>
      <c r="O890" s="222" t="s">
        <v>17</v>
      </c>
      <c r="P890" s="222" t="s">
        <v>17</v>
      </c>
      <c r="Q890" s="222" t="s">
        <v>15</v>
      </c>
      <c r="R890" s="222" t="s">
        <v>302</v>
      </c>
      <c r="S890" s="222" t="s">
        <v>302</v>
      </c>
      <c r="T890" s="222" t="s">
        <v>302</v>
      </c>
      <c r="U890" s="222" t="s">
        <v>302</v>
      </c>
      <c r="V890" s="222" t="s">
        <v>302</v>
      </c>
      <c r="W890" s="223" t="s">
        <v>302</v>
      </c>
      <c r="X890" s="223" t="s">
        <v>302</v>
      </c>
      <c r="Y890" s="224" t="s">
        <v>302</v>
      </c>
    </row>
    <row r="891" spans="1:25">
      <c r="A891" s="216">
        <v>16</v>
      </c>
      <c r="B891" s="217" t="str">
        <f>VLOOKUP(Tabel10[[#This Row],[Code]],Ruimtegroepen[[Code]:[Ruimte omschrijving]],2,FALSE)</f>
        <v>Leslokalen theorie</v>
      </c>
      <c r="C891" s="218" t="s">
        <v>1037</v>
      </c>
      <c r="D891" s="217" t="s">
        <v>28</v>
      </c>
      <c r="E891" s="219" t="s">
        <v>1325</v>
      </c>
      <c r="F891" s="218" t="s">
        <v>1438</v>
      </c>
      <c r="G891" s="263" t="s">
        <v>302</v>
      </c>
      <c r="H891" s="220" t="s">
        <v>302</v>
      </c>
      <c r="I891" s="221" t="s">
        <v>17</v>
      </c>
      <c r="J891" s="221" t="s">
        <v>302</v>
      </c>
      <c r="K891" s="221" t="s">
        <v>302</v>
      </c>
      <c r="L891" s="220" t="s">
        <v>302</v>
      </c>
      <c r="M891" s="220" t="s">
        <v>302</v>
      </c>
      <c r="N891" s="221" t="s">
        <v>302</v>
      </c>
      <c r="O891" s="222" t="s">
        <v>17</v>
      </c>
      <c r="P891" s="222" t="s">
        <v>17</v>
      </c>
      <c r="Q891" s="222" t="s">
        <v>15</v>
      </c>
      <c r="R891" s="222" t="s">
        <v>302</v>
      </c>
      <c r="S891" s="222" t="s">
        <v>302</v>
      </c>
      <c r="T891" s="222" t="s">
        <v>302</v>
      </c>
      <c r="U891" s="222" t="s">
        <v>302</v>
      </c>
      <c r="V891" s="222" t="s">
        <v>302</v>
      </c>
      <c r="W891" s="223" t="s">
        <v>302</v>
      </c>
      <c r="X891" s="223" t="s">
        <v>302</v>
      </c>
      <c r="Y891" s="224" t="s">
        <v>302</v>
      </c>
    </row>
    <row r="892" spans="1:25">
      <c r="A892" s="216">
        <v>17</v>
      </c>
      <c r="B892" s="217" t="str">
        <f>VLOOKUP(Tabel10[[#This Row],[Code]],Ruimtegroepen[[Code]:[Ruimte omschrijving]],2,FALSE)</f>
        <v>Toestelberging</v>
      </c>
      <c r="C892" s="218" t="s">
        <v>1042</v>
      </c>
      <c r="D892" s="217" t="s">
        <v>29</v>
      </c>
      <c r="E892" s="219" t="s">
        <v>101</v>
      </c>
      <c r="F892" s="218" t="s">
        <v>1043</v>
      </c>
      <c r="G892" s="263" t="s">
        <v>302</v>
      </c>
      <c r="H892" s="220" t="s">
        <v>302</v>
      </c>
      <c r="I892" s="220" t="s">
        <v>20</v>
      </c>
      <c r="J892" s="221" t="s">
        <v>15</v>
      </c>
      <c r="K892" s="221" t="s">
        <v>302</v>
      </c>
      <c r="L892" s="220" t="s">
        <v>302</v>
      </c>
      <c r="M892" s="220" t="s">
        <v>302</v>
      </c>
      <c r="N892" s="221" t="s">
        <v>2</v>
      </c>
      <c r="O892" s="222" t="s">
        <v>2</v>
      </c>
      <c r="P892" s="222" t="s">
        <v>2</v>
      </c>
      <c r="Q892" s="222" t="s">
        <v>15</v>
      </c>
      <c r="R892" s="222" t="s">
        <v>15</v>
      </c>
      <c r="S892" s="222" t="s">
        <v>16</v>
      </c>
      <c r="T892" s="222" t="s">
        <v>349</v>
      </c>
      <c r="U892" s="222" t="s">
        <v>269</v>
      </c>
      <c r="V892" s="222" t="s">
        <v>2</v>
      </c>
      <c r="W892" s="223" t="s">
        <v>302</v>
      </c>
      <c r="X892" s="223" t="s">
        <v>302</v>
      </c>
      <c r="Y892" s="224" t="s">
        <v>302</v>
      </c>
    </row>
    <row r="893" spans="1:25">
      <c r="A893" s="216">
        <v>17</v>
      </c>
      <c r="B893" s="217" t="str">
        <f>VLOOKUP(Tabel10[[#This Row],[Code]],Ruimtegroepen[[Code]:[Ruimte omschrijving]],2,FALSE)</f>
        <v>Toestelberging</v>
      </c>
      <c r="C893" s="218" t="s">
        <v>1042</v>
      </c>
      <c r="D893" s="217" t="s">
        <v>29</v>
      </c>
      <c r="E893" s="219" t="s">
        <v>100</v>
      </c>
      <c r="F893" s="218" t="s">
        <v>1044</v>
      </c>
      <c r="G893" s="221" t="s">
        <v>20</v>
      </c>
      <c r="H893" s="221" t="s">
        <v>15</v>
      </c>
      <c r="I893" s="220" t="s">
        <v>302</v>
      </c>
      <c r="J893" s="221" t="s">
        <v>302</v>
      </c>
      <c r="K893" s="221" t="s">
        <v>302</v>
      </c>
      <c r="L893" s="220" t="s">
        <v>302</v>
      </c>
      <c r="M893" s="220" t="s">
        <v>302</v>
      </c>
      <c r="N893" s="221" t="s">
        <v>2</v>
      </c>
      <c r="O893" s="222" t="s">
        <v>2</v>
      </c>
      <c r="P893" s="222" t="s">
        <v>2</v>
      </c>
      <c r="Q893" s="222" t="s">
        <v>15</v>
      </c>
      <c r="R893" s="222" t="s">
        <v>15</v>
      </c>
      <c r="S893" s="222" t="s">
        <v>16</v>
      </c>
      <c r="T893" s="222" t="s">
        <v>349</v>
      </c>
      <c r="U893" s="222" t="s">
        <v>269</v>
      </c>
      <c r="V893" s="222" t="s">
        <v>2</v>
      </c>
      <c r="W893" s="223" t="s">
        <v>302</v>
      </c>
      <c r="X893" s="223" t="s">
        <v>302</v>
      </c>
      <c r="Y893" s="224" t="s">
        <v>302</v>
      </c>
    </row>
    <row r="894" spans="1:25">
      <c r="A894" s="216">
        <v>17</v>
      </c>
      <c r="B894" s="217" t="str">
        <f>VLOOKUP(Tabel10[[#This Row],[Code]],Ruimtegroepen[[Code]:[Ruimte omschrijving]],2,FALSE)</f>
        <v>Toestelberging</v>
      </c>
      <c r="C894" s="218" t="s">
        <v>1042</v>
      </c>
      <c r="D894" s="217" t="s">
        <v>29</v>
      </c>
      <c r="E894" s="219" t="s">
        <v>102</v>
      </c>
      <c r="F894" s="218" t="s">
        <v>1045</v>
      </c>
      <c r="G894" s="263" t="s">
        <v>302</v>
      </c>
      <c r="H894" s="220" t="s">
        <v>302</v>
      </c>
      <c r="I894" s="220" t="s">
        <v>20</v>
      </c>
      <c r="J894" s="221" t="s">
        <v>15</v>
      </c>
      <c r="K894" s="220" t="s">
        <v>303</v>
      </c>
      <c r="L894" s="220" t="s">
        <v>302</v>
      </c>
      <c r="M894" s="220" t="s">
        <v>302</v>
      </c>
      <c r="N894" s="221" t="s">
        <v>2</v>
      </c>
      <c r="O894" s="222" t="s">
        <v>2</v>
      </c>
      <c r="P894" s="222" t="s">
        <v>2</v>
      </c>
      <c r="Q894" s="222" t="s">
        <v>15</v>
      </c>
      <c r="R894" s="222" t="s">
        <v>15</v>
      </c>
      <c r="S894" s="222" t="s">
        <v>16</v>
      </c>
      <c r="T894" s="222" t="s">
        <v>349</v>
      </c>
      <c r="U894" s="222" t="s">
        <v>269</v>
      </c>
      <c r="V894" s="222" t="s">
        <v>2</v>
      </c>
      <c r="W894" s="223" t="s">
        <v>302</v>
      </c>
      <c r="X894" s="223" t="s">
        <v>302</v>
      </c>
      <c r="Y894" s="224" t="s">
        <v>302</v>
      </c>
    </row>
    <row r="895" spans="1:25">
      <c r="A895" s="216">
        <v>17</v>
      </c>
      <c r="B895" s="217" t="str">
        <f>VLOOKUP(Tabel10[[#This Row],[Code]],Ruimtegroepen[[Code]:[Ruimte omschrijving]],2,FALSE)</f>
        <v>Toestelberging</v>
      </c>
      <c r="C895" s="218" t="s">
        <v>1042</v>
      </c>
      <c r="D895" s="217" t="s">
        <v>29</v>
      </c>
      <c r="E895" s="219" t="s">
        <v>103</v>
      </c>
      <c r="F895" s="218" t="s">
        <v>1046</v>
      </c>
      <c r="G895" s="263" t="s">
        <v>302</v>
      </c>
      <c r="H895" s="220" t="s">
        <v>302</v>
      </c>
      <c r="I895" s="220" t="s">
        <v>20</v>
      </c>
      <c r="J895" s="221" t="s">
        <v>15</v>
      </c>
      <c r="K895" s="220" t="s">
        <v>303</v>
      </c>
      <c r="L895" s="220" t="s">
        <v>302</v>
      </c>
      <c r="M895" s="220" t="s">
        <v>302</v>
      </c>
      <c r="N895" s="221" t="s">
        <v>2</v>
      </c>
      <c r="O895" s="222" t="s">
        <v>2</v>
      </c>
      <c r="P895" s="222" t="s">
        <v>2</v>
      </c>
      <c r="Q895" s="222" t="s">
        <v>15</v>
      </c>
      <c r="R895" s="222" t="s">
        <v>15</v>
      </c>
      <c r="S895" s="222" t="s">
        <v>16</v>
      </c>
      <c r="T895" s="222" t="s">
        <v>349</v>
      </c>
      <c r="U895" s="222" t="s">
        <v>269</v>
      </c>
      <c r="V895" s="222" t="s">
        <v>2</v>
      </c>
      <c r="W895" s="223" t="s">
        <v>302</v>
      </c>
      <c r="X895" s="223" t="s">
        <v>302</v>
      </c>
      <c r="Y895" s="224" t="s">
        <v>302</v>
      </c>
    </row>
    <row r="896" spans="1:25">
      <c r="A896" s="216">
        <v>17</v>
      </c>
      <c r="B896" s="217" t="str">
        <f>VLOOKUP(Tabel10[[#This Row],[Code]],Ruimtegroepen[[Code]:[Ruimte omschrijving]],2,FALSE)</f>
        <v>Toestelberging</v>
      </c>
      <c r="C896" s="218" t="s">
        <v>1042</v>
      </c>
      <c r="D896" s="217" t="s">
        <v>29</v>
      </c>
      <c r="E896" s="219" t="s">
        <v>100</v>
      </c>
      <c r="F896" s="218" t="s">
        <v>1044</v>
      </c>
      <c r="G896" s="263" t="s">
        <v>302</v>
      </c>
      <c r="H896" s="221" t="s">
        <v>2</v>
      </c>
      <c r="I896" s="220" t="s">
        <v>302</v>
      </c>
      <c r="J896" s="221" t="s">
        <v>302</v>
      </c>
      <c r="K896" s="221" t="s">
        <v>302</v>
      </c>
      <c r="L896" s="220" t="s">
        <v>302</v>
      </c>
      <c r="M896" s="220" t="s">
        <v>302</v>
      </c>
      <c r="N896" s="221" t="s">
        <v>2</v>
      </c>
      <c r="O896" s="222" t="s">
        <v>2</v>
      </c>
      <c r="P896" s="222" t="s">
        <v>2</v>
      </c>
      <c r="Q896" s="222" t="s">
        <v>15</v>
      </c>
      <c r="R896" s="222" t="s">
        <v>15</v>
      </c>
      <c r="S896" s="222" t="s">
        <v>16</v>
      </c>
      <c r="T896" s="222" t="s">
        <v>349</v>
      </c>
      <c r="U896" s="222" t="s">
        <v>269</v>
      </c>
      <c r="V896" s="222" t="s">
        <v>2</v>
      </c>
      <c r="W896" s="223" t="s">
        <v>302</v>
      </c>
      <c r="X896" s="223" t="s">
        <v>302</v>
      </c>
      <c r="Y896" s="224" t="s">
        <v>302</v>
      </c>
    </row>
    <row r="897" spans="1:25">
      <c r="A897" s="216">
        <v>17</v>
      </c>
      <c r="B897" s="217" t="str">
        <f>VLOOKUP(Tabel10[[#This Row],[Code]],Ruimtegroepen[[Code]:[Ruimte omschrijving]],2,FALSE)</f>
        <v>Toestelberging</v>
      </c>
      <c r="C897" s="218" t="s">
        <v>1042</v>
      </c>
      <c r="D897" s="217" t="s">
        <v>29</v>
      </c>
      <c r="E897" s="219" t="s">
        <v>1325</v>
      </c>
      <c r="F897" s="218" t="s">
        <v>1506</v>
      </c>
      <c r="G897" s="263" t="s">
        <v>302</v>
      </c>
      <c r="H897" s="220" t="s">
        <v>302</v>
      </c>
      <c r="I897" s="220" t="s">
        <v>20</v>
      </c>
      <c r="J897" s="221" t="s">
        <v>15</v>
      </c>
      <c r="K897" s="220" t="s">
        <v>303</v>
      </c>
      <c r="L897" s="220" t="s">
        <v>302</v>
      </c>
      <c r="M897" s="220" t="s">
        <v>302</v>
      </c>
      <c r="N897" s="221" t="s">
        <v>2</v>
      </c>
      <c r="O897" s="222" t="s">
        <v>2</v>
      </c>
      <c r="P897" s="222" t="s">
        <v>2</v>
      </c>
      <c r="Q897" s="222" t="s">
        <v>15</v>
      </c>
      <c r="R897" s="222" t="s">
        <v>15</v>
      </c>
      <c r="S897" s="222" t="s">
        <v>16</v>
      </c>
      <c r="T897" s="222" t="s">
        <v>349</v>
      </c>
      <c r="U897" s="222" t="s">
        <v>269</v>
      </c>
      <c r="V897" s="222" t="s">
        <v>2</v>
      </c>
      <c r="W897" s="223" t="s">
        <v>302</v>
      </c>
      <c r="X897" s="223" t="s">
        <v>302</v>
      </c>
      <c r="Y897" s="224" t="s">
        <v>302</v>
      </c>
    </row>
    <row r="898" spans="1:25">
      <c r="A898" s="216">
        <v>17</v>
      </c>
      <c r="B898" s="217" t="str">
        <f>VLOOKUP(Tabel10[[#This Row],[Code]],Ruimtegroepen[[Code]:[Ruimte omschrijving]],2,FALSE)</f>
        <v>Toestelberging</v>
      </c>
      <c r="C898" s="218" t="s">
        <v>1047</v>
      </c>
      <c r="D898" s="217" t="s">
        <v>1</v>
      </c>
      <c r="E898" s="219" t="s">
        <v>101</v>
      </c>
      <c r="F898" s="218" t="s">
        <v>1048</v>
      </c>
      <c r="G898" s="263" t="s">
        <v>302</v>
      </c>
      <c r="H898" s="220" t="s">
        <v>302</v>
      </c>
      <c r="I898" s="220" t="s">
        <v>20</v>
      </c>
      <c r="J898" s="221" t="s">
        <v>15</v>
      </c>
      <c r="K898" s="221" t="s">
        <v>302</v>
      </c>
      <c r="L898" s="220" t="s">
        <v>302</v>
      </c>
      <c r="M898" s="220" t="s">
        <v>302</v>
      </c>
      <c r="N898" s="221" t="s">
        <v>302</v>
      </c>
      <c r="O898" s="222" t="s">
        <v>2</v>
      </c>
      <c r="P898" s="222" t="s">
        <v>2</v>
      </c>
      <c r="Q898" s="222" t="s">
        <v>15</v>
      </c>
      <c r="R898" s="222" t="s">
        <v>15</v>
      </c>
      <c r="S898" s="222" t="s">
        <v>16</v>
      </c>
      <c r="T898" s="222" t="s">
        <v>349</v>
      </c>
      <c r="U898" s="222" t="s">
        <v>269</v>
      </c>
      <c r="V898" s="222" t="s">
        <v>302</v>
      </c>
      <c r="W898" s="223" t="s">
        <v>302</v>
      </c>
      <c r="X898" s="223" t="s">
        <v>302</v>
      </c>
      <c r="Y898" s="224" t="s">
        <v>302</v>
      </c>
    </row>
    <row r="899" spans="1:25">
      <c r="A899" s="216">
        <v>17</v>
      </c>
      <c r="B899" s="217" t="str">
        <f>VLOOKUP(Tabel10[[#This Row],[Code]],Ruimtegroepen[[Code]:[Ruimte omschrijving]],2,FALSE)</f>
        <v>Toestelberging</v>
      </c>
      <c r="C899" s="218" t="s">
        <v>1047</v>
      </c>
      <c r="D899" s="217" t="s">
        <v>1</v>
      </c>
      <c r="E899" s="219" t="s">
        <v>100</v>
      </c>
      <c r="F899" s="218" t="s">
        <v>1049</v>
      </c>
      <c r="G899" s="221" t="s">
        <v>20</v>
      </c>
      <c r="H899" s="221" t="s">
        <v>15</v>
      </c>
      <c r="I899" s="220" t="s">
        <v>302</v>
      </c>
      <c r="J899" s="221" t="s">
        <v>302</v>
      </c>
      <c r="K899" s="221" t="s">
        <v>302</v>
      </c>
      <c r="L899" s="220" t="s">
        <v>302</v>
      </c>
      <c r="M899" s="220" t="s">
        <v>302</v>
      </c>
      <c r="N899" s="221" t="s">
        <v>302</v>
      </c>
      <c r="O899" s="222" t="s">
        <v>2</v>
      </c>
      <c r="P899" s="222" t="s">
        <v>2</v>
      </c>
      <c r="Q899" s="222" t="s">
        <v>15</v>
      </c>
      <c r="R899" s="222" t="s">
        <v>15</v>
      </c>
      <c r="S899" s="222" t="s">
        <v>16</v>
      </c>
      <c r="T899" s="222" t="s">
        <v>349</v>
      </c>
      <c r="U899" s="222" t="s">
        <v>269</v>
      </c>
      <c r="V899" s="222" t="s">
        <v>302</v>
      </c>
      <c r="W899" s="223" t="s">
        <v>302</v>
      </c>
      <c r="X899" s="223" t="s">
        <v>302</v>
      </c>
      <c r="Y899" s="224" t="s">
        <v>302</v>
      </c>
    </row>
    <row r="900" spans="1:25">
      <c r="A900" s="216">
        <v>17</v>
      </c>
      <c r="B900" s="217" t="str">
        <f>VLOOKUP(Tabel10[[#This Row],[Code]],Ruimtegroepen[[Code]:[Ruimte omschrijving]],2,FALSE)</f>
        <v>Toestelberging</v>
      </c>
      <c r="C900" s="218" t="s">
        <v>1047</v>
      </c>
      <c r="D900" s="217" t="s">
        <v>1</v>
      </c>
      <c r="E900" s="219" t="s">
        <v>102</v>
      </c>
      <c r="F900" s="218" t="s">
        <v>1050</v>
      </c>
      <c r="G900" s="263" t="s">
        <v>302</v>
      </c>
      <c r="H900" s="220" t="s">
        <v>302</v>
      </c>
      <c r="I900" s="220" t="s">
        <v>20</v>
      </c>
      <c r="J900" s="221" t="s">
        <v>15</v>
      </c>
      <c r="K900" s="220" t="s">
        <v>303</v>
      </c>
      <c r="L900" s="220" t="s">
        <v>302</v>
      </c>
      <c r="M900" s="220" t="s">
        <v>302</v>
      </c>
      <c r="N900" s="221" t="s">
        <v>302</v>
      </c>
      <c r="O900" s="222" t="s">
        <v>2</v>
      </c>
      <c r="P900" s="222" t="s">
        <v>2</v>
      </c>
      <c r="Q900" s="222" t="s">
        <v>15</v>
      </c>
      <c r="R900" s="222" t="s">
        <v>15</v>
      </c>
      <c r="S900" s="222" t="s">
        <v>16</v>
      </c>
      <c r="T900" s="222" t="s">
        <v>349</v>
      </c>
      <c r="U900" s="222" t="s">
        <v>269</v>
      </c>
      <c r="V900" s="222" t="s">
        <v>302</v>
      </c>
      <c r="W900" s="223" t="s">
        <v>302</v>
      </c>
      <c r="X900" s="223" t="s">
        <v>302</v>
      </c>
      <c r="Y900" s="224" t="s">
        <v>302</v>
      </c>
    </row>
    <row r="901" spans="1:25">
      <c r="A901" s="216">
        <v>17</v>
      </c>
      <c r="B901" s="217" t="str">
        <f>VLOOKUP(Tabel10[[#This Row],[Code]],Ruimtegroepen[[Code]:[Ruimte omschrijving]],2,FALSE)</f>
        <v>Toestelberging</v>
      </c>
      <c r="C901" s="218" t="s">
        <v>1047</v>
      </c>
      <c r="D901" s="217" t="s">
        <v>1</v>
      </c>
      <c r="E901" s="219" t="s">
        <v>103</v>
      </c>
      <c r="F901" s="218" t="s">
        <v>1051</v>
      </c>
      <c r="G901" s="263" t="s">
        <v>302</v>
      </c>
      <c r="H901" s="220" t="s">
        <v>302</v>
      </c>
      <c r="I901" s="220" t="s">
        <v>20</v>
      </c>
      <c r="J901" s="221" t="s">
        <v>15</v>
      </c>
      <c r="K901" s="220" t="s">
        <v>303</v>
      </c>
      <c r="L901" s="220" t="s">
        <v>302</v>
      </c>
      <c r="M901" s="220" t="s">
        <v>302</v>
      </c>
      <c r="N901" s="221" t="s">
        <v>302</v>
      </c>
      <c r="O901" s="222" t="s">
        <v>2</v>
      </c>
      <c r="P901" s="222" t="s">
        <v>2</v>
      </c>
      <c r="Q901" s="222" t="s">
        <v>15</v>
      </c>
      <c r="R901" s="222" t="s">
        <v>15</v>
      </c>
      <c r="S901" s="222" t="s">
        <v>16</v>
      </c>
      <c r="T901" s="222" t="s">
        <v>349</v>
      </c>
      <c r="U901" s="222" t="s">
        <v>269</v>
      </c>
      <c r="V901" s="222" t="s">
        <v>302</v>
      </c>
      <c r="W901" s="223" t="s">
        <v>302</v>
      </c>
      <c r="X901" s="223" t="s">
        <v>302</v>
      </c>
      <c r="Y901" s="224" t="s">
        <v>302</v>
      </c>
    </row>
    <row r="902" spans="1:25">
      <c r="A902" s="216">
        <v>17</v>
      </c>
      <c r="B902" s="217" t="str">
        <f>VLOOKUP(Tabel10[[#This Row],[Code]],Ruimtegroepen[[Code]:[Ruimte omschrijving]],2,FALSE)</f>
        <v>Toestelberging</v>
      </c>
      <c r="C902" s="218" t="s">
        <v>1047</v>
      </c>
      <c r="D902" s="217" t="s">
        <v>1</v>
      </c>
      <c r="E902" s="219" t="s">
        <v>100</v>
      </c>
      <c r="F902" s="218" t="s">
        <v>1049</v>
      </c>
      <c r="G902" s="263" t="s">
        <v>302</v>
      </c>
      <c r="H902" s="221" t="s">
        <v>2</v>
      </c>
      <c r="I902" s="220" t="s">
        <v>302</v>
      </c>
      <c r="J902" s="221" t="s">
        <v>302</v>
      </c>
      <c r="K902" s="221" t="s">
        <v>302</v>
      </c>
      <c r="L902" s="220" t="s">
        <v>302</v>
      </c>
      <c r="M902" s="220" t="s">
        <v>302</v>
      </c>
      <c r="N902" s="221" t="s">
        <v>302</v>
      </c>
      <c r="O902" s="222" t="s">
        <v>2</v>
      </c>
      <c r="P902" s="222" t="s">
        <v>2</v>
      </c>
      <c r="Q902" s="222" t="s">
        <v>15</v>
      </c>
      <c r="R902" s="222" t="s">
        <v>15</v>
      </c>
      <c r="S902" s="222" t="s">
        <v>16</v>
      </c>
      <c r="T902" s="222" t="s">
        <v>349</v>
      </c>
      <c r="U902" s="222" t="s">
        <v>269</v>
      </c>
      <c r="V902" s="222" t="s">
        <v>302</v>
      </c>
      <c r="W902" s="223" t="s">
        <v>302</v>
      </c>
      <c r="X902" s="223" t="s">
        <v>302</v>
      </c>
      <c r="Y902" s="224" t="s">
        <v>302</v>
      </c>
    </row>
    <row r="903" spans="1:25">
      <c r="A903" s="216">
        <v>17</v>
      </c>
      <c r="B903" s="217" t="str">
        <f>VLOOKUP(Tabel10[[#This Row],[Code]],Ruimtegroepen[[Code]:[Ruimte omschrijving]],2,FALSE)</f>
        <v>Toestelberging</v>
      </c>
      <c r="C903" s="218" t="s">
        <v>1047</v>
      </c>
      <c r="D903" s="217" t="s">
        <v>1</v>
      </c>
      <c r="E903" s="219" t="s">
        <v>1325</v>
      </c>
      <c r="F903" s="218" t="s">
        <v>1490</v>
      </c>
      <c r="G903" s="263" t="s">
        <v>302</v>
      </c>
      <c r="H903" s="220" t="s">
        <v>302</v>
      </c>
      <c r="I903" s="220" t="s">
        <v>20</v>
      </c>
      <c r="J903" s="221" t="s">
        <v>15</v>
      </c>
      <c r="K903" s="220" t="s">
        <v>303</v>
      </c>
      <c r="L903" s="220" t="s">
        <v>302</v>
      </c>
      <c r="M903" s="220" t="s">
        <v>302</v>
      </c>
      <c r="N903" s="221" t="s">
        <v>302</v>
      </c>
      <c r="O903" s="222" t="s">
        <v>2</v>
      </c>
      <c r="P903" s="222" t="s">
        <v>2</v>
      </c>
      <c r="Q903" s="222" t="s">
        <v>15</v>
      </c>
      <c r="R903" s="222" t="s">
        <v>15</v>
      </c>
      <c r="S903" s="222" t="s">
        <v>16</v>
      </c>
      <c r="T903" s="222" t="s">
        <v>349</v>
      </c>
      <c r="U903" s="222" t="s">
        <v>269</v>
      </c>
      <c r="V903" s="222" t="s">
        <v>302</v>
      </c>
      <c r="W903" s="223" t="s">
        <v>302</v>
      </c>
      <c r="X903" s="223" t="s">
        <v>302</v>
      </c>
      <c r="Y903" s="224" t="s">
        <v>302</v>
      </c>
    </row>
    <row r="904" spans="1:25">
      <c r="A904" s="216">
        <v>17</v>
      </c>
      <c r="B904" s="217" t="str">
        <f>VLOOKUP(Tabel10[[#This Row],[Code]],Ruimtegroepen[[Code]:[Ruimte omschrijving]],2,FALSE)</f>
        <v>Toestelberging</v>
      </c>
      <c r="C904" s="218" t="s">
        <v>1052</v>
      </c>
      <c r="D904" s="217" t="s">
        <v>21</v>
      </c>
      <c r="E904" s="219" t="s">
        <v>101</v>
      </c>
      <c r="F904" s="218" t="s">
        <v>1053</v>
      </c>
      <c r="G904" s="263" t="s">
        <v>302</v>
      </c>
      <c r="H904" s="220" t="s">
        <v>302</v>
      </c>
      <c r="I904" s="220" t="s">
        <v>18</v>
      </c>
      <c r="J904" s="221" t="s">
        <v>15</v>
      </c>
      <c r="K904" s="221" t="s">
        <v>302</v>
      </c>
      <c r="L904" s="220" t="s">
        <v>302</v>
      </c>
      <c r="M904" s="220" t="s">
        <v>302</v>
      </c>
      <c r="N904" s="221" t="s">
        <v>302</v>
      </c>
      <c r="O904" s="222" t="s">
        <v>20</v>
      </c>
      <c r="P904" s="222" t="s">
        <v>20</v>
      </c>
      <c r="Q904" s="222" t="s">
        <v>15</v>
      </c>
      <c r="R904" s="222" t="s">
        <v>15</v>
      </c>
      <c r="S904" s="222" t="s">
        <v>16</v>
      </c>
      <c r="T904" s="222" t="s">
        <v>349</v>
      </c>
      <c r="U904" s="222" t="s">
        <v>269</v>
      </c>
      <c r="V904" s="222" t="s">
        <v>302</v>
      </c>
      <c r="W904" s="223" t="s">
        <v>302</v>
      </c>
      <c r="X904" s="223" t="s">
        <v>302</v>
      </c>
      <c r="Y904" s="224" t="s">
        <v>302</v>
      </c>
    </row>
    <row r="905" spans="1:25">
      <c r="A905" s="216">
        <v>17</v>
      </c>
      <c r="B905" s="217" t="str">
        <f>VLOOKUP(Tabel10[[#This Row],[Code]],Ruimtegroepen[[Code]:[Ruimte omschrijving]],2,FALSE)</f>
        <v>Toestelberging</v>
      </c>
      <c r="C905" s="218" t="s">
        <v>1052</v>
      </c>
      <c r="D905" s="217" t="s">
        <v>21</v>
      </c>
      <c r="E905" s="219" t="s">
        <v>100</v>
      </c>
      <c r="F905" s="218" t="s">
        <v>1054</v>
      </c>
      <c r="G905" s="221" t="s">
        <v>18</v>
      </c>
      <c r="H905" s="221" t="s">
        <v>15</v>
      </c>
      <c r="I905" s="220" t="s">
        <v>302</v>
      </c>
      <c r="J905" s="221" t="s">
        <v>302</v>
      </c>
      <c r="K905" s="221" t="s">
        <v>302</v>
      </c>
      <c r="L905" s="220" t="s">
        <v>302</v>
      </c>
      <c r="M905" s="220" t="s">
        <v>302</v>
      </c>
      <c r="N905" s="221" t="s">
        <v>302</v>
      </c>
      <c r="O905" s="222" t="s">
        <v>20</v>
      </c>
      <c r="P905" s="222" t="s">
        <v>20</v>
      </c>
      <c r="Q905" s="222" t="s">
        <v>15</v>
      </c>
      <c r="R905" s="222" t="s">
        <v>15</v>
      </c>
      <c r="S905" s="222" t="s">
        <v>16</v>
      </c>
      <c r="T905" s="222" t="s">
        <v>349</v>
      </c>
      <c r="U905" s="222" t="s">
        <v>269</v>
      </c>
      <c r="V905" s="222" t="s">
        <v>302</v>
      </c>
      <c r="W905" s="223" t="s">
        <v>302</v>
      </c>
      <c r="X905" s="223" t="s">
        <v>302</v>
      </c>
      <c r="Y905" s="224" t="s">
        <v>302</v>
      </c>
    </row>
    <row r="906" spans="1:25">
      <c r="A906" s="216">
        <v>17</v>
      </c>
      <c r="B906" s="217" t="str">
        <f>VLOOKUP(Tabel10[[#This Row],[Code]],Ruimtegroepen[[Code]:[Ruimte omschrijving]],2,FALSE)</f>
        <v>Toestelberging</v>
      </c>
      <c r="C906" s="218" t="s">
        <v>1052</v>
      </c>
      <c r="D906" s="217" t="s">
        <v>21</v>
      </c>
      <c r="E906" s="219" t="s">
        <v>102</v>
      </c>
      <c r="F906" s="218" t="s">
        <v>1055</v>
      </c>
      <c r="G906" s="263" t="s">
        <v>302</v>
      </c>
      <c r="H906" s="220" t="s">
        <v>302</v>
      </c>
      <c r="I906" s="220" t="s">
        <v>18</v>
      </c>
      <c r="J906" s="221" t="s">
        <v>15</v>
      </c>
      <c r="K906" s="220" t="s">
        <v>303</v>
      </c>
      <c r="L906" s="220" t="s">
        <v>302</v>
      </c>
      <c r="M906" s="220" t="s">
        <v>302</v>
      </c>
      <c r="N906" s="221" t="s">
        <v>302</v>
      </c>
      <c r="O906" s="222" t="s">
        <v>20</v>
      </c>
      <c r="P906" s="222" t="s">
        <v>20</v>
      </c>
      <c r="Q906" s="222" t="s">
        <v>15</v>
      </c>
      <c r="R906" s="222" t="s">
        <v>15</v>
      </c>
      <c r="S906" s="222" t="s">
        <v>16</v>
      </c>
      <c r="T906" s="222" t="s">
        <v>349</v>
      </c>
      <c r="U906" s="222" t="s">
        <v>269</v>
      </c>
      <c r="V906" s="222" t="s">
        <v>302</v>
      </c>
      <c r="W906" s="223" t="s">
        <v>302</v>
      </c>
      <c r="X906" s="223" t="s">
        <v>302</v>
      </c>
      <c r="Y906" s="224" t="s">
        <v>302</v>
      </c>
    </row>
    <row r="907" spans="1:25">
      <c r="A907" s="216">
        <v>17</v>
      </c>
      <c r="B907" s="217" t="str">
        <f>VLOOKUP(Tabel10[[#This Row],[Code]],Ruimtegroepen[[Code]:[Ruimte omschrijving]],2,FALSE)</f>
        <v>Toestelberging</v>
      </c>
      <c r="C907" s="218" t="s">
        <v>1052</v>
      </c>
      <c r="D907" s="217" t="s">
        <v>21</v>
      </c>
      <c r="E907" s="219" t="s">
        <v>103</v>
      </c>
      <c r="F907" s="218" t="s">
        <v>1056</v>
      </c>
      <c r="G907" s="263" t="s">
        <v>302</v>
      </c>
      <c r="H907" s="220" t="s">
        <v>302</v>
      </c>
      <c r="I907" s="220" t="s">
        <v>18</v>
      </c>
      <c r="J907" s="221" t="s">
        <v>15</v>
      </c>
      <c r="K907" s="220" t="s">
        <v>303</v>
      </c>
      <c r="L907" s="220" t="s">
        <v>302</v>
      </c>
      <c r="M907" s="220" t="s">
        <v>302</v>
      </c>
      <c r="N907" s="221" t="s">
        <v>302</v>
      </c>
      <c r="O907" s="222" t="s">
        <v>20</v>
      </c>
      <c r="P907" s="222" t="s">
        <v>20</v>
      </c>
      <c r="Q907" s="222" t="s">
        <v>15</v>
      </c>
      <c r="R907" s="222" t="s">
        <v>15</v>
      </c>
      <c r="S907" s="222" t="s">
        <v>16</v>
      </c>
      <c r="T907" s="222" t="s">
        <v>349</v>
      </c>
      <c r="U907" s="222" t="s">
        <v>269</v>
      </c>
      <c r="V907" s="222" t="s">
        <v>302</v>
      </c>
      <c r="W907" s="223" t="s">
        <v>302</v>
      </c>
      <c r="X907" s="223" t="s">
        <v>302</v>
      </c>
      <c r="Y907" s="224" t="s">
        <v>302</v>
      </c>
    </row>
    <row r="908" spans="1:25">
      <c r="A908" s="216">
        <v>17</v>
      </c>
      <c r="B908" s="217" t="str">
        <f>VLOOKUP(Tabel10[[#This Row],[Code]],Ruimtegroepen[[Code]:[Ruimte omschrijving]],2,FALSE)</f>
        <v>Toestelberging</v>
      </c>
      <c r="C908" s="218" t="s">
        <v>1052</v>
      </c>
      <c r="D908" s="217" t="s">
        <v>21</v>
      </c>
      <c r="E908" s="219" t="s">
        <v>100</v>
      </c>
      <c r="F908" s="218" t="s">
        <v>1054</v>
      </c>
      <c r="G908" s="263" t="s">
        <v>302</v>
      </c>
      <c r="H908" s="221" t="s">
        <v>20</v>
      </c>
      <c r="I908" s="220" t="s">
        <v>302</v>
      </c>
      <c r="J908" s="221" t="s">
        <v>302</v>
      </c>
      <c r="K908" s="221" t="s">
        <v>302</v>
      </c>
      <c r="L908" s="220" t="s">
        <v>302</v>
      </c>
      <c r="M908" s="220" t="s">
        <v>302</v>
      </c>
      <c r="N908" s="221" t="s">
        <v>302</v>
      </c>
      <c r="O908" s="222" t="s">
        <v>20</v>
      </c>
      <c r="P908" s="222" t="s">
        <v>20</v>
      </c>
      <c r="Q908" s="222" t="s">
        <v>15</v>
      </c>
      <c r="R908" s="222" t="s">
        <v>15</v>
      </c>
      <c r="S908" s="222" t="s">
        <v>16</v>
      </c>
      <c r="T908" s="222" t="s">
        <v>349</v>
      </c>
      <c r="U908" s="222" t="s">
        <v>269</v>
      </c>
      <c r="V908" s="222" t="s">
        <v>302</v>
      </c>
      <c r="W908" s="223" t="s">
        <v>302</v>
      </c>
      <c r="X908" s="223" t="s">
        <v>302</v>
      </c>
      <c r="Y908" s="224" t="s">
        <v>302</v>
      </c>
    </row>
    <row r="909" spans="1:25">
      <c r="A909" s="216">
        <v>17</v>
      </c>
      <c r="B909" s="217" t="str">
        <f>VLOOKUP(Tabel10[[#This Row],[Code]],Ruimtegroepen[[Code]:[Ruimte omschrijving]],2,FALSE)</f>
        <v>Toestelberging</v>
      </c>
      <c r="C909" s="218" t="s">
        <v>1052</v>
      </c>
      <c r="D909" s="217" t="s">
        <v>21</v>
      </c>
      <c r="E909" s="219" t="s">
        <v>1325</v>
      </c>
      <c r="F909" s="218" t="s">
        <v>1473</v>
      </c>
      <c r="G909" s="263" t="s">
        <v>302</v>
      </c>
      <c r="H909" s="220" t="s">
        <v>302</v>
      </c>
      <c r="I909" s="220" t="s">
        <v>18</v>
      </c>
      <c r="J909" s="221" t="s">
        <v>15</v>
      </c>
      <c r="K909" s="220" t="s">
        <v>303</v>
      </c>
      <c r="L909" s="220" t="s">
        <v>302</v>
      </c>
      <c r="M909" s="220" t="s">
        <v>302</v>
      </c>
      <c r="N909" s="221" t="s">
        <v>302</v>
      </c>
      <c r="O909" s="222" t="s">
        <v>20</v>
      </c>
      <c r="P909" s="222" t="s">
        <v>20</v>
      </c>
      <c r="Q909" s="222" t="s">
        <v>15</v>
      </c>
      <c r="R909" s="222" t="s">
        <v>15</v>
      </c>
      <c r="S909" s="222" t="s">
        <v>16</v>
      </c>
      <c r="T909" s="222" t="s">
        <v>349</v>
      </c>
      <c r="U909" s="222" t="s">
        <v>269</v>
      </c>
      <c r="V909" s="222" t="s">
        <v>302</v>
      </c>
      <c r="W909" s="223" t="s">
        <v>302</v>
      </c>
      <c r="X909" s="223" t="s">
        <v>302</v>
      </c>
      <c r="Y909" s="224" t="s">
        <v>302</v>
      </c>
    </row>
    <row r="910" spans="1:25">
      <c r="A910" s="216">
        <v>17</v>
      </c>
      <c r="B910" s="217" t="str">
        <f>VLOOKUP(Tabel10[[#This Row],[Code]],Ruimtegroepen[[Code]:[Ruimte omschrijving]],2,FALSE)</f>
        <v>Toestelberging</v>
      </c>
      <c r="C910" s="218" t="s">
        <v>1057</v>
      </c>
      <c r="D910" s="217" t="s">
        <v>12</v>
      </c>
      <c r="E910" s="219" t="s">
        <v>101</v>
      </c>
      <c r="F910" s="218" t="s">
        <v>1058</v>
      </c>
      <c r="G910" s="263" t="s">
        <v>302</v>
      </c>
      <c r="H910" s="220" t="s">
        <v>302</v>
      </c>
      <c r="I910" s="220" t="s">
        <v>17</v>
      </c>
      <c r="J910" s="221" t="s">
        <v>15</v>
      </c>
      <c r="K910" s="221" t="s">
        <v>302</v>
      </c>
      <c r="L910" s="220" t="s">
        <v>302</v>
      </c>
      <c r="M910" s="220" t="s">
        <v>302</v>
      </c>
      <c r="N910" s="221" t="s">
        <v>302</v>
      </c>
      <c r="O910" s="222" t="s">
        <v>18</v>
      </c>
      <c r="P910" s="222" t="s">
        <v>18</v>
      </c>
      <c r="Q910" s="222" t="s">
        <v>15</v>
      </c>
      <c r="R910" s="222" t="s">
        <v>15</v>
      </c>
      <c r="S910" s="222" t="s">
        <v>16</v>
      </c>
      <c r="T910" s="222" t="s">
        <v>349</v>
      </c>
      <c r="U910" s="222" t="s">
        <v>269</v>
      </c>
      <c r="V910" s="222" t="s">
        <v>302</v>
      </c>
      <c r="W910" s="223" t="s">
        <v>302</v>
      </c>
      <c r="X910" s="223" t="s">
        <v>302</v>
      </c>
      <c r="Y910" s="224" t="s">
        <v>302</v>
      </c>
    </row>
    <row r="911" spans="1:25">
      <c r="A911" s="216">
        <v>17</v>
      </c>
      <c r="B911" s="217" t="str">
        <f>VLOOKUP(Tabel10[[#This Row],[Code]],Ruimtegroepen[[Code]:[Ruimte omschrijving]],2,FALSE)</f>
        <v>Toestelberging</v>
      </c>
      <c r="C911" s="218" t="s">
        <v>1057</v>
      </c>
      <c r="D911" s="217" t="s">
        <v>12</v>
      </c>
      <c r="E911" s="219" t="s">
        <v>100</v>
      </c>
      <c r="F911" s="218" t="s">
        <v>1059</v>
      </c>
      <c r="G911" s="221" t="s">
        <v>17</v>
      </c>
      <c r="H911" s="221" t="s">
        <v>15</v>
      </c>
      <c r="I911" s="220" t="s">
        <v>302</v>
      </c>
      <c r="J911" s="221" t="s">
        <v>302</v>
      </c>
      <c r="K911" s="221" t="s">
        <v>302</v>
      </c>
      <c r="L911" s="220" t="s">
        <v>302</v>
      </c>
      <c r="M911" s="220" t="s">
        <v>302</v>
      </c>
      <c r="N911" s="221" t="s">
        <v>302</v>
      </c>
      <c r="O911" s="222" t="s">
        <v>18</v>
      </c>
      <c r="P911" s="222" t="s">
        <v>18</v>
      </c>
      <c r="Q911" s="222" t="s">
        <v>15</v>
      </c>
      <c r="R911" s="222" t="s">
        <v>15</v>
      </c>
      <c r="S911" s="222" t="s">
        <v>16</v>
      </c>
      <c r="T911" s="222" t="s">
        <v>349</v>
      </c>
      <c r="U911" s="222" t="s">
        <v>269</v>
      </c>
      <c r="V911" s="222" t="s">
        <v>302</v>
      </c>
      <c r="W911" s="223" t="s">
        <v>302</v>
      </c>
      <c r="X911" s="223" t="s">
        <v>302</v>
      </c>
      <c r="Y911" s="224" t="s">
        <v>302</v>
      </c>
    </row>
    <row r="912" spans="1:25">
      <c r="A912" s="216">
        <v>17</v>
      </c>
      <c r="B912" s="217" t="str">
        <f>VLOOKUP(Tabel10[[#This Row],[Code]],Ruimtegroepen[[Code]:[Ruimte omschrijving]],2,FALSE)</f>
        <v>Toestelberging</v>
      </c>
      <c r="C912" s="218" t="s">
        <v>1057</v>
      </c>
      <c r="D912" s="217" t="s">
        <v>12</v>
      </c>
      <c r="E912" s="219" t="s">
        <v>102</v>
      </c>
      <c r="F912" s="218" t="s">
        <v>1060</v>
      </c>
      <c r="G912" s="263" t="s">
        <v>302</v>
      </c>
      <c r="H912" s="220" t="s">
        <v>302</v>
      </c>
      <c r="I912" s="220" t="s">
        <v>17</v>
      </c>
      <c r="J912" s="221" t="s">
        <v>15</v>
      </c>
      <c r="K912" s="220" t="s">
        <v>303</v>
      </c>
      <c r="L912" s="220" t="s">
        <v>302</v>
      </c>
      <c r="M912" s="220" t="s">
        <v>302</v>
      </c>
      <c r="N912" s="221" t="s">
        <v>302</v>
      </c>
      <c r="O912" s="222" t="s">
        <v>18</v>
      </c>
      <c r="P912" s="222" t="s">
        <v>18</v>
      </c>
      <c r="Q912" s="222" t="s">
        <v>15</v>
      </c>
      <c r="R912" s="222" t="s">
        <v>15</v>
      </c>
      <c r="S912" s="222" t="s">
        <v>16</v>
      </c>
      <c r="T912" s="222" t="s">
        <v>349</v>
      </c>
      <c r="U912" s="222" t="s">
        <v>269</v>
      </c>
      <c r="V912" s="222" t="s">
        <v>302</v>
      </c>
      <c r="W912" s="223" t="s">
        <v>302</v>
      </c>
      <c r="X912" s="223" t="s">
        <v>302</v>
      </c>
      <c r="Y912" s="224" t="s">
        <v>302</v>
      </c>
    </row>
    <row r="913" spans="1:25">
      <c r="A913" s="216">
        <v>17</v>
      </c>
      <c r="B913" s="217" t="str">
        <f>VLOOKUP(Tabel10[[#This Row],[Code]],Ruimtegroepen[[Code]:[Ruimte omschrijving]],2,FALSE)</f>
        <v>Toestelberging</v>
      </c>
      <c r="C913" s="218" t="s">
        <v>1057</v>
      </c>
      <c r="D913" s="217" t="s">
        <v>12</v>
      </c>
      <c r="E913" s="219" t="s">
        <v>103</v>
      </c>
      <c r="F913" s="218" t="s">
        <v>1061</v>
      </c>
      <c r="G913" s="263" t="s">
        <v>302</v>
      </c>
      <c r="H913" s="220" t="s">
        <v>302</v>
      </c>
      <c r="I913" s="220" t="s">
        <v>17</v>
      </c>
      <c r="J913" s="221" t="s">
        <v>15</v>
      </c>
      <c r="K913" s="220" t="s">
        <v>303</v>
      </c>
      <c r="L913" s="220" t="s">
        <v>302</v>
      </c>
      <c r="M913" s="220" t="s">
        <v>302</v>
      </c>
      <c r="N913" s="221" t="s">
        <v>302</v>
      </c>
      <c r="O913" s="222" t="s">
        <v>18</v>
      </c>
      <c r="P913" s="222" t="s">
        <v>18</v>
      </c>
      <c r="Q913" s="222" t="s">
        <v>15</v>
      </c>
      <c r="R913" s="222" t="s">
        <v>15</v>
      </c>
      <c r="S913" s="222" t="s">
        <v>16</v>
      </c>
      <c r="T913" s="222" t="s">
        <v>349</v>
      </c>
      <c r="U913" s="222" t="s">
        <v>269</v>
      </c>
      <c r="V913" s="222" t="s">
        <v>302</v>
      </c>
      <c r="W913" s="223" t="s">
        <v>302</v>
      </c>
      <c r="X913" s="223" t="s">
        <v>302</v>
      </c>
      <c r="Y913" s="224" t="s">
        <v>302</v>
      </c>
    </row>
    <row r="914" spans="1:25">
      <c r="A914" s="216">
        <v>17</v>
      </c>
      <c r="B914" s="217" t="str">
        <f>VLOOKUP(Tabel10[[#This Row],[Code]],Ruimtegroepen[[Code]:[Ruimte omschrijving]],2,FALSE)</f>
        <v>Toestelberging</v>
      </c>
      <c r="C914" s="218" t="s">
        <v>1057</v>
      </c>
      <c r="D914" s="217" t="s">
        <v>12</v>
      </c>
      <c r="E914" s="219" t="s">
        <v>100</v>
      </c>
      <c r="F914" s="218" t="s">
        <v>1059</v>
      </c>
      <c r="G914" s="263" t="s">
        <v>302</v>
      </c>
      <c r="H914" s="221" t="s">
        <v>18</v>
      </c>
      <c r="I914" s="220" t="s">
        <v>302</v>
      </c>
      <c r="J914" s="221" t="s">
        <v>302</v>
      </c>
      <c r="K914" s="221" t="s">
        <v>302</v>
      </c>
      <c r="L914" s="220" t="s">
        <v>302</v>
      </c>
      <c r="M914" s="220" t="s">
        <v>302</v>
      </c>
      <c r="N914" s="221" t="s">
        <v>302</v>
      </c>
      <c r="O914" s="222" t="s">
        <v>18</v>
      </c>
      <c r="P914" s="222" t="s">
        <v>18</v>
      </c>
      <c r="Q914" s="222" t="s">
        <v>15</v>
      </c>
      <c r="R914" s="222" t="s">
        <v>15</v>
      </c>
      <c r="S914" s="222" t="s">
        <v>16</v>
      </c>
      <c r="T914" s="222" t="s">
        <v>349</v>
      </c>
      <c r="U914" s="222" t="s">
        <v>269</v>
      </c>
      <c r="V914" s="222" t="s">
        <v>302</v>
      </c>
      <c r="W914" s="223" t="s">
        <v>302</v>
      </c>
      <c r="X914" s="223" t="s">
        <v>302</v>
      </c>
      <c r="Y914" s="224" t="s">
        <v>302</v>
      </c>
    </row>
    <row r="915" spans="1:25">
      <c r="A915" s="216">
        <v>17</v>
      </c>
      <c r="B915" s="217" t="str">
        <f>VLOOKUP(Tabel10[[#This Row],[Code]],Ruimtegroepen[[Code]:[Ruimte omschrijving]],2,FALSE)</f>
        <v>Toestelberging</v>
      </c>
      <c r="C915" s="218" t="s">
        <v>1057</v>
      </c>
      <c r="D915" s="217" t="s">
        <v>12</v>
      </c>
      <c r="E915" s="219" t="s">
        <v>1325</v>
      </c>
      <c r="F915" s="218" t="s">
        <v>1455</v>
      </c>
      <c r="G915" s="263" t="s">
        <v>302</v>
      </c>
      <c r="H915" s="220" t="s">
        <v>302</v>
      </c>
      <c r="I915" s="220" t="s">
        <v>17</v>
      </c>
      <c r="J915" s="221" t="s">
        <v>15</v>
      </c>
      <c r="K915" s="220" t="s">
        <v>303</v>
      </c>
      <c r="L915" s="220" t="s">
        <v>302</v>
      </c>
      <c r="M915" s="220" t="s">
        <v>302</v>
      </c>
      <c r="N915" s="221" t="s">
        <v>302</v>
      </c>
      <c r="O915" s="222" t="s">
        <v>18</v>
      </c>
      <c r="P915" s="222" t="s">
        <v>18</v>
      </c>
      <c r="Q915" s="222" t="s">
        <v>15</v>
      </c>
      <c r="R915" s="222" t="s">
        <v>15</v>
      </c>
      <c r="S915" s="222" t="s">
        <v>16</v>
      </c>
      <c r="T915" s="222" t="s">
        <v>349</v>
      </c>
      <c r="U915" s="222" t="s">
        <v>269</v>
      </c>
      <c r="V915" s="222" t="s">
        <v>302</v>
      </c>
      <c r="W915" s="223" t="s">
        <v>302</v>
      </c>
      <c r="X915" s="223" t="s">
        <v>302</v>
      </c>
      <c r="Y915" s="224" t="s">
        <v>302</v>
      </c>
    </row>
    <row r="916" spans="1:25">
      <c r="A916" s="216">
        <v>17</v>
      </c>
      <c r="B916" s="217" t="str">
        <f>VLOOKUP(Tabel10[[#This Row],[Code]],Ruimtegroepen[[Code]:[Ruimte omschrijving]],2,FALSE)</f>
        <v>Toestelberging</v>
      </c>
      <c r="C916" s="218" t="s">
        <v>1062</v>
      </c>
      <c r="D916" s="217" t="s">
        <v>14</v>
      </c>
      <c r="E916" s="219" t="s">
        <v>101</v>
      </c>
      <c r="F916" s="218" t="s">
        <v>1063</v>
      </c>
      <c r="G916" s="263" t="s">
        <v>302</v>
      </c>
      <c r="H916" s="220" t="s">
        <v>302</v>
      </c>
      <c r="I916" s="220" t="s">
        <v>15</v>
      </c>
      <c r="J916" s="221" t="s">
        <v>15</v>
      </c>
      <c r="K916" s="221" t="s">
        <v>302</v>
      </c>
      <c r="L916" s="220" t="s">
        <v>302</v>
      </c>
      <c r="M916" s="220" t="s">
        <v>302</v>
      </c>
      <c r="N916" s="221" t="s">
        <v>302</v>
      </c>
      <c r="O916" s="222" t="s">
        <v>17</v>
      </c>
      <c r="P916" s="222" t="s">
        <v>17</v>
      </c>
      <c r="Q916" s="222" t="s">
        <v>15</v>
      </c>
      <c r="R916" s="222" t="s">
        <v>15</v>
      </c>
      <c r="S916" s="222" t="s">
        <v>16</v>
      </c>
      <c r="T916" s="222" t="s">
        <v>349</v>
      </c>
      <c r="U916" s="222" t="s">
        <v>269</v>
      </c>
      <c r="V916" s="222" t="s">
        <v>302</v>
      </c>
      <c r="W916" s="223" t="s">
        <v>302</v>
      </c>
      <c r="X916" s="223" t="s">
        <v>302</v>
      </c>
      <c r="Y916" s="224" t="s">
        <v>302</v>
      </c>
    </row>
    <row r="917" spans="1:25">
      <c r="A917" s="216">
        <v>17</v>
      </c>
      <c r="B917" s="217" t="str">
        <f>VLOOKUP(Tabel10[[#This Row],[Code]],Ruimtegroepen[[Code]:[Ruimte omschrijving]],2,FALSE)</f>
        <v>Toestelberging</v>
      </c>
      <c r="C917" s="218" t="s">
        <v>1062</v>
      </c>
      <c r="D917" s="217" t="s">
        <v>14</v>
      </c>
      <c r="E917" s="219" t="s">
        <v>100</v>
      </c>
      <c r="F917" s="218" t="s">
        <v>1064</v>
      </c>
      <c r="G917" s="221" t="s">
        <v>15</v>
      </c>
      <c r="H917" s="221" t="s">
        <v>15</v>
      </c>
      <c r="I917" s="220" t="s">
        <v>302</v>
      </c>
      <c r="J917" s="221" t="s">
        <v>302</v>
      </c>
      <c r="K917" s="221" t="s">
        <v>302</v>
      </c>
      <c r="L917" s="220" t="s">
        <v>302</v>
      </c>
      <c r="M917" s="220" t="s">
        <v>302</v>
      </c>
      <c r="N917" s="221" t="s">
        <v>302</v>
      </c>
      <c r="O917" s="222" t="s">
        <v>17</v>
      </c>
      <c r="P917" s="222" t="s">
        <v>17</v>
      </c>
      <c r="Q917" s="222" t="s">
        <v>15</v>
      </c>
      <c r="R917" s="222" t="s">
        <v>15</v>
      </c>
      <c r="S917" s="222" t="s">
        <v>16</v>
      </c>
      <c r="T917" s="222" t="s">
        <v>349</v>
      </c>
      <c r="U917" s="222" t="s">
        <v>269</v>
      </c>
      <c r="V917" s="222" t="s">
        <v>302</v>
      </c>
      <c r="W917" s="223" t="s">
        <v>302</v>
      </c>
      <c r="X917" s="223" t="s">
        <v>302</v>
      </c>
      <c r="Y917" s="224" t="s">
        <v>302</v>
      </c>
    </row>
    <row r="918" spans="1:25">
      <c r="A918" s="216">
        <v>17</v>
      </c>
      <c r="B918" s="217" t="str">
        <f>VLOOKUP(Tabel10[[#This Row],[Code]],Ruimtegroepen[[Code]:[Ruimte omschrijving]],2,FALSE)</f>
        <v>Toestelberging</v>
      </c>
      <c r="C918" s="218" t="s">
        <v>1062</v>
      </c>
      <c r="D918" s="217" t="s">
        <v>14</v>
      </c>
      <c r="E918" s="219" t="s">
        <v>102</v>
      </c>
      <c r="F918" s="218" t="s">
        <v>1065</v>
      </c>
      <c r="G918" s="263" t="s">
        <v>302</v>
      </c>
      <c r="H918" s="220" t="s">
        <v>302</v>
      </c>
      <c r="I918" s="220" t="s">
        <v>15</v>
      </c>
      <c r="J918" s="221" t="s">
        <v>15</v>
      </c>
      <c r="K918" s="220" t="s">
        <v>303</v>
      </c>
      <c r="L918" s="220" t="s">
        <v>302</v>
      </c>
      <c r="M918" s="220" t="s">
        <v>302</v>
      </c>
      <c r="N918" s="221" t="s">
        <v>302</v>
      </c>
      <c r="O918" s="222" t="s">
        <v>17</v>
      </c>
      <c r="P918" s="222" t="s">
        <v>17</v>
      </c>
      <c r="Q918" s="222" t="s">
        <v>15</v>
      </c>
      <c r="R918" s="222" t="s">
        <v>15</v>
      </c>
      <c r="S918" s="222" t="s">
        <v>16</v>
      </c>
      <c r="T918" s="222" t="s">
        <v>349</v>
      </c>
      <c r="U918" s="222" t="s">
        <v>269</v>
      </c>
      <c r="V918" s="222" t="s">
        <v>302</v>
      </c>
      <c r="W918" s="223" t="s">
        <v>302</v>
      </c>
      <c r="X918" s="223" t="s">
        <v>302</v>
      </c>
      <c r="Y918" s="224" t="s">
        <v>302</v>
      </c>
    </row>
    <row r="919" spans="1:25">
      <c r="A919" s="216">
        <v>17</v>
      </c>
      <c r="B919" s="217" t="str">
        <f>VLOOKUP(Tabel10[[#This Row],[Code]],Ruimtegroepen[[Code]:[Ruimte omschrijving]],2,FALSE)</f>
        <v>Toestelberging</v>
      </c>
      <c r="C919" s="218" t="s">
        <v>1062</v>
      </c>
      <c r="D919" s="217" t="s">
        <v>14</v>
      </c>
      <c r="E919" s="219" t="s">
        <v>103</v>
      </c>
      <c r="F919" s="218" t="s">
        <v>1066</v>
      </c>
      <c r="G919" s="263" t="s">
        <v>302</v>
      </c>
      <c r="H919" s="220" t="s">
        <v>302</v>
      </c>
      <c r="I919" s="220" t="s">
        <v>15</v>
      </c>
      <c r="J919" s="221" t="s">
        <v>15</v>
      </c>
      <c r="K919" s="220" t="s">
        <v>303</v>
      </c>
      <c r="L919" s="220" t="s">
        <v>302</v>
      </c>
      <c r="M919" s="220" t="s">
        <v>302</v>
      </c>
      <c r="N919" s="221" t="s">
        <v>302</v>
      </c>
      <c r="O919" s="222" t="s">
        <v>17</v>
      </c>
      <c r="P919" s="222" t="s">
        <v>17</v>
      </c>
      <c r="Q919" s="222" t="s">
        <v>15</v>
      </c>
      <c r="R919" s="222" t="s">
        <v>15</v>
      </c>
      <c r="S919" s="222" t="s">
        <v>16</v>
      </c>
      <c r="T919" s="222" t="s">
        <v>349</v>
      </c>
      <c r="U919" s="222" t="s">
        <v>269</v>
      </c>
      <c r="V919" s="222" t="s">
        <v>302</v>
      </c>
      <c r="W919" s="223" t="s">
        <v>302</v>
      </c>
      <c r="X919" s="223" t="s">
        <v>302</v>
      </c>
      <c r="Y919" s="224" t="s">
        <v>302</v>
      </c>
    </row>
    <row r="920" spans="1:25">
      <c r="A920" s="216">
        <v>17</v>
      </c>
      <c r="B920" s="217" t="str">
        <f>VLOOKUP(Tabel10[[#This Row],[Code]],Ruimtegroepen[[Code]:[Ruimte omschrijving]],2,FALSE)</f>
        <v>Toestelberging</v>
      </c>
      <c r="C920" s="218" t="s">
        <v>1062</v>
      </c>
      <c r="D920" s="217" t="s">
        <v>14</v>
      </c>
      <c r="E920" s="219" t="s">
        <v>100</v>
      </c>
      <c r="F920" s="218" t="s">
        <v>1064</v>
      </c>
      <c r="G920" s="263" t="s">
        <v>302</v>
      </c>
      <c r="H920" s="221" t="s">
        <v>17</v>
      </c>
      <c r="I920" s="220" t="s">
        <v>302</v>
      </c>
      <c r="J920" s="221" t="s">
        <v>302</v>
      </c>
      <c r="K920" s="221" t="s">
        <v>302</v>
      </c>
      <c r="L920" s="220" t="s">
        <v>302</v>
      </c>
      <c r="M920" s="220" t="s">
        <v>302</v>
      </c>
      <c r="N920" s="221" t="s">
        <v>302</v>
      </c>
      <c r="O920" s="222" t="s">
        <v>17</v>
      </c>
      <c r="P920" s="222" t="s">
        <v>17</v>
      </c>
      <c r="Q920" s="222" t="s">
        <v>15</v>
      </c>
      <c r="R920" s="222" t="s">
        <v>15</v>
      </c>
      <c r="S920" s="222" t="s">
        <v>16</v>
      </c>
      <c r="T920" s="222" t="s">
        <v>349</v>
      </c>
      <c r="U920" s="222" t="s">
        <v>269</v>
      </c>
      <c r="V920" s="222" t="s">
        <v>302</v>
      </c>
      <c r="W920" s="223" t="s">
        <v>302</v>
      </c>
      <c r="X920" s="223" t="s">
        <v>302</v>
      </c>
      <c r="Y920" s="224" t="s">
        <v>302</v>
      </c>
    </row>
    <row r="921" spans="1:25">
      <c r="A921" s="216">
        <v>17</v>
      </c>
      <c r="B921" s="217" t="str">
        <f>VLOOKUP(Tabel10[[#This Row],[Code]],Ruimtegroepen[[Code]:[Ruimte omschrijving]],2,FALSE)</f>
        <v>Toestelberging</v>
      </c>
      <c r="C921" s="218" t="s">
        <v>1062</v>
      </c>
      <c r="D921" s="217" t="s">
        <v>14</v>
      </c>
      <c r="E921" s="219" t="s">
        <v>1325</v>
      </c>
      <c r="F921" s="218" t="s">
        <v>1422</v>
      </c>
      <c r="G921" s="263" t="s">
        <v>302</v>
      </c>
      <c r="H921" s="220" t="s">
        <v>302</v>
      </c>
      <c r="I921" s="220" t="s">
        <v>15</v>
      </c>
      <c r="J921" s="221" t="s">
        <v>15</v>
      </c>
      <c r="K921" s="220" t="s">
        <v>303</v>
      </c>
      <c r="L921" s="220" t="s">
        <v>302</v>
      </c>
      <c r="M921" s="220" t="s">
        <v>302</v>
      </c>
      <c r="N921" s="221" t="s">
        <v>302</v>
      </c>
      <c r="O921" s="222" t="s">
        <v>17</v>
      </c>
      <c r="P921" s="222" t="s">
        <v>17</v>
      </c>
      <c r="Q921" s="222" t="s">
        <v>15</v>
      </c>
      <c r="R921" s="222" t="s">
        <v>15</v>
      </c>
      <c r="S921" s="222" t="s">
        <v>16</v>
      </c>
      <c r="T921" s="222" t="s">
        <v>349</v>
      </c>
      <c r="U921" s="222" t="s">
        <v>269</v>
      </c>
      <c r="V921" s="222" t="s">
        <v>302</v>
      </c>
      <c r="W921" s="223" t="s">
        <v>302</v>
      </c>
      <c r="X921" s="223" t="s">
        <v>302</v>
      </c>
      <c r="Y921" s="224" t="s">
        <v>302</v>
      </c>
    </row>
    <row r="922" spans="1:25">
      <c r="A922" s="216">
        <v>17</v>
      </c>
      <c r="B922" s="217" t="str">
        <f>VLOOKUP(Tabel10[[#This Row],[Code]],Ruimtegroepen[[Code]:[Ruimte omschrijving]],2,FALSE)</f>
        <v>Toestelberging</v>
      </c>
      <c r="C922" s="218" t="s">
        <v>1067</v>
      </c>
      <c r="D922" s="217" t="s">
        <v>13</v>
      </c>
      <c r="E922" s="219" t="s">
        <v>101</v>
      </c>
      <c r="F922" s="218" t="s">
        <v>1068</v>
      </c>
      <c r="G922" s="263" t="s">
        <v>302</v>
      </c>
      <c r="H922" s="220" t="s">
        <v>302</v>
      </c>
      <c r="I922" s="220" t="s">
        <v>302</v>
      </c>
      <c r="J922" s="221" t="s">
        <v>15</v>
      </c>
      <c r="K922" s="221" t="s">
        <v>302</v>
      </c>
      <c r="L922" s="220" t="s">
        <v>302</v>
      </c>
      <c r="M922" s="220" t="s">
        <v>302</v>
      </c>
      <c r="N922" s="221" t="s">
        <v>302</v>
      </c>
      <c r="O922" s="222" t="s">
        <v>15</v>
      </c>
      <c r="P922" s="222" t="s">
        <v>15</v>
      </c>
      <c r="Q922" s="222" t="s">
        <v>15</v>
      </c>
      <c r="R922" s="222" t="s">
        <v>15</v>
      </c>
      <c r="S922" s="222" t="s">
        <v>16</v>
      </c>
      <c r="T922" s="222" t="s">
        <v>349</v>
      </c>
      <c r="U922" s="222" t="s">
        <v>269</v>
      </c>
      <c r="V922" s="222" t="s">
        <v>302</v>
      </c>
      <c r="W922" s="223" t="s">
        <v>302</v>
      </c>
      <c r="X922" s="223" t="s">
        <v>302</v>
      </c>
      <c r="Y922" s="224" t="s">
        <v>302</v>
      </c>
    </row>
    <row r="923" spans="1:25">
      <c r="A923" s="216">
        <v>17</v>
      </c>
      <c r="B923" s="217" t="str">
        <f>VLOOKUP(Tabel10[[#This Row],[Code]],Ruimtegroepen[[Code]:[Ruimte omschrijving]],2,FALSE)</f>
        <v>Toestelberging</v>
      </c>
      <c r="C923" s="218" t="s">
        <v>1067</v>
      </c>
      <c r="D923" s="217" t="s">
        <v>13</v>
      </c>
      <c r="E923" s="219" t="s">
        <v>100</v>
      </c>
      <c r="F923" s="218" t="s">
        <v>1069</v>
      </c>
      <c r="G923" s="263" t="s">
        <v>302</v>
      </c>
      <c r="H923" s="221" t="s">
        <v>15</v>
      </c>
      <c r="I923" s="220" t="s">
        <v>302</v>
      </c>
      <c r="J923" s="221" t="s">
        <v>302</v>
      </c>
      <c r="K923" s="221" t="s">
        <v>302</v>
      </c>
      <c r="L923" s="220" t="s">
        <v>302</v>
      </c>
      <c r="M923" s="220" t="s">
        <v>302</v>
      </c>
      <c r="N923" s="221" t="s">
        <v>302</v>
      </c>
      <c r="O923" s="222" t="s">
        <v>15</v>
      </c>
      <c r="P923" s="222" t="s">
        <v>15</v>
      </c>
      <c r="Q923" s="222" t="s">
        <v>15</v>
      </c>
      <c r="R923" s="222" t="s">
        <v>15</v>
      </c>
      <c r="S923" s="222" t="s">
        <v>16</v>
      </c>
      <c r="T923" s="222" t="s">
        <v>349</v>
      </c>
      <c r="U923" s="222" t="s">
        <v>269</v>
      </c>
      <c r="V923" s="222" t="s">
        <v>302</v>
      </c>
      <c r="W923" s="223" t="s">
        <v>302</v>
      </c>
      <c r="X923" s="223" t="s">
        <v>302</v>
      </c>
      <c r="Y923" s="224" t="s">
        <v>302</v>
      </c>
    </row>
    <row r="924" spans="1:25">
      <c r="A924" s="216">
        <v>17</v>
      </c>
      <c r="B924" s="217" t="str">
        <f>VLOOKUP(Tabel10[[#This Row],[Code]],Ruimtegroepen[[Code]:[Ruimte omschrijving]],2,FALSE)</f>
        <v>Toestelberging</v>
      </c>
      <c r="C924" s="218" t="s">
        <v>1067</v>
      </c>
      <c r="D924" s="217" t="s">
        <v>13</v>
      </c>
      <c r="E924" s="219" t="s">
        <v>102</v>
      </c>
      <c r="F924" s="218" t="s">
        <v>1070</v>
      </c>
      <c r="G924" s="263" t="s">
        <v>302</v>
      </c>
      <c r="H924" s="220" t="s">
        <v>302</v>
      </c>
      <c r="I924" s="220" t="s">
        <v>302</v>
      </c>
      <c r="J924" s="221" t="s">
        <v>15</v>
      </c>
      <c r="K924" s="220" t="s">
        <v>303</v>
      </c>
      <c r="L924" s="220" t="s">
        <v>302</v>
      </c>
      <c r="M924" s="220" t="s">
        <v>302</v>
      </c>
      <c r="N924" s="221" t="s">
        <v>302</v>
      </c>
      <c r="O924" s="222" t="s">
        <v>15</v>
      </c>
      <c r="P924" s="222" t="s">
        <v>15</v>
      </c>
      <c r="Q924" s="222" t="s">
        <v>15</v>
      </c>
      <c r="R924" s="222" t="s">
        <v>15</v>
      </c>
      <c r="S924" s="222" t="s">
        <v>16</v>
      </c>
      <c r="T924" s="222" t="s">
        <v>349</v>
      </c>
      <c r="U924" s="222" t="s">
        <v>269</v>
      </c>
      <c r="V924" s="222" t="s">
        <v>302</v>
      </c>
      <c r="W924" s="223" t="s">
        <v>302</v>
      </c>
      <c r="X924" s="223" t="s">
        <v>302</v>
      </c>
      <c r="Y924" s="224" t="s">
        <v>302</v>
      </c>
    </row>
    <row r="925" spans="1:25">
      <c r="A925" s="216">
        <v>17</v>
      </c>
      <c r="B925" s="217" t="str">
        <f>VLOOKUP(Tabel10[[#This Row],[Code]],Ruimtegroepen[[Code]:[Ruimte omschrijving]],2,FALSE)</f>
        <v>Toestelberging</v>
      </c>
      <c r="C925" s="218" t="s">
        <v>1067</v>
      </c>
      <c r="D925" s="217" t="s">
        <v>13</v>
      </c>
      <c r="E925" s="219" t="s">
        <v>103</v>
      </c>
      <c r="F925" s="218" t="s">
        <v>1071</v>
      </c>
      <c r="G925" s="263" t="s">
        <v>302</v>
      </c>
      <c r="H925" s="220" t="s">
        <v>302</v>
      </c>
      <c r="I925" s="220" t="s">
        <v>302</v>
      </c>
      <c r="J925" s="221" t="s">
        <v>15</v>
      </c>
      <c r="K925" s="220" t="s">
        <v>303</v>
      </c>
      <c r="L925" s="220" t="s">
        <v>302</v>
      </c>
      <c r="M925" s="220" t="s">
        <v>302</v>
      </c>
      <c r="N925" s="221" t="s">
        <v>302</v>
      </c>
      <c r="O925" s="222" t="s">
        <v>15</v>
      </c>
      <c r="P925" s="222" t="s">
        <v>15</v>
      </c>
      <c r="Q925" s="222" t="s">
        <v>15</v>
      </c>
      <c r="R925" s="222" t="s">
        <v>15</v>
      </c>
      <c r="S925" s="222" t="s">
        <v>16</v>
      </c>
      <c r="T925" s="222" t="s">
        <v>349</v>
      </c>
      <c r="U925" s="222" t="s">
        <v>269</v>
      </c>
      <c r="V925" s="222" t="s">
        <v>302</v>
      </c>
      <c r="W925" s="223" t="s">
        <v>302</v>
      </c>
      <c r="X925" s="223" t="s">
        <v>302</v>
      </c>
      <c r="Y925" s="224" t="s">
        <v>302</v>
      </c>
    </row>
    <row r="926" spans="1:25">
      <c r="A926" s="216">
        <v>17</v>
      </c>
      <c r="B926" s="217" t="str">
        <f>VLOOKUP(Tabel10[[#This Row],[Code]],Ruimtegroepen[[Code]:[Ruimte omschrijving]],2,FALSE)</f>
        <v>Toestelberging</v>
      </c>
      <c r="C926" s="218" t="s">
        <v>1067</v>
      </c>
      <c r="D926" s="217" t="s">
        <v>13</v>
      </c>
      <c r="E926" s="219" t="s">
        <v>100</v>
      </c>
      <c r="F926" s="218" t="s">
        <v>1069</v>
      </c>
      <c r="G926" s="263" t="s">
        <v>302</v>
      </c>
      <c r="H926" s="221" t="s">
        <v>15</v>
      </c>
      <c r="I926" s="220" t="s">
        <v>302</v>
      </c>
      <c r="J926" s="221" t="s">
        <v>302</v>
      </c>
      <c r="K926" s="221" t="s">
        <v>302</v>
      </c>
      <c r="L926" s="220" t="s">
        <v>302</v>
      </c>
      <c r="M926" s="220" t="s">
        <v>302</v>
      </c>
      <c r="N926" s="221" t="s">
        <v>302</v>
      </c>
      <c r="O926" s="222" t="s">
        <v>15</v>
      </c>
      <c r="P926" s="222" t="s">
        <v>15</v>
      </c>
      <c r="Q926" s="222" t="s">
        <v>15</v>
      </c>
      <c r="R926" s="222" t="s">
        <v>15</v>
      </c>
      <c r="S926" s="222" t="s">
        <v>16</v>
      </c>
      <c r="T926" s="222" t="s">
        <v>349</v>
      </c>
      <c r="U926" s="222" t="s">
        <v>269</v>
      </c>
      <c r="V926" s="222" t="s">
        <v>302</v>
      </c>
      <c r="W926" s="223" t="s">
        <v>302</v>
      </c>
      <c r="X926" s="223" t="s">
        <v>302</v>
      </c>
      <c r="Y926" s="224" t="s">
        <v>302</v>
      </c>
    </row>
    <row r="927" spans="1:25">
      <c r="A927" s="216">
        <v>17</v>
      </c>
      <c r="B927" s="217" t="str">
        <f>VLOOKUP(Tabel10[[#This Row],[Code]],Ruimtegroepen[[Code]:[Ruimte omschrijving]],2,FALSE)</f>
        <v>Toestelberging</v>
      </c>
      <c r="C927" s="218" t="s">
        <v>1067</v>
      </c>
      <c r="D927" s="217" t="s">
        <v>13</v>
      </c>
      <c r="E927" s="219" t="s">
        <v>1325</v>
      </c>
      <c r="F927" s="218" t="s">
        <v>1389</v>
      </c>
      <c r="G927" s="263" t="s">
        <v>302</v>
      </c>
      <c r="H927" s="220" t="s">
        <v>302</v>
      </c>
      <c r="I927" s="220" t="s">
        <v>302</v>
      </c>
      <c r="J927" s="221" t="s">
        <v>15</v>
      </c>
      <c r="K927" s="220" t="s">
        <v>303</v>
      </c>
      <c r="L927" s="220" t="s">
        <v>302</v>
      </c>
      <c r="M927" s="220" t="s">
        <v>302</v>
      </c>
      <c r="N927" s="221" t="s">
        <v>302</v>
      </c>
      <c r="O927" s="222" t="s">
        <v>15</v>
      </c>
      <c r="P927" s="222" t="s">
        <v>15</v>
      </c>
      <c r="Q927" s="222" t="s">
        <v>15</v>
      </c>
      <c r="R927" s="222" t="s">
        <v>15</v>
      </c>
      <c r="S927" s="222" t="s">
        <v>16</v>
      </c>
      <c r="T927" s="222" t="s">
        <v>349</v>
      </c>
      <c r="U927" s="222" t="s">
        <v>269</v>
      </c>
      <c r="V927" s="222" t="s">
        <v>302</v>
      </c>
      <c r="W927" s="223" t="s">
        <v>302</v>
      </c>
      <c r="X927" s="223" t="s">
        <v>302</v>
      </c>
      <c r="Y927" s="224" t="s">
        <v>302</v>
      </c>
    </row>
    <row r="928" spans="1:25">
      <c r="A928" s="216">
        <v>17</v>
      </c>
      <c r="B928" s="217" t="str">
        <f>VLOOKUP(Tabel10[[#This Row],[Code]],Ruimtegroepen[[Code]:[Ruimte omschrijving]],2,FALSE)</f>
        <v>Toestelberging</v>
      </c>
      <c r="C928" s="218" t="s">
        <v>1072</v>
      </c>
      <c r="D928" s="217" t="s">
        <v>0</v>
      </c>
      <c r="E928" s="219" t="s">
        <v>101</v>
      </c>
      <c r="F928" s="218" t="s">
        <v>1073</v>
      </c>
      <c r="G928" s="263" t="s">
        <v>302</v>
      </c>
      <c r="H928" s="220" t="s">
        <v>302</v>
      </c>
      <c r="I928" s="221" t="s">
        <v>16</v>
      </c>
      <c r="J928" s="221" t="s">
        <v>302</v>
      </c>
      <c r="K928" s="221" t="s">
        <v>302</v>
      </c>
      <c r="L928" s="220" t="s">
        <v>302</v>
      </c>
      <c r="M928" s="220" t="s">
        <v>302</v>
      </c>
      <c r="N928" s="221" t="s">
        <v>302</v>
      </c>
      <c r="O928" s="222" t="s">
        <v>16</v>
      </c>
      <c r="P928" s="222" t="s">
        <v>16</v>
      </c>
      <c r="Q928" s="222" t="s">
        <v>16</v>
      </c>
      <c r="R928" s="222" t="s">
        <v>16</v>
      </c>
      <c r="S928" s="222" t="s">
        <v>16</v>
      </c>
      <c r="T928" s="222" t="s">
        <v>349</v>
      </c>
      <c r="U928" s="222" t="s">
        <v>269</v>
      </c>
      <c r="V928" s="222" t="s">
        <v>302</v>
      </c>
      <c r="W928" s="223" t="s">
        <v>302</v>
      </c>
      <c r="X928" s="223" t="s">
        <v>302</v>
      </c>
      <c r="Y928" s="224" t="s">
        <v>302</v>
      </c>
    </row>
    <row r="929" spans="1:25">
      <c r="A929" s="216">
        <v>17</v>
      </c>
      <c r="B929" s="217" t="str">
        <f>VLOOKUP(Tabel10[[#This Row],[Code]],Ruimtegroepen[[Code]:[Ruimte omschrijving]],2,FALSE)</f>
        <v>Toestelberging</v>
      </c>
      <c r="C929" s="218" t="s">
        <v>1072</v>
      </c>
      <c r="D929" s="217" t="s">
        <v>0</v>
      </c>
      <c r="E929" s="219" t="s">
        <v>100</v>
      </c>
      <c r="F929" s="218" t="s">
        <v>1074</v>
      </c>
      <c r="G929" s="263" t="s">
        <v>302</v>
      </c>
      <c r="H929" s="221" t="s">
        <v>16</v>
      </c>
      <c r="I929" s="220" t="s">
        <v>302</v>
      </c>
      <c r="J929" s="221" t="s">
        <v>302</v>
      </c>
      <c r="K929" s="221" t="s">
        <v>302</v>
      </c>
      <c r="L929" s="220" t="s">
        <v>302</v>
      </c>
      <c r="M929" s="220" t="s">
        <v>302</v>
      </c>
      <c r="N929" s="221" t="s">
        <v>302</v>
      </c>
      <c r="O929" s="222" t="s">
        <v>16</v>
      </c>
      <c r="P929" s="222" t="s">
        <v>16</v>
      </c>
      <c r="Q929" s="222" t="s">
        <v>16</v>
      </c>
      <c r="R929" s="222" t="s">
        <v>16</v>
      </c>
      <c r="S929" s="222" t="s">
        <v>16</v>
      </c>
      <c r="T929" s="222" t="s">
        <v>349</v>
      </c>
      <c r="U929" s="222" t="s">
        <v>269</v>
      </c>
      <c r="V929" s="222" t="s">
        <v>302</v>
      </c>
      <c r="W929" s="223" t="s">
        <v>302</v>
      </c>
      <c r="X929" s="223" t="s">
        <v>302</v>
      </c>
      <c r="Y929" s="224" t="s">
        <v>302</v>
      </c>
    </row>
    <row r="930" spans="1:25">
      <c r="A930" s="216">
        <v>17</v>
      </c>
      <c r="B930" s="217" t="str">
        <f>VLOOKUP(Tabel10[[#This Row],[Code]],Ruimtegroepen[[Code]:[Ruimte omschrijving]],2,FALSE)</f>
        <v>Toestelberging</v>
      </c>
      <c r="C930" s="218" t="s">
        <v>1072</v>
      </c>
      <c r="D930" s="217" t="s">
        <v>0</v>
      </c>
      <c r="E930" s="219" t="s">
        <v>102</v>
      </c>
      <c r="F930" s="218" t="s">
        <v>1075</v>
      </c>
      <c r="G930" s="263" t="s">
        <v>302</v>
      </c>
      <c r="H930" s="220" t="s">
        <v>302</v>
      </c>
      <c r="I930" s="220" t="s">
        <v>16</v>
      </c>
      <c r="J930" s="220" t="s">
        <v>302</v>
      </c>
      <c r="K930" s="220" t="s">
        <v>303</v>
      </c>
      <c r="L930" s="220" t="s">
        <v>302</v>
      </c>
      <c r="M930" s="220" t="s">
        <v>302</v>
      </c>
      <c r="N930" s="221" t="s">
        <v>302</v>
      </c>
      <c r="O930" s="222" t="s">
        <v>16</v>
      </c>
      <c r="P930" s="222" t="s">
        <v>16</v>
      </c>
      <c r="Q930" s="222" t="s">
        <v>16</v>
      </c>
      <c r="R930" s="222" t="s">
        <v>16</v>
      </c>
      <c r="S930" s="222" t="s">
        <v>16</v>
      </c>
      <c r="T930" s="222" t="s">
        <v>349</v>
      </c>
      <c r="U930" s="222" t="s">
        <v>269</v>
      </c>
      <c r="V930" s="222" t="s">
        <v>302</v>
      </c>
      <c r="W930" s="223" t="s">
        <v>302</v>
      </c>
      <c r="X930" s="223" t="s">
        <v>302</v>
      </c>
      <c r="Y930" s="224" t="s">
        <v>302</v>
      </c>
    </row>
    <row r="931" spans="1:25">
      <c r="A931" s="216">
        <v>17</v>
      </c>
      <c r="B931" s="217" t="str">
        <f>VLOOKUP(Tabel10[[#This Row],[Code]],Ruimtegroepen[[Code]:[Ruimte omschrijving]],2,FALSE)</f>
        <v>Toestelberging</v>
      </c>
      <c r="C931" s="218" t="s">
        <v>1072</v>
      </c>
      <c r="D931" s="217" t="s">
        <v>0</v>
      </c>
      <c r="E931" s="219" t="s">
        <v>103</v>
      </c>
      <c r="F931" s="218" t="s">
        <v>1076</v>
      </c>
      <c r="G931" s="263" t="s">
        <v>302</v>
      </c>
      <c r="H931" s="220" t="s">
        <v>302</v>
      </c>
      <c r="I931" s="221" t="s">
        <v>16</v>
      </c>
      <c r="J931" s="221" t="s">
        <v>302</v>
      </c>
      <c r="K931" s="220" t="s">
        <v>303</v>
      </c>
      <c r="L931" s="220" t="s">
        <v>302</v>
      </c>
      <c r="M931" s="220" t="s">
        <v>302</v>
      </c>
      <c r="N931" s="221" t="s">
        <v>302</v>
      </c>
      <c r="O931" s="222" t="s">
        <v>16</v>
      </c>
      <c r="P931" s="222" t="s">
        <v>16</v>
      </c>
      <c r="Q931" s="222" t="s">
        <v>16</v>
      </c>
      <c r="R931" s="222" t="s">
        <v>16</v>
      </c>
      <c r="S931" s="222" t="s">
        <v>16</v>
      </c>
      <c r="T931" s="222" t="s">
        <v>349</v>
      </c>
      <c r="U931" s="222" t="s">
        <v>269</v>
      </c>
      <c r="V931" s="222" t="s">
        <v>302</v>
      </c>
      <c r="W931" s="223" t="s">
        <v>302</v>
      </c>
      <c r="X931" s="223" t="s">
        <v>302</v>
      </c>
      <c r="Y931" s="224" t="s">
        <v>302</v>
      </c>
    </row>
    <row r="932" spans="1:25">
      <c r="A932" s="216">
        <v>17</v>
      </c>
      <c r="B932" s="217" t="str">
        <f>VLOOKUP(Tabel10[[#This Row],[Code]],Ruimtegroepen[[Code]:[Ruimte omschrijving]],2,FALSE)</f>
        <v>Toestelberging</v>
      </c>
      <c r="C932" s="218" t="s">
        <v>1072</v>
      </c>
      <c r="D932" s="217" t="s">
        <v>0</v>
      </c>
      <c r="E932" s="219" t="s">
        <v>100</v>
      </c>
      <c r="F932" s="218" t="s">
        <v>1074</v>
      </c>
      <c r="G932" s="263" t="s">
        <v>302</v>
      </c>
      <c r="H932" s="221" t="s">
        <v>16</v>
      </c>
      <c r="I932" s="220" t="s">
        <v>302</v>
      </c>
      <c r="J932" s="221" t="s">
        <v>302</v>
      </c>
      <c r="K932" s="221" t="s">
        <v>302</v>
      </c>
      <c r="L932" s="220" t="s">
        <v>302</v>
      </c>
      <c r="M932" s="220" t="s">
        <v>302</v>
      </c>
      <c r="N932" s="221" t="s">
        <v>302</v>
      </c>
      <c r="O932" s="222" t="s">
        <v>16</v>
      </c>
      <c r="P932" s="222" t="s">
        <v>16</v>
      </c>
      <c r="Q932" s="222" t="s">
        <v>16</v>
      </c>
      <c r="R932" s="222" t="s">
        <v>16</v>
      </c>
      <c r="S932" s="222" t="s">
        <v>16</v>
      </c>
      <c r="T932" s="222" t="s">
        <v>349</v>
      </c>
      <c r="U932" s="222" t="s">
        <v>269</v>
      </c>
      <c r="V932" s="222" t="s">
        <v>302</v>
      </c>
      <c r="W932" s="223" t="s">
        <v>302</v>
      </c>
      <c r="X932" s="223" t="s">
        <v>302</v>
      </c>
      <c r="Y932" s="224" t="s">
        <v>302</v>
      </c>
    </row>
    <row r="933" spans="1:25">
      <c r="A933" s="216">
        <v>17</v>
      </c>
      <c r="B933" s="217" t="str">
        <f>VLOOKUP(Tabel10[[#This Row],[Code]],Ruimtegroepen[[Code]:[Ruimte omschrijving]],2,FALSE)</f>
        <v>Toestelberging</v>
      </c>
      <c r="C933" s="218" t="s">
        <v>1072</v>
      </c>
      <c r="D933" s="217" t="s">
        <v>0</v>
      </c>
      <c r="E933" s="219" t="s">
        <v>1325</v>
      </c>
      <c r="F933" s="218" t="s">
        <v>1373</v>
      </c>
      <c r="G933" s="263" t="s">
        <v>302</v>
      </c>
      <c r="H933" s="220" t="s">
        <v>302</v>
      </c>
      <c r="I933" s="221" t="s">
        <v>16</v>
      </c>
      <c r="J933" s="221" t="s">
        <v>302</v>
      </c>
      <c r="K933" s="220" t="s">
        <v>303</v>
      </c>
      <c r="L933" s="220" t="s">
        <v>302</v>
      </c>
      <c r="M933" s="220" t="s">
        <v>302</v>
      </c>
      <c r="N933" s="221" t="s">
        <v>302</v>
      </c>
      <c r="O933" s="222" t="s">
        <v>16</v>
      </c>
      <c r="P933" s="222" t="s">
        <v>16</v>
      </c>
      <c r="Q933" s="222" t="s">
        <v>16</v>
      </c>
      <c r="R933" s="222" t="s">
        <v>16</v>
      </c>
      <c r="S933" s="222" t="s">
        <v>16</v>
      </c>
      <c r="T933" s="222" t="s">
        <v>349</v>
      </c>
      <c r="U933" s="222" t="s">
        <v>269</v>
      </c>
      <c r="V933" s="222" t="s">
        <v>302</v>
      </c>
      <c r="W933" s="223" t="s">
        <v>302</v>
      </c>
      <c r="X933" s="223" t="s">
        <v>302</v>
      </c>
      <c r="Y933" s="224" t="s">
        <v>302</v>
      </c>
    </row>
    <row r="934" spans="1:25">
      <c r="A934" s="216">
        <v>17</v>
      </c>
      <c r="B934" s="217" t="str">
        <f>VLOOKUP(Tabel10[[#This Row],[Code]],Ruimtegroepen[[Code]:[Ruimte omschrijving]],2,FALSE)</f>
        <v>Toestelberging</v>
      </c>
      <c r="C934" s="218" t="s">
        <v>1077</v>
      </c>
      <c r="D934" s="217" t="s">
        <v>27</v>
      </c>
      <c r="E934" s="219" t="s">
        <v>101</v>
      </c>
      <c r="F934" s="218" t="s">
        <v>1078</v>
      </c>
      <c r="G934" s="263" t="s">
        <v>302</v>
      </c>
      <c r="H934" s="220" t="s">
        <v>302</v>
      </c>
      <c r="I934" s="221" t="s">
        <v>15</v>
      </c>
      <c r="J934" s="220" t="s">
        <v>302</v>
      </c>
      <c r="K934" s="221" t="s">
        <v>302</v>
      </c>
      <c r="L934" s="220" t="s">
        <v>302</v>
      </c>
      <c r="M934" s="220" t="s">
        <v>302</v>
      </c>
      <c r="N934" s="221" t="s">
        <v>302</v>
      </c>
      <c r="O934" s="222" t="s">
        <v>15</v>
      </c>
      <c r="P934" s="222" t="s">
        <v>15</v>
      </c>
      <c r="Q934" s="222" t="s">
        <v>15</v>
      </c>
      <c r="R934" s="222" t="s">
        <v>302</v>
      </c>
      <c r="S934" s="222" t="s">
        <v>302</v>
      </c>
      <c r="T934" s="222" t="s">
        <v>302</v>
      </c>
      <c r="U934" s="222" t="s">
        <v>302</v>
      </c>
      <c r="V934" s="222" t="s">
        <v>302</v>
      </c>
      <c r="W934" s="223" t="s">
        <v>302</v>
      </c>
      <c r="X934" s="223" t="s">
        <v>302</v>
      </c>
      <c r="Y934" s="224" t="s">
        <v>302</v>
      </c>
    </row>
    <row r="935" spans="1:25">
      <c r="A935" s="216">
        <v>17</v>
      </c>
      <c r="B935" s="217" t="str">
        <f>VLOOKUP(Tabel10[[#This Row],[Code]],Ruimtegroepen[[Code]:[Ruimte omschrijving]],2,FALSE)</f>
        <v>Toestelberging</v>
      </c>
      <c r="C935" s="218" t="s">
        <v>1077</v>
      </c>
      <c r="D935" s="217" t="s">
        <v>27</v>
      </c>
      <c r="E935" s="219" t="s">
        <v>100</v>
      </c>
      <c r="F935" s="218" t="s">
        <v>1079</v>
      </c>
      <c r="G935" s="263" t="s">
        <v>302</v>
      </c>
      <c r="H935" s="221" t="s">
        <v>15</v>
      </c>
      <c r="I935" s="220" t="s">
        <v>302</v>
      </c>
      <c r="J935" s="221" t="s">
        <v>302</v>
      </c>
      <c r="K935" s="221" t="s">
        <v>302</v>
      </c>
      <c r="L935" s="220" t="s">
        <v>302</v>
      </c>
      <c r="M935" s="220" t="s">
        <v>302</v>
      </c>
      <c r="N935" s="221" t="s">
        <v>302</v>
      </c>
      <c r="O935" s="222" t="s">
        <v>15</v>
      </c>
      <c r="P935" s="222" t="s">
        <v>15</v>
      </c>
      <c r="Q935" s="222" t="s">
        <v>15</v>
      </c>
      <c r="R935" s="222" t="s">
        <v>302</v>
      </c>
      <c r="S935" s="222" t="s">
        <v>302</v>
      </c>
      <c r="T935" s="222" t="s">
        <v>302</v>
      </c>
      <c r="U935" s="222" t="s">
        <v>302</v>
      </c>
      <c r="V935" s="222" t="s">
        <v>302</v>
      </c>
      <c r="W935" s="223" t="s">
        <v>302</v>
      </c>
      <c r="X935" s="223" t="s">
        <v>302</v>
      </c>
      <c r="Y935" s="224" t="s">
        <v>302</v>
      </c>
    </row>
    <row r="936" spans="1:25">
      <c r="A936" s="216">
        <v>17</v>
      </c>
      <c r="B936" s="217" t="str">
        <f>VLOOKUP(Tabel10[[#This Row],[Code]],Ruimtegroepen[[Code]:[Ruimte omschrijving]],2,FALSE)</f>
        <v>Toestelberging</v>
      </c>
      <c r="C936" s="218" t="s">
        <v>1077</v>
      </c>
      <c r="D936" s="217" t="s">
        <v>27</v>
      </c>
      <c r="E936" s="219" t="s">
        <v>102</v>
      </c>
      <c r="F936" s="218" t="s">
        <v>1080</v>
      </c>
      <c r="G936" s="263" t="s">
        <v>302</v>
      </c>
      <c r="H936" s="220" t="s">
        <v>302</v>
      </c>
      <c r="I936" s="221" t="s">
        <v>15</v>
      </c>
      <c r="J936" s="221" t="s">
        <v>302</v>
      </c>
      <c r="K936" s="221" t="s">
        <v>302</v>
      </c>
      <c r="L936" s="220" t="s">
        <v>302</v>
      </c>
      <c r="M936" s="220" t="s">
        <v>302</v>
      </c>
      <c r="N936" s="221" t="s">
        <v>302</v>
      </c>
      <c r="O936" s="222" t="s">
        <v>15</v>
      </c>
      <c r="P936" s="222" t="s">
        <v>15</v>
      </c>
      <c r="Q936" s="222" t="s">
        <v>15</v>
      </c>
      <c r="R936" s="222" t="s">
        <v>302</v>
      </c>
      <c r="S936" s="222" t="s">
        <v>302</v>
      </c>
      <c r="T936" s="222" t="s">
        <v>302</v>
      </c>
      <c r="U936" s="222" t="s">
        <v>302</v>
      </c>
      <c r="V936" s="222" t="s">
        <v>302</v>
      </c>
      <c r="W936" s="223" t="s">
        <v>302</v>
      </c>
      <c r="X936" s="223" t="s">
        <v>302</v>
      </c>
      <c r="Y936" s="224" t="s">
        <v>302</v>
      </c>
    </row>
    <row r="937" spans="1:25">
      <c r="A937" s="216">
        <v>17</v>
      </c>
      <c r="B937" s="217" t="str">
        <f>VLOOKUP(Tabel10[[#This Row],[Code]],Ruimtegroepen[[Code]:[Ruimte omschrijving]],2,FALSE)</f>
        <v>Toestelberging</v>
      </c>
      <c r="C937" s="218" t="s">
        <v>1077</v>
      </c>
      <c r="D937" s="217" t="s">
        <v>27</v>
      </c>
      <c r="E937" s="219" t="s">
        <v>103</v>
      </c>
      <c r="F937" s="218" t="s">
        <v>1081</v>
      </c>
      <c r="G937" s="263" t="s">
        <v>302</v>
      </c>
      <c r="H937" s="220" t="s">
        <v>302</v>
      </c>
      <c r="I937" s="221" t="s">
        <v>15</v>
      </c>
      <c r="J937" s="221" t="s">
        <v>302</v>
      </c>
      <c r="K937" s="221" t="s">
        <v>302</v>
      </c>
      <c r="L937" s="220" t="s">
        <v>302</v>
      </c>
      <c r="M937" s="220" t="s">
        <v>302</v>
      </c>
      <c r="N937" s="221" t="s">
        <v>302</v>
      </c>
      <c r="O937" s="222" t="s">
        <v>15</v>
      </c>
      <c r="P937" s="222" t="s">
        <v>15</v>
      </c>
      <c r="Q937" s="222" t="s">
        <v>15</v>
      </c>
      <c r="R937" s="222" t="s">
        <v>302</v>
      </c>
      <c r="S937" s="222" t="s">
        <v>302</v>
      </c>
      <c r="T937" s="222" t="s">
        <v>302</v>
      </c>
      <c r="U937" s="222" t="s">
        <v>302</v>
      </c>
      <c r="V937" s="222" t="s">
        <v>302</v>
      </c>
      <c r="W937" s="223" t="s">
        <v>302</v>
      </c>
      <c r="X937" s="223" t="s">
        <v>302</v>
      </c>
      <c r="Y937" s="224" t="s">
        <v>302</v>
      </c>
    </row>
    <row r="938" spans="1:25">
      <c r="A938" s="216">
        <v>17</v>
      </c>
      <c r="B938" s="217" t="str">
        <f>VLOOKUP(Tabel10[[#This Row],[Code]],Ruimtegroepen[[Code]:[Ruimte omschrijving]],2,FALSE)</f>
        <v>Toestelberging</v>
      </c>
      <c r="C938" s="218" t="s">
        <v>1077</v>
      </c>
      <c r="D938" s="217" t="s">
        <v>27</v>
      </c>
      <c r="E938" s="219" t="s">
        <v>100</v>
      </c>
      <c r="F938" s="218" t="s">
        <v>1079</v>
      </c>
      <c r="G938" s="263" t="s">
        <v>302</v>
      </c>
      <c r="H938" s="221" t="s">
        <v>15</v>
      </c>
      <c r="I938" s="220" t="s">
        <v>302</v>
      </c>
      <c r="J938" s="221" t="s">
        <v>302</v>
      </c>
      <c r="K938" s="221" t="s">
        <v>302</v>
      </c>
      <c r="L938" s="220" t="s">
        <v>302</v>
      </c>
      <c r="M938" s="220" t="s">
        <v>302</v>
      </c>
      <c r="N938" s="221" t="s">
        <v>302</v>
      </c>
      <c r="O938" s="222" t="s">
        <v>15</v>
      </c>
      <c r="P938" s="222" t="s">
        <v>15</v>
      </c>
      <c r="Q938" s="222" t="s">
        <v>15</v>
      </c>
      <c r="R938" s="222" t="s">
        <v>302</v>
      </c>
      <c r="S938" s="222" t="s">
        <v>302</v>
      </c>
      <c r="T938" s="222" t="s">
        <v>302</v>
      </c>
      <c r="U938" s="222" t="s">
        <v>302</v>
      </c>
      <c r="V938" s="222" t="s">
        <v>302</v>
      </c>
      <c r="W938" s="223" t="s">
        <v>302</v>
      </c>
      <c r="X938" s="223" t="s">
        <v>302</v>
      </c>
      <c r="Y938" s="224" t="s">
        <v>302</v>
      </c>
    </row>
    <row r="939" spans="1:25">
      <c r="A939" s="216">
        <v>17</v>
      </c>
      <c r="B939" s="217" t="str">
        <f>VLOOKUP(Tabel10[[#This Row],[Code]],Ruimtegroepen[[Code]:[Ruimte omschrijving]],2,FALSE)</f>
        <v>Toestelberging</v>
      </c>
      <c r="C939" s="218" t="s">
        <v>1077</v>
      </c>
      <c r="D939" s="217" t="s">
        <v>27</v>
      </c>
      <c r="E939" s="219" t="s">
        <v>1325</v>
      </c>
      <c r="F939" s="218" t="s">
        <v>1406</v>
      </c>
      <c r="G939" s="263" t="s">
        <v>302</v>
      </c>
      <c r="H939" s="220" t="s">
        <v>302</v>
      </c>
      <c r="I939" s="221" t="s">
        <v>15</v>
      </c>
      <c r="J939" s="221" t="s">
        <v>302</v>
      </c>
      <c r="K939" s="221" t="s">
        <v>302</v>
      </c>
      <c r="L939" s="220" t="s">
        <v>302</v>
      </c>
      <c r="M939" s="220" t="s">
        <v>302</v>
      </c>
      <c r="N939" s="221" t="s">
        <v>302</v>
      </c>
      <c r="O939" s="222" t="s">
        <v>15</v>
      </c>
      <c r="P939" s="222" t="s">
        <v>15</v>
      </c>
      <c r="Q939" s="222" t="s">
        <v>15</v>
      </c>
      <c r="R939" s="222" t="s">
        <v>302</v>
      </c>
      <c r="S939" s="222" t="s">
        <v>302</v>
      </c>
      <c r="T939" s="222" t="s">
        <v>302</v>
      </c>
      <c r="U939" s="222" t="s">
        <v>302</v>
      </c>
      <c r="V939" s="222" t="s">
        <v>302</v>
      </c>
      <c r="W939" s="223" t="s">
        <v>302</v>
      </c>
      <c r="X939" s="223" t="s">
        <v>302</v>
      </c>
      <c r="Y939" s="224" t="s">
        <v>302</v>
      </c>
    </row>
    <row r="940" spans="1:25">
      <c r="A940" s="216">
        <v>17</v>
      </c>
      <c r="B940" s="217" t="str">
        <f>VLOOKUP(Tabel10[[#This Row],[Code]],Ruimtegroepen[[Code]:[Ruimte omschrijving]],2,FALSE)</f>
        <v>Toestelberging</v>
      </c>
      <c r="C940" s="218" t="s">
        <v>1082</v>
      </c>
      <c r="D940" s="217" t="s">
        <v>28</v>
      </c>
      <c r="E940" s="219" t="s">
        <v>101</v>
      </c>
      <c r="F940" s="218" t="s">
        <v>1083</v>
      </c>
      <c r="G940" s="263" t="s">
        <v>302</v>
      </c>
      <c r="H940" s="220" t="s">
        <v>302</v>
      </c>
      <c r="I940" s="221" t="s">
        <v>17</v>
      </c>
      <c r="J940" s="220" t="s">
        <v>302</v>
      </c>
      <c r="K940" s="221" t="s">
        <v>302</v>
      </c>
      <c r="L940" s="220" t="s">
        <v>302</v>
      </c>
      <c r="M940" s="220" t="s">
        <v>302</v>
      </c>
      <c r="N940" s="221" t="s">
        <v>302</v>
      </c>
      <c r="O940" s="222" t="s">
        <v>17</v>
      </c>
      <c r="P940" s="222" t="s">
        <v>17</v>
      </c>
      <c r="Q940" s="222" t="s">
        <v>15</v>
      </c>
      <c r="R940" s="222" t="s">
        <v>302</v>
      </c>
      <c r="S940" s="222" t="s">
        <v>302</v>
      </c>
      <c r="T940" s="222" t="s">
        <v>302</v>
      </c>
      <c r="U940" s="222" t="s">
        <v>302</v>
      </c>
      <c r="V940" s="222" t="s">
        <v>302</v>
      </c>
      <c r="W940" s="223" t="s">
        <v>302</v>
      </c>
      <c r="X940" s="223" t="s">
        <v>302</v>
      </c>
      <c r="Y940" s="224" t="s">
        <v>302</v>
      </c>
    </row>
    <row r="941" spans="1:25">
      <c r="A941" s="216">
        <v>17</v>
      </c>
      <c r="B941" s="217" t="str">
        <f>VLOOKUP(Tabel10[[#This Row],[Code]],Ruimtegroepen[[Code]:[Ruimte omschrijving]],2,FALSE)</f>
        <v>Toestelberging</v>
      </c>
      <c r="C941" s="218" t="s">
        <v>1082</v>
      </c>
      <c r="D941" s="217" t="s">
        <v>28</v>
      </c>
      <c r="E941" s="219" t="s">
        <v>100</v>
      </c>
      <c r="F941" s="218" t="s">
        <v>1084</v>
      </c>
      <c r="G941" s="263" t="s">
        <v>302</v>
      </c>
      <c r="H941" s="221" t="s">
        <v>17</v>
      </c>
      <c r="I941" s="220" t="s">
        <v>302</v>
      </c>
      <c r="J941" s="221" t="s">
        <v>302</v>
      </c>
      <c r="K941" s="221" t="s">
        <v>302</v>
      </c>
      <c r="L941" s="220" t="s">
        <v>302</v>
      </c>
      <c r="M941" s="220" t="s">
        <v>302</v>
      </c>
      <c r="N941" s="221" t="s">
        <v>302</v>
      </c>
      <c r="O941" s="222" t="s">
        <v>17</v>
      </c>
      <c r="P941" s="222" t="s">
        <v>17</v>
      </c>
      <c r="Q941" s="222" t="s">
        <v>15</v>
      </c>
      <c r="R941" s="222" t="s">
        <v>302</v>
      </c>
      <c r="S941" s="222" t="s">
        <v>302</v>
      </c>
      <c r="T941" s="222" t="s">
        <v>302</v>
      </c>
      <c r="U941" s="222" t="s">
        <v>302</v>
      </c>
      <c r="V941" s="222" t="s">
        <v>302</v>
      </c>
      <c r="W941" s="223" t="s">
        <v>302</v>
      </c>
      <c r="X941" s="223" t="s">
        <v>302</v>
      </c>
      <c r="Y941" s="224" t="s">
        <v>302</v>
      </c>
    </row>
    <row r="942" spans="1:25">
      <c r="A942" s="216">
        <v>17</v>
      </c>
      <c r="B942" s="217" t="str">
        <f>VLOOKUP(Tabel10[[#This Row],[Code]],Ruimtegroepen[[Code]:[Ruimte omschrijving]],2,FALSE)</f>
        <v>Toestelberging</v>
      </c>
      <c r="C942" s="218" t="s">
        <v>1082</v>
      </c>
      <c r="D942" s="217" t="s">
        <v>28</v>
      </c>
      <c r="E942" s="219" t="s">
        <v>102</v>
      </c>
      <c r="F942" s="218" t="s">
        <v>1085</v>
      </c>
      <c r="G942" s="263" t="s">
        <v>302</v>
      </c>
      <c r="H942" s="220" t="s">
        <v>302</v>
      </c>
      <c r="I942" s="221" t="s">
        <v>17</v>
      </c>
      <c r="J942" s="221" t="s">
        <v>302</v>
      </c>
      <c r="K942" s="221" t="s">
        <v>302</v>
      </c>
      <c r="L942" s="220" t="s">
        <v>302</v>
      </c>
      <c r="M942" s="220" t="s">
        <v>302</v>
      </c>
      <c r="N942" s="221" t="s">
        <v>302</v>
      </c>
      <c r="O942" s="222" t="s">
        <v>17</v>
      </c>
      <c r="P942" s="222" t="s">
        <v>17</v>
      </c>
      <c r="Q942" s="222" t="s">
        <v>15</v>
      </c>
      <c r="R942" s="222" t="s">
        <v>302</v>
      </c>
      <c r="S942" s="222" t="s">
        <v>302</v>
      </c>
      <c r="T942" s="222" t="s">
        <v>302</v>
      </c>
      <c r="U942" s="222" t="s">
        <v>302</v>
      </c>
      <c r="V942" s="222" t="s">
        <v>302</v>
      </c>
      <c r="W942" s="223" t="s">
        <v>302</v>
      </c>
      <c r="X942" s="223" t="s">
        <v>302</v>
      </c>
      <c r="Y942" s="224" t="s">
        <v>302</v>
      </c>
    </row>
    <row r="943" spans="1:25">
      <c r="A943" s="216">
        <v>17</v>
      </c>
      <c r="B943" s="217" t="str">
        <f>VLOOKUP(Tabel10[[#This Row],[Code]],Ruimtegroepen[[Code]:[Ruimte omschrijving]],2,FALSE)</f>
        <v>Toestelberging</v>
      </c>
      <c r="C943" s="218" t="s">
        <v>1082</v>
      </c>
      <c r="D943" s="217" t="s">
        <v>28</v>
      </c>
      <c r="E943" s="219" t="s">
        <v>103</v>
      </c>
      <c r="F943" s="218" t="s">
        <v>1086</v>
      </c>
      <c r="G943" s="263" t="s">
        <v>302</v>
      </c>
      <c r="H943" s="220" t="s">
        <v>302</v>
      </c>
      <c r="I943" s="221" t="s">
        <v>17</v>
      </c>
      <c r="J943" s="221" t="s">
        <v>302</v>
      </c>
      <c r="K943" s="221" t="s">
        <v>302</v>
      </c>
      <c r="L943" s="220" t="s">
        <v>302</v>
      </c>
      <c r="M943" s="220" t="s">
        <v>302</v>
      </c>
      <c r="N943" s="221" t="s">
        <v>302</v>
      </c>
      <c r="O943" s="222" t="s">
        <v>17</v>
      </c>
      <c r="P943" s="222" t="s">
        <v>17</v>
      </c>
      <c r="Q943" s="222" t="s">
        <v>15</v>
      </c>
      <c r="R943" s="222" t="s">
        <v>302</v>
      </c>
      <c r="S943" s="222" t="s">
        <v>302</v>
      </c>
      <c r="T943" s="222" t="s">
        <v>302</v>
      </c>
      <c r="U943" s="222" t="s">
        <v>302</v>
      </c>
      <c r="V943" s="222" t="s">
        <v>302</v>
      </c>
      <c r="W943" s="223" t="s">
        <v>302</v>
      </c>
      <c r="X943" s="223" t="s">
        <v>302</v>
      </c>
      <c r="Y943" s="224" t="s">
        <v>302</v>
      </c>
    </row>
    <row r="944" spans="1:25">
      <c r="A944" s="216">
        <v>17</v>
      </c>
      <c r="B944" s="217" t="str">
        <f>VLOOKUP(Tabel10[[#This Row],[Code]],Ruimtegroepen[[Code]:[Ruimte omschrijving]],2,FALSE)</f>
        <v>Toestelberging</v>
      </c>
      <c r="C944" s="218" t="s">
        <v>1082</v>
      </c>
      <c r="D944" s="217" t="s">
        <v>28</v>
      </c>
      <c r="E944" s="219" t="s">
        <v>100</v>
      </c>
      <c r="F944" s="218" t="s">
        <v>1084</v>
      </c>
      <c r="G944" s="263" t="s">
        <v>302</v>
      </c>
      <c r="H944" s="221" t="s">
        <v>17</v>
      </c>
      <c r="I944" s="220" t="s">
        <v>302</v>
      </c>
      <c r="J944" s="221" t="s">
        <v>302</v>
      </c>
      <c r="K944" s="221" t="s">
        <v>302</v>
      </c>
      <c r="L944" s="220" t="s">
        <v>302</v>
      </c>
      <c r="M944" s="220" t="s">
        <v>302</v>
      </c>
      <c r="N944" s="221" t="s">
        <v>302</v>
      </c>
      <c r="O944" s="222" t="s">
        <v>17</v>
      </c>
      <c r="P944" s="222" t="s">
        <v>17</v>
      </c>
      <c r="Q944" s="222" t="s">
        <v>15</v>
      </c>
      <c r="R944" s="222" t="s">
        <v>302</v>
      </c>
      <c r="S944" s="222" t="s">
        <v>302</v>
      </c>
      <c r="T944" s="222" t="s">
        <v>302</v>
      </c>
      <c r="U944" s="222" t="s">
        <v>302</v>
      </c>
      <c r="V944" s="222" t="s">
        <v>302</v>
      </c>
      <c r="W944" s="223" t="s">
        <v>302</v>
      </c>
      <c r="X944" s="223" t="s">
        <v>302</v>
      </c>
      <c r="Y944" s="224" t="s">
        <v>302</v>
      </c>
    </row>
    <row r="945" spans="1:25">
      <c r="A945" s="216">
        <v>17</v>
      </c>
      <c r="B945" s="217" t="str">
        <f>VLOOKUP(Tabel10[[#This Row],[Code]],Ruimtegroepen[[Code]:[Ruimte omschrijving]],2,FALSE)</f>
        <v>Toestelberging</v>
      </c>
      <c r="C945" s="218" t="s">
        <v>1082</v>
      </c>
      <c r="D945" s="217" t="s">
        <v>28</v>
      </c>
      <c r="E945" s="219" t="s">
        <v>1325</v>
      </c>
      <c r="F945" s="218" t="s">
        <v>1439</v>
      </c>
      <c r="G945" s="263" t="s">
        <v>302</v>
      </c>
      <c r="H945" s="220" t="s">
        <v>302</v>
      </c>
      <c r="I945" s="221" t="s">
        <v>17</v>
      </c>
      <c r="J945" s="221" t="s">
        <v>302</v>
      </c>
      <c r="K945" s="221" t="s">
        <v>302</v>
      </c>
      <c r="L945" s="220" t="s">
        <v>302</v>
      </c>
      <c r="M945" s="220" t="s">
        <v>302</v>
      </c>
      <c r="N945" s="221" t="s">
        <v>302</v>
      </c>
      <c r="O945" s="222" t="s">
        <v>17</v>
      </c>
      <c r="P945" s="222" t="s">
        <v>17</v>
      </c>
      <c r="Q945" s="222" t="s">
        <v>15</v>
      </c>
      <c r="R945" s="222" t="s">
        <v>302</v>
      </c>
      <c r="S945" s="222" t="s">
        <v>302</v>
      </c>
      <c r="T945" s="222" t="s">
        <v>302</v>
      </c>
      <c r="U945" s="222" t="s">
        <v>302</v>
      </c>
      <c r="V945" s="222" t="s">
        <v>302</v>
      </c>
      <c r="W945" s="223" t="s">
        <v>302</v>
      </c>
      <c r="X945" s="223" t="s">
        <v>302</v>
      </c>
      <c r="Y945" s="224" t="s">
        <v>302</v>
      </c>
    </row>
    <row r="946" spans="1:25">
      <c r="A946" s="216">
        <v>18</v>
      </c>
      <c r="B946" s="217" t="str">
        <f>VLOOKUP(Tabel10[[#This Row],[Code]],Ruimtegroepen[[Code]:[Ruimte omschrijving]],2,FALSE)</f>
        <v>Gymzaal</v>
      </c>
      <c r="C946" s="218" t="s">
        <v>1087</v>
      </c>
      <c r="D946" s="217" t="s">
        <v>29</v>
      </c>
      <c r="E946" s="219" t="s">
        <v>101</v>
      </c>
      <c r="F946" s="218" t="s">
        <v>1088</v>
      </c>
      <c r="G946" s="263" t="s">
        <v>302</v>
      </c>
      <c r="H946" s="220" t="s">
        <v>302</v>
      </c>
      <c r="I946" s="220" t="s">
        <v>20</v>
      </c>
      <c r="J946" s="221" t="s">
        <v>15</v>
      </c>
      <c r="K946" s="221" t="s">
        <v>302</v>
      </c>
      <c r="L946" s="220" t="s">
        <v>302</v>
      </c>
      <c r="M946" s="220" t="s">
        <v>302</v>
      </c>
      <c r="N946" s="221" t="s">
        <v>2</v>
      </c>
      <c r="O946" s="222" t="s">
        <v>2</v>
      </c>
      <c r="P946" s="222" t="s">
        <v>2</v>
      </c>
      <c r="Q946" s="222" t="s">
        <v>2</v>
      </c>
      <c r="R946" s="222" t="s">
        <v>2</v>
      </c>
      <c r="S946" s="222" t="s">
        <v>16</v>
      </c>
      <c r="T946" s="222" t="s">
        <v>349</v>
      </c>
      <c r="U946" s="222" t="s">
        <v>269</v>
      </c>
      <c r="V946" s="222" t="s">
        <v>2</v>
      </c>
      <c r="W946" s="223" t="s">
        <v>302</v>
      </c>
      <c r="X946" s="223" t="s">
        <v>302</v>
      </c>
      <c r="Y946" s="224" t="s">
        <v>302</v>
      </c>
    </row>
    <row r="947" spans="1:25">
      <c r="A947" s="216">
        <v>18</v>
      </c>
      <c r="B947" s="217" t="str">
        <f>VLOOKUP(Tabel10[[#This Row],[Code]],Ruimtegroepen[[Code]:[Ruimte omschrijving]],2,FALSE)</f>
        <v>Gymzaal</v>
      </c>
      <c r="C947" s="218" t="s">
        <v>1087</v>
      </c>
      <c r="D947" s="217" t="s">
        <v>29</v>
      </c>
      <c r="E947" s="219" t="s">
        <v>100</v>
      </c>
      <c r="F947" s="218" t="s">
        <v>1089</v>
      </c>
      <c r="G947" s="221" t="s">
        <v>20</v>
      </c>
      <c r="H947" s="221" t="s">
        <v>15</v>
      </c>
      <c r="I947" s="220" t="s">
        <v>302</v>
      </c>
      <c r="J947" s="221" t="s">
        <v>302</v>
      </c>
      <c r="K947" s="221" t="s">
        <v>302</v>
      </c>
      <c r="L947" s="220" t="s">
        <v>302</v>
      </c>
      <c r="M947" s="220" t="s">
        <v>302</v>
      </c>
      <c r="N947" s="221" t="s">
        <v>2</v>
      </c>
      <c r="O947" s="222" t="s">
        <v>2</v>
      </c>
      <c r="P947" s="222" t="s">
        <v>2</v>
      </c>
      <c r="Q947" s="222" t="s">
        <v>2</v>
      </c>
      <c r="R947" s="222" t="s">
        <v>2</v>
      </c>
      <c r="S947" s="222" t="s">
        <v>16</v>
      </c>
      <c r="T947" s="222" t="s">
        <v>349</v>
      </c>
      <c r="U947" s="222" t="s">
        <v>269</v>
      </c>
      <c r="V947" s="222" t="s">
        <v>2</v>
      </c>
      <c r="W947" s="223" t="s">
        <v>302</v>
      </c>
      <c r="X947" s="223" t="s">
        <v>302</v>
      </c>
      <c r="Y947" s="224" t="s">
        <v>302</v>
      </c>
    </row>
    <row r="948" spans="1:25">
      <c r="A948" s="216">
        <v>18</v>
      </c>
      <c r="B948" s="217" t="str">
        <f>VLOOKUP(Tabel10[[#This Row],[Code]],Ruimtegroepen[[Code]:[Ruimte omschrijving]],2,FALSE)</f>
        <v>Gymzaal</v>
      </c>
      <c r="C948" s="218" t="s">
        <v>1087</v>
      </c>
      <c r="D948" s="217" t="s">
        <v>29</v>
      </c>
      <c r="E948" s="219" t="s">
        <v>102</v>
      </c>
      <c r="F948" s="218" t="s">
        <v>1090</v>
      </c>
      <c r="G948" s="263" t="s">
        <v>302</v>
      </c>
      <c r="H948" s="220" t="s">
        <v>302</v>
      </c>
      <c r="I948" s="220" t="s">
        <v>20</v>
      </c>
      <c r="J948" s="221" t="s">
        <v>15</v>
      </c>
      <c r="K948" s="220" t="s">
        <v>303</v>
      </c>
      <c r="L948" s="220" t="s">
        <v>302</v>
      </c>
      <c r="M948" s="220" t="s">
        <v>302</v>
      </c>
      <c r="N948" s="221" t="s">
        <v>2</v>
      </c>
      <c r="O948" s="222" t="s">
        <v>2</v>
      </c>
      <c r="P948" s="222" t="s">
        <v>2</v>
      </c>
      <c r="Q948" s="222" t="s">
        <v>2</v>
      </c>
      <c r="R948" s="222" t="s">
        <v>2</v>
      </c>
      <c r="S948" s="222" t="s">
        <v>16</v>
      </c>
      <c r="T948" s="222" t="s">
        <v>349</v>
      </c>
      <c r="U948" s="222" t="s">
        <v>269</v>
      </c>
      <c r="V948" s="222" t="s">
        <v>2</v>
      </c>
      <c r="W948" s="223" t="s">
        <v>302</v>
      </c>
      <c r="X948" s="223" t="s">
        <v>302</v>
      </c>
      <c r="Y948" s="224" t="s">
        <v>302</v>
      </c>
    </row>
    <row r="949" spans="1:25">
      <c r="A949" s="216">
        <v>18</v>
      </c>
      <c r="B949" s="217" t="str">
        <f>VLOOKUP(Tabel10[[#This Row],[Code]],Ruimtegroepen[[Code]:[Ruimte omschrijving]],2,FALSE)</f>
        <v>Gymzaal</v>
      </c>
      <c r="C949" s="218" t="s">
        <v>1087</v>
      </c>
      <c r="D949" s="217" t="s">
        <v>29</v>
      </c>
      <c r="E949" s="219" t="s">
        <v>103</v>
      </c>
      <c r="F949" s="218" t="s">
        <v>1091</v>
      </c>
      <c r="G949" s="263" t="s">
        <v>302</v>
      </c>
      <c r="H949" s="220" t="s">
        <v>302</v>
      </c>
      <c r="I949" s="220" t="s">
        <v>20</v>
      </c>
      <c r="J949" s="221" t="s">
        <v>15</v>
      </c>
      <c r="K949" s="220" t="s">
        <v>303</v>
      </c>
      <c r="L949" s="220" t="s">
        <v>302</v>
      </c>
      <c r="M949" s="220" t="s">
        <v>302</v>
      </c>
      <c r="N949" s="221" t="s">
        <v>2</v>
      </c>
      <c r="O949" s="222" t="s">
        <v>2</v>
      </c>
      <c r="P949" s="222" t="s">
        <v>2</v>
      </c>
      <c r="Q949" s="222" t="s">
        <v>2</v>
      </c>
      <c r="R949" s="222" t="s">
        <v>2</v>
      </c>
      <c r="S949" s="222" t="s">
        <v>16</v>
      </c>
      <c r="T949" s="222" t="s">
        <v>349</v>
      </c>
      <c r="U949" s="222" t="s">
        <v>269</v>
      </c>
      <c r="V949" s="222" t="s">
        <v>2</v>
      </c>
      <c r="W949" s="223" t="s">
        <v>302</v>
      </c>
      <c r="X949" s="223" t="s">
        <v>302</v>
      </c>
      <c r="Y949" s="224" t="s">
        <v>302</v>
      </c>
    </row>
    <row r="950" spans="1:25">
      <c r="A950" s="216">
        <v>18</v>
      </c>
      <c r="B950" s="217" t="str">
        <f>VLOOKUP(Tabel10[[#This Row],[Code]],Ruimtegroepen[[Code]:[Ruimte omschrijving]],2,FALSE)</f>
        <v>Gymzaal</v>
      </c>
      <c r="C950" s="218" t="s">
        <v>1087</v>
      </c>
      <c r="D950" s="217" t="s">
        <v>29</v>
      </c>
      <c r="E950" s="219" t="s">
        <v>100</v>
      </c>
      <c r="F950" s="218" t="s">
        <v>1089</v>
      </c>
      <c r="G950" s="263" t="s">
        <v>302</v>
      </c>
      <c r="H950" s="221" t="s">
        <v>2</v>
      </c>
      <c r="I950" s="220" t="s">
        <v>302</v>
      </c>
      <c r="J950" s="221" t="s">
        <v>302</v>
      </c>
      <c r="K950" s="221" t="s">
        <v>302</v>
      </c>
      <c r="L950" s="220" t="s">
        <v>302</v>
      </c>
      <c r="M950" s="220" t="s">
        <v>302</v>
      </c>
      <c r="N950" s="221" t="s">
        <v>2</v>
      </c>
      <c r="O950" s="222" t="s">
        <v>2</v>
      </c>
      <c r="P950" s="222" t="s">
        <v>2</v>
      </c>
      <c r="Q950" s="222" t="s">
        <v>2</v>
      </c>
      <c r="R950" s="222" t="s">
        <v>2</v>
      </c>
      <c r="S950" s="222" t="s">
        <v>16</v>
      </c>
      <c r="T950" s="222" t="s">
        <v>349</v>
      </c>
      <c r="U950" s="222" t="s">
        <v>269</v>
      </c>
      <c r="V950" s="222" t="s">
        <v>2</v>
      </c>
      <c r="W950" s="223" t="s">
        <v>302</v>
      </c>
      <c r="X950" s="223" t="s">
        <v>302</v>
      </c>
      <c r="Y950" s="224" t="s">
        <v>302</v>
      </c>
    </row>
    <row r="951" spans="1:25">
      <c r="A951" s="216">
        <v>18</v>
      </c>
      <c r="B951" s="217" t="str">
        <f>VLOOKUP(Tabel10[[#This Row],[Code]],Ruimtegroepen[[Code]:[Ruimte omschrijving]],2,FALSE)</f>
        <v>Gymzaal</v>
      </c>
      <c r="C951" s="218" t="s">
        <v>1087</v>
      </c>
      <c r="D951" s="217" t="s">
        <v>29</v>
      </c>
      <c r="E951" s="219" t="s">
        <v>1325</v>
      </c>
      <c r="F951" s="218" t="s">
        <v>1507</v>
      </c>
      <c r="G951" s="263" t="s">
        <v>302</v>
      </c>
      <c r="H951" s="220" t="s">
        <v>302</v>
      </c>
      <c r="I951" s="220" t="s">
        <v>20</v>
      </c>
      <c r="J951" s="221" t="s">
        <v>15</v>
      </c>
      <c r="K951" s="220" t="s">
        <v>303</v>
      </c>
      <c r="L951" s="220" t="s">
        <v>302</v>
      </c>
      <c r="M951" s="220" t="s">
        <v>302</v>
      </c>
      <c r="N951" s="221" t="s">
        <v>2</v>
      </c>
      <c r="O951" s="222" t="s">
        <v>2</v>
      </c>
      <c r="P951" s="222" t="s">
        <v>2</v>
      </c>
      <c r="Q951" s="222" t="s">
        <v>2</v>
      </c>
      <c r="R951" s="222" t="s">
        <v>2</v>
      </c>
      <c r="S951" s="222" t="s">
        <v>16</v>
      </c>
      <c r="T951" s="222" t="s">
        <v>349</v>
      </c>
      <c r="U951" s="222" t="s">
        <v>269</v>
      </c>
      <c r="V951" s="222" t="s">
        <v>2</v>
      </c>
      <c r="W951" s="223" t="s">
        <v>302</v>
      </c>
      <c r="X951" s="223" t="s">
        <v>302</v>
      </c>
      <c r="Y951" s="224" t="s">
        <v>302</v>
      </c>
    </row>
    <row r="952" spans="1:25">
      <c r="A952" s="216">
        <v>18</v>
      </c>
      <c r="B952" s="217" t="str">
        <f>VLOOKUP(Tabel10[[#This Row],[Code]],Ruimtegroepen[[Code]:[Ruimte omschrijving]],2,FALSE)</f>
        <v>Gymzaal</v>
      </c>
      <c r="C952" s="218" t="s">
        <v>1092</v>
      </c>
      <c r="D952" s="217" t="s">
        <v>1</v>
      </c>
      <c r="E952" s="219" t="s">
        <v>101</v>
      </c>
      <c r="F952" s="218" t="s">
        <v>1093</v>
      </c>
      <c r="G952" s="263" t="s">
        <v>302</v>
      </c>
      <c r="H952" s="220" t="s">
        <v>302</v>
      </c>
      <c r="I952" s="220" t="s">
        <v>20</v>
      </c>
      <c r="J952" s="221" t="s">
        <v>15</v>
      </c>
      <c r="K952" s="221" t="s">
        <v>302</v>
      </c>
      <c r="L952" s="220" t="s">
        <v>302</v>
      </c>
      <c r="M952" s="220" t="s">
        <v>302</v>
      </c>
      <c r="N952" s="221" t="s">
        <v>302</v>
      </c>
      <c r="O952" s="222" t="s">
        <v>2</v>
      </c>
      <c r="P952" s="222" t="s">
        <v>2</v>
      </c>
      <c r="Q952" s="222" t="s">
        <v>2</v>
      </c>
      <c r="R952" s="222" t="s">
        <v>2</v>
      </c>
      <c r="S952" s="222" t="s">
        <v>16</v>
      </c>
      <c r="T952" s="222" t="s">
        <v>349</v>
      </c>
      <c r="U952" s="222" t="s">
        <v>269</v>
      </c>
      <c r="V952" s="222" t="s">
        <v>302</v>
      </c>
      <c r="W952" s="223" t="s">
        <v>302</v>
      </c>
      <c r="X952" s="223" t="s">
        <v>302</v>
      </c>
      <c r="Y952" s="224" t="s">
        <v>302</v>
      </c>
    </row>
    <row r="953" spans="1:25">
      <c r="A953" s="216">
        <v>18</v>
      </c>
      <c r="B953" s="217" t="str">
        <f>VLOOKUP(Tabel10[[#This Row],[Code]],Ruimtegroepen[[Code]:[Ruimte omschrijving]],2,FALSE)</f>
        <v>Gymzaal</v>
      </c>
      <c r="C953" s="218" t="s">
        <v>1092</v>
      </c>
      <c r="D953" s="217" t="s">
        <v>1</v>
      </c>
      <c r="E953" s="219" t="s">
        <v>100</v>
      </c>
      <c r="F953" s="218" t="s">
        <v>1094</v>
      </c>
      <c r="G953" s="221" t="s">
        <v>20</v>
      </c>
      <c r="H953" s="221" t="s">
        <v>15</v>
      </c>
      <c r="I953" s="220" t="s">
        <v>302</v>
      </c>
      <c r="J953" s="221" t="s">
        <v>302</v>
      </c>
      <c r="K953" s="221" t="s">
        <v>302</v>
      </c>
      <c r="L953" s="220" t="s">
        <v>302</v>
      </c>
      <c r="M953" s="220" t="s">
        <v>302</v>
      </c>
      <c r="N953" s="221" t="s">
        <v>302</v>
      </c>
      <c r="O953" s="222" t="s">
        <v>2</v>
      </c>
      <c r="P953" s="222" t="s">
        <v>2</v>
      </c>
      <c r="Q953" s="222" t="s">
        <v>2</v>
      </c>
      <c r="R953" s="222" t="s">
        <v>2</v>
      </c>
      <c r="S953" s="222" t="s">
        <v>16</v>
      </c>
      <c r="T953" s="222" t="s">
        <v>349</v>
      </c>
      <c r="U953" s="222" t="s">
        <v>269</v>
      </c>
      <c r="V953" s="222" t="s">
        <v>302</v>
      </c>
      <c r="W953" s="223" t="s">
        <v>302</v>
      </c>
      <c r="X953" s="223" t="s">
        <v>302</v>
      </c>
      <c r="Y953" s="224" t="s">
        <v>302</v>
      </c>
    </row>
    <row r="954" spans="1:25">
      <c r="A954" s="216">
        <v>18</v>
      </c>
      <c r="B954" s="217" t="str">
        <f>VLOOKUP(Tabel10[[#This Row],[Code]],Ruimtegroepen[[Code]:[Ruimte omschrijving]],2,FALSE)</f>
        <v>Gymzaal</v>
      </c>
      <c r="C954" s="218" t="s">
        <v>1092</v>
      </c>
      <c r="D954" s="217" t="s">
        <v>1</v>
      </c>
      <c r="E954" s="219" t="s">
        <v>102</v>
      </c>
      <c r="F954" s="218" t="s">
        <v>1095</v>
      </c>
      <c r="G954" s="263" t="s">
        <v>302</v>
      </c>
      <c r="H954" s="220" t="s">
        <v>302</v>
      </c>
      <c r="I954" s="220" t="s">
        <v>20</v>
      </c>
      <c r="J954" s="221" t="s">
        <v>15</v>
      </c>
      <c r="K954" s="220" t="s">
        <v>303</v>
      </c>
      <c r="L954" s="220" t="s">
        <v>302</v>
      </c>
      <c r="M954" s="220" t="s">
        <v>302</v>
      </c>
      <c r="N954" s="221" t="s">
        <v>302</v>
      </c>
      <c r="O954" s="222" t="s">
        <v>2</v>
      </c>
      <c r="P954" s="222" t="s">
        <v>2</v>
      </c>
      <c r="Q954" s="222" t="s">
        <v>2</v>
      </c>
      <c r="R954" s="222" t="s">
        <v>2</v>
      </c>
      <c r="S954" s="222" t="s">
        <v>16</v>
      </c>
      <c r="T954" s="222" t="s">
        <v>349</v>
      </c>
      <c r="U954" s="222" t="s">
        <v>269</v>
      </c>
      <c r="V954" s="222" t="s">
        <v>302</v>
      </c>
      <c r="W954" s="223" t="s">
        <v>302</v>
      </c>
      <c r="X954" s="223" t="s">
        <v>302</v>
      </c>
      <c r="Y954" s="224" t="s">
        <v>302</v>
      </c>
    </row>
    <row r="955" spans="1:25">
      <c r="A955" s="216">
        <v>18</v>
      </c>
      <c r="B955" s="217" t="str">
        <f>VLOOKUP(Tabel10[[#This Row],[Code]],Ruimtegroepen[[Code]:[Ruimte omschrijving]],2,FALSE)</f>
        <v>Gymzaal</v>
      </c>
      <c r="C955" s="218" t="s">
        <v>1092</v>
      </c>
      <c r="D955" s="217" t="s">
        <v>1</v>
      </c>
      <c r="E955" s="219" t="s">
        <v>103</v>
      </c>
      <c r="F955" s="218" t="s">
        <v>1096</v>
      </c>
      <c r="G955" s="263" t="s">
        <v>302</v>
      </c>
      <c r="H955" s="220" t="s">
        <v>302</v>
      </c>
      <c r="I955" s="220" t="s">
        <v>20</v>
      </c>
      <c r="J955" s="221" t="s">
        <v>15</v>
      </c>
      <c r="K955" s="220" t="s">
        <v>303</v>
      </c>
      <c r="L955" s="220" t="s">
        <v>302</v>
      </c>
      <c r="M955" s="220" t="s">
        <v>302</v>
      </c>
      <c r="N955" s="221" t="s">
        <v>302</v>
      </c>
      <c r="O955" s="222" t="s">
        <v>2</v>
      </c>
      <c r="P955" s="222" t="s">
        <v>2</v>
      </c>
      <c r="Q955" s="222" t="s">
        <v>2</v>
      </c>
      <c r="R955" s="222" t="s">
        <v>2</v>
      </c>
      <c r="S955" s="222" t="s">
        <v>16</v>
      </c>
      <c r="T955" s="222" t="s">
        <v>349</v>
      </c>
      <c r="U955" s="222" t="s">
        <v>269</v>
      </c>
      <c r="V955" s="222" t="s">
        <v>302</v>
      </c>
      <c r="W955" s="223" t="s">
        <v>302</v>
      </c>
      <c r="X955" s="223" t="s">
        <v>302</v>
      </c>
      <c r="Y955" s="224" t="s">
        <v>302</v>
      </c>
    </row>
    <row r="956" spans="1:25">
      <c r="A956" s="216">
        <v>18</v>
      </c>
      <c r="B956" s="217" t="str">
        <f>VLOOKUP(Tabel10[[#This Row],[Code]],Ruimtegroepen[[Code]:[Ruimte omschrijving]],2,FALSE)</f>
        <v>Gymzaal</v>
      </c>
      <c r="C956" s="218" t="s">
        <v>1092</v>
      </c>
      <c r="D956" s="217" t="s">
        <v>1</v>
      </c>
      <c r="E956" s="219" t="s">
        <v>100</v>
      </c>
      <c r="F956" s="218" t="s">
        <v>1094</v>
      </c>
      <c r="G956" s="263" t="s">
        <v>302</v>
      </c>
      <c r="H956" s="221" t="s">
        <v>2</v>
      </c>
      <c r="I956" s="220" t="s">
        <v>302</v>
      </c>
      <c r="J956" s="221" t="s">
        <v>302</v>
      </c>
      <c r="K956" s="221" t="s">
        <v>302</v>
      </c>
      <c r="L956" s="220" t="s">
        <v>302</v>
      </c>
      <c r="M956" s="220" t="s">
        <v>302</v>
      </c>
      <c r="N956" s="221" t="s">
        <v>302</v>
      </c>
      <c r="O956" s="222" t="s">
        <v>2</v>
      </c>
      <c r="P956" s="222" t="s">
        <v>2</v>
      </c>
      <c r="Q956" s="222" t="s">
        <v>2</v>
      </c>
      <c r="R956" s="222" t="s">
        <v>2</v>
      </c>
      <c r="S956" s="222" t="s">
        <v>16</v>
      </c>
      <c r="T956" s="222" t="s">
        <v>349</v>
      </c>
      <c r="U956" s="222" t="s">
        <v>269</v>
      </c>
      <c r="V956" s="222" t="s">
        <v>302</v>
      </c>
      <c r="W956" s="223" t="s">
        <v>302</v>
      </c>
      <c r="X956" s="223" t="s">
        <v>302</v>
      </c>
      <c r="Y956" s="224" t="s">
        <v>302</v>
      </c>
    </row>
    <row r="957" spans="1:25">
      <c r="A957" s="216">
        <v>18</v>
      </c>
      <c r="B957" s="217" t="str">
        <f>VLOOKUP(Tabel10[[#This Row],[Code]],Ruimtegroepen[[Code]:[Ruimte omschrijving]],2,FALSE)</f>
        <v>Gymzaal</v>
      </c>
      <c r="C957" s="218" t="s">
        <v>1092</v>
      </c>
      <c r="D957" s="217" t="s">
        <v>1</v>
      </c>
      <c r="E957" s="219" t="s">
        <v>1325</v>
      </c>
      <c r="F957" s="218" t="s">
        <v>1491</v>
      </c>
      <c r="G957" s="263" t="s">
        <v>302</v>
      </c>
      <c r="H957" s="220" t="s">
        <v>302</v>
      </c>
      <c r="I957" s="220" t="s">
        <v>20</v>
      </c>
      <c r="J957" s="221" t="s">
        <v>15</v>
      </c>
      <c r="K957" s="220" t="s">
        <v>303</v>
      </c>
      <c r="L957" s="220" t="s">
        <v>302</v>
      </c>
      <c r="M957" s="220" t="s">
        <v>302</v>
      </c>
      <c r="N957" s="221" t="s">
        <v>302</v>
      </c>
      <c r="O957" s="222" t="s">
        <v>2</v>
      </c>
      <c r="P957" s="222" t="s">
        <v>2</v>
      </c>
      <c r="Q957" s="222" t="s">
        <v>2</v>
      </c>
      <c r="R957" s="222" t="s">
        <v>2</v>
      </c>
      <c r="S957" s="222" t="s">
        <v>16</v>
      </c>
      <c r="T957" s="222" t="s">
        <v>349</v>
      </c>
      <c r="U957" s="222" t="s">
        <v>269</v>
      </c>
      <c r="V957" s="222" t="s">
        <v>302</v>
      </c>
      <c r="W957" s="223" t="s">
        <v>302</v>
      </c>
      <c r="X957" s="223" t="s">
        <v>302</v>
      </c>
      <c r="Y957" s="224" t="s">
        <v>302</v>
      </c>
    </row>
    <row r="958" spans="1:25">
      <c r="A958" s="216">
        <v>18</v>
      </c>
      <c r="B958" s="217" t="str">
        <f>VLOOKUP(Tabel10[[#This Row],[Code]],Ruimtegroepen[[Code]:[Ruimte omschrijving]],2,FALSE)</f>
        <v>Gymzaal</v>
      </c>
      <c r="C958" s="218" t="s">
        <v>1097</v>
      </c>
      <c r="D958" s="217" t="s">
        <v>21</v>
      </c>
      <c r="E958" s="219" t="s">
        <v>101</v>
      </c>
      <c r="F958" s="218" t="s">
        <v>1098</v>
      </c>
      <c r="G958" s="263" t="s">
        <v>302</v>
      </c>
      <c r="H958" s="220" t="s">
        <v>302</v>
      </c>
      <c r="I958" s="220" t="s">
        <v>18</v>
      </c>
      <c r="J958" s="221" t="s">
        <v>15</v>
      </c>
      <c r="K958" s="221" t="s">
        <v>302</v>
      </c>
      <c r="L958" s="220" t="s">
        <v>302</v>
      </c>
      <c r="M958" s="220" t="s">
        <v>302</v>
      </c>
      <c r="N958" s="221" t="s">
        <v>302</v>
      </c>
      <c r="O958" s="222" t="s">
        <v>20</v>
      </c>
      <c r="P958" s="222" t="s">
        <v>20</v>
      </c>
      <c r="Q958" s="222" t="s">
        <v>20</v>
      </c>
      <c r="R958" s="222" t="s">
        <v>15</v>
      </c>
      <c r="S958" s="222" t="s">
        <v>16</v>
      </c>
      <c r="T958" s="222" t="s">
        <v>349</v>
      </c>
      <c r="U958" s="222" t="s">
        <v>269</v>
      </c>
      <c r="V958" s="222" t="s">
        <v>302</v>
      </c>
      <c r="W958" s="223" t="s">
        <v>302</v>
      </c>
      <c r="X958" s="223" t="s">
        <v>302</v>
      </c>
      <c r="Y958" s="224" t="s">
        <v>302</v>
      </c>
    </row>
    <row r="959" spans="1:25">
      <c r="A959" s="216">
        <v>18</v>
      </c>
      <c r="B959" s="217" t="str">
        <f>VLOOKUP(Tabel10[[#This Row],[Code]],Ruimtegroepen[[Code]:[Ruimte omschrijving]],2,FALSE)</f>
        <v>Gymzaal</v>
      </c>
      <c r="C959" s="218" t="s">
        <v>1097</v>
      </c>
      <c r="D959" s="217" t="s">
        <v>21</v>
      </c>
      <c r="E959" s="219" t="s">
        <v>100</v>
      </c>
      <c r="F959" s="218" t="s">
        <v>1099</v>
      </c>
      <c r="G959" s="221" t="s">
        <v>18</v>
      </c>
      <c r="H959" s="221" t="s">
        <v>15</v>
      </c>
      <c r="I959" s="220" t="s">
        <v>302</v>
      </c>
      <c r="J959" s="221" t="s">
        <v>302</v>
      </c>
      <c r="K959" s="221" t="s">
        <v>302</v>
      </c>
      <c r="L959" s="220" t="s">
        <v>302</v>
      </c>
      <c r="M959" s="220" t="s">
        <v>302</v>
      </c>
      <c r="N959" s="221" t="s">
        <v>302</v>
      </c>
      <c r="O959" s="222" t="s">
        <v>20</v>
      </c>
      <c r="P959" s="222" t="s">
        <v>20</v>
      </c>
      <c r="Q959" s="222" t="s">
        <v>20</v>
      </c>
      <c r="R959" s="222" t="s">
        <v>15</v>
      </c>
      <c r="S959" s="222" t="s">
        <v>16</v>
      </c>
      <c r="T959" s="222" t="s">
        <v>349</v>
      </c>
      <c r="U959" s="222" t="s">
        <v>269</v>
      </c>
      <c r="V959" s="222" t="s">
        <v>302</v>
      </c>
      <c r="W959" s="223" t="s">
        <v>302</v>
      </c>
      <c r="X959" s="223" t="s">
        <v>302</v>
      </c>
      <c r="Y959" s="224" t="s">
        <v>302</v>
      </c>
    </row>
    <row r="960" spans="1:25">
      <c r="A960" s="216">
        <v>18</v>
      </c>
      <c r="B960" s="217" t="str">
        <f>VLOOKUP(Tabel10[[#This Row],[Code]],Ruimtegroepen[[Code]:[Ruimte omschrijving]],2,FALSE)</f>
        <v>Gymzaal</v>
      </c>
      <c r="C960" s="218" t="s">
        <v>1097</v>
      </c>
      <c r="D960" s="217" t="s">
        <v>21</v>
      </c>
      <c r="E960" s="219" t="s">
        <v>102</v>
      </c>
      <c r="F960" s="218" t="s">
        <v>1100</v>
      </c>
      <c r="G960" s="263" t="s">
        <v>302</v>
      </c>
      <c r="H960" s="220" t="s">
        <v>302</v>
      </c>
      <c r="I960" s="220" t="s">
        <v>18</v>
      </c>
      <c r="J960" s="221" t="s">
        <v>15</v>
      </c>
      <c r="K960" s="220" t="s">
        <v>303</v>
      </c>
      <c r="L960" s="220" t="s">
        <v>302</v>
      </c>
      <c r="M960" s="220" t="s">
        <v>302</v>
      </c>
      <c r="N960" s="221" t="s">
        <v>302</v>
      </c>
      <c r="O960" s="222" t="s">
        <v>20</v>
      </c>
      <c r="P960" s="222" t="s">
        <v>20</v>
      </c>
      <c r="Q960" s="222" t="s">
        <v>20</v>
      </c>
      <c r="R960" s="222" t="s">
        <v>15</v>
      </c>
      <c r="S960" s="222" t="s">
        <v>16</v>
      </c>
      <c r="T960" s="222" t="s">
        <v>349</v>
      </c>
      <c r="U960" s="222" t="s">
        <v>269</v>
      </c>
      <c r="V960" s="222" t="s">
        <v>302</v>
      </c>
      <c r="W960" s="223" t="s">
        <v>302</v>
      </c>
      <c r="X960" s="223" t="s">
        <v>302</v>
      </c>
      <c r="Y960" s="224" t="s">
        <v>302</v>
      </c>
    </row>
    <row r="961" spans="1:25">
      <c r="A961" s="216">
        <v>18</v>
      </c>
      <c r="B961" s="217" t="str">
        <f>VLOOKUP(Tabel10[[#This Row],[Code]],Ruimtegroepen[[Code]:[Ruimte omschrijving]],2,FALSE)</f>
        <v>Gymzaal</v>
      </c>
      <c r="C961" s="218" t="s">
        <v>1097</v>
      </c>
      <c r="D961" s="217" t="s">
        <v>21</v>
      </c>
      <c r="E961" s="219" t="s">
        <v>103</v>
      </c>
      <c r="F961" s="218" t="s">
        <v>1101</v>
      </c>
      <c r="G961" s="263" t="s">
        <v>302</v>
      </c>
      <c r="H961" s="220" t="s">
        <v>302</v>
      </c>
      <c r="I961" s="220" t="s">
        <v>18</v>
      </c>
      <c r="J961" s="221" t="s">
        <v>15</v>
      </c>
      <c r="K961" s="220" t="s">
        <v>303</v>
      </c>
      <c r="L961" s="220" t="s">
        <v>302</v>
      </c>
      <c r="M961" s="220" t="s">
        <v>302</v>
      </c>
      <c r="N961" s="221" t="s">
        <v>302</v>
      </c>
      <c r="O961" s="222" t="s">
        <v>20</v>
      </c>
      <c r="P961" s="222" t="s">
        <v>20</v>
      </c>
      <c r="Q961" s="222" t="s">
        <v>20</v>
      </c>
      <c r="R961" s="222" t="s">
        <v>15</v>
      </c>
      <c r="S961" s="222" t="s">
        <v>16</v>
      </c>
      <c r="T961" s="222" t="s">
        <v>349</v>
      </c>
      <c r="U961" s="222" t="s">
        <v>269</v>
      </c>
      <c r="V961" s="222" t="s">
        <v>302</v>
      </c>
      <c r="W961" s="223" t="s">
        <v>302</v>
      </c>
      <c r="X961" s="223" t="s">
        <v>302</v>
      </c>
      <c r="Y961" s="224" t="s">
        <v>302</v>
      </c>
    </row>
    <row r="962" spans="1:25">
      <c r="A962" s="216">
        <v>18</v>
      </c>
      <c r="B962" s="217" t="str">
        <f>VLOOKUP(Tabel10[[#This Row],[Code]],Ruimtegroepen[[Code]:[Ruimte omschrijving]],2,FALSE)</f>
        <v>Gymzaal</v>
      </c>
      <c r="C962" s="218" t="s">
        <v>1097</v>
      </c>
      <c r="D962" s="217" t="s">
        <v>21</v>
      </c>
      <c r="E962" s="219" t="s">
        <v>100</v>
      </c>
      <c r="F962" s="218" t="s">
        <v>1099</v>
      </c>
      <c r="G962" s="263" t="s">
        <v>302</v>
      </c>
      <c r="H962" s="221" t="s">
        <v>20</v>
      </c>
      <c r="I962" s="220" t="s">
        <v>302</v>
      </c>
      <c r="J962" s="221" t="s">
        <v>302</v>
      </c>
      <c r="K962" s="221" t="s">
        <v>302</v>
      </c>
      <c r="L962" s="220" t="s">
        <v>302</v>
      </c>
      <c r="M962" s="220" t="s">
        <v>302</v>
      </c>
      <c r="N962" s="221" t="s">
        <v>302</v>
      </c>
      <c r="O962" s="222" t="s">
        <v>20</v>
      </c>
      <c r="P962" s="222" t="s">
        <v>20</v>
      </c>
      <c r="Q962" s="222" t="s">
        <v>20</v>
      </c>
      <c r="R962" s="222" t="s">
        <v>15</v>
      </c>
      <c r="S962" s="222" t="s">
        <v>16</v>
      </c>
      <c r="T962" s="222" t="s">
        <v>349</v>
      </c>
      <c r="U962" s="222" t="s">
        <v>269</v>
      </c>
      <c r="V962" s="222" t="s">
        <v>302</v>
      </c>
      <c r="W962" s="223" t="s">
        <v>302</v>
      </c>
      <c r="X962" s="223" t="s">
        <v>302</v>
      </c>
      <c r="Y962" s="224" t="s">
        <v>302</v>
      </c>
    </row>
    <row r="963" spans="1:25">
      <c r="A963" s="216">
        <v>18</v>
      </c>
      <c r="B963" s="217" t="str">
        <f>VLOOKUP(Tabel10[[#This Row],[Code]],Ruimtegroepen[[Code]:[Ruimte omschrijving]],2,FALSE)</f>
        <v>Gymzaal</v>
      </c>
      <c r="C963" s="218" t="s">
        <v>1097</v>
      </c>
      <c r="D963" s="217" t="s">
        <v>21</v>
      </c>
      <c r="E963" s="219" t="s">
        <v>1325</v>
      </c>
      <c r="F963" s="218" t="s">
        <v>1474</v>
      </c>
      <c r="G963" s="263" t="s">
        <v>302</v>
      </c>
      <c r="H963" s="220" t="s">
        <v>302</v>
      </c>
      <c r="I963" s="220" t="s">
        <v>18</v>
      </c>
      <c r="J963" s="221" t="s">
        <v>15</v>
      </c>
      <c r="K963" s="220" t="s">
        <v>303</v>
      </c>
      <c r="L963" s="220" t="s">
        <v>302</v>
      </c>
      <c r="M963" s="220" t="s">
        <v>302</v>
      </c>
      <c r="N963" s="221" t="s">
        <v>302</v>
      </c>
      <c r="O963" s="222" t="s">
        <v>20</v>
      </c>
      <c r="P963" s="222" t="s">
        <v>20</v>
      </c>
      <c r="Q963" s="222" t="s">
        <v>20</v>
      </c>
      <c r="R963" s="222" t="s">
        <v>15</v>
      </c>
      <c r="S963" s="222" t="s">
        <v>16</v>
      </c>
      <c r="T963" s="222" t="s">
        <v>349</v>
      </c>
      <c r="U963" s="222" t="s">
        <v>269</v>
      </c>
      <c r="V963" s="222" t="s">
        <v>302</v>
      </c>
      <c r="W963" s="223" t="s">
        <v>302</v>
      </c>
      <c r="X963" s="223" t="s">
        <v>302</v>
      </c>
      <c r="Y963" s="224" t="s">
        <v>302</v>
      </c>
    </row>
    <row r="964" spans="1:25">
      <c r="A964" s="216">
        <v>18</v>
      </c>
      <c r="B964" s="217" t="str">
        <f>VLOOKUP(Tabel10[[#This Row],[Code]],Ruimtegroepen[[Code]:[Ruimte omschrijving]],2,FALSE)</f>
        <v>Gymzaal</v>
      </c>
      <c r="C964" s="218" t="s">
        <v>1102</v>
      </c>
      <c r="D964" s="217" t="s">
        <v>12</v>
      </c>
      <c r="E964" s="219" t="s">
        <v>101</v>
      </c>
      <c r="F964" s="218" t="s">
        <v>1103</v>
      </c>
      <c r="G964" s="263" t="s">
        <v>302</v>
      </c>
      <c r="H964" s="220" t="s">
        <v>302</v>
      </c>
      <c r="I964" s="220" t="s">
        <v>17</v>
      </c>
      <c r="J964" s="221" t="s">
        <v>15</v>
      </c>
      <c r="K964" s="221" t="s">
        <v>302</v>
      </c>
      <c r="L964" s="220" t="s">
        <v>302</v>
      </c>
      <c r="M964" s="220" t="s">
        <v>302</v>
      </c>
      <c r="N964" s="221" t="s">
        <v>302</v>
      </c>
      <c r="O964" s="222" t="s">
        <v>18</v>
      </c>
      <c r="P964" s="222" t="s">
        <v>18</v>
      </c>
      <c r="Q964" s="222" t="s">
        <v>18</v>
      </c>
      <c r="R964" s="222" t="s">
        <v>15</v>
      </c>
      <c r="S964" s="222" t="s">
        <v>16</v>
      </c>
      <c r="T964" s="222" t="s">
        <v>349</v>
      </c>
      <c r="U964" s="222" t="s">
        <v>269</v>
      </c>
      <c r="V964" s="222" t="s">
        <v>302</v>
      </c>
      <c r="W964" s="223" t="s">
        <v>302</v>
      </c>
      <c r="X964" s="223" t="s">
        <v>302</v>
      </c>
      <c r="Y964" s="224" t="s">
        <v>302</v>
      </c>
    </row>
    <row r="965" spans="1:25">
      <c r="A965" s="216">
        <v>18</v>
      </c>
      <c r="B965" s="217" t="str">
        <f>VLOOKUP(Tabel10[[#This Row],[Code]],Ruimtegroepen[[Code]:[Ruimte omschrijving]],2,FALSE)</f>
        <v>Gymzaal</v>
      </c>
      <c r="C965" s="231" t="s">
        <v>1102</v>
      </c>
      <c r="D965" s="217" t="s">
        <v>12</v>
      </c>
      <c r="E965" s="219" t="s">
        <v>100</v>
      </c>
      <c r="F965" s="218" t="s">
        <v>1104</v>
      </c>
      <c r="G965" s="226" t="s">
        <v>17</v>
      </c>
      <c r="H965" s="226" t="s">
        <v>15</v>
      </c>
      <c r="I965" s="220" t="s">
        <v>302</v>
      </c>
      <c r="J965" s="226" t="s">
        <v>302</v>
      </c>
      <c r="K965" s="226" t="s">
        <v>302</v>
      </c>
      <c r="L965" s="220" t="s">
        <v>302</v>
      </c>
      <c r="M965" s="220" t="s">
        <v>302</v>
      </c>
      <c r="N965" s="226" t="s">
        <v>302</v>
      </c>
      <c r="O965" s="227" t="s">
        <v>18</v>
      </c>
      <c r="P965" s="227" t="s">
        <v>18</v>
      </c>
      <c r="Q965" s="227" t="s">
        <v>18</v>
      </c>
      <c r="R965" s="227" t="s">
        <v>15</v>
      </c>
      <c r="S965" s="222" t="s">
        <v>16</v>
      </c>
      <c r="T965" s="222" t="s">
        <v>349</v>
      </c>
      <c r="U965" s="222" t="s">
        <v>269</v>
      </c>
      <c r="V965" s="227" t="s">
        <v>302</v>
      </c>
      <c r="W965" s="228" t="s">
        <v>302</v>
      </c>
      <c r="X965" s="228" t="s">
        <v>302</v>
      </c>
      <c r="Y965" s="229" t="s">
        <v>302</v>
      </c>
    </row>
    <row r="966" spans="1:25">
      <c r="A966" s="216">
        <v>18</v>
      </c>
      <c r="B966" s="217" t="str">
        <f>VLOOKUP(Tabel10[[#This Row],[Code]],Ruimtegroepen[[Code]:[Ruimte omschrijving]],2,FALSE)</f>
        <v>Gymzaal</v>
      </c>
      <c r="C966" s="218" t="s">
        <v>1102</v>
      </c>
      <c r="D966" s="217" t="s">
        <v>12</v>
      </c>
      <c r="E966" s="219" t="s">
        <v>102</v>
      </c>
      <c r="F966" s="218" t="s">
        <v>1105</v>
      </c>
      <c r="G966" s="263" t="s">
        <v>302</v>
      </c>
      <c r="H966" s="220" t="s">
        <v>302</v>
      </c>
      <c r="I966" s="220" t="s">
        <v>17</v>
      </c>
      <c r="J966" s="221" t="s">
        <v>15</v>
      </c>
      <c r="K966" s="220" t="s">
        <v>303</v>
      </c>
      <c r="L966" s="220" t="s">
        <v>302</v>
      </c>
      <c r="M966" s="220" t="s">
        <v>302</v>
      </c>
      <c r="N966" s="221" t="s">
        <v>302</v>
      </c>
      <c r="O966" s="222" t="s">
        <v>18</v>
      </c>
      <c r="P966" s="222" t="s">
        <v>18</v>
      </c>
      <c r="Q966" s="222" t="s">
        <v>18</v>
      </c>
      <c r="R966" s="222" t="s">
        <v>15</v>
      </c>
      <c r="S966" s="222" t="s">
        <v>16</v>
      </c>
      <c r="T966" s="222" t="s">
        <v>349</v>
      </c>
      <c r="U966" s="222" t="s">
        <v>269</v>
      </c>
      <c r="V966" s="222" t="s">
        <v>302</v>
      </c>
      <c r="W966" s="223" t="s">
        <v>302</v>
      </c>
      <c r="X966" s="223" t="s">
        <v>302</v>
      </c>
      <c r="Y966" s="224" t="s">
        <v>302</v>
      </c>
    </row>
    <row r="967" spans="1:25">
      <c r="A967" s="216">
        <v>18</v>
      </c>
      <c r="B967" s="217" t="str">
        <f>VLOOKUP(Tabel10[[#This Row],[Code]],Ruimtegroepen[[Code]:[Ruimte omschrijving]],2,FALSE)</f>
        <v>Gymzaal</v>
      </c>
      <c r="C967" s="218" t="s">
        <v>1102</v>
      </c>
      <c r="D967" s="217" t="s">
        <v>12</v>
      </c>
      <c r="E967" s="219" t="s">
        <v>103</v>
      </c>
      <c r="F967" s="218" t="s">
        <v>1106</v>
      </c>
      <c r="G967" s="263" t="s">
        <v>302</v>
      </c>
      <c r="H967" s="220" t="s">
        <v>302</v>
      </c>
      <c r="I967" s="220" t="s">
        <v>17</v>
      </c>
      <c r="J967" s="221" t="s">
        <v>15</v>
      </c>
      <c r="K967" s="220" t="s">
        <v>303</v>
      </c>
      <c r="L967" s="220" t="s">
        <v>302</v>
      </c>
      <c r="M967" s="220" t="s">
        <v>302</v>
      </c>
      <c r="N967" s="221" t="s">
        <v>302</v>
      </c>
      <c r="O967" s="222" t="s">
        <v>18</v>
      </c>
      <c r="P967" s="222" t="s">
        <v>18</v>
      </c>
      <c r="Q967" s="222" t="s">
        <v>18</v>
      </c>
      <c r="R967" s="222" t="s">
        <v>15</v>
      </c>
      <c r="S967" s="222" t="s">
        <v>16</v>
      </c>
      <c r="T967" s="222" t="s">
        <v>349</v>
      </c>
      <c r="U967" s="222" t="s">
        <v>269</v>
      </c>
      <c r="V967" s="222" t="s">
        <v>302</v>
      </c>
      <c r="W967" s="223" t="s">
        <v>302</v>
      </c>
      <c r="X967" s="223" t="s">
        <v>302</v>
      </c>
      <c r="Y967" s="224" t="s">
        <v>302</v>
      </c>
    </row>
    <row r="968" spans="1:25">
      <c r="A968" s="216">
        <v>18</v>
      </c>
      <c r="B968" s="217" t="str">
        <f>VLOOKUP(Tabel10[[#This Row],[Code]],Ruimtegroepen[[Code]:[Ruimte omschrijving]],2,FALSE)</f>
        <v>Gymzaal</v>
      </c>
      <c r="C968" s="218" t="s">
        <v>1102</v>
      </c>
      <c r="D968" s="217" t="s">
        <v>12</v>
      </c>
      <c r="E968" s="219" t="s">
        <v>100</v>
      </c>
      <c r="F968" s="218" t="s">
        <v>1104</v>
      </c>
      <c r="G968" s="263" t="s">
        <v>302</v>
      </c>
      <c r="H968" s="221" t="s">
        <v>18</v>
      </c>
      <c r="I968" s="220" t="s">
        <v>302</v>
      </c>
      <c r="J968" s="221" t="s">
        <v>302</v>
      </c>
      <c r="K968" s="221" t="s">
        <v>302</v>
      </c>
      <c r="L968" s="220" t="s">
        <v>302</v>
      </c>
      <c r="M968" s="220" t="s">
        <v>302</v>
      </c>
      <c r="N968" s="221" t="s">
        <v>302</v>
      </c>
      <c r="O968" s="222" t="s">
        <v>18</v>
      </c>
      <c r="P968" s="222" t="s">
        <v>18</v>
      </c>
      <c r="Q968" s="222" t="s">
        <v>18</v>
      </c>
      <c r="R968" s="222" t="s">
        <v>15</v>
      </c>
      <c r="S968" s="222" t="s">
        <v>16</v>
      </c>
      <c r="T968" s="222" t="s">
        <v>349</v>
      </c>
      <c r="U968" s="222" t="s">
        <v>269</v>
      </c>
      <c r="V968" s="222" t="s">
        <v>302</v>
      </c>
      <c r="W968" s="223" t="s">
        <v>302</v>
      </c>
      <c r="X968" s="223" t="s">
        <v>302</v>
      </c>
      <c r="Y968" s="224" t="s">
        <v>302</v>
      </c>
    </row>
    <row r="969" spans="1:25">
      <c r="A969" s="216">
        <v>18</v>
      </c>
      <c r="B969" s="217" t="str">
        <f>VLOOKUP(Tabel10[[#This Row],[Code]],Ruimtegroepen[[Code]:[Ruimte omschrijving]],2,FALSE)</f>
        <v>Gymzaal</v>
      </c>
      <c r="C969" s="218" t="s">
        <v>1102</v>
      </c>
      <c r="D969" s="217" t="s">
        <v>12</v>
      </c>
      <c r="E969" s="219" t="s">
        <v>1325</v>
      </c>
      <c r="F969" s="218" t="s">
        <v>1456</v>
      </c>
      <c r="G969" s="263" t="s">
        <v>302</v>
      </c>
      <c r="H969" s="220" t="s">
        <v>302</v>
      </c>
      <c r="I969" s="220" t="s">
        <v>17</v>
      </c>
      <c r="J969" s="221" t="s">
        <v>15</v>
      </c>
      <c r="K969" s="220" t="s">
        <v>303</v>
      </c>
      <c r="L969" s="220" t="s">
        <v>302</v>
      </c>
      <c r="M969" s="220" t="s">
        <v>302</v>
      </c>
      <c r="N969" s="221" t="s">
        <v>302</v>
      </c>
      <c r="O969" s="222" t="s">
        <v>18</v>
      </c>
      <c r="P969" s="222" t="s">
        <v>18</v>
      </c>
      <c r="Q969" s="222" t="s">
        <v>18</v>
      </c>
      <c r="R969" s="222" t="s">
        <v>15</v>
      </c>
      <c r="S969" s="222" t="s">
        <v>16</v>
      </c>
      <c r="T969" s="222" t="s">
        <v>349</v>
      </c>
      <c r="U969" s="222" t="s">
        <v>269</v>
      </c>
      <c r="V969" s="222" t="s">
        <v>302</v>
      </c>
      <c r="W969" s="223" t="s">
        <v>302</v>
      </c>
      <c r="X969" s="223" t="s">
        <v>302</v>
      </c>
      <c r="Y969" s="224" t="s">
        <v>302</v>
      </c>
    </row>
    <row r="970" spans="1:25">
      <c r="A970" s="216">
        <v>18</v>
      </c>
      <c r="B970" s="217" t="str">
        <f>VLOOKUP(Tabel10[[#This Row],[Code]],Ruimtegroepen[[Code]:[Ruimte omschrijving]],2,FALSE)</f>
        <v>Gymzaal</v>
      </c>
      <c r="C970" s="218" t="s">
        <v>1107</v>
      </c>
      <c r="D970" s="217" t="s">
        <v>14</v>
      </c>
      <c r="E970" s="219" t="s">
        <v>101</v>
      </c>
      <c r="F970" s="218" t="s">
        <v>1108</v>
      </c>
      <c r="G970" s="263" t="s">
        <v>302</v>
      </c>
      <c r="H970" s="220" t="s">
        <v>302</v>
      </c>
      <c r="I970" s="221" t="s">
        <v>17</v>
      </c>
      <c r="J970" s="221" t="s">
        <v>15</v>
      </c>
      <c r="K970" s="221" t="s">
        <v>302</v>
      </c>
      <c r="L970" s="220" t="s">
        <v>302</v>
      </c>
      <c r="M970" s="220" t="s">
        <v>302</v>
      </c>
      <c r="N970" s="221" t="s">
        <v>302</v>
      </c>
      <c r="O970" s="222" t="s">
        <v>17</v>
      </c>
      <c r="P970" s="222" t="s">
        <v>17</v>
      </c>
      <c r="Q970" s="222" t="s">
        <v>17</v>
      </c>
      <c r="R970" s="222" t="s">
        <v>15</v>
      </c>
      <c r="S970" s="222" t="s">
        <v>16</v>
      </c>
      <c r="T970" s="222" t="s">
        <v>349</v>
      </c>
      <c r="U970" s="222" t="s">
        <v>269</v>
      </c>
      <c r="V970" s="222" t="s">
        <v>302</v>
      </c>
      <c r="W970" s="223" t="s">
        <v>302</v>
      </c>
      <c r="X970" s="223" t="s">
        <v>302</v>
      </c>
      <c r="Y970" s="224" t="s">
        <v>302</v>
      </c>
    </row>
    <row r="971" spans="1:25">
      <c r="A971" s="216">
        <v>18</v>
      </c>
      <c r="B971" s="217" t="str">
        <f>VLOOKUP(Tabel10[[#This Row],[Code]],Ruimtegroepen[[Code]:[Ruimte omschrijving]],2,FALSE)</f>
        <v>Gymzaal</v>
      </c>
      <c r="C971" s="218" t="s">
        <v>1107</v>
      </c>
      <c r="D971" s="217" t="s">
        <v>14</v>
      </c>
      <c r="E971" s="219" t="s">
        <v>100</v>
      </c>
      <c r="F971" s="218" t="s">
        <v>1109</v>
      </c>
      <c r="G971" s="221" t="s">
        <v>15</v>
      </c>
      <c r="H971" s="221" t="s">
        <v>15</v>
      </c>
      <c r="I971" s="220" t="s">
        <v>302</v>
      </c>
      <c r="J971" s="221" t="s">
        <v>302</v>
      </c>
      <c r="K971" s="221" t="s">
        <v>302</v>
      </c>
      <c r="L971" s="220" t="s">
        <v>302</v>
      </c>
      <c r="M971" s="220" t="s">
        <v>302</v>
      </c>
      <c r="N971" s="221" t="s">
        <v>302</v>
      </c>
      <c r="O971" s="222" t="s">
        <v>17</v>
      </c>
      <c r="P971" s="222" t="s">
        <v>17</v>
      </c>
      <c r="Q971" s="222" t="s">
        <v>17</v>
      </c>
      <c r="R971" s="222" t="s">
        <v>15</v>
      </c>
      <c r="S971" s="222" t="s">
        <v>16</v>
      </c>
      <c r="T971" s="222" t="s">
        <v>349</v>
      </c>
      <c r="U971" s="222" t="s">
        <v>269</v>
      </c>
      <c r="V971" s="222" t="s">
        <v>302</v>
      </c>
      <c r="W971" s="223" t="s">
        <v>302</v>
      </c>
      <c r="X971" s="223" t="s">
        <v>302</v>
      </c>
      <c r="Y971" s="224" t="s">
        <v>302</v>
      </c>
    </row>
    <row r="972" spans="1:25">
      <c r="A972" s="216">
        <v>18</v>
      </c>
      <c r="B972" s="217" t="str">
        <f>VLOOKUP(Tabel10[[#This Row],[Code]],Ruimtegroepen[[Code]:[Ruimte omschrijving]],2,FALSE)</f>
        <v>Gymzaal</v>
      </c>
      <c r="C972" s="218" t="s">
        <v>1107</v>
      </c>
      <c r="D972" s="217" t="s">
        <v>14</v>
      </c>
      <c r="E972" s="219" t="s">
        <v>102</v>
      </c>
      <c r="F972" s="218" t="s">
        <v>1110</v>
      </c>
      <c r="G972" s="263" t="s">
        <v>302</v>
      </c>
      <c r="H972" s="220" t="s">
        <v>302</v>
      </c>
      <c r="I972" s="220" t="s">
        <v>15</v>
      </c>
      <c r="J972" s="221" t="s">
        <v>15</v>
      </c>
      <c r="K972" s="220" t="s">
        <v>303</v>
      </c>
      <c r="L972" s="220" t="s">
        <v>302</v>
      </c>
      <c r="M972" s="220" t="s">
        <v>302</v>
      </c>
      <c r="N972" s="221" t="s">
        <v>302</v>
      </c>
      <c r="O972" s="222" t="s">
        <v>17</v>
      </c>
      <c r="P972" s="222" t="s">
        <v>17</v>
      </c>
      <c r="Q972" s="222" t="s">
        <v>17</v>
      </c>
      <c r="R972" s="222" t="s">
        <v>15</v>
      </c>
      <c r="S972" s="222" t="s">
        <v>16</v>
      </c>
      <c r="T972" s="222" t="s">
        <v>349</v>
      </c>
      <c r="U972" s="222" t="s">
        <v>269</v>
      </c>
      <c r="V972" s="222" t="s">
        <v>302</v>
      </c>
      <c r="W972" s="223" t="s">
        <v>302</v>
      </c>
      <c r="X972" s="223" t="s">
        <v>302</v>
      </c>
      <c r="Y972" s="224" t="s">
        <v>302</v>
      </c>
    </row>
    <row r="973" spans="1:25">
      <c r="A973" s="216">
        <v>18</v>
      </c>
      <c r="B973" s="217" t="str">
        <f>VLOOKUP(Tabel10[[#This Row],[Code]],Ruimtegroepen[[Code]:[Ruimte omschrijving]],2,FALSE)</f>
        <v>Gymzaal</v>
      </c>
      <c r="C973" s="218" t="s">
        <v>1107</v>
      </c>
      <c r="D973" s="217" t="s">
        <v>14</v>
      </c>
      <c r="E973" s="219" t="s">
        <v>103</v>
      </c>
      <c r="F973" s="218" t="s">
        <v>1111</v>
      </c>
      <c r="G973" s="263" t="s">
        <v>302</v>
      </c>
      <c r="H973" s="220" t="s">
        <v>302</v>
      </c>
      <c r="I973" s="221" t="s">
        <v>17</v>
      </c>
      <c r="J973" s="221" t="s">
        <v>15</v>
      </c>
      <c r="K973" s="220" t="s">
        <v>303</v>
      </c>
      <c r="L973" s="220" t="s">
        <v>302</v>
      </c>
      <c r="M973" s="220" t="s">
        <v>302</v>
      </c>
      <c r="N973" s="221" t="s">
        <v>302</v>
      </c>
      <c r="O973" s="222" t="s">
        <v>17</v>
      </c>
      <c r="P973" s="222" t="s">
        <v>17</v>
      </c>
      <c r="Q973" s="222" t="s">
        <v>17</v>
      </c>
      <c r="R973" s="222" t="s">
        <v>15</v>
      </c>
      <c r="S973" s="222" t="s">
        <v>16</v>
      </c>
      <c r="T973" s="222" t="s">
        <v>349</v>
      </c>
      <c r="U973" s="222" t="s">
        <v>269</v>
      </c>
      <c r="V973" s="222" t="s">
        <v>302</v>
      </c>
      <c r="W973" s="223" t="s">
        <v>302</v>
      </c>
      <c r="X973" s="223" t="s">
        <v>302</v>
      </c>
      <c r="Y973" s="224" t="s">
        <v>302</v>
      </c>
    </row>
    <row r="974" spans="1:25">
      <c r="A974" s="216">
        <v>18</v>
      </c>
      <c r="B974" s="217" t="str">
        <f>VLOOKUP(Tabel10[[#This Row],[Code]],Ruimtegroepen[[Code]:[Ruimte omschrijving]],2,FALSE)</f>
        <v>Gymzaal</v>
      </c>
      <c r="C974" s="218" t="s">
        <v>1107</v>
      </c>
      <c r="D974" s="217" t="s">
        <v>14</v>
      </c>
      <c r="E974" s="219" t="s">
        <v>100</v>
      </c>
      <c r="F974" s="218" t="s">
        <v>1109</v>
      </c>
      <c r="G974" s="263" t="s">
        <v>302</v>
      </c>
      <c r="H974" s="221" t="s">
        <v>17</v>
      </c>
      <c r="I974" s="220" t="s">
        <v>302</v>
      </c>
      <c r="J974" s="221" t="s">
        <v>302</v>
      </c>
      <c r="K974" s="221" t="s">
        <v>302</v>
      </c>
      <c r="L974" s="220" t="s">
        <v>302</v>
      </c>
      <c r="M974" s="220" t="s">
        <v>302</v>
      </c>
      <c r="N974" s="221" t="s">
        <v>302</v>
      </c>
      <c r="O974" s="222" t="s">
        <v>17</v>
      </c>
      <c r="P974" s="222" t="s">
        <v>17</v>
      </c>
      <c r="Q974" s="222" t="s">
        <v>17</v>
      </c>
      <c r="R974" s="222" t="s">
        <v>15</v>
      </c>
      <c r="S974" s="222" t="s">
        <v>16</v>
      </c>
      <c r="T974" s="222" t="s">
        <v>349</v>
      </c>
      <c r="U974" s="222" t="s">
        <v>269</v>
      </c>
      <c r="V974" s="222" t="s">
        <v>302</v>
      </c>
      <c r="W974" s="223" t="s">
        <v>302</v>
      </c>
      <c r="X974" s="223" t="s">
        <v>302</v>
      </c>
      <c r="Y974" s="224" t="s">
        <v>302</v>
      </c>
    </row>
    <row r="975" spans="1:25">
      <c r="A975" s="216">
        <v>18</v>
      </c>
      <c r="B975" s="217" t="str">
        <f>VLOOKUP(Tabel10[[#This Row],[Code]],Ruimtegroepen[[Code]:[Ruimte omschrijving]],2,FALSE)</f>
        <v>Gymzaal</v>
      </c>
      <c r="C975" s="218" t="s">
        <v>1107</v>
      </c>
      <c r="D975" s="217" t="s">
        <v>14</v>
      </c>
      <c r="E975" s="219" t="s">
        <v>1325</v>
      </c>
      <c r="F975" s="218" t="s">
        <v>1423</v>
      </c>
      <c r="G975" s="263" t="s">
        <v>302</v>
      </c>
      <c r="H975" s="220" t="s">
        <v>302</v>
      </c>
      <c r="I975" s="221" t="s">
        <v>17</v>
      </c>
      <c r="J975" s="221" t="s">
        <v>15</v>
      </c>
      <c r="K975" s="220" t="s">
        <v>303</v>
      </c>
      <c r="L975" s="220" t="s">
        <v>302</v>
      </c>
      <c r="M975" s="220" t="s">
        <v>302</v>
      </c>
      <c r="N975" s="221" t="s">
        <v>302</v>
      </c>
      <c r="O975" s="222" t="s">
        <v>17</v>
      </c>
      <c r="P975" s="222" t="s">
        <v>17</v>
      </c>
      <c r="Q975" s="222" t="s">
        <v>17</v>
      </c>
      <c r="R975" s="222" t="s">
        <v>15</v>
      </c>
      <c r="S975" s="222" t="s">
        <v>16</v>
      </c>
      <c r="T975" s="222" t="s">
        <v>349</v>
      </c>
      <c r="U975" s="222" t="s">
        <v>269</v>
      </c>
      <c r="V975" s="222" t="s">
        <v>302</v>
      </c>
      <c r="W975" s="223" t="s">
        <v>302</v>
      </c>
      <c r="X975" s="223" t="s">
        <v>302</v>
      </c>
      <c r="Y975" s="224" t="s">
        <v>302</v>
      </c>
    </row>
    <row r="976" spans="1:25">
      <c r="A976" s="216">
        <v>18</v>
      </c>
      <c r="B976" s="217" t="str">
        <f>VLOOKUP(Tabel10[[#This Row],[Code]],Ruimtegroepen[[Code]:[Ruimte omschrijving]],2,FALSE)</f>
        <v>Gymzaal</v>
      </c>
      <c r="C976" s="218" t="s">
        <v>1112</v>
      </c>
      <c r="D976" s="217" t="s">
        <v>13</v>
      </c>
      <c r="E976" s="219" t="s">
        <v>101</v>
      </c>
      <c r="F976" s="218" t="s">
        <v>1113</v>
      </c>
      <c r="G976" s="263" t="s">
        <v>302</v>
      </c>
      <c r="H976" s="220" t="s">
        <v>302</v>
      </c>
      <c r="I976" s="221" t="s">
        <v>15</v>
      </c>
      <c r="J976" s="221" t="s">
        <v>15</v>
      </c>
      <c r="K976" s="221" t="s">
        <v>302</v>
      </c>
      <c r="L976" s="220" t="s">
        <v>302</v>
      </c>
      <c r="M976" s="220" t="s">
        <v>302</v>
      </c>
      <c r="N976" s="221" t="s">
        <v>302</v>
      </c>
      <c r="O976" s="222" t="s">
        <v>15</v>
      </c>
      <c r="P976" s="222" t="s">
        <v>15</v>
      </c>
      <c r="Q976" s="222" t="s">
        <v>15</v>
      </c>
      <c r="R976" s="222" t="s">
        <v>15</v>
      </c>
      <c r="S976" s="222" t="s">
        <v>16</v>
      </c>
      <c r="T976" s="222" t="s">
        <v>349</v>
      </c>
      <c r="U976" s="222" t="s">
        <v>269</v>
      </c>
      <c r="V976" s="222" t="s">
        <v>302</v>
      </c>
      <c r="W976" s="223" t="s">
        <v>302</v>
      </c>
      <c r="X976" s="223" t="s">
        <v>302</v>
      </c>
      <c r="Y976" s="224" t="s">
        <v>302</v>
      </c>
    </row>
    <row r="977" spans="1:25">
      <c r="A977" s="216">
        <v>18</v>
      </c>
      <c r="B977" s="217" t="str">
        <f>VLOOKUP(Tabel10[[#This Row],[Code]],Ruimtegroepen[[Code]:[Ruimte omschrijving]],2,FALSE)</f>
        <v>Gymzaal</v>
      </c>
      <c r="C977" s="218" t="s">
        <v>1112</v>
      </c>
      <c r="D977" s="217" t="s">
        <v>13</v>
      </c>
      <c r="E977" s="219" t="s">
        <v>100</v>
      </c>
      <c r="F977" s="218" t="s">
        <v>1114</v>
      </c>
      <c r="G977" s="263" t="s">
        <v>302</v>
      </c>
      <c r="H977" s="221" t="s">
        <v>15</v>
      </c>
      <c r="I977" s="220" t="s">
        <v>302</v>
      </c>
      <c r="J977" s="221" t="s">
        <v>302</v>
      </c>
      <c r="K977" s="221" t="s">
        <v>302</v>
      </c>
      <c r="L977" s="220" t="s">
        <v>302</v>
      </c>
      <c r="M977" s="220" t="s">
        <v>302</v>
      </c>
      <c r="N977" s="221" t="s">
        <v>302</v>
      </c>
      <c r="O977" s="222" t="s">
        <v>15</v>
      </c>
      <c r="P977" s="222" t="s">
        <v>15</v>
      </c>
      <c r="Q977" s="222" t="s">
        <v>15</v>
      </c>
      <c r="R977" s="222" t="s">
        <v>15</v>
      </c>
      <c r="S977" s="222" t="s">
        <v>16</v>
      </c>
      <c r="T977" s="222" t="s">
        <v>349</v>
      </c>
      <c r="U977" s="222" t="s">
        <v>269</v>
      </c>
      <c r="V977" s="222" t="s">
        <v>302</v>
      </c>
      <c r="W977" s="223" t="s">
        <v>302</v>
      </c>
      <c r="X977" s="223" t="s">
        <v>302</v>
      </c>
      <c r="Y977" s="224" t="s">
        <v>302</v>
      </c>
    </row>
    <row r="978" spans="1:25">
      <c r="A978" s="216">
        <v>18</v>
      </c>
      <c r="B978" s="217" t="str">
        <f>VLOOKUP(Tabel10[[#This Row],[Code]],Ruimtegroepen[[Code]:[Ruimte omschrijving]],2,FALSE)</f>
        <v>Gymzaal</v>
      </c>
      <c r="C978" s="218" t="s">
        <v>1112</v>
      </c>
      <c r="D978" s="217" t="s">
        <v>13</v>
      </c>
      <c r="E978" s="219" t="s">
        <v>102</v>
      </c>
      <c r="F978" s="218" t="s">
        <v>1115</v>
      </c>
      <c r="G978" s="263" t="s">
        <v>302</v>
      </c>
      <c r="H978" s="220" t="s">
        <v>302</v>
      </c>
      <c r="I978" s="220" t="s">
        <v>302</v>
      </c>
      <c r="J978" s="221" t="s">
        <v>15</v>
      </c>
      <c r="K978" s="220" t="s">
        <v>303</v>
      </c>
      <c r="L978" s="220" t="s">
        <v>302</v>
      </c>
      <c r="M978" s="220" t="s">
        <v>302</v>
      </c>
      <c r="N978" s="221" t="s">
        <v>302</v>
      </c>
      <c r="O978" s="222" t="s">
        <v>15</v>
      </c>
      <c r="P978" s="222" t="s">
        <v>15</v>
      </c>
      <c r="Q978" s="222" t="s">
        <v>15</v>
      </c>
      <c r="R978" s="222" t="s">
        <v>15</v>
      </c>
      <c r="S978" s="222" t="s">
        <v>16</v>
      </c>
      <c r="T978" s="222" t="s">
        <v>349</v>
      </c>
      <c r="U978" s="222" t="s">
        <v>269</v>
      </c>
      <c r="V978" s="222" t="s">
        <v>302</v>
      </c>
      <c r="W978" s="223" t="s">
        <v>302</v>
      </c>
      <c r="X978" s="223" t="s">
        <v>302</v>
      </c>
      <c r="Y978" s="224" t="s">
        <v>302</v>
      </c>
    </row>
    <row r="979" spans="1:25">
      <c r="A979" s="216">
        <v>18</v>
      </c>
      <c r="B979" s="217" t="str">
        <f>VLOOKUP(Tabel10[[#This Row],[Code]],Ruimtegroepen[[Code]:[Ruimte omschrijving]],2,FALSE)</f>
        <v>Gymzaal</v>
      </c>
      <c r="C979" s="218" t="s">
        <v>1112</v>
      </c>
      <c r="D979" s="217" t="s">
        <v>13</v>
      </c>
      <c r="E979" s="219" t="s">
        <v>103</v>
      </c>
      <c r="F979" s="218" t="s">
        <v>1116</v>
      </c>
      <c r="G979" s="263" t="s">
        <v>302</v>
      </c>
      <c r="H979" s="220" t="s">
        <v>302</v>
      </c>
      <c r="I979" s="221" t="s">
        <v>15</v>
      </c>
      <c r="J979" s="221" t="s">
        <v>15</v>
      </c>
      <c r="K979" s="220" t="s">
        <v>303</v>
      </c>
      <c r="L979" s="220" t="s">
        <v>302</v>
      </c>
      <c r="M979" s="220" t="s">
        <v>302</v>
      </c>
      <c r="N979" s="221" t="s">
        <v>302</v>
      </c>
      <c r="O979" s="222" t="s">
        <v>15</v>
      </c>
      <c r="P979" s="222" t="s">
        <v>15</v>
      </c>
      <c r="Q979" s="222" t="s">
        <v>15</v>
      </c>
      <c r="R979" s="222" t="s">
        <v>15</v>
      </c>
      <c r="S979" s="222" t="s">
        <v>16</v>
      </c>
      <c r="T979" s="222" t="s">
        <v>349</v>
      </c>
      <c r="U979" s="222" t="s">
        <v>269</v>
      </c>
      <c r="V979" s="222" t="s">
        <v>302</v>
      </c>
      <c r="W979" s="223" t="s">
        <v>302</v>
      </c>
      <c r="X979" s="223" t="s">
        <v>302</v>
      </c>
      <c r="Y979" s="224" t="s">
        <v>302</v>
      </c>
    </row>
    <row r="980" spans="1:25">
      <c r="A980" s="216">
        <v>18</v>
      </c>
      <c r="B980" s="217" t="str">
        <f>VLOOKUP(Tabel10[[#This Row],[Code]],Ruimtegroepen[[Code]:[Ruimte omschrijving]],2,FALSE)</f>
        <v>Gymzaal</v>
      </c>
      <c r="C980" s="218" t="s">
        <v>1112</v>
      </c>
      <c r="D980" s="217" t="s">
        <v>13</v>
      </c>
      <c r="E980" s="219" t="s">
        <v>100</v>
      </c>
      <c r="F980" s="218" t="s">
        <v>1114</v>
      </c>
      <c r="G980" s="263" t="s">
        <v>302</v>
      </c>
      <c r="H980" s="221" t="s">
        <v>15</v>
      </c>
      <c r="I980" s="220" t="s">
        <v>302</v>
      </c>
      <c r="J980" s="221" t="s">
        <v>302</v>
      </c>
      <c r="K980" s="221" t="s">
        <v>302</v>
      </c>
      <c r="L980" s="220" t="s">
        <v>302</v>
      </c>
      <c r="M980" s="220" t="s">
        <v>302</v>
      </c>
      <c r="N980" s="221" t="s">
        <v>302</v>
      </c>
      <c r="O980" s="222" t="s">
        <v>15</v>
      </c>
      <c r="P980" s="222" t="s">
        <v>15</v>
      </c>
      <c r="Q980" s="222" t="s">
        <v>15</v>
      </c>
      <c r="R980" s="222" t="s">
        <v>15</v>
      </c>
      <c r="S980" s="222" t="s">
        <v>16</v>
      </c>
      <c r="T980" s="222" t="s">
        <v>349</v>
      </c>
      <c r="U980" s="222" t="s">
        <v>269</v>
      </c>
      <c r="V980" s="222" t="s">
        <v>302</v>
      </c>
      <c r="W980" s="223" t="s">
        <v>302</v>
      </c>
      <c r="X980" s="223" t="s">
        <v>302</v>
      </c>
      <c r="Y980" s="224" t="s">
        <v>302</v>
      </c>
    </row>
    <row r="981" spans="1:25">
      <c r="A981" s="216">
        <v>18</v>
      </c>
      <c r="B981" s="217" t="str">
        <f>VLOOKUP(Tabel10[[#This Row],[Code]],Ruimtegroepen[[Code]:[Ruimte omschrijving]],2,FALSE)</f>
        <v>Gymzaal</v>
      </c>
      <c r="C981" s="218" t="s">
        <v>1112</v>
      </c>
      <c r="D981" s="217" t="s">
        <v>13</v>
      </c>
      <c r="E981" s="219" t="s">
        <v>1325</v>
      </c>
      <c r="F981" s="218" t="s">
        <v>1390</v>
      </c>
      <c r="G981" s="263" t="s">
        <v>302</v>
      </c>
      <c r="H981" s="220" t="s">
        <v>302</v>
      </c>
      <c r="I981" s="221" t="s">
        <v>15</v>
      </c>
      <c r="J981" s="221" t="s">
        <v>15</v>
      </c>
      <c r="K981" s="220" t="s">
        <v>303</v>
      </c>
      <c r="L981" s="220" t="s">
        <v>302</v>
      </c>
      <c r="M981" s="220" t="s">
        <v>302</v>
      </c>
      <c r="N981" s="221" t="s">
        <v>302</v>
      </c>
      <c r="O981" s="222" t="s">
        <v>15</v>
      </c>
      <c r="P981" s="222" t="s">
        <v>15</v>
      </c>
      <c r="Q981" s="222" t="s">
        <v>15</v>
      </c>
      <c r="R981" s="222" t="s">
        <v>15</v>
      </c>
      <c r="S981" s="222" t="s">
        <v>16</v>
      </c>
      <c r="T981" s="222" t="s">
        <v>349</v>
      </c>
      <c r="U981" s="222" t="s">
        <v>269</v>
      </c>
      <c r="V981" s="222" t="s">
        <v>302</v>
      </c>
      <c r="W981" s="223" t="s">
        <v>302</v>
      </c>
      <c r="X981" s="223" t="s">
        <v>302</v>
      </c>
      <c r="Y981" s="224" t="s">
        <v>302</v>
      </c>
    </row>
    <row r="982" spans="1:25">
      <c r="A982" s="216">
        <v>18</v>
      </c>
      <c r="B982" s="217" t="str">
        <f>VLOOKUP(Tabel10[[#This Row],[Code]],Ruimtegroepen[[Code]:[Ruimte omschrijving]],2,FALSE)</f>
        <v>Gymzaal</v>
      </c>
      <c r="C982" s="218" t="s">
        <v>1117</v>
      </c>
      <c r="D982" s="217" t="s">
        <v>0</v>
      </c>
      <c r="E982" s="219" t="s">
        <v>101</v>
      </c>
      <c r="F982" s="218" t="s">
        <v>1118</v>
      </c>
      <c r="G982" s="263" t="s">
        <v>302</v>
      </c>
      <c r="H982" s="220" t="s">
        <v>302</v>
      </c>
      <c r="I982" s="221" t="s">
        <v>16</v>
      </c>
      <c r="J982" s="221" t="s">
        <v>302</v>
      </c>
      <c r="K982" s="221" t="s">
        <v>302</v>
      </c>
      <c r="L982" s="220" t="s">
        <v>302</v>
      </c>
      <c r="M982" s="220" t="s">
        <v>302</v>
      </c>
      <c r="N982" s="221" t="s">
        <v>302</v>
      </c>
      <c r="O982" s="222" t="s">
        <v>16</v>
      </c>
      <c r="P982" s="222" t="s">
        <v>16</v>
      </c>
      <c r="Q982" s="222" t="s">
        <v>16</v>
      </c>
      <c r="R982" s="222" t="s">
        <v>16</v>
      </c>
      <c r="S982" s="222" t="s">
        <v>16</v>
      </c>
      <c r="T982" s="222" t="s">
        <v>349</v>
      </c>
      <c r="U982" s="222" t="s">
        <v>269</v>
      </c>
      <c r="V982" s="222" t="s">
        <v>302</v>
      </c>
      <c r="W982" s="223" t="s">
        <v>302</v>
      </c>
      <c r="X982" s="223" t="s">
        <v>302</v>
      </c>
      <c r="Y982" s="224" t="s">
        <v>302</v>
      </c>
    </row>
    <row r="983" spans="1:25">
      <c r="A983" s="216">
        <v>18</v>
      </c>
      <c r="B983" s="217" t="str">
        <f>VLOOKUP(Tabel10[[#This Row],[Code]],Ruimtegroepen[[Code]:[Ruimte omschrijving]],2,FALSE)</f>
        <v>Gymzaal</v>
      </c>
      <c r="C983" s="218" t="s">
        <v>1117</v>
      </c>
      <c r="D983" s="217" t="s">
        <v>0</v>
      </c>
      <c r="E983" s="219" t="s">
        <v>100</v>
      </c>
      <c r="F983" s="218" t="s">
        <v>1119</v>
      </c>
      <c r="G983" s="263" t="s">
        <v>302</v>
      </c>
      <c r="H983" s="221" t="s">
        <v>16</v>
      </c>
      <c r="I983" s="220" t="s">
        <v>302</v>
      </c>
      <c r="J983" s="221" t="s">
        <v>302</v>
      </c>
      <c r="K983" s="221" t="s">
        <v>302</v>
      </c>
      <c r="L983" s="220" t="s">
        <v>302</v>
      </c>
      <c r="M983" s="220" t="s">
        <v>302</v>
      </c>
      <c r="N983" s="221" t="s">
        <v>302</v>
      </c>
      <c r="O983" s="222" t="s">
        <v>16</v>
      </c>
      <c r="P983" s="222" t="s">
        <v>16</v>
      </c>
      <c r="Q983" s="222" t="s">
        <v>16</v>
      </c>
      <c r="R983" s="222" t="s">
        <v>16</v>
      </c>
      <c r="S983" s="222" t="s">
        <v>16</v>
      </c>
      <c r="T983" s="222" t="s">
        <v>349</v>
      </c>
      <c r="U983" s="222" t="s">
        <v>269</v>
      </c>
      <c r="V983" s="222" t="s">
        <v>302</v>
      </c>
      <c r="W983" s="223" t="s">
        <v>302</v>
      </c>
      <c r="X983" s="223" t="s">
        <v>302</v>
      </c>
      <c r="Y983" s="224" t="s">
        <v>302</v>
      </c>
    </row>
    <row r="984" spans="1:25">
      <c r="A984" s="216">
        <v>18</v>
      </c>
      <c r="B984" s="217" t="str">
        <f>VLOOKUP(Tabel10[[#This Row],[Code]],Ruimtegroepen[[Code]:[Ruimte omschrijving]],2,FALSE)</f>
        <v>Gymzaal</v>
      </c>
      <c r="C984" s="218" t="s">
        <v>1117</v>
      </c>
      <c r="D984" s="217" t="s">
        <v>0</v>
      </c>
      <c r="E984" s="219" t="s">
        <v>102</v>
      </c>
      <c r="F984" s="218" t="s">
        <v>1120</v>
      </c>
      <c r="G984" s="263" t="s">
        <v>302</v>
      </c>
      <c r="H984" s="220" t="s">
        <v>302</v>
      </c>
      <c r="I984" s="220" t="s">
        <v>16</v>
      </c>
      <c r="J984" s="220" t="s">
        <v>302</v>
      </c>
      <c r="K984" s="220" t="s">
        <v>303</v>
      </c>
      <c r="L984" s="220" t="s">
        <v>302</v>
      </c>
      <c r="M984" s="220" t="s">
        <v>302</v>
      </c>
      <c r="N984" s="221" t="s">
        <v>302</v>
      </c>
      <c r="O984" s="222" t="s">
        <v>16</v>
      </c>
      <c r="P984" s="222" t="s">
        <v>16</v>
      </c>
      <c r="Q984" s="222" t="s">
        <v>16</v>
      </c>
      <c r="R984" s="222" t="s">
        <v>16</v>
      </c>
      <c r="S984" s="222" t="s">
        <v>16</v>
      </c>
      <c r="T984" s="222" t="s">
        <v>349</v>
      </c>
      <c r="U984" s="222" t="s">
        <v>269</v>
      </c>
      <c r="V984" s="222" t="s">
        <v>302</v>
      </c>
      <c r="W984" s="223" t="s">
        <v>302</v>
      </c>
      <c r="X984" s="223" t="s">
        <v>302</v>
      </c>
      <c r="Y984" s="224" t="s">
        <v>302</v>
      </c>
    </row>
    <row r="985" spans="1:25">
      <c r="A985" s="216">
        <v>18</v>
      </c>
      <c r="B985" s="217" t="str">
        <f>VLOOKUP(Tabel10[[#This Row],[Code]],Ruimtegroepen[[Code]:[Ruimte omschrijving]],2,FALSE)</f>
        <v>Gymzaal</v>
      </c>
      <c r="C985" s="218" t="s">
        <v>1117</v>
      </c>
      <c r="D985" s="217" t="s">
        <v>0</v>
      </c>
      <c r="E985" s="219" t="s">
        <v>103</v>
      </c>
      <c r="F985" s="218" t="s">
        <v>1121</v>
      </c>
      <c r="G985" s="263" t="s">
        <v>302</v>
      </c>
      <c r="H985" s="220" t="s">
        <v>302</v>
      </c>
      <c r="I985" s="221" t="s">
        <v>16</v>
      </c>
      <c r="J985" s="221" t="s">
        <v>302</v>
      </c>
      <c r="K985" s="220" t="s">
        <v>303</v>
      </c>
      <c r="L985" s="220" t="s">
        <v>302</v>
      </c>
      <c r="M985" s="220" t="s">
        <v>302</v>
      </c>
      <c r="N985" s="221" t="s">
        <v>302</v>
      </c>
      <c r="O985" s="222" t="s">
        <v>16</v>
      </c>
      <c r="P985" s="222" t="s">
        <v>16</v>
      </c>
      <c r="Q985" s="222" t="s">
        <v>16</v>
      </c>
      <c r="R985" s="222" t="s">
        <v>16</v>
      </c>
      <c r="S985" s="222" t="s">
        <v>16</v>
      </c>
      <c r="T985" s="222" t="s">
        <v>349</v>
      </c>
      <c r="U985" s="222" t="s">
        <v>269</v>
      </c>
      <c r="V985" s="222" t="s">
        <v>302</v>
      </c>
      <c r="W985" s="223" t="s">
        <v>302</v>
      </c>
      <c r="X985" s="223" t="s">
        <v>302</v>
      </c>
      <c r="Y985" s="224" t="s">
        <v>302</v>
      </c>
    </row>
    <row r="986" spans="1:25">
      <c r="A986" s="216">
        <v>18</v>
      </c>
      <c r="B986" s="217" t="str">
        <f>VLOOKUP(Tabel10[[#This Row],[Code]],Ruimtegroepen[[Code]:[Ruimte omschrijving]],2,FALSE)</f>
        <v>Gymzaal</v>
      </c>
      <c r="C986" s="218" t="s">
        <v>1117</v>
      </c>
      <c r="D986" s="217" t="s">
        <v>0</v>
      </c>
      <c r="E986" s="219" t="s">
        <v>100</v>
      </c>
      <c r="F986" s="218" t="s">
        <v>1119</v>
      </c>
      <c r="G986" s="263" t="s">
        <v>302</v>
      </c>
      <c r="H986" s="221" t="s">
        <v>16</v>
      </c>
      <c r="I986" s="220" t="s">
        <v>302</v>
      </c>
      <c r="J986" s="221" t="s">
        <v>302</v>
      </c>
      <c r="K986" s="221" t="s">
        <v>302</v>
      </c>
      <c r="L986" s="220" t="s">
        <v>302</v>
      </c>
      <c r="M986" s="220" t="s">
        <v>302</v>
      </c>
      <c r="N986" s="221" t="s">
        <v>302</v>
      </c>
      <c r="O986" s="222" t="s">
        <v>16</v>
      </c>
      <c r="P986" s="222" t="s">
        <v>16</v>
      </c>
      <c r="Q986" s="222" t="s">
        <v>16</v>
      </c>
      <c r="R986" s="222" t="s">
        <v>16</v>
      </c>
      <c r="S986" s="222" t="s">
        <v>16</v>
      </c>
      <c r="T986" s="222" t="s">
        <v>349</v>
      </c>
      <c r="U986" s="222" t="s">
        <v>269</v>
      </c>
      <c r="V986" s="222" t="s">
        <v>302</v>
      </c>
      <c r="W986" s="223" t="s">
        <v>302</v>
      </c>
      <c r="X986" s="223" t="s">
        <v>302</v>
      </c>
      <c r="Y986" s="224" t="s">
        <v>302</v>
      </c>
    </row>
    <row r="987" spans="1:25">
      <c r="A987" s="216">
        <v>18</v>
      </c>
      <c r="B987" s="217" t="str">
        <f>VLOOKUP(Tabel10[[#This Row],[Code]],Ruimtegroepen[[Code]:[Ruimte omschrijving]],2,FALSE)</f>
        <v>Gymzaal</v>
      </c>
      <c r="C987" s="218" t="s">
        <v>1117</v>
      </c>
      <c r="D987" s="217" t="s">
        <v>0</v>
      </c>
      <c r="E987" s="219" t="s">
        <v>1325</v>
      </c>
      <c r="F987" s="218" t="s">
        <v>1374</v>
      </c>
      <c r="G987" s="263" t="s">
        <v>302</v>
      </c>
      <c r="H987" s="220" t="s">
        <v>302</v>
      </c>
      <c r="I987" s="221" t="s">
        <v>16</v>
      </c>
      <c r="J987" s="221" t="s">
        <v>302</v>
      </c>
      <c r="K987" s="220" t="s">
        <v>303</v>
      </c>
      <c r="L987" s="220" t="s">
        <v>302</v>
      </c>
      <c r="M987" s="220" t="s">
        <v>302</v>
      </c>
      <c r="N987" s="221" t="s">
        <v>302</v>
      </c>
      <c r="O987" s="222" t="s">
        <v>16</v>
      </c>
      <c r="P987" s="222" t="s">
        <v>16</v>
      </c>
      <c r="Q987" s="222" t="s">
        <v>16</v>
      </c>
      <c r="R987" s="222" t="s">
        <v>16</v>
      </c>
      <c r="S987" s="222" t="s">
        <v>16</v>
      </c>
      <c r="T987" s="222" t="s">
        <v>349</v>
      </c>
      <c r="U987" s="222" t="s">
        <v>269</v>
      </c>
      <c r="V987" s="222" t="s">
        <v>302</v>
      </c>
      <c r="W987" s="223" t="s">
        <v>302</v>
      </c>
      <c r="X987" s="223" t="s">
        <v>302</v>
      </c>
      <c r="Y987" s="224" t="s">
        <v>302</v>
      </c>
    </row>
    <row r="988" spans="1:25">
      <c r="A988" s="216">
        <v>18</v>
      </c>
      <c r="B988" s="217" t="str">
        <f>VLOOKUP(Tabel10[[#This Row],[Code]],Ruimtegroepen[[Code]:[Ruimte omschrijving]],2,FALSE)</f>
        <v>Gymzaal</v>
      </c>
      <c r="C988" s="218" t="s">
        <v>1122</v>
      </c>
      <c r="D988" s="217" t="s">
        <v>27</v>
      </c>
      <c r="E988" s="219" t="s">
        <v>101</v>
      </c>
      <c r="F988" s="218" t="s">
        <v>1123</v>
      </c>
      <c r="G988" s="263" t="s">
        <v>302</v>
      </c>
      <c r="H988" s="220" t="s">
        <v>302</v>
      </c>
      <c r="I988" s="221" t="s">
        <v>15</v>
      </c>
      <c r="J988" s="220" t="s">
        <v>302</v>
      </c>
      <c r="K988" s="221" t="s">
        <v>302</v>
      </c>
      <c r="L988" s="220" t="s">
        <v>302</v>
      </c>
      <c r="M988" s="220" t="s">
        <v>302</v>
      </c>
      <c r="N988" s="221" t="s">
        <v>302</v>
      </c>
      <c r="O988" s="222" t="s">
        <v>15</v>
      </c>
      <c r="P988" s="222" t="s">
        <v>15</v>
      </c>
      <c r="Q988" s="222" t="s">
        <v>15</v>
      </c>
      <c r="R988" s="222" t="s">
        <v>15</v>
      </c>
      <c r="S988" s="222" t="s">
        <v>302</v>
      </c>
      <c r="T988" s="222" t="s">
        <v>302</v>
      </c>
      <c r="U988" s="222" t="s">
        <v>302</v>
      </c>
      <c r="V988" s="222" t="s">
        <v>302</v>
      </c>
      <c r="W988" s="223" t="s">
        <v>302</v>
      </c>
      <c r="X988" s="223" t="s">
        <v>302</v>
      </c>
      <c r="Y988" s="224" t="s">
        <v>302</v>
      </c>
    </row>
    <row r="989" spans="1:25">
      <c r="A989" s="216">
        <v>18</v>
      </c>
      <c r="B989" s="217" t="str">
        <f>VLOOKUP(Tabel10[[#This Row],[Code]],Ruimtegroepen[[Code]:[Ruimte omschrijving]],2,FALSE)</f>
        <v>Gymzaal</v>
      </c>
      <c r="C989" s="218" t="s">
        <v>1122</v>
      </c>
      <c r="D989" s="217" t="s">
        <v>27</v>
      </c>
      <c r="E989" s="219" t="s">
        <v>100</v>
      </c>
      <c r="F989" s="218" t="s">
        <v>1124</v>
      </c>
      <c r="G989" s="263" t="s">
        <v>302</v>
      </c>
      <c r="H989" s="221" t="s">
        <v>15</v>
      </c>
      <c r="I989" s="220" t="s">
        <v>302</v>
      </c>
      <c r="J989" s="221" t="s">
        <v>302</v>
      </c>
      <c r="K989" s="221" t="s">
        <v>302</v>
      </c>
      <c r="L989" s="220" t="s">
        <v>302</v>
      </c>
      <c r="M989" s="220" t="s">
        <v>302</v>
      </c>
      <c r="N989" s="221" t="s">
        <v>302</v>
      </c>
      <c r="O989" s="222" t="s">
        <v>15</v>
      </c>
      <c r="P989" s="222" t="s">
        <v>15</v>
      </c>
      <c r="Q989" s="222" t="s">
        <v>15</v>
      </c>
      <c r="R989" s="222" t="s">
        <v>15</v>
      </c>
      <c r="S989" s="222" t="s">
        <v>302</v>
      </c>
      <c r="T989" s="222" t="s">
        <v>302</v>
      </c>
      <c r="U989" s="222" t="s">
        <v>302</v>
      </c>
      <c r="V989" s="222" t="s">
        <v>302</v>
      </c>
      <c r="W989" s="223" t="s">
        <v>302</v>
      </c>
      <c r="X989" s="223" t="s">
        <v>302</v>
      </c>
      <c r="Y989" s="224" t="s">
        <v>302</v>
      </c>
    </row>
    <row r="990" spans="1:25">
      <c r="A990" s="216">
        <v>18</v>
      </c>
      <c r="B990" s="217" t="str">
        <f>VLOOKUP(Tabel10[[#This Row],[Code]],Ruimtegroepen[[Code]:[Ruimte omschrijving]],2,FALSE)</f>
        <v>Gymzaal</v>
      </c>
      <c r="C990" s="218" t="s">
        <v>1122</v>
      </c>
      <c r="D990" s="217" t="s">
        <v>27</v>
      </c>
      <c r="E990" s="219" t="s">
        <v>102</v>
      </c>
      <c r="F990" s="218" t="s">
        <v>1125</v>
      </c>
      <c r="G990" s="263" t="s">
        <v>302</v>
      </c>
      <c r="H990" s="220" t="s">
        <v>302</v>
      </c>
      <c r="I990" s="221" t="s">
        <v>15</v>
      </c>
      <c r="J990" s="220" t="s">
        <v>302</v>
      </c>
      <c r="K990" s="221" t="s">
        <v>302</v>
      </c>
      <c r="L990" s="220" t="s">
        <v>302</v>
      </c>
      <c r="M990" s="220" t="s">
        <v>302</v>
      </c>
      <c r="N990" s="221" t="s">
        <v>302</v>
      </c>
      <c r="O990" s="222" t="s">
        <v>15</v>
      </c>
      <c r="P990" s="222" t="s">
        <v>15</v>
      </c>
      <c r="Q990" s="222" t="s">
        <v>15</v>
      </c>
      <c r="R990" s="222" t="s">
        <v>15</v>
      </c>
      <c r="S990" s="222" t="s">
        <v>302</v>
      </c>
      <c r="T990" s="222" t="s">
        <v>302</v>
      </c>
      <c r="U990" s="222" t="s">
        <v>302</v>
      </c>
      <c r="V990" s="222" t="s">
        <v>302</v>
      </c>
      <c r="W990" s="223" t="s">
        <v>302</v>
      </c>
      <c r="X990" s="223" t="s">
        <v>302</v>
      </c>
      <c r="Y990" s="224" t="s">
        <v>302</v>
      </c>
    </row>
    <row r="991" spans="1:25">
      <c r="A991" s="216">
        <v>18</v>
      </c>
      <c r="B991" s="217" t="str">
        <f>VLOOKUP(Tabel10[[#This Row],[Code]],Ruimtegroepen[[Code]:[Ruimte omschrijving]],2,FALSE)</f>
        <v>Gymzaal</v>
      </c>
      <c r="C991" s="218" t="s">
        <v>1122</v>
      </c>
      <c r="D991" s="217" t="s">
        <v>27</v>
      </c>
      <c r="E991" s="219" t="s">
        <v>103</v>
      </c>
      <c r="F991" s="218" t="s">
        <v>1126</v>
      </c>
      <c r="G991" s="263" t="s">
        <v>302</v>
      </c>
      <c r="H991" s="220" t="s">
        <v>302</v>
      </c>
      <c r="I991" s="221" t="s">
        <v>15</v>
      </c>
      <c r="J991" s="220" t="s">
        <v>302</v>
      </c>
      <c r="K991" s="221" t="s">
        <v>302</v>
      </c>
      <c r="L991" s="220" t="s">
        <v>302</v>
      </c>
      <c r="M991" s="220" t="s">
        <v>302</v>
      </c>
      <c r="N991" s="221" t="s">
        <v>302</v>
      </c>
      <c r="O991" s="222" t="s">
        <v>15</v>
      </c>
      <c r="P991" s="222" t="s">
        <v>15</v>
      </c>
      <c r="Q991" s="222" t="s">
        <v>15</v>
      </c>
      <c r="R991" s="222" t="s">
        <v>15</v>
      </c>
      <c r="S991" s="222" t="s">
        <v>302</v>
      </c>
      <c r="T991" s="222" t="s">
        <v>302</v>
      </c>
      <c r="U991" s="222" t="s">
        <v>302</v>
      </c>
      <c r="V991" s="222" t="s">
        <v>302</v>
      </c>
      <c r="W991" s="223" t="s">
        <v>302</v>
      </c>
      <c r="X991" s="223" t="s">
        <v>302</v>
      </c>
      <c r="Y991" s="224" t="s">
        <v>302</v>
      </c>
    </row>
    <row r="992" spans="1:25">
      <c r="A992" s="216">
        <v>18</v>
      </c>
      <c r="B992" s="217" t="str">
        <f>VLOOKUP(Tabel10[[#This Row],[Code]],Ruimtegroepen[[Code]:[Ruimte omschrijving]],2,FALSE)</f>
        <v>Gymzaal</v>
      </c>
      <c r="C992" s="218" t="s">
        <v>1122</v>
      </c>
      <c r="D992" s="217" t="s">
        <v>27</v>
      </c>
      <c r="E992" s="219" t="s">
        <v>100</v>
      </c>
      <c r="F992" s="218" t="s">
        <v>1124</v>
      </c>
      <c r="G992" s="263" t="s">
        <v>302</v>
      </c>
      <c r="H992" s="221" t="s">
        <v>15</v>
      </c>
      <c r="I992" s="220" t="s">
        <v>302</v>
      </c>
      <c r="J992" s="221" t="s">
        <v>302</v>
      </c>
      <c r="K992" s="221" t="s">
        <v>302</v>
      </c>
      <c r="L992" s="220" t="s">
        <v>302</v>
      </c>
      <c r="M992" s="220" t="s">
        <v>302</v>
      </c>
      <c r="N992" s="221" t="s">
        <v>302</v>
      </c>
      <c r="O992" s="222" t="s">
        <v>15</v>
      </c>
      <c r="P992" s="222" t="s">
        <v>15</v>
      </c>
      <c r="Q992" s="222" t="s">
        <v>15</v>
      </c>
      <c r="R992" s="222" t="s">
        <v>15</v>
      </c>
      <c r="S992" s="222" t="s">
        <v>302</v>
      </c>
      <c r="T992" s="222" t="s">
        <v>302</v>
      </c>
      <c r="U992" s="222" t="s">
        <v>302</v>
      </c>
      <c r="V992" s="222" t="s">
        <v>302</v>
      </c>
      <c r="W992" s="223" t="s">
        <v>302</v>
      </c>
      <c r="X992" s="223" t="s">
        <v>302</v>
      </c>
      <c r="Y992" s="224" t="s">
        <v>302</v>
      </c>
    </row>
    <row r="993" spans="1:25">
      <c r="A993" s="216">
        <v>18</v>
      </c>
      <c r="B993" s="217" t="str">
        <f>VLOOKUP(Tabel10[[#This Row],[Code]],Ruimtegroepen[[Code]:[Ruimte omschrijving]],2,FALSE)</f>
        <v>Gymzaal</v>
      </c>
      <c r="C993" s="218" t="s">
        <v>1122</v>
      </c>
      <c r="D993" s="217" t="s">
        <v>27</v>
      </c>
      <c r="E993" s="219" t="s">
        <v>1325</v>
      </c>
      <c r="F993" s="218" t="s">
        <v>1407</v>
      </c>
      <c r="G993" s="263" t="s">
        <v>302</v>
      </c>
      <c r="H993" s="220" t="s">
        <v>302</v>
      </c>
      <c r="I993" s="221" t="s">
        <v>15</v>
      </c>
      <c r="J993" s="220" t="s">
        <v>302</v>
      </c>
      <c r="K993" s="221" t="s">
        <v>302</v>
      </c>
      <c r="L993" s="220" t="s">
        <v>302</v>
      </c>
      <c r="M993" s="220" t="s">
        <v>302</v>
      </c>
      <c r="N993" s="221" t="s">
        <v>302</v>
      </c>
      <c r="O993" s="222" t="s">
        <v>15</v>
      </c>
      <c r="P993" s="222" t="s">
        <v>15</v>
      </c>
      <c r="Q993" s="222" t="s">
        <v>15</v>
      </c>
      <c r="R993" s="222" t="s">
        <v>15</v>
      </c>
      <c r="S993" s="222" t="s">
        <v>302</v>
      </c>
      <c r="T993" s="222" t="s">
        <v>302</v>
      </c>
      <c r="U993" s="222" t="s">
        <v>302</v>
      </c>
      <c r="V993" s="222" t="s">
        <v>302</v>
      </c>
      <c r="W993" s="223" t="s">
        <v>302</v>
      </c>
      <c r="X993" s="223" t="s">
        <v>302</v>
      </c>
      <c r="Y993" s="224" t="s">
        <v>302</v>
      </c>
    </row>
    <row r="994" spans="1:25">
      <c r="A994" s="216">
        <v>18</v>
      </c>
      <c r="B994" s="217" t="str">
        <f>VLOOKUP(Tabel10[[#This Row],[Code]],Ruimtegroepen[[Code]:[Ruimte omschrijving]],2,FALSE)</f>
        <v>Gymzaal</v>
      </c>
      <c r="C994" s="218" t="s">
        <v>1127</v>
      </c>
      <c r="D994" s="217" t="s">
        <v>28</v>
      </c>
      <c r="E994" s="219" t="s">
        <v>101</v>
      </c>
      <c r="F994" s="218" t="s">
        <v>1128</v>
      </c>
      <c r="G994" s="263" t="s">
        <v>302</v>
      </c>
      <c r="H994" s="220" t="s">
        <v>302</v>
      </c>
      <c r="I994" s="221" t="s">
        <v>17</v>
      </c>
      <c r="J994" s="220" t="s">
        <v>302</v>
      </c>
      <c r="K994" s="221" t="s">
        <v>302</v>
      </c>
      <c r="L994" s="220" t="s">
        <v>302</v>
      </c>
      <c r="M994" s="220" t="s">
        <v>302</v>
      </c>
      <c r="N994" s="221" t="s">
        <v>302</v>
      </c>
      <c r="O994" s="222" t="s">
        <v>17</v>
      </c>
      <c r="P994" s="222" t="s">
        <v>17</v>
      </c>
      <c r="Q994" s="222" t="s">
        <v>17</v>
      </c>
      <c r="R994" s="222" t="s">
        <v>17</v>
      </c>
      <c r="S994" s="222" t="s">
        <v>302</v>
      </c>
      <c r="T994" s="222" t="s">
        <v>302</v>
      </c>
      <c r="U994" s="222" t="s">
        <v>302</v>
      </c>
      <c r="V994" s="222" t="s">
        <v>302</v>
      </c>
      <c r="W994" s="223" t="s">
        <v>302</v>
      </c>
      <c r="X994" s="223" t="s">
        <v>302</v>
      </c>
      <c r="Y994" s="224" t="s">
        <v>302</v>
      </c>
    </row>
    <row r="995" spans="1:25">
      <c r="A995" s="216">
        <v>18</v>
      </c>
      <c r="B995" s="217" t="str">
        <f>VLOOKUP(Tabel10[[#This Row],[Code]],Ruimtegroepen[[Code]:[Ruimte omschrijving]],2,FALSE)</f>
        <v>Gymzaal</v>
      </c>
      <c r="C995" s="218" t="s">
        <v>1127</v>
      </c>
      <c r="D995" s="217" t="s">
        <v>28</v>
      </c>
      <c r="E995" s="219" t="s">
        <v>100</v>
      </c>
      <c r="F995" s="218" t="s">
        <v>1129</v>
      </c>
      <c r="G995" s="263" t="s">
        <v>302</v>
      </c>
      <c r="H995" s="221" t="s">
        <v>17</v>
      </c>
      <c r="I995" s="220" t="s">
        <v>302</v>
      </c>
      <c r="J995" s="221" t="s">
        <v>302</v>
      </c>
      <c r="K995" s="221" t="s">
        <v>302</v>
      </c>
      <c r="L995" s="220" t="s">
        <v>302</v>
      </c>
      <c r="M995" s="220" t="s">
        <v>302</v>
      </c>
      <c r="N995" s="221" t="s">
        <v>302</v>
      </c>
      <c r="O995" s="222" t="s">
        <v>17</v>
      </c>
      <c r="P995" s="222" t="s">
        <v>17</v>
      </c>
      <c r="Q995" s="222" t="s">
        <v>17</v>
      </c>
      <c r="R995" s="222" t="s">
        <v>17</v>
      </c>
      <c r="S995" s="222" t="s">
        <v>302</v>
      </c>
      <c r="T995" s="222" t="s">
        <v>302</v>
      </c>
      <c r="U995" s="222" t="s">
        <v>302</v>
      </c>
      <c r="V995" s="222" t="s">
        <v>302</v>
      </c>
      <c r="W995" s="223" t="s">
        <v>302</v>
      </c>
      <c r="X995" s="223" t="s">
        <v>302</v>
      </c>
      <c r="Y995" s="224" t="s">
        <v>302</v>
      </c>
    </row>
    <row r="996" spans="1:25">
      <c r="A996" s="216">
        <v>18</v>
      </c>
      <c r="B996" s="217" t="str">
        <f>VLOOKUP(Tabel10[[#This Row],[Code]],Ruimtegroepen[[Code]:[Ruimte omschrijving]],2,FALSE)</f>
        <v>Gymzaal</v>
      </c>
      <c r="C996" s="218" t="s">
        <v>1127</v>
      </c>
      <c r="D996" s="217" t="s">
        <v>28</v>
      </c>
      <c r="E996" s="219" t="s">
        <v>102</v>
      </c>
      <c r="F996" s="218" t="s">
        <v>1130</v>
      </c>
      <c r="G996" s="263" t="s">
        <v>302</v>
      </c>
      <c r="H996" s="220" t="s">
        <v>302</v>
      </c>
      <c r="I996" s="221" t="s">
        <v>17</v>
      </c>
      <c r="J996" s="220" t="s">
        <v>302</v>
      </c>
      <c r="K996" s="221" t="s">
        <v>302</v>
      </c>
      <c r="L996" s="220" t="s">
        <v>302</v>
      </c>
      <c r="M996" s="220" t="s">
        <v>302</v>
      </c>
      <c r="N996" s="221" t="s">
        <v>302</v>
      </c>
      <c r="O996" s="222" t="s">
        <v>17</v>
      </c>
      <c r="P996" s="222" t="s">
        <v>17</v>
      </c>
      <c r="Q996" s="222" t="s">
        <v>17</v>
      </c>
      <c r="R996" s="222" t="s">
        <v>17</v>
      </c>
      <c r="S996" s="222" t="s">
        <v>302</v>
      </c>
      <c r="T996" s="222" t="s">
        <v>302</v>
      </c>
      <c r="U996" s="222" t="s">
        <v>302</v>
      </c>
      <c r="V996" s="222" t="s">
        <v>302</v>
      </c>
      <c r="W996" s="223" t="s">
        <v>302</v>
      </c>
      <c r="X996" s="223" t="s">
        <v>302</v>
      </c>
      <c r="Y996" s="224" t="s">
        <v>302</v>
      </c>
    </row>
    <row r="997" spans="1:25">
      <c r="A997" s="216">
        <v>18</v>
      </c>
      <c r="B997" s="217" t="str">
        <f>VLOOKUP(Tabel10[[#This Row],[Code]],Ruimtegroepen[[Code]:[Ruimte omschrijving]],2,FALSE)</f>
        <v>Gymzaal</v>
      </c>
      <c r="C997" s="218" t="s">
        <v>1127</v>
      </c>
      <c r="D997" s="217" t="s">
        <v>28</v>
      </c>
      <c r="E997" s="219" t="s">
        <v>103</v>
      </c>
      <c r="F997" s="218" t="s">
        <v>1131</v>
      </c>
      <c r="G997" s="263" t="s">
        <v>302</v>
      </c>
      <c r="H997" s="220" t="s">
        <v>302</v>
      </c>
      <c r="I997" s="221" t="s">
        <v>17</v>
      </c>
      <c r="J997" s="220" t="s">
        <v>302</v>
      </c>
      <c r="K997" s="221" t="s">
        <v>302</v>
      </c>
      <c r="L997" s="220" t="s">
        <v>302</v>
      </c>
      <c r="M997" s="220" t="s">
        <v>302</v>
      </c>
      <c r="N997" s="221" t="s">
        <v>302</v>
      </c>
      <c r="O997" s="222" t="s">
        <v>17</v>
      </c>
      <c r="P997" s="222" t="s">
        <v>17</v>
      </c>
      <c r="Q997" s="222" t="s">
        <v>17</v>
      </c>
      <c r="R997" s="222" t="s">
        <v>17</v>
      </c>
      <c r="S997" s="222" t="s">
        <v>302</v>
      </c>
      <c r="T997" s="222" t="s">
        <v>302</v>
      </c>
      <c r="U997" s="222" t="s">
        <v>302</v>
      </c>
      <c r="V997" s="222" t="s">
        <v>302</v>
      </c>
      <c r="W997" s="223" t="s">
        <v>302</v>
      </c>
      <c r="X997" s="223" t="s">
        <v>302</v>
      </c>
      <c r="Y997" s="224" t="s">
        <v>302</v>
      </c>
    </row>
    <row r="998" spans="1:25">
      <c r="A998" s="216">
        <v>18</v>
      </c>
      <c r="B998" s="217" t="str">
        <f>VLOOKUP(Tabel10[[#This Row],[Code]],Ruimtegroepen[[Code]:[Ruimte omschrijving]],2,FALSE)</f>
        <v>Gymzaal</v>
      </c>
      <c r="C998" s="218" t="s">
        <v>1127</v>
      </c>
      <c r="D998" s="217" t="s">
        <v>28</v>
      </c>
      <c r="E998" s="219" t="s">
        <v>100</v>
      </c>
      <c r="F998" s="218" t="s">
        <v>1129</v>
      </c>
      <c r="G998" s="263" t="s">
        <v>302</v>
      </c>
      <c r="H998" s="221" t="s">
        <v>17</v>
      </c>
      <c r="I998" s="220" t="s">
        <v>302</v>
      </c>
      <c r="J998" s="221" t="s">
        <v>302</v>
      </c>
      <c r="K998" s="221" t="s">
        <v>302</v>
      </c>
      <c r="L998" s="220" t="s">
        <v>302</v>
      </c>
      <c r="M998" s="220" t="s">
        <v>302</v>
      </c>
      <c r="N998" s="221" t="s">
        <v>302</v>
      </c>
      <c r="O998" s="222" t="s">
        <v>17</v>
      </c>
      <c r="P998" s="222" t="s">
        <v>17</v>
      </c>
      <c r="Q998" s="222" t="s">
        <v>17</v>
      </c>
      <c r="R998" s="222" t="s">
        <v>17</v>
      </c>
      <c r="S998" s="222" t="s">
        <v>302</v>
      </c>
      <c r="T998" s="222" t="s">
        <v>302</v>
      </c>
      <c r="U998" s="222" t="s">
        <v>302</v>
      </c>
      <c r="V998" s="222" t="s">
        <v>302</v>
      </c>
      <c r="W998" s="223" t="s">
        <v>302</v>
      </c>
      <c r="X998" s="223" t="s">
        <v>302</v>
      </c>
      <c r="Y998" s="224" t="s">
        <v>302</v>
      </c>
    </row>
    <row r="999" spans="1:25">
      <c r="A999" s="216">
        <v>18</v>
      </c>
      <c r="B999" s="217" t="str">
        <f>VLOOKUP(Tabel10[[#This Row],[Code]],Ruimtegroepen[[Code]:[Ruimte omschrijving]],2,FALSE)</f>
        <v>Gymzaal</v>
      </c>
      <c r="C999" s="218" t="s">
        <v>1127</v>
      </c>
      <c r="D999" s="217" t="s">
        <v>28</v>
      </c>
      <c r="E999" s="219" t="s">
        <v>1325</v>
      </c>
      <c r="F999" s="218" t="s">
        <v>1440</v>
      </c>
      <c r="G999" s="263" t="s">
        <v>302</v>
      </c>
      <c r="H999" s="220" t="s">
        <v>302</v>
      </c>
      <c r="I999" s="221" t="s">
        <v>17</v>
      </c>
      <c r="J999" s="220" t="s">
        <v>302</v>
      </c>
      <c r="K999" s="221" t="s">
        <v>302</v>
      </c>
      <c r="L999" s="220" t="s">
        <v>302</v>
      </c>
      <c r="M999" s="220" t="s">
        <v>302</v>
      </c>
      <c r="N999" s="221" t="s">
        <v>302</v>
      </c>
      <c r="O999" s="222" t="s">
        <v>17</v>
      </c>
      <c r="P999" s="222" t="s">
        <v>17</v>
      </c>
      <c r="Q999" s="222" t="s">
        <v>17</v>
      </c>
      <c r="R999" s="222" t="s">
        <v>17</v>
      </c>
      <c r="S999" s="222" t="s">
        <v>302</v>
      </c>
      <c r="T999" s="222" t="s">
        <v>302</v>
      </c>
      <c r="U999" s="222" t="s">
        <v>302</v>
      </c>
      <c r="V999" s="222" t="s">
        <v>302</v>
      </c>
      <c r="W999" s="223" t="s">
        <v>302</v>
      </c>
      <c r="X999" s="223" t="s">
        <v>302</v>
      </c>
      <c r="Y999" s="224" t="s">
        <v>302</v>
      </c>
    </row>
    <row r="1000" spans="1:25">
      <c r="A1000" s="216">
        <v>19</v>
      </c>
      <c r="B1000" s="217" t="str">
        <f>VLOOKUP(Tabel10[[#This Row],[Code]],Ruimtegroepen[[Code]:[Ruimte omschrijving]],2,FALSE)</f>
        <v>kleedruimten</v>
      </c>
      <c r="C1000" s="218" t="s">
        <v>1132</v>
      </c>
      <c r="D1000" s="217" t="s">
        <v>29</v>
      </c>
      <c r="E1000" s="219" t="s">
        <v>101</v>
      </c>
      <c r="F1000" s="218" t="s">
        <v>1133</v>
      </c>
      <c r="G1000" s="263" t="s">
        <v>302</v>
      </c>
      <c r="H1000" s="220" t="s">
        <v>302</v>
      </c>
      <c r="I1000" s="221" t="s">
        <v>2</v>
      </c>
      <c r="J1000" s="221" t="s">
        <v>302</v>
      </c>
      <c r="K1000" s="221" t="s">
        <v>2</v>
      </c>
      <c r="L1000" s="220" t="s">
        <v>302</v>
      </c>
      <c r="M1000" s="220" t="s">
        <v>302</v>
      </c>
      <c r="N1000" s="221" t="s">
        <v>2</v>
      </c>
      <c r="O1000" s="222" t="s">
        <v>2</v>
      </c>
      <c r="P1000" s="222" t="s">
        <v>2</v>
      </c>
      <c r="Q1000" s="222" t="s">
        <v>15</v>
      </c>
      <c r="R1000" s="222" t="s">
        <v>15</v>
      </c>
      <c r="S1000" s="222" t="s">
        <v>16</v>
      </c>
      <c r="T1000" s="222" t="s">
        <v>349</v>
      </c>
      <c r="U1000" s="222" t="s">
        <v>269</v>
      </c>
      <c r="V1000" s="222" t="s">
        <v>2</v>
      </c>
      <c r="W1000" s="223" t="s">
        <v>302</v>
      </c>
      <c r="X1000" s="223" t="s">
        <v>302</v>
      </c>
      <c r="Y1000" s="224" t="s">
        <v>302</v>
      </c>
    </row>
    <row r="1001" spans="1:25">
      <c r="A1001" s="216">
        <v>19</v>
      </c>
      <c r="B1001" s="217" t="str">
        <f>VLOOKUP(Tabel10[[#This Row],[Code]],Ruimtegroepen[[Code]:[Ruimte omschrijving]],2,FALSE)</f>
        <v>kleedruimten</v>
      </c>
      <c r="C1001" s="218" t="s">
        <v>1132</v>
      </c>
      <c r="D1001" s="217" t="s">
        <v>29</v>
      </c>
      <c r="E1001" s="219" t="s">
        <v>100</v>
      </c>
      <c r="F1001" s="218" t="s">
        <v>1134</v>
      </c>
      <c r="G1001" s="263" t="s">
        <v>302</v>
      </c>
      <c r="H1001" s="221" t="s">
        <v>2</v>
      </c>
      <c r="I1001" s="220" t="s">
        <v>302</v>
      </c>
      <c r="J1001" s="221" t="s">
        <v>302</v>
      </c>
      <c r="K1001" s="221" t="s">
        <v>302</v>
      </c>
      <c r="L1001" s="220" t="s">
        <v>302</v>
      </c>
      <c r="M1001" s="220" t="s">
        <v>302</v>
      </c>
      <c r="N1001" s="221" t="s">
        <v>2</v>
      </c>
      <c r="O1001" s="222" t="s">
        <v>2</v>
      </c>
      <c r="P1001" s="222" t="s">
        <v>2</v>
      </c>
      <c r="Q1001" s="222" t="s">
        <v>15</v>
      </c>
      <c r="R1001" s="222" t="s">
        <v>15</v>
      </c>
      <c r="S1001" s="222" t="s">
        <v>16</v>
      </c>
      <c r="T1001" s="222" t="s">
        <v>349</v>
      </c>
      <c r="U1001" s="222" t="s">
        <v>269</v>
      </c>
      <c r="V1001" s="222" t="s">
        <v>2</v>
      </c>
      <c r="W1001" s="223" t="s">
        <v>302</v>
      </c>
      <c r="X1001" s="223" t="s">
        <v>302</v>
      </c>
      <c r="Y1001" s="224" t="s">
        <v>302</v>
      </c>
    </row>
    <row r="1002" spans="1:25">
      <c r="A1002" s="216">
        <v>19</v>
      </c>
      <c r="B1002" s="217" t="str">
        <f>VLOOKUP(Tabel10[[#This Row],[Code]],Ruimtegroepen[[Code]:[Ruimte omschrijving]],2,FALSE)</f>
        <v>kleedruimten</v>
      </c>
      <c r="C1002" s="218" t="s">
        <v>1132</v>
      </c>
      <c r="D1002" s="217" t="s">
        <v>29</v>
      </c>
      <c r="E1002" s="219" t="s">
        <v>102</v>
      </c>
      <c r="F1002" s="218" t="s">
        <v>1135</v>
      </c>
      <c r="G1002" s="263" t="s">
        <v>302</v>
      </c>
      <c r="H1002" s="220" t="s">
        <v>302</v>
      </c>
      <c r="I1002" s="221" t="s">
        <v>2</v>
      </c>
      <c r="J1002" s="221" t="s">
        <v>302</v>
      </c>
      <c r="K1002" s="221" t="s">
        <v>2</v>
      </c>
      <c r="L1002" s="220" t="s">
        <v>302</v>
      </c>
      <c r="M1002" s="220" t="s">
        <v>302</v>
      </c>
      <c r="N1002" s="221" t="s">
        <v>2</v>
      </c>
      <c r="O1002" s="222" t="s">
        <v>2</v>
      </c>
      <c r="P1002" s="222" t="s">
        <v>2</v>
      </c>
      <c r="Q1002" s="222" t="s">
        <v>15</v>
      </c>
      <c r="R1002" s="222" t="s">
        <v>15</v>
      </c>
      <c r="S1002" s="222" t="s">
        <v>16</v>
      </c>
      <c r="T1002" s="222" t="s">
        <v>349</v>
      </c>
      <c r="U1002" s="222" t="s">
        <v>269</v>
      </c>
      <c r="V1002" s="222" t="s">
        <v>2</v>
      </c>
      <c r="W1002" s="223" t="s">
        <v>302</v>
      </c>
      <c r="X1002" s="223" t="s">
        <v>302</v>
      </c>
      <c r="Y1002" s="224" t="s">
        <v>302</v>
      </c>
    </row>
    <row r="1003" spans="1:25">
      <c r="A1003" s="216">
        <v>19</v>
      </c>
      <c r="B1003" s="217" t="str">
        <f>VLOOKUP(Tabel10[[#This Row],[Code]],Ruimtegroepen[[Code]:[Ruimte omschrijving]],2,FALSE)</f>
        <v>kleedruimten</v>
      </c>
      <c r="C1003" s="218" t="s">
        <v>1132</v>
      </c>
      <c r="D1003" s="217" t="s">
        <v>29</v>
      </c>
      <c r="E1003" s="219" t="s">
        <v>103</v>
      </c>
      <c r="F1003" s="218" t="s">
        <v>1136</v>
      </c>
      <c r="G1003" s="263" t="s">
        <v>302</v>
      </c>
      <c r="H1003" s="220" t="s">
        <v>302</v>
      </c>
      <c r="I1003" s="221" t="s">
        <v>2</v>
      </c>
      <c r="J1003" s="221" t="s">
        <v>302</v>
      </c>
      <c r="K1003" s="221" t="s">
        <v>2</v>
      </c>
      <c r="L1003" s="220" t="s">
        <v>302</v>
      </c>
      <c r="M1003" s="220" t="s">
        <v>302</v>
      </c>
      <c r="N1003" s="221" t="s">
        <v>2</v>
      </c>
      <c r="O1003" s="222" t="s">
        <v>2</v>
      </c>
      <c r="P1003" s="222" t="s">
        <v>2</v>
      </c>
      <c r="Q1003" s="222" t="s">
        <v>15</v>
      </c>
      <c r="R1003" s="222" t="s">
        <v>15</v>
      </c>
      <c r="S1003" s="222" t="s">
        <v>16</v>
      </c>
      <c r="T1003" s="222" t="s">
        <v>349</v>
      </c>
      <c r="U1003" s="222" t="s">
        <v>269</v>
      </c>
      <c r="V1003" s="222" t="s">
        <v>2</v>
      </c>
      <c r="W1003" s="223" t="s">
        <v>302</v>
      </c>
      <c r="X1003" s="223" t="s">
        <v>302</v>
      </c>
      <c r="Y1003" s="224" t="s">
        <v>302</v>
      </c>
    </row>
    <row r="1004" spans="1:25">
      <c r="A1004" s="216">
        <v>19</v>
      </c>
      <c r="B1004" s="217" t="str">
        <f>VLOOKUP(Tabel10[[#This Row],[Code]],Ruimtegroepen[[Code]:[Ruimte omschrijving]],2,FALSE)</f>
        <v>kleedruimten</v>
      </c>
      <c r="C1004" s="218" t="s">
        <v>1132</v>
      </c>
      <c r="D1004" s="217" t="s">
        <v>29</v>
      </c>
      <c r="E1004" s="219" t="s">
        <v>100</v>
      </c>
      <c r="F1004" s="218" t="s">
        <v>1134</v>
      </c>
      <c r="G1004" s="263" t="s">
        <v>302</v>
      </c>
      <c r="H1004" s="221" t="s">
        <v>2</v>
      </c>
      <c r="I1004" s="220" t="s">
        <v>302</v>
      </c>
      <c r="J1004" s="221" t="s">
        <v>302</v>
      </c>
      <c r="K1004" s="221" t="s">
        <v>302</v>
      </c>
      <c r="L1004" s="220" t="s">
        <v>302</v>
      </c>
      <c r="M1004" s="220" t="s">
        <v>302</v>
      </c>
      <c r="N1004" s="221" t="s">
        <v>2</v>
      </c>
      <c r="O1004" s="222" t="s">
        <v>2</v>
      </c>
      <c r="P1004" s="222" t="s">
        <v>2</v>
      </c>
      <c r="Q1004" s="222" t="s">
        <v>15</v>
      </c>
      <c r="R1004" s="222" t="s">
        <v>15</v>
      </c>
      <c r="S1004" s="222" t="s">
        <v>16</v>
      </c>
      <c r="T1004" s="222" t="s">
        <v>349</v>
      </c>
      <c r="U1004" s="222" t="s">
        <v>269</v>
      </c>
      <c r="V1004" s="222" t="s">
        <v>2</v>
      </c>
      <c r="W1004" s="223" t="s">
        <v>302</v>
      </c>
      <c r="X1004" s="223" t="s">
        <v>302</v>
      </c>
      <c r="Y1004" s="224" t="s">
        <v>302</v>
      </c>
    </row>
    <row r="1005" spans="1:25">
      <c r="A1005" s="216">
        <v>19</v>
      </c>
      <c r="B1005" s="217" t="str">
        <f>VLOOKUP(Tabel10[[#This Row],[Code]],Ruimtegroepen[[Code]:[Ruimte omschrijving]],2,FALSE)</f>
        <v>kleedruimten</v>
      </c>
      <c r="C1005" s="218" t="s">
        <v>1132</v>
      </c>
      <c r="D1005" s="217" t="s">
        <v>29</v>
      </c>
      <c r="E1005" s="219" t="s">
        <v>1325</v>
      </c>
      <c r="F1005" s="218" t="s">
        <v>1508</v>
      </c>
      <c r="G1005" s="263" t="s">
        <v>302</v>
      </c>
      <c r="H1005" s="220" t="s">
        <v>302</v>
      </c>
      <c r="I1005" s="221" t="s">
        <v>2</v>
      </c>
      <c r="J1005" s="221" t="s">
        <v>302</v>
      </c>
      <c r="K1005" s="221" t="s">
        <v>2</v>
      </c>
      <c r="L1005" s="220" t="s">
        <v>302</v>
      </c>
      <c r="M1005" s="220" t="s">
        <v>302</v>
      </c>
      <c r="N1005" s="221" t="s">
        <v>2</v>
      </c>
      <c r="O1005" s="222" t="s">
        <v>2</v>
      </c>
      <c r="P1005" s="222" t="s">
        <v>2</v>
      </c>
      <c r="Q1005" s="222" t="s">
        <v>15</v>
      </c>
      <c r="R1005" s="222" t="s">
        <v>15</v>
      </c>
      <c r="S1005" s="222" t="s">
        <v>16</v>
      </c>
      <c r="T1005" s="222" t="s">
        <v>349</v>
      </c>
      <c r="U1005" s="222" t="s">
        <v>269</v>
      </c>
      <c r="V1005" s="222" t="s">
        <v>2</v>
      </c>
      <c r="W1005" s="223" t="s">
        <v>302</v>
      </c>
      <c r="X1005" s="223" t="s">
        <v>302</v>
      </c>
      <c r="Y1005" s="224" t="s">
        <v>302</v>
      </c>
    </row>
    <row r="1006" spans="1:25">
      <c r="A1006" s="216">
        <v>19</v>
      </c>
      <c r="B1006" s="217" t="str">
        <f>VLOOKUP(Tabel10[[#This Row],[Code]],Ruimtegroepen[[Code]:[Ruimte omschrijving]],2,FALSE)</f>
        <v>kleedruimten</v>
      </c>
      <c r="C1006" s="218" t="s">
        <v>1137</v>
      </c>
      <c r="D1006" s="217" t="s">
        <v>1</v>
      </c>
      <c r="E1006" s="219" t="s">
        <v>101</v>
      </c>
      <c r="F1006" s="218" t="s">
        <v>1138</v>
      </c>
      <c r="G1006" s="263" t="s">
        <v>302</v>
      </c>
      <c r="H1006" s="220" t="s">
        <v>302</v>
      </c>
      <c r="I1006" s="221" t="s">
        <v>2</v>
      </c>
      <c r="J1006" s="221" t="s">
        <v>302</v>
      </c>
      <c r="K1006" s="221" t="s">
        <v>2</v>
      </c>
      <c r="L1006" s="220" t="s">
        <v>302</v>
      </c>
      <c r="M1006" s="220" t="s">
        <v>302</v>
      </c>
      <c r="N1006" s="221" t="s">
        <v>302</v>
      </c>
      <c r="O1006" s="222" t="s">
        <v>2</v>
      </c>
      <c r="P1006" s="222" t="s">
        <v>2</v>
      </c>
      <c r="Q1006" s="222" t="s">
        <v>15</v>
      </c>
      <c r="R1006" s="222" t="s">
        <v>15</v>
      </c>
      <c r="S1006" s="222" t="s">
        <v>16</v>
      </c>
      <c r="T1006" s="222" t="s">
        <v>349</v>
      </c>
      <c r="U1006" s="222" t="s">
        <v>269</v>
      </c>
      <c r="V1006" s="222" t="s">
        <v>302</v>
      </c>
      <c r="W1006" s="223" t="s">
        <v>302</v>
      </c>
      <c r="X1006" s="223" t="s">
        <v>302</v>
      </c>
      <c r="Y1006" s="224" t="s">
        <v>302</v>
      </c>
    </row>
    <row r="1007" spans="1:25">
      <c r="A1007" s="216">
        <v>19</v>
      </c>
      <c r="B1007" s="217" t="str">
        <f>VLOOKUP(Tabel10[[#This Row],[Code]],Ruimtegroepen[[Code]:[Ruimte omschrijving]],2,FALSE)</f>
        <v>kleedruimten</v>
      </c>
      <c r="C1007" s="218" t="s">
        <v>1137</v>
      </c>
      <c r="D1007" s="217" t="s">
        <v>1</v>
      </c>
      <c r="E1007" s="219" t="s">
        <v>100</v>
      </c>
      <c r="F1007" s="218" t="s">
        <v>1139</v>
      </c>
      <c r="G1007" s="263" t="s">
        <v>302</v>
      </c>
      <c r="H1007" s="221" t="s">
        <v>2</v>
      </c>
      <c r="I1007" s="220" t="s">
        <v>302</v>
      </c>
      <c r="J1007" s="221" t="s">
        <v>302</v>
      </c>
      <c r="K1007" s="221" t="s">
        <v>302</v>
      </c>
      <c r="L1007" s="220" t="s">
        <v>302</v>
      </c>
      <c r="M1007" s="220" t="s">
        <v>302</v>
      </c>
      <c r="N1007" s="221" t="s">
        <v>302</v>
      </c>
      <c r="O1007" s="222" t="s">
        <v>2</v>
      </c>
      <c r="P1007" s="222" t="s">
        <v>2</v>
      </c>
      <c r="Q1007" s="222" t="s">
        <v>15</v>
      </c>
      <c r="R1007" s="222" t="s">
        <v>15</v>
      </c>
      <c r="S1007" s="222" t="s">
        <v>16</v>
      </c>
      <c r="T1007" s="222" t="s">
        <v>349</v>
      </c>
      <c r="U1007" s="222" t="s">
        <v>269</v>
      </c>
      <c r="V1007" s="222" t="s">
        <v>302</v>
      </c>
      <c r="W1007" s="223" t="s">
        <v>302</v>
      </c>
      <c r="X1007" s="223" t="s">
        <v>302</v>
      </c>
      <c r="Y1007" s="224" t="s">
        <v>302</v>
      </c>
    </row>
    <row r="1008" spans="1:25">
      <c r="A1008" s="216">
        <v>19</v>
      </c>
      <c r="B1008" s="217" t="str">
        <f>VLOOKUP(Tabel10[[#This Row],[Code]],Ruimtegroepen[[Code]:[Ruimte omschrijving]],2,FALSE)</f>
        <v>kleedruimten</v>
      </c>
      <c r="C1008" s="218" t="s">
        <v>1137</v>
      </c>
      <c r="D1008" s="217" t="s">
        <v>1</v>
      </c>
      <c r="E1008" s="219" t="s">
        <v>102</v>
      </c>
      <c r="F1008" s="218" t="s">
        <v>1140</v>
      </c>
      <c r="G1008" s="263" t="s">
        <v>302</v>
      </c>
      <c r="H1008" s="220" t="s">
        <v>302</v>
      </c>
      <c r="I1008" s="221" t="s">
        <v>2</v>
      </c>
      <c r="J1008" s="221" t="s">
        <v>302</v>
      </c>
      <c r="K1008" s="221" t="s">
        <v>2</v>
      </c>
      <c r="L1008" s="220" t="s">
        <v>302</v>
      </c>
      <c r="M1008" s="220" t="s">
        <v>302</v>
      </c>
      <c r="N1008" s="221" t="s">
        <v>302</v>
      </c>
      <c r="O1008" s="222" t="s">
        <v>2</v>
      </c>
      <c r="P1008" s="222" t="s">
        <v>2</v>
      </c>
      <c r="Q1008" s="222" t="s">
        <v>15</v>
      </c>
      <c r="R1008" s="222" t="s">
        <v>15</v>
      </c>
      <c r="S1008" s="222" t="s">
        <v>16</v>
      </c>
      <c r="T1008" s="222" t="s">
        <v>349</v>
      </c>
      <c r="U1008" s="222" t="s">
        <v>269</v>
      </c>
      <c r="V1008" s="222" t="s">
        <v>302</v>
      </c>
      <c r="W1008" s="223" t="s">
        <v>302</v>
      </c>
      <c r="X1008" s="223" t="s">
        <v>302</v>
      </c>
      <c r="Y1008" s="224" t="s">
        <v>302</v>
      </c>
    </row>
    <row r="1009" spans="1:25">
      <c r="A1009" s="216">
        <v>19</v>
      </c>
      <c r="B1009" s="217" t="str">
        <f>VLOOKUP(Tabel10[[#This Row],[Code]],Ruimtegroepen[[Code]:[Ruimte omschrijving]],2,FALSE)</f>
        <v>kleedruimten</v>
      </c>
      <c r="C1009" s="218" t="s">
        <v>1137</v>
      </c>
      <c r="D1009" s="217" t="s">
        <v>1</v>
      </c>
      <c r="E1009" s="219" t="s">
        <v>103</v>
      </c>
      <c r="F1009" s="218" t="s">
        <v>1141</v>
      </c>
      <c r="G1009" s="263" t="s">
        <v>302</v>
      </c>
      <c r="H1009" s="220" t="s">
        <v>302</v>
      </c>
      <c r="I1009" s="221" t="s">
        <v>2</v>
      </c>
      <c r="J1009" s="221" t="s">
        <v>302</v>
      </c>
      <c r="K1009" s="221" t="s">
        <v>2</v>
      </c>
      <c r="L1009" s="220" t="s">
        <v>302</v>
      </c>
      <c r="M1009" s="220" t="s">
        <v>302</v>
      </c>
      <c r="N1009" s="221" t="s">
        <v>302</v>
      </c>
      <c r="O1009" s="222" t="s">
        <v>2</v>
      </c>
      <c r="P1009" s="222" t="s">
        <v>2</v>
      </c>
      <c r="Q1009" s="222" t="s">
        <v>15</v>
      </c>
      <c r="R1009" s="222" t="s">
        <v>15</v>
      </c>
      <c r="S1009" s="222" t="s">
        <v>16</v>
      </c>
      <c r="T1009" s="222" t="s">
        <v>349</v>
      </c>
      <c r="U1009" s="222" t="s">
        <v>269</v>
      </c>
      <c r="V1009" s="222" t="s">
        <v>302</v>
      </c>
      <c r="W1009" s="223" t="s">
        <v>302</v>
      </c>
      <c r="X1009" s="223" t="s">
        <v>302</v>
      </c>
      <c r="Y1009" s="224" t="s">
        <v>302</v>
      </c>
    </row>
    <row r="1010" spans="1:25">
      <c r="A1010" s="216">
        <v>19</v>
      </c>
      <c r="B1010" s="217" t="str">
        <f>VLOOKUP(Tabel10[[#This Row],[Code]],Ruimtegroepen[[Code]:[Ruimte omschrijving]],2,FALSE)</f>
        <v>kleedruimten</v>
      </c>
      <c r="C1010" s="218" t="s">
        <v>1137</v>
      </c>
      <c r="D1010" s="217" t="s">
        <v>1</v>
      </c>
      <c r="E1010" s="219" t="s">
        <v>100</v>
      </c>
      <c r="F1010" s="218" t="s">
        <v>1139</v>
      </c>
      <c r="G1010" s="263" t="s">
        <v>302</v>
      </c>
      <c r="H1010" s="221" t="s">
        <v>2</v>
      </c>
      <c r="I1010" s="220" t="s">
        <v>302</v>
      </c>
      <c r="J1010" s="221" t="s">
        <v>302</v>
      </c>
      <c r="K1010" s="221" t="s">
        <v>302</v>
      </c>
      <c r="L1010" s="220" t="s">
        <v>302</v>
      </c>
      <c r="M1010" s="220" t="s">
        <v>302</v>
      </c>
      <c r="N1010" s="221" t="s">
        <v>302</v>
      </c>
      <c r="O1010" s="222" t="s">
        <v>2</v>
      </c>
      <c r="P1010" s="222" t="s">
        <v>2</v>
      </c>
      <c r="Q1010" s="222" t="s">
        <v>15</v>
      </c>
      <c r="R1010" s="222" t="s">
        <v>15</v>
      </c>
      <c r="S1010" s="222" t="s">
        <v>16</v>
      </c>
      <c r="T1010" s="222" t="s">
        <v>349</v>
      </c>
      <c r="U1010" s="222" t="s">
        <v>269</v>
      </c>
      <c r="V1010" s="222" t="s">
        <v>302</v>
      </c>
      <c r="W1010" s="223" t="s">
        <v>302</v>
      </c>
      <c r="X1010" s="223" t="s">
        <v>302</v>
      </c>
      <c r="Y1010" s="224" t="s">
        <v>302</v>
      </c>
    </row>
    <row r="1011" spans="1:25">
      <c r="A1011" s="216">
        <v>19</v>
      </c>
      <c r="B1011" s="217" t="str">
        <f>VLOOKUP(Tabel10[[#This Row],[Code]],Ruimtegroepen[[Code]:[Ruimte omschrijving]],2,FALSE)</f>
        <v>kleedruimten</v>
      </c>
      <c r="C1011" s="218" t="s">
        <v>1137</v>
      </c>
      <c r="D1011" s="217" t="s">
        <v>1</v>
      </c>
      <c r="E1011" s="219" t="s">
        <v>1325</v>
      </c>
      <c r="F1011" s="218" t="s">
        <v>1492</v>
      </c>
      <c r="G1011" s="263" t="s">
        <v>302</v>
      </c>
      <c r="H1011" s="220" t="s">
        <v>302</v>
      </c>
      <c r="I1011" s="221" t="s">
        <v>2</v>
      </c>
      <c r="J1011" s="221" t="s">
        <v>302</v>
      </c>
      <c r="K1011" s="221" t="s">
        <v>2</v>
      </c>
      <c r="L1011" s="220" t="s">
        <v>302</v>
      </c>
      <c r="M1011" s="220" t="s">
        <v>302</v>
      </c>
      <c r="N1011" s="221" t="s">
        <v>302</v>
      </c>
      <c r="O1011" s="222" t="s">
        <v>2</v>
      </c>
      <c r="P1011" s="222" t="s">
        <v>2</v>
      </c>
      <c r="Q1011" s="222" t="s">
        <v>15</v>
      </c>
      <c r="R1011" s="222" t="s">
        <v>15</v>
      </c>
      <c r="S1011" s="222" t="s">
        <v>16</v>
      </c>
      <c r="T1011" s="222" t="s">
        <v>349</v>
      </c>
      <c r="U1011" s="222" t="s">
        <v>269</v>
      </c>
      <c r="V1011" s="222" t="s">
        <v>302</v>
      </c>
      <c r="W1011" s="223" t="s">
        <v>302</v>
      </c>
      <c r="X1011" s="223" t="s">
        <v>302</v>
      </c>
      <c r="Y1011" s="224" t="s">
        <v>302</v>
      </c>
    </row>
    <row r="1012" spans="1:25">
      <c r="A1012" s="216">
        <v>19</v>
      </c>
      <c r="B1012" s="217" t="str">
        <f>VLOOKUP(Tabel10[[#This Row],[Code]],Ruimtegroepen[[Code]:[Ruimte omschrijving]],2,FALSE)</f>
        <v>kleedruimten</v>
      </c>
      <c r="C1012" s="218" t="s">
        <v>1142</v>
      </c>
      <c r="D1012" s="217" t="s">
        <v>21</v>
      </c>
      <c r="E1012" s="219" t="s">
        <v>101</v>
      </c>
      <c r="F1012" s="218" t="s">
        <v>1143</v>
      </c>
      <c r="G1012" s="263" t="s">
        <v>302</v>
      </c>
      <c r="H1012" s="220" t="s">
        <v>302</v>
      </c>
      <c r="I1012" s="221" t="s">
        <v>20</v>
      </c>
      <c r="J1012" s="221" t="s">
        <v>302</v>
      </c>
      <c r="K1012" s="221" t="s">
        <v>20</v>
      </c>
      <c r="L1012" s="220" t="s">
        <v>302</v>
      </c>
      <c r="M1012" s="220" t="s">
        <v>302</v>
      </c>
      <c r="N1012" s="221" t="s">
        <v>302</v>
      </c>
      <c r="O1012" s="222" t="s">
        <v>20</v>
      </c>
      <c r="P1012" s="222" t="s">
        <v>20</v>
      </c>
      <c r="Q1012" s="222" t="s">
        <v>15</v>
      </c>
      <c r="R1012" s="222" t="s">
        <v>15</v>
      </c>
      <c r="S1012" s="222" t="s">
        <v>16</v>
      </c>
      <c r="T1012" s="222" t="s">
        <v>349</v>
      </c>
      <c r="U1012" s="222" t="s">
        <v>269</v>
      </c>
      <c r="V1012" s="222" t="s">
        <v>302</v>
      </c>
      <c r="W1012" s="223" t="s">
        <v>302</v>
      </c>
      <c r="X1012" s="223" t="s">
        <v>302</v>
      </c>
      <c r="Y1012" s="224" t="s">
        <v>302</v>
      </c>
    </row>
    <row r="1013" spans="1:25">
      <c r="A1013" s="216">
        <v>19</v>
      </c>
      <c r="B1013" s="217" t="str">
        <f>VLOOKUP(Tabel10[[#This Row],[Code]],Ruimtegroepen[[Code]:[Ruimte omschrijving]],2,FALSE)</f>
        <v>kleedruimten</v>
      </c>
      <c r="C1013" s="218" t="s">
        <v>1142</v>
      </c>
      <c r="D1013" s="217" t="s">
        <v>21</v>
      </c>
      <c r="E1013" s="219" t="s">
        <v>100</v>
      </c>
      <c r="F1013" s="218" t="s">
        <v>1144</v>
      </c>
      <c r="G1013" s="263" t="s">
        <v>302</v>
      </c>
      <c r="H1013" s="221" t="s">
        <v>20</v>
      </c>
      <c r="I1013" s="220" t="s">
        <v>302</v>
      </c>
      <c r="J1013" s="221" t="s">
        <v>302</v>
      </c>
      <c r="K1013" s="221" t="s">
        <v>302</v>
      </c>
      <c r="L1013" s="220" t="s">
        <v>302</v>
      </c>
      <c r="M1013" s="220" t="s">
        <v>302</v>
      </c>
      <c r="N1013" s="221" t="s">
        <v>302</v>
      </c>
      <c r="O1013" s="222" t="s">
        <v>20</v>
      </c>
      <c r="P1013" s="222" t="s">
        <v>20</v>
      </c>
      <c r="Q1013" s="222" t="s">
        <v>15</v>
      </c>
      <c r="R1013" s="222" t="s">
        <v>15</v>
      </c>
      <c r="S1013" s="222" t="s">
        <v>16</v>
      </c>
      <c r="T1013" s="222" t="s">
        <v>349</v>
      </c>
      <c r="U1013" s="222" t="s">
        <v>269</v>
      </c>
      <c r="V1013" s="222" t="s">
        <v>302</v>
      </c>
      <c r="W1013" s="223" t="s">
        <v>302</v>
      </c>
      <c r="X1013" s="223" t="s">
        <v>302</v>
      </c>
      <c r="Y1013" s="224" t="s">
        <v>302</v>
      </c>
    </row>
    <row r="1014" spans="1:25">
      <c r="A1014" s="216">
        <v>19</v>
      </c>
      <c r="B1014" s="217" t="str">
        <f>VLOOKUP(Tabel10[[#This Row],[Code]],Ruimtegroepen[[Code]:[Ruimte omschrijving]],2,FALSE)</f>
        <v>kleedruimten</v>
      </c>
      <c r="C1014" s="218" t="s">
        <v>1142</v>
      </c>
      <c r="D1014" s="217" t="s">
        <v>21</v>
      </c>
      <c r="E1014" s="219" t="s">
        <v>102</v>
      </c>
      <c r="F1014" s="218" t="s">
        <v>1145</v>
      </c>
      <c r="G1014" s="263" t="s">
        <v>302</v>
      </c>
      <c r="H1014" s="220" t="s">
        <v>302</v>
      </c>
      <c r="I1014" s="221" t="s">
        <v>20</v>
      </c>
      <c r="J1014" s="221" t="s">
        <v>302</v>
      </c>
      <c r="K1014" s="221" t="s">
        <v>20</v>
      </c>
      <c r="L1014" s="220" t="s">
        <v>302</v>
      </c>
      <c r="M1014" s="220" t="s">
        <v>302</v>
      </c>
      <c r="N1014" s="221" t="s">
        <v>302</v>
      </c>
      <c r="O1014" s="222" t="s">
        <v>20</v>
      </c>
      <c r="P1014" s="222" t="s">
        <v>20</v>
      </c>
      <c r="Q1014" s="222" t="s">
        <v>15</v>
      </c>
      <c r="R1014" s="222" t="s">
        <v>15</v>
      </c>
      <c r="S1014" s="222" t="s">
        <v>16</v>
      </c>
      <c r="T1014" s="222" t="s">
        <v>349</v>
      </c>
      <c r="U1014" s="222" t="s">
        <v>269</v>
      </c>
      <c r="V1014" s="222" t="s">
        <v>302</v>
      </c>
      <c r="W1014" s="223" t="s">
        <v>302</v>
      </c>
      <c r="X1014" s="223" t="s">
        <v>302</v>
      </c>
      <c r="Y1014" s="224" t="s">
        <v>302</v>
      </c>
    </row>
    <row r="1015" spans="1:25">
      <c r="A1015" s="216">
        <v>19</v>
      </c>
      <c r="B1015" s="217" t="str">
        <f>VLOOKUP(Tabel10[[#This Row],[Code]],Ruimtegroepen[[Code]:[Ruimte omschrijving]],2,FALSE)</f>
        <v>kleedruimten</v>
      </c>
      <c r="C1015" s="218" t="s">
        <v>1142</v>
      </c>
      <c r="D1015" s="217" t="s">
        <v>21</v>
      </c>
      <c r="E1015" s="219" t="s">
        <v>103</v>
      </c>
      <c r="F1015" s="218" t="s">
        <v>1146</v>
      </c>
      <c r="G1015" s="263" t="s">
        <v>302</v>
      </c>
      <c r="H1015" s="220" t="s">
        <v>302</v>
      </c>
      <c r="I1015" s="221" t="s">
        <v>20</v>
      </c>
      <c r="J1015" s="221" t="s">
        <v>302</v>
      </c>
      <c r="K1015" s="221" t="s">
        <v>20</v>
      </c>
      <c r="L1015" s="220" t="s">
        <v>302</v>
      </c>
      <c r="M1015" s="220" t="s">
        <v>302</v>
      </c>
      <c r="N1015" s="221" t="s">
        <v>302</v>
      </c>
      <c r="O1015" s="222" t="s">
        <v>20</v>
      </c>
      <c r="P1015" s="222" t="s">
        <v>20</v>
      </c>
      <c r="Q1015" s="222" t="s">
        <v>15</v>
      </c>
      <c r="R1015" s="222" t="s">
        <v>15</v>
      </c>
      <c r="S1015" s="222" t="s">
        <v>16</v>
      </c>
      <c r="T1015" s="222" t="s">
        <v>349</v>
      </c>
      <c r="U1015" s="222" t="s">
        <v>269</v>
      </c>
      <c r="V1015" s="222" t="s">
        <v>302</v>
      </c>
      <c r="W1015" s="223" t="s">
        <v>302</v>
      </c>
      <c r="X1015" s="223" t="s">
        <v>302</v>
      </c>
      <c r="Y1015" s="224" t="s">
        <v>302</v>
      </c>
    </row>
    <row r="1016" spans="1:25">
      <c r="A1016" s="216">
        <v>19</v>
      </c>
      <c r="B1016" s="217" t="str">
        <f>VLOOKUP(Tabel10[[#This Row],[Code]],Ruimtegroepen[[Code]:[Ruimte omschrijving]],2,FALSE)</f>
        <v>kleedruimten</v>
      </c>
      <c r="C1016" s="218" t="s">
        <v>1142</v>
      </c>
      <c r="D1016" s="217" t="s">
        <v>21</v>
      </c>
      <c r="E1016" s="219" t="s">
        <v>100</v>
      </c>
      <c r="F1016" s="218" t="s">
        <v>1144</v>
      </c>
      <c r="G1016" s="263" t="s">
        <v>302</v>
      </c>
      <c r="H1016" s="221" t="s">
        <v>20</v>
      </c>
      <c r="I1016" s="220" t="s">
        <v>302</v>
      </c>
      <c r="J1016" s="221" t="s">
        <v>302</v>
      </c>
      <c r="K1016" s="221" t="s">
        <v>302</v>
      </c>
      <c r="L1016" s="220" t="s">
        <v>302</v>
      </c>
      <c r="M1016" s="220" t="s">
        <v>302</v>
      </c>
      <c r="N1016" s="221" t="s">
        <v>302</v>
      </c>
      <c r="O1016" s="222" t="s">
        <v>20</v>
      </c>
      <c r="P1016" s="222" t="s">
        <v>20</v>
      </c>
      <c r="Q1016" s="222" t="s">
        <v>15</v>
      </c>
      <c r="R1016" s="222" t="s">
        <v>15</v>
      </c>
      <c r="S1016" s="222" t="s">
        <v>16</v>
      </c>
      <c r="T1016" s="222" t="s">
        <v>349</v>
      </c>
      <c r="U1016" s="222" t="s">
        <v>269</v>
      </c>
      <c r="V1016" s="222" t="s">
        <v>302</v>
      </c>
      <c r="W1016" s="223" t="s">
        <v>302</v>
      </c>
      <c r="X1016" s="223" t="s">
        <v>302</v>
      </c>
      <c r="Y1016" s="224" t="s">
        <v>302</v>
      </c>
    </row>
    <row r="1017" spans="1:25">
      <c r="A1017" s="216">
        <v>19</v>
      </c>
      <c r="B1017" s="217" t="str">
        <f>VLOOKUP(Tabel10[[#This Row],[Code]],Ruimtegroepen[[Code]:[Ruimte omschrijving]],2,FALSE)</f>
        <v>kleedruimten</v>
      </c>
      <c r="C1017" s="218" t="s">
        <v>1142</v>
      </c>
      <c r="D1017" s="217" t="s">
        <v>21</v>
      </c>
      <c r="E1017" s="219" t="s">
        <v>1325</v>
      </c>
      <c r="F1017" s="218" t="s">
        <v>1475</v>
      </c>
      <c r="G1017" s="263" t="s">
        <v>302</v>
      </c>
      <c r="H1017" s="220" t="s">
        <v>302</v>
      </c>
      <c r="I1017" s="221" t="s">
        <v>20</v>
      </c>
      <c r="J1017" s="221" t="s">
        <v>302</v>
      </c>
      <c r="K1017" s="221" t="s">
        <v>20</v>
      </c>
      <c r="L1017" s="220" t="s">
        <v>302</v>
      </c>
      <c r="M1017" s="220" t="s">
        <v>302</v>
      </c>
      <c r="N1017" s="221" t="s">
        <v>302</v>
      </c>
      <c r="O1017" s="222" t="s">
        <v>20</v>
      </c>
      <c r="P1017" s="222" t="s">
        <v>20</v>
      </c>
      <c r="Q1017" s="222" t="s">
        <v>15</v>
      </c>
      <c r="R1017" s="222" t="s">
        <v>15</v>
      </c>
      <c r="S1017" s="222" t="s">
        <v>16</v>
      </c>
      <c r="T1017" s="222" t="s">
        <v>349</v>
      </c>
      <c r="U1017" s="222" t="s">
        <v>269</v>
      </c>
      <c r="V1017" s="222" t="s">
        <v>302</v>
      </c>
      <c r="W1017" s="223" t="s">
        <v>302</v>
      </c>
      <c r="X1017" s="223" t="s">
        <v>302</v>
      </c>
      <c r="Y1017" s="224" t="s">
        <v>302</v>
      </c>
    </row>
    <row r="1018" spans="1:25">
      <c r="A1018" s="216">
        <v>19</v>
      </c>
      <c r="B1018" s="217" t="str">
        <f>VLOOKUP(Tabel10[[#This Row],[Code]],Ruimtegroepen[[Code]:[Ruimte omschrijving]],2,FALSE)</f>
        <v>kleedruimten</v>
      </c>
      <c r="C1018" s="218" t="s">
        <v>1147</v>
      </c>
      <c r="D1018" s="217" t="s">
        <v>12</v>
      </c>
      <c r="E1018" s="219" t="s">
        <v>101</v>
      </c>
      <c r="F1018" s="218" t="s">
        <v>1148</v>
      </c>
      <c r="G1018" s="263" t="s">
        <v>302</v>
      </c>
      <c r="H1018" s="220" t="s">
        <v>302</v>
      </c>
      <c r="I1018" s="221" t="s">
        <v>18</v>
      </c>
      <c r="J1018" s="221" t="s">
        <v>302</v>
      </c>
      <c r="K1018" s="221" t="s">
        <v>18</v>
      </c>
      <c r="L1018" s="220" t="s">
        <v>302</v>
      </c>
      <c r="M1018" s="220" t="s">
        <v>302</v>
      </c>
      <c r="N1018" s="221" t="s">
        <v>302</v>
      </c>
      <c r="O1018" s="222" t="s">
        <v>18</v>
      </c>
      <c r="P1018" s="222" t="s">
        <v>18</v>
      </c>
      <c r="Q1018" s="222" t="s">
        <v>15</v>
      </c>
      <c r="R1018" s="222" t="s">
        <v>15</v>
      </c>
      <c r="S1018" s="222" t="s">
        <v>16</v>
      </c>
      <c r="T1018" s="222" t="s">
        <v>349</v>
      </c>
      <c r="U1018" s="222" t="s">
        <v>269</v>
      </c>
      <c r="V1018" s="222" t="s">
        <v>302</v>
      </c>
      <c r="W1018" s="223" t="s">
        <v>302</v>
      </c>
      <c r="X1018" s="223" t="s">
        <v>302</v>
      </c>
      <c r="Y1018" s="224" t="s">
        <v>302</v>
      </c>
    </row>
    <row r="1019" spans="1:25">
      <c r="A1019" s="216">
        <v>19</v>
      </c>
      <c r="B1019" s="217" t="str">
        <f>VLOOKUP(Tabel10[[#This Row],[Code]],Ruimtegroepen[[Code]:[Ruimte omschrijving]],2,FALSE)</f>
        <v>kleedruimten</v>
      </c>
      <c r="C1019" s="218" t="s">
        <v>1147</v>
      </c>
      <c r="D1019" s="217" t="s">
        <v>12</v>
      </c>
      <c r="E1019" s="219" t="s">
        <v>100</v>
      </c>
      <c r="F1019" s="218" t="s">
        <v>1149</v>
      </c>
      <c r="G1019" s="263" t="s">
        <v>302</v>
      </c>
      <c r="H1019" s="221" t="s">
        <v>18</v>
      </c>
      <c r="I1019" s="220" t="s">
        <v>302</v>
      </c>
      <c r="J1019" s="221" t="s">
        <v>302</v>
      </c>
      <c r="K1019" s="221" t="s">
        <v>302</v>
      </c>
      <c r="L1019" s="220" t="s">
        <v>302</v>
      </c>
      <c r="M1019" s="220" t="s">
        <v>302</v>
      </c>
      <c r="N1019" s="221" t="s">
        <v>302</v>
      </c>
      <c r="O1019" s="222" t="s">
        <v>18</v>
      </c>
      <c r="P1019" s="222" t="s">
        <v>18</v>
      </c>
      <c r="Q1019" s="222" t="s">
        <v>15</v>
      </c>
      <c r="R1019" s="222" t="s">
        <v>15</v>
      </c>
      <c r="S1019" s="222" t="s">
        <v>16</v>
      </c>
      <c r="T1019" s="222" t="s">
        <v>349</v>
      </c>
      <c r="U1019" s="222" t="s">
        <v>269</v>
      </c>
      <c r="V1019" s="222" t="s">
        <v>302</v>
      </c>
      <c r="W1019" s="223" t="s">
        <v>302</v>
      </c>
      <c r="X1019" s="223" t="s">
        <v>302</v>
      </c>
      <c r="Y1019" s="224" t="s">
        <v>302</v>
      </c>
    </row>
    <row r="1020" spans="1:25">
      <c r="A1020" s="216">
        <v>19</v>
      </c>
      <c r="B1020" s="217" t="str">
        <f>VLOOKUP(Tabel10[[#This Row],[Code]],Ruimtegroepen[[Code]:[Ruimte omschrijving]],2,FALSE)</f>
        <v>kleedruimten</v>
      </c>
      <c r="C1020" s="218" t="s">
        <v>1147</v>
      </c>
      <c r="D1020" s="217" t="s">
        <v>12</v>
      </c>
      <c r="E1020" s="219" t="s">
        <v>102</v>
      </c>
      <c r="F1020" s="218" t="s">
        <v>1150</v>
      </c>
      <c r="G1020" s="263" t="s">
        <v>302</v>
      </c>
      <c r="H1020" s="220" t="s">
        <v>302</v>
      </c>
      <c r="I1020" s="221" t="s">
        <v>18</v>
      </c>
      <c r="J1020" s="221" t="s">
        <v>302</v>
      </c>
      <c r="K1020" s="221" t="s">
        <v>18</v>
      </c>
      <c r="L1020" s="220" t="s">
        <v>302</v>
      </c>
      <c r="M1020" s="220" t="s">
        <v>302</v>
      </c>
      <c r="N1020" s="221" t="s">
        <v>302</v>
      </c>
      <c r="O1020" s="222" t="s">
        <v>18</v>
      </c>
      <c r="P1020" s="222" t="s">
        <v>18</v>
      </c>
      <c r="Q1020" s="222" t="s">
        <v>15</v>
      </c>
      <c r="R1020" s="222" t="s">
        <v>15</v>
      </c>
      <c r="S1020" s="222" t="s">
        <v>16</v>
      </c>
      <c r="T1020" s="222" t="s">
        <v>349</v>
      </c>
      <c r="U1020" s="222" t="s">
        <v>269</v>
      </c>
      <c r="V1020" s="222" t="s">
        <v>302</v>
      </c>
      <c r="W1020" s="223" t="s">
        <v>302</v>
      </c>
      <c r="X1020" s="223" t="s">
        <v>302</v>
      </c>
      <c r="Y1020" s="224" t="s">
        <v>302</v>
      </c>
    </row>
    <row r="1021" spans="1:25">
      <c r="A1021" s="216">
        <v>19</v>
      </c>
      <c r="B1021" s="217" t="str">
        <f>VLOOKUP(Tabel10[[#This Row],[Code]],Ruimtegroepen[[Code]:[Ruimte omschrijving]],2,FALSE)</f>
        <v>kleedruimten</v>
      </c>
      <c r="C1021" s="218" t="s">
        <v>1147</v>
      </c>
      <c r="D1021" s="217" t="s">
        <v>12</v>
      </c>
      <c r="E1021" s="219" t="s">
        <v>103</v>
      </c>
      <c r="F1021" s="218" t="s">
        <v>1151</v>
      </c>
      <c r="G1021" s="263" t="s">
        <v>302</v>
      </c>
      <c r="H1021" s="220" t="s">
        <v>302</v>
      </c>
      <c r="I1021" s="221" t="s">
        <v>18</v>
      </c>
      <c r="J1021" s="221" t="s">
        <v>302</v>
      </c>
      <c r="K1021" s="221" t="s">
        <v>18</v>
      </c>
      <c r="L1021" s="220" t="s">
        <v>302</v>
      </c>
      <c r="M1021" s="220" t="s">
        <v>302</v>
      </c>
      <c r="N1021" s="221" t="s">
        <v>302</v>
      </c>
      <c r="O1021" s="222" t="s">
        <v>18</v>
      </c>
      <c r="P1021" s="222" t="s">
        <v>18</v>
      </c>
      <c r="Q1021" s="222" t="s">
        <v>15</v>
      </c>
      <c r="R1021" s="222" t="s">
        <v>15</v>
      </c>
      <c r="S1021" s="222" t="s">
        <v>16</v>
      </c>
      <c r="T1021" s="222" t="s">
        <v>349</v>
      </c>
      <c r="U1021" s="222" t="s">
        <v>269</v>
      </c>
      <c r="V1021" s="222" t="s">
        <v>302</v>
      </c>
      <c r="W1021" s="223" t="s">
        <v>302</v>
      </c>
      <c r="X1021" s="223" t="s">
        <v>302</v>
      </c>
      <c r="Y1021" s="224" t="s">
        <v>302</v>
      </c>
    </row>
    <row r="1022" spans="1:25">
      <c r="A1022" s="216">
        <v>19</v>
      </c>
      <c r="B1022" s="217" t="str">
        <f>VLOOKUP(Tabel10[[#This Row],[Code]],Ruimtegroepen[[Code]:[Ruimte omschrijving]],2,FALSE)</f>
        <v>kleedruimten</v>
      </c>
      <c r="C1022" s="218" t="s">
        <v>1147</v>
      </c>
      <c r="D1022" s="217" t="s">
        <v>12</v>
      </c>
      <c r="E1022" s="219" t="s">
        <v>100</v>
      </c>
      <c r="F1022" s="218" t="s">
        <v>1149</v>
      </c>
      <c r="G1022" s="263" t="s">
        <v>302</v>
      </c>
      <c r="H1022" s="221" t="s">
        <v>18</v>
      </c>
      <c r="I1022" s="220" t="s">
        <v>302</v>
      </c>
      <c r="J1022" s="221" t="s">
        <v>302</v>
      </c>
      <c r="K1022" s="221" t="s">
        <v>302</v>
      </c>
      <c r="L1022" s="220" t="s">
        <v>302</v>
      </c>
      <c r="M1022" s="220" t="s">
        <v>302</v>
      </c>
      <c r="N1022" s="221" t="s">
        <v>302</v>
      </c>
      <c r="O1022" s="222" t="s">
        <v>18</v>
      </c>
      <c r="P1022" s="222" t="s">
        <v>18</v>
      </c>
      <c r="Q1022" s="222" t="s">
        <v>15</v>
      </c>
      <c r="R1022" s="222" t="s">
        <v>15</v>
      </c>
      <c r="S1022" s="222" t="s">
        <v>16</v>
      </c>
      <c r="T1022" s="222" t="s">
        <v>349</v>
      </c>
      <c r="U1022" s="222" t="s">
        <v>269</v>
      </c>
      <c r="V1022" s="222" t="s">
        <v>302</v>
      </c>
      <c r="W1022" s="223" t="s">
        <v>302</v>
      </c>
      <c r="X1022" s="223" t="s">
        <v>302</v>
      </c>
      <c r="Y1022" s="224" t="s">
        <v>302</v>
      </c>
    </row>
    <row r="1023" spans="1:25">
      <c r="A1023" s="216">
        <v>19</v>
      </c>
      <c r="B1023" s="217" t="str">
        <f>VLOOKUP(Tabel10[[#This Row],[Code]],Ruimtegroepen[[Code]:[Ruimte omschrijving]],2,FALSE)</f>
        <v>kleedruimten</v>
      </c>
      <c r="C1023" s="218" t="s">
        <v>1147</v>
      </c>
      <c r="D1023" s="217" t="s">
        <v>12</v>
      </c>
      <c r="E1023" s="219" t="s">
        <v>1325</v>
      </c>
      <c r="F1023" s="218" t="s">
        <v>1457</v>
      </c>
      <c r="G1023" s="263" t="s">
        <v>302</v>
      </c>
      <c r="H1023" s="220" t="s">
        <v>302</v>
      </c>
      <c r="I1023" s="221" t="s">
        <v>18</v>
      </c>
      <c r="J1023" s="221" t="s">
        <v>302</v>
      </c>
      <c r="K1023" s="221" t="s">
        <v>18</v>
      </c>
      <c r="L1023" s="220" t="s">
        <v>302</v>
      </c>
      <c r="M1023" s="220" t="s">
        <v>302</v>
      </c>
      <c r="N1023" s="221" t="s">
        <v>302</v>
      </c>
      <c r="O1023" s="222" t="s">
        <v>18</v>
      </c>
      <c r="P1023" s="222" t="s">
        <v>18</v>
      </c>
      <c r="Q1023" s="222" t="s">
        <v>15</v>
      </c>
      <c r="R1023" s="222" t="s">
        <v>15</v>
      </c>
      <c r="S1023" s="222" t="s">
        <v>16</v>
      </c>
      <c r="T1023" s="222" t="s">
        <v>349</v>
      </c>
      <c r="U1023" s="222" t="s">
        <v>269</v>
      </c>
      <c r="V1023" s="222" t="s">
        <v>302</v>
      </c>
      <c r="W1023" s="223" t="s">
        <v>302</v>
      </c>
      <c r="X1023" s="223" t="s">
        <v>302</v>
      </c>
      <c r="Y1023" s="224" t="s">
        <v>302</v>
      </c>
    </row>
    <row r="1024" spans="1:25">
      <c r="A1024" s="216">
        <v>19</v>
      </c>
      <c r="B1024" s="217" t="str">
        <f>VLOOKUP(Tabel10[[#This Row],[Code]],Ruimtegroepen[[Code]:[Ruimte omschrijving]],2,FALSE)</f>
        <v>kleedruimten</v>
      </c>
      <c r="C1024" s="218" t="s">
        <v>1152</v>
      </c>
      <c r="D1024" s="217" t="s">
        <v>14</v>
      </c>
      <c r="E1024" s="219" t="s">
        <v>101</v>
      </c>
      <c r="F1024" s="218" t="s">
        <v>1153</v>
      </c>
      <c r="G1024" s="263" t="s">
        <v>302</v>
      </c>
      <c r="H1024" s="220" t="s">
        <v>302</v>
      </c>
      <c r="I1024" s="221" t="s">
        <v>17</v>
      </c>
      <c r="J1024" s="221" t="s">
        <v>302</v>
      </c>
      <c r="K1024" s="221" t="s">
        <v>17</v>
      </c>
      <c r="L1024" s="220" t="s">
        <v>302</v>
      </c>
      <c r="M1024" s="220" t="s">
        <v>302</v>
      </c>
      <c r="N1024" s="221" t="s">
        <v>302</v>
      </c>
      <c r="O1024" s="222" t="s">
        <v>17</v>
      </c>
      <c r="P1024" s="222" t="s">
        <v>17</v>
      </c>
      <c r="Q1024" s="222" t="s">
        <v>15</v>
      </c>
      <c r="R1024" s="222" t="s">
        <v>15</v>
      </c>
      <c r="S1024" s="222" t="s">
        <v>16</v>
      </c>
      <c r="T1024" s="222" t="s">
        <v>349</v>
      </c>
      <c r="U1024" s="222" t="s">
        <v>269</v>
      </c>
      <c r="V1024" s="222" t="s">
        <v>302</v>
      </c>
      <c r="W1024" s="223" t="s">
        <v>302</v>
      </c>
      <c r="X1024" s="223" t="s">
        <v>302</v>
      </c>
      <c r="Y1024" s="224" t="s">
        <v>302</v>
      </c>
    </row>
    <row r="1025" spans="1:25">
      <c r="A1025" s="216">
        <v>19</v>
      </c>
      <c r="B1025" s="217" t="str">
        <f>VLOOKUP(Tabel10[[#This Row],[Code]],Ruimtegroepen[[Code]:[Ruimte omschrijving]],2,FALSE)</f>
        <v>kleedruimten</v>
      </c>
      <c r="C1025" s="218" t="s">
        <v>1152</v>
      </c>
      <c r="D1025" s="217" t="s">
        <v>14</v>
      </c>
      <c r="E1025" s="219" t="s">
        <v>100</v>
      </c>
      <c r="F1025" s="218" t="s">
        <v>1154</v>
      </c>
      <c r="G1025" s="263" t="s">
        <v>302</v>
      </c>
      <c r="H1025" s="221" t="s">
        <v>17</v>
      </c>
      <c r="I1025" s="220" t="s">
        <v>302</v>
      </c>
      <c r="J1025" s="221" t="s">
        <v>302</v>
      </c>
      <c r="K1025" s="221" t="s">
        <v>302</v>
      </c>
      <c r="L1025" s="220" t="s">
        <v>302</v>
      </c>
      <c r="M1025" s="220" t="s">
        <v>302</v>
      </c>
      <c r="N1025" s="221" t="s">
        <v>302</v>
      </c>
      <c r="O1025" s="222" t="s">
        <v>17</v>
      </c>
      <c r="P1025" s="222" t="s">
        <v>17</v>
      </c>
      <c r="Q1025" s="222" t="s">
        <v>15</v>
      </c>
      <c r="R1025" s="222" t="s">
        <v>15</v>
      </c>
      <c r="S1025" s="222" t="s">
        <v>16</v>
      </c>
      <c r="T1025" s="222" t="s">
        <v>349</v>
      </c>
      <c r="U1025" s="222" t="s">
        <v>269</v>
      </c>
      <c r="V1025" s="222" t="s">
        <v>302</v>
      </c>
      <c r="W1025" s="223" t="s">
        <v>302</v>
      </c>
      <c r="X1025" s="223" t="s">
        <v>302</v>
      </c>
      <c r="Y1025" s="224" t="s">
        <v>302</v>
      </c>
    </row>
    <row r="1026" spans="1:25">
      <c r="A1026" s="216">
        <v>19</v>
      </c>
      <c r="B1026" s="217" t="str">
        <f>VLOOKUP(Tabel10[[#This Row],[Code]],Ruimtegroepen[[Code]:[Ruimte omschrijving]],2,FALSE)</f>
        <v>kleedruimten</v>
      </c>
      <c r="C1026" s="218" t="s">
        <v>1152</v>
      </c>
      <c r="D1026" s="217" t="s">
        <v>14</v>
      </c>
      <c r="E1026" s="219" t="s">
        <v>102</v>
      </c>
      <c r="F1026" s="218" t="s">
        <v>1155</v>
      </c>
      <c r="G1026" s="263" t="s">
        <v>302</v>
      </c>
      <c r="H1026" s="220" t="s">
        <v>302</v>
      </c>
      <c r="I1026" s="221" t="s">
        <v>17</v>
      </c>
      <c r="J1026" s="221" t="s">
        <v>302</v>
      </c>
      <c r="K1026" s="221" t="s">
        <v>17</v>
      </c>
      <c r="L1026" s="220" t="s">
        <v>302</v>
      </c>
      <c r="M1026" s="220" t="s">
        <v>302</v>
      </c>
      <c r="N1026" s="221" t="s">
        <v>302</v>
      </c>
      <c r="O1026" s="222" t="s">
        <v>17</v>
      </c>
      <c r="P1026" s="222" t="s">
        <v>17</v>
      </c>
      <c r="Q1026" s="222" t="s">
        <v>15</v>
      </c>
      <c r="R1026" s="222" t="s">
        <v>15</v>
      </c>
      <c r="S1026" s="222" t="s">
        <v>16</v>
      </c>
      <c r="T1026" s="222" t="s">
        <v>349</v>
      </c>
      <c r="U1026" s="222" t="s">
        <v>269</v>
      </c>
      <c r="V1026" s="222" t="s">
        <v>302</v>
      </c>
      <c r="W1026" s="223" t="s">
        <v>302</v>
      </c>
      <c r="X1026" s="223" t="s">
        <v>302</v>
      </c>
      <c r="Y1026" s="224" t="s">
        <v>302</v>
      </c>
    </row>
    <row r="1027" spans="1:25">
      <c r="A1027" s="216">
        <v>19</v>
      </c>
      <c r="B1027" s="217" t="str">
        <f>VLOOKUP(Tabel10[[#This Row],[Code]],Ruimtegroepen[[Code]:[Ruimte omschrijving]],2,FALSE)</f>
        <v>kleedruimten</v>
      </c>
      <c r="C1027" s="218" t="s">
        <v>1152</v>
      </c>
      <c r="D1027" s="217" t="s">
        <v>14</v>
      </c>
      <c r="E1027" s="219" t="s">
        <v>103</v>
      </c>
      <c r="F1027" s="218" t="s">
        <v>1156</v>
      </c>
      <c r="G1027" s="263" t="s">
        <v>302</v>
      </c>
      <c r="H1027" s="220" t="s">
        <v>302</v>
      </c>
      <c r="I1027" s="221" t="s">
        <v>17</v>
      </c>
      <c r="J1027" s="221" t="s">
        <v>302</v>
      </c>
      <c r="K1027" s="221" t="s">
        <v>17</v>
      </c>
      <c r="L1027" s="220" t="s">
        <v>302</v>
      </c>
      <c r="M1027" s="220" t="s">
        <v>302</v>
      </c>
      <c r="N1027" s="221" t="s">
        <v>302</v>
      </c>
      <c r="O1027" s="222" t="s">
        <v>17</v>
      </c>
      <c r="P1027" s="222" t="s">
        <v>17</v>
      </c>
      <c r="Q1027" s="222" t="s">
        <v>15</v>
      </c>
      <c r="R1027" s="222" t="s">
        <v>15</v>
      </c>
      <c r="S1027" s="222" t="s">
        <v>16</v>
      </c>
      <c r="T1027" s="222" t="s">
        <v>349</v>
      </c>
      <c r="U1027" s="222" t="s">
        <v>269</v>
      </c>
      <c r="V1027" s="222" t="s">
        <v>302</v>
      </c>
      <c r="W1027" s="223" t="s">
        <v>302</v>
      </c>
      <c r="X1027" s="223" t="s">
        <v>302</v>
      </c>
      <c r="Y1027" s="224" t="s">
        <v>302</v>
      </c>
    </row>
    <row r="1028" spans="1:25">
      <c r="A1028" s="216">
        <v>19</v>
      </c>
      <c r="B1028" s="217" t="str">
        <f>VLOOKUP(Tabel10[[#This Row],[Code]],Ruimtegroepen[[Code]:[Ruimte omschrijving]],2,FALSE)</f>
        <v>kleedruimten</v>
      </c>
      <c r="C1028" s="218" t="s">
        <v>1152</v>
      </c>
      <c r="D1028" s="217" t="s">
        <v>14</v>
      </c>
      <c r="E1028" s="219" t="s">
        <v>100</v>
      </c>
      <c r="F1028" s="218" t="s">
        <v>1154</v>
      </c>
      <c r="G1028" s="263" t="s">
        <v>302</v>
      </c>
      <c r="H1028" s="221" t="s">
        <v>17</v>
      </c>
      <c r="I1028" s="220" t="s">
        <v>302</v>
      </c>
      <c r="J1028" s="221" t="s">
        <v>302</v>
      </c>
      <c r="K1028" s="221" t="s">
        <v>302</v>
      </c>
      <c r="L1028" s="220" t="s">
        <v>302</v>
      </c>
      <c r="M1028" s="220" t="s">
        <v>302</v>
      </c>
      <c r="N1028" s="221" t="s">
        <v>302</v>
      </c>
      <c r="O1028" s="222" t="s">
        <v>17</v>
      </c>
      <c r="P1028" s="222" t="s">
        <v>17</v>
      </c>
      <c r="Q1028" s="222" t="s">
        <v>15</v>
      </c>
      <c r="R1028" s="222" t="s">
        <v>15</v>
      </c>
      <c r="S1028" s="222" t="s">
        <v>16</v>
      </c>
      <c r="T1028" s="222" t="s">
        <v>349</v>
      </c>
      <c r="U1028" s="222" t="s">
        <v>269</v>
      </c>
      <c r="V1028" s="222" t="s">
        <v>302</v>
      </c>
      <c r="W1028" s="223" t="s">
        <v>302</v>
      </c>
      <c r="X1028" s="223" t="s">
        <v>302</v>
      </c>
      <c r="Y1028" s="224" t="s">
        <v>302</v>
      </c>
    </row>
    <row r="1029" spans="1:25">
      <c r="A1029" s="216">
        <v>19</v>
      </c>
      <c r="B1029" s="217" t="str">
        <f>VLOOKUP(Tabel10[[#This Row],[Code]],Ruimtegroepen[[Code]:[Ruimte omschrijving]],2,FALSE)</f>
        <v>kleedruimten</v>
      </c>
      <c r="C1029" s="218" t="s">
        <v>1152</v>
      </c>
      <c r="D1029" s="217" t="s">
        <v>14</v>
      </c>
      <c r="E1029" s="219" t="s">
        <v>1325</v>
      </c>
      <c r="F1029" s="218" t="s">
        <v>1424</v>
      </c>
      <c r="G1029" s="263" t="s">
        <v>302</v>
      </c>
      <c r="H1029" s="220" t="s">
        <v>302</v>
      </c>
      <c r="I1029" s="221" t="s">
        <v>17</v>
      </c>
      <c r="J1029" s="221" t="s">
        <v>302</v>
      </c>
      <c r="K1029" s="221" t="s">
        <v>17</v>
      </c>
      <c r="L1029" s="220" t="s">
        <v>302</v>
      </c>
      <c r="M1029" s="220" t="s">
        <v>302</v>
      </c>
      <c r="N1029" s="221" t="s">
        <v>302</v>
      </c>
      <c r="O1029" s="222" t="s">
        <v>17</v>
      </c>
      <c r="P1029" s="222" t="s">
        <v>17</v>
      </c>
      <c r="Q1029" s="222" t="s">
        <v>15</v>
      </c>
      <c r="R1029" s="222" t="s">
        <v>15</v>
      </c>
      <c r="S1029" s="222" t="s">
        <v>16</v>
      </c>
      <c r="T1029" s="222" t="s">
        <v>349</v>
      </c>
      <c r="U1029" s="222" t="s">
        <v>269</v>
      </c>
      <c r="V1029" s="222" t="s">
        <v>302</v>
      </c>
      <c r="W1029" s="223" t="s">
        <v>302</v>
      </c>
      <c r="X1029" s="223" t="s">
        <v>302</v>
      </c>
      <c r="Y1029" s="224" t="s">
        <v>302</v>
      </c>
    </row>
    <row r="1030" spans="1:25">
      <c r="A1030" s="216">
        <v>19</v>
      </c>
      <c r="B1030" s="217" t="str">
        <f>VLOOKUP(Tabel10[[#This Row],[Code]],Ruimtegroepen[[Code]:[Ruimte omschrijving]],2,FALSE)</f>
        <v>kleedruimten</v>
      </c>
      <c r="C1030" s="218" t="s">
        <v>1157</v>
      </c>
      <c r="D1030" s="217" t="s">
        <v>13</v>
      </c>
      <c r="E1030" s="219" t="s">
        <v>101</v>
      </c>
      <c r="F1030" s="218" t="s">
        <v>1158</v>
      </c>
      <c r="G1030" s="263" t="s">
        <v>302</v>
      </c>
      <c r="H1030" s="220" t="s">
        <v>302</v>
      </c>
      <c r="I1030" s="221" t="s">
        <v>15</v>
      </c>
      <c r="J1030" s="221" t="s">
        <v>302</v>
      </c>
      <c r="K1030" s="221" t="s">
        <v>15</v>
      </c>
      <c r="L1030" s="220" t="s">
        <v>302</v>
      </c>
      <c r="M1030" s="220" t="s">
        <v>302</v>
      </c>
      <c r="N1030" s="221" t="s">
        <v>302</v>
      </c>
      <c r="O1030" s="222" t="s">
        <v>15</v>
      </c>
      <c r="P1030" s="222" t="s">
        <v>15</v>
      </c>
      <c r="Q1030" s="222" t="s">
        <v>15</v>
      </c>
      <c r="R1030" s="222" t="s">
        <v>15</v>
      </c>
      <c r="S1030" s="222" t="s">
        <v>16</v>
      </c>
      <c r="T1030" s="222" t="s">
        <v>349</v>
      </c>
      <c r="U1030" s="222" t="s">
        <v>269</v>
      </c>
      <c r="V1030" s="222" t="s">
        <v>302</v>
      </c>
      <c r="W1030" s="223" t="s">
        <v>302</v>
      </c>
      <c r="X1030" s="223" t="s">
        <v>302</v>
      </c>
      <c r="Y1030" s="224" t="s">
        <v>302</v>
      </c>
    </row>
    <row r="1031" spans="1:25">
      <c r="A1031" s="216">
        <v>19</v>
      </c>
      <c r="B1031" s="217" t="str">
        <f>VLOOKUP(Tabel10[[#This Row],[Code]],Ruimtegroepen[[Code]:[Ruimte omschrijving]],2,FALSE)</f>
        <v>kleedruimten</v>
      </c>
      <c r="C1031" s="218" t="s">
        <v>1157</v>
      </c>
      <c r="D1031" s="217" t="s">
        <v>13</v>
      </c>
      <c r="E1031" s="219" t="s">
        <v>100</v>
      </c>
      <c r="F1031" s="218" t="s">
        <v>1159</v>
      </c>
      <c r="G1031" s="263" t="s">
        <v>302</v>
      </c>
      <c r="H1031" s="221" t="s">
        <v>15</v>
      </c>
      <c r="I1031" s="220" t="s">
        <v>302</v>
      </c>
      <c r="J1031" s="221" t="s">
        <v>302</v>
      </c>
      <c r="K1031" s="221" t="s">
        <v>302</v>
      </c>
      <c r="L1031" s="220" t="s">
        <v>302</v>
      </c>
      <c r="M1031" s="220" t="s">
        <v>302</v>
      </c>
      <c r="N1031" s="221" t="s">
        <v>302</v>
      </c>
      <c r="O1031" s="222" t="s">
        <v>15</v>
      </c>
      <c r="P1031" s="222" t="s">
        <v>15</v>
      </c>
      <c r="Q1031" s="222" t="s">
        <v>15</v>
      </c>
      <c r="R1031" s="222" t="s">
        <v>15</v>
      </c>
      <c r="S1031" s="222" t="s">
        <v>16</v>
      </c>
      <c r="T1031" s="222" t="s">
        <v>349</v>
      </c>
      <c r="U1031" s="222" t="s">
        <v>269</v>
      </c>
      <c r="V1031" s="222" t="s">
        <v>302</v>
      </c>
      <c r="W1031" s="223" t="s">
        <v>302</v>
      </c>
      <c r="X1031" s="223" t="s">
        <v>302</v>
      </c>
      <c r="Y1031" s="224" t="s">
        <v>302</v>
      </c>
    </row>
    <row r="1032" spans="1:25">
      <c r="A1032" s="216">
        <v>19</v>
      </c>
      <c r="B1032" s="217" t="str">
        <f>VLOOKUP(Tabel10[[#This Row],[Code]],Ruimtegroepen[[Code]:[Ruimte omschrijving]],2,FALSE)</f>
        <v>kleedruimten</v>
      </c>
      <c r="C1032" s="218" t="s">
        <v>1157</v>
      </c>
      <c r="D1032" s="217" t="s">
        <v>13</v>
      </c>
      <c r="E1032" s="219" t="s">
        <v>102</v>
      </c>
      <c r="F1032" s="218" t="s">
        <v>1160</v>
      </c>
      <c r="G1032" s="263" t="s">
        <v>302</v>
      </c>
      <c r="H1032" s="220" t="s">
        <v>302</v>
      </c>
      <c r="I1032" s="221" t="s">
        <v>15</v>
      </c>
      <c r="J1032" s="221" t="s">
        <v>302</v>
      </c>
      <c r="K1032" s="221" t="s">
        <v>15</v>
      </c>
      <c r="L1032" s="220" t="s">
        <v>302</v>
      </c>
      <c r="M1032" s="220" t="s">
        <v>302</v>
      </c>
      <c r="N1032" s="221" t="s">
        <v>302</v>
      </c>
      <c r="O1032" s="222" t="s">
        <v>15</v>
      </c>
      <c r="P1032" s="222" t="s">
        <v>15</v>
      </c>
      <c r="Q1032" s="222" t="s">
        <v>15</v>
      </c>
      <c r="R1032" s="222" t="s">
        <v>15</v>
      </c>
      <c r="S1032" s="222" t="s">
        <v>16</v>
      </c>
      <c r="T1032" s="222" t="s">
        <v>349</v>
      </c>
      <c r="U1032" s="222" t="s">
        <v>269</v>
      </c>
      <c r="V1032" s="222" t="s">
        <v>302</v>
      </c>
      <c r="W1032" s="223" t="s">
        <v>302</v>
      </c>
      <c r="X1032" s="223" t="s">
        <v>302</v>
      </c>
      <c r="Y1032" s="224" t="s">
        <v>302</v>
      </c>
    </row>
    <row r="1033" spans="1:25">
      <c r="A1033" s="216">
        <v>19</v>
      </c>
      <c r="B1033" s="217" t="str">
        <f>VLOOKUP(Tabel10[[#This Row],[Code]],Ruimtegroepen[[Code]:[Ruimte omschrijving]],2,FALSE)</f>
        <v>kleedruimten</v>
      </c>
      <c r="C1033" s="218" t="s">
        <v>1157</v>
      </c>
      <c r="D1033" s="217" t="s">
        <v>13</v>
      </c>
      <c r="E1033" s="219" t="s">
        <v>103</v>
      </c>
      <c r="F1033" s="218" t="s">
        <v>1161</v>
      </c>
      <c r="G1033" s="263" t="s">
        <v>302</v>
      </c>
      <c r="H1033" s="220" t="s">
        <v>302</v>
      </c>
      <c r="I1033" s="221" t="s">
        <v>15</v>
      </c>
      <c r="J1033" s="221" t="s">
        <v>302</v>
      </c>
      <c r="K1033" s="221" t="s">
        <v>15</v>
      </c>
      <c r="L1033" s="220" t="s">
        <v>302</v>
      </c>
      <c r="M1033" s="220" t="s">
        <v>302</v>
      </c>
      <c r="N1033" s="221" t="s">
        <v>302</v>
      </c>
      <c r="O1033" s="222" t="s">
        <v>15</v>
      </c>
      <c r="P1033" s="222" t="s">
        <v>15</v>
      </c>
      <c r="Q1033" s="222" t="s">
        <v>15</v>
      </c>
      <c r="R1033" s="222" t="s">
        <v>15</v>
      </c>
      <c r="S1033" s="222" t="s">
        <v>16</v>
      </c>
      <c r="T1033" s="222" t="s">
        <v>349</v>
      </c>
      <c r="U1033" s="222" t="s">
        <v>269</v>
      </c>
      <c r="V1033" s="222" t="s">
        <v>302</v>
      </c>
      <c r="W1033" s="223" t="s">
        <v>302</v>
      </c>
      <c r="X1033" s="223" t="s">
        <v>302</v>
      </c>
      <c r="Y1033" s="224" t="s">
        <v>302</v>
      </c>
    </row>
    <row r="1034" spans="1:25">
      <c r="A1034" s="216">
        <v>19</v>
      </c>
      <c r="B1034" s="217" t="str">
        <f>VLOOKUP(Tabel10[[#This Row],[Code]],Ruimtegroepen[[Code]:[Ruimte omschrijving]],2,FALSE)</f>
        <v>kleedruimten</v>
      </c>
      <c r="C1034" s="218" t="s">
        <v>1157</v>
      </c>
      <c r="D1034" s="217" t="s">
        <v>13</v>
      </c>
      <c r="E1034" s="219" t="s">
        <v>100</v>
      </c>
      <c r="F1034" s="218" t="s">
        <v>1159</v>
      </c>
      <c r="G1034" s="263" t="s">
        <v>302</v>
      </c>
      <c r="H1034" s="221" t="s">
        <v>15</v>
      </c>
      <c r="I1034" s="220" t="s">
        <v>302</v>
      </c>
      <c r="J1034" s="221" t="s">
        <v>302</v>
      </c>
      <c r="K1034" s="221" t="s">
        <v>302</v>
      </c>
      <c r="L1034" s="220" t="s">
        <v>302</v>
      </c>
      <c r="M1034" s="220" t="s">
        <v>302</v>
      </c>
      <c r="N1034" s="221" t="s">
        <v>302</v>
      </c>
      <c r="O1034" s="222" t="s">
        <v>15</v>
      </c>
      <c r="P1034" s="222" t="s">
        <v>15</v>
      </c>
      <c r="Q1034" s="222" t="s">
        <v>15</v>
      </c>
      <c r="R1034" s="222" t="s">
        <v>15</v>
      </c>
      <c r="S1034" s="222" t="s">
        <v>16</v>
      </c>
      <c r="T1034" s="222" t="s">
        <v>349</v>
      </c>
      <c r="U1034" s="222" t="s">
        <v>269</v>
      </c>
      <c r="V1034" s="222" t="s">
        <v>302</v>
      </c>
      <c r="W1034" s="223" t="s">
        <v>302</v>
      </c>
      <c r="X1034" s="223" t="s">
        <v>302</v>
      </c>
      <c r="Y1034" s="224" t="s">
        <v>302</v>
      </c>
    </row>
    <row r="1035" spans="1:25">
      <c r="A1035" s="216">
        <v>19</v>
      </c>
      <c r="B1035" s="217" t="str">
        <f>VLOOKUP(Tabel10[[#This Row],[Code]],Ruimtegroepen[[Code]:[Ruimte omschrijving]],2,FALSE)</f>
        <v>kleedruimten</v>
      </c>
      <c r="C1035" s="218" t="s">
        <v>1157</v>
      </c>
      <c r="D1035" s="217" t="s">
        <v>13</v>
      </c>
      <c r="E1035" s="219" t="s">
        <v>1325</v>
      </c>
      <c r="F1035" s="218" t="s">
        <v>1391</v>
      </c>
      <c r="G1035" s="263" t="s">
        <v>302</v>
      </c>
      <c r="H1035" s="220" t="s">
        <v>302</v>
      </c>
      <c r="I1035" s="221" t="s">
        <v>15</v>
      </c>
      <c r="J1035" s="221" t="s">
        <v>302</v>
      </c>
      <c r="K1035" s="221" t="s">
        <v>15</v>
      </c>
      <c r="L1035" s="220" t="s">
        <v>302</v>
      </c>
      <c r="M1035" s="220" t="s">
        <v>302</v>
      </c>
      <c r="N1035" s="221" t="s">
        <v>302</v>
      </c>
      <c r="O1035" s="222" t="s">
        <v>15</v>
      </c>
      <c r="P1035" s="222" t="s">
        <v>15</v>
      </c>
      <c r="Q1035" s="222" t="s">
        <v>15</v>
      </c>
      <c r="R1035" s="222" t="s">
        <v>15</v>
      </c>
      <c r="S1035" s="222" t="s">
        <v>16</v>
      </c>
      <c r="T1035" s="222" t="s">
        <v>349</v>
      </c>
      <c r="U1035" s="222" t="s">
        <v>269</v>
      </c>
      <c r="V1035" s="222" t="s">
        <v>302</v>
      </c>
      <c r="W1035" s="223" t="s">
        <v>302</v>
      </c>
      <c r="X1035" s="223" t="s">
        <v>302</v>
      </c>
      <c r="Y1035" s="224" t="s">
        <v>302</v>
      </c>
    </row>
    <row r="1036" spans="1:25">
      <c r="A1036" s="216">
        <v>19</v>
      </c>
      <c r="B1036" s="217" t="str">
        <f>VLOOKUP(Tabel10[[#This Row],[Code]],Ruimtegroepen[[Code]:[Ruimte omschrijving]],2,FALSE)</f>
        <v>kleedruimten</v>
      </c>
      <c r="C1036" s="218" t="s">
        <v>1162</v>
      </c>
      <c r="D1036" s="217" t="s">
        <v>0</v>
      </c>
      <c r="E1036" s="219" t="s">
        <v>101</v>
      </c>
      <c r="F1036" s="218" t="s">
        <v>1163</v>
      </c>
      <c r="G1036" s="263" t="s">
        <v>302</v>
      </c>
      <c r="H1036" s="220" t="s">
        <v>302</v>
      </c>
      <c r="I1036" s="221" t="s">
        <v>16</v>
      </c>
      <c r="J1036" s="221" t="s">
        <v>302</v>
      </c>
      <c r="K1036" s="221" t="s">
        <v>16</v>
      </c>
      <c r="L1036" s="220" t="s">
        <v>302</v>
      </c>
      <c r="M1036" s="220" t="s">
        <v>302</v>
      </c>
      <c r="N1036" s="221" t="s">
        <v>302</v>
      </c>
      <c r="O1036" s="222" t="s">
        <v>16</v>
      </c>
      <c r="P1036" s="222" t="s">
        <v>16</v>
      </c>
      <c r="Q1036" s="222" t="s">
        <v>16</v>
      </c>
      <c r="R1036" s="222" t="s">
        <v>16</v>
      </c>
      <c r="S1036" s="222" t="s">
        <v>16</v>
      </c>
      <c r="T1036" s="222" t="s">
        <v>349</v>
      </c>
      <c r="U1036" s="222" t="s">
        <v>269</v>
      </c>
      <c r="V1036" s="222" t="s">
        <v>302</v>
      </c>
      <c r="W1036" s="223" t="s">
        <v>302</v>
      </c>
      <c r="X1036" s="223" t="s">
        <v>302</v>
      </c>
      <c r="Y1036" s="224" t="s">
        <v>302</v>
      </c>
    </row>
    <row r="1037" spans="1:25">
      <c r="A1037" s="216">
        <v>19</v>
      </c>
      <c r="B1037" s="217" t="str">
        <f>VLOOKUP(Tabel10[[#This Row],[Code]],Ruimtegroepen[[Code]:[Ruimte omschrijving]],2,FALSE)</f>
        <v>kleedruimten</v>
      </c>
      <c r="C1037" s="218" t="s">
        <v>1162</v>
      </c>
      <c r="D1037" s="217" t="s">
        <v>0</v>
      </c>
      <c r="E1037" s="219" t="s">
        <v>100</v>
      </c>
      <c r="F1037" s="218" t="s">
        <v>1164</v>
      </c>
      <c r="G1037" s="263" t="s">
        <v>302</v>
      </c>
      <c r="H1037" s="221" t="s">
        <v>16</v>
      </c>
      <c r="I1037" s="220" t="s">
        <v>302</v>
      </c>
      <c r="J1037" s="221" t="s">
        <v>302</v>
      </c>
      <c r="K1037" s="221" t="s">
        <v>302</v>
      </c>
      <c r="L1037" s="220" t="s">
        <v>302</v>
      </c>
      <c r="M1037" s="220" t="s">
        <v>302</v>
      </c>
      <c r="N1037" s="221" t="s">
        <v>302</v>
      </c>
      <c r="O1037" s="222" t="s">
        <v>16</v>
      </c>
      <c r="P1037" s="222" t="s">
        <v>16</v>
      </c>
      <c r="Q1037" s="222" t="s">
        <v>16</v>
      </c>
      <c r="R1037" s="222" t="s">
        <v>16</v>
      </c>
      <c r="S1037" s="222" t="s">
        <v>16</v>
      </c>
      <c r="T1037" s="222" t="s">
        <v>349</v>
      </c>
      <c r="U1037" s="222" t="s">
        <v>269</v>
      </c>
      <c r="V1037" s="222" t="s">
        <v>302</v>
      </c>
      <c r="W1037" s="223" t="s">
        <v>302</v>
      </c>
      <c r="X1037" s="223" t="s">
        <v>302</v>
      </c>
      <c r="Y1037" s="224" t="s">
        <v>302</v>
      </c>
    </row>
    <row r="1038" spans="1:25">
      <c r="A1038" s="216">
        <v>19</v>
      </c>
      <c r="B1038" s="217" t="str">
        <f>VLOOKUP(Tabel10[[#This Row],[Code]],Ruimtegroepen[[Code]:[Ruimte omschrijving]],2,FALSE)</f>
        <v>kleedruimten</v>
      </c>
      <c r="C1038" s="218" t="s">
        <v>1162</v>
      </c>
      <c r="D1038" s="217" t="s">
        <v>0</v>
      </c>
      <c r="E1038" s="219" t="s">
        <v>102</v>
      </c>
      <c r="F1038" s="218" t="s">
        <v>1165</v>
      </c>
      <c r="G1038" s="263" t="s">
        <v>302</v>
      </c>
      <c r="H1038" s="220" t="s">
        <v>302</v>
      </c>
      <c r="I1038" s="221" t="s">
        <v>16</v>
      </c>
      <c r="J1038" s="221" t="s">
        <v>381</v>
      </c>
      <c r="K1038" s="221" t="s">
        <v>16</v>
      </c>
      <c r="L1038" s="220" t="s">
        <v>302</v>
      </c>
      <c r="M1038" s="220" t="s">
        <v>302</v>
      </c>
      <c r="N1038" s="221" t="s">
        <v>302</v>
      </c>
      <c r="O1038" s="222" t="s">
        <v>16</v>
      </c>
      <c r="P1038" s="222" t="s">
        <v>16</v>
      </c>
      <c r="Q1038" s="222" t="s">
        <v>16</v>
      </c>
      <c r="R1038" s="222" t="s">
        <v>16</v>
      </c>
      <c r="S1038" s="222" t="s">
        <v>16</v>
      </c>
      <c r="T1038" s="222" t="s">
        <v>349</v>
      </c>
      <c r="U1038" s="222" t="s">
        <v>269</v>
      </c>
      <c r="V1038" s="222" t="s">
        <v>302</v>
      </c>
      <c r="W1038" s="223" t="s">
        <v>302</v>
      </c>
      <c r="X1038" s="223" t="s">
        <v>302</v>
      </c>
      <c r="Y1038" s="224" t="s">
        <v>302</v>
      </c>
    </row>
    <row r="1039" spans="1:25">
      <c r="A1039" s="216">
        <v>19</v>
      </c>
      <c r="B1039" s="217" t="str">
        <f>VLOOKUP(Tabel10[[#This Row],[Code]],Ruimtegroepen[[Code]:[Ruimte omschrijving]],2,FALSE)</f>
        <v>kleedruimten</v>
      </c>
      <c r="C1039" s="218" t="s">
        <v>1162</v>
      </c>
      <c r="D1039" s="217" t="s">
        <v>0</v>
      </c>
      <c r="E1039" s="219" t="s">
        <v>103</v>
      </c>
      <c r="F1039" s="218" t="s">
        <v>1166</v>
      </c>
      <c r="G1039" s="263" t="s">
        <v>302</v>
      </c>
      <c r="H1039" s="220" t="s">
        <v>302</v>
      </c>
      <c r="I1039" s="221" t="s">
        <v>16</v>
      </c>
      <c r="J1039" s="221" t="s">
        <v>302</v>
      </c>
      <c r="K1039" s="221" t="s">
        <v>16</v>
      </c>
      <c r="L1039" s="220" t="s">
        <v>302</v>
      </c>
      <c r="M1039" s="220" t="s">
        <v>302</v>
      </c>
      <c r="N1039" s="221" t="s">
        <v>302</v>
      </c>
      <c r="O1039" s="222" t="s">
        <v>16</v>
      </c>
      <c r="P1039" s="222" t="s">
        <v>16</v>
      </c>
      <c r="Q1039" s="222" t="s">
        <v>16</v>
      </c>
      <c r="R1039" s="222" t="s">
        <v>16</v>
      </c>
      <c r="S1039" s="222" t="s">
        <v>16</v>
      </c>
      <c r="T1039" s="222" t="s">
        <v>349</v>
      </c>
      <c r="U1039" s="222" t="s">
        <v>269</v>
      </c>
      <c r="V1039" s="222" t="s">
        <v>302</v>
      </c>
      <c r="W1039" s="223" t="s">
        <v>302</v>
      </c>
      <c r="X1039" s="223" t="s">
        <v>302</v>
      </c>
      <c r="Y1039" s="224" t="s">
        <v>302</v>
      </c>
    </row>
    <row r="1040" spans="1:25">
      <c r="A1040" s="216">
        <v>19</v>
      </c>
      <c r="B1040" s="217" t="str">
        <f>VLOOKUP(Tabel10[[#This Row],[Code]],Ruimtegroepen[[Code]:[Ruimte omschrijving]],2,FALSE)</f>
        <v>kleedruimten</v>
      </c>
      <c r="C1040" s="218" t="s">
        <v>1162</v>
      </c>
      <c r="D1040" s="217" t="s">
        <v>0</v>
      </c>
      <c r="E1040" s="219" t="s">
        <v>100</v>
      </c>
      <c r="F1040" s="218" t="s">
        <v>1164</v>
      </c>
      <c r="G1040" s="263" t="s">
        <v>302</v>
      </c>
      <c r="H1040" s="221" t="s">
        <v>16</v>
      </c>
      <c r="I1040" s="220" t="s">
        <v>302</v>
      </c>
      <c r="J1040" s="221" t="s">
        <v>302</v>
      </c>
      <c r="K1040" s="221" t="s">
        <v>302</v>
      </c>
      <c r="L1040" s="220" t="s">
        <v>302</v>
      </c>
      <c r="M1040" s="220" t="s">
        <v>302</v>
      </c>
      <c r="N1040" s="221" t="s">
        <v>302</v>
      </c>
      <c r="O1040" s="222" t="s">
        <v>16</v>
      </c>
      <c r="P1040" s="222" t="s">
        <v>16</v>
      </c>
      <c r="Q1040" s="222" t="s">
        <v>16</v>
      </c>
      <c r="R1040" s="222" t="s">
        <v>16</v>
      </c>
      <c r="S1040" s="222" t="s">
        <v>16</v>
      </c>
      <c r="T1040" s="222" t="s">
        <v>349</v>
      </c>
      <c r="U1040" s="222" t="s">
        <v>269</v>
      </c>
      <c r="V1040" s="222" t="s">
        <v>302</v>
      </c>
      <c r="W1040" s="223" t="s">
        <v>302</v>
      </c>
      <c r="X1040" s="223" t="s">
        <v>302</v>
      </c>
      <c r="Y1040" s="224" t="s">
        <v>302</v>
      </c>
    </row>
    <row r="1041" spans="1:25">
      <c r="A1041" s="216">
        <v>19</v>
      </c>
      <c r="B1041" s="217" t="str">
        <f>VLOOKUP(Tabel10[[#This Row],[Code]],Ruimtegroepen[[Code]:[Ruimte omschrijving]],2,FALSE)</f>
        <v>kleedruimten</v>
      </c>
      <c r="C1041" s="218" t="s">
        <v>1162</v>
      </c>
      <c r="D1041" s="217" t="s">
        <v>0</v>
      </c>
      <c r="E1041" s="219" t="s">
        <v>1325</v>
      </c>
      <c r="F1041" s="218" t="s">
        <v>1375</v>
      </c>
      <c r="G1041" s="263" t="s">
        <v>302</v>
      </c>
      <c r="H1041" s="220" t="s">
        <v>302</v>
      </c>
      <c r="I1041" s="221" t="s">
        <v>16</v>
      </c>
      <c r="J1041" s="221" t="s">
        <v>302</v>
      </c>
      <c r="K1041" s="221" t="s">
        <v>16</v>
      </c>
      <c r="L1041" s="220" t="s">
        <v>302</v>
      </c>
      <c r="M1041" s="220" t="s">
        <v>302</v>
      </c>
      <c r="N1041" s="221" t="s">
        <v>302</v>
      </c>
      <c r="O1041" s="222" t="s">
        <v>16</v>
      </c>
      <c r="P1041" s="222" t="s">
        <v>16</v>
      </c>
      <c r="Q1041" s="222" t="s">
        <v>16</v>
      </c>
      <c r="R1041" s="222" t="s">
        <v>16</v>
      </c>
      <c r="S1041" s="222" t="s">
        <v>16</v>
      </c>
      <c r="T1041" s="222" t="s">
        <v>349</v>
      </c>
      <c r="U1041" s="222" t="s">
        <v>269</v>
      </c>
      <c r="V1041" s="222" t="s">
        <v>302</v>
      </c>
      <c r="W1041" s="223" t="s">
        <v>302</v>
      </c>
      <c r="X1041" s="223" t="s">
        <v>302</v>
      </c>
      <c r="Y1041" s="224" t="s">
        <v>302</v>
      </c>
    </row>
    <row r="1042" spans="1:25">
      <c r="A1042" s="216">
        <v>19</v>
      </c>
      <c r="B1042" s="217" t="str">
        <f>VLOOKUP(Tabel10[[#This Row],[Code]],Ruimtegroepen[[Code]:[Ruimte omschrijving]],2,FALSE)</f>
        <v>kleedruimten</v>
      </c>
      <c r="C1042" s="218" t="s">
        <v>1167</v>
      </c>
      <c r="D1042" s="217" t="s">
        <v>27</v>
      </c>
      <c r="E1042" s="219" t="s">
        <v>101</v>
      </c>
      <c r="F1042" s="218" t="s">
        <v>1168</v>
      </c>
      <c r="G1042" s="263" t="s">
        <v>302</v>
      </c>
      <c r="H1042" s="220" t="s">
        <v>302</v>
      </c>
      <c r="I1042" s="221" t="s">
        <v>15</v>
      </c>
      <c r="J1042" s="221" t="s">
        <v>302</v>
      </c>
      <c r="K1042" s="221" t="s">
        <v>302</v>
      </c>
      <c r="L1042" s="220" t="s">
        <v>302</v>
      </c>
      <c r="M1042" s="220" t="s">
        <v>302</v>
      </c>
      <c r="N1042" s="221" t="s">
        <v>302</v>
      </c>
      <c r="O1042" s="222" t="s">
        <v>15</v>
      </c>
      <c r="P1042" s="222" t="s">
        <v>15</v>
      </c>
      <c r="Q1042" s="222" t="s">
        <v>15</v>
      </c>
      <c r="R1042" s="222" t="s">
        <v>302</v>
      </c>
      <c r="S1042" s="222" t="s">
        <v>302</v>
      </c>
      <c r="T1042" s="222" t="s">
        <v>302</v>
      </c>
      <c r="U1042" s="222" t="s">
        <v>302</v>
      </c>
      <c r="V1042" s="222" t="s">
        <v>302</v>
      </c>
      <c r="W1042" s="223" t="s">
        <v>302</v>
      </c>
      <c r="X1042" s="223" t="s">
        <v>302</v>
      </c>
      <c r="Y1042" s="224" t="s">
        <v>302</v>
      </c>
    </row>
    <row r="1043" spans="1:25">
      <c r="A1043" s="216">
        <v>19</v>
      </c>
      <c r="B1043" s="217" t="str">
        <f>VLOOKUP(Tabel10[[#This Row],[Code]],Ruimtegroepen[[Code]:[Ruimte omschrijving]],2,FALSE)</f>
        <v>kleedruimten</v>
      </c>
      <c r="C1043" s="218" t="s">
        <v>1167</v>
      </c>
      <c r="D1043" s="217" t="s">
        <v>27</v>
      </c>
      <c r="E1043" s="219" t="s">
        <v>100</v>
      </c>
      <c r="F1043" s="218" t="s">
        <v>1169</v>
      </c>
      <c r="G1043" s="263" t="s">
        <v>302</v>
      </c>
      <c r="H1043" s="221" t="s">
        <v>15</v>
      </c>
      <c r="I1043" s="220" t="s">
        <v>302</v>
      </c>
      <c r="J1043" s="221" t="s">
        <v>302</v>
      </c>
      <c r="K1043" s="221" t="s">
        <v>302</v>
      </c>
      <c r="L1043" s="220" t="s">
        <v>302</v>
      </c>
      <c r="M1043" s="220" t="s">
        <v>302</v>
      </c>
      <c r="N1043" s="221" t="s">
        <v>302</v>
      </c>
      <c r="O1043" s="222" t="s">
        <v>15</v>
      </c>
      <c r="P1043" s="222" t="s">
        <v>15</v>
      </c>
      <c r="Q1043" s="222" t="s">
        <v>15</v>
      </c>
      <c r="R1043" s="222" t="s">
        <v>302</v>
      </c>
      <c r="S1043" s="222" t="s">
        <v>302</v>
      </c>
      <c r="T1043" s="222" t="s">
        <v>302</v>
      </c>
      <c r="U1043" s="222" t="s">
        <v>302</v>
      </c>
      <c r="V1043" s="222" t="s">
        <v>302</v>
      </c>
      <c r="W1043" s="223" t="s">
        <v>302</v>
      </c>
      <c r="X1043" s="223" t="s">
        <v>302</v>
      </c>
      <c r="Y1043" s="224" t="s">
        <v>302</v>
      </c>
    </row>
    <row r="1044" spans="1:25">
      <c r="A1044" s="216">
        <v>19</v>
      </c>
      <c r="B1044" s="217" t="str">
        <f>VLOOKUP(Tabel10[[#This Row],[Code]],Ruimtegroepen[[Code]:[Ruimte omschrijving]],2,FALSE)</f>
        <v>kleedruimten</v>
      </c>
      <c r="C1044" s="218" t="s">
        <v>1167</v>
      </c>
      <c r="D1044" s="217" t="s">
        <v>27</v>
      </c>
      <c r="E1044" s="219" t="s">
        <v>102</v>
      </c>
      <c r="F1044" s="218" t="s">
        <v>1170</v>
      </c>
      <c r="G1044" s="263" t="s">
        <v>302</v>
      </c>
      <c r="H1044" s="220" t="s">
        <v>302</v>
      </c>
      <c r="I1044" s="221" t="s">
        <v>15</v>
      </c>
      <c r="J1044" s="221" t="s">
        <v>302</v>
      </c>
      <c r="K1044" s="221" t="s">
        <v>302</v>
      </c>
      <c r="L1044" s="220" t="s">
        <v>302</v>
      </c>
      <c r="M1044" s="220" t="s">
        <v>302</v>
      </c>
      <c r="N1044" s="221" t="s">
        <v>302</v>
      </c>
      <c r="O1044" s="222" t="s">
        <v>15</v>
      </c>
      <c r="P1044" s="222" t="s">
        <v>15</v>
      </c>
      <c r="Q1044" s="222" t="s">
        <v>15</v>
      </c>
      <c r="R1044" s="222" t="s">
        <v>302</v>
      </c>
      <c r="S1044" s="222" t="s">
        <v>302</v>
      </c>
      <c r="T1044" s="222" t="s">
        <v>302</v>
      </c>
      <c r="U1044" s="222" t="s">
        <v>302</v>
      </c>
      <c r="V1044" s="222" t="s">
        <v>302</v>
      </c>
      <c r="W1044" s="223" t="s">
        <v>302</v>
      </c>
      <c r="X1044" s="223" t="s">
        <v>302</v>
      </c>
      <c r="Y1044" s="224" t="s">
        <v>302</v>
      </c>
    </row>
    <row r="1045" spans="1:25">
      <c r="A1045" s="216">
        <v>19</v>
      </c>
      <c r="B1045" s="217" t="str">
        <f>VLOOKUP(Tabel10[[#This Row],[Code]],Ruimtegroepen[[Code]:[Ruimte omschrijving]],2,FALSE)</f>
        <v>kleedruimten</v>
      </c>
      <c r="C1045" s="218" t="s">
        <v>1167</v>
      </c>
      <c r="D1045" s="217" t="s">
        <v>27</v>
      </c>
      <c r="E1045" s="219" t="s">
        <v>103</v>
      </c>
      <c r="F1045" s="218" t="s">
        <v>1171</v>
      </c>
      <c r="G1045" s="263" t="s">
        <v>302</v>
      </c>
      <c r="H1045" s="220" t="s">
        <v>302</v>
      </c>
      <c r="I1045" s="221" t="s">
        <v>15</v>
      </c>
      <c r="J1045" s="221" t="s">
        <v>302</v>
      </c>
      <c r="K1045" s="221" t="s">
        <v>302</v>
      </c>
      <c r="L1045" s="220" t="s">
        <v>302</v>
      </c>
      <c r="M1045" s="220" t="s">
        <v>302</v>
      </c>
      <c r="N1045" s="221" t="s">
        <v>302</v>
      </c>
      <c r="O1045" s="222" t="s">
        <v>15</v>
      </c>
      <c r="P1045" s="222" t="s">
        <v>15</v>
      </c>
      <c r="Q1045" s="222" t="s">
        <v>15</v>
      </c>
      <c r="R1045" s="222" t="s">
        <v>302</v>
      </c>
      <c r="S1045" s="222" t="s">
        <v>302</v>
      </c>
      <c r="T1045" s="222" t="s">
        <v>302</v>
      </c>
      <c r="U1045" s="222" t="s">
        <v>302</v>
      </c>
      <c r="V1045" s="222" t="s">
        <v>302</v>
      </c>
      <c r="W1045" s="223" t="s">
        <v>302</v>
      </c>
      <c r="X1045" s="223" t="s">
        <v>302</v>
      </c>
      <c r="Y1045" s="224" t="s">
        <v>302</v>
      </c>
    </row>
    <row r="1046" spans="1:25">
      <c r="A1046" s="216">
        <v>19</v>
      </c>
      <c r="B1046" s="217" t="str">
        <f>VLOOKUP(Tabel10[[#This Row],[Code]],Ruimtegroepen[[Code]:[Ruimte omschrijving]],2,FALSE)</f>
        <v>kleedruimten</v>
      </c>
      <c r="C1046" s="218" t="s">
        <v>1167</v>
      </c>
      <c r="D1046" s="217" t="s">
        <v>27</v>
      </c>
      <c r="E1046" s="219" t="s">
        <v>100</v>
      </c>
      <c r="F1046" s="218" t="s">
        <v>1169</v>
      </c>
      <c r="G1046" s="263" t="s">
        <v>302</v>
      </c>
      <c r="H1046" s="221" t="s">
        <v>15</v>
      </c>
      <c r="I1046" s="220" t="s">
        <v>302</v>
      </c>
      <c r="J1046" s="221" t="s">
        <v>302</v>
      </c>
      <c r="K1046" s="221" t="s">
        <v>302</v>
      </c>
      <c r="L1046" s="220" t="s">
        <v>302</v>
      </c>
      <c r="M1046" s="220" t="s">
        <v>302</v>
      </c>
      <c r="N1046" s="221" t="s">
        <v>302</v>
      </c>
      <c r="O1046" s="222" t="s">
        <v>15</v>
      </c>
      <c r="P1046" s="222" t="s">
        <v>15</v>
      </c>
      <c r="Q1046" s="222" t="s">
        <v>15</v>
      </c>
      <c r="R1046" s="222" t="s">
        <v>302</v>
      </c>
      <c r="S1046" s="222" t="s">
        <v>302</v>
      </c>
      <c r="T1046" s="222" t="s">
        <v>302</v>
      </c>
      <c r="U1046" s="222" t="s">
        <v>302</v>
      </c>
      <c r="V1046" s="222" t="s">
        <v>302</v>
      </c>
      <c r="W1046" s="223" t="s">
        <v>302</v>
      </c>
      <c r="X1046" s="223" t="s">
        <v>302</v>
      </c>
      <c r="Y1046" s="224" t="s">
        <v>302</v>
      </c>
    </row>
    <row r="1047" spans="1:25">
      <c r="A1047" s="216">
        <v>19</v>
      </c>
      <c r="B1047" s="217" t="str">
        <f>VLOOKUP(Tabel10[[#This Row],[Code]],Ruimtegroepen[[Code]:[Ruimte omschrijving]],2,FALSE)</f>
        <v>kleedruimten</v>
      </c>
      <c r="C1047" s="218" t="s">
        <v>1167</v>
      </c>
      <c r="D1047" s="217" t="s">
        <v>27</v>
      </c>
      <c r="E1047" s="219" t="s">
        <v>1325</v>
      </c>
      <c r="F1047" s="218" t="s">
        <v>1408</v>
      </c>
      <c r="G1047" s="263" t="s">
        <v>302</v>
      </c>
      <c r="H1047" s="220" t="s">
        <v>302</v>
      </c>
      <c r="I1047" s="221" t="s">
        <v>15</v>
      </c>
      <c r="J1047" s="221" t="s">
        <v>302</v>
      </c>
      <c r="K1047" s="221" t="s">
        <v>302</v>
      </c>
      <c r="L1047" s="220" t="s">
        <v>302</v>
      </c>
      <c r="M1047" s="220" t="s">
        <v>302</v>
      </c>
      <c r="N1047" s="221" t="s">
        <v>302</v>
      </c>
      <c r="O1047" s="222" t="s">
        <v>15</v>
      </c>
      <c r="P1047" s="222" t="s">
        <v>15</v>
      </c>
      <c r="Q1047" s="222" t="s">
        <v>15</v>
      </c>
      <c r="R1047" s="222" t="s">
        <v>302</v>
      </c>
      <c r="S1047" s="222" t="s">
        <v>302</v>
      </c>
      <c r="T1047" s="222" t="s">
        <v>302</v>
      </c>
      <c r="U1047" s="222" t="s">
        <v>302</v>
      </c>
      <c r="V1047" s="222" t="s">
        <v>302</v>
      </c>
      <c r="W1047" s="223" t="s">
        <v>302</v>
      </c>
      <c r="X1047" s="223" t="s">
        <v>302</v>
      </c>
      <c r="Y1047" s="224" t="s">
        <v>302</v>
      </c>
    </row>
    <row r="1048" spans="1:25">
      <c r="A1048" s="216">
        <v>19</v>
      </c>
      <c r="B1048" s="217" t="str">
        <f>VLOOKUP(Tabel10[[#This Row],[Code]],Ruimtegroepen[[Code]:[Ruimte omschrijving]],2,FALSE)</f>
        <v>kleedruimten</v>
      </c>
      <c r="C1048" s="218" t="s">
        <v>1172</v>
      </c>
      <c r="D1048" s="217" t="s">
        <v>28</v>
      </c>
      <c r="E1048" s="219" t="s">
        <v>101</v>
      </c>
      <c r="F1048" s="218" t="s">
        <v>1173</v>
      </c>
      <c r="G1048" s="263" t="s">
        <v>302</v>
      </c>
      <c r="H1048" s="220" t="s">
        <v>302</v>
      </c>
      <c r="I1048" s="221" t="s">
        <v>17</v>
      </c>
      <c r="J1048" s="221" t="s">
        <v>302</v>
      </c>
      <c r="K1048" s="221" t="s">
        <v>302</v>
      </c>
      <c r="L1048" s="220" t="s">
        <v>302</v>
      </c>
      <c r="M1048" s="220" t="s">
        <v>302</v>
      </c>
      <c r="N1048" s="221" t="s">
        <v>302</v>
      </c>
      <c r="O1048" s="222" t="s">
        <v>17</v>
      </c>
      <c r="P1048" s="222" t="s">
        <v>17</v>
      </c>
      <c r="Q1048" s="222" t="s">
        <v>15</v>
      </c>
      <c r="R1048" s="222" t="s">
        <v>302</v>
      </c>
      <c r="S1048" s="222" t="s">
        <v>302</v>
      </c>
      <c r="T1048" s="222" t="s">
        <v>302</v>
      </c>
      <c r="U1048" s="222" t="s">
        <v>302</v>
      </c>
      <c r="V1048" s="222" t="s">
        <v>302</v>
      </c>
      <c r="W1048" s="223" t="s">
        <v>302</v>
      </c>
      <c r="X1048" s="223" t="s">
        <v>302</v>
      </c>
      <c r="Y1048" s="224" t="s">
        <v>302</v>
      </c>
    </row>
    <row r="1049" spans="1:25">
      <c r="A1049" s="216">
        <v>19</v>
      </c>
      <c r="B1049" s="217" t="str">
        <f>VLOOKUP(Tabel10[[#This Row],[Code]],Ruimtegroepen[[Code]:[Ruimte omschrijving]],2,FALSE)</f>
        <v>kleedruimten</v>
      </c>
      <c r="C1049" s="218" t="s">
        <v>1172</v>
      </c>
      <c r="D1049" s="217" t="s">
        <v>28</v>
      </c>
      <c r="E1049" s="219" t="s">
        <v>100</v>
      </c>
      <c r="F1049" s="218" t="s">
        <v>1174</v>
      </c>
      <c r="G1049" s="263" t="s">
        <v>302</v>
      </c>
      <c r="H1049" s="221" t="s">
        <v>17</v>
      </c>
      <c r="I1049" s="220" t="s">
        <v>302</v>
      </c>
      <c r="J1049" s="221" t="s">
        <v>302</v>
      </c>
      <c r="K1049" s="221" t="s">
        <v>302</v>
      </c>
      <c r="L1049" s="220" t="s">
        <v>302</v>
      </c>
      <c r="M1049" s="220" t="s">
        <v>302</v>
      </c>
      <c r="N1049" s="221" t="s">
        <v>302</v>
      </c>
      <c r="O1049" s="222" t="s">
        <v>17</v>
      </c>
      <c r="P1049" s="222" t="s">
        <v>17</v>
      </c>
      <c r="Q1049" s="222" t="s">
        <v>15</v>
      </c>
      <c r="R1049" s="222" t="s">
        <v>302</v>
      </c>
      <c r="S1049" s="222" t="s">
        <v>302</v>
      </c>
      <c r="T1049" s="222" t="s">
        <v>302</v>
      </c>
      <c r="U1049" s="222" t="s">
        <v>302</v>
      </c>
      <c r="V1049" s="222" t="s">
        <v>302</v>
      </c>
      <c r="W1049" s="223" t="s">
        <v>302</v>
      </c>
      <c r="X1049" s="223" t="s">
        <v>302</v>
      </c>
      <c r="Y1049" s="224" t="s">
        <v>302</v>
      </c>
    </row>
    <row r="1050" spans="1:25">
      <c r="A1050" s="216">
        <v>19</v>
      </c>
      <c r="B1050" s="217" t="str">
        <f>VLOOKUP(Tabel10[[#This Row],[Code]],Ruimtegroepen[[Code]:[Ruimte omschrijving]],2,FALSE)</f>
        <v>kleedruimten</v>
      </c>
      <c r="C1050" s="218" t="s">
        <v>1172</v>
      </c>
      <c r="D1050" s="217" t="s">
        <v>28</v>
      </c>
      <c r="E1050" s="219" t="s">
        <v>102</v>
      </c>
      <c r="F1050" s="218" t="s">
        <v>1175</v>
      </c>
      <c r="G1050" s="263" t="s">
        <v>302</v>
      </c>
      <c r="H1050" s="220" t="s">
        <v>302</v>
      </c>
      <c r="I1050" s="221" t="s">
        <v>17</v>
      </c>
      <c r="J1050" s="221" t="s">
        <v>302</v>
      </c>
      <c r="K1050" s="221" t="s">
        <v>302</v>
      </c>
      <c r="L1050" s="220" t="s">
        <v>302</v>
      </c>
      <c r="M1050" s="220" t="s">
        <v>302</v>
      </c>
      <c r="N1050" s="221" t="s">
        <v>302</v>
      </c>
      <c r="O1050" s="222" t="s">
        <v>17</v>
      </c>
      <c r="P1050" s="222" t="s">
        <v>17</v>
      </c>
      <c r="Q1050" s="222" t="s">
        <v>15</v>
      </c>
      <c r="R1050" s="222" t="s">
        <v>302</v>
      </c>
      <c r="S1050" s="222" t="s">
        <v>302</v>
      </c>
      <c r="T1050" s="222" t="s">
        <v>302</v>
      </c>
      <c r="U1050" s="222" t="s">
        <v>302</v>
      </c>
      <c r="V1050" s="222" t="s">
        <v>302</v>
      </c>
      <c r="W1050" s="223" t="s">
        <v>302</v>
      </c>
      <c r="X1050" s="223" t="s">
        <v>302</v>
      </c>
      <c r="Y1050" s="224" t="s">
        <v>302</v>
      </c>
    </row>
    <row r="1051" spans="1:25">
      <c r="A1051" s="216">
        <v>19</v>
      </c>
      <c r="B1051" s="217" t="str">
        <f>VLOOKUP(Tabel10[[#This Row],[Code]],Ruimtegroepen[[Code]:[Ruimte omschrijving]],2,FALSE)</f>
        <v>kleedruimten</v>
      </c>
      <c r="C1051" s="218" t="s">
        <v>1172</v>
      </c>
      <c r="D1051" s="217" t="s">
        <v>28</v>
      </c>
      <c r="E1051" s="219" t="s">
        <v>103</v>
      </c>
      <c r="F1051" s="218" t="s">
        <v>1176</v>
      </c>
      <c r="G1051" s="263" t="s">
        <v>302</v>
      </c>
      <c r="H1051" s="220" t="s">
        <v>302</v>
      </c>
      <c r="I1051" s="221" t="s">
        <v>17</v>
      </c>
      <c r="J1051" s="221" t="s">
        <v>302</v>
      </c>
      <c r="K1051" s="221" t="s">
        <v>302</v>
      </c>
      <c r="L1051" s="220" t="s">
        <v>302</v>
      </c>
      <c r="M1051" s="220" t="s">
        <v>302</v>
      </c>
      <c r="N1051" s="221" t="s">
        <v>302</v>
      </c>
      <c r="O1051" s="222" t="s">
        <v>17</v>
      </c>
      <c r="P1051" s="222" t="s">
        <v>17</v>
      </c>
      <c r="Q1051" s="222" t="s">
        <v>15</v>
      </c>
      <c r="R1051" s="222" t="s">
        <v>302</v>
      </c>
      <c r="S1051" s="222" t="s">
        <v>302</v>
      </c>
      <c r="T1051" s="222" t="s">
        <v>302</v>
      </c>
      <c r="U1051" s="222" t="s">
        <v>302</v>
      </c>
      <c r="V1051" s="222" t="s">
        <v>302</v>
      </c>
      <c r="W1051" s="223" t="s">
        <v>302</v>
      </c>
      <c r="X1051" s="223" t="s">
        <v>302</v>
      </c>
      <c r="Y1051" s="224" t="s">
        <v>302</v>
      </c>
    </row>
    <row r="1052" spans="1:25">
      <c r="A1052" s="216">
        <v>19</v>
      </c>
      <c r="B1052" s="217" t="str">
        <f>VLOOKUP(Tabel10[[#This Row],[Code]],Ruimtegroepen[[Code]:[Ruimte omschrijving]],2,FALSE)</f>
        <v>kleedruimten</v>
      </c>
      <c r="C1052" s="218" t="s">
        <v>1172</v>
      </c>
      <c r="D1052" s="217" t="s">
        <v>28</v>
      </c>
      <c r="E1052" s="219" t="s">
        <v>100</v>
      </c>
      <c r="F1052" s="218" t="s">
        <v>1174</v>
      </c>
      <c r="G1052" s="263" t="s">
        <v>302</v>
      </c>
      <c r="H1052" s="221" t="s">
        <v>17</v>
      </c>
      <c r="I1052" s="220" t="s">
        <v>302</v>
      </c>
      <c r="J1052" s="221" t="s">
        <v>302</v>
      </c>
      <c r="K1052" s="221" t="s">
        <v>302</v>
      </c>
      <c r="L1052" s="220" t="s">
        <v>302</v>
      </c>
      <c r="M1052" s="220" t="s">
        <v>302</v>
      </c>
      <c r="N1052" s="221" t="s">
        <v>302</v>
      </c>
      <c r="O1052" s="222" t="s">
        <v>17</v>
      </c>
      <c r="P1052" s="222" t="s">
        <v>17</v>
      </c>
      <c r="Q1052" s="222" t="s">
        <v>15</v>
      </c>
      <c r="R1052" s="222" t="s">
        <v>302</v>
      </c>
      <c r="S1052" s="222" t="s">
        <v>302</v>
      </c>
      <c r="T1052" s="222" t="s">
        <v>302</v>
      </c>
      <c r="U1052" s="222" t="s">
        <v>302</v>
      </c>
      <c r="V1052" s="222" t="s">
        <v>302</v>
      </c>
      <c r="W1052" s="223" t="s">
        <v>302</v>
      </c>
      <c r="X1052" s="223" t="s">
        <v>302</v>
      </c>
      <c r="Y1052" s="224" t="s">
        <v>302</v>
      </c>
    </row>
    <row r="1053" spans="1:25">
      <c r="A1053" s="216">
        <v>19</v>
      </c>
      <c r="B1053" s="217" t="str">
        <f>VLOOKUP(Tabel10[[#This Row],[Code]],Ruimtegroepen[[Code]:[Ruimte omschrijving]],2,FALSE)</f>
        <v>kleedruimten</v>
      </c>
      <c r="C1053" s="218" t="s">
        <v>1172</v>
      </c>
      <c r="D1053" s="217" t="s">
        <v>28</v>
      </c>
      <c r="E1053" s="219" t="s">
        <v>1325</v>
      </c>
      <c r="F1053" s="218" t="s">
        <v>1441</v>
      </c>
      <c r="G1053" s="263" t="s">
        <v>302</v>
      </c>
      <c r="H1053" s="220" t="s">
        <v>302</v>
      </c>
      <c r="I1053" s="221" t="s">
        <v>17</v>
      </c>
      <c r="J1053" s="221" t="s">
        <v>302</v>
      </c>
      <c r="K1053" s="221" t="s">
        <v>302</v>
      </c>
      <c r="L1053" s="220" t="s">
        <v>302</v>
      </c>
      <c r="M1053" s="220" t="s">
        <v>302</v>
      </c>
      <c r="N1053" s="221" t="s">
        <v>302</v>
      </c>
      <c r="O1053" s="222" t="s">
        <v>17</v>
      </c>
      <c r="P1053" s="222" t="s">
        <v>17</v>
      </c>
      <c r="Q1053" s="222" t="s">
        <v>15</v>
      </c>
      <c r="R1053" s="222" t="s">
        <v>302</v>
      </c>
      <c r="S1053" s="222" t="s">
        <v>302</v>
      </c>
      <c r="T1053" s="222" t="s">
        <v>302</v>
      </c>
      <c r="U1053" s="222" t="s">
        <v>302</v>
      </c>
      <c r="V1053" s="222" t="s">
        <v>302</v>
      </c>
      <c r="W1053" s="223" t="s">
        <v>302</v>
      </c>
      <c r="X1053" s="223" t="s">
        <v>302</v>
      </c>
      <c r="Y1053" s="224" t="s">
        <v>302</v>
      </c>
    </row>
    <row r="1054" spans="1:25">
      <c r="A1054" s="216">
        <v>20</v>
      </c>
      <c r="B1054" s="217" t="str">
        <f>VLOOKUP(Tabel10[[#This Row],[Code]],Ruimtegroepen[[Code]:[Ruimte omschrijving]],2,FALSE)</f>
        <v>Niet in Onderhoud</v>
      </c>
      <c r="C1054" s="218" t="s">
        <v>1177</v>
      </c>
      <c r="D1054" s="217" t="s">
        <v>29</v>
      </c>
      <c r="E1054" s="219" t="s">
        <v>101</v>
      </c>
      <c r="F1054" s="218" t="s">
        <v>1178</v>
      </c>
      <c r="G1054" s="263" t="s">
        <v>302</v>
      </c>
      <c r="H1054" s="220" t="s">
        <v>302</v>
      </c>
      <c r="I1054" s="220" t="s">
        <v>302</v>
      </c>
      <c r="J1054" s="221" t="s">
        <v>302</v>
      </c>
      <c r="K1054" s="221" t="s">
        <v>302</v>
      </c>
      <c r="L1054" s="220" t="s">
        <v>302</v>
      </c>
      <c r="M1054" s="220" t="s">
        <v>302</v>
      </c>
      <c r="N1054" s="221" t="s">
        <v>302</v>
      </c>
      <c r="O1054" s="222" t="s">
        <v>302</v>
      </c>
      <c r="P1054" s="222" t="s">
        <v>302</v>
      </c>
      <c r="Q1054" s="222" t="s">
        <v>302</v>
      </c>
      <c r="R1054" s="222" t="s">
        <v>302</v>
      </c>
      <c r="S1054" s="222" t="s">
        <v>302</v>
      </c>
      <c r="T1054" s="222" t="s">
        <v>302</v>
      </c>
      <c r="U1054" s="222" t="s">
        <v>302</v>
      </c>
      <c r="V1054" s="222" t="s">
        <v>302</v>
      </c>
      <c r="W1054" s="223" t="s">
        <v>302</v>
      </c>
      <c r="X1054" s="223" t="s">
        <v>302</v>
      </c>
      <c r="Y1054" s="224" t="s">
        <v>302</v>
      </c>
    </row>
    <row r="1055" spans="1:25">
      <c r="A1055" s="216">
        <v>20</v>
      </c>
      <c r="B1055" s="217" t="str">
        <f>VLOOKUP(Tabel10[[#This Row],[Code]],Ruimtegroepen[[Code]:[Ruimte omschrijving]],2,FALSE)</f>
        <v>Niet in Onderhoud</v>
      </c>
      <c r="C1055" s="218" t="s">
        <v>1177</v>
      </c>
      <c r="D1055" s="217" t="s">
        <v>29</v>
      </c>
      <c r="E1055" s="219" t="s">
        <v>100</v>
      </c>
      <c r="F1055" s="218" t="s">
        <v>1179</v>
      </c>
      <c r="G1055" s="263" t="s">
        <v>302</v>
      </c>
      <c r="H1055" s="220" t="s">
        <v>302</v>
      </c>
      <c r="I1055" s="220" t="s">
        <v>302</v>
      </c>
      <c r="J1055" s="221" t="s">
        <v>302</v>
      </c>
      <c r="K1055" s="221" t="s">
        <v>302</v>
      </c>
      <c r="L1055" s="220" t="s">
        <v>302</v>
      </c>
      <c r="M1055" s="220" t="s">
        <v>302</v>
      </c>
      <c r="N1055" s="221" t="s">
        <v>302</v>
      </c>
      <c r="O1055" s="222" t="s">
        <v>302</v>
      </c>
      <c r="P1055" s="222" t="s">
        <v>302</v>
      </c>
      <c r="Q1055" s="222" t="s">
        <v>302</v>
      </c>
      <c r="R1055" s="222" t="s">
        <v>302</v>
      </c>
      <c r="S1055" s="222" t="s">
        <v>302</v>
      </c>
      <c r="T1055" s="222" t="s">
        <v>302</v>
      </c>
      <c r="U1055" s="222" t="s">
        <v>302</v>
      </c>
      <c r="V1055" s="222" t="s">
        <v>302</v>
      </c>
      <c r="W1055" s="223" t="s">
        <v>302</v>
      </c>
      <c r="X1055" s="223" t="s">
        <v>302</v>
      </c>
      <c r="Y1055" s="224" t="s">
        <v>302</v>
      </c>
    </row>
    <row r="1056" spans="1:25">
      <c r="A1056" s="216">
        <v>20</v>
      </c>
      <c r="B1056" s="217" t="str">
        <f>VLOOKUP(Tabel10[[#This Row],[Code]],Ruimtegroepen[[Code]:[Ruimte omschrijving]],2,FALSE)</f>
        <v>Niet in Onderhoud</v>
      </c>
      <c r="C1056" s="218" t="s">
        <v>1177</v>
      </c>
      <c r="D1056" s="217" t="s">
        <v>29</v>
      </c>
      <c r="E1056" s="219" t="s">
        <v>102</v>
      </c>
      <c r="F1056" s="218" t="s">
        <v>1180</v>
      </c>
      <c r="G1056" s="263" t="s">
        <v>302</v>
      </c>
      <c r="H1056" s="220" t="s">
        <v>302</v>
      </c>
      <c r="I1056" s="220" t="s">
        <v>302</v>
      </c>
      <c r="J1056" s="221" t="s">
        <v>302</v>
      </c>
      <c r="K1056" s="221" t="s">
        <v>302</v>
      </c>
      <c r="L1056" s="220" t="s">
        <v>302</v>
      </c>
      <c r="M1056" s="220" t="s">
        <v>302</v>
      </c>
      <c r="N1056" s="221" t="s">
        <v>302</v>
      </c>
      <c r="O1056" s="222" t="s">
        <v>302</v>
      </c>
      <c r="P1056" s="222" t="s">
        <v>302</v>
      </c>
      <c r="Q1056" s="222" t="s">
        <v>302</v>
      </c>
      <c r="R1056" s="222" t="s">
        <v>302</v>
      </c>
      <c r="S1056" s="222" t="s">
        <v>302</v>
      </c>
      <c r="T1056" s="222" t="s">
        <v>302</v>
      </c>
      <c r="U1056" s="222" t="s">
        <v>302</v>
      </c>
      <c r="V1056" s="222" t="s">
        <v>302</v>
      </c>
      <c r="W1056" s="223" t="s">
        <v>302</v>
      </c>
      <c r="X1056" s="223" t="s">
        <v>302</v>
      </c>
      <c r="Y1056" s="224" t="s">
        <v>302</v>
      </c>
    </row>
    <row r="1057" spans="1:25">
      <c r="A1057" s="216">
        <v>20</v>
      </c>
      <c r="B1057" s="217" t="str">
        <f>VLOOKUP(Tabel10[[#This Row],[Code]],Ruimtegroepen[[Code]:[Ruimte omschrijving]],2,FALSE)</f>
        <v>Niet in Onderhoud</v>
      </c>
      <c r="C1057" s="218" t="s">
        <v>1177</v>
      </c>
      <c r="D1057" s="217" t="s">
        <v>29</v>
      </c>
      <c r="E1057" s="219" t="s">
        <v>103</v>
      </c>
      <c r="F1057" s="218" t="s">
        <v>1181</v>
      </c>
      <c r="G1057" s="263" t="s">
        <v>302</v>
      </c>
      <c r="H1057" s="220" t="s">
        <v>302</v>
      </c>
      <c r="I1057" s="220" t="s">
        <v>302</v>
      </c>
      <c r="J1057" s="221" t="s">
        <v>302</v>
      </c>
      <c r="K1057" s="221" t="s">
        <v>302</v>
      </c>
      <c r="L1057" s="220" t="s">
        <v>302</v>
      </c>
      <c r="M1057" s="220" t="s">
        <v>302</v>
      </c>
      <c r="N1057" s="221" t="s">
        <v>302</v>
      </c>
      <c r="O1057" s="222" t="s">
        <v>302</v>
      </c>
      <c r="P1057" s="222" t="s">
        <v>302</v>
      </c>
      <c r="Q1057" s="222" t="s">
        <v>302</v>
      </c>
      <c r="R1057" s="222" t="s">
        <v>302</v>
      </c>
      <c r="S1057" s="222" t="s">
        <v>302</v>
      </c>
      <c r="T1057" s="222" t="s">
        <v>302</v>
      </c>
      <c r="U1057" s="222" t="s">
        <v>302</v>
      </c>
      <c r="V1057" s="222" t="s">
        <v>302</v>
      </c>
      <c r="W1057" s="223" t="s">
        <v>302</v>
      </c>
      <c r="X1057" s="223" t="s">
        <v>302</v>
      </c>
      <c r="Y1057" s="224" t="s">
        <v>302</v>
      </c>
    </row>
    <row r="1058" spans="1:25">
      <c r="A1058" s="216">
        <v>20</v>
      </c>
      <c r="B1058" s="217" t="str">
        <f>VLOOKUP(Tabel10[[#This Row],[Code]],Ruimtegroepen[[Code]:[Ruimte omschrijving]],2,FALSE)</f>
        <v>Niet in Onderhoud</v>
      </c>
      <c r="C1058" s="218" t="s">
        <v>1177</v>
      </c>
      <c r="D1058" s="217" t="s">
        <v>29</v>
      </c>
      <c r="E1058" s="219" t="s">
        <v>100</v>
      </c>
      <c r="F1058" s="218" t="s">
        <v>1179</v>
      </c>
      <c r="G1058" s="263" t="s">
        <v>302</v>
      </c>
      <c r="H1058" s="220" t="s">
        <v>302</v>
      </c>
      <c r="I1058" s="220" t="s">
        <v>302</v>
      </c>
      <c r="J1058" s="221" t="s">
        <v>302</v>
      </c>
      <c r="K1058" s="221" t="s">
        <v>302</v>
      </c>
      <c r="L1058" s="220" t="s">
        <v>302</v>
      </c>
      <c r="M1058" s="220" t="s">
        <v>302</v>
      </c>
      <c r="N1058" s="221" t="s">
        <v>302</v>
      </c>
      <c r="O1058" s="222" t="s">
        <v>302</v>
      </c>
      <c r="P1058" s="222" t="s">
        <v>302</v>
      </c>
      <c r="Q1058" s="222" t="s">
        <v>302</v>
      </c>
      <c r="R1058" s="222" t="s">
        <v>302</v>
      </c>
      <c r="S1058" s="222" t="s">
        <v>302</v>
      </c>
      <c r="T1058" s="222" t="s">
        <v>302</v>
      </c>
      <c r="U1058" s="222" t="s">
        <v>302</v>
      </c>
      <c r="V1058" s="222" t="s">
        <v>302</v>
      </c>
      <c r="W1058" s="223" t="s">
        <v>302</v>
      </c>
      <c r="X1058" s="223" t="s">
        <v>302</v>
      </c>
      <c r="Y1058" s="224" t="s">
        <v>302</v>
      </c>
    </row>
    <row r="1059" spans="1:25">
      <c r="A1059" s="216">
        <v>20</v>
      </c>
      <c r="B1059" s="217" t="str">
        <f>VLOOKUP(Tabel10[[#This Row],[Code]],Ruimtegroepen[[Code]:[Ruimte omschrijving]],2,FALSE)</f>
        <v>Niet in Onderhoud</v>
      </c>
      <c r="C1059" s="218" t="s">
        <v>1177</v>
      </c>
      <c r="D1059" s="217" t="s">
        <v>29</v>
      </c>
      <c r="E1059" s="219" t="s">
        <v>1325</v>
      </c>
      <c r="F1059" s="218" t="s">
        <v>1343</v>
      </c>
      <c r="G1059" s="263" t="s">
        <v>302</v>
      </c>
      <c r="H1059" s="220" t="s">
        <v>302</v>
      </c>
      <c r="I1059" s="220" t="s">
        <v>302</v>
      </c>
      <c r="J1059" s="221" t="s">
        <v>302</v>
      </c>
      <c r="K1059" s="221" t="s">
        <v>302</v>
      </c>
      <c r="L1059" s="220" t="s">
        <v>302</v>
      </c>
      <c r="M1059" s="220" t="s">
        <v>302</v>
      </c>
      <c r="N1059" s="221" t="s">
        <v>302</v>
      </c>
      <c r="O1059" s="222" t="s">
        <v>302</v>
      </c>
      <c r="P1059" s="222" t="s">
        <v>302</v>
      </c>
      <c r="Q1059" s="222" t="s">
        <v>302</v>
      </c>
      <c r="R1059" s="222" t="s">
        <v>302</v>
      </c>
      <c r="S1059" s="222" t="s">
        <v>302</v>
      </c>
      <c r="T1059" s="222" t="s">
        <v>302</v>
      </c>
      <c r="U1059" s="222" t="s">
        <v>302</v>
      </c>
      <c r="V1059" s="222" t="s">
        <v>302</v>
      </c>
      <c r="W1059" s="223" t="s">
        <v>302</v>
      </c>
      <c r="X1059" s="223" t="s">
        <v>302</v>
      </c>
      <c r="Y1059" s="224" t="s">
        <v>302</v>
      </c>
    </row>
    <row r="1060" spans="1:25">
      <c r="A1060" s="216">
        <v>20</v>
      </c>
      <c r="B1060" s="217" t="str">
        <f>VLOOKUP(Tabel10[[#This Row],[Code]],Ruimtegroepen[[Code]:[Ruimte omschrijving]],2,FALSE)</f>
        <v>Niet in Onderhoud</v>
      </c>
      <c r="C1060" s="218" t="s">
        <v>1182</v>
      </c>
      <c r="D1060" s="217" t="s">
        <v>1</v>
      </c>
      <c r="E1060" s="219" t="s">
        <v>101</v>
      </c>
      <c r="F1060" s="218" t="s">
        <v>1183</v>
      </c>
      <c r="G1060" s="263" t="s">
        <v>302</v>
      </c>
      <c r="H1060" s="220" t="s">
        <v>302</v>
      </c>
      <c r="I1060" s="220" t="s">
        <v>302</v>
      </c>
      <c r="J1060" s="221" t="s">
        <v>302</v>
      </c>
      <c r="K1060" s="221" t="s">
        <v>302</v>
      </c>
      <c r="L1060" s="220" t="s">
        <v>302</v>
      </c>
      <c r="M1060" s="220" t="s">
        <v>302</v>
      </c>
      <c r="N1060" s="221" t="s">
        <v>302</v>
      </c>
      <c r="O1060" s="222" t="s">
        <v>302</v>
      </c>
      <c r="P1060" s="222" t="s">
        <v>302</v>
      </c>
      <c r="Q1060" s="222" t="s">
        <v>302</v>
      </c>
      <c r="R1060" s="222" t="s">
        <v>302</v>
      </c>
      <c r="S1060" s="222" t="s">
        <v>302</v>
      </c>
      <c r="T1060" s="222" t="s">
        <v>302</v>
      </c>
      <c r="U1060" s="222" t="s">
        <v>302</v>
      </c>
      <c r="V1060" s="222" t="s">
        <v>302</v>
      </c>
      <c r="W1060" s="223" t="s">
        <v>302</v>
      </c>
      <c r="X1060" s="223" t="s">
        <v>302</v>
      </c>
      <c r="Y1060" s="224" t="s">
        <v>302</v>
      </c>
    </row>
    <row r="1061" spans="1:25">
      <c r="A1061" s="216">
        <v>20</v>
      </c>
      <c r="B1061" s="217" t="str">
        <f>VLOOKUP(Tabel10[[#This Row],[Code]],Ruimtegroepen[[Code]:[Ruimte omschrijving]],2,FALSE)</f>
        <v>Niet in Onderhoud</v>
      </c>
      <c r="C1061" s="218" t="s">
        <v>1182</v>
      </c>
      <c r="D1061" s="217" t="s">
        <v>1</v>
      </c>
      <c r="E1061" s="219" t="s">
        <v>100</v>
      </c>
      <c r="F1061" s="218" t="s">
        <v>1184</v>
      </c>
      <c r="G1061" s="263" t="s">
        <v>302</v>
      </c>
      <c r="H1061" s="220" t="s">
        <v>302</v>
      </c>
      <c r="I1061" s="220" t="s">
        <v>302</v>
      </c>
      <c r="J1061" s="221" t="s">
        <v>302</v>
      </c>
      <c r="K1061" s="221" t="s">
        <v>302</v>
      </c>
      <c r="L1061" s="220" t="s">
        <v>302</v>
      </c>
      <c r="M1061" s="220" t="s">
        <v>302</v>
      </c>
      <c r="N1061" s="221" t="s">
        <v>302</v>
      </c>
      <c r="O1061" s="222" t="s">
        <v>302</v>
      </c>
      <c r="P1061" s="222" t="s">
        <v>302</v>
      </c>
      <c r="Q1061" s="222" t="s">
        <v>302</v>
      </c>
      <c r="R1061" s="222" t="s">
        <v>302</v>
      </c>
      <c r="S1061" s="222" t="s">
        <v>302</v>
      </c>
      <c r="T1061" s="222" t="s">
        <v>302</v>
      </c>
      <c r="U1061" s="222" t="s">
        <v>302</v>
      </c>
      <c r="V1061" s="222" t="s">
        <v>302</v>
      </c>
      <c r="W1061" s="223" t="s">
        <v>302</v>
      </c>
      <c r="X1061" s="223" t="s">
        <v>302</v>
      </c>
      <c r="Y1061" s="224" t="s">
        <v>302</v>
      </c>
    </row>
    <row r="1062" spans="1:25">
      <c r="A1062" s="216">
        <v>20</v>
      </c>
      <c r="B1062" s="217" t="str">
        <f>VLOOKUP(Tabel10[[#This Row],[Code]],Ruimtegroepen[[Code]:[Ruimte omschrijving]],2,FALSE)</f>
        <v>Niet in Onderhoud</v>
      </c>
      <c r="C1062" s="218" t="s">
        <v>1182</v>
      </c>
      <c r="D1062" s="217" t="s">
        <v>1</v>
      </c>
      <c r="E1062" s="219" t="s">
        <v>102</v>
      </c>
      <c r="F1062" s="218" t="s">
        <v>1185</v>
      </c>
      <c r="G1062" s="263" t="s">
        <v>302</v>
      </c>
      <c r="H1062" s="220" t="s">
        <v>302</v>
      </c>
      <c r="I1062" s="220" t="s">
        <v>302</v>
      </c>
      <c r="J1062" s="221" t="s">
        <v>302</v>
      </c>
      <c r="K1062" s="221" t="s">
        <v>302</v>
      </c>
      <c r="L1062" s="220" t="s">
        <v>302</v>
      </c>
      <c r="M1062" s="220" t="s">
        <v>302</v>
      </c>
      <c r="N1062" s="221" t="s">
        <v>302</v>
      </c>
      <c r="O1062" s="222" t="s">
        <v>302</v>
      </c>
      <c r="P1062" s="222" t="s">
        <v>302</v>
      </c>
      <c r="Q1062" s="222" t="s">
        <v>302</v>
      </c>
      <c r="R1062" s="222" t="s">
        <v>302</v>
      </c>
      <c r="S1062" s="222" t="s">
        <v>302</v>
      </c>
      <c r="T1062" s="222" t="s">
        <v>302</v>
      </c>
      <c r="U1062" s="222" t="s">
        <v>302</v>
      </c>
      <c r="V1062" s="222" t="s">
        <v>302</v>
      </c>
      <c r="W1062" s="223" t="s">
        <v>302</v>
      </c>
      <c r="X1062" s="223" t="s">
        <v>302</v>
      </c>
      <c r="Y1062" s="224" t="s">
        <v>302</v>
      </c>
    </row>
    <row r="1063" spans="1:25">
      <c r="A1063" s="216">
        <v>20</v>
      </c>
      <c r="B1063" s="217" t="str">
        <f>VLOOKUP(Tabel10[[#This Row],[Code]],Ruimtegroepen[[Code]:[Ruimte omschrijving]],2,FALSE)</f>
        <v>Niet in Onderhoud</v>
      </c>
      <c r="C1063" s="218" t="s">
        <v>1182</v>
      </c>
      <c r="D1063" s="217" t="s">
        <v>1</v>
      </c>
      <c r="E1063" s="219" t="s">
        <v>103</v>
      </c>
      <c r="F1063" s="218" t="s">
        <v>1186</v>
      </c>
      <c r="G1063" s="263" t="s">
        <v>302</v>
      </c>
      <c r="H1063" s="220" t="s">
        <v>302</v>
      </c>
      <c r="I1063" s="220" t="s">
        <v>302</v>
      </c>
      <c r="J1063" s="221" t="s">
        <v>302</v>
      </c>
      <c r="K1063" s="221" t="s">
        <v>302</v>
      </c>
      <c r="L1063" s="220" t="s">
        <v>302</v>
      </c>
      <c r="M1063" s="220" t="s">
        <v>302</v>
      </c>
      <c r="N1063" s="221" t="s">
        <v>302</v>
      </c>
      <c r="O1063" s="222" t="s">
        <v>302</v>
      </c>
      <c r="P1063" s="222" t="s">
        <v>302</v>
      </c>
      <c r="Q1063" s="222" t="s">
        <v>302</v>
      </c>
      <c r="R1063" s="222" t="s">
        <v>302</v>
      </c>
      <c r="S1063" s="222" t="s">
        <v>302</v>
      </c>
      <c r="T1063" s="222" t="s">
        <v>302</v>
      </c>
      <c r="U1063" s="222" t="s">
        <v>302</v>
      </c>
      <c r="V1063" s="222" t="s">
        <v>302</v>
      </c>
      <c r="W1063" s="223" t="s">
        <v>302</v>
      </c>
      <c r="X1063" s="223" t="s">
        <v>302</v>
      </c>
      <c r="Y1063" s="224" t="s">
        <v>302</v>
      </c>
    </row>
    <row r="1064" spans="1:25">
      <c r="A1064" s="216">
        <v>20</v>
      </c>
      <c r="B1064" s="217" t="str">
        <f>VLOOKUP(Tabel10[[#This Row],[Code]],Ruimtegroepen[[Code]:[Ruimte omschrijving]],2,FALSE)</f>
        <v>Niet in Onderhoud</v>
      </c>
      <c r="C1064" s="218" t="s">
        <v>1182</v>
      </c>
      <c r="D1064" s="217" t="s">
        <v>1</v>
      </c>
      <c r="E1064" s="219" t="s">
        <v>100</v>
      </c>
      <c r="F1064" s="218" t="s">
        <v>1184</v>
      </c>
      <c r="G1064" s="263" t="s">
        <v>302</v>
      </c>
      <c r="H1064" s="220" t="s">
        <v>302</v>
      </c>
      <c r="I1064" s="220" t="s">
        <v>302</v>
      </c>
      <c r="J1064" s="221" t="s">
        <v>302</v>
      </c>
      <c r="K1064" s="221" t="s">
        <v>302</v>
      </c>
      <c r="L1064" s="220" t="s">
        <v>302</v>
      </c>
      <c r="M1064" s="220" t="s">
        <v>302</v>
      </c>
      <c r="N1064" s="221" t="s">
        <v>302</v>
      </c>
      <c r="O1064" s="222" t="s">
        <v>302</v>
      </c>
      <c r="P1064" s="222" t="s">
        <v>302</v>
      </c>
      <c r="Q1064" s="222" t="s">
        <v>302</v>
      </c>
      <c r="R1064" s="222" t="s">
        <v>302</v>
      </c>
      <c r="S1064" s="222" t="s">
        <v>302</v>
      </c>
      <c r="T1064" s="222" t="s">
        <v>302</v>
      </c>
      <c r="U1064" s="222" t="s">
        <v>302</v>
      </c>
      <c r="V1064" s="222" t="s">
        <v>302</v>
      </c>
      <c r="W1064" s="223" t="s">
        <v>302</v>
      </c>
      <c r="X1064" s="223" t="s">
        <v>302</v>
      </c>
      <c r="Y1064" s="224" t="s">
        <v>302</v>
      </c>
    </row>
    <row r="1065" spans="1:25">
      <c r="A1065" s="216">
        <v>20</v>
      </c>
      <c r="B1065" s="217" t="str">
        <f>VLOOKUP(Tabel10[[#This Row],[Code]],Ruimtegroepen[[Code]:[Ruimte omschrijving]],2,FALSE)</f>
        <v>Niet in Onderhoud</v>
      </c>
      <c r="C1065" s="218" t="s">
        <v>1182</v>
      </c>
      <c r="D1065" s="217" t="s">
        <v>1</v>
      </c>
      <c r="E1065" s="219" t="s">
        <v>1325</v>
      </c>
      <c r="F1065" s="218" t="s">
        <v>1342</v>
      </c>
      <c r="G1065" s="263" t="s">
        <v>302</v>
      </c>
      <c r="H1065" s="220" t="s">
        <v>302</v>
      </c>
      <c r="I1065" s="220" t="s">
        <v>302</v>
      </c>
      <c r="J1065" s="221" t="s">
        <v>302</v>
      </c>
      <c r="K1065" s="221" t="s">
        <v>302</v>
      </c>
      <c r="L1065" s="220" t="s">
        <v>302</v>
      </c>
      <c r="M1065" s="220" t="s">
        <v>302</v>
      </c>
      <c r="N1065" s="221" t="s">
        <v>302</v>
      </c>
      <c r="O1065" s="222" t="s">
        <v>302</v>
      </c>
      <c r="P1065" s="222" t="s">
        <v>302</v>
      </c>
      <c r="Q1065" s="222" t="s">
        <v>302</v>
      </c>
      <c r="R1065" s="222" t="s">
        <v>302</v>
      </c>
      <c r="S1065" s="222" t="s">
        <v>302</v>
      </c>
      <c r="T1065" s="222" t="s">
        <v>302</v>
      </c>
      <c r="U1065" s="222" t="s">
        <v>302</v>
      </c>
      <c r="V1065" s="222" t="s">
        <v>302</v>
      </c>
      <c r="W1065" s="223" t="s">
        <v>302</v>
      </c>
      <c r="X1065" s="223" t="s">
        <v>302</v>
      </c>
      <c r="Y1065" s="224" t="s">
        <v>302</v>
      </c>
    </row>
    <row r="1066" spans="1:25">
      <c r="A1066" s="216">
        <v>20</v>
      </c>
      <c r="B1066" s="217" t="str">
        <f>VLOOKUP(Tabel10[[#This Row],[Code]],Ruimtegroepen[[Code]:[Ruimte omschrijving]],2,FALSE)</f>
        <v>Niet in Onderhoud</v>
      </c>
      <c r="C1066" s="218" t="s">
        <v>1187</v>
      </c>
      <c r="D1066" s="217" t="s">
        <v>21</v>
      </c>
      <c r="E1066" s="219" t="s">
        <v>101</v>
      </c>
      <c r="F1066" s="218" t="s">
        <v>1188</v>
      </c>
      <c r="G1066" s="263" t="s">
        <v>302</v>
      </c>
      <c r="H1066" s="220" t="s">
        <v>302</v>
      </c>
      <c r="I1066" s="220" t="s">
        <v>302</v>
      </c>
      <c r="J1066" s="221" t="s">
        <v>302</v>
      </c>
      <c r="K1066" s="221" t="s">
        <v>302</v>
      </c>
      <c r="L1066" s="220" t="s">
        <v>302</v>
      </c>
      <c r="M1066" s="220" t="s">
        <v>302</v>
      </c>
      <c r="N1066" s="221" t="s">
        <v>302</v>
      </c>
      <c r="O1066" s="222" t="s">
        <v>302</v>
      </c>
      <c r="P1066" s="222" t="s">
        <v>302</v>
      </c>
      <c r="Q1066" s="222" t="s">
        <v>302</v>
      </c>
      <c r="R1066" s="222" t="s">
        <v>302</v>
      </c>
      <c r="S1066" s="222" t="s">
        <v>302</v>
      </c>
      <c r="T1066" s="222" t="s">
        <v>302</v>
      </c>
      <c r="U1066" s="222" t="s">
        <v>302</v>
      </c>
      <c r="V1066" s="222" t="s">
        <v>302</v>
      </c>
      <c r="W1066" s="223" t="s">
        <v>302</v>
      </c>
      <c r="X1066" s="223" t="s">
        <v>302</v>
      </c>
      <c r="Y1066" s="224" t="s">
        <v>302</v>
      </c>
    </row>
    <row r="1067" spans="1:25">
      <c r="A1067" s="216">
        <v>20</v>
      </c>
      <c r="B1067" s="217" t="str">
        <f>VLOOKUP(Tabel10[[#This Row],[Code]],Ruimtegroepen[[Code]:[Ruimte omschrijving]],2,FALSE)</f>
        <v>Niet in Onderhoud</v>
      </c>
      <c r="C1067" s="218" t="s">
        <v>1187</v>
      </c>
      <c r="D1067" s="217" t="s">
        <v>21</v>
      </c>
      <c r="E1067" s="219" t="s">
        <v>100</v>
      </c>
      <c r="F1067" s="218" t="s">
        <v>1189</v>
      </c>
      <c r="G1067" s="263" t="s">
        <v>302</v>
      </c>
      <c r="H1067" s="220" t="s">
        <v>302</v>
      </c>
      <c r="I1067" s="220" t="s">
        <v>302</v>
      </c>
      <c r="J1067" s="221" t="s">
        <v>302</v>
      </c>
      <c r="K1067" s="221" t="s">
        <v>302</v>
      </c>
      <c r="L1067" s="220" t="s">
        <v>302</v>
      </c>
      <c r="M1067" s="220" t="s">
        <v>302</v>
      </c>
      <c r="N1067" s="221" t="s">
        <v>302</v>
      </c>
      <c r="O1067" s="222" t="s">
        <v>302</v>
      </c>
      <c r="P1067" s="222" t="s">
        <v>302</v>
      </c>
      <c r="Q1067" s="222" t="s">
        <v>302</v>
      </c>
      <c r="R1067" s="222" t="s">
        <v>302</v>
      </c>
      <c r="S1067" s="222" t="s">
        <v>302</v>
      </c>
      <c r="T1067" s="222" t="s">
        <v>302</v>
      </c>
      <c r="U1067" s="222" t="s">
        <v>302</v>
      </c>
      <c r="V1067" s="222" t="s">
        <v>302</v>
      </c>
      <c r="W1067" s="223" t="s">
        <v>302</v>
      </c>
      <c r="X1067" s="223" t="s">
        <v>302</v>
      </c>
      <c r="Y1067" s="224" t="s">
        <v>302</v>
      </c>
    </row>
    <row r="1068" spans="1:25">
      <c r="A1068" s="216">
        <v>20</v>
      </c>
      <c r="B1068" s="217" t="str">
        <f>VLOOKUP(Tabel10[[#This Row],[Code]],Ruimtegroepen[[Code]:[Ruimte omschrijving]],2,FALSE)</f>
        <v>Niet in Onderhoud</v>
      </c>
      <c r="C1068" s="218" t="s">
        <v>1187</v>
      </c>
      <c r="D1068" s="217" t="s">
        <v>21</v>
      </c>
      <c r="E1068" s="219" t="s">
        <v>102</v>
      </c>
      <c r="F1068" s="218" t="s">
        <v>1190</v>
      </c>
      <c r="G1068" s="263" t="s">
        <v>302</v>
      </c>
      <c r="H1068" s="220" t="s">
        <v>302</v>
      </c>
      <c r="I1068" s="220" t="s">
        <v>302</v>
      </c>
      <c r="J1068" s="221" t="s">
        <v>302</v>
      </c>
      <c r="K1068" s="221" t="s">
        <v>302</v>
      </c>
      <c r="L1068" s="220" t="s">
        <v>302</v>
      </c>
      <c r="M1068" s="220" t="s">
        <v>302</v>
      </c>
      <c r="N1068" s="221" t="s">
        <v>302</v>
      </c>
      <c r="O1068" s="222" t="s">
        <v>302</v>
      </c>
      <c r="P1068" s="222" t="s">
        <v>302</v>
      </c>
      <c r="Q1068" s="222" t="s">
        <v>302</v>
      </c>
      <c r="R1068" s="222" t="s">
        <v>302</v>
      </c>
      <c r="S1068" s="222" t="s">
        <v>302</v>
      </c>
      <c r="T1068" s="222" t="s">
        <v>302</v>
      </c>
      <c r="U1068" s="222" t="s">
        <v>302</v>
      </c>
      <c r="V1068" s="222" t="s">
        <v>302</v>
      </c>
      <c r="W1068" s="223" t="s">
        <v>302</v>
      </c>
      <c r="X1068" s="223" t="s">
        <v>302</v>
      </c>
      <c r="Y1068" s="224" t="s">
        <v>302</v>
      </c>
    </row>
    <row r="1069" spans="1:25">
      <c r="A1069" s="216">
        <v>20</v>
      </c>
      <c r="B1069" s="217" t="str">
        <f>VLOOKUP(Tabel10[[#This Row],[Code]],Ruimtegroepen[[Code]:[Ruimte omschrijving]],2,FALSE)</f>
        <v>Niet in Onderhoud</v>
      </c>
      <c r="C1069" s="218" t="s">
        <v>1187</v>
      </c>
      <c r="D1069" s="217" t="s">
        <v>21</v>
      </c>
      <c r="E1069" s="219" t="s">
        <v>103</v>
      </c>
      <c r="F1069" s="218" t="s">
        <v>1191</v>
      </c>
      <c r="G1069" s="263" t="s">
        <v>302</v>
      </c>
      <c r="H1069" s="220" t="s">
        <v>302</v>
      </c>
      <c r="I1069" s="220" t="s">
        <v>302</v>
      </c>
      <c r="J1069" s="221" t="s">
        <v>302</v>
      </c>
      <c r="K1069" s="221" t="s">
        <v>302</v>
      </c>
      <c r="L1069" s="220" t="s">
        <v>302</v>
      </c>
      <c r="M1069" s="220" t="s">
        <v>302</v>
      </c>
      <c r="N1069" s="221" t="s">
        <v>302</v>
      </c>
      <c r="O1069" s="222" t="s">
        <v>302</v>
      </c>
      <c r="P1069" s="222" t="s">
        <v>302</v>
      </c>
      <c r="Q1069" s="222" t="s">
        <v>302</v>
      </c>
      <c r="R1069" s="222" t="s">
        <v>302</v>
      </c>
      <c r="S1069" s="222" t="s">
        <v>302</v>
      </c>
      <c r="T1069" s="222" t="s">
        <v>302</v>
      </c>
      <c r="U1069" s="222" t="s">
        <v>302</v>
      </c>
      <c r="V1069" s="222" t="s">
        <v>302</v>
      </c>
      <c r="W1069" s="223" t="s">
        <v>302</v>
      </c>
      <c r="X1069" s="223" t="s">
        <v>302</v>
      </c>
      <c r="Y1069" s="224" t="s">
        <v>302</v>
      </c>
    </row>
    <row r="1070" spans="1:25">
      <c r="A1070" s="216">
        <v>20</v>
      </c>
      <c r="B1070" s="217" t="str">
        <f>VLOOKUP(Tabel10[[#This Row],[Code]],Ruimtegroepen[[Code]:[Ruimte omschrijving]],2,FALSE)</f>
        <v>Niet in Onderhoud</v>
      </c>
      <c r="C1070" s="218" t="s">
        <v>1187</v>
      </c>
      <c r="D1070" s="217" t="s">
        <v>21</v>
      </c>
      <c r="E1070" s="219" t="s">
        <v>100</v>
      </c>
      <c r="F1070" s="218" t="s">
        <v>1189</v>
      </c>
      <c r="G1070" s="263" t="s">
        <v>302</v>
      </c>
      <c r="H1070" s="220" t="s">
        <v>302</v>
      </c>
      <c r="I1070" s="220" t="s">
        <v>302</v>
      </c>
      <c r="J1070" s="221" t="s">
        <v>302</v>
      </c>
      <c r="K1070" s="221" t="s">
        <v>302</v>
      </c>
      <c r="L1070" s="220" t="s">
        <v>302</v>
      </c>
      <c r="M1070" s="220" t="s">
        <v>302</v>
      </c>
      <c r="N1070" s="221" t="s">
        <v>302</v>
      </c>
      <c r="O1070" s="222" t="s">
        <v>302</v>
      </c>
      <c r="P1070" s="222" t="s">
        <v>302</v>
      </c>
      <c r="Q1070" s="222" t="s">
        <v>302</v>
      </c>
      <c r="R1070" s="222" t="s">
        <v>302</v>
      </c>
      <c r="S1070" s="222" t="s">
        <v>302</v>
      </c>
      <c r="T1070" s="222" t="s">
        <v>302</v>
      </c>
      <c r="U1070" s="222" t="s">
        <v>302</v>
      </c>
      <c r="V1070" s="222" t="s">
        <v>302</v>
      </c>
      <c r="W1070" s="223" t="s">
        <v>302</v>
      </c>
      <c r="X1070" s="223" t="s">
        <v>302</v>
      </c>
      <c r="Y1070" s="224" t="s">
        <v>302</v>
      </c>
    </row>
    <row r="1071" spans="1:25">
      <c r="A1071" s="216">
        <v>20</v>
      </c>
      <c r="B1071" s="217" t="str">
        <f>VLOOKUP(Tabel10[[#This Row],[Code]],Ruimtegroepen[[Code]:[Ruimte omschrijving]],2,FALSE)</f>
        <v>Niet in Onderhoud</v>
      </c>
      <c r="C1071" s="218" t="s">
        <v>1187</v>
      </c>
      <c r="D1071" s="217" t="s">
        <v>21</v>
      </c>
      <c r="E1071" s="219" t="s">
        <v>1325</v>
      </c>
      <c r="F1071" s="218" t="s">
        <v>1341</v>
      </c>
      <c r="G1071" s="263" t="s">
        <v>302</v>
      </c>
      <c r="H1071" s="220" t="s">
        <v>302</v>
      </c>
      <c r="I1071" s="220" t="s">
        <v>302</v>
      </c>
      <c r="J1071" s="221" t="s">
        <v>302</v>
      </c>
      <c r="K1071" s="221" t="s">
        <v>302</v>
      </c>
      <c r="L1071" s="220" t="s">
        <v>302</v>
      </c>
      <c r="M1071" s="220" t="s">
        <v>302</v>
      </c>
      <c r="N1071" s="221" t="s">
        <v>302</v>
      </c>
      <c r="O1071" s="222" t="s">
        <v>302</v>
      </c>
      <c r="P1071" s="222" t="s">
        <v>302</v>
      </c>
      <c r="Q1071" s="222" t="s">
        <v>302</v>
      </c>
      <c r="R1071" s="222" t="s">
        <v>302</v>
      </c>
      <c r="S1071" s="222" t="s">
        <v>302</v>
      </c>
      <c r="T1071" s="222" t="s">
        <v>302</v>
      </c>
      <c r="U1071" s="222" t="s">
        <v>302</v>
      </c>
      <c r="V1071" s="222" t="s">
        <v>302</v>
      </c>
      <c r="W1071" s="223" t="s">
        <v>302</v>
      </c>
      <c r="X1071" s="223" t="s">
        <v>302</v>
      </c>
      <c r="Y1071" s="224" t="s">
        <v>302</v>
      </c>
    </row>
    <row r="1072" spans="1:25">
      <c r="A1072" s="216">
        <v>20</v>
      </c>
      <c r="B1072" s="217" t="str">
        <f>VLOOKUP(Tabel10[[#This Row],[Code]],Ruimtegroepen[[Code]:[Ruimte omschrijving]],2,FALSE)</f>
        <v>Niet in Onderhoud</v>
      </c>
      <c r="C1072" s="218" t="s">
        <v>1192</v>
      </c>
      <c r="D1072" s="217" t="s">
        <v>12</v>
      </c>
      <c r="E1072" s="219" t="s">
        <v>101</v>
      </c>
      <c r="F1072" s="218" t="s">
        <v>1193</v>
      </c>
      <c r="G1072" s="263" t="s">
        <v>302</v>
      </c>
      <c r="H1072" s="220" t="s">
        <v>302</v>
      </c>
      <c r="I1072" s="220" t="s">
        <v>302</v>
      </c>
      <c r="J1072" s="221" t="s">
        <v>302</v>
      </c>
      <c r="K1072" s="221" t="s">
        <v>302</v>
      </c>
      <c r="L1072" s="220" t="s">
        <v>302</v>
      </c>
      <c r="M1072" s="220" t="s">
        <v>302</v>
      </c>
      <c r="N1072" s="221" t="s">
        <v>302</v>
      </c>
      <c r="O1072" s="222" t="s">
        <v>302</v>
      </c>
      <c r="P1072" s="222" t="s">
        <v>302</v>
      </c>
      <c r="Q1072" s="222" t="s">
        <v>302</v>
      </c>
      <c r="R1072" s="222" t="s">
        <v>302</v>
      </c>
      <c r="S1072" s="222" t="s">
        <v>302</v>
      </c>
      <c r="T1072" s="222" t="s">
        <v>302</v>
      </c>
      <c r="U1072" s="222" t="s">
        <v>302</v>
      </c>
      <c r="V1072" s="222" t="s">
        <v>302</v>
      </c>
      <c r="W1072" s="223" t="s">
        <v>302</v>
      </c>
      <c r="X1072" s="223" t="s">
        <v>302</v>
      </c>
      <c r="Y1072" s="224" t="s">
        <v>302</v>
      </c>
    </row>
    <row r="1073" spans="1:25">
      <c r="A1073" s="216">
        <v>20</v>
      </c>
      <c r="B1073" s="217" t="str">
        <f>VLOOKUP(Tabel10[[#This Row],[Code]],Ruimtegroepen[[Code]:[Ruimte omschrijving]],2,FALSE)</f>
        <v>Niet in Onderhoud</v>
      </c>
      <c r="C1073" s="218" t="s">
        <v>1192</v>
      </c>
      <c r="D1073" s="217" t="s">
        <v>12</v>
      </c>
      <c r="E1073" s="219" t="s">
        <v>100</v>
      </c>
      <c r="F1073" s="218" t="s">
        <v>1194</v>
      </c>
      <c r="G1073" s="263" t="s">
        <v>302</v>
      </c>
      <c r="H1073" s="220" t="s">
        <v>302</v>
      </c>
      <c r="I1073" s="220" t="s">
        <v>302</v>
      </c>
      <c r="J1073" s="221" t="s">
        <v>302</v>
      </c>
      <c r="K1073" s="221" t="s">
        <v>302</v>
      </c>
      <c r="L1073" s="220" t="s">
        <v>302</v>
      </c>
      <c r="M1073" s="220" t="s">
        <v>302</v>
      </c>
      <c r="N1073" s="221" t="s">
        <v>302</v>
      </c>
      <c r="O1073" s="222" t="s">
        <v>302</v>
      </c>
      <c r="P1073" s="222" t="s">
        <v>302</v>
      </c>
      <c r="Q1073" s="222" t="s">
        <v>302</v>
      </c>
      <c r="R1073" s="222" t="s">
        <v>302</v>
      </c>
      <c r="S1073" s="222" t="s">
        <v>302</v>
      </c>
      <c r="T1073" s="222" t="s">
        <v>302</v>
      </c>
      <c r="U1073" s="222" t="s">
        <v>302</v>
      </c>
      <c r="V1073" s="222" t="s">
        <v>302</v>
      </c>
      <c r="W1073" s="223" t="s">
        <v>302</v>
      </c>
      <c r="X1073" s="223" t="s">
        <v>302</v>
      </c>
      <c r="Y1073" s="224" t="s">
        <v>302</v>
      </c>
    </row>
    <row r="1074" spans="1:25">
      <c r="A1074" s="216">
        <v>20</v>
      </c>
      <c r="B1074" s="217" t="str">
        <f>VLOOKUP(Tabel10[[#This Row],[Code]],Ruimtegroepen[[Code]:[Ruimte omschrijving]],2,FALSE)</f>
        <v>Niet in Onderhoud</v>
      </c>
      <c r="C1074" s="218" t="s">
        <v>1192</v>
      </c>
      <c r="D1074" s="217" t="s">
        <v>12</v>
      </c>
      <c r="E1074" s="219" t="s">
        <v>102</v>
      </c>
      <c r="F1074" s="218" t="s">
        <v>1195</v>
      </c>
      <c r="G1074" s="263" t="s">
        <v>302</v>
      </c>
      <c r="H1074" s="220" t="s">
        <v>302</v>
      </c>
      <c r="I1074" s="220" t="s">
        <v>302</v>
      </c>
      <c r="J1074" s="221" t="s">
        <v>302</v>
      </c>
      <c r="K1074" s="221" t="s">
        <v>302</v>
      </c>
      <c r="L1074" s="220" t="s">
        <v>302</v>
      </c>
      <c r="M1074" s="220" t="s">
        <v>302</v>
      </c>
      <c r="N1074" s="221" t="s">
        <v>302</v>
      </c>
      <c r="O1074" s="222" t="s">
        <v>302</v>
      </c>
      <c r="P1074" s="222" t="s">
        <v>302</v>
      </c>
      <c r="Q1074" s="222" t="s">
        <v>302</v>
      </c>
      <c r="R1074" s="222" t="s">
        <v>302</v>
      </c>
      <c r="S1074" s="222" t="s">
        <v>302</v>
      </c>
      <c r="T1074" s="222" t="s">
        <v>302</v>
      </c>
      <c r="U1074" s="222" t="s">
        <v>302</v>
      </c>
      <c r="V1074" s="222" t="s">
        <v>302</v>
      </c>
      <c r="W1074" s="223" t="s">
        <v>302</v>
      </c>
      <c r="X1074" s="223" t="s">
        <v>302</v>
      </c>
      <c r="Y1074" s="224" t="s">
        <v>302</v>
      </c>
    </row>
    <row r="1075" spans="1:25">
      <c r="A1075" s="216">
        <v>20</v>
      </c>
      <c r="B1075" s="217" t="str">
        <f>VLOOKUP(Tabel10[[#This Row],[Code]],Ruimtegroepen[[Code]:[Ruimte omschrijving]],2,FALSE)</f>
        <v>Niet in Onderhoud</v>
      </c>
      <c r="C1075" s="218" t="s">
        <v>1192</v>
      </c>
      <c r="D1075" s="217" t="s">
        <v>12</v>
      </c>
      <c r="E1075" s="219" t="s">
        <v>103</v>
      </c>
      <c r="F1075" s="218" t="s">
        <v>1196</v>
      </c>
      <c r="G1075" s="263" t="s">
        <v>302</v>
      </c>
      <c r="H1075" s="220" t="s">
        <v>302</v>
      </c>
      <c r="I1075" s="220" t="s">
        <v>302</v>
      </c>
      <c r="J1075" s="221" t="s">
        <v>302</v>
      </c>
      <c r="K1075" s="221" t="s">
        <v>302</v>
      </c>
      <c r="L1075" s="220" t="s">
        <v>302</v>
      </c>
      <c r="M1075" s="220" t="s">
        <v>302</v>
      </c>
      <c r="N1075" s="221" t="s">
        <v>302</v>
      </c>
      <c r="O1075" s="222" t="s">
        <v>302</v>
      </c>
      <c r="P1075" s="222" t="s">
        <v>302</v>
      </c>
      <c r="Q1075" s="222" t="s">
        <v>302</v>
      </c>
      <c r="R1075" s="222" t="s">
        <v>302</v>
      </c>
      <c r="S1075" s="222" t="s">
        <v>302</v>
      </c>
      <c r="T1075" s="222" t="s">
        <v>302</v>
      </c>
      <c r="U1075" s="222" t="s">
        <v>302</v>
      </c>
      <c r="V1075" s="222" t="s">
        <v>302</v>
      </c>
      <c r="W1075" s="223" t="s">
        <v>302</v>
      </c>
      <c r="X1075" s="223" t="s">
        <v>302</v>
      </c>
      <c r="Y1075" s="224" t="s">
        <v>302</v>
      </c>
    </row>
    <row r="1076" spans="1:25">
      <c r="A1076" s="216">
        <v>20</v>
      </c>
      <c r="B1076" s="217" t="str">
        <f>VLOOKUP(Tabel10[[#This Row],[Code]],Ruimtegroepen[[Code]:[Ruimte omschrijving]],2,FALSE)</f>
        <v>Niet in Onderhoud</v>
      </c>
      <c r="C1076" s="218" t="s">
        <v>1192</v>
      </c>
      <c r="D1076" s="217" t="s">
        <v>12</v>
      </c>
      <c r="E1076" s="219" t="s">
        <v>100</v>
      </c>
      <c r="F1076" s="218" t="s">
        <v>1194</v>
      </c>
      <c r="G1076" s="263" t="s">
        <v>302</v>
      </c>
      <c r="H1076" s="220" t="s">
        <v>302</v>
      </c>
      <c r="I1076" s="220" t="s">
        <v>302</v>
      </c>
      <c r="J1076" s="221" t="s">
        <v>302</v>
      </c>
      <c r="K1076" s="221" t="s">
        <v>302</v>
      </c>
      <c r="L1076" s="220" t="s">
        <v>302</v>
      </c>
      <c r="M1076" s="220" t="s">
        <v>302</v>
      </c>
      <c r="N1076" s="221" t="s">
        <v>302</v>
      </c>
      <c r="O1076" s="222" t="s">
        <v>302</v>
      </c>
      <c r="P1076" s="222" t="s">
        <v>302</v>
      </c>
      <c r="Q1076" s="222" t="s">
        <v>302</v>
      </c>
      <c r="R1076" s="222" t="s">
        <v>302</v>
      </c>
      <c r="S1076" s="222" t="s">
        <v>302</v>
      </c>
      <c r="T1076" s="222" t="s">
        <v>302</v>
      </c>
      <c r="U1076" s="222" t="s">
        <v>302</v>
      </c>
      <c r="V1076" s="222" t="s">
        <v>302</v>
      </c>
      <c r="W1076" s="223" t="s">
        <v>302</v>
      </c>
      <c r="X1076" s="223" t="s">
        <v>302</v>
      </c>
      <c r="Y1076" s="224" t="s">
        <v>302</v>
      </c>
    </row>
    <row r="1077" spans="1:25">
      <c r="A1077" s="216">
        <v>20</v>
      </c>
      <c r="B1077" s="217" t="str">
        <f>VLOOKUP(Tabel10[[#This Row],[Code]],Ruimtegroepen[[Code]:[Ruimte omschrijving]],2,FALSE)</f>
        <v>Niet in Onderhoud</v>
      </c>
      <c r="C1077" s="218" t="s">
        <v>1192</v>
      </c>
      <c r="D1077" s="217" t="s">
        <v>12</v>
      </c>
      <c r="E1077" s="219" t="s">
        <v>1325</v>
      </c>
      <c r="F1077" s="218" t="s">
        <v>1340</v>
      </c>
      <c r="G1077" s="263" t="s">
        <v>302</v>
      </c>
      <c r="H1077" s="220" t="s">
        <v>302</v>
      </c>
      <c r="I1077" s="220" t="s">
        <v>302</v>
      </c>
      <c r="J1077" s="221" t="s">
        <v>302</v>
      </c>
      <c r="K1077" s="221" t="s">
        <v>302</v>
      </c>
      <c r="L1077" s="220" t="s">
        <v>302</v>
      </c>
      <c r="M1077" s="220" t="s">
        <v>302</v>
      </c>
      <c r="N1077" s="221" t="s">
        <v>302</v>
      </c>
      <c r="O1077" s="222" t="s">
        <v>302</v>
      </c>
      <c r="P1077" s="222" t="s">
        <v>302</v>
      </c>
      <c r="Q1077" s="222" t="s">
        <v>302</v>
      </c>
      <c r="R1077" s="222" t="s">
        <v>302</v>
      </c>
      <c r="S1077" s="222" t="s">
        <v>302</v>
      </c>
      <c r="T1077" s="222" t="s">
        <v>302</v>
      </c>
      <c r="U1077" s="222" t="s">
        <v>302</v>
      </c>
      <c r="V1077" s="222" t="s">
        <v>302</v>
      </c>
      <c r="W1077" s="223" t="s">
        <v>302</v>
      </c>
      <c r="X1077" s="223" t="s">
        <v>302</v>
      </c>
      <c r="Y1077" s="224" t="s">
        <v>302</v>
      </c>
    </row>
    <row r="1078" spans="1:25">
      <c r="A1078" s="216">
        <v>20</v>
      </c>
      <c r="B1078" s="217" t="str">
        <f>VLOOKUP(Tabel10[[#This Row],[Code]],Ruimtegroepen[[Code]:[Ruimte omschrijving]],2,FALSE)</f>
        <v>Niet in Onderhoud</v>
      </c>
      <c r="C1078" s="218" t="s">
        <v>1197</v>
      </c>
      <c r="D1078" s="217" t="s">
        <v>14</v>
      </c>
      <c r="E1078" s="219" t="s">
        <v>101</v>
      </c>
      <c r="F1078" s="218" t="s">
        <v>1198</v>
      </c>
      <c r="G1078" s="263" t="s">
        <v>302</v>
      </c>
      <c r="H1078" s="220" t="s">
        <v>302</v>
      </c>
      <c r="I1078" s="220" t="s">
        <v>302</v>
      </c>
      <c r="J1078" s="221" t="s">
        <v>302</v>
      </c>
      <c r="K1078" s="221" t="s">
        <v>302</v>
      </c>
      <c r="L1078" s="220" t="s">
        <v>302</v>
      </c>
      <c r="M1078" s="220" t="s">
        <v>302</v>
      </c>
      <c r="N1078" s="221" t="s">
        <v>302</v>
      </c>
      <c r="O1078" s="222" t="s">
        <v>302</v>
      </c>
      <c r="P1078" s="222" t="s">
        <v>302</v>
      </c>
      <c r="Q1078" s="222" t="s">
        <v>302</v>
      </c>
      <c r="R1078" s="222" t="s">
        <v>302</v>
      </c>
      <c r="S1078" s="222" t="s">
        <v>302</v>
      </c>
      <c r="T1078" s="222" t="s">
        <v>302</v>
      </c>
      <c r="U1078" s="222" t="s">
        <v>302</v>
      </c>
      <c r="V1078" s="222" t="s">
        <v>302</v>
      </c>
      <c r="W1078" s="223" t="s">
        <v>302</v>
      </c>
      <c r="X1078" s="223" t="s">
        <v>302</v>
      </c>
      <c r="Y1078" s="224" t="s">
        <v>302</v>
      </c>
    </row>
    <row r="1079" spans="1:25">
      <c r="A1079" s="216">
        <v>20</v>
      </c>
      <c r="B1079" s="217" t="str">
        <f>VLOOKUP(Tabel10[[#This Row],[Code]],Ruimtegroepen[[Code]:[Ruimte omschrijving]],2,FALSE)</f>
        <v>Niet in Onderhoud</v>
      </c>
      <c r="C1079" s="218" t="s">
        <v>1197</v>
      </c>
      <c r="D1079" s="217" t="s">
        <v>14</v>
      </c>
      <c r="E1079" s="219" t="s">
        <v>100</v>
      </c>
      <c r="F1079" s="218" t="s">
        <v>1199</v>
      </c>
      <c r="G1079" s="263" t="s">
        <v>302</v>
      </c>
      <c r="H1079" s="220" t="s">
        <v>302</v>
      </c>
      <c r="I1079" s="220" t="s">
        <v>302</v>
      </c>
      <c r="J1079" s="221" t="s">
        <v>302</v>
      </c>
      <c r="K1079" s="221" t="s">
        <v>302</v>
      </c>
      <c r="L1079" s="220" t="s">
        <v>302</v>
      </c>
      <c r="M1079" s="220" t="s">
        <v>302</v>
      </c>
      <c r="N1079" s="221" t="s">
        <v>302</v>
      </c>
      <c r="O1079" s="222" t="s">
        <v>302</v>
      </c>
      <c r="P1079" s="222" t="s">
        <v>302</v>
      </c>
      <c r="Q1079" s="222" t="s">
        <v>302</v>
      </c>
      <c r="R1079" s="222" t="s">
        <v>302</v>
      </c>
      <c r="S1079" s="222" t="s">
        <v>302</v>
      </c>
      <c r="T1079" s="222" t="s">
        <v>302</v>
      </c>
      <c r="U1079" s="222" t="s">
        <v>302</v>
      </c>
      <c r="V1079" s="222" t="s">
        <v>302</v>
      </c>
      <c r="W1079" s="223" t="s">
        <v>302</v>
      </c>
      <c r="X1079" s="223" t="s">
        <v>302</v>
      </c>
      <c r="Y1079" s="224" t="s">
        <v>302</v>
      </c>
    </row>
    <row r="1080" spans="1:25">
      <c r="A1080" s="216">
        <v>20</v>
      </c>
      <c r="B1080" s="217" t="str">
        <f>VLOOKUP(Tabel10[[#This Row],[Code]],Ruimtegroepen[[Code]:[Ruimte omschrijving]],2,FALSE)</f>
        <v>Niet in Onderhoud</v>
      </c>
      <c r="C1080" s="218" t="s">
        <v>1197</v>
      </c>
      <c r="D1080" s="217" t="s">
        <v>14</v>
      </c>
      <c r="E1080" s="219" t="s">
        <v>102</v>
      </c>
      <c r="F1080" s="218" t="s">
        <v>1200</v>
      </c>
      <c r="G1080" s="263" t="s">
        <v>302</v>
      </c>
      <c r="H1080" s="220" t="s">
        <v>302</v>
      </c>
      <c r="I1080" s="220" t="s">
        <v>302</v>
      </c>
      <c r="J1080" s="221" t="s">
        <v>302</v>
      </c>
      <c r="K1080" s="221" t="s">
        <v>302</v>
      </c>
      <c r="L1080" s="220" t="s">
        <v>302</v>
      </c>
      <c r="M1080" s="220" t="s">
        <v>302</v>
      </c>
      <c r="N1080" s="221" t="s">
        <v>302</v>
      </c>
      <c r="O1080" s="222" t="s">
        <v>302</v>
      </c>
      <c r="P1080" s="222" t="s">
        <v>302</v>
      </c>
      <c r="Q1080" s="222" t="s">
        <v>302</v>
      </c>
      <c r="R1080" s="222" t="s">
        <v>302</v>
      </c>
      <c r="S1080" s="222" t="s">
        <v>302</v>
      </c>
      <c r="T1080" s="222" t="s">
        <v>302</v>
      </c>
      <c r="U1080" s="222" t="s">
        <v>302</v>
      </c>
      <c r="V1080" s="222" t="s">
        <v>302</v>
      </c>
      <c r="W1080" s="223" t="s">
        <v>302</v>
      </c>
      <c r="X1080" s="223" t="s">
        <v>302</v>
      </c>
      <c r="Y1080" s="224" t="s">
        <v>302</v>
      </c>
    </row>
    <row r="1081" spans="1:25">
      <c r="A1081" s="216">
        <v>20</v>
      </c>
      <c r="B1081" s="217" t="str">
        <f>VLOOKUP(Tabel10[[#This Row],[Code]],Ruimtegroepen[[Code]:[Ruimte omschrijving]],2,FALSE)</f>
        <v>Niet in Onderhoud</v>
      </c>
      <c r="C1081" s="218" t="s">
        <v>1197</v>
      </c>
      <c r="D1081" s="217" t="s">
        <v>14</v>
      </c>
      <c r="E1081" s="219" t="s">
        <v>103</v>
      </c>
      <c r="F1081" s="218" t="s">
        <v>1201</v>
      </c>
      <c r="G1081" s="263" t="s">
        <v>302</v>
      </c>
      <c r="H1081" s="220" t="s">
        <v>302</v>
      </c>
      <c r="I1081" s="220" t="s">
        <v>302</v>
      </c>
      <c r="J1081" s="221" t="s">
        <v>302</v>
      </c>
      <c r="K1081" s="221" t="s">
        <v>302</v>
      </c>
      <c r="L1081" s="220" t="s">
        <v>302</v>
      </c>
      <c r="M1081" s="220" t="s">
        <v>302</v>
      </c>
      <c r="N1081" s="221" t="s">
        <v>302</v>
      </c>
      <c r="O1081" s="222" t="s">
        <v>302</v>
      </c>
      <c r="P1081" s="222" t="s">
        <v>302</v>
      </c>
      <c r="Q1081" s="222" t="s">
        <v>302</v>
      </c>
      <c r="R1081" s="222" t="s">
        <v>302</v>
      </c>
      <c r="S1081" s="222" t="s">
        <v>302</v>
      </c>
      <c r="T1081" s="222" t="s">
        <v>302</v>
      </c>
      <c r="U1081" s="222" t="s">
        <v>302</v>
      </c>
      <c r="V1081" s="222" t="s">
        <v>302</v>
      </c>
      <c r="W1081" s="223" t="s">
        <v>302</v>
      </c>
      <c r="X1081" s="223" t="s">
        <v>302</v>
      </c>
      <c r="Y1081" s="224" t="s">
        <v>302</v>
      </c>
    </row>
    <row r="1082" spans="1:25">
      <c r="A1082" s="216">
        <v>20</v>
      </c>
      <c r="B1082" s="217" t="str">
        <f>VLOOKUP(Tabel10[[#This Row],[Code]],Ruimtegroepen[[Code]:[Ruimte omschrijving]],2,FALSE)</f>
        <v>Niet in Onderhoud</v>
      </c>
      <c r="C1082" s="218" t="s">
        <v>1197</v>
      </c>
      <c r="D1082" s="217" t="s">
        <v>14</v>
      </c>
      <c r="E1082" s="219" t="s">
        <v>100</v>
      </c>
      <c r="F1082" s="218" t="s">
        <v>1199</v>
      </c>
      <c r="G1082" s="263" t="s">
        <v>302</v>
      </c>
      <c r="H1082" s="220" t="s">
        <v>302</v>
      </c>
      <c r="I1082" s="220" t="s">
        <v>302</v>
      </c>
      <c r="J1082" s="221" t="s">
        <v>302</v>
      </c>
      <c r="K1082" s="221" t="s">
        <v>302</v>
      </c>
      <c r="L1082" s="220" t="s">
        <v>302</v>
      </c>
      <c r="M1082" s="220" t="s">
        <v>302</v>
      </c>
      <c r="N1082" s="221" t="s">
        <v>302</v>
      </c>
      <c r="O1082" s="222" t="s">
        <v>302</v>
      </c>
      <c r="P1082" s="222" t="s">
        <v>302</v>
      </c>
      <c r="Q1082" s="222" t="s">
        <v>302</v>
      </c>
      <c r="R1082" s="222" t="s">
        <v>302</v>
      </c>
      <c r="S1082" s="222" t="s">
        <v>302</v>
      </c>
      <c r="T1082" s="222" t="s">
        <v>302</v>
      </c>
      <c r="U1082" s="222" t="s">
        <v>302</v>
      </c>
      <c r="V1082" s="222" t="s">
        <v>302</v>
      </c>
      <c r="W1082" s="223" t="s">
        <v>302</v>
      </c>
      <c r="X1082" s="223" t="s">
        <v>302</v>
      </c>
      <c r="Y1082" s="224" t="s">
        <v>302</v>
      </c>
    </row>
    <row r="1083" spans="1:25">
      <c r="A1083" s="216">
        <v>20</v>
      </c>
      <c r="B1083" s="217" t="str">
        <f>VLOOKUP(Tabel10[[#This Row],[Code]],Ruimtegroepen[[Code]:[Ruimte omschrijving]],2,FALSE)</f>
        <v>Niet in Onderhoud</v>
      </c>
      <c r="C1083" s="218" t="s">
        <v>1197</v>
      </c>
      <c r="D1083" s="217" t="s">
        <v>14</v>
      </c>
      <c r="E1083" s="219" t="s">
        <v>1325</v>
      </c>
      <c r="F1083" s="218" t="s">
        <v>1339</v>
      </c>
      <c r="G1083" s="263" t="s">
        <v>302</v>
      </c>
      <c r="H1083" s="220" t="s">
        <v>302</v>
      </c>
      <c r="I1083" s="220" t="s">
        <v>302</v>
      </c>
      <c r="J1083" s="221" t="s">
        <v>302</v>
      </c>
      <c r="K1083" s="221" t="s">
        <v>302</v>
      </c>
      <c r="L1083" s="220" t="s">
        <v>302</v>
      </c>
      <c r="M1083" s="220" t="s">
        <v>302</v>
      </c>
      <c r="N1083" s="221" t="s">
        <v>302</v>
      </c>
      <c r="O1083" s="222" t="s">
        <v>302</v>
      </c>
      <c r="P1083" s="222" t="s">
        <v>302</v>
      </c>
      <c r="Q1083" s="222" t="s">
        <v>302</v>
      </c>
      <c r="R1083" s="222" t="s">
        <v>302</v>
      </c>
      <c r="S1083" s="222" t="s">
        <v>302</v>
      </c>
      <c r="T1083" s="222" t="s">
        <v>302</v>
      </c>
      <c r="U1083" s="222" t="s">
        <v>302</v>
      </c>
      <c r="V1083" s="222" t="s">
        <v>302</v>
      </c>
      <c r="W1083" s="223" t="s">
        <v>302</v>
      </c>
      <c r="X1083" s="223" t="s">
        <v>302</v>
      </c>
      <c r="Y1083" s="224" t="s">
        <v>302</v>
      </c>
    </row>
    <row r="1084" spans="1:25">
      <c r="A1084" s="216">
        <v>20</v>
      </c>
      <c r="B1084" s="217" t="str">
        <f>VLOOKUP(Tabel10[[#This Row],[Code]],Ruimtegroepen[[Code]:[Ruimte omschrijving]],2,FALSE)</f>
        <v>Niet in Onderhoud</v>
      </c>
      <c r="C1084" s="218" t="s">
        <v>1202</v>
      </c>
      <c r="D1084" s="217" t="s">
        <v>13</v>
      </c>
      <c r="E1084" s="219" t="s">
        <v>101</v>
      </c>
      <c r="F1084" s="218" t="s">
        <v>1203</v>
      </c>
      <c r="G1084" s="263" t="s">
        <v>302</v>
      </c>
      <c r="H1084" s="220" t="s">
        <v>302</v>
      </c>
      <c r="I1084" s="220" t="s">
        <v>302</v>
      </c>
      <c r="J1084" s="221" t="s">
        <v>302</v>
      </c>
      <c r="K1084" s="221" t="s">
        <v>302</v>
      </c>
      <c r="L1084" s="220" t="s">
        <v>302</v>
      </c>
      <c r="M1084" s="220" t="s">
        <v>302</v>
      </c>
      <c r="N1084" s="221" t="s">
        <v>302</v>
      </c>
      <c r="O1084" s="222" t="s">
        <v>302</v>
      </c>
      <c r="P1084" s="222" t="s">
        <v>302</v>
      </c>
      <c r="Q1084" s="222" t="s">
        <v>302</v>
      </c>
      <c r="R1084" s="222" t="s">
        <v>302</v>
      </c>
      <c r="S1084" s="222" t="s">
        <v>302</v>
      </c>
      <c r="T1084" s="222" t="s">
        <v>302</v>
      </c>
      <c r="U1084" s="222" t="s">
        <v>302</v>
      </c>
      <c r="V1084" s="222" t="s">
        <v>302</v>
      </c>
      <c r="W1084" s="223" t="s">
        <v>302</v>
      </c>
      <c r="X1084" s="223" t="s">
        <v>302</v>
      </c>
      <c r="Y1084" s="224" t="s">
        <v>302</v>
      </c>
    </row>
    <row r="1085" spans="1:25">
      <c r="A1085" s="216">
        <v>20</v>
      </c>
      <c r="B1085" s="217" t="str">
        <f>VLOOKUP(Tabel10[[#This Row],[Code]],Ruimtegroepen[[Code]:[Ruimte omschrijving]],2,FALSE)</f>
        <v>Niet in Onderhoud</v>
      </c>
      <c r="C1085" s="218" t="s">
        <v>1202</v>
      </c>
      <c r="D1085" s="217" t="s">
        <v>13</v>
      </c>
      <c r="E1085" s="219" t="s">
        <v>100</v>
      </c>
      <c r="F1085" s="218" t="s">
        <v>1204</v>
      </c>
      <c r="G1085" s="263" t="s">
        <v>302</v>
      </c>
      <c r="H1085" s="220" t="s">
        <v>302</v>
      </c>
      <c r="I1085" s="220" t="s">
        <v>302</v>
      </c>
      <c r="J1085" s="221" t="s">
        <v>302</v>
      </c>
      <c r="K1085" s="221" t="s">
        <v>302</v>
      </c>
      <c r="L1085" s="220" t="s">
        <v>302</v>
      </c>
      <c r="M1085" s="220" t="s">
        <v>302</v>
      </c>
      <c r="N1085" s="221" t="s">
        <v>302</v>
      </c>
      <c r="O1085" s="222" t="s">
        <v>302</v>
      </c>
      <c r="P1085" s="222" t="s">
        <v>302</v>
      </c>
      <c r="Q1085" s="222" t="s">
        <v>302</v>
      </c>
      <c r="R1085" s="222" t="s">
        <v>302</v>
      </c>
      <c r="S1085" s="222" t="s">
        <v>302</v>
      </c>
      <c r="T1085" s="222" t="s">
        <v>302</v>
      </c>
      <c r="U1085" s="222" t="s">
        <v>302</v>
      </c>
      <c r="V1085" s="222" t="s">
        <v>302</v>
      </c>
      <c r="W1085" s="223" t="s">
        <v>302</v>
      </c>
      <c r="X1085" s="223" t="s">
        <v>302</v>
      </c>
      <c r="Y1085" s="224" t="s">
        <v>302</v>
      </c>
    </row>
    <row r="1086" spans="1:25">
      <c r="A1086" s="216">
        <v>20</v>
      </c>
      <c r="B1086" s="217" t="str">
        <f>VLOOKUP(Tabel10[[#This Row],[Code]],Ruimtegroepen[[Code]:[Ruimte omschrijving]],2,FALSE)</f>
        <v>Niet in Onderhoud</v>
      </c>
      <c r="C1086" s="218" t="s">
        <v>1202</v>
      </c>
      <c r="D1086" s="217" t="s">
        <v>13</v>
      </c>
      <c r="E1086" s="219" t="s">
        <v>102</v>
      </c>
      <c r="F1086" s="218" t="s">
        <v>1205</v>
      </c>
      <c r="G1086" s="263" t="s">
        <v>302</v>
      </c>
      <c r="H1086" s="220" t="s">
        <v>302</v>
      </c>
      <c r="I1086" s="220" t="s">
        <v>302</v>
      </c>
      <c r="J1086" s="221" t="s">
        <v>302</v>
      </c>
      <c r="K1086" s="221" t="s">
        <v>302</v>
      </c>
      <c r="L1086" s="220" t="s">
        <v>302</v>
      </c>
      <c r="M1086" s="220" t="s">
        <v>302</v>
      </c>
      <c r="N1086" s="221" t="s">
        <v>302</v>
      </c>
      <c r="O1086" s="222" t="s">
        <v>302</v>
      </c>
      <c r="P1086" s="222" t="s">
        <v>302</v>
      </c>
      <c r="Q1086" s="222" t="s">
        <v>302</v>
      </c>
      <c r="R1086" s="222" t="s">
        <v>302</v>
      </c>
      <c r="S1086" s="222" t="s">
        <v>302</v>
      </c>
      <c r="T1086" s="222" t="s">
        <v>302</v>
      </c>
      <c r="U1086" s="222" t="s">
        <v>302</v>
      </c>
      <c r="V1086" s="222" t="s">
        <v>302</v>
      </c>
      <c r="W1086" s="223" t="s">
        <v>302</v>
      </c>
      <c r="X1086" s="223" t="s">
        <v>302</v>
      </c>
      <c r="Y1086" s="224" t="s">
        <v>302</v>
      </c>
    </row>
    <row r="1087" spans="1:25">
      <c r="A1087" s="216">
        <v>20</v>
      </c>
      <c r="B1087" s="217" t="str">
        <f>VLOOKUP(Tabel10[[#This Row],[Code]],Ruimtegroepen[[Code]:[Ruimte omschrijving]],2,FALSE)</f>
        <v>Niet in Onderhoud</v>
      </c>
      <c r="C1087" s="218" t="s">
        <v>1202</v>
      </c>
      <c r="D1087" s="217" t="s">
        <v>13</v>
      </c>
      <c r="E1087" s="219" t="s">
        <v>103</v>
      </c>
      <c r="F1087" s="218" t="s">
        <v>1206</v>
      </c>
      <c r="G1087" s="263" t="s">
        <v>302</v>
      </c>
      <c r="H1087" s="220" t="s">
        <v>302</v>
      </c>
      <c r="I1087" s="220" t="s">
        <v>302</v>
      </c>
      <c r="J1087" s="221" t="s">
        <v>302</v>
      </c>
      <c r="K1087" s="221" t="s">
        <v>302</v>
      </c>
      <c r="L1087" s="220" t="s">
        <v>302</v>
      </c>
      <c r="M1087" s="220" t="s">
        <v>302</v>
      </c>
      <c r="N1087" s="221" t="s">
        <v>302</v>
      </c>
      <c r="O1087" s="222" t="s">
        <v>302</v>
      </c>
      <c r="P1087" s="222" t="s">
        <v>302</v>
      </c>
      <c r="Q1087" s="222" t="s">
        <v>302</v>
      </c>
      <c r="R1087" s="222" t="s">
        <v>302</v>
      </c>
      <c r="S1087" s="222" t="s">
        <v>302</v>
      </c>
      <c r="T1087" s="222" t="s">
        <v>302</v>
      </c>
      <c r="U1087" s="222" t="s">
        <v>302</v>
      </c>
      <c r="V1087" s="222" t="s">
        <v>302</v>
      </c>
      <c r="W1087" s="223" t="s">
        <v>302</v>
      </c>
      <c r="X1087" s="223" t="s">
        <v>302</v>
      </c>
      <c r="Y1087" s="224" t="s">
        <v>302</v>
      </c>
    </row>
    <row r="1088" spans="1:25">
      <c r="A1088" s="216">
        <v>20</v>
      </c>
      <c r="B1088" s="217" t="str">
        <f>VLOOKUP(Tabel10[[#This Row],[Code]],Ruimtegroepen[[Code]:[Ruimte omschrijving]],2,FALSE)</f>
        <v>Niet in Onderhoud</v>
      </c>
      <c r="C1088" s="218" t="s">
        <v>1202</v>
      </c>
      <c r="D1088" s="217" t="s">
        <v>13</v>
      </c>
      <c r="E1088" s="219" t="s">
        <v>100</v>
      </c>
      <c r="F1088" s="218" t="s">
        <v>1204</v>
      </c>
      <c r="G1088" s="263" t="s">
        <v>302</v>
      </c>
      <c r="H1088" s="220" t="s">
        <v>302</v>
      </c>
      <c r="I1088" s="220" t="s">
        <v>302</v>
      </c>
      <c r="J1088" s="221" t="s">
        <v>302</v>
      </c>
      <c r="K1088" s="221" t="s">
        <v>302</v>
      </c>
      <c r="L1088" s="220" t="s">
        <v>302</v>
      </c>
      <c r="M1088" s="220" t="s">
        <v>302</v>
      </c>
      <c r="N1088" s="221" t="s">
        <v>302</v>
      </c>
      <c r="O1088" s="222" t="s">
        <v>302</v>
      </c>
      <c r="P1088" s="222" t="s">
        <v>302</v>
      </c>
      <c r="Q1088" s="222" t="s">
        <v>302</v>
      </c>
      <c r="R1088" s="222" t="s">
        <v>302</v>
      </c>
      <c r="S1088" s="222" t="s">
        <v>302</v>
      </c>
      <c r="T1088" s="222" t="s">
        <v>302</v>
      </c>
      <c r="U1088" s="222" t="s">
        <v>302</v>
      </c>
      <c r="V1088" s="222" t="s">
        <v>302</v>
      </c>
      <c r="W1088" s="223" t="s">
        <v>302</v>
      </c>
      <c r="X1088" s="223" t="s">
        <v>302</v>
      </c>
      <c r="Y1088" s="224" t="s">
        <v>302</v>
      </c>
    </row>
    <row r="1089" spans="1:25">
      <c r="A1089" s="216">
        <v>20</v>
      </c>
      <c r="B1089" s="217" t="str">
        <f>VLOOKUP(Tabel10[[#This Row],[Code]],Ruimtegroepen[[Code]:[Ruimte omschrijving]],2,FALSE)</f>
        <v>Niet in Onderhoud</v>
      </c>
      <c r="C1089" s="218" t="s">
        <v>1202</v>
      </c>
      <c r="D1089" s="217" t="s">
        <v>13</v>
      </c>
      <c r="E1089" s="219" t="s">
        <v>1325</v>
      </c>
      <c r="F1089" s="218" t="s">
        <v>1338</v>
      </c>
      <c r="G1089" s="263" t="s">
        <v>302</v>
      </c>
      <c r="H1089" s="220" t="s">
        <v>302</v>
      </c>
      <c r="I1089" s="220" t="s">
        <v>302</v>
      </c>
      <c r="J1089" s="221" t="s">
        <v>302</v>
      </c>
      <c r="K1089" s="221" t="s">
        <v>302</v>
      </c>
      <c r="L1089" s="220" t="s">
        <v>302</v>
      </c>
      <c r="M1089" s="220" t="s">
        <v>302</v>
      </c>
      <c r="N1089" s="221" t="s">
        <v>302</v>
      </c>
      <c r="O1089" s="222" t="s">
        <v>302</v>
      </c>
      <c r="P1089" s="222" t="s">
        <v>302</v>
      </c>
      <c r="Q1089" s="222" t="s">
        <v>302</v>
      </c>
      <c r="R1089" s="222" t="s">
        <v>302</v>
      </c>
      <c r="S1089" s="222" t="s">
        <v>302</v>
      </c>
      <c r="T1089" s="222" t="s">
        <v>302</v>
      </c>
      <c r="U1089" s="222" t="s">
        <v>302</v>
      </c>
      <c r="V1089" s="222" t="s">
        <v>302</v>
      </c>
      <c r="W1089" s="223" t="s">
        <v>302</v>
      </c>
      <c r="X1089" s="223" t="s">
        <v>302</v>
      </c>
      <c r="Y1089" s="224" t="s">
        <v>302</v>
      </c>
    </row>
    <row r="1090" spans="1:25">
      <c r="A1090" s="216">
        <v>20</v>
      </c>
      <c r="B1090" s="217" t="str">
        <f>VLOOKUP(Tabel10[[#This Row],[Code]],Ruimtegroepen[[Code]:[Ruimte omschrijving]],2,FALSE)</f>
        <v>Niet in Onderhoud</v>
      </c>
      <c r="C1090" s="218" t="s">
        <v>1207</v>
      </c>
      <c r="D1090" s="217" t="s">
        <v>0</v>
      </c>
      <c r="E1090" s="219" t="s">
        <v>101</v>
      </c>
      <c r="F1090" s="218" t="s">
        <v>1208</v>
      </c>
      <c r="G1090" s="263" t="s">
        <v>302</v>
      </c>
      <c r="H1090" s="220" t="s">
        <v>302</v>
      </c>
      <c r="I1090" s="220" t="s">
        <v>302</v>
      </c>
      <c r="J1090" s="221" t="s">
        <v>302</v>
      </c>
      <c r="K1090" s="221" t="s">
        <v>302</v>
      </c>
      <c r="L1090" s="220" t="s">
        <v>302</v>
      </c>
      <c r="M1090" s="220" t="s">
        <v>302</v>
      </c>
      <c r="N1090" s="221" t="s">
        <v>302</v>
      </c>
      <c r="O1090" s="222" t="s">
        <v>302</v>
      </c>
      <c r="P1090" s="222" t="s">
        <v>302</v>
      </c>
      <c r="Q1090" s="222" t="s">
        <v>302</v>
      </c>
      <c r="R1090" s="222" t="s">
        <v>302</v>
      </c>
      <c r="S1090" s="222" t="s">
        <v>302</v>
      </c>
      <c r="T1090" s="222" t="s">
        <v>302</v>
      </c>
      <c r="U1090" s="222" t="s">
        <v>302</v>
      </c>
      <c r="V1090" s="222" t="s">
        <v>302</v>
      </c>
      <c r="W1090" s="223" t="s">
        <v>302</v>
      </c>
      <c r="X1090" s="223" t="s">
        <v>302</v>
      </c>
      <c r="Y1090" s="224" t="s">
        <v>302</v>
      </c>
    </row>
    <row r="1091" spans="1:25">
      <c r="A1091" s="216">
        <v>20</v>
      </c>
      <c r="B1091" s="217" t="str">
        <f>VLOOKUP(Tabel10[[#This Row],[Code]],Ruimtegroepen[[Code]:[Ruimte omschrijving]],2,FALSE)</f>
        <v>Niet in Onderhoud</v>
      </c>
      <c r="C1091" s="218" t="s">
        <v>1207</v>
      </c>
      <c r="D1091" s="217" t="s">
        <v>0</v>
      </c>
      <c r="E1091" s="219" t="s">
        <v>100</v>
      </c>
      <c r="F1091" s="218" t="s">
        <v>1209</v>
      </c>
      <c r="G1091" s="263" t="s">
        <v>302</v>
      </c>
      <c r="H1091" s="220" t="s">
        <v>302</v>
      </c>
      <c r="I1091" s="220" t="s">
        <v>302</v>
      </c>
      <c r="J1091" s="221" t="s">
        <v>302</v>
      </c>
      <c r="K1091" s="221" t="s">
        <v>302</v>
      </c>
      <c r="L1091" s="220" t="s">
        <v>302</v>
      </c>
      <c r="M1091" s="220" t="s">
        <v>302</v>
      </c>
      <c r="N1091" s="221" t="s">
        <v>302</v>
      </c>
      <c r="O1091" s="222" t="s">
        <v>302</v>
      </c>
      <c r="P1091" s="222" t="s">
        <v>302</v>
      </c>
      <c r="Q1091" s="222" t="s">
        <v>302</v>
      </c>
      <c r="R1091" s="222" t="s">
        <v>302</v>
      </c>
      <c r="S1091" s="222" t="s">
        <v>302</v>
      </c>
      <c r="T1091" s="222" t="s">
        <v>302</v>
      </c>
      <c r="U1091" s="222" t="s">
        <v>302</v>
      </c>
      <c r="V1091" s="222" t="s">
        <v>302</v>
      </c>
      <c r="W1091" s="223" t="s">
        <v>302</v>
      </c>
      <c r="X1091" s="223" t="s">
        <v>302</v>
      </c>
      <c r="Y1091" s="224" t="s">
        <v>302</v>
      </c>
    </row>
    <row r="1092" spans="1:25">
      <c r="A1092" s="216">
        <v>20</v>
      </c>
      <c r="B1092" s="217" t="str">
        <f>VLOOKUP(Tabel10[[#This Row],[Code]],Ruimtegroepen[[Code]:[Ruimte omschrijving]],2,FALSE)</f>
        <v>Niet in Onderhoud</v>
      </c>
      <c r="C1092" s="218" t="s">
        <v>1207</v>
      </c>
      <c r="D1092" s="217" t="s">
        <v>0</v>
      </c>
      <c r="E1092" s="219" t="s">
        <v>102</v>
      </c>
      <c r="F1092" s="218" t="s">
        <v>1210</v>
      </c>
      <c r="G1092" s="263" t="s">
        <v>302</v>
      </c>
      <c r="H1092" s="220" t="s">
        <v>302</v>
      </c>
      <c r="I1092" s="220" t="s">
        <v>302</v>
      </c>
      <c r="J1092" s="221" t="s">
        <v>302</v>
      </c>
      <c r="K1092" s="221" t="s">
        <v>302</v>
      </c>
      <c r="L1092" s="220" t="s">
        <v>302</v>
      </c>
      <c r="M1092" s="220" t="s">
        <v>302</v>
      </c>
      <c r="N1092" s="221" t="s">
        <v>302</v>
      </c>
      <c r="O1092" s="222" t="s">
        <v>302</v>
      </c>
      <c r="P1092" s="222" t="s">
        <v>302</v>
      </c>
      <c r="Q1092" s="222" t="s">
        <v>302</v>
      </c>
      <c r="R1092" s="222" t="s">
        <v>302</v>
      </c>
      <c r="S1092" s="222" t="s">
        <v>302</v>
      </c>
      <c r="T1092" s="222" t="s">
        <v>302</v>
      </c>
      <c r="U1092" s="222" t="s">
        <v>302</v>
      </c>
      <c r="V1092" s="222" t="s">
        <v>302</v>
      </c>
      <c r="W1092" s="223" t="s">
        <v>302</v>
      </c>
      <c r="X1092" s="223" t="s">
        <v>302</v>
      </c>
      <c r="Y1092" s="224" t="s">
        <v>302</v>
      </c>
    </row>
    <row r="1093" spans="1:25">
      <c r="A1093" s="216">
        <v>20</v>
      </c>
      <c r="B1093" s="217" t="str">
        <f>VLOOKUP(Tabel10[[#This Row],[Code]],Ruimtegroepen[[Code]:[Ruimte omschrijving]],2,FALSE)</f>
        <v>Niet in Onderhoud</v>
      </c>
      <c r="C1093" s="218" t="s">
        <v>1207</v>
      </c>
      <c r="D1093" s="217" t="s">
        <v>0</v>
      </c>
      <c r="E1093" s="219" t="s">
        <v>103</v>
      </c>
      <c r="F1093" s="218" t="s">
        <v>1211</v>
      </c>
      <c r="G1093" s="263" t="s">
        <v>302</v>
      </c>
      <c r="H1093" s="220" t="s">
        <v>302</v>
      </c>
      <c r="I1093" s="220" t="s">
        <v>302</v>
      </c>
      <c r="J1093" s="221" t="s">
        <v>302</v>
      </c>
      <c r="K1093" s="221" t="s">
        <v>302</v>
      </c>
      <c r="L1093" s="220" t="s">
        <v>302</v>
      </c>
      <c r="M1093" s="220" t="s">
        <v>302</v>
      </c>
      <c r="N1093" s="221" t="s">
        <v>302</v>
      </c>
      <c r="O1093" s="222" t="s">
        <v>302</v>
      </c>
      <c r="P1093" s="222" t="s">
        <v>302</v>
      </c>
      <c r="Q1093" s="222" t="s">
        <v>302</v>
      </c>
      <c r="R1093" s="222" t="s">
        <v>302</v>
      </c>
      <c r="S1093" s="222" t="s">
        <v>302</v>
      </c>
      <c r="T1093" s="222" t="s">
        <v>302</v>
      </c>
      <c r="U1093" s="222" t="s">
        <v>302</v>
      </c>
      <c r="V1093" s="222" t="s">
        <v>302</v>
      </c>
      <c r="W1093" s="223" t="s">
        <v>302</v>
      </c>
      <c r="X1093" s="223" t="s">
        <v>302</v>
      </c>
      <c r="Y1093" s="224" t="s">
        <v>302</v>
      </c>
    </row>
    <row r="1094" spans="1:25">
      <c r="A1094" s="216">
        <v>20</v>
      </c>
      <c r="B1094" s="217" t="str">
        <f>VLOOKUP(Tabel10[[#This Row],[Code]],Ruimtegroepen[[Code]:[Ruimte omschrijving]],2,FALSE)</f>
        <v>Niet in Onderhoud</v>
      </c>
      <c r="C1094" s="218" t="s">
        <v>1207</v>
      </c>
      <c r="D1094" s="217" t="s">
        <v>0</v>
      </c>
      <c r="E1094" s="219" t="s">
        <v>100</v>
      </c>
      <c r="F1094" s="218" t="s">
        <v>1209</v>
      </c>
      <c r="G1094" s="263" t="s">
        <v>302</v>
      </c>
      <c r="H1094" s="220" t="s">
        <v>302</v>
      </c>
      <c r="I1094" s="220" t="s">
        <v>302</v>
      </c>
      <c r="J1094" s="221" t="s">
        <v>302</v>
      </c>
      <c r="K1094" s="221" t="s">
        <v>302</v>
      </c>
      <c r="L1094" s="220" t="s">
        <v>302</v>
      </c>
      <c r="M1094" s="220" t="s">
        <v>302</v>
      </c>
      <c r="N1094" s="221" t="s">
        <v>302</v>
      </c>
      <c r="O1094" s="222" t="s">
        <v>302</v>
      </c>
      <c r="P1094" s="222" t="s">
        <v>302</v>
      </c>
      <c r="Q1094" s="222" t="s">
        <v>302</v>
      </c>
      <c r="R1094" s="222" t="s">
        <v>302</v>
      </c>
      <c r="S1094" s="222" t="s">
        <v>302</v>
      </c>
      <c r="T1094" s="222" t="s">
        <v>302</v>
      </c>
      <c r="U1094" s="222" t="s">
        <v>302</v>
      </c>
      <c r="V1094" s="222" t="s">
        <v>302</v>
      </c>
      <c r="W1094" s="223" t="s">
        <v>302</v>
      </c>
      <c r="X1094" s="223" t="s">
        <v>302</v>
      </c>
      <c r="Y1094" s="224" t="s">
        <v>302</v>
      </c>
    </row>
    <row r="1095" spans="1:25">
      <c r="A1095" s="216">
        <v>20</v>
      </c>
      <c r="B1095" s="217" t="str">
        <f>VLOOKUP(Tabel10[[#This Row],[Code]],Ruimtegroepen[[Code]:[Ruimte omschrijving]],2,FALSE)</f>
        <v>Niet in Onderhoud</v>
      </c>
      <c r="C1095" s="218" t="s">
        <v>1207</v>
      </c>
      <c r="D1095" s="217" t="s">
        <v>0</v>
      </c>
      <c r="E1095" s="219" t="s">
        <v>1325</v>
      </c>
      <c r="F1095" s="218" t="s">
        <v>1337</v>
      </c>
      <c r="G1095" s="263" t="s">
        <v>302</v>
      </c>
      <c r="H1095" s="220" t="s">
        <v>302</v>
      </c>
      <c r="I1095" s="220" t="s">
        <v>302</v>
      </c>
      <c r="J1095" s="221" t="s">
        <v>302</v>
      </c>
      <c r="K1095" s="221" t="s">
        <v>302</v>
      </c>
      <c r="L1095" s="220" t="s">
        <v>302</v>
      </c>
      <c r="M1095" s="220" t="s">
        <v>302</v>
      </c>
      <c r="N1095" s="221" t="s">
        <v>302</v>
      </c>
      <c r="O1095" s="222" t="s">
        <v>302</v>
      </c>
      <c r="P1095" s="222" t="s">
        <v>302</v>
      </c>
      <c r="Q1095" s="222" t="s">
        <v>302</v>
      </c>
      <c r="R1095" s="222" t="s">
        <v>302</v>
      </c>
      <c r="S1095" s="222" t="s">
        <v>302</v>
      </c>
      <c r="T1095" s="222" t="s">
        <v>302</v>
      </c>
      <c r="U1095" s="222" t="s">
        <v>302</v>
      </c>
      <c r="V1095" s="222" t="s">
        <v>302</v>
      </c>
      <c r="W1095" s="223" t="s">
        <v>302</v>
      </c>
      <c r="X1095" s="223" t="s">
        <v>302</v>
      </c>
      <c r="Y1095" s="224" t="s">
        <v>302</v>
      </c>
    </row>
    <row r="1096" spans="1:25">
      <c r="A1096" s="216">
        <v>20</v>
      </c>
      <c r="B1096" s="217" t="str">
        <f>VLOOKUP(Tabel10[[#This Row],[Code]],Ruimtegroepen[[Code]:[Ruimte omschrijving]],2,FALSE)</f>
        <v>Niet in Onderhoud</v>
      </c>
      <c r="C1096" s="218" t="s">
        <v>1212</v>
      </c>
      <c r="D1096" s="217" t="s">
        <v>27</v>
      </c>
      <c r="E1096" s="219" t="s">
        <v>101</v>
      </c>
      <c r="F1096" s="218" t="s">
        <v>1213</v>
      </c>
      <c r="G1096" s="263" t="s">
        <v>302</v>
      </c>
      <c r="H1096" s="220" t="s">
        <v>302</v>
      </c>
      <c r="I1096" s="220" t="s">
        <v>302</v>
      </c>
      <c r="J1096" s="221" t="s">
        <v>302</v>
      </c>
      <c r="K1096" s="221" t="s">
        <v>302</v>
      </c>
      <c r="L1096" s="220" t="s">
        <v>302</v>
      </c>
      <c r="M1096" s="220" t="s">
        <v>302</v>
      </c>
      <c r="N1096" s="221" t="s">
        <v>302</v>
      </c>
      <c r="O1096" s="222" t="s">
        <v>302</v>
      </c>
      <c r="P1096" s="222" t="s">
        <v>302</v>
      </c>
      <c r="Q1096" s="222" t="s">
        <v>302</v>
      </c>
      <c r="R1096" s="222" t="s">
        <v>302</v>
      </c>
      <c r="S1096" s="222" t="s">
        <v>302</v>
      </c>
      <c r="T1096" s="222" t="s">
        <v>302</v>
      </c>
      <c r="U1096" s="222" t="s">
        <v>302</v>
      </c>
      <c r="V1096" s="222" t="s">
        <v>302</v>
      </c>
      <c r="W1096" s="223" t="s">
        <v>302</v>
      </c>
      <c r="X1096" s="223" t="s">
        <v>302</v>
      </c>
      <c r="Y1096" s="224" t="s">
        <v>302</v>
      </c>
    </row>
    <row r="1097" spans="1:25">
      <c r="A1097" s="216">
        <v>20</v>
      </c>
      <c r="B1097" s="217" t="str">
        <f>VLOOKUP(Tabel10[[#This Row],[Code]],Ruimtegroepen[[Code]:[Ruimte omschrijving]],2,FALSE)</f>
        <v>Niet in Onderhoud</v>
      </c>
      <c r="C1097" s="218" t="s">
        <v>1212</v>
      </c>
      <c r="D1097" s="217" t="s">
        <v>27</v>
      </c>
      <c r="E1097" s="219" t="s">
        <v>100</v>
      </c>
      <c r="F1097" s="218" t="s">
        <v>1214</v>
      </c>
      <c r="G1097" s="263" t="s">
        <v>302</v>
      </c>
      <c r="H1097" s="220" t="s">
        <v>302</v>
      </c>
      <c r="I1097" s="220" t="s">
        <v>302</v>
      </c>
      <c r="J1097" s="221" t="s">
        <v>302</v>
      </c>
      <c r="K1097" s="221" t="s">
        <v>302</v>
      </c>
      <c r="L1097" s="220" t="s">
        <v>302</v>
      </c>
      <c r="M1097" s="220" t="s">
        <v>302</v>
      </c>
      <c r="N1097" s="221" t="s">
        <v>302</v>
      </c>
      <c r="O1097" s="222" t="s">
        <v>302</v>
      </c>
      <c r="P1097" s="222" t="s">
        <v>302</v>
      </c>
      <c r="Q1097" s="222" t="s">
        <v>302</v>
      </c>
      <c r="R1097" s="222" t="s">
        <v>302</v>
      </c>
      <c r="S1097" s="222" t="s">
        <v>302</v>
      </c>
      <c r="T1097" s="222" t="s">
        <v>302</v>
      </c>
      <c r="U1097" s="222" t="s">
        <v>302</v>
      </c>
      <c r="V1097" s="222" t="s">
        <v>302</v>
      </c>
      <c r="W1097" s="223" t="s">
        <v>302</v>
      </c>
      <c r="X1097" s="223" t="s">
        <v>302</v>
      </c>
      <c r="Y1097" s="224" t="s">
        <v>302</v>
      </c>
    </row>
    <row r="1098" spans="1:25">
      <c r="A1098" s="216">
        <v>20</v>
      </c>
      <c r="B1098" s="217" t="str">
        <f>VLOOKUP(Tabel10[[#This Row],[Code]],Ruimtegroepen[[Code]:[Ruimte omschrijving]],2,FALSE)</f>
        <v>Niet in Onderhoud</v>
      </c>
      <c r="C1098" s="218" t="s">
        <v>1212</v>
      </c>
      <c r="D1098" s="217" t="s">
        <v>27</v>
      </c>
      <c r="E1098" s="219" t="s">
        <v>102</v>
      </c>
      <c r="F1098" s="218" t="s">
        <v>1215</v>
      </c>
      <c r="G1098" s="263" t="s">
        <v>302</v>
      </c>
      <c r="H1098" s="220" t="s">
        <v>302</v>
      </c>
      <c r="I1098" s="220" t="s">
        <v>302</v>
      </c>
      <c r="J1098" s="221" t="s">
        <v>302</v>
      </c>
      <c r="K1098" s="221" t="s">
        <v>302</v>
      </c>
      <c r="L1098" s="220" t="s">
        <v>302</v>
      </c>
      <c r="M1098" s="220" t="s">
        <v>302</v>
      </c>
      <c r="N1098" s="221" t="s">
        <v>302</v>
      </c>
      <c r="O1098" s="222" t="s">
        <v>302</v>
      </c>
      <c r="P1098" s="222" t="s">
        <v>302</v>
      </c>
      <c r="Q1098" s="222" t="s">
        <v>302</v>
      </c>
      <c r="R1098" s="222" t="s">
        <v>302</v>
      </c>
      <c r="S1098" s="222" t="s">
        <v>302</v>
      </c>
      <c r="T1098" s="222" t="s">
        <v>302</v>
      </c>
      <c r="U1098" s="222" t="s">
        <v>302</v>
      </c>
      <c r="V1098" s="222" t="s">
        <v>302</v>
      </c>
      <c r="W1098" s="223" t="s">
        <v>302</v>
      </c>
      <c r="X1098" s="223" t="s">
        <v>302</v>
      </c>
      <c r="Y1098" s="224" t="s">
        <v>302</v>
      </c>
    </row>
    <row r="1099" spans="1:25">
      <c r="A1099" s="216">
        <v>20</v>
      </c>
      <c r="B1099" s="217" t="str">
        <f>VLOOKUP(Tabel10[[#This Row],[Code]],Ruimtegroepen[[Code]:[Ruimte omschrijving]],2,FALSE)</f>
        <v>Niet in Onderhoud</v>
      </c>
      <c r="C1099" s="218" t="s">
        <v>1212</v>
      </c>
      <c r="D1099" s="217" t="s">
        <v>27</v>
      </c>
      <c r="E1099" s="219" t="s">
        <v>103</v>
      </c>
      <c r="F1099" s="218" t="s">
        <v>1216</v>
      </c>
      <c r="G1099" s="263" t="s">
        <v>302</v>
      </c>
      <c r="H1099" s="220" t="s">
        <v>302</v>
      </c>
      <c r="I1099" s="220" t="s">
        <v>302</v>
      </c>
      <c r="J1099" s="221" t="s">
        <v>302</v>
      </c>
      <c r="K1099" s="221" t="s">
        <v>302</v>
      </c>
      <c r="L1099" s="220" t="s">
        <v>302</v>
      </c>
      <c r="M1099" s="220" t="s">
        <v>302</v>
      </c>
      <c r="N1099" s="221" t="s">
        <v>302</v>
      </c>
      <c r="O1099" s="222" t="s">
        <v>302</v>
      </c>
      <c r="P1099" s="222" t="s">
        <v>302</v>
      </c>
      <c r="Q1099" s="222" t="s">
        <v>302</v>
      </c>
      <c r="R1099" s="222" t="s">
        <v>302</v>
      </c>
      <c r="S1099" s="222" t="s">
        <v>302</v>
      </c>
      <c r="T1099" s="222" t="s">
        <v>302</v>
      </c>
      <c r="U1099" s="222" t="s">
        <v>302</v>
      </c>
      <c r="V1099" s="222" t="s">
        <v>302</v>
      </c>
      <c r="W1099" s="223" t="s">
        <v>302</v>
      </c>
      <c r="X1099" s="223" t="s">
        <v>302</v>
      </c>
      <c r="Y1099" s="224" t="s">
        <v>302</v>
      </c>
    </row>
    <row r="1100" spans="1:25">
      <c r="A1100" s="216">
        <v>20</v>
      </c>
      <c r="B1100" s="217" t="str">
        <f>VLOOKUP(Tabel10[[#This Row],[Code]],Ruimtegroepen[[Code]:[Ruimte omschrijving]],2,FALSE)</f>
        <v>Niet in Onderhoud</v>
      </c>
      <c r="C1100" s="218" t="s">
        <v>1212</v>
      </c>
      <c r="D1100" s="217" t="s">
        <v>27</v>
      </c>
      <c r="E1100" s="219" t="s">
        <v>100</v>
      </c>
      <c r="F1100" s="218" t="s">
        <v>1214</v>
      </c>
      <c r="G1100" s="263" t="s">
        <v>302</v>
      </c>
      <c r="H1100" s="220" t="s">
        <v>302</v>
      </c>
      <c r="I1100" s="220" t="s">
        <v>302</v>
      </c>
      <c r="J1100" s="221" t="s">
        <v>302</v>
      </c>
      <c r="K1100" s="221" t="s">
        <v>302</v>
      </c>
      <c r="L1100" s="220" t="s">
        <v>302</v>
      </c>
      <c r="M1100" s="220" t="s">
        <v>302</v>
      </c>
      <c r="N1100" s="221" t="s">
        <v>302</v>
      </c>
      <c r="O1100" s="222" t="s">
        <v>302</v>
      </c>
      <c r="P1100" s="222" t="s">
        <v>302</v>
      </c>
      <c r="Q1100" s="222" t="s">
        <v>302</v>
      </c>
      <c r="R1100" s="222" t="s">
        <v>302</v>
      </c>
      <c r="S1100" s="222" t="s">
        <v>302</v>
      </c>
      <c r="T1100" s="222" t="s">
        <v>302</v>
      </c>
      <c r="U1100" s="222" t="s">
        <v>302</v>
      </c>
      <c r="V1100" s="222" t="s">
        <v>302</v>
      </c>
      <c r="W1100" s="223" t="s">
        <v>302</v>
      </c>
      <c r="X1100" s="223" t="s">
        <v>302</v>
      </c>
      <c r="Y1100" s="224" t="s">
        <v>302</v>
      </c>
    </row>
    <row r="1101" spans="1:25">
      <c r="A1101" s="216">
        <v>20</v>
      </c>
      <c r="B1101" s="217" t="str">
        <f>VLOOKUP(Tabel10[[#This Row],[Code]],Ruimtegroepen[[Code]:[Ruimte omschrijving]],2,FALSE)</f>
        <v>Niet in Onderhoud</v>
      </c>
      <c r="C1101" s="218" t="s">
        <v>1212</v>
      </c>
      <c r="D1101" s="217" t="s">
        <v>27</v>
      </c>
      <c r="E1101" s="219" t="s">
        <v>1325</v>
      </c>
      <c r="F1101" s="218" t="s">
        <v>1336</v>
      </c>
      <c r="G1101" s="263" t="s">
        <v>302</v>
      </c>
      <c r="H1101" s="220" t="s">
        <v>302</v>
      </c>
      <c r="I1101" s="220" t="s">
        <v>302</v>
      </c>
      <c r="J1101" s="221" t="s">
        <v>302</v>
      </c>
      <c r="K1101" s="221" t="s">
        <v>302</v>
      </c>
      <c r="L1101" s="220" t="s">
        <v>302</v>
      </c>
      <c r="M1101" s="220" t="s">
        <v>302</v>
      </c>
      <c r="N1101" s="221" t="s">
        <v>302</v>
      </c>
      <c r="O1101" s="222" t="s">
        <v>302</v>
      </c>
      <c r="P1101" s="222" t="s">
        <v>302</v>
      </c>
      <c r="Q1101" s="222" t="s">
        <v>302</v>
      </c>
      <c r="R1101" s="222" t="s">
        <v>302</v>
      </c>
      <c r="S1101" s="222" t="s">
        <v>302</v>
      </c>
      <c r="T1101" s="222" t="s">
        <v>302</v>
      </c>
      <c r="U1101" s="222" t="s">
        <v>302</v>
      </c>
      <c r="V1101" s="222" t="s">
        <v>302</v>
      </c>
      <c r="W1101" s="223" t="s">
        <v>302</v>
      </c>
      <c r="X1101" s="223" t="s">
        <v>302</v>
      </c>
      <c r="Y1101" s="224" t="s">
        <v>302</v>
      </c>
    </row>
    <row r="1102" spans="1:25">
      <c r="A1102" s="216">
        <v>20</v>
      </c>
      <c r="B1102" s="217" t="str">
        <f>VLOOKUP(Tabel10[[#This Row],[Code]],Ruimtegroepen[[Code]:[Ruimte omschrijving]],2,FALSE)</f>
        <v>Niet in Onderhoud</v>
      </c>
      <c r="C1102" s="218" t="s">
        <v>1217</v>
      </c>
      <c r="D1102" s="217" t="s">
        <v>28</v>
      </c>
      <c r="E1102" s="219" t="s">
        <v>101</v>
      </c>
      <c r="F1102" s="218" t="s">
        <v>1218</v>
      </c>
      <c r="G1102" s="263" t="s">
        <v>302</v>
      </c>
      <c r="H1102" s="220" t="s">
        <v>302</v>
      </c>
      <c r="I1102" s="220" t="s">
        <v>302</v>
      </c>
      <c r="J1102" s="221" t="s">
        <v>302</v>
      </c>
      <c r="K1102" s="221" t="s">
        <v>302</v>
      </c>
      <c r="L1102" s="220" t="s">
        <v>302</v>
      </c>
      <c r="M1102" s="220" t="s">
        <v>302</v>
      </c>
      <c r="N1102" s="221" t="s">
        <v>302</v>
      </c>
      <c r="O1102" s="222" t="s">
        <v>302</v>
      </c>
      <c r="P1102" s="222" t="s">
        <v>302</v>
      </c>
      <c r="Q1102" s="222" t="s">
        <v>302</v>
      </c>
      <c r="R1102" s="222" t="s">
        <v>302</v>
      </c>
      <c r="S1102" s="222" t="s">
        <v>302</v>
      </c>
      <c r="T1102" s="222" t="s">
        <v>302</v>
      </c>
      <c r="U1102" s="222" t="s">
        <v>302</v>
      </c>
      <c r="V1102" s="222" t="s">
        <v>302</v>
      </c>
      <c r="W1102" s="223" t="s">
        <v>302</v>
      </c>
      <c r="X1102" s="223" t="s">
        <v>302</v>
      </c>
      <c r="Y1102" s="224" t="s">
        <v>302</v>
      </c>
    </row>
    <row r="1103" spans="1:25">
      <c r="A1103" s="216">
        <v>20</v>
      </c>
      <c r="B1103" s="217" t="str">
        <f>VLOOKUP(Tabel10[[#This Row],[Code]],Ruimtegroepen[[Code]:[Ruimte omschrijving]],2,FALSE)</f>
        <v>Niet in Onderhoud</v>
      </c>
      <c r="C1103" s="218" t="s">
        <v>1217</v>
      </c>
      <c r="D1103" s="217" t="s">
        <v>28</v>
      </c>
      <c r="E1103" s="219" t="s">
        <v>100</v>
      </c>
      <c r="F1103" s="218" t="s">
        <v>1219</v>
      </c>
      <c r="G1103" s="263" t="s">
        <v>302</v>
      </c>
      <c r="H1103" s="220" t="s">
        <v>302</v>
      </c>
      <c r="I1103" s="220" t="s">
        <v>302</v>
      </c>
      <c r="J1103" s="221" t="s">
        <v>302</v>
      </c>
      <c r="K1103" s="221" t="s">
        <v>302</v>
      </c>
      <c r="L1103" s="220" t="s">
        <v>302</v>
      </c>
      <c r="M1103" s="220" t="s">
        <v>302</v>
      </c>
      <c r="N1103" s="221" t="s">
        <v>302</v>
      </c>
      <c r="O1103" s="222" t="s">
        <v>302</v>
      </c>
      <c r="P1103" s="222" t="s">
        <v>302</v>
      </c>
      <c r="Q1103" s="222" t="s">
        <v>302</v>
      </c>
      <c r="R1103" s="222" t="s">
        <v>302</v>
      </c>
      <c r="S1103" s="222" t="s">
        <v>302</v>
      </c>
      <c r="T1103" s="222" t="s">
        <v>302</v>
      </c>
      <c r="U1103" s="222" t="s">
        <v>302</v>
      </c>
      <c r="V1103" s="222" t="s">
        <v>302</v>
      </c>
      <c r="W1103" s="223" t="s">
        <v>302</v>
      </c>
      <c r="X1103" s="223" t="s">
        <v>302</v>
      </c>
      <c r="Y1103" s="224" t="s">
        <v>302</v>
      </c>
    </row>
    <row r="1104" spans="1:25">
      <c r="A1104" s="216">
        <v>20</v>
      </c>
      <c r="B1104" s="217" t="str">
        <f>VLOOKUP(Tabel10[[#This Row],[Code]],Ruimtegroepen[[Code]:[Ruimte omschrijving]],2,FALSE)</f>
        <v>Niet in Onderhoud</v>
      </c>
      <c r="C1104" s="218" t="s">
        <v>1217</v>
      </c>
      <c r="D1104" s="217" t="s">
        <v>28</v>
      </c>
      <c r="E1104" s="219" t="s">
        <v>102</v>
      </c>
      <c r="F1104" s="218" t="s">
        <v>1220</v>
      </c>
      <c r="G1104" s="263" t="s">
        <v>302</v>
      </c>
      <c r="H1104" s="220" t="s">
        <v>302</v>
      </c>
      <c r="I1104" s="220" t="s">
        <v>302</v>
      </c>
      <c r="J1104" s="221" t="s">
        <v>302</v>
      </c>
      <c r="K1104" s="221" t="s">
        <v>302</v>
      </c>
      <c r="L1104" s="220" t="s">
        <v>302</v>
      </c>
      <c r="M1104" s="220" t="s">
        <v>302</v>
      </c>
      <c r="N1104" s="221" t="s">
        <v>302</v>
      </c>
      <c r="O1104" s="222" t="s">
        <v>302</v>
      </c>
      <c r="P1104" s="222" t="s">
        <v>302</v>
      </c>
      <c r="Q1104" s="222" t="s">
        <v>302</v>
      </c>
      <c r="R1104" s="222" t="s">
        <v>302</v>
      </c>
      <c r="S1104" s="222" t="s">
        <v>302</v>
      </c>
      <c r="T1104" s="222" t="s">
        <v>302</v>
      </c>
      <c r="U1104" s="222" t="s">
        <v>302</v>
      </c>
      <c r="V1104" s="222" t="s">
        <v>302</v>
      </c>
      <c r="W1104" s="223" t="s">
        <v>302</v>
      </c>
      <c r="X1104" s="223" t="s">
        <v>302</v>
      </c>
      <c r="Y1104" s="224" t="s">
        <v>302</v>
      </c>
    </row>
    <row r="1105" spans="1:25">
      <c r="A1105" s="216">
        <v>20</v>
      </c>
      <c r="B1105" s="217" t="str">
        <f>VLOOKUP(Tabel10[[#This Row],[Code]],Ruimtegroepen[[Code]:[Ruimte omschrijving]],2,FALSE)</f>
        <v>Niet in Onderhoud</v>
      </c>
      <c r="C1105" s="218" t="s">
        <v>1217</v>
      </c>
      <c r="D1105" s="217" t="s">
        <v>28</v>
      </c>
      <c r="E1105" s="219" t="s">
        <v>103</v>
      </c>
      <c r="F1105" s="218" t="s">
        <v>1221</v>
      </c>
      <c r="G1105" s="263" t="s">
        <v>302</v>
      </c>
      <c r="H1105" s="220" t="s">
        <v>302</v>
      </c>
      <c r="I1105" s="220" t="s">
        <v>302</v>
      </c>
      <c r="J1105" s="221" t="s">
        <v>302</v>
      </c>
      <c r="K1105" s="221" t="s">
        <v>302</v>
      </c>
      <c r="L1105" s="220" t="s">
        <v>302</v>
      </c>
      <c r="M1105" s="220" t="s">
        <v>302</v>
      </c>
      <c r="N1105" s="221" t="s">
        <v>302</v>
      </c>
      <c r="O1105" s="222" t="s">
        <v>302</v>
      </c>
      <c r="P1105" s="222" t="s">
        <v>302</v>
      </c>
      <c r="Q1105" s="222" t="s">
        <v>302</v>
      </c>
      <c r="R1105" s="222" t="s">
        <v>302</v>
      </c>
      <c r="S1105" s="222" t="s">
        <v>302</v>
      </c>
      <c r="T1105" s="222" t="s">
        <v>302</v>
      </c>
      <c r="U1105" s="222" t="s">
        <v>302</v>
      </c>
      <c r="V1105" s="222" t="s">
        <v>302</v>
      </c>
      <c r="W1105" s="223" t="s">
        <v>302</v>
      </c>
      <c r="X1105" s="223" t="s">
        <v>302</v>
      </c>
      <c r="Y1105" s="224" t="s">
        <v>302</v>
      </c>
    </row>
    <row r="1106" spans="1:25">
      <c r="A1106" s="216">
        <v>20</v>
      </c>
      <c r="B1106" s="217" t="str">
        <f>VLOOKUP(Tabel10[[#This Row],[Code]],Ruimtegroepen[[Code]:[Ruimte omschrijving]],2,FALSE)</f>
        <v>Niet in Onderhoud</v>
      </c>
      <c r="C1106" s="218" t="s">
        <v>1217</v>
      </c>
      <c r="D1106" s="217" t="s">
        <v>28</v>
      </c>
      <c r="E1106" s="219" t="s">
        <v>100</v>
      </c>
      <c r="F1106" s="218" t="s">
        <v>1219</v>
      </c>
      <c r="G1106" s="263" t="s">
        <v>302</v>
      </c>
      <c r="H1106" s="220" t="s">
        <v>302</v>
      </c>
      <c r="I1106" s="220" t="s">
        <v>302</v>
      </c>
      <c r="J1106" s="221" t="s">
        <v>302</v>
      </c>
      <c r="K1106" s="221" t="s">
        <v>302</v>
      </c>
      <c r="L1106" s="220" t="s">
        <v>302</v>
      </c>
      <c r="M1106" s="220" t="s">
        <v>302</v>
      </c>
      <c r="N1106" s="221" t="s">
        <v>302</v>
      </c>
      <c r="O1106" s="222" t="s">
        <v>302</v>
      </c>
      <c r="P1106" s="222" t="s">
        <v>302</v>
      </c>
      <c r="Q1106" s="222" t="s">
        <v>302</v>
      </c>
      <c r="R1106" s="222" t="s">
        <v>302</v>
      </c>
      <c r="S1106" s="222" t="s">
        <v>302</v>
      </c>
      <c r="T1106" s="222" t="s">
        <v>302</v>
      </c>
      <c r="U1106" s="222" t="s">
        <v>302</v>
      </c>
      <c r="V1106" s="222" t="s">
        <v>302</v>
      </c>
      <c r="W1106" s="223" t="s">
        <v>302</v>
      </c>
      <c r="X1106" s="223" t="s">
        <v>302</v>
      </c>
      <c r="Y1106" s="224" t="s">
        <v>302</v>
      </c>
    </row>
    <row r="1107" spans="1:25">
      <c r="A1107" s="216">
        <v>20</v>
      </c>
      <c r="B1107" s="217" t="str">
        <f>VLOOKUP(Tabel10[[#This Row],[Code]],Ruimtegroepen[[Code]:[Ruimte omschrijving]],2,FALSE)</f>
        <v>Niet in Onderhoud</v>
      </c>
      <c r="C1107" s="218" t="s">
        <v>1217</v>
      </c>
      <c r="D1107" s="217" t="s">
        <v>28</v>
      </c>
      <c r="E1107" s="219" t="s">
        <v>1325</v>
      </c>
      <c r="F1107" s="218" t="s">
        <v>1335</v>
      </c>
      <c r="G1107" s="263" t="s">
        <v>302</v>
      </c>
      <c r="H1107" s="220" t="s">
        <v>302</v>
      </c>
      <c r="I1107" s="220" t="s">
        <v>302</v>
      </c>
      <c r="J1107" s="221" t="s">
        <v>302</v>
      </c>
      <c r="K1107" s="221" t="s">
        <v>302</v>
      </c>
      <c r="L1107" s="220" t="s">
        <v>302</v>
      </c>
      <c r="M1107" s="220" t="s">
        <v>302</v>
      </c>
      <c r="N1107" s="221" t="s">
        <v>302</v>
      </c>
      <c r="O1107" s="222" t="s">
        <v>302</v>
      </c>
      <c r="P1107" s="222" t="s">
        <v>302</v>
      </c>
      <c r="Q1107" s="222" t="s">
        <v>302</v>
      </c>
      <c r="R1107" s="222" t="s">
        <v>302</v>
      </c>
      <c r="S1107" s="222" t="s">
        <v>302</v>
      </c>
      <c r="T1107" s="222" t="s">
        <v>302</v>
      </c>
      <c r="U1107" s="222" t="s">
        <v>302</v>
      </c>
      <c r="V1107" s="222" t="s">
        <v>302</v>
      </c>
      <c r="W1107" s="223" t="s">
        <v>302</v>
      </c>
      <c r="X1107" s="223" t="s">
        <v>302</v>
      </c>
      <c r="Y1107" s="224" t="s">
        <v>302</v>
      </c>
    </row>
  </sheetData>
  <mergeCells count="3">
    <mergeCell ref="G2:N2"/>
    <mergeCell ref="O2:V2"/>
    <mergeCell ref="W2:Y2"/>
  </mergeCells>
  <phoneticPr fontId="64"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Normal="100" zoomScaleSheetLayoutView="100" workbookViewId="0">
      <selection activeCell="E35" sqref="E35"/>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4.85546875" style="4"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8.28515625" style="4" bestFit="1" customWidth="1"/>
    <col min="18" max="16384" width="7.85546875" style="4"/>
  </cols>
  <sheetData>
    <row r="1" spans="1:17" s="9" customFormat="1" ht="26.25" customHeight="1">
      <c r="A1" s="394" t="s">
        <v>34</v>
      </c>
      <c r="B1" s="394"/>
      <c r="C1" s="394"/>
      <c r="D1" s="394"/>
      <c r="E1" s="394"/>
    </row>
    <row r="2" spans="1:17" s="9" customFormat="1" ht="15" customHeight="1">
      <c r="A2" s="396" t="s">
        <v>202</v>
      </c>
      <c r="B2" s="396"/>
      <c r="C2" s="396"/>
      <c r="D2" s="396"/>
      <c r="E2" s="396"/>
      <c r="G2" s="411" t="s">
        <v>249</v>
      </c>
      <c r="H2" s="411"/>
      <c r="I2" s="411"/>
      <c r="J2" s="411"/>
      <c r="K2" s="411"/>
      <c r="L2" s="411"/>
      <c r="M2" s="411"/>
      <c r="N2" s="411"/>
      <c r="O2" s="411"/>
      <c r="P2" s="411"/>
      <c r="Q2" s="411"/>
    </row>
    <row r="3" spans="1:17" ht="15" customHeight="1">
      <c r="E3" s="4"/>
      <c r="G3" s="146"/>
      <c r="H3" s="412">
        <v>2026</v>
      </c>
      <c r="I3" s="412"/>
      <c r="J3" s="413">
        <v>2027</v>
      </c>
      <c r="K3" s="414"/>
      <c r="L3" s="413">
        <v>2028</v>
      </c>
      <c r="M3" s="414"/>
      <c r="N3" s="413">
        <v>2029</v>
      </c>
      <c r="O3" s="414"/>
      <c r="P3" s="413">
        <v>2030</v>
      </c>
      <c r="Q3" s="414"/>
    </row>
    <row r="4" spans="1:17" s="8" customFormat="1" ht="26.25" customHeight="1">
      <c r="A4" s="397" t="s">
        <v>73</v>
      </c>
      <c r="B4" s="398"/>
      <c r="C4" s="78" t="s">
        <v>198</v>
      </c>
      <c r="D4" s="78" t="s">
        <v>212</v>
      </c>
      <c r="E4" s="78" t="s">
        <v>80</v>
      </c>
      <c r="G4" s="146" t="s">
        <v>1304</v>
      </c>
      <c r="H4" s="146" t="s">
        <v>1305</v>
      </c>
      <c r="I4" s="146" t="s">
        <v>1306</v>
      </c>
      <c r="J4" s="146" t="s">
        <v>1305</v>
      </c>
      <c r="K4" s="146" t="s">
        <v>1306</v>
      </c>
      <c r="L4" s="146" t="s">
        <v>1305</v>
      </c>
      <c r="M4" s="146" t="s">
        <v>1306</v>
      </c>
      <c r="N4" s="146" t="s">
        <v>1305</v>
      </c>
      <c r="O4" s="146" t="s">
        <v>1306</v>
      </c>
      <c r="P4" s="146" t="s">
        <v>1305</v>
      </c>
      <c r="Q4" s="146" t="s">
        <v>1306</v>
      </c>
    </row>
    <row r="5" spans="1:17" ht="15" customHeight="1">
      <c r="A5" s="402" t="s">
        <v>94</v>
      </c>
      <c r="B5" s="403"/>
      <c r="C5" s="10">
        <v>0</v>
      </c>
      <c r="D5" s="11">
        <v>0</v>
      </c>
      <c r="E5" s="12">
        <f>C5*D5</f>
        <v>0</v>
      </c>
      <c r="G5" s="270"/>
      <c r="H5" s="270"/>
      <c r="I5" s="270"/>
      <c r="J5" s="270"/>
      <c r="K5" s="270"/>
      <c r="L5" s="270"/>
      <c r="M5" s="270"/>
      <c r="N5" s="270"/>
      <c r="O5" s="270"/>
      <c r="P5" s="270"/>
      <c r="Q5" s="270"/>
    </row>
    <row r="6" spans="1:17" ht="15" customHeight="1">
      <c r="A6" s="402" t="s">
        <v>64</v>
      </c>
      <c r="B6" s="403"/>
      <c r="C6" s="10">
        <v>0</v>
      </c>
      <c r="D6" s="11">
        <v>0</v>
      </c>
      <c r="E6" s="12">
        <f>C6*D6</f>
        <v>0</v>
      </c>
      <c r="G6" s="270"/>
      <c r="H6" s="270"/>
      <c r="I6" s="270"/>
      <c r="J6" s="270"/>
      <c r="K6" s="270"/>
      <c r="L6" s="270"/>
      <c r="M6" s="270"/>
      <c r="N6" s="270"/>
      <c r="O6" s="270"/>
      <c r="P6" s="270"/>
      <c r="Q6" s="270"/>
    </row>
    <row r="7" spans="1:17" ht="15" customHeight="1">
      <c r="A7" s="409"/>
      <c r="B7" s="410"/>
      <c r="C7" s="10">
        <v>0</v>
      </c>
      <c r="D7" s="11">
        <v>0</v>
      </c>
      <c r="E7" s="12">
        <f>C7*D7</f>
        <v>0</v>
      </c>
      <c r="G7" s="270"/>
      <c r="H7" s="270"/>
      <c r="I7" s="270"/>
      <c r="J7" s="270"/>
      <c r="K7" s="270"/>
      <c r="L7" s="270"/>
      <c r="M7" s="270"/>
      <c r="N7" s="270"/>
      <c r="O7" s="270"/>
      <c r="P7" s="270"/>
      <c r="Q7" s="270"/>
    </row>
    <row r="8" spans="1:17" ht="15" customHeight="1">
      <c r="A8" s="407" t="s">
        <v>65</v>
      </c>
      <c r="B8" s="408"/>
      <c r="C8" s="10">
        <v>0</v>
      </c>
      <c r="D8" s="11">
        <v>0</v>
      </c>
      <c r="E8" s="12">
        <f>C8*D8</f>
        <v>0</v>
      </c>
      <c r="G8" s="270"/>
      <c r="H8" s="270"/>
      <c r="I8" s="270"/>
      <c r="J8" s="270"/>
      <c r="K8" s="270"/>
      <c r="L8" s="270"/>
      <c r="M8" s="270"/>
      <c r="N8" s="270"/>
      <c r="O8" s="270"/>
      <c r="P8" s="270"/>
      <c r="Q8" s="270"/>
    </row>
    <row r="9" spans="1:17" ht="15" customHeight="1">
      <c r="A9" s="404" t="s">
        <v>95</v>
      </c>
      <c r="B9" s="405"/>
      <c r="C9" s="406"/>
      <c r="D9" s="13">
        <f>SUM(D5:D8)</f>
        <v>0</v>
      </c>
      <c r="E9" s="12" t="str">
        <f>IF(SUM($D$5:$D$8)=100%,SUM(E5:E8),"    GEEN 100%")</f>
        <v xml:space="preserve">    GEEN 100%</v>
      </c>
      <c r="G9" s="270"/>
      <c r="H9" s="276"/>
      <c r="I9" s="270"/>
      <c r="J9" s="270"/>
      <c r="K9" s="270"/>
      <c r="L9" s="270"/>
      <c r="M9" s="270"/>
      <c r="N9" s="270"/>
      <c r="O9" s="270"/>
      <c r="P9" s="270"/>
      <c r="Q9" s="270"/>
    </row>
    <row r="10" spans="1:17" ht="15" customHeight="1">
      <c r="A10" s="395" t="s">
        <v>66</v>
      </c>
      <c r="B10" s="395"/>
      <c r="C10" s="395"/>
      <c r="D10" s="277" t="s">
        <v>3</v>
      </c>
      <c r="E10" s="278">
        <f>SUM(E9:E9)</f>
        <v>0</v>
      </c>
      <c r="G10" s="270" t="s">
        <v>1307</v>
      </c>
      <c r="H10" s="276">
        <v>0</v>
      </c>
      <c r="I10" s="278">
        <f>(E10*H10)+E10</f>
        <v>0</v>
      </c>
      <c r="J10" s="276">
        <v>0</v>
      </c>
      <c r="K10" s="278">
        <f>(I10*J10)+I10</f>
        <v>0</v>
      </c>
      <c r="L10" s="276">
        <v>0</v>
      </c>
      <c r="M10" s="278">
        <f>(K10*L10)+K10</f>
        <v>0</v>
      </c>
      <c r="N10" s="276">
        <v>0</v>
      </c>
      <c r="O10" s="278">
        <f>(M10*N10)+M10</f>
        <v>0</v>
      </c>
      <c r="P10" s="276">
        <v>0</v>
      </c>
      <c r="Q10" s="278">
        <f>(O10*P10)+O10</f>
        <v>0</v>
      </c>
    </row>
    <row r="11" spans="1:17" ht="15" customHeight="1">
      <c r="A11" s="16"/>
      <c r="B11" s="17"/>
      <c r="C11" s="17"/>
      <c r="D11" s="17"/>
      <c r="G11" s="270"/>
      <c r="H11" s="270"/>
      <c r="I11" s="270"/>
      <c r="J11" s="270"/>
      <c r="K11" s="270"/>
      <c r="L11" s="270"/>
      <c r="M11" s="270"/>
      <c r="N11" s="270"/>
      <c r="O11" s="270"/>
      <c r="P11" s="270"/>
      <c r="Q11" s="270"/>
    </row>
    <row r="12" spans="1:17" s="8" customFormat="1" ht="26.25" customHeight="1">
      <c r="A12" s="397" t="s">
        <v>68</v>
      </c>
      <c r="B12" s="399"/>
      <c r="C12" s="398"/>
      <c r="D12" s="79" t="s">
        <v>77</v>
      </c>
      <c r="E12" s="78" t="s">
        <v>80</v>
      </c>
      <c r="G12" s="78"/>
      <c r="H12" s="78"/>
      <c r="I12" s="78"/>
      <c r="J12" s="78"/>
      <c r="K12" s="78"/>
      <c r="L12" s="78"/>
      <c r="M12" s="78"/>
      <c r="N12" s="78"/>
      <c r="O12" s="78"/>
      <c r="P12" s="78"/>
      <c r="Q12" s="78"/>
    </row>
    <row r="13" spans="1:17" ht="15" customHeight="1">
      <c r="A13" s="400" t="s">
        <v>4</v>
      </c>
      <c r="B13" s="401"/>
      <c r="C13" s="401"/>
      <c r="D13" s="272">
        <v>0</v>
      </c>
      <c r="E13" s="15">
        <f>SUM($E$10*D13)</f>
        <v>0</v>
      </c>
      <c r="G13" s="270" t="s">
        <v>1599</v>
      </c>
      <c r="H13" s="276"/>
      <c r="I13" s="279">
        <f>(E13*H13)+E13</f>
        <v>0</v>
      </c>
      <c r="J13" s="280"/>
      <c r="K13" s="279">
        <f>(I13*J13)+I13</f>
        <v>0</v>
      </c>
      <c r="L13" s="280"/>
      <c r="M13" s="279">
        <f>(K13*L13)+K13</f>
        <v>0</v>
      </c>
      <c r="N13" s="280"/>
      <c r="O13" s="279">
        <f>(M13*N13)+M13</f>
        <v>0</v>
      </c>
      <c r="P13" s="280"/>
      <c r="Q13" s="279">
        <f>(O13*P13)+O13</f>
        <v>0</v>
      </c>
    </row>
    <row r="14" spans="1:17" ht="15" customHeight="1">
      <c r="A14" s="401" t="s">
        <v>82</v>
      </c>
      <c r="B14" s="401"/>
      <c r="C14" s="401"/>
      <c r="D14" s="272">
        <v>0</v>
      </c>
      <c r="E14" s="15">
        <f>SUM($E$10*D14)</f>
        <v>0</v>
      </c>
      <c r="G14" s="270" t="s">
        <v>1599</v>
      </c>
      <c r="H14" s="276"/>
      <c r="I14" s="279">
        <f>(E14*H14)+E14</f>
        <v>0</v>
      </c>
      <c r="J14" s="280"/>
      <c r="K14" s="279">
        <f>(I14*J14)+I14</f>
        <v>0</v>
      </c>
      <c r="L14" s="280"/>
      <c r="M14" s="279">
        <f>(K14*L14)+K14</f>
        <v>0</v>
      </c>
      <c r="N14" s="280"/>
      <c r="O14" s="279">
        <f>(M14*N14)+M14</f>
        <v>0</v>
      </c>
      <c r="P14" s="280"/>
      <c r="Q14" s="279">
        <f>(O14*P14)+O14</f>
        <v>0</v>
      </c>
    </row>
    <row r="15" spans="1:17" ht="15" customHeight="1">
      <c r="A15" s="401" t="s">
        <v>5</v>
      </c>
      <c r="B15" s="401"/>
      <c r="C15" s="401"/>
      <c r="D15" s="272">
        <v>0</v>
      </c>
      <c r="E15" s="15">
        <f>SUM($E$10*D15)</f>
        <v>0</v>
      </c>
      <c r="G15" s="270" t="s">
        <v>1599</v>
      </c>
      <c r="H15" s="276"/>
      <c r="I15" s="279">
        <f>(E15*H15)+E15</f>
        <v>0</v>
      </c>
      <c r="J15" s="280"/>
      <c r="K15" s="279">
        <f>(I15*J15)+I15</f>
        <v>0</v>
      </c>
      <c r="L15" s="280"/>
      <c r="M15" s="279">
        <f>(K15*L15)+K15</f>
        <v>0</v>
      </c>
      <c r="N15" s="280"/>
      <c r="O15" s="279">
        <f>(M15*N15)+M15</f>
        <v>0</v>
      </c>
      <c r="P15" s="280"/>
      <c r="Q15" s="279">
        <f>(O15*P15)+O15</f>
        <v>0</v>
      </c>
    </row>
    <row r="16" spans="1:17" ht="15" customHeight="1">
      <c r="A16" s="401" t="s">
        <v>6</v>
      </c>
      <c r="B16" s="401"/>
      <c r="C16" s="401"/>
      <c r="D16" s="272">
        <v>0</v>
      </c>
      <c r="E16" s="15">
        <f>SUM($E$10*D16)</f>
        <v>0</v>
      </c>
      <c r="G16" s="270" t="s">
        <v>1599</v>
      </c>
      <c r="H16" s="276"/>
      <c r="I16" s="279">
        <f>(E16*H16)+E16</f>
        <v>0</v>
      </c>
      <c r="J16" s="280"/>
      <c r="K16" s="279">
        <f>(I16*J16)+I16</f>
        <v>0</v>
      </c>
      <c r="L16" s="280"/>
      <c r="M16" s="279">
        <f>(K16*L16)+K16</f>
        <v>0</v>
      </c>
      <c r="N16" s="280"/>
      <c r="O16" s="279">
        <f>(M16*N16)+M16</f>
        <v>0</v>
      </c>
      <c r="P16" s="280"/>
      <c r="Q16" s="279">
        <f>(O16*P16)+O16</f>
        <v>0</v>
      </c>
    </row>
    <row r="17" spans="1:17" ht="15" customHeight="1">
      <c r="A17" s="409" t="s">
        <v>85</v>
      </c>
      <c r="B17" s="419"/>
      <c r="C17" s="410"/>
      <c r="D17" s="272">
        <v>0</v>
      </c>
      <c r="E17" s="15">
        <f>SUM($E$10*D17)</f>
        <v>0</v>
      </c>
      <c r="G17" s="270" t="s">
        <v>1599</v>
      </c>
      <c r="H17" s="276"/>
      <c r="I17" s="279">
        <f>(E17*H17)+E17</f>
        <v>0</v>
      </c>
      <c r="J17" s="280"/>
      <c r="K17" s="279">
        <f>(I17*J17)+I17</f>
        <v>0</v>
      </c>
      <c r="L17" s="280"/>
      <c r="M17" s="279">
        <f>(K17*L17)+K17</f>
        <v>0</v>
      </c>
      <c r="N17" s="280"/>
      <c r="O17" s="279">
        <f>(M17*N17)+M17</f>
        <v>0</v>
      </c>
      <c r="P17" s="280"/>
      <c r="Q17" s="279">
        <f>(O17*P17)+O17</f>
        <v>0</v>
      </c>
    </row>
    <row r="18" spans="1:17" ht="15" customHeight="1">
      <c r="A18" s="395" t="s">
        <v>74</v>
      </c>
      <c r="B18" s="395"/>
      <c r="C18" s="395"/>
      <c r="D18" s="281"/>
      <c r="E18" s="282">
        <f>SUM(E13:E17)</f>
        <v>0</v>
      </c>
      <c r="G18" s="270"/>
      <c r="H18" s="270"/>
      <c r="I18" s="282">
        <f>SUM(I13:I17)</f>
        <v>0</v>
      </c>
      <c r="J18" s="270"/>
      <c r="K18" s="282">
        <f>SUM(K13:K17)</f>
        <v>0</v>
      </c>
      <c r="L18" s="270"/>
      <c r="M18" s="282">
        <f>SUM(M13:M17)</f>
        <v>0</v>
      </c>
      <c r="N18" s="270"/>
      <c r="O18" s="282">
        <f>SUM(O13:O17)</f>
        <v>0</v>
      </c>
      <c r="P18" s="270"/>
      <c r="Q18" s="282">
        <f>SUM(Q13:Q17)</f>
        <v>0</v>
      </c>
    </row>
    <row r="19" spans="1:17" ht="15" customHeight="1">
      <c r="D19" s="19"/>
      <c r="E19" s="20"/>
      <c r="G19" s="270"/>
      <c r="H19" s="270"/>
      <c r="I19" s="270"/>
      <c r="J19" s="270"/>
      <c r="K19" s="270"/>
      <c r="L19" s="270"/>
      <c r="M19" s="270"/>
      <c r="N19" s="270"/>
      <c r="O19" s="270"/>
      <c r="P19" s="270"/>
      <c r="Q19" s="270"/>
    </row>
    <row r="20" spans="1:17" s="8" customFormat="1" ht="26.25" customHeight="1">
      <c r="A20" s="397" t="s">
        <v>69</v>
      </c>
      <c r="B20" s="399"/>
      <c r="C20" s="398"/>
      <c r="D20" s="79" t="s">
        <v>78</v>
      </c>
      <c r="E20" s="78" t="s">
        <v>80</v>
      </c>
      <c r="G20" s="78"/>
      <c r="H20" s="78"/>
      <c r="I20" s="78"/>
      <c r="J20" s="78"/>
      <c r="K20" s="78"/>
      <c r="L20" s="78"/>
      <c r="M20" s="78"/>
      <c r="N20" s="78"/>
      <c r="O20" s="78"/>
      <c r="P20" s="78"/>
      <c r="Q20" s="78"/>
    </row>
    <row r="21" spans="1:17" ht="15" customHeight="1">
      <c r="A21" s="401" t="s">
        <v>7</v>
      </c>
      <c r="B21" s="401"/>
      <c r="C21" s="401"/>
      <c r="D21" s="145" t="e">
        <f>E21/$E$35</f>
        <v>#DIV/0!</v>
      </c>
      <c r="E21" s="143">
        <v>0</v>
      </c>
      <c r="G21" s="270" t="s">
        <v>1599</v>
      </c>
      <c r="H21" s="276"/>
      <c r="I21" s="279">
        <f>(E21*H21)+E21</f>
        <v>0</v>
      </c>
      <c r="J21" s="280"/>
      <c r="K21" s="279">
        <f>(I21*J21)+I21</f>
        <v>0</v>
      </c>
      <c r="L21" s="280"/>
      <c r="M21" s="279">
        <f>(K21*L21)+K21</f>
        <v>0</v>
      </c>
      <c r="N21" s="280"/>
      <c r="O21" s="279">
        <f>(M21*N21)+M21</f>
        <v>0</v>
      </c>
      <c r="P21" s="280"/>
      <c r="Q21" s="279">
        <f>(O21*P21)+O21</f>
        <v>0</v>
      </c>
    </row>
    <row r="22" spans="1:17" ht="15" customHeight="1">
      <c r="A22" s="400" t="s">
        <v>8</v>
      </c>
      <c r="B22" s="401"/>
      <c r="C22" s="401"/>
      <c r="D22" s="145" t="e">
        <f>E22/$E$35</f>
        <v>#DIV/0!</v>
      </c>
      <c r="E22" s="143">
        <v>0</v>
      </c>
      <c r="G22" s="270" t="s">
        <v>1599</v>
      </c>
      <c r="H22" s="276"/>
      <c r="I22" s="279">
        <f>(E22*H22)+E22</f>
        <v>0</v>
      </c>
      <c r="J22" s="280"/>
      <c r="K22" s="279">
        <f>(I22*J22)+I22</f>
        <v>0</v>
      </c>
      <c r="L22" s="280"/>
      <c r="M22" s="279">
        <f>(K22*L22)+K22</f>
        <v>0</v>
      </c>
      <c r="N22" s="280"/>
      <c r="O22" s="279">
        <f>(M22*N22)+M22</f>
        <v>0</v>
      </c>
      <c r="P22" s="280"/>
      <c r="Q22" s="279">
        <f>(O22*P22)+O22</f>
        <v>0</v>
      </c>
    </row>
    <row r="23" spans="1:17" ht="15" customHeight="1">
      <c r="A23" s="401" t="s">
        <v>9</v>
      </c>
      <c r="B23" s="401"/>
      <c r="C23" s="401"/>
      <c r="D23" s="145" t="e">
        <f>E23/$E$35</f>
        <v>#DIV/0!</v>
      </c>
      <c r="E23" s="143">
        <v>0</v>
      </c>
      <c r="G23" s="270" t="s">
        <v>1599</v>
      </c>
      <c r="H23" s="276"/>
      <c r="I23" s="283">
        <f>(E23*H23)+E23</f>
        <v>0</v>
      </c>
      <c r="J23" s="280"/>
      <c r="K23" s="279">
        <f>(I23*J23)+I23</f>
        <v>0</v>
      </c>
      <c r="L23" s="280"/>
      <c r="M23" s="279">
        <f>(K23*L23)+K23</f>
        <v>0</v>
      </c>
      <c r="N23" s="280"/>
      <c r="O23" s="279">
        <f>(M23*N23)+M23</f>
        <v>0</v>
      </c>
      <c r="P23" s="280"/>
      <c r="Q23" s="279">
        <f>(O23*P23)+O23</f>
        <v>0</v>
      </c>
    </row>
    <row r="24" spans="1:17" ht="15" customHeight="1">
      <c r="A24" s="407" t="s">
        <v>10</v>
      </c>
      <c r="B24" s="418"/>
      <c r="C24" s="408"/>
      <c r="D24" s="272">
        <v>0</v>
      </c>
      <c r="E24" s="14">
        <f>D24*$E$10</f>
        <v>0</v>
      </c>
      <c r="G24" s="270" t="s">
        <v>1307</v>
      </c>
      <c r="H24" s="276"/>
      <c r="I24" s="279">
        <f>(E24*H24)+E24</f>
        <v>0</v>
      </c>
      <c r="J24" s="280"/>
      <c r="K24" s="279">
        <f>(I24*J24)+I24</f>
        <v>0</v>
      </c>
      <c r="L24" s="280"/>
      <c r="M24" s="279">
        <f>(K24*L24)+K24</f>
        <v>0</v>
      </c>
      <c r="N24" s="280"/>
      <c r="O24" s="279">
        <f>(M24*N24)+M24</f>
        <v>0</v>
      </c>
      <c r="P24" s="280"/>
      <c r="Q24" s="279">
        <f>(O24*P24)+O24</f>
        <v>0</v>
      </c>
    </row>
    <row r="25" spans="1:17" ht="15" customHeight="1">
      <c r="A25" s="409" t="s">
        <v>83</v>
      </c>
      <c r="B25" s="419"/>
      <c r="C25" s="410"/>
      <c r="D25" s="145" t="e">
        <f>E25/$E$35</f>
        <v>#DIV/0!</v>
      </c>
      <c r="E25" s="143">
        <v>0</v>
      </c>
      <c r="G25" s="270" t="s">
        <v>1599</v>
      </c>
      <c r="H25" s="276"/>
      <c r="I25" s="283">
        <f>(E25*H25)+E25</f>
        <v>0</v>
      </c>
      <c r="J25" s="280"/>
      <c r="K25" s="279">
        <f>(I25*J25)+I25</f>
        <v>0</v>
      </c>
      <c r="L25" s="280"/>
      <c r="M25" s="279">
        <f>(K25*L25)+K25</f>
        <v>0</v>
      </c>
      <c r="N25" s="280"/>
      <c r="O25" s="279">
        <f>(M25*N25)+M25</f>
        <v>0</v>
      </c>
      <c r="P25" s="280"/>
      <c r="Q25" s="279">
        <f>(O25*P25)+O25</f>
        <v>0</v>
      </c>
    </row>
    <row r="26" spans="1:17" ht="15" customHeight="1">
      <c r="A26" s="395" t="s">
        <v>75</v>
      </c>
      <c r="B26" s="395"/>
      <c r="C26" s="395"/>
      <c r="D26" s="277" t="s">
        <v>3</v>
      </c>
      <c r="E26" s="278">
        <f>SUM(E21:E25)</f>
        <v>0</v>
      </c>
      <c r="G26" s="270"/>
      <c r="H26" s="270"/>
      <c r="I26" s="278">
        <f>SUM(I21:I25)</f>
        <v>0</v>
      </c>
      <c r="J26" s="270"/>
      <c r="K26" s="278">
        <f>SUM(K21:K25)</f>
        <v>0</v>
      </c>
      <c r="L26" s="270"/>
      <c r="M26" s="278">
        <f>SUM(M21:M25)</f>
        <v>0</v>
      </c>
      <c r="N26" s="270"/>
      <c r="O26" s="278">
        <f>SUM(O21:O25)</f>
        <v>0</v>
      </c>
      <c r="P26" s="270"/>
      <c r="Q26" s="278">
        <f>SUM(Q21:Q25)</f>
        <v>0</v>
      </c>
    </row>
    <row r="27" spans="1:17" ht="15" customHeight="1">
      <c r="A27" s="21"/>
      <c r="B27" s="21"/>
      <c r="C27" s="21"/>
      <c r="D27" s="22"/>
      <c r="E27" s="23"/>
      <c r="G27" s="270"/>
      <c r="H27" s="270"/>
      <c r="I27" s="270"/>
      <c r="J27" s="270"/>
      <c r="K27" s="270"/>
      <c r="L27" s="270"/>
      <c r="M27" s="270"/>
      <c r="N27" s="270"/>
      <c r="O27" s="270"/>
      <c r="P27" s="270"/>
      <c r="Q27" s="270"/>
    </row>
    <row r="28" spans="1:17" s="8" customFormat="1" ht="26.25" customHeight="1">
      <c r="A28" s="397" t="s">
        <v>70</v>
      </c>
      <c r="B28" s="399"/>
      <c r="C28" s="398"/>
      <c r="D28" s="79" t="s">
        <v>78</v>
      </c>
      <c r="E28" s="78" t="s">
        <v>80</v>
      </c>
      <c r="G28" s="78"/>
      <c r="H28" s="78"/>
      <c r="I28" s="78"/>
      <c r="J28" s="78"/>
      <c r="K28" s="78"/>
      <c r="L28" s="78"/>
      <c r="M28" s="78"/>
      <c r="N28" s="78"/>
      <c r="O28" s="78"/>
      <c r="P28" s="78"/>
      <c r="Q28" s="78"/>
    </row>
    <row r="29" spans="1:17" ht="15" customHeight="1">
      <c r="A29" s="400" t="s">
        <v>11</v>
      </c>
      <c r="B29" s="401"/>
      <c r="C29" s="401"/>
      <c r="D29" s="272">
        <v>0</v>
      </c>
      <c r="E29" s="14">
        <f>D29*($E$18+$E$10)</f>
        <v>0</v>
      </c>
      <c r="G29" s="270" t="s">
        <v>1599</v>
      </c>
      <c r="H29" s="276"/>
      <c r="I29" s="279">
        <f>(E29*H29)+E29</f>
        <v>0</v>
      </c>
      <c r="J29" s="280"/>
      <c r="K29" s="279">
        <f>(I29*J29)+I29</f>
        <v>0</v>
      </c>
      <c r="L29" s="280"/>
      <c r="M29" s="279">
        <f>(K29*L29)+K29</f>
        <v>0</v>
      </c>
      <c r="N29" s="280"/>
      <c r="O29" s="279">
        <f>(M29*N29)+M29</f>
        <v>0</v>
      </c>
      <c r="P29" s="280"/>
      <c r="Q29" s="279">
        <f>(O29*P29)+O29</f>
        <v>0</v>
      </c>
    </row>
    <row r="30" spans="1:17" ht="15" customHeight="1">
      <c r="A30" s="400" t="s">
        <v>71</v>
      </c>
      <c r="B30" s="401"/>
      <c r="C30" s="401"/>
      <c r="D30" s="144" t="e">
        <f>E30/$E$35</f>
        <v>#DIV/0!</v>
      </c>
      <c r="E30" s="143">
        <v>0</v>
      </c>
      <c r="G30" s="270" t="s">
        <v>1599</v>
      </c>
      <c r="H30" s="276"/>
      <c r="I30" s="283">
        <f>(E30*H30)+E30</f>
        <v>0</v>
      </c>
      <c r="J30" s="280"/>
      <c r="K30" s="279">
        <f>(I30*J30)+I30</f>
        <v>0</v>
      </c>
      <c r="L30" s="280"/>
      <c r="M30" s="279">
        <f>(K30*L30)+K30</f>
        <v>0</v>
      </c>
      <c r="N30" s="280"/>
      <c r="O30" s="279">
        <f>(M30*N30)+M30</f>
        <v>0</v>
      </c>
      <c r="P30" s="280"/>
      <c r="Q30" s="279">
        <f>(O30*P30)+O30</f>
        <v>0</v>
      </c>
    </row>
    <row r="31" spans="1:17" ht="15" customHeight="1">
      <c r="A31" s="409" t="s">
        <v>84</v>
      </c>
      <c r="B31" s="419"/>
      <c r="C31" s="410"/>
      <c r="D31" s="145" t="e">
        <f>E31/$E$35</f>
        <v>#DIV/0!</v>
      </c>
      <c r="E31" s="143">
        <v>0</v>
      </c>
      <c r="G31" s="270" t="s">
        <v>1599</v>
      </c>
      <c r="H31" s="276"/>
      <c r="I31" s="283">
        <f>(E31*H31)+E31</f>
        <v>0</v>
      </c>
      <c r="J31" s="280"/>
      <c r="K31" s="279">
        <f>(I31*J31)+I31</f>
        <v>0</v>
      </c>
      <c r="L31" s="280"/>
      <c r="M31" s="279">
        <f>(K31*L31)+K31</f>
        <v>0</v>
      </c>
      <c r="N31" s="280"/>
      <c r="O31" s="279">
        <f>(M31*N31)+M31</f>
        <v>0</v>
      </c>
      <c r="P31" s="280"/>
      <c r="Q31" s="279">
        <f>(O31*P31)+O31</f>
        <v>0</v>
      </c>
    </row>
    <row r="32" spans="1:17" ht="15" customHeight="1">
      <c r="A32" s="401" t="s">
        <v>72</v>
      </c>
      <c r="B32" s="401"/>
      <c r="C32" s="401"/>
      <c r="D32" s="144" t="e">
        <f>E32/$E$35</f>
        <v>#DIV/0!</v>
      </c>
      <c r="E32" s="143">
        <v>0</v>
      </c>
      <c r="G32" s="270" t="s">
        <v>1599</v>
      </c>
      <c r="H32" s="270"/>
      <c r="I32" s="283">
        <f>(E32*H32)+E32</f>
        <v>0</v>
      </c>
      <c r="J32" s="280"/>
      <c r="K32" s="279">
        <f>(I32*J32)+I32</f>
        <v>0</v>
      </c>
      <c r="L32" s="280"/>
      <c r="M32" s="279">
        <f>(K32*L32)+K32</f>
        <v>0</v>
      </c>
      <c r="N32" s="280"/>
      <c r="O32" s="279">
        <f>(M32*N32)+M32</f>
        <v>0</v>
      </c>
      <c r="P32" s="280"/>
      <c r="Q32" s="279">
        <f>(O32*P32)+O32</f>
        <v>0</v>
      </c>
    </row>
    <row r="33" spans="1:17" ht="15" customHeight="1">
      <c r="A33" s="395" t="s">
        <v>76</v>
      </c>
      <c r="B33" s="395"/>
      <c r="C33" s="395"/>
      <c r="D33" s="277"/>
      <c r="E33" s="284">
        <f>SUM(E29:E32)</f>
        <v>0</v>
      </c>
      <c r="G33" s="270"/>
      <c r="H33" s="270"/>
      <c r="I33" s="284">
        <f>SUM(I29:I32)</f>
        <v>0</v>
      </c>
      <c r="J33" s="270"/>
      <c r="K33" s="284">
        <f>SUM(K29:K32)</f>
        <v>0</v>
      </c>
      <c r="L33" s="270"/>
      <c r="M33" s="284">
        <f>SUM(M29:M32)</f>
        <v>0</v>
      </c>
      <c r="N33" s="270"/>
      <c r="O33" s="284">
        <f>SUM(O29:O32)</f>
        <v>0</v>
      </c>
      <c r="P33" s="270"/>
      <c r="Q33" s="284">
        <f>SUM(Q29:Q32)</f>
        <v>0</v>
      </c>
    </row>
    <row r="34" spans="1:17" ht="15" customHeight="1">
      <c r="A34" s="21"/>
      <c r="B34" s="21"/>
      <c r="C34" s="21"/>
      <c r="D34" s="22"/>
      <c r="E34" s="24"/>
      <c r="H34" s="270"/>
      <c r="I34" s="270"/>
      <c r="J34" s="270"/>
      <c r="K34" s="270"/>
      <c r="L34" s="270"/>
      <c r="M34" s="270"/>
      <c r="N34" s="270"/>
      <c r="O34" s="270"/>
      <c r="P34" s="270"/>
      <c r="Q34" s="270"/>
    </row>
    <row r="35" spans="1:17" ht="26.25" customHeight="1">
      <c r="A35" s="415" t="s">
        <v>93</v>
      </c>
      <c r="B35" s="416"/>
      <c r="C35" s="416"/>
      <c r="D35" s="417"/>
      <c r="E35" s="117">
        <f>E33+E26+E18+E10</f>
        <v>0</v>
      </c>
      <c r="G35" s="28"/>
      <c r="H35" s="270"/>
      <c r="I35" s="117">
        <f>I33+I26+I18+I10</f>
        <v>0</v>
      </c>
      <c r="J35" s="270"/>
      <c r="K35" s="117">
        <f>K33+K26+K18+K10</f>
        <v>0</v>
      </c>
      <c r="L35" s="270"/>
      <c r="M35" s="117">
        <f>M33+M26+M18+M10</f>
        <v>0</v>
      </c>
      <c r="N35" s="270"/>
      <c r="O35" s="117">
        <f>O33+O26+O18+O10</f>
        <v>0</v>
      </c>
      <c r="P35" s="270"/>
      <c r="Q35" s="117">
        <f>Q33+Q26+Q18+Q10</f>
        <v>0</v>
      </c>
    </row>
    <row r="36" spans="1:17" ht="15" customHeight="1">
      <c r="D36" s="19"/>
      <c r="E36" s="20"/>
    </row>
    <row r="37" spans="1:17" ht="26.25" customHeight="1">
      <c r="A37" s="80" t="s">
        <v>79</v>
      </c>
      <c r="B37" s="81"/>
      <c r="C37" s="79" t="s">
        <v>92</v>
      </c>
      <c r="D37" s="79" t="s">
        <v>1308</v>
      </c>
      <c r="E37" s="79" t="s">
        <v>1309</v>
      </c>
      <c r="H37" s="79" t="s">
        <v>1593</v>
      </c>
      <c r="I37" s="142" t="e">
        <f>(I35/E35)-100%</f>
        <v>#DIV/0!</v>
      </c>
      <c r="J37" s="79"/>
      <c r="K37" s="142" t="e">
        <f>(K35/I35)-100%</f>
        <v>#DIV/0!</v>
      </c>
      <c r="L37" s="79"/>
      <c r="M37" s="142" t="e">
        <f>(M35/K35)-100%</f>
        <v>#DIV/0!</v>
      </c>
      <c r="N37" s="79"/>
      <c r="O37" s="142" t="e">
        <f>(O35/M35)-100%</f>
        <v>#DIV/0!</v>
      </c>
      <c r="P37" s="79"/>
      <c r="Q37" s="142" t="e">
        <f>(Q35/O35)-100%</f>
        <v>#DIV/0!</v>
      </c>
    </row>
    <row r="38" spans="1:17" ht="15" customHeight="1">
      <c r="A38" s="270" t="s">
        <v>81</v>
      </c>
      <c r="B38" s="270" t="s">
        <v>87</v>
      </c>
      <c r="C38" s="25">
        <v>0</v>
      </c>
      <c r="D38" s="26">
        <f>+E35</f>
        <v>0</v>
      </c>
      <c r="E38" s="27">
        <f>D38*121%</f>
        <v>0</v>
      </c>
      <c r="F38" s="28"/>
      <c r="H38" s="270"/>
      <c r="I38" s="12" t="e">
        <f>(D38*$I$37)+D38</f>
        <v>#DIV/0!</v>
      </c>
      <c r="J38" s="270"/>
      <c r="K38" s="12" t="e">
        <f>(I38*$K$37)+I38</f>
        <v>#DIV/0!</v>
      </c>
      <c r="L38" s="270"/>
      <c r="M38" s="12" t="e">
        <f>(K38*$M$37)+K38</f>
        <v>#DIV/0!</v>
      </c>
      <c r="N38" s="270"/>
      <c r="O38" s="12" t="e">
        <f>(M38*$O$37)+M38</f>
        <v>#DIV/0!</v>
      </c>
      <c r="P38" s="270"/>
      <c r="Q38" s="12" t="e">
        <f>(O38*$Q$37)+O38</f>
        <v>#DIV/0!</v>
      </c>
    </row>
    <row r="39" spans="1:17" ht="15" customHeight="1">
      <c r="A39" s="270" t="s">
        <v>86</v>
      </c>
      <c r="B39" s="270" t="s">
        <v>88</v>
      </c>
      <c r="C39" s="25">
        <v>0.3</v>
      </c>
      <c r="D39" s="26">
        <f>SUM($E$10,$E$18,$E$26,$E$33)+(C39*($E$18+$E$10))</f>
        <v>0</v>
      </c>
      <c r="E39" s="27">
        <f>D39*121%</f>
        <v>0</v>
      </c>
      <c r="F39" s="28"/>
      <c r="H39" s="12"/>
      <c r="I39" s="12" t="e">
        <f t="shared" ref="I39:I41" si="0">(D39*$I$37)+D39</f>
        <v>#DIV/0!</v>
      </c>
      <c r="J39" s="270"/>
      <c r="K39" s="12" t="e">
        <f>(I39*$K$37)+I39</f>
        <v>#DIV/0!</v>
      </c>
      <c r="L39" s="270"/>
      <c r="M39" s="12" t="e">
        <f t="shared" ref="M39:M41" si="1">(K39*$M$37)+K39</f>
        <v>#DIV/0!</v>
      </c>
      <c r="N39" s="270"/>
      <c r="O39" s="12" t="e">
        <f t="shared" ref="O39:O41" si="2">(M39*$O$37)+M39</f>
        <v>#DIV/0!</v>
      </c>
      <c r="P39" s="270"/>
      <c r="Q39" s="12" t="e">
        <f t="shared" ref="Q39:Q41" si="3">(O39*$Q$37)+O39</f>
        <v>#DIV/0!</v>
      </c>
    </row>
    <row r="40" spans="1:17" ht="15" customHeight="1">
      <c r="A40" s="270" t="s">
        <v>24</v>
      </c>
      <c r="B40" s="270" t="s">
        <v>89</v>
      </c>
      <c r="C40" s="25">
        <v>0.5</v>
      </c>
      <c r="D40" s="26">
        <f>SUM($E$10,$E$18,$E$26,$E$33)+(C40*($E$18+$E$10))</f>
        <v>0</v>
      </c>
      <c r="E40" s="27">
        <f>D40*121%</f>
        <v>0</v>
      </c>
      <c r="F40" s="28"/>
      <c r="H40" s="270"/>
      <c r="I40" s="12" t="e">
        <f t="shared" si="0"/>
        <v>#DIV/0!</v>
      </c>
      <c r="J40" s="270"/>
      <c r="K40" s="12" t="e">
        <f>(I40*$K$37)+I40</f>
        <v>#DIV/0!</v>
      </c>
      <c r="L40" s="270"/>
      <c r="M40" s="12" t="e">
        <f t="shared" si="1"/>
        <v>#DIV/0!</v>
      </c>
      <c r="N40" s="270"/>
      <c r="O40" s="12" t="e">
        <f t="shared" si="2"/>
        <v>#DIV/0!</v>
      </c>
      <c r="P40" s="270"/>
      <c r="Q40" s="12" t="e">
        <f t="shared" si="3"/>
        <v>#DIV/0!</v>
      </c>
    </row>
    <row r="41" spans="1:17" ht="15" customHeight="1">
      <c r="A41" s="270" t="s">
        <v>90</v>
      </c>
      <c r="B41" s="271" t="s">
        <v>91</v>
      </c>
      <c r="C41" s="25">
        <v>1.5</v>
      </c>
      <c r="D41" s="26">
        <f>SUM($E$10,$E$18,$E$26,$E$33)+(C41*($E$18+$E$10))</f>
        <v>0</v>
      </c>
      <c r="E41" s="27">
        <f>D41*121%</f>
        <v>0</v>
      </c>
      <c r="F41" s="28"/>
      <c r="H41" s="270"/>
      <c r="I41" s="12" t="e">
        <f t="shared" si="0"/>
        <v>#DIV/0!</v>
      </c>
      <c r="J41" s="270"/>
      <c r="K41" s="12" t="e">
        <f>(I41*$K$37)+I41</f>
        <v>#DIV/0!</v>
      </c>
      <c r="L41" s="270"/>
      <c r="M41" s="12" t="e">
        <f t="shared" si="1"/>
        <v>#DIV/0!</v>
      </c>
      <c r="N41" s="270"/>
      <c r="O41" s="12" t="e">
        <f t="shared" si="2"/>
        <v>#DIV/0!</v>
      </c>
      <c r="P41" s="270"/>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9"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6"/>
  <sheetViews>
    <sheetView view="pageBreakPreview" zoomScaleNormal="100" zoomScaleSheetLayoutView="100" workbookViewId="0">
      <selection activeCell="D15" sqref="D15"/>
    </sheetView>
  </sheetViews>
  <sheetFormatPr defaultColWidth="14.140625" defaultRowHeight="15" customHeight="1"/>
  <cols>
    <col min="1" max="1" width="14.140625" style="5"/>
    <col min="2" max="2" width="44.85546875" style="2" customWidth="1"/>
    <col min="3" max="3" width="14.140625" style="2"/>
    <col min="4" max="4" width="37" style="7" customWidth="1"/>
    <col min="5" max="6" width="19.42578125" style="2"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6" s="9" customFormat="1" ht="26.25" customHeight="1">
      <c r="A1" s="422" t="s">
        <v>111</v>
      </c>
      <c r="B1" s="422"/>
      <c r="C1" s="422"/>
      <c r="D1" s="422"/>
      <c r="E1" s="422"/>
      <c r="F1" s="422"/>
      <c r="G1" s="61"/>
      <c r="H1" s="61"/>
      <c r="I1" s="61"/>
      <c r="J1" s="61"/>
      <c r="K1" s="61"/>
      <c r="L1" s="61"/>
      <c r="M1" s="61"/>
    </row>
    <row r="2" spans="1:16" s="9" customFormat="1" ht="15" customHeight="1">
      <c r="A2" s="420" t="s">
        <v>204</v>
      </c>
      <c r="B2" s="421"/>
      <c r="C2" s="421"/>
      <c r="D2" s="421"/>
      <c r="E2" s="421"/>
      <c r="F2" s="421"/>
      <c r="G2" s="98"/>
      <c r="H2" s="98"/>
      <c r="I2" s="98"/>
      <c r="J2" s="98"/>
      <c r="K2" s="98"/>
      <c r="L2" s="98"/>
      <c r="M2" s="98"/>
      <c r="N2" s="98"/>
    </row>
    <row r="3" spans="1:16" s="53" customFormat="1" ht="26.25" customHeight="1">
      <c r="A3" s="74" t="s">
        <v>221</v>
      </c>
      <c r="B3" s="74"/>
      <c r="C3" s="74"/>
      <c r="D3" s="74"/>
      <c r="E3" s="67"/>
      <c r="F3" s="67"/>
      <c r="H3" s="72"/>
      <c r="I3" s="72"/>
      <c r="K3" s="73"/>
      <c r="L3" s="54"/>
      <c r="M3" s="54"/>
      <c r="N3" s="54"/>
      <c r="O3" s="54"/>
      <c r="P3" s="54"/>
    </row>
    <row r="4" spans="1:16" s="53" customFormat="1" ht="26.25" customHeight="1" thickBot="1">
      <c r="A4" s="164" t="s">
        <v>33</v>
      </c>
      <c r="B4" s="165" t="s">
        <v>136</v>
      </c>
      <c r="C4" s="166" t="s">
        <v>99</v>
      </c>
      <c r="D4" s="167" t="s">
        <v>1296</v>
      </c>
      <c r="E4" s="273" t="s">
        <v>1297</v>
      </c>
      <c r="F4" s="96" t="s">
        <v>1299</v>
      </c>
      <c r="G4" s="72"/>
      <c r="H4" s="72"/>
      <c r="J4" s="73"/>
      <c r="K4" s="54"/>
      <c r="L4" s="54"/>
      <c r="M4" s="54"/>
      <c r="N4" s="54"/>
      <c r="O4" s="54"/>
    </row>
    <row r="5" spans="1:16" s="53" customFormat="1" ht="15" customHeight="1" thickTop="1">
      <c r="A5" s="197">
        <v>1</v>
      </c>
      <c r="B5" s="365" t="s">
        <v>2593</v>
      </c>
      <c r="C5" s="168">
        <v>1</v>
      </c>
      <c r="D5" s="240" t="s">
        <v>2587</v>
      </c>
      <c r="E5" s="243" t="s">
        <v>2588</v>
      </c>
      <c r="F5" s="4" t="s">
        <v>1604</v>
      </c>
      <c r="G5" s="72"/>
      <c r="H5" s="72"/>
      <c r="J5" s="73"/>
      <c r="K5" s="54"/>
      <c r="L5" s="54"/>
      <c r="M5" s="54"/>
      <c r="N5" s="54"/>
      <c r="O5" s="54"/>
    </row>
    <row r="6" spans="1:16" s="53" customFormat="1" ht="15" customHeight="1">
      <c r="A6" s="197">
        <v>2</v>
      </c>
      <c r="B6" s="369" t="s">
        <v>2590</v>
      </c>
      <c r="C6" s="168">
        <v>1</v>
      </c>
      <c r="D6" s="240" t="s">
        <v>1605</v>
      </c>
      <c r="E6" s="243" t="s">
        <v>1606</v>
      </c>
      <c r="F6" s="4" t="s">
        <v>1607</v>
      </c>
      <c r="G6" s="72"/>
      <c r="H6" s="72"/>
      <c r="J6" s="73"/>
      <c r="K6" s="54"/>
      <c r="L6" s="54"/>
      <c r="M6" s="54"/>
      <c r="N6" s="54"/>
      <c r="O6" s="54"/>
    </row>
    <row r="7" spans="1:16" s="53" customFormat="1" ht="15" customHeight="1">
      <c r="A7" s="197">
        <v>3</v>
      </c>
      <c r="B7" s="369" t="s">
        <v>2591</v>
      </c>
      <c r="C7" s="168">
        <v>1</v>
      </c>
      <c r="D7" s="240" t="s">
        <v>1622</v>
      </c>
      <c r="E7" s="243" t="s">
        <v>1623</v>
      </c>
      <c r="F7" s="4" t="s">
        <v>1607</v>
      </c>
      <c r="G7" s="72"/>
      <c r="H7" s="72"/>
      <c r="J7" s="73"/>
      <c r="K7" s="54"/>
      <c r="L7" s="54"/>
      <c r="M7" s="54"/>
      <c r="N7" s="54"/>
      <c r="O7" s="54"/>
    </row>
    <row r="8" spans="1:16" s="53" customFormat="1" ht="15" customHeight="1">
      <c r="A8" s="197">
        <v>4</v>
      </c>
      <c r="B8" s="364" t="s">
        <v>2581</v>
      </c>
      <c r="C8" s="168">
        <v>1</v>
      </c>
      <c r="D8" s="240" t="s">
        <v>1608</v>
      </c>
      <c r="E8" s="243" t="s">
        <v>1609</v>
      </c>
      <c r="F8" s="4" t="s">
        <v>1604</v>
      </c>
      <c r="G8" s="72"/>
      <c r="H8" s="72"/>
      <c r="J8" s="73"/>
      <c r="K8" s="54"/>
      <c r="L8" s="54"/>
      <c r="M8" s="54"/>
      <c r="N8" s="54"/>
      <c r="O8" s="54"/>
    </row>
    <row r="9" spans="1:16" s="53" customFormat="1" ht="15" customHeight="1">
      <c r="A9" s="197">
        <v>5</v>
      </c>
      <c r="B9" s="364" t="s">
        <v>2582</v>
      </c>
      <c r="C9" s="168">
        <v>1</v>
      </c>
      <c r="D9" s="240" t="s">
        <v>1610</v>
      </c>
      <c r="E9" s="243" t="s">
        <v>1611</v>
      </c>
      <c r="F9" s="4" t="s">
        <v>1607</v>
      </c>
      <c r="G9" s="72"/>
      <c r="H9" s="72"/>
      <c r="J9" s="73"/>
      <c r="K9" s="54"/>
      <c r="L9" s="54"/>
      <c r="M9" s="54"/>
      <c r="N9" s="54"/>
      <c r="O9" s="54"/>
    </row>
    <row r="10" spans="1:16" s="53" customFormat="1" ht="15" customHeight="1">
      <c r="A10" s="197">
        <v>6</v>
      </c>
      <c r="B10" s="364" t="s">
        <v>1602</v>
      </c>
      <c r="C10" s="168">
        <v>1</v>
      </c>
      <c r="D10" s="240" t="s">
        <v>1612</v>
      </c>
      <c r="E10" s="243" t="s">
        <v>1613</v>
      </c>
      <c r="F10" s="4" t="s">
        <v>1614</v>
      </c>
      <c r="G10" s="72"/>
      <c r="H10" s="72"/>
      <c r="J10" s="73"/>
      <c r="K10" s="54"/>
      <c r="L10" s="54"/>
      <c r="M10" s="54"/>
      <c r="N10" s="54"/>
      <c r="O10" s="54"/>
    </row>
    <row r="11" spans="1:16" s="53" customFormat="1" ht="15" customHeight="1">
      <c r="A11" s="197">
        <v>7</v>
      </c>
      <c r="B11" s="364" t="s">
        <v>1603</v>
      </c>
      <c r="C11" s="168">
        <v>1</v>
      </c>
      <c r="D11" s="240" t="s">
        <v>1615</v>
      </c>
      <c r="E11" s="243" t="s">
        <v>1609</v>
      </c>
      <c r="F11" s="4" t="s">
        <v>1604</v>
      </c>
      <c r="G11" s="72"/>
      <c r="H11" s="72"/>
      <c r="J11" s="73"/>
      <c r="K11" s="54"/>
      <c r="L11" s="54"/>
      <c r="M11" s="54"/>
      <c r="N11" s="54"/>
      <c r="O11" s="54"/>
    </row>
    <row r="12" spans="1:16" s="53" customFormat="1" ht="15" customHeight="1">
      <c r="A12" s="197">
        <v>8</v>
      </c>
      <c r="B12" s="297" t="s">
        <v>2583</v>
      </c>
      <c r="C12" s="168">
        <v>1</v>
      </c>
      <c r="D12" s="240" t="s">
        <v>1616</v>
      </c>
      <c r="E12" s="243" t="s">
        <v>1617</v>
      </c>
      <c r="F12" s="296" t="s">
        <v>1604</v>
      </c>
      <c r="G12" s="72"/>
      <c r="H12" s="72"/>
      <c r="J12" s="73"/>
      <c r="K12" s="54"/>
      <c r="L12" s="54"/>
      <c r="M12" s="54"/>
      <c r="N12" s="54"/>
      <c r="O12" s="54"/>
    </row>
    <row r="13" spans="1:16" s="53" customFormat="1" ht="15" customHeight="1">
      <c r="A13" s="197">
        <v>9</v>
      </c>
      <c r="B13" s="297" t="s">
        <v>2584</v>
      </c>
      <c r="C13" s="168">
        <v>1</v>
      </c>
      <c r="D13" s="240" t="s">
        <v>1618</v>
      </c>
      <c r="E13" s="243" t="s">
        <v>1619</v>
      </c>
      <c r="F13" s="296" t="s">
        <v>1604</v>
      </c>
      <c r="G13" s="72"/>
      <c r="H13" s="72"/>
      <c r="J13" s="73"/>
      <c r="K13" s="54"/>
      <c r="L13" s="54"/>
      <c r="M13" s="54"/>
      <c r="N13" s="54"/>
      <c r="O13" s="54"/>
    </row>
    <row r="14" spans="1:16" s="53" customFormat="1" ht="15" customHeight="1">
      <c r="A14" s="197">
        <v>10</v>
      </c>
      <c r="B14" s="297" t="s">
        <v>2585</v>
      </c>
      <c r="C14" s="168">
        <v>1</v>
      </c>
      <c r="D14" s="240" t="s">
        <v>1620</v>
      </c>
      <c r="E14" s="243" t="s">
        <v>1621</v>
      </c>
      <c r="F14" s="296" t="s">
        <v>1604</v>
      </c>
      <c r="G14" s="72"/>
      <c r="H14" s="72"/>
      <c r="J14" s="73"/>
      <c r="K14" s="54"/>
      <c r="L14" s="54"/>
      <c r="M14" s="54"/>
      <c r="N14" s="54"/>
      <c r="O14" s="54"/>
    </row>
    <row r="15" spans="1:16" s="53" customFormat="1" ht="15" customHeight="1">
      <c r="A15" s="76"/>
      <c r="B15" s="374" t="s">
        <v>2594</v>
      </c>
      <c r="C15" s="370"/>
      <c r="D15" s="371"/>
      <c r="E15" s="372"/>
      <c r="F15" s="373"/>
      <c r="H15" s="72"/>
      <c r="I15" s="72"/>
      <c r="K15" s="73"/>
      <c r="L15" s="54"/>
      <c r="M15" s="54"/>
      <c r="N15" s="54"/>
      <c r="O15" s="54"/>
      <c r="P15" s="54"/>
    </row>
    <row r="16" spans="1:16" s="53" customFormat="1" ht="15" customHeight="1">
      <c r="A16" s="83" t="s">
        <v>222</v>
      </c>
      <c r="B16" s="67"/>
      <c r="C16" s="67"/>
      <c r="D16" s="67"/>
      <c r="E16" s="71"/>
      <c r="F16" s="71"/>
      <c r="H16" s="72"/>
      <c r="I16" s="72"/>
      <c r="K16" s="73"/>
      <c r="L16" s="54"/>
      <c r="M16" s="54"/>
      <c r="N16" s="54"/>
      <c r="O16" s="54"/>
      <c r="P16" s="54"/>
    </row>
    <row r="17" spans="1:18" s="53" customFormat="1" ht="15" customHeight="1">
      <c r="A17" s="82" t="s">
        <v>33</v>
      </c>
      <c r="B17" s="29" t="s">
        <v>97</v>
      </c>
      <c r="C17" s="8" t="s">
        <v>96</v>
      </c>
      <c r="D17" s="82" t="s">
        <v>197</v>
      </c>
      <c r="E17" s="71"/>
      <c r="H17" s="72"/>
      <c r="J17" s="73"/>
      <c r="K17" s="54"/>
      <c r="L17" s="54"/>
      <c r="M17" s="54"/>
      <c r="N17" s="54"/>
      <c r="O17" s="54"/>
    </row>
    <row r="18" spans="1:18" s="53" customFormat="1" ht="15" customHeight="1">
      <c r="A18" s="30">
        <v>1</v>
      </c>
      <c r="B18" s="9" t="s">
        <v>57</v>
      </c>
      <c r="C18" s="162"/>
      <c r="D18" s="118" t="s">
        <v>1291</v>
      </c>
      <c r="E18" s="177"/>
      <c r="F18" s="180"/>
      <c r="G18" s="180"/>
      <c r="H18" s="72"/>
      <c r="I18" s="180"/>
      <c r="J18" s="73"/>
      <c r="K18" s="54"/>
      <c r="L18" s="54"/>
      <c r="M18" s="54"/>
      <c r="N18" s="54"/>
      <c r="O18" s="54"/>
    </row>
    <row r="19" spans="1:18" s="53" customFormat="1" ht="15" customHeight="1">
      <c r="A19" s="30">
        <v>2</v>
      </c>
      <c r="B19" s="9" t="s">
        <v>58</v>
      </c>
      <c r="C19" s="162"/>
      <c r="D19" s="118" t="s">
        <v>1292</v>
      </c>
      <c r="E19" s="178"/>
      <c r="F19" s="180"/>
      <c r="G19" s="180"/>
      <c r="H19" s="72"/>
      <c r="J19" s="73"/>
      <c r="K19" s="54"/>
      <c r="L19" s="54"/>
      <c r="M19" s="54"/>
      <c r="N19" s="54"/>
      <c r="O19" s="54"/>
    </row>
    <row r="20" spans="1:18" s="53" customFormat="1" ht="11.25">
      <c r="A20" s="30">
        <v>3</v>
      </c>
      <c r="B20" s="9" t="s">
        <v>59</v>
      </c>
      <c r="C20" s="162"/>
      <c r="D20" s="118" t="s">
        <v>1291</v>
      </c>
      <c r="E20" s="179"/>
      <c r="H20" s="72"/>
      <c r="J20" s="73"/>
      <c r="K20" s="54"/>
      <c r="L20" s="54"/>
      <c r="M20" s="54"/>
      <c r="N20" s="54"/>
      <c r="O20" s="54"/>
    </row>
    <row r="21" spans="1:18" s="53" customFormat="1" ht="14.25" customHeight="1">
      <c r="A21" s="30">
        <v>4</v>
      </c>
      <c r="B21" s="9" t="s">
        <v>248</v>
      </c>
      <c r="C21" s="162"/>
      <c r="D21" s="118" t="s">
        <v>1292</v>
      </c>
      <c r="E21" s="178"/>
      <c r="H21" s="72"/>
      <c r="J21" s="73"/>
      <c r="K21" s="54"/>
      <c r="L21" s="54"/>
      <c r="M21" s="54"/>
      <c r="N21" s="54"/>
      <c r="O21" s="54"/>
    </row>
    <row r="22" spans="1:18" s="53" customFormat="1" ht="15" customHeight="1">
      <c r="A22" s="30">
        <v>5</v>
      </c>
      <c r="B22" s="9" t="s">
        <v>22</v>
      </c>
      <c r="C22" s="162"/>
      <c r="D22" s="118" t="s">
        <v>1293</v>
      </c>
      <c r="E22" s="178"/>
      <c r="F22" s="180"/>
      <c r="G22" s="180"/>
      <c r="H22" s="72"/>
      <c r="I22" s="180"/>
      <c r="J22" s="73"/>
      <c r="K22" s="183"/>
      <c r="L22" s="183"/>
      <c r="M22" s="183"/>
      <c r="N22" s="54"/>
      <c r="O22" s="54"/>
      <c r="P22" s="186"/>
      <c r="Q22" s="186"/>
      <c r="R22" s="186"/>
    </row>
    <row r="23" spans="1:18" s="67" customFormat="1" ht="15" customHeight="1">
      <c r="A23" s="30">
        <v>6</v>
      </c>
      <c r="B23" s="9" t="s">
        <v>60</v>
      </c>
      <c r="C23" s="162"/>
      <c r="D23" s="118" t="s">
        <v>1291</v>
      </c>
      <c r="E23" s="178"/>
      <c r="H23" s="72"/>
      <c r="I23" s="75"/>
      <c r="N23" s="76"/>
      <c r="O23" s="76"/>
      <c r="P23" s="187"/>
      <c r="Q23" s="149"/>
      <c r="R23" s="149"/>
    </row>
    <row r="24" spans="1:18" s="31" customFormat="1" ht="15" customHeight="1">
      <c r="A24" s="30">
        <v>7</v>
      </c>
      <c r="B24" s="9" t="s">
        <v>38</v>
      </c>
      <c r="C24" s="162"/>
      <c r="D24" s="118" t="s">
        <v>1291</v>
      </c>
      <c r="E24" s="178"/>
      <c r="F24" s="55"/>
      <c r="G24" s="55"/>
      <c r="H24" s="72"/>
      <c r="I24" s="77"/>
      <c r="J24" s="55"/>
      <c r="K24" s="55"/>
      <c r="L24" s="55"/>
      <c r="M24" s="55"/>
      <c r="N24" s="100"/>
      <c r="O24" s="100"/>
      <c r="P24" s="188"/>
      <c r="Q24" s="188"/>
      <c r="R24" s="189"/>
    </row>
    <row r="25" spans="1:18" s="31" customFormat="1" ht="15" customHeight="1">
      <c r="A25" s="30">
        <v>8</v>
      </c>
      <c r="B25" s="9" t="s">
        <v>2556</v>
      </c>
      <c r="C25" s="162"/>
      <c r="D25" s="118" t="s">
        <v>1290</v>
      </c>
      <c r="E25" s="178"/>
      <c r="F25" s="55"/>
      <c r="G25" s="55"/>
      <c r="H25" s="72"/>
      <c r="I25" s="77"/>
      <c r="J25" s="55"/>
      <c r="K25" s="55"/>
      <c r="L25" s="55"/>
      <c r="M25" s="55"/>
      <c r="N25" s="100"/>
      <c r="O25" s="100"/>
      <c r="P25" s="188"/>
      <c r="Q25" s="188"/>
      <c r="R25" s="189"/>
    </row>
    <row r="26" spans="1:18" s="31" customFormat="1" ht="15" customHeight="1">
      <c r="A26" s="30">
        <v>9</v>
      </c>
      <c r="B26" s="9" t="s">
        <v>2557</v>
      </c>
      <c r="C26" s="162"/>
      <c r="D26" s="118" t="s">
        <v>1291</v>
      </c>
      <c r="E26" s="178"/>
      <c r="F26" s="181"/>
      <c r="G26" s="181"/>
      <c r="H26" s="72"/>
      <c r="I26" s="182"/>
      <c r="J26" s="55"/>
      <c r="K26" s="183"/>
      <c r="L26" s="183"/>
      <c r="M26" s="181"/>
      <c r="N26" s="100"/>
      <c r="O26" s="100"/>
      <c r="P26" s="188"/>
      <c r="Q26" s="188"/>
      <c r="R26" s="189"/>
    </row>
    <row r="27" spans="1:18" s="31" customFormat="1" ht="15" customHeight="1">
      <c r="A27" s="30">
        <v>10</v>
      </c>
      <c r="B27" s="9" t="s">
        <v>61</v>
      </c>
      <c r="C27" s="162"/>
      <c r="D27" s="118" t="s">
        <v>1291</v>
      </c>
      <c r="E27" s="178"/>
      <c r="F27" s="55"/>
      <c r="G27" s="55"/>
      <c r="H27" s="55"/>
      <c r="I27" s="77"/>
      <c r="J27" s="55"/>
      <c r="K27" s="55"/>
      <c r="L27" s="55"/>
      <c r="M27" s="55"/>
      <c r="N27" s="100"/>
      <c r="O27" s="100"/>
      <c r="P27" s="188"/>
      <c r="Q27" s="188"/>
      <c r="R27" s="189"/>
    </row>
    <row r="28" spans="1:18" s="31" customFormat="1" ht="15" customHeight="1">
      <c r="A28" s="30">
        <v>11</v>
      </c>
      <c r="B28" s="9" t="s">
        <v>2558</v>
      </c>
      <c r="C28" s="162"/>
      <c r="D28" s="118" t="s">
        <v>1290</v>
      </c>
      <c r="E28" s="178"/>
      <c r="F28" s="181"/>
      <c r="G28" s="55"/>
      <c r="H28" s="55"/>
      <c r="I28" s="182"/>
      <c r="J28" s="55"/>
      <c r="K28" s="55"/>
      <c r="L28" s="181"/>
      <c r="M28" s="55"/>
      <c r="N28" s="100"/>
      <c r="O28" s="100"/>
      <c r="P28" s="188"/>
      <c r="Q28" s="188"/>
      <c r="R28" s="189"/>
    </row>
    <row r="29" spans="1:18" s="31" customFormat="1" ht="15" customHeight="1">
      <c r="A29" s="30">
        <v>12</v>
      </c>
      <c r="B29" s="9" t="s">
        <v>1630</v>
      </c>
      <c r="C29" s="162"/>
      <c r="D29" s="118" t="s">
        <v>1291</v>
      </c>
      <c r="E29" s="178"/>
      <c r="F29" s="55"/>
      <c r="G29" s="55"/>
      <c r="H29" s="55"/>
      <c r="I29" s="77"/>
      <c r="J29" s="55"/>
      <c r="K29" s="55"/>
      <c r="L29" s="55"/>
      <c r="M29" s="55"/>
      <c r="N29" s="100"/>
      <c r="O29" s="100"/>
      <c r="P29" s="188"/>
      <c r="Q29" s="188"/>
      <c r="R29" s="189"/>
    </row>
    <row r="30" spans="1:18" s="31" customFormat="1" ht="15" customHeight="1">
      <c r="A30" s="30">
        <v>13</v>
      </c>
      <c r="B30" s="9" t="s">
        <v>2559</v>
      </c>
      <c r="C30" s="162"/>
      <c r="D30" s="118" t="s">
        <v>1290</v>
      </c>
      <c r="E30" s="178"/>
      <c r="F30" s="55"/>
      <c r="G30" s="55"/>
      <c r="H30" s="55"/>
      <c r="I30" s="77"/>
      <c r="J30" s="55"/>
      <c r="K30" s="181"/>
      <c r="L30" s="55"/>
      <c r="M30" s="181"/>
      <c r="N30" s="100"/>
      <c r="O30" s="100"/>
      <c r="P30" s="188"/>
      <c r="Q30" s="188"/>
      <c r="R30" s="189"/>
    </row>
    <row r="31" spans="1:18" s="31" customFormat="1" ht="15" customHeight="1">
      <c r="A31" s="30">
        <v>14</v>
      </c>
      <c r="B31" s="9" t="s">
        <v>2560</v>
      </c>
      <c r="C31" s="162"/>
      <c r="D31" s="118" t="s">
        <v>1290</v>
      </c>
      <c r="E31" s="178"/>
      <c r="F31" s="55"/>
      <c r="G31" s="55"/>
      <c r="H31" s="55"/>
      <c r="I31" s="77"/>
      <c r="J31" s="55"/>
      <c r="K31" s="55"/>
      <c r="L31" s="55"/>
      <c r="M31" s="55"/>
      <c r="N31" s="100"/>
      <c r="O31" s="100"/>
      <c r="P31" s="100"/>
      <c r="Q31" s="100"/>
    </row>
    <row r="32" spans="1:18" s="4" customFormat="1" ht="15" customHeight="1">
      <c r="A32" s="30">
        <v>15</v>
      </c>
      <c r="B32" s="9" t="s">
        <v>62</v>
      </c>
      <c r="C32" s="162"/>
      <c r="D32" s="118" t="s">
        <v>1291</v>
      </c>
      <c r="E32" s="178"/>
      <c r="F32" s="67"/>
      <c r="G32" s="67"/>
      <c r="H32" s="67"/>
      <c r="I32" s="75"/>
      <c r="J32" s="67"/>
      <c r="K32" s="67"/>
      <c r="L32" s="67"/>
      <c r="M32" s="67"/>
      <c r="N32" s="76"/>
      <c r="O32" s="76"/>
      <c r="P32" s="76"/>
      <c r="Q32" s="76"/>
    </row>
    <row r="33" spans="1:20" s="4" customFormat="1" ht="15" customHeight="1">
      <c r="A33" s="30">
        <v>16</v>
      </c>
      <c r="B33" s="9" t="s">
        <v>2561</v>
      </c>
      <c r="C33" s="162"/>
      <c r="D33" s="118" t="s">
        <v>1290</v>
      </c>
      <c r="E33" s="178"/>
      <c r="F33" s="67"/>
      <c r="G33" s="67"/>
      <c r="H33" s="67"/>
      <c r="I33" s="75"/>
      <c r="J33" s="67"/>
      <c r="K33" s="67"/>
      <c r="L33" s="67"/>
      <c r="M33" s="67"/>
      <c r="N33" s="76"/>
      <c r="O33" s="76"/>
      <c r="P33" s="76"/>
      <c r="Q33" s="76"/>
    </row>
    <row r="34" spans="1:20" s="4" customFormat="1" ht="15" customHeight="1">
      <c r="A34" s="30">
        <v>17</v>
      </c>
      <c r="B34" s="9" t="s">
        <v>1287</v>
      </c>
      <c r="C34" s="162"/>
      <c r="D34" s="118" t="s">
        <v>1291</v>
      </c>
      <c r="E34" s="178"/>
      <c r="F34" s="67"/>
      <c r="G34" s="67"/>
      <c r="H34" s="67"/>
      <c r="I34" s="75"/>
      <c r="J34" s="67"/>
      <c r="K34" s="67"/>
      <c r="L34" s="67"/>
      <c r="M34" s="67"/>
      <c r="N34" s="76"/>
      <c r="O34" s="76"/>
      <c r="P34" s="76"/>
      <c r="Q34" s="76"/>
    </row>
    <row r="35" spans="1:20" s="4" customFormat="1" ht="15" customHeight="1">
      <c r="A35" s="30">
        <v>18</v>
      </c>
      <c r="B35" s="9" t="s">
        <v>1288</v>
      </c>
      <c r="C35" s="162"/>
      <c r="D35" s="118" t="s">
        <v>1295</v>
      </c>
      <c r="E35" s="178"/>
      <c r="F35" s="67"/>
      <c r="G35" s="67"/>
      <c r="H35" s="67"/>
      <c r="I35" s="75"/>
      <c r="J35" s="67"/>
      <c r="K35" s="67"/>
      <c r="L35" s="67"/>
      <c r="M35" s="67"/>
      <c r="N35" s="76"/>
      <c r="O35" s="76"/>
      <c r="P35" s="76"/>
      <c r="Q35" s="76"/>
    </row>
    <row r="36" spans="1:20" s="4" customFormat="1" ht="15" customHeight="1">
      <c r="A36" s="30">
        <v>19</v>
      </c>
      <c r="B36" s="9" t="s">
        <v>1294</v>
      </c>
      <c r="C36" s="162"/>
      <c r="D36" s="118" t="s">
        <v>1291</v>
      </c>
      <c r="E36" s="178"/>
      <c r="F36" s="184"/>
      <c r="G36" s="67"/>
      <c r="H36" s="67"/>
      <c r="I36" s="75"/>
      <c r="J36" s="67"/>
      <c r="K36" s="185"/>
      <c r="L36" s="67"/>
      <c r="M36" s="67"/>
      <c r="N36" s="76"/>
      <c r="O36" s="76"/>
      <c r="P36" s="76"/>
      <c r="Q36" s="76"/>
    </row>
    <row r="37" spans="1:20" s="4" customFormat="1" ht="15" customHeight="1">
      <c r="A37" s="30">
        <v>20</v>
      </c>
      <c r="B37" s="9" t="s">
        <v>1289</v>
      </c>
      <c r="C37" s="162"/>
      <c r="D37" s="118"/>
      <c r="E37" s="178"/>
      <c r="F37" s="67"/>
      <c r="G37" s="67"/>
      <c r="H37" s="67"/>
      <c r="I37" s="75"/>
      <c r="J37" s="67"/>
      <c r="K37" s="67"/>
      <c r="L37" s="67"/>
      <c r="M37" s="67"/>
      <c r="N37" s="76"/>
      <c r="O37" s="76"/>
      <c r="P37" s="76"/>
      <c r="Q37" s="76"/>
    </row>
    <row r="38" spans="1:20" s="4" customFormat="1" ht="15" customHeight="1">
      <c r="A38" s="67"/>
      <c r="B38" s="67"/>
      <c r="C38" s="67"/>
      <c r="D38" s="67"/>
      <c r="E38" s="86"/>
      <c r="F38" s="67"/>
      <c r="G38" s="67"/>
      <c r="H38" s="86"/>
      <c r="I38" s="67"/>
      <c r="J38" s="67"/>
      <c r="K38" s="67"/>
      <c r="L38" s="76"/>
      <c r="M38" s="76"/>
      <c r="N38" s="76"/>
      <c r="O38" s="76"/>
      <c r="P38" s="76"/>
      <c r="Q38" s="67"/>
      <c r="R38" s="67"/>
    </row>
    <row r="39" spans="1:20" s="4" customFormat="1" ht="15" customHeight="1">
      <c r="A39" s="74" t="s">
        <v>223</v>
      </c>
      <c r="B39" s="74"/>
      <c r="C39" s="67"/>
      <c r="D39" s="67"/>
      <c r="E39" s="86"/>
      <c r="F39" s="67"/>
      <c r="G39" s="67"/>
      <c r="H39" s="67"/>
      <c r="I39" s="67"/>
      <c r="J39" s="67"/>
      <c r="K39" s="67"/>
      <c r="L39" s="76"/>
      <c r="M39" s="76"/>
      <c r="N39" s="76"/>
      <c r="O39" s="76"/>
      <c r="P39" s="76"/>
      <c r="Q39" s="67"/>
      <c r="R39" s="67"/>
    </row>
    <row r="40" spans="1:20" s="4" customFormat="1" ht="22.9" customHeight="1">
      <c r="A40" s="32" t="s">
        <v>33</v>
      </c>
      <c r="B40" s="97" t="s">
        <v>123</v>
      </c>
      <c r="C40" s="33" t="s">
        <v>99</v>
      </c>
      <c r="D40" s="8" t="s">
        <v>98</v>
      </c>
      <c r="E40" s="67"/>
      <c r="F40" s="67"/>
      <c r="G40" s="67"/>
      <c r="H40" s="67"/>
      <c r="I40" s="67"/>
      <c r="J40" s="76"/>
      <c r="K40" s="76"/>
      <c r="L40" s="76"/>
      <c r="M40" s="76"/>
      <c r="N40" s="76"/>
      <c r="O40" s="67"/>
      <c r="P40" s="67"/>
    </row>
    <row r="41" spans="1:20" s="4" customFormat="1" ht="15" customHeight="1">
      <c r="A41" s="84" t="s">
        <v>101</v>
      </c>
      <c r="B41" s="30" t="s">
        <v>124</v>
      </c>
      <c r="C41" s="190">
        <v>1</v>
      </c>
      <c r="D41" s="9" t="s">
        <v>104</v>
      </c>
      <c r="E41" s="67"/>
      <c r="F41" s="67"/>
      <c r="G41" s="67"/>
      <c r="H41" s="67"/>
      <c r="I41" s="67"/>
      <c r="J41" s="76"/>
      <c r="K41" s="76"/>
      <c r="L41" s="76"/>
      <c r="M41" s="76"/>
      <c r="N41" s="76"/>
      <c r="O41" s="67"/>
      <c r="P41" s="67"/>
    </row>
    <row r="42" spans="1:20" s="4" customFormat="1" ht="15" customHeight="1">
      <c r="A42" s="84" t="s">
        <v>100</v>
      </c>
      <c r="B42" s="30" t="s">
        <v>36</v>
      </c>
      <c r="C42" s="190">
        <v>1</v>
      </c>
      <c r="D42" s="9" t="s">
        <v>105</v>
      </c>
      <c r="E42" s="67"/>
      <c r="F42" s="67"/>
      <c r="G42" s="67"/>
      <c r="H42" s="67"/>
      <c r="I42" s="67"/>
      <c r="J42" s="76"/>
      <c r="K42" s="76"/>
      <c r="L42" s="76"/>
      <c r="M42" s="76"/>
      <c r="N42" s="76"/>
      <c r="O42" s="67"/>
      <c r="P42" s="67"/>
    </row>
    <row r="43" spans="1:20" s="4" customFormat="1" ht="11.25">
      <c r="A43" s="84" t="s">
        <v>102</v>
      </c>
      <c r="B43" s="30" t="s">
        <v>120</v>
      </c>
      <c r="C43" s="190">
        <v>1</v>
      </c>
      <c r="D43" s="9" t="s">
        <v>247</v>
      </c>
      <c r="E43" s="67"/>
      <c r="F43" s="67"/>
      <c r="G43" s="67"/>
      <c r="H43" s="67"/>
      <c r="I43" s="67"/>
      <c r="J43" s="76"/>
      <c r="K43" s="76"/>
      <c r="L43" s="76"/>
      <c r="M43" s="76"/>
      <c r="N43" s="76"/>
      <c r="O43" s="67"/>
      <c r="P43" s="67"/>
    </row>
    <row r="44" spans="1:20" s="4" customFormat="1" ht="15" customHeight="1">
      <c r="A44" s="84" t="s">
        <v>103</v>
      </c>
      <c r="B44" s="30" t="s">
        <v>121</v>
      </c>
      <c r="C44" s="190">
        <v>1</v>
      </c>
      <c r="D44" s="9" t="s">
        <v>106</v>
      </c>
      <c r="E44" s="67"/>
      <c r="F44" s="67"/>
      <c r="G44" s="67"/>
      <c r="H44" s="67"/>
      <c r="I44" s="67"/>
      <c r="J44" s="67"/>
      <c r="K44" s="67"/>
      <c r="L44" s="76"/>
      <c r="M44" s="76"/>
      <c r="N44" s="76"/>
      <c r="O44" s="76"/>
      <c r="P44" s="76"/>
      <c r="Q44" s="67"/>
      <c r="R44" s="67"/>
    </row>
    <row r="45" spans="1:20" s="4" customFormat="1" ht="15" customHeight="1">
      <c r="A45" s="84" t="s">
        <v>1325</v>
      </c>
      <c r="B45" s="30" t="s">
        <v>267</v>
      </c>
      <c r="C45" s="190">
        <v>1</v>
      </c>
      <c r="D45" s="9" t="s">
        <v>1509</v>
      </c>
      <c r="E45" s="86"/>
      <c r="F45" s="67"/>
      <c r="G45" s="67"/>
      <c r="H45" s="67"/>
      <c r="I45" s="67"/>
      <c r="J45" s="67"/>
      <c r="K45" s="67"/>
      <c r="L45" s="67"/>
      <c r="M45" s="67"/>
      <c r="N45" s="76"/>
      <c r="O45" s="76"/>
      <c r="P45" s="76"/>
      <c r="Q45" s="76"/>
      <c r="R45" s="76"/>
      <c r="S45" s="67"/>
      <c r="T45" s="67"/>
    </row>
    <row r="46" spans="1:20" s="4" customFormat="1" ht="15" customHeight="1">
      <c r="A46" s="67"/>
      <c r="B46" s="67"/>
      <c r="C46" s="67"/>
      <c r="D46" s="67"/>
      <c r="E46" s="53"/>
      <c r="F46" s="53"/>
      <c r="G46" s="67"/>
      <c r="H46" s="67"/>
      <c r="I46" s="67"/>
      <c r="J46" s="67"/>
      <c r="K46" s="67"/>
      <c r="L46" s="67"/>
      <c r="M46" s="67"/>
      <c r="N46" s="76"/>
      <c r="O46" s="76"/>
      <c r="P46" s="76"/>
      <c r="Q46" s="76"/>
      <c r="R46" s="76"/>
      <c r="S46" s="67"/>
      <c r="T46" s="67"/>
    </row>
    <row r="47" spans="1:20" s="4" customFormat="1" ht="11.25">
      <c r="A47" s="74" t="s">
        <v>107</v>
      </c>
      <c r="B47" s="67"/>
      <c r="C47" s="67"/>
      <c r="D47" s="76"/>
      <c r="E47" s="53"/>
      <c r="F47" s="86"/>
      <c r="G47" s="67"/>
      <c r="H47" s="67"/>
      <c r="I47" s="67"/>
      <c r="J47" s="67"/>
      <c r="K47" s="67"/>
      <c r="L47" s="67"/>
      <c r="M47" s="76"/>
      <c r="N47" s="76"/>
      <c r="O47" s="76"/>
      <c r="P47" s="76"/>
      <c r="Q47" s="76"/>
      <c r="R47" s="67"/>
      <c r="S47" s="67"/>
    </row>
    <row r="48" spans="1:20" s="4" customFormat="1" ht="22.5">
      <c r="A48" s="32" t="s">
        <v>33</v>
      </c>
      <c r="B48" s="8" t="s">
        <v>108</v>
      </c>
      <c r="C48" s="33" t="s">
        <v>99</v>
      </c>
      <c r="D48" s="55" t="s">
        <v>167</v>
      </c>
      <c r="E48" s="53"/>
      <c r="F48" s="86"/>
      <c r="G48" s="67"/>
      <c r="H48" s="67"/>
      <c r="I48" s="67"/>
      <c r="J48" s="67"/>
      <c r="K48" s="67"/>
      <c r="L48" s="67"/>
      <c r="M48" s="76"/>
      <c r="N48" s="76"/>
      <c r="O48" s="76"/>
      <c r="P48" s="76"/>
      <c r="Q48" s="76"/>
      <c r="R48" s="67"/>
      <c r="S48" s="67"/>
    </row>
    <row r="49" spans="1:19" s="4" customFormat="1" ht="15" customHeight="1">
      <c r="A49" s="171" t="s">
        <v>272</v>
      </c>
      <c r="B49" s="172" t="s">
        <v>271</v>
      </c>
      <c r="C49" s="85">
        <v>1</v>
      </c>
      <c r="D49" s="67"/>
      <c r="E49" s="53"/>
      <c r="F49" s="86"/>
      <c r="G49" s="67"/>
      <c r="H49" s="67"/>
      <c r="I49" s="67"/>
      <c r="J49" s="67"/>
      <c r="K49" s="67"/>
      <c r="L49" s="67"/>
      <c r="M49" s="76"/>
      <c r="N49" s="76"/>
      <c r="O49" s="76"/>
      <c r="P49" s="76"/>
      <c r="Q49" s="76"/>
      <c r="R49" s="67"/>
      <c r="S49" s="67"/>
    </row>
    <row r="50" spans="1:19" s="4" customFormat="1" ht="15" customHeight="1">
      <c r="A50" s="169" t="s">
        <v>19</v>
      </c>
      <c r="B50" s="170" t="s">
        <v>29</v>
      </c>
      <c r="C50" s="85">
        <v>1</v>
      </c>
      <c r="D50" s="67"/>
      <c r="E50" s="53"/>
      <c r="F50" s="67"/>
      <c r="G50" s="67"/>
      <c r="H50" s="67"/>
      <c r="I50" s="67"/>
      <c r="J50" s="67"/>
      <c r="K50" s="76"/>
      <c r="L50" s="76"/>
      <c r="M50" s="76"/>
      <c r="N50" s="76"/>
      <c r="O50" s="76"/>
      <c r="P50" s="67"/>
      <c r="Q50" s="67"/>
    </row>
    <row r="51" spans="1:19" s="53" customFormat="1" ht="11.25">
      <c r="A51" s="171" t="s">
        <v>2</v>
      </c>
      <c r="B51" s="172" t="s">
        <v>1</v>
      </c>
      <c r="C51" s="85">
        <v>1</v>
      </c>
      <c r="D51" s="67"/>
      <c r="H51" s="101"/>
      <c r="I51" s="101"/>
      <c r="J51" s="54"/>
      <c r="K51" s="54"/>
      <c r="L51" s="54"/>
      <c r="M51" s="54"/>
      <c r="N51" s="54"/>
    </row>
    <row r="52" spans="1:19" ht="11.25">
      <c r="A52" s="169" t="s">
        <v>20</v>
      </c>
      <c r="B52" s="170" t="s">
        <v>21</v>
      </c>
      <c r="C52" s="85">
        <v>1</v>
      </c>
      <c r="D52" s="67"/>
      <c r="E52" s="53"/>
      <c r="F52" s="72"/>
      <c r="G52" s="102"/>
      <c r="H52" s="54"/>
      <c r="I52" s="54"/>
      <c r="J52" s="54"/>
      <c r="K52" s="54"/>
      <c r="L52" s="54"/>
      <c r="M52" s="54"/>
      <c r="N52" s="53"/>
      <c r="O52" s="53"/>
      <c r="P52" s="53"/>
    </row>
    <row r="53" spans="1:19" ht="15" customHeight="1">
      <c r="A53" s="171" t="s">
        <v>18</v>
      </c>
      <c r="B53" s="172" t="s">
        <v>12</v>
      </c>
      <c r="C53" s="85">
        <v>1</v>
      </c>
      <c r="D53" s="67"/>
      <c r="E53" s="53"/>
      <c r="F53" s="72"/>
      <c r="G53" s="102"/>
      <c r="H53" s="54"/>
      <c r="I53" s="54"/>
      <c r="J53" s="54"/>
      <c r="K53" s="54"/>
      <c r="L53" s="54"/>
      <c r="M53" s="54"/>
      <c r="N53" s="53"/>
      <c r="O53" s="53"/>
      <c r="P53" s="53"/>
    </row>
    <row r="54" spans="1:19" ht="15" customHeight="1">
      <c r="A54" s="169" t="s">
        <v>109</v>
      </c>
      <c r="B54" s="170" t="s">
        <v>110</v>
      </c>
      <c r="C54" s="85">
        <v>1</v>
      </c>
      <c r="D54" s="67"/>
      <c r="E54" s="53"/>
      <c r="F54" s="72"/>
      <c r="G54" s="102"/>
      <c r="H54" s="54"/>
      <c r="I54" s="54"/>
      <c r="J54" s="54"/>
      <c r="K54" s="54"/>
      <c r="L54" s="54"/>
      <c r="M54" s="54"/>
      <c r="N54" s="53"/>
      <c r="O54" s="53"/>
      <c r="P54" s="53"/>
    </row>
    <row r="55" spans="1:19" ht="15" customHeight="1">
      <c r="A55" s="171" t="s">
        <v>17</v>
      </c>
      <c r="B55" s="172" t="s">
        <v>14</v>
      </c>
      <c r="C55" s="85">
        <v>1</v>
      </c>
      <c r="D55" s="67"/>
      <c r="E55" s="53"/>
      <c r="F55" s="72"/>
      <c r="G55" s="102"/>
      <c r="H55" s="54"/>
      <c r="I55" s="54"/>
      <c r="J55" s="54"/>
      <c r="K55" s="54"/>
      <c r="L55" s="54"/>
      <c r="M55" s="54"/>
      <c r="N55" s="53"/>
      <c r="O55" s="53"/>
      <c r="P55" s="53"/>
    </row>
    <row r="56" spans="1:19" ht="15" customHeight="1">
      <c r="A56" s="169" t="s">
        <v>15</v>
      </c>
      <c r="B56" s="170" t="s">
        <v>13</v>
      </c>
      <c r="C56" s="85">
        <v>1</v>
      </c>
      <c r="D56" s="67"/>
      <c r="E56" s="53"/>
      <c r="F56" s="72"/>
      <c r="G56" s="102"/>
      <c r="H56" s="54"/>
      <c r="I56" s="54"/>
      <c r="J56" s="54"/>
      <c r="K56" s="54"/>
      <c r="L56" s="54"/>
      <c r="M56" s="54"/>
      <c r="N56" s="53"/>
      <c r="O56" s="53"/>
      <c r="P56" s="53"/>
    </row>
    <row r="57" spans="1:19" ht="15" customHeight="1">
      <c r="A57" s="171" t="s">
        <v>25</v>
      </c>
      <c r="B57" s="172" t="s">
        <v>28</v>
      </c>
      <c r="C57" s="85">
        <v>1</v>
      </c>
      <c r="D57" s="67"/>
      <c r="E57" s="53"/>
      <c r="F57" s="72"/>
      <c r="G57" s="102"/>
      <c r="H57" s="54"/>
      <c r="I57" s="54"/>
      <c r="J57" s="54"/>
      <c r="K57" s="54"/>
      <c r="L57" s="54"/>
      <c r="M57" s="54"/>
      <c r="N57" s="53"/>
      <c r="O57" s="53"/>
      <c r="P57" s="53"/>
    </row>
    <row r="58" spans="1:19" ht="15" customHeight="1">
      <c r="A58" s="169" t="s">
        <v>26</v>
      </c>
      <c r="B58" s="170" t="s">
        <v>27</v>
      </c>
      <c r="C58" s="85">
        <v>1</v>
      </c>
      <c r="D58" s="67"/>
      <c r="E58" s="53"/>
      <c r="F58" s="72"/>
      <c r="G58" s="102"/>
      <c r="H58" s="54"/>
      <c r="I58" s="54"/>
      <c r="J58" s="54"/>
      <c r="K58" s="54"/>
      <c r="L58" s="54"/>
      <c r="M58" s="54"/>
      <c r="N58" s="53"/>
      <c r="O58" s="53"/>
      <c r="P58" s="53"/>
    </row>
    <row r="59" spans="1:19" ht="15" customHeight="1">
      <c r="A59" s="171" t="s">
        <v>16</v>
      </c>
      <c r="B59" s="172" t="s">
        <v>0</v>
      </c>
      <c r="C59" s="85">
        <v>1</v>
      </c>
      <c r="D59" s="67"/>
      <c r="E59" s="53"/>
      <c r="F59" s="72"/>
      <c r="G59" s="102"/>
      <c r="H59" s="54"/>
      <c r="I59" s="54"/>
      <c r="J59" s="54"/>
      <c r="K59" s="54"/>
      <c r="L59" s="54"/>
      <c r="M59" s="54"/>
      <c r="N59" s="53"/>
      <c r="O59" s="53"/>
      <c r="P59" s="53"/>
    </row>
    <row r="60" spans="1:19" ht="15" customHeight="1">
      <c r="A60" s="171" t="s">
        <v>269</v>
      </c>
      <c r="B60" s="172" t="s">
        <v>270</v>
      </c>
      <c r="C60" s="85">
        <v>1</v>
      </c>
      <c r="D60" s="67"/>
      <c r="E60" s="53"/>
      <c r="F60" s="72"/>
      <c r="G60" s="53"/>
      <c r="H60" s="102"/>
      <c r="I60" s="102"/>
      <c r="J60" s="54"/>
      <c r="K60" s="54"/>
      <c r="L60" s="54"/>
      <c r="M60" s="54"/>
      <c r="N60" s="54"/>
      <c r="O60" s="53"/>
      <c r="P60" s="53"/>
      <c r="Q60" s="53"/>
    </row>
    <row r="61" spans="1:19" ht="15" customHeight="1">
      <c r="A61" s="87"/>
      <c r="B61" s="76"/>
      <c r="C61" s="76"/>
      <c r="D61" s="76"/>
      <c r="E61" s="53"/>
      <c r="F61" s="53"/>
      <c r="G61" s="53"/>
      <c r="H61" s="102"/>
      <c r="I61" s="102"/>
      <c r="J61" s="54"/>
      <c r="K61" s="54"/>
      <c r="L61" s="54"/>
      <c r="M61" s="54"/>
      <c r="N61" s="54"/>
      <c r="O61" s="53"/>
      <c r="P61" s="53"/>
      <c r="Q61" s="53"/>
    </row>
    <row r="62" spans="1:19" ht="15" customHeight="1">
      <c r="A62" s="102"/>
      <c r="B62" s="53"/>
      <c r="C62" s="53"/>
      <c r="D62" s="71"/>
      <c r="E62" s="53"/>
      <c r="F62" s="53"/>
      <c r="G62" s="53"/>
      <c r="H62" s="102"/>
      <c r="I62" s="102"/>
      <c r="J62" s="54"/>
      <c r="K62" s="54"/>
      <c r="L62" s="54"/>
      <c r="M62" s="54"/>
      <c r="N62" s="54"/>
      <c r="O62" s="53"/>
      <c r="P62" s="53"/>
      <c r="Q62" s="53"/>
    </row>
    <row r="63" spans="1:19" ht="15" customHeight="1">
      <c r="A63" s="102"/>
      <c r="B63" s="53"/>
      <c r="C63" s="176"/>
      <c r="D63" s="71"/>
      <c r="E63" s="53"/>
      <c r="F63" s="53"/>
      <c r="G63" s="53"/>
      <c r="H63" s="102"/>
      <c r="I63" s="102"/>
      <c r="J63" s="54"/>
      <c r="K63" s="54"/>
      <c r="L63" s="54"/>
      <c r="M63" s="54"/>
      <c r="N63" s="54"/>
      <c r="O63" s="53"/>
      <c r="P63" s="53"/>
      <c r="Q63" s="53"/>
    </row>
    <row r="64" spans="1:19" ht="15" customHeight="1">
      <c r="A64" s="102"/>
      <c r="B64" s="53"/>
      <c r="C64" s="53"/>
      <c r="D64" s="71"/>
      <c r="E64" s="53"/>
      <c r="F64" s="53"/>
      <c r="G64" s="72"/>
      <c r="H64" s="53"/>
      <c r="I64" s="53"/>
      <c r="J64" s="102"/>
      <c r="K64" s="54"/>
      <c r="L64" s="54"/>
      <c r="M64" s="54"/>
      <c r="N64" s="54"/>
      <c r="O64" s="54"/>
      <c r="P64" s="53"/>
      <c r="Q64" s="53"/>
      <c r="R64" s="53"/>
    </row>
    <row r="65" spans="1:18" ht="15" customHeight="1">
      <c r="A65" s="102"/>
      <c r="B65" s="53"/>
      <c r="C65" s="53"/>
      <c r="D65" s="71"/>
      <c r="F65" s="53"/>
      <c r="G65" s="72"/>
      <c r="H65" s="53"/>
      <c r="I65" s="53"/>
      <c r="J65" s="102"/>
      <c r="K65" s="54"/>
      <c r="L65" s="54"/>
      <c r="M65" s="54"/>
      <c r="N65" s="54"/>
      <c r="O65" s="54"/>
      <c r="P65" s="53"/>
      <c r="Q65" s="53"/>
      <c r="R65" s="53"/>
    </row>
    <row r="66" spans="1:18" ht="15" customHeight="1">
      <c r="F66" s="53"/>
      <c r="G66" s="72"/>
      <c r="H66" s="53"/>
      <c r="I66" s="53"/>
      <c r="J66" s="102"/>
      <c r="K66" s="54"/>
      <c r="L66" s="54"/>
      <c r="M66" s="54"/>
      <c r="N66" s="54"/>
      <c r="O66" s="54"/>
      <c r="P66" s="53"/>
      <c r="Q66" s="53"/>
      <c r="R66" s="53"/>
    </row>
    <row r="67" spans="1:18" ht="15" customHeight="1">
      <c r="F67" s="53"/>
      <c r="G67" s="72"/>
      <c r="H67" s="53"/>
      <c r="I67" s="53"/>
      <c r="J67" s="102"/>
      <c r="K67" s="54"/>
      <c r="L67" s="54"/>
      <c r="M67" s="54"/>
      <c r="N67" s="54"/>
      <c r="O67" s="54"/>
      <c r="P67" s="53"/>
      <c r="Q67" s="53"/>
      <c r="R67" s="53"/>
    </row>
    <row r="68" spans="1:18" ht="15" customHeight="1">
      <c r="F68" s="53"/>
      <c r="G68" s="72"/>
      <c r="H68" s="53"/>
      <c r="I68" s="53"/>
      <c r="J68" s="102"/>
      <c r="K68" s="54"/>
      <c r="L68" s="54"/>
      <c r="M68" s="54"/>
      <c r="N68" s="54"/>
      <c r="O68" s="54"/>
      <c r="P68" s="53"/>
      <c r="Q68" s="53"/>
      <c r="R68" s="53"/>
    </row>
    <row r="69" spans="1:18" ht="15" customHeight="1">
      <c r="F69" s="53"/>
      <c r="G69" s="72"/>
      <c r="H69" s="53"/>
      <c r="I69" s="53"/>
      <c r="J69" s="102"/>
      <c r="K69" s="54"/>
      <c r="L69" s="54"/>
      <c r="M69" s="54"/>
      <c r="N69" s="54"/>
      <c r="O69" s="54"/>
      <c r="P69" s="53"/>
      <c r="Q69" s="53"/>
      <c r="R69" s="53"/>
    </row>
    <row r="70" spans="1:18" ht="15" customHeight="1">
      <c r="F70" s="53"/>
      <c r="G70" s="72"/>
      <c r="H70" s="53"/>
      <c r="I70" s="53"/>
      <c r="J70" s="102"/>
      <c r="K70" s="54"/>
      <c r="L70" s="54"/>
      <c r="M70" s="54"/>
      <c r="N70" s="54"/>
      <c r="O70" s="54"/>
      <c r="P70" s="53"/>
      <c r="Q70" s="53"/>
      <c r="R70" s="53"/>
    </row>
    <row r="71" spans="1:18" ht="15" customHeight="1">
      <c r="F71" s="53"/>
      <c r="G71" s="72"/>
      <c r="H71" s="53"/>
      <c r="I71" s="53"/>
      <c r="J71" s="102"/>
      <c r="K71" s="54"/>
      <c r="L71" s="54"/>
      <c r="M71" s="54"/>
      <c r="N71" s="54"/>
      <c r="O71" s="54"/>
      <c r="P71" s="53"/>
      <c r="Q71" s="53"/>
      <c r="R71" s="53"/>
    </row>
    <row r="72" spans="1:18" ht="15" customHeight="1">
      <c r="F72" s="53"/>
      <c r="G72" s="72"/>
      <c r="H72" s="53"/>
      <c r="I72" s="53"/>
      <c r="J72" s="102"/>
      <c r="K72" s="54"/>
      <c r="L72" s="54"/>
      <c r="M72" s="54"/>
      <c r="N72" s="54"/>
      <c r="O72" s="54"/>
      <c r="P72" s="53"/>
      <c r="Q72" s="53"/>
      <c r="R72" s="53"/>
    </row>
    <row r="73" spans="1:18" ht="15" customHeight="1">
      <c r="F73" s="53"/>
      <c r="G73" s="72"/>
      <c r="H73" s="53"/>
      <c r="I73" s="53"/>
      <c r="J73" s="102"/>
      <c r="K73" s="54"/>
      <c r="L73" s="54"/>
      <c r="M73" s="54"/>
      <c r="N73" s="54"/>
      <c r="O73" s="54"/>
      <c r="P73" s="53"/>
      <c r="Q73" s="53"/>
      <c r="R73" s="53"/>
    </row>
    <row r="74" spans="1:18" ht="15" customHeight="1">
      <c r="F74" s="53"/>
      <c r="G74" s="72"/>
      <c r="H74" s="53"/>
      <c r="I74" s="53"/>
      <c r="J74" s="102"/>
      <c r="K74" s="54"/>
      <c r="L74" s="54"/>
      <c r="M74" s="54"/>
      <c r="N74" s="54"/>
      <c r="O74" s="54"/>
      <c r="P74" s="53"/>
      <c r="Q74" s="53"/>
      <c r="R74" s="53"/>
    </row>
    <row r="75" spans="1:18" ht="15" customHeight="1">
      <c r="F75" s="53"/>
      <c r="G75" s="72"/>
      <c r="H75" s="53"/>
      <c r="I75" s="53"/>
      <c r="J75" s="102"/>
      <c r="K75" s="54"/>
      <c r="L75" s="54"/>
      <c r="M75" s="54"/>
      <c r="N75" s="54"/>
      <c r="O75" s="54"/>
      <c r="P75" s="53"/>
      <c r="Q75" s="53"/>
      <c r="R75" s="53"/>
    </row>
    <row r="76" spans="1:18" ht="15" customHeight="1">
      <c r="F76" s="53"/>
      <c r="G76" s="72"/>
      <c r="H76" s="53"/>
      <c r="I76" s="53"/>
      <c r="J76" s="102"/>
      <c r="K76" s="54"/>
      <c r="L76" s="54"/>
      <c r="M76" s="54"/>
      <c r="N76" s="54"/>
      <c r="O76" s="54"/>
      <c r="P76" s="53"/>
      <c r="Q76" s="53"/>
      <c r="R76" s="53"/>
    </row>
    <row r="77" spans="1:18" ht="15" customHeight="1">
      <c r="F77" s="53"/>
      <c r="G77" s="72"/>
      <c r="H77" s="53"/>
      <c r="I77" s="53"/>
      <c r="J77" s="102"/>
      <c r="K77" s="54"/>
      <c r="L77" s="54"/>
      <c r="M77" s="54"/>
      <c r="N77" s="54"/>
      <c r="O77" s="54"/>
      <c r="P77" s="53"/>
      <c r="Q77" s="53"/>
      <c r="R77" s="53"/>
    </row>
    <row r="78" spans="1:18" ht="15" customHeight="1">
      <c r="F78" s="53"/>
      <c r="G78" s="72"/>
      <c r="H78" s="53"/>
      <c r="I78" s="53"/>
      <c r="J78" s="102"/>
      <c r="K78" s="54"/>
      <c r="L78" s="54"/>
      <c r="M78" s="54"/>
      <c r="N78" s="54"/>
      <c r="O78" s="54"/>
      <c r="P78" s="53"/>
      <c r="Q78" s="53"/>
      <c r="R78" s="53"/>
    </row>
    <row r="79" spans="1:18" ht="15" customHeight="1">
      <c r="F79" s="53"/>
      <c r="G79" s="72"/>
      <c r="H79" s="53"/>
      <c r="I79" s="53"/>
      <c r="J79" s="102"/>
      <c r="K79" s="54"/>
      <c r="L79" s="54"/>
      <c r="M79" s="54"/>
      <c r="N79" s="54"/>
      <c r="O79" s="54"/>
      <c r="P79" s="53"/>
      <c r="Q79" s="53"/>
      <c r="R79" s="53"/>
    </row>
    <row r="80" spans="1:18" ht="15" customHeight="1">
      <c r="F80" s="53"/>
      <c r="G80" s="72"/>
      <c r="H80" s="53"/>
      <c r="I80" s="53"/>
      <c r="J80" s="102"/>
      <c r="K80" s="54"/>
      <c r="L80" s="54"/>
      <c r="M80" s="54"/>
      <c r="N80" s="54"/>
      <c r="O80" s="54"/>
      <c r="P80" s="53"/>
      <c r="Q80" s="53"/>
      <c r="R80" s="53"/>
    </row>
    <row r="81" spans="6:18" ht="15" customHeight="1">
      <c r="F81" s="53"/>
      <c r="G81" s="72"/>
      <c r="H81" s="53"/>
      <c r="I81" s="53"/>
      <c r="J81" s="102"/>
      <c r="K81" s="54"/>
      <c r="L81" s="54"/>
      <c r="M81" s="54"/>
      <c r="N81" s="54"/>
      <c r="O81" s="54"/>
      <c r="P81" s="53"/>
      <c r="Q81" s="53"/>
      <c r="R81" s="53"/>
    </row>
    <row r="82" spans="6:18" ht="15" customHeight="1">
      <c r="F82" s="53"/>
      <c r="G82" s="72"/>
      <c r="H82" s="53"/>
      <c r="I82" s="53"/>
      <c r="J82" s="102"/>
      <c r="K82" s="54"/>
      <c r="L82" s="54"/>
      <c r="M82" s="54"/>
      <c r="N82" s="54"/>
      <c r="O82" s="54"/>
      <c r="P82" s="53"/>
      <c r="Q82" s="53"/>
      <c r="R82" s="53"/>
    </row>
    <row r="83" spans="6:18" ht="15" customHeight="1">
      <c r="F83" s="53"/>
      <c r="G83" s="72"/>
      <c r="H83" s="53"/>
      <c r="I83" s="53"/>
      <c r="J83" s="102"/>
      <c r="K83" s="54"/>
      <c r="L83" s="54"/>
      <c r="M83" s="54"/>
      <c r="N83" s="54"/>
      <c r="O83" s="54"/>
      <c r="P83" s="53"/>
      <c r="Q83" s="53"/>
      <c r="R83" s="53"/>
    </row>
    <row r="84" spans="6:18" ht="15" customHeight="1">
      <c r="F84" s="53"/>
      <c r="G84" s="72"/>
      <c r="H84" s="53"/>
      <c r="I84" s="53"/>
      <c r="J84" s="102"/>
      <c r="K84" s="54"/>
      <c r="L84" s="54"/>
      <c r="M84" s="54"/>
      <c r="N84" s="54"/>
      <c r="O84" s="54"/>
      <c r="P84" s="53"/>
      <c r="Q84" s="53"/>
      <c r="R84" s="53"/>
    </row>
    <row r="85" spans="6:18" ht="15" customHeight="1">
      <c r="F85" s="53"/>
      <c r="G85" s="72"/>
      <c r="H85" s="53"/>
      <c r="I85" s="53"/>
      <c r="J85" s="102"/>
      <c r="K85" s="54"/>
      <c r="L85" s="54"/>
      <c r="M85" s="54"/>
      <c r="N85" s="54"/>
      <c r="O85" s="54"/>
      <c r="P85" s="53"/>
      <c r="Q85" s="53"/>
      <c r="R85" s="53"/>
    </row>
    <row r="86" spans="6:18" ht="15" customHeight="1">
      <c r="F86" s="53"/>
      <c r="G86" s="72"/>
      <c r="H86" s="53"/>
      <c r="I86" s="53"/>
      <c r="J86" s="102"/>
      <c r="K86" s="54"/>
      <c r="L86" s="54"/>
      <c r="M86" s="54"/>
      <c r="N86" s="54"/>
      <c r="O86" s="54"/>
      <c r="P86" s="53"/>
      <c r="Q86" s="53"/>
      <c r="R86" s="53"/>
    </row>
    <row r="87" spans="6:18" ht="15" customHeight="1">
      <c r="F87" s="53"/>
      <c r="G87" s="72"/>
      <c r="H87" s="53"/>
      <c r="I87" s="53"/>
      <c r="J87" s="102"/>
      <c r="K87" s="54"/>
      <c r="L87" s="54"/>
      <c r="M87" s="54"/>
      <c r="N87" s="54"/>
      <c r="O87" s="54"/>
      <c r="P87" s="53"/>
      <c r="Q87" s="53"/>
      <c r="R87" s="53"/>
    </row>
    <row r="88" spans="6:18" ht="15" customHeight="1">
      <c r="F88" s="53"/>
      <c r="G88" s="72"/>
      <c r="H88" s="53"/>
      <c r="I88" s="53"/>
      <c r="J88" s="102"/>
      <c r="K88" s="54"/>
      <c r="L88" s="54"/>
      <c r="M88" s="54"/>
      <c r="N88" s="54"/>
      <c r="O88" s="54"/>
      <c r="P88" s="53"/>
      <c r="Q88" s="53"/>
      <c r="R88" s="53"/>
    </row>
    <row r="89" spans="6:18" ht="15" customHeight="1">
      <c r="F89" s="53"/>
      <c r="G89" s="72"/>
      <c r="H89" s="53"/>
      <c r="I89" s="53"/>
      <c r="J89" s="102"/>
      <c r="K89" s="54"/>
      <c r="L89" s="54"/>
      <c r="M89" s="54"/>
      <c r="N89" s="54"/>
      <c r="O89" s="54"/>
      <c r="P89" s="53"/>
      <c r="Q89" s="53"/>
      <c r="R89" s="53"/>
    </row>
    <row r="90" spans="6:18" ht="15" customHeight="1">
      <c r="F90" s="53"/>
      <c r="G90" s="72"/>
      <c r="H90" s="53"/>
      <c r="I90" s="53"/>
      <c r="J90" s="102"/>
      <c r="K90" s="54"/>
      <c r="L90" s="54"/>
      <c r="M90" s="54"/>
      <c r="N90" s="54"/>
      <c r="O90" s="54"/>
      <c r="P90" s="53"/>
      <c r="Q90" s="53"/>
      <c r="R90" s="53"/>
    </row>
    <row r="91" spans="6:18" ht="15" customHeight="1">
      <c r="F91" s="53"/>
      <c r="G91" s="72"/>
      <c r="H91" s="53"/>
      <c r="I91" s="53"/>
      <c r="J91" s="102"/>
      <c r="K91" s="54"/>
      <c r="L91" s="54"/>
      <c r="M91" s="54"/>
      <c r="N91" s="54"/>
      <c r="O91" s="54"/>
      <c r="P91" s="53"/>
      <c r="Q91" s="53"/>
      <c r="R91" s="53"/>
    </row>
    <row r="92" spans="6:18" ht="15" customHeight="1">
      <c r="F92" s="53"/>
      <c r="G92" s="72"/>
      <c r="H92" s="53"/>
      <c r="I92" s="53"/>
      <c r="J92" s="102"/>
      <c r="K92" s="54"/>
      <c r="L92" s="54"/>
      <c r="M92" s="54"/>
      <c r="N92" s="54"/>
      <c r="O92" s="54"/>
      <c r="P92" s="53"/>
      <c r="Q92" s="53"/>
      <c r="R92" s="53"/>
    </row>
    <row r="93" spans="6:18" ht="15" customHeight="1">
      <c r="F93" s="53"/>
      <c r="G93" s="72"/>
      <c r="H93" s="53"/>
      <c r="I93" s="53"/>
      <c r="J93" s="102"/>
      <c r="K93" s="54"/>
      <c r="L93" s="54"/>
      <c r="M93" s="54"/>
      <c r="N93" s="54"/>
      <c r="O93" s="54"/>
      <c r="P93" s="53"/>
      <c r="Q93" s="53"/>
      <c r="R93" s="53"/>
    </row>
    <row r="94" spans="6:18" ht="15" customHeight="1">
      <c r="F94" s="53"/>
      <c r="G94" s="72"/>
      <c r="H94" s="53"/>
      <c r="I94" s="53"/>
      <c r="J94" s="102"/>
      <c r="K94" s="54"/>
      <c r="L94" s="54"/>
      <c r="M94" s="54"/>
      <c r="N94" s="54"/>
      <c r="O94" s="54"/>
      <c r="P94" s="53"/>
      <c r="Q94" s="53"/>
      <c r="R94" s="53"/>
    </row>
    <row r="95" spans="6:18" ht="15" customHeight="1">
      <c r="F95" s="53"/>
      <c r="G95" s="72"/>
      <c r="H95" s="53"/>
      <c r="I95" s="53"/>
      <c r="J95" s="102"/>
      <c r="K95" s="54"/>
      <c r="L95" s="54"/>
      <c r="M95" s="54"/>
      <c r="N95" s="54"/>
      <c r="O95" s="54"/>
      <c r="P95" s="53"/>
      <c r="Q95" s="53"/>
      <c r="R95" s="53"/>
    </row>
    <row r="96" spans="6:18" ht="15" customHeight="1">
      <c r="F96" s="53"/>
      <c r="G96" s="72"/>
      <c r="H96" s="53"/>
      <c r="I96" s="53"/>
      <c r="J96" s="102"/>
      <c r="K96" s="54"/>
      <c r="L96" s="54"/>
      <c r="M96" s="54"/>
      <c r="N96" s="54"/>
      <c r="O96" s="54"/>
      <c r="P96" s="53"/>
      <c r="Q96" s="53"/>
      <c r="R96" s="53"/>
    </row>
    <row r="97" spans="6:18" ht="15" customHeight="1">
      <c r="F97" s="53"/>
      <c r="G97" s="72"/>
      <c r="H97" s="53"/>
      <c r="I97" s="53"/>
      <c r="J97" s="102"/>
      <c r="K97" s="54"/>
      <c r="L97" s="54"/>
      <c r="M97" s="54"/>
      <c r="N97" s="54"/>
      <c r="O97" s="54"/>
      <c r="P97" s="53"/>
      <c r="Q97" s="53"/>
      <c r="R97" s="53"/>
    </row>
    <row r="98" spans="6:18" ht="15" customHeight="1">
      <c r="F98" s="53"/>
      <c r="G98" s="72"/>
      <c r="H98" s="53"/>
      <c r="I98" s="53"/>
      <c r="J98" s="102"/>
      <c r="K98" s="54"/>
      <c r="L98" s="54"/>
      <c r="M98" s="54"/>
      <c r="N98" s="54"/>
      <c r="O98" s="54"/>
      <c r="P98" s="53"/>
      <c r="Q98" s="53"/>
      <c r="R98" s="53"/>
    </row>
    <row r="99" spans="6:18" ht="15" customHeight="1">
      <c r="F99" s="53"/>
      <c r="G99" s="72"/>
      <c r="H99" s="53"/>
      <c r="I99" s="53"/>
      <c r="J99" s="102"/>
      <c r="K99" s="54"/>
      <c r="L99" s="54"/>
      <c r="M99" s="54"/>
      <c r="N99" s="54"/>
      <c r="O99" s="54"/>
      <c r="P99" s="53"/>
      <c r="Q99" s="53"/>
      <c r="R99" s="53"/>
    </row>
    <row r="100" spans="6:18" ht="15" customHeight="1">
      <c r="F100" s="53"/>
      <c r="G100" s="72"/>
      <c r="H100" s="53"/>
      <c r="I100" s="53"/>
      <c r="J100" s="102"/>
      <c r="K100" s="54"/>
      <c r="L100" s="54"/>
      <c r="M100" s="54"/>
      <c r="N100" s="54"/>
      <c r="O100" s="54"/>
      <c r="P100" s="53"/>
      <c r="Q100" s="53"/>
      <c r="R100" s="53"/>
    </row>
    <row r="101" spans="6:18" ht="15" customHeight="1">
      <c r="F101" s="53"/>
      <c r="G101" s="72"/>
      <c r="H101" s="53"/>
      <c r="I101" s="53"/>
      <c r="J101" s="102"/>
      <c r="K101" s="54"/>
      <c r="L101" s="54"/>
      <c r="M101" s="54"/>
      <c r="N101" s="54"/>
      <c r="O101" s="54"/>
      <c r="P101" s="53"/>
      <c r="Q101" s="53"/>
      <c r="R101" s="53"/>
    </row>
    <row r="102" spans="6:18" ht="15" customHeight="1">
      <c r="F102" s="53"/>
      <c r="G102" s="72"/>
      <c r="H102" s="53"/>
      <c r="I102" s="53"/>
      <c r="J102" s="102"/>
      <c r="K102" s="54"/>
      <c r="L102" s="54"/>
      <c r="M102" s="54"/>
      <c r="N102" s="54"/>
      <c r="O102" s="54"/>
      <c r="P102" s="53"/>
      <c r="Q102" s="53"/>
      <c r="R102" s="53"/>
    </row>
    <row r="103" spans="6:18" ht="15" customHeight="1">
      <c r="F103" s="53"/>
      <c r="G103" s="72"/>
      <c r="H103" s="53"/>
      <c r="I103" s="53"/>
      <c r="J103" s="102"/>
      <c r="K103" s="54"/>
      <c r="L103" s="54"/>
      <c r="M103" s="54"/>
      <c r="N103" s="54"/>
      <c r="O103" s="54"/>
      <c r="P103" s="53"/>
      <c r="Q103" s="53"/>
      <c r="R103" s="53"/>
    </row>
    <row r="104" spans="6:18" ht="15" customHeight="1">
      <c r="F104" s="53"/>
      <c r="G104" s="72"/>
      <c r="H104" s="53"/>
      <c r="I104" s="53"/>
      <c r="J104" s="102"/>
      <c r="K104" s="54"/>
      <c r="L104" s="54"/>
      <c r="M104" s="54"/>
      <c r="N104" s="54"/>
      <c r="O104" s="54"/>
      <c r="P104" s="53"/>
      <c r="Q104" s="53"/>
      <c r="R104" s="53"/>
    </row>
    <row r="105" spans="6:18" ht="15" customHeight="1">
      <c r="F105" s="53"/>
      <c r="G105" s="72"/>
      <c r="H105" s="53"/>
      <c r="I105" s="53"/>
      <c r="J105" s="102"/>
      <c r="K105" s="54"/>
      <c r="L105" s="54"/>
      <c r="M105" s="54"/>
      <c r="N105" s="54"/>
      <c r="O105" s="54"/>
      <c r="P105" s="53"/>
      <c r="Q105" s="53"/>
      <c r="R105" s="53"/>
    </row>
    <row r="106" spans="6:18" ht="15" customHeight="1">
      <c r="F106" s="53"/>
      <c r="G106" s="72"/>
      <c r="H106" s="53"/>
      <c r="I106" s="53"/>
      <c r="J106" s="102"/>
      <c r="K106" s="54"/>
      <c r="L106" s="54"/>
      <c r="M106" s="54"/>
      <c r="N106" s="54"/>
      <c r="O106" s="54"/>
      <c r="P106" s="53"/>
      <c r="Q106" s="53"/>
      <c r="R106" s="53"/>
    </row>
    <row r="107" spans="6:18" ht="15" customHeight="1">
      <c r="F107" s="53"/>
      <c r="G107" s="72"/>
      <c r="H107" s="53"/>
      <c r="I107" s="53"/>
      <c r="J107" s="102"/>
      <c r="K107" s="54"/>
      <c r="L107" s="54"/>
      <c r="M107" s="54"/>
      <c r="N107" s="54"/>
      <c r="O107" s="54"/>
      <c r="P107" s="53"/>
      <c r="Q107" s="53"/>
      <c r="R107" s="53"/>
    </row>
    <row r="108" spans="6:18" ht="15" customHeight="1">
      <c r="F108" s="53"/>
      <c r="G108" s="72"/>
      <c r="H108" s="53"/>
      <c r="I108" s="53"/>
      <c r="J108" s="102"/>
      <c r="K108" s="54"/>
      <c r="L108" s="54"/>
      <c r="M108" s="54"/>
      <c r="N108" s="54"/>
      <c r="O108" s="54"/>
      <c r="P108" s="53"/>
      <c r="Q108" s="53"/>
      <c r="R108" s="53"/>
    </row>
    <row r="109" spans="6:18" ht="15" customHeight="1">
      <c r="F109" s="53"/>
      <c r="G109" s="72"/>
      <c r="H109" s="53"/>
      <c r="I109" s="53"/>
      <c r="J109" s="102"/>
      <c r="K109" s="54"/>
      <c r="L109" s="54"/>
      <c r="M109" s="54"/>
      <c r="N109" s="54"/>
      <c r="O109" s="54"/>
      <c r="P109" s="53"/>
      <c r="Q109" s="53"/>
      <c r="R109" s="53"/>
    </row>
    <row r="110" spans="6:18" ht="15" customHeight="1">
      <c r="F110" s="53"/>
      <c r="G110" s="72"/>
      <c r="H110" s="53"/>
      <c r="I110" s="53"/>
      <c r="J110" s="102"/>
      <c r="K110" s="54"/>
      <c r="L110" s="54"/>
      <c r="M110" s="54"/>
      <c r="N110" s="54"/>
      <c r="O110" s="54"/>
      <c r="P110" s="53"/>
      <c r="Q110" s="53"/>
      <c r="R110" s="53"/>
    </row>
    <row r="111" spans="6:18" ht="15" customHeight="1">
      <c r="F111" s="53"/>
      <c r="G111" s="72"/>
      <c r="H111" s="53"/>
      <c r="I111" s="53"/>
      <c r="J111" s="102"/>
      <c r="K111" s="54"/>
      <c r="L111" s="54"/>
      <c r="M111" s="54"/>
      <c r="N111" s="54"/>
      <c r="O111" s="54"/>
      <c r="P111" s="53"/>
      <c r="Q111" s="53"/>
      <c r="R111" s="53"/>
    </row>
    <row r="112" spans="6:18" ht="15" customHeight="1">
      <c r="F112" s="53"/>
      <c r="G112" s="72"/>
      <c r="H112" s="53"/>
      <c r="I112" s="53"/>
      <c r="J112" s="102"/>
      <c r="K112" s="54"/>
      <c r="L112" s="54"/>
      <c r="M112" s="54"/>
      <c r="N112" s="54"/>
      <c r="O112" s="54"/>
      <c r="P112" s="53"/>
      <c r="Q112" s="53"/>
      <c r="R112" s="53"/>
    </row>
    <row r="113" spans="6:18" ht="15" customHeight="1">
      <c r="F113" s="53"/>
      <c r="G113" s="72"/>
      <c r="H113" s="53"/>
      <c r="I113" s="53"/>
      <c r="J113" s="102"/>
      <c r="K113" s="54"/>
      <c r="L113" s="54"/>
      <c r="M113" s="54"/>
      <c r="N113" s="54"/>
      <c r="O113" s="54"/>
      <c r="P113" s="53"/>
      <c r="Q113" s="53"/>
      <c r="R113" s="53"/>
    </row>
    <row r="114" spans="6:18" ht="15" customHeight="1">
      <c r="F114" s="53"/>
      <c r="G114" s="72"/>
      <c r="H114" s="53"/>
      <c r="I114" s="53"/>
      <c r="J114" s="102"/>
      <c r="K114" s="54"/>
      <c r="L114" s="54"/>
      <c r="M114" s="54"/>
      <c r="N114" s="54"/>
      <c r="O114" s="54"/>
      <c r="P114" s="53"/>
      <c r="Q114" s="53"/>
      <c r="R114" s="53"/>
    </row>
    <row r="115" spans="6:18" ht="15" customHeight="1">
      <c r="F115" s="53"/>
      <c r="G115" s="72"/>
      <c r="H115" s="53"/>
      <c r="I115" s="53"/>
      <c r="J115" s="102"/>
      <c r="K115" s="54"/>
      <c r="L115" s="54"/>
      <c r="M115" s="54"/>
      <c r="N115" s="54"/>
      <c r="O115" s="54"/>
      <c r="P115" s="53"/>
      <c r="Q115" s="53"/>
      <c r="R115" s="53"/>
    </row>
    <row r="116" spans="6:18" ht="15" customHeight="1">
      <c r="F116" s="53"/>
      <c r="G116" s="72"/>
      <c r="H116" s="53"/>
      <c r="I116" s="53"/>
      <c r="J116" s="102"/>
      <c r="K116" s="54"/>
      <c r="L116" s="54"/>
      <c r="M116" s="54"/>
      <c r="N116" s="54"/>
      <c r="O116" s="54"/>
      <c r="P116" s="53"/>
      <c r="Q116" s="53"/>
      <c r="R116" s="53"/>
    </row>
    <row r="117" spans="6:18" ht="15" customHeight="1">
      <c r="F117" s="53"/>
      <c r="G117" s="72"/>
      <c r="H117" s="53"/>
      <c r="I117" s="53"/>
      <c r="J117" s="102"/>
      <c r="K117" s="54"/>
      <c r="L117" s="54"/>
      <c r="M117" s="54"/>
      <c r="N117" s="54"/>
      <c r="O117" s="54"/>
      <c r="P117" s="53"/>
      <c r="Q117" s="53"/>
      <c r="R117" s="53"/>
    </row>
    <row r="118" spans="6:18" ht="15" customHeight="1">
      <c r="F118" s="53"/>
      <c r="G118" s="72"/>
      <c r="H118" s="53"/>
      <c r="I118" s="53"/>
      <c r="J118" s="102"/>
      <c r="K118" s="54"/>
      <c r="L118" s="54"/>
      <c r="M118" s="54"/>
      <c r="N118" s="54"/>
      <c r="O118" s="54"/>
      <c r="P118" s="53"/>
      <c r="Q118" s="53"/>
      <c r="R118" s="53"/>
    </row>
    <row r="119" spans="6:18" ht="15" customHeight="1">
      <c r="F119" s="53"/>
      <c r="G119" s="72"/>
      <c r="H119" s="53"/>
      <c r="I119" s="53"/>
      <c r="J119" s="102"/>
      <c r="K119" s="54"/>
      <c r="L119" s="54"/>
      <c r="M119" s="54"/>
      <c r="N119" s="54"/>
      <c r="O119" s="54"/>
      <c r="P119" s="53"/>
      <c r="Q119" s="53"/>
      <c r="R119" s="53"/>
    </row>
    <row r="120" spans="6:18" ht="15" customHeight="1">
      <c r="F120" s="53"/>
      <c r="G120" s="72"/>
      <c r="H120" s="53"/>
      <c r="I120" s="53"/>
      <c r="J120" s="102"/>
      <c r="K120" s="54"/>
      <c r="L120" s="54"/>
      <c r="M120" s="54"/>
      <c r="N120" s="54"/>
      <c r="O120" s="54"/>
      <c r="P120" s="53"/>
      <c r="Q120" s="53"/>
      <c r="R120" s="53"/>
    </row>
    <row r="121" spans="6:18" ht="15" customHeight="1">
      <c r="F121" s="53"/>
      <c r="G121" s="72"/>
      <c r="H121" s="53"/>
      <c r="I121" s="53"/>
      <c r="J121" s="102"/>
      <c r="K121" s="54"/>
      <c r="L121" s="54"/>
      <c r="M121" s="54"/>
      <c r="N121" s="54"/>
      <c r="O121" s="54"/>
      <c r="P121" s="53"/>
      <c r="Q121" s="53"/>
      <c r="R121" s="53"/>
    </row>
    <row r="122" spans="6:18" ht="15" customHeight="1">
      <c r="F122" s="53"/>
      <c r="G122" s="72"/>
      <c r="H122" s="53"/>
      <c r="I122" s="53"/>
      <c r="J122" s="102"/>
      <c r="K122" s="54"/>
      <c r="L122" s="54"/>
      <c r="M122" s="54"/>
      <c r="N122" s="54"/>
      <c r="O122" s="54"/>
      <c r="P122" s="53"/>
      <c r="Q122" s="53"/>
      <c r="R122" s="53"/>
    </row>
    <row r="123" spans="6:18" ht="15" customHeight="1">
      <c r="F123" s="53"/>
      <c r="G123" s="72"/>
      <c r="H123" s="53"/>
      <c r="I123" s="53"/>
      <c r="J123" s="102"/>
      <c r="K123" s="54"/>
      <c r="L123" s="54"/>
      <c r="M123" s="54"/>
      <c r="N123" s="54"/>
      <c r="O123" s="54"/>
      <c r="P123" s="53"/>
      <c r="Q123" s="53"/>
      <c r="R123" s="53"/>
    </row>
    <row r="124" spans="6:18" ht="15" customHeight="1">
      <c r="F124" s="53"/>
      <c r="G124" s="72"/>
      <c r="H124" s="53"/>
      <c r="I124" s="53"/>
      <c r="J124" s="102"/>
      <c r="K124" s="54"/>
      <c r="L124" s="54"/>
      <c r="M124" s="54"/>
      <c r="N124" s="54"/>
      <c r="O124" s="54"/>
      <c r="P124" s="53"/>
      <c r="Q124" s="53"/>
      <c r="R124" s="53"/>
    </row>
    <row r="125" spans="6:18" ht="15" customHeight="1">
      <c r="F125" s="53"/>
      <c r="G125" s="72"/>
      <c r="H125" s="53"/>
      <c r="I125" s="53"/>
      <c r="J125" s="102"/>
      <c r="K125" s="54"/>
      <c r="L125" s="54"/>
      <c r="M125" s="54"/>
      <c r="N125" s="54"/>
      <c r="O125" s="54"/>
      <c r="P125" s="53"/>
      <c r="Q125" s="53"/>
      <c r="R125" s="53"/>
    </row>
    <row r="126" spans="6:18" ht="15" customHeight="1">
      <c r="F126" s="53"/>
      <c r="G126" s="72"/>
      <c r="H126" s="53"/>
      <c r="I126" s="53"/>
      <c r="J126" s="102"/>
      <c r="K126" s="54"/>
      <c r="L126" s="54"/>
      <c r="M126" s="54"/>
      <c r="N126" s="54"/>
      <c r="O126" s="54"/>
      <c r="P126" s="53"/>
      <c r="Q126" s="53"/>
      <c r="R126" s="53"/>
    </row>
    <row r="127" spans="6:18" ht="15" customHeight="1">
      <c r="F127" s="53"/>
      <c r="G127" s="72"/>
      <c r="H127" s="53"/>
      <c r="I127" s="53"/>
      <c r="J127" s="102"/>
      <c r="K127" s="54"/>
      <c r="L127" s="54"/>
      <c r="M127" s="54"/>
      <c r="N127" s="54"/>
      <c r="O127" s="54"/>
      <c r="P127" s="53"/>
      <c r="Q127" s="53"/>
      <c r="R127" s="53"/>
    </row>
    <row r="128" spans="6:18" ht="15" customHeight="1">
      <c r="F128" s="53"/>
      <c r="G128" s="72"/>
      <c r="H128" s="53"/>
      <c r="I128" s="53"/>
      <c r="J128" s="102"/>
      <c r="K128" s="54"/>
      <c r="L128" s="54"/>
      <c r="M128" s="54"/>
      <c r="N128" s="54"/>
      <c r="O128" s="54"/>
      <c r="P128" s="53"/>
      <c r="Q128" s="53"/>
      <c r="R128" s="53"/>
    </row>
    <row r="129" spans="6:18" ht="15" customHeight="1">
      <c r="F129" s="53"/>
      <c r="G129" s="72"/>
      <c r="H129" s="53"/>
      <c r="I129" s="53"/>
      <c r="J129" s="102"/>
      <c r="K129" s="54"/>
      <c r="L129" s="54"/>
      <c r="M129" s="54"/>
      <c r="N129" s="54"/>
      <c r="O129" s="54"/>
      <c r="P129" s="53"/>
      <c r="Q129" s="53"/>
      <c r="R129" s="53"/>
    </row>
    <row r="130" spans="6:18" ht="15" customHeight="1">
      <c r="F130" s="53"/>
      <c r="G130" s="72"/>
      <c r="H130" s="53"/>
      <c r="I130" s="53"/>
      <c r="J130" s="102"/>
      <c r="K130" s="54"/>
      <c r="L130" s="54"/>
      <c r="M130" s="54"/>
      <c r="N130" s="54"/>
      <c r="O130" s="54"/>
      <c r="P130" s="53"/>
      <c r="Q130" s="53"/>
      <c r="R130" s="53"/>
    </row>
    <row r="131" spans="6:18" ht="15" customHeight="1">
      <c r="F131" s="53"/>
      <c r="G131" s="72"/>
      <c r="H131" s="53"/>
      <c r="I131" s="53"/>
      <c r="J131" s="102"/>
      <c r="K131" s="54"/>
      <c r="L131" s="54"/>
      <c r="M131" s="54"/>
      <c r="N131" s="54"/>
      <c r="O131" s="54"/>
      <c r="P131" s="53"/>
      <c r="Q131" s="53"/>
      <c r="R131" s="53"/>
    </row>
    <row r="132" spans="6:18" ht="15" customHeight="1">
      <c r="F132" s="53"/>
      <c r="G132" s="72"/>
      <c r="H132" s="53"/>
      <c r="I132" s="53"/>
      <c r="J132" s="102"/>
      <c r="K132" s="54"/>
      <c r="L132" s="54"/>
      <c r="M132" s="54"/>
      <c r="N132" s="54"/>
      <c r="O132" s="54"/>
      <c r="P132" s="53"/>
      <c r="Q132" s="53"/>
      <c r="R132" s="53"/>
    </row>
    <row r="133" spans="6:18" ht="15" customHeight="1">
      <c r="F133" s="53"/>
      <c r="G133" s="72"/>
      <c r="H133" s="53"/>
      <c r="I133" s="53"/>
      <c r="J133" s="102"/>
      <c r="K133" s="54"/>
      <c r="L133" s="54"/>
      <c r="M133" s="54"/>
      <c r="N133" s="54"/>
      <c r="O133" s="54"/>
      <c r="P133" s="53"/>
      <c r="Q133" s="53"/>
      <c r="R133" s="53"/>
    </row>
    <row r="134" spans="6:18" ht="15" customHeight="1">
      <c r="F134" s="53"/>
      <c r="G134" s="72"/>
      <c r="H134" s="53"/>
      <c r="I134" s="53"/>
      <c r="J134" s="102"/>
      <c r="K134" s="54"/>
      <c r="L134" s="54"/>
      <c r="M134" s="54"/>
      <c r="N134" s="54"/>
      <c r="O134" s="54"/>
      <c r="P134" s="53"/>
      <c r="Q134" s="53"/>
      <c r="R134" s="53"/>
    </row>
    <row r="135" spans="6:18" ht="15" customHeight="1">
      <c r="F135" s="53"/>
      <c r="G135" s="72"/>
      <c r="H135" s="53"/>
      <c r="I135" s="53"/>
      <c r="J135" s="102"/>
      <c r="K135" s="54"/>
      <c r="L135" s="54"/>
      <c r="M135" s="54"/>
      <c r="N135" s="54"/>
      <c r="O135" s="54"/>
      <c r="P135" s="53"/>
      <c r="Q135" s="53"/>
      <c r="R135" s="53"/>
    </row>
    <row r="136" spans="6:18" ht="15" customHeight="1">
      <c r="F136" s="53"/>
      <c r="G136" s="72"/>
      <c r="H136" s="53"/>
      <c r="I136" s="53"/>
      <c r="J136" s="102"/>
      <c r="K136" s="54"/>
      <c r="L136" s="54"/>
      <c r="M136" s="54"/>
      <c r="N136" s="54"/>
      <c r="O136" s="54"/>
      <c r="P136" s="53"/>
      <c r="Q136" s="53"/>
      <c r="R136" s="53"/>
    </row>
    <row r="137" spans="6:18" ht="15" customHeight="1">
      <c r="F137" s="53"/>
      <c r="G137" s="72"/>
      <c r="H137" s="53"/>
      <c r="I137" s="53"/>
      <c r="J137" s="102"/>
      <c r="K137" s="54"/>
      <c r="L137" s="54"/>
      <c r="M137" s="54"/>
      <c r="N137" s="54"/>
      <c r="O137" s="54"/>
      <c r="P137" s="53"/>
      <c r="Q137" s="53"/>
      <c r="R137" s="53"/>
    </row>
    <row r="138" spans="6:18" ht="15" customHeight="1">
      <c r="F138" s="53"/>
      <c r="G138" s="72"/>
      <c r="H138" s="53"/>
      <c r="I138" s="53"/>
      <c r="J138" s="102"/>
      <c r="K138" s="54"/>
      <c r="L138" s="54"/>
      <c r="M138" s="54"/>
      <c r="N138" s="54"/>
      <c r="O138" s="54"/>
      <c r="P138" s="53"/>
      <c r="Q138" s="53"/>
      <c r="R138" s="53"/>
    </row>
    <row r="139" spans="6:18" ht="15" customHeight="1">
      <c r="F139" s="53"/>
      <c r="G139" s="72"/>
      <c r="H139" s="53"/>
      <c r="I139" s="53"/>
      <c r="J139" s="102"/>
      <c r="K139" s="54"/>
      <c r="L139" s="54"/>
      <c r="M139" s="54"/>
      <c r="N139" s="54"/>
      <c r="O139" s="54"/>
      <c r="P139" s="53"/>
      <c r="Q139" s="53"/>
      <c r="R139" s="53"/>
    </row>
    <row r="140" spans="6:18" ht="15" customHeight="1">
      <c r="F140" s="53"/>
      <c r="G140" s="72"/>
      <c r="H140" s="53"/>
      <c r="I140" s="53"/>
      <c r="J140" s="102"/>
      <c r="K140" s="54"/>
      <c r="L140" s="54"/>
      <c r="M140" s="54"/>
      <c r="N140" s="54"/>
      <c r="O140" s="54"/>
      <c r="P140" s="53"/>
      <c r="Q140" s="53"/>
      <c r="R140" s="53"/>
    </row>
    <row r="141" spans="6:18" ht="15" customHeight="1">
      <c r="F141" s="53"/>
      <c r="G141" s="72"/>
      <c r="H141" s="53"/>
      <c r="I141" s="53"/>
      <c r="J141" s="102"/>
      <c r="K141" s="54"/>
      <c r="L141" s="54"/>
      <c r="M141" s="54"/>
      <c r="N141" s="54"/>
      <c r="O141" s="54"/>
      <c r="P141" s="53"/>
      <c r="Q141" s="53"/>
      <c r="R141" s="53"/>
    </row>
    <row r="142" spans="6:18" ht="15" customHeight="1">
      <c r="F142" s="53"/>
      <c r="G142" s="72"/>
      <c r="H142" s="53"/>
      <c r="I142" s="53"/>
      <c r="J142" s="102"/>
      <c r="K142" s="54"/>
      <c r="L142" s="54"/>
      <c r="M142" s="54"/>
      <c r="N142" s="54"/>
      <c r="O142" s="54"/>
      <c r="P142" s="53"/>
      <c r="Q142" s="53"/>
      <c r="R142" s="53"/>
    </row>
    <row r="143" spans="6:18" ht="15" customHeight="1">
      <c r="F143" s="53"/>
      <c r="G143" s="72"/>
      <c r="H143" s="53"/>
      <c r="I143" s="53"/>
      <c r="J143" s="102"/>
      <c r="K143" s="54"/>
      <c r="L143" s="54"/>
      <c r="M143" s="54"/>
      <c r="N143" s="54"/>
      <c r="O143" s="54"/>
      <c r="P143" s="53"/>
      <c r="Q143" s="53"/>
      <c r="R143" s="53"/>
    </row>
    <row r="144" spans="6:18" ht="15" customHeight="1">
      <c r="F144" s="53"/>
      <c r="G144" s="72"/>
      <c r="H144" s="53"/>
      <c r="I144" s="53"/>
      <c r="J144" s="102"/>
      <c r="K144" s="54"/>
      <c r="L144" s="54"/>
      <c r="M144" s="54"/>
      <c r="N144" s="54"/>
      <c r="O144" s="54"/>
      <c r="P144" s="53"/>
      <c r="Q144" s="53"/>
      <c r="R144" s="53"/>
    </row>
    <row r="145" spans="6:18" ht="15" customHeight="1">
      <c r="F145" s="53"/>
      <c r="G145" s="72"/>
      <c r="H145" s="53"/>
      <c r="I145" s="53"/>
      <c r="J145" s="102"/>
      <c r="K145" s="54"/>
      <c r="L145" s="54"/>
      <c r="M145" s="54"/>
      <c r="N145" s="54"/>
      <c r="O145" s="54"/>
      <c r="P145" s="53"/>
      <c r="Q145" s="53"/>
      <c r="R145" s="53"/>
    </row>
    <row r="146" spans="6:18" ht="15" customHeight="1">
      <c r="F146" s="53"/>
      <c r="G146" s="72"/>
      <c r="H146" s="53"/>
      <c r="I146" s="53"/>
      <c r="J146" s="102"/>
      <c r="K146" s="54"/>
      <c r="L146" s="54"/>
      <c r="M146" s="54"/>
      <c r="N146" s="54"/>
      <c r="O146" s="54"/>
      <c r="P146" s="53"/>
      <c r="Q146" s="53"/>
      <c r="R146" s="53"/>
    </row>
    <row r="147" spans="6:18" ht="15" customHeight="1">
      <c r="F147" s="53"/>
      <c r="G147" s="72"/>
      <c r="H147" s="53"/>
      <c r="I147" s="53"/>
      <c r="J147" s="102"/>
      <c r="K147" s="54"/>
      <c r="L147" s="54"/>
      <c r="M147" s="54"/>
      <c r="N147" s="54"/>
      <c r="O147" s="54"/>
      <c r="P147" s="53"/>
      <c r="Q147" s="53"/>
      <c r="R147" s="53"/>
    </row>
    <row r="148" spans="6:18" ht="15" customHeight="1">
      <c r="F148" s="53"/>
      <c r="G148" s="72"/>
      <c r="H148" s="53"/>
      <c r="I148" s="53"/>
      <c r="J148" s="102"/>
      <c r="K148" s="54"/>
      <c r="L148" s="54"/>
      <c r="M148" s="54"/>
      <c r="N148" s="54"/>
      <c r="O148" s="54"/>
      <c r="P148" s="53"/>
      <c r="Q148" s="53"/>
      <c r="R148" s="53"/>
    </row>
    <row r="149" spans="6:18" ht="15" customHeight="1">
      <c r="F149" s="53"/>
      <c r="G149" s="72"/>
      <c r="H149" s="53"/>
      <c r="I149" s="53"/>
      <c r="J149" s="102"/>
      <c r="K149" s="54"/>
      <c r="L149" s="54"/>
      <c r="M149" s="54"/>
      <c r="N149" s="54"/>
      <c r="O149" s="54"/>
      <c r="P149" s="53"/>
      <c r="Q149" s="53"/>
      <c r="R149" s="53"/>
    </row>
    <row r="150" spans="6:18" ht="15" customHeight="1">
      <c r="F150" s="53"/>
      <c r="G150" s="72"/>
      <c r="H150" s="53"/>
      <c r="I150" s="53"/>
      <c r="J150" s="102"/>
      <c r="K150" s="54"/>
      <c r="L150" s="54"/>
      <c r="M150" s="54"/>
      <c r="N150" s="54"/>
      <c r="O150" s="54"/>
      <c r="P150" s="53"/>
      <c r="Q150" s="53"/>
      <c r="R150" s="53"/>
    </row>
    <row r="151" spans="6:18" ht="15" customHeight="1">
      <c r="F151" s="53"/>
      <c r="G151" s="72"/>
      <c r="H151" s="53"/>
      <c r="I151" s="53"/>
      <c r="J151" s="102"/>
      <c r="K151" s="54"/>
      <c r="L151" s="54"/>
      <c r="M151" s="54"/>
      <c r="N151" s="54"/>
      <c r="O151" s="54"/>
      <c r="P151" s="53"/>
      <c r="Q151" s="53"/>
      <c r="R151" s="53"/>
    </row>
    <row r="152" spans="6:18" ht="15" customHeight="1">
      <c r="F152" s="53"/>
      <c r="G152" s="72"/>
      <c r="H152" s="53"/>
      <c r="I152" s="53"/>
      <c r="J152" s="102"/>
      <c r="K152" s="54"/>
      <c r="L152" s="54"/>
      <c r="M152" s="54"/>
      <c r="N152" s="54"/>
      <c r="O152" s="54"/>
      <c r="P152" s="53"/>
      <c r="Q152" s="53"/>
      <c r="R152" s="53"/>
    </row>
    <row r="153" spans="6:18" ht="15" customHeight="1">
      <c r="F153" s="53"/>
      <c r="G153" s="72"/>
      <c r="H153" s="53"/>
      <c r="I153" s="53"/>
      <c r="J153" s="102"/>
      <c r="K153" s="54"/>
      <c r="L153" s="54"/>
      <c r="M153" s="54"/>
      <c r="N153" s="54"/>
      <c r="O153" s="54"/>
      <c r="P153" s="53"/>
      <c r="Q153" s="53"/>
      <c r="R153" s="53"/>
    </row>
    <row r="154" spans="6:18" ht="15" customHeight="1">
      <c r="F154" s="53"/>
      <c r="G154" s="72"/>
      <c r="H154" s="53"/>
      <c r="I154" s="53"/>
      <c r="J154" s="102"/>
      <c r="K154" s="54"/>
      <c r="L154" s="54"/>
      <c r="M154" s="54"/>
      <c r="N154" s="54"/>
      <c r="O154" s="54"/>
      <c r="P154" s="53"/>
      <c r="Q154" s="53"/>
      <c r="R154" s="53"/>
    </row>
    <row r="155" spans="6:18" ht="15" customHeight="1">
      <c r="F155" s="53"/>
      <c r="G155" s="72"/>
      <c r="H155" s="53"/>
      <c r="I155" s="53"/>
      <c r="J155" s="102"/>
      <c r="K155" s="54"/>
      <c r="L155" s="54"/>
      <c r="M155" s="54"/>
      <c r="N155" s="54"/>
      <c r="O155" s="54"/>
      <c r="P155" s="53"/>
      <c r="Q155" s="53"/>
      <c r="R155" s="53"/>
    </row>
    <row r="156" spans="6:18" ht="15" customHeight="1">
      <c r="F156" s="53"/>
      <c r="G156" s="72"/>
      <c r="H156" s="53"/>
      <c r="I156" s="53"/>
      <c r="J156" s="102"/>
      <c r="K156" s="54"/>
      <c r="L156" s="54"/>
      <c r="M156" s="54"/>
      <c r="N156" s="54"/>
      <c r="O156" s="54"/>
      <c r="P156" s="53"/>
      <c r="Q156" s="53"/>
      <c r="R156" s="53"/>
    </row>
    <row r="157" spans="6:18" ht="15" customHeight="1">
      <c r="F157" s="53"/>
      <c r="G157" s="72"/>
      <c r="H157" s="53"/>
      <c r="I157" s="53"/>
      <c r="J157" s="102"/>
      <c r="K157" s="54"/>
      <c r="L157" s="54"/>
      <c r="M157" s="54"/>
      <c r="N157" s="54"/>
      <c r="O157" s="54"/>
      <c r="P157" s="53"/>
      <c r="Q157" s="53"/>
      <c r="R157" s="53"/>
    </row>
    <row r="158" spans="6:18" ht="15" customHeight="1">
      <c r="F158" s="53"/>
      <c r="G158" s="72"/>
      <c r="H158" s="53"/>
      <c r="I158" s="53"/>
      <c r="J158" s="102"/>
      <c r="K158" s="54"/>
      <c r="L158" s="54"/>
      <c r="M158" s="54"/>
      <c r="N158" s="54"/>
      <c r="O158" s="54"/>
      <c r="P158" s="53"/>
      <c r="Q158" s="53"/>
      <c r="R158" s="53"/>
    </row>
    <row r="159" spans="6:18" ht="15" customHeight="1">
      <c r="F159" s="53"/>
      <c r="G159" s="72"/>
      <c r="H159" s="53"/>
      <c r="I159" s="53"/>
      <c r="J159" s="102"/>
      <c r="K159" s="54"/>
      <c r="L159" s="54"/>
      <c r="M159" s="54"/>
      <c r="N159" s="54"/>
      <c r="O159" s="54"/>
      <c r="P159" s="53"/>
      <c r="Q159" s="53"/>
      <c r="R159" s="53"/>
    </row>
    <row r="160" spans="6:18" ht="15" customHeight="1">
      <c r="F160" s="53"/>
      <c r="G160" s="72"/>
      <c r="H160" s="53"/>
      <c r="I160" s="53"/>
      <c r="J160" s="102"/>
      <c r="K160" s="54"/>
      <c r="L160" s="54"/>
      <c r="M160" s="54"/>
      <c r="N160" s="54"/>
      <c r="O160" s="54"/>
      <c r="P160" s="53"/>
      <c r="Q160" s="53"/>
      <c r="R160" s="53"/>
    </row>
    <row r="161" spans="6:18" ht="15" customHeight="1">
      <c r="F161" s="53"/>
      <c r="G161" s="72"/>
      <c r="H161" s="53"/>
      <c r="I161" s="53"/>
      <c r="J161" s="102"/>
      <c r="K161" s="54"/>
      <c r="L161" s="54"/>
      <c r="M161" s="54"/>
      <c r="N161" s="54"/>
      <c r="O161" s="54"/>
      <c r="P161" s="53"/>
      <c r="Q161" s="53"/>
      <c r="R161" s="53"/>
    </row>
    <row r="162" spans="6:18" ht="15" customHeight="1">
      <c r="F162" s="53"/>
      <c r="G162" s="72"/>
      <c r="H162" s="53"/>
      <c r="I162" s="53"/>
      <c r="J162" s="102"/>
      <c r="K162" s="54"/>
      <c r="L162" s="54"/>
      <c r="M162" s="54"/>
      <c r="N162" s="54"/>
      <c r="O162" s="54"/>
      <c r="P162" s="53"/>
      <c r="Q162" s="53"/>
      <c r="R162" s="53"/>
    </row>
    <row r="163" spans="6:18" ht="15" customHeight="1">
      <c r="G163" s="72"/>
      <c r="H163" s="53"/>
      <c r="I163" s="53"/>
      <c r="J163" s="102"/>
      <c r="K163" s="54"/>
      <c r="L163" s="54"/>
      <c r="M163" s="54"/>
      <c r="N163" s="54"/>
      <c r="O163" s="54"/>
      <c r="P163" s="53"/>
      <c r="Q163" s="53"/>
      <c r="R163" s="53"/>
    </row>
    <row r="164" spans="6:18" ht="15" customHeight="1">
      <c r="G164" s="72"/>
      <c r="H164" s="53"/>
      <c r="I164" s="53"/>
      <c r="J164" s="102"/>
      <c r="K164" s="54"/>
      <c r="L164" s="54"/>
      <c r="M164" s="54"/>
      <c r="N164" s="54"/>
      <c r="O164" s="54"/>
      <c r="P164" s="53"/>
      <c r="Q164" s="53"/>
      <c r="R164" s="53"/>
    </row>
    <row r="165" spans="6:18" ht="15" customHeight="1">
      <c r="G165" s="72"/>
      <c r="H165" s="53"/>
      <c r="I165" s="53"/>
      <c r="J165" s="102"/>
      <c r="K165" s="54"/>
      <c r="L165" s="54"/>
      <c r="M165" s="54"/>
      <c r="N165" s="54"/>
      <c r="O165" s="54"/>
      <c r="P165" s="53"/>
      <c r="Q165" s="53"/>
      <c r="R165" s="53"/>
    </row>
    <row r="166" spans="6:18" ht="15" customHeight="1">
      <c r="G166" s="72"/>
      <c r="H166" s="53"/>
      <c r="I166" s="53"/>
      <c r="J166" s="102"/>
      <c r="K166" s="54"/>
      <c r="L166" s="54"/>
      <c r="M166" s="54"/>
      <c r="N166" s="54"/>
      <c r="O166" s="54"/>
      <c r="P166" s="53"/>
      <c r="Q166" s="53"/>
      <c r="R166" s="53"/>
    </row>
  </sheetData>
  <mergeCells count="2">
    <mergeCell ref="A2:F2"/>
    <mergeCell ref="A1:F1"/>
  </mergeCells>
  <phoneticPr fontId="9" type="noConversion"/>
  <pageMargins left="0.74803149606299213" right="0.74803149606299213" top="0.98425196850393704" bottom="0.98425196850393704" header="0.51181102362204722" footer="0.51181102362204722"/>
  <pageSetup paperSize="9" scale="58" fitToHeight="0" orientation="portrait" horizontalDpi="1200" verticalDpi="1200" r:id="rId1"/>
  <headerFooter alignWithMargins="0">
    <oddFooter>&amp;L&amp;F&amp;C&amp;D&amp;R&amp;A</oddFooter>
  </headerFooter>
  <rowBreaks count="1" manualBreakCount="1">
    <brk id="14"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M1009"/>
  <sheetViews>
    <sheetView view="pageBreakPreview" zoomScale="85" zoomScaleNormal="40" zoomScaleSheetLayoutView="100" workbookViewId="0">
      <pane ySplit="4" topLeftCell="A8" activePane="bottomLeft" state="frozen"/>
      <selection activeCell="T6105" sqref="T6105"/>
      <selection pane="bottomLeft" activeCell="S885" sqref="S885"/>
    </sheetView>
  </sheetViews>
  <sheetFormatPr defaultColWidth="10.28515625" defaultRowHeight="15" customHeight="1"/>
  <cols>
    <col min="1" max="1" width="7.85546875" style="21" customWidth="1"/>
    <col min="2" max="2" width="35.42578125" style="157" bestFit="1" customWidth="1"/>
    <col min="3" max="3" width="24.85546875" style="157" bestFit="1" customWidth="1"/>
    <col min="4" max="4" width="10.140625" style="157" customWidth="1"/>
    <col min="5" max="5" width="14.28515625" style="157" customWidth="1"/>
    <col min="6" max="6" width="18.7109375" style="4" customWidth="1"/>
    <col min="7" max="7" width="13.42578125" style="21" bestFit="1" customWidth="1"/>
    <col min="8" max="8" width="11.140625" style="21" customWidth="1"/>
    <col min="9" max="9" width="32.140625" style="62" bestFit="1" customWidth="1"/>
    <col min="10" max="10" width="10" style="21" customWidth="1"/>
    <col min="11" max="11" width="23.140625" style="62" bestFit="1" customWidth="1"/>
    <col min="12" max="12" width="10" style="21" customWidth="1"/>
    <col min="13" max="13" width="19.140625" style="90" customWidth="1"/>
    <col min="14" max="14" width="14.5703125" style="90" bestFit="1" customWidth="1"/>
    <col min="15" max="15" width="13.85546875" style="91" customWidth="1"/>
    <col min="16" max="16" width="18.7109375" style="125" bestFit="1" customWidth="1"/>
    <col min="17" max="17" width="18.7109375" style="125" customWidth="1"/>
    <col min="18" max="18" width="12" style="4" customWidth="1"/>
    <col min="19" max="19" width="12.42578125" style="17" customWidth="1"/>
    <col min="20" max="20" width="16.42578125" style="17" customWidth="1"/>
    <col min="21" max="21" width="16.42578125" style="93" customWidth="1"/>
    <col min="22" max="22" width="16.7109375" style="94" customWidth="1"/>
    <col min="23" max="23" width="17" style="148" bestFit="1" customWidth="1"/>
    <col min="24" max="24" width="16.42578125" style="151" customWidth="1"/>
    <col min="25" max="25" width="16.42578125" style="93" customWidth="1"/>
    <col min="26" max="26" width="16.42578125" style="94" customWidth="1"/>
    <col min="27" max="27" width="16.42578125" style="92" customWidth="1"/>
    <col min="28" max="29" width="16.42578125" style="4" customWidth="1"/>
    <col min="30" max="31" width="16.42578125" style="95" customWidth="1"/>
    <col min="32" max="32" width="16.42578125" style="28" customWidth="1"/>
    <col min="33" max="33" width="16.42578125" style="67" customWidth="1"/>
    <col min="34" max="34" width="2.5703125" style="67" customWidth="1"/>
    <col min="35" max="35" width="22.7109375" style="67" hidden="1" customWidth="1"/>
    <col min="36" max="36" width="4.42578125" style="205" customWidth="1"/>
    <col min="37" max="37" width="4.140625" style="205" customWidth="1"/>
    <col min="38" max="38" width="4.7109375" style="205" customWidth="1"/>
    <col min="39" max="39" width="4.140625" style="205" customWidth="1"/>
    <col min="40" max="40" width="4.28515625" style="205" customWidth="1"/>
    <col min="41" max="41" width="4.42578125" style="205" customWidth="1"/>
    <col min="42" max="42" width="3.5703125" style="205" customWidth="1"/>
    <col min="43" max="43" width="4.140625" style="205" customWidth="1"/>
    <col min="44" max="44" width="3.85546875" style="205" customWidth="1"/>
    <col min="45" max="46" width="4.140625" style="205" customWidth="1"/>
    <col min="47" max="47" width="4" style="205" customWidth="1"/>
    <col min="48" max="49" width="4.42578125" style="205" customWidth="1"/>
    <col min="50" max="50" width="4.140625" style="205" customWidth="1"/>
    <col min="51" max="51" width="3.85546875" style="205" customWidth="1"/>
    <col min="52" max="52" width="4" style="205" customWidth="1"/>
    <col min="53" max="53" width="3.42578125" style="205" customWidth="1"/>
    <col min="54" max="54" width="4" style="205" customWidth="1"/>
    <col min="55" max="55" width="2.28515625" style="206" customWidth="1"/>
    <col min="56" max="56" width="10.85546875" style="67" hidden="1" customWidth="1"/>
    <col min="57" max="57" width="3.7109375" style="205" customWidth="1"/>
    <col min="58" max="58" width="3.28515625" style="205" customWidth="1"/>
    <col min="59" max="59" width="3.42578125" style="205" customWidth="1"/>
    <col min="60" max="60" width="3.85546875" style="205" customWidth="1"/>
    <col min="61" max="61" width="3.42578125" style="205" customWidth="1"/>
    <col min="62" max="62" width="3.28515625" style="205" customWidth="1"/>
    <col min="63" max="63" width="3.140625" style="205" customWidth="1"/>
    <col min="64" max="64" width="4.140625" style="205" customWidth="1"/>
    <col min="65" max="65" width="3.5703125" style="205" customWidth="1"/>
    <col min="66" max="66" width="3.85546875" style="205" customWidth="1"/>
    <col min="67" max="67" width="3.28515625" style="205" customWidth="1"/>
    <col min="68" max="68" width="3.7109375" style="205" customWidth="1"/>
    <col min="69" max="69" width="3.5703125" style="205" customWidth="1"/>
    <col min="70" max="70" width="3.42578125" style="205" customWidth="1"/>
    <col min="71" max="73" width="3.28515625" style="205" customWidth="1"/>
    <col min="74" max="74" width="3.42578125" style="205" customWidth="1"/>
    <col min="75" max="75" width="3.85546875" style="205" customWidth="1"/>
    <col min="76" max="220" width="10.28515625" style="67"/>
    <col min="221" max="16384" width="10.28515625" style="4"/>
  </cols>
  <sheetData>
    <row r="1" spans="1:221" ht="15" customHeight="1">
      <c r="A1" s="423" t="s">
        <v>162</v>
      </c>
      <c r="B1" s="423"/>
      <c r="C1" s="423"/>
      <c r="D1" s="423"/>
      <c r="E1" s="423"/>
      <c r="F1" s="423"/>
      <c r="G1" s="423"/>
      <c r="H1" s="423"/>
      <c r="I1" s="423"/>
      <c r="J1" s="423"/>
      <c r="K1" s="423"/>
      <c r="L1" s="423"/>
      <c r="M1" s="423"/>
      <c r="N1" s="423"/>
      <c r="O1" s="423"/>
      <c r="P1" s="423"/>
      <c r="Q1" s="359"/>
      <c r="R1" s="394"/>
      <c r="S1" s="394"/>
      <c r="T1" s="394"/>
      <c r="U1" s="394"/>
      <c r="V1" s="394"/>
      <c r="W1" s="394"/>
      <c r="X1" s="394"/>
      <c r="Y1" s="394"/>
      <c r="Z1" s="394"/>
      <c r="AA1" s="394"/>
      <c r="AB1" s="394"/>
      <c r="AC1" s="394"/>
      <c r="AD1" s="394"/>
      <c r="AE1" s="394"/>
      <c r="AF1" s="394"/>
      <c r="AG1" s="394"/>
      <c r="AH1" s="204"/>
      <c r="AI1" s="204"/>
      <c r="BD1" s="204"/>
    </row>
    <row r="2" spans="1:221" ht="15" customHeight="1">
      <c r="A2" s="76"/>
      <c r="B2" s="156"/>
      <c r="C2" s="156"/>
      <c r="D2" s="156"/>
      <c r="E2" s="156"/>
      <c r="F2" s="67"/>
      <c r="G2" s="76"/>
      <c r="H2" s="76"/>
      <c r="I2" s="269"/>
      <c r="J2" s="265"/>
      <c r="K2" s="264"/>
      <c r="L2" s="76"/>
      <c r="M2" s="88"/>
      <c r="N2" s="88"/>
      <c r="O2" s="89"/>
      <c r="P2" s="124"/>
      <c r="Q2" s="124"/>
      <c r="R2" s="67"/>
      <c r="S2" s="293"/>
      <c r="T2" s="67"/>
      <c r="U2" s="67"/>
      <c r="V2" s="67"/>
      <c r="W2" s="147"/>
      <c r="X2" s="149"/>
      <c r="Y2" s="67"/>
      <c r="Z2" s="67"/>
      <c r="AA2" s="67"/>
      <c r="AB2" s="67"/>
      <c r="AC2" s="67"/>
      <c r="AD2" s="67"/>
      <c r="AE2" s="67"/>
      <c r="AF2" s="67"/>
      <c r="AJ2" s="433" t="s">
        <v>273</v>
      </c>
      <c r="AK2" s="433"/>
      <c r="AL2" s="433"/>
      <c r="AM2" s="433"/>
      <c r="AN2" s="433"/>
      <c r="AO2" s="433"/>
      <c r="AP2" s="433"/>
      <c r="AQ2" s="433"/>
      <c r="AR2" s="433"/>
      <c r="AS2" s="433"/>
      <c r="AT2" s="433"/>
      <c r="AU2" s="433"/>
      <c r="AV2" s="433"/>
      <c r="AW2" s="433"/>
      <c r="AX2" s="433"/>
      <c r="AY2" s="433"/>
      <c r="AZ2" s="433"/>
      <c r="BA2" s="433"/>
      <c r="BB2" s="433"/>
      <c r="BE2" s="434" t="s">
        <v>274</v>
      </c>
      <c r="BF2" s="434"/>
      <c r="BG2" s="434"/>
      <c r="BH2" s="434"/>
      <c r="BI2" s="434"/>
      <c r="BJ2" s="434"/>
      <c r="BK2" s="434"/>
      <c r="BL2" s="434"/>
      <c r="BM2" s="434"/>
      <c r="BN2" s="434"/>
      <c r="BO2" s="434"/>
      <c r="BP2" s="434"/>
      <c r="BQ2" s="434"/>
      <c r="BR2" s="434"/>
      <c r="BS2" s="434"/>
      <c r="BT2" s="434"/>
      <c r="BU2" s="434"/>
      <c r="BV2" s="434"/>
      <c r="BW2" s="434"/>
    </row>
    <row r="3" spans="1:221" s="67" customFormat="1" ht="15" customHeight="1">
      <c r="A3" s="76"/>
      <c r="B3" s="156"/>
      <c r="C3" s="156"/>
      <c r="D3" s="156"/>
      <c r="E3" s="156"/>
      <c r="G3" s="76"/>
      <c r="H3" s="76"/>
      <c r="I3" s="99"/>
      <c r="J3" s="76"/>
      <c r="K3" s="99"/>
      <c r="L3" s="76"/>
      <c r="M3" s="88"/>
      <c r="N3" s="88"/>
      <c r="O3" s="89"/>
      <c r="P3" s="124"/>
      <c r="Q3" s="124"/>
      <c r="S3" s="424" t="s">
        <v>228</v>
      </c>
      <c r="T3" s="425"/>
      <c r="U3" s="425"/>
      <c r="V3" s="425"/>
      <c r="W3" s="425"/>
      <c r="X3" s="426"/>
      <c r="Y3" s="427" t="s">
        <v>229</v>
      </c>
      <c r="Z3" s="428"/>
      <c r="AA3" s="428"/>
      <c r="AB3" s="428"/>
      <c r="AC3" s="428"/>
      <c r="AD3" s="429"/>
      <c r="AE3" s="430" t="s">
        <v>230</v>
      </c>
      <c r="AF3" s="431"/>
      <c r="AG3" s="432"/>
      <c r="AH3" s="241"/>
      <c r="AI3" s="241"/>
      <c r="AJ3" s="391" t="s">
        <v>275</v>
      </c>
      <c r="AK3" s="391"/>
      <c r="AL3" s="391"/>
      <c r="AM3" s="391"/>
      <c r="AN3" s="391"/>
      <c r="AO3" s="391"/>
      <c r="AP3" s="391"/>
      <c r="AQ3" s="391"/>
      <c r="AR3" s="392" t="s">
        <v>276</v>
      </c>
      <c r="AS3" s="392"/>
      <c r="AT3" s="392"/>
      <c r="AU3" s="392"/>
      <c r="AV3" s="392"/>
      <c r="AW3" s="392"/>
      <c r="AX3" s="392"/>
      <c r="AY3" s="392"/>
      <c r="AZ3" s="435" t="s">
        <v>277</v>
      </c>
      <c r="BA3" s="435"/>
      <c r="BB3" s="435"/>
      <c r="BC3" s="207"/>
      <c r="BD3" s="241"/>
      <c r="BE3" s="391" t="s">
        <v>275</v>
      </c>
      <c r="BF3" s="391"/>
      <c r="BG3" s="391"/>
      <c r="BH3" s="391"/>
      <c r="BI3" s="391"/>
      <c r="BJ3" s="391"/>
      <c r="BK3" s="391"/>
      <c r="BL3" s="391"/>
      <c r="BM3" s="392" t="s">
        <v>276</v>
      </c>
      <c r="BN3" s="392"/>
      <c r="BO3" s="392"/>
      <c r="BP3" s="392"/>
      <c r="BQ3" s="392"/>
      <c r="BR3" s="392"/>
      <c r="BS3" s="392"/>
      <c r="BT3" s="392"/>
      <c r="BU3" s="435" t="s">
        <v>277</v>
      </c>
      <c r="BV3" s="435"/>
      <c r="BW3" s="435"/>
    </row>
    <row r="4" spans="1:221" s="8" customFormat="1" ht="46.5" customHeight="1" thickBot="1">
      <c r="A4" s="33" t="s">
        <v>33</v>
      </c>
      <c r="B4" s="33" t="s">
        <v>123</v>
      </c>
      <c r="C4" s="33" t="s">
        <v>1296</v>
      </c>
      <c r="D4" s="33" t="s">
        <v>1297</v>
      </c>
      <c r="E4" s="33" t="s">
        <v>1298</v>
      </c>
      <c r="F4" s="33" t="s">
        <v>30</v>
      </c>
      <c r="G4" s="33" t="s">
        <v>112</v>
      </c>
      <c r="H4" s="33" t="s">
        <v>264</v>
      </c>
      <c r="I4" s="63" t="s">
        <v>97</v>
      </c>
      <c r="J4" s="63" t="s">
        <v>23</v>
      </c>
      <c r="K4" s="63" t="s">
        <v>113</v>
      </c>
      <c r="L4" s="33" t="s">
        <v>114</v>
      </c>
      <c r="M4" s="33" t="s">
        <v>37</v>
      </c>
      <c r="N4" s="33" t="s">
        <v>31</v>
      </c>
      <c r="O4" s="33" t="s">
        <v>125</v>
      </c>
      <c r="P4" s="33" t="s">
        <v>63</v>
      </c>
      <c r="Q4" s="33" t="s">
        <v>2531</v>
      </c>
      <c r="R4" s="33" t="s">
        <v>117</v>
      </c>
      <c r="S4" s="33" t="s">
        <v>115</v>
      </c>
      <c r="T4" s="33" t="s">
        <v>128</v>
      </c>
      <c r="U4" s="33" t="s">
        <v>129</v>
      </c>
      <c r="V4" s="33" t="s">
        <v>130</v>
      </c>
      <c r="W4" s="68" t="s">
        <v>126</v>
      </c>
      <c r="X4" s="150" t="s">
        <v>127</v>
      </c>
      <c r="Y4" s="33" t="s">
        <v>116</v>
      </c>
      <c r="Z4" s="33" t="s">
        <v>135</v>
      </c>
      <c r="AA4" s="33" t="s">
        <v>131</v>
      </c>
      <c r="AB4" s="33" t="s">
        <v>132</v>
      </c>
      <c r="AC4" s="33" t="s">
        <v>133</v>
      </c>
      <c r="AD4" s="33" t="s">
        <v>134</v>
      </c>
      <c r="AE4" s="68" t="s">
        <v>119</v>
      </c>
      <c r="AF4" s="68" t="s">
        <v>35</v>
      </c>
      <c r="AG4" s="69" t="s">
        <v>1281</v>
      </c>
      <c r="AH4" s="294" t="s">
        <v>196</v>
      </c>
      <c r="AI4" s="258" t="s">
        <v>1263</v>
      </c>
      <c r="AJ4" s="259" t="s">
        <v>278</v>
      </c>
      <c r="AK4" s="259" t="s">
        <v>279</v>
      </c>
      <c r="AL4" s="259" t="s">
        <v>280</v>
      </c>
      <c r="AM4" s="259" t="s">
        <v>281</v>
      </c>
      <c r="AN4" s="259" t="s">
        <v>282</v>
      </c>
      <c r="AO4" s="259" t="s">
        <v>283</v>
      </c>
      <c r="AP4" s="259" t="s">
        <v>284</v>
      </c>
      <c r="AQ4" s="259" t="s">
        <v>285</v>
      </c>
      <c r="AR4" s="259" t="s">
        <v>286</v>
      </c>
      <c r="AS4" s="259" t="s">
        <v>287</v>
      </c>
      <c r="AT4" s="259" t="s">
        <v>288</v>
      </c>
      <c r="AU4" s="259" t="s">
        <v>289</v>
      </c>
      <c r="AV4" s="259" t="s">
        <v>290</v>
      </c>
      <c r="AW4" s="259" t="s">
        <v>291</v>
      </c>
      <c r="AX4" s="259" t="s">
        <v>292</v>
      </c>
      <c r="AY4" s="259" t="s">
        <v>293</v>
      </c>
      <c r="AZ4" s="259" t="s">
        <v>294</v>
      </c>
      <c r="BA4" s="259" t="s">
        <v>295</v>
      </c>
      <c r="BB4" s="259" t="s">
        <v>296</v>
      </c>
      <c r="BC4" s="33" t="s">
        <v>167</v>
      </c>
      <c r="BD4" s="258" t="s">
        <v>297</v>
      </c>
      <c r="BE4" s="259" t="s">
        <v>2562</v>
      </c>
      <c r="BF4" s="259" t="s">
        <v>2563</v>
      </c>
      <c r="BG4" s="259" t="s">
        <v>2564</v>
      </c>
      <c r="BH4" s="259" t="s">
        <v>2565</v>
      </c>
      <c r="BI4" s="259" t="s">
        <v>2566</v>
      </c>
      <c r="BJ4" s="259" t="s">
        <v>2567</v>
      </c>
      <c r="BK4" s="259" t="s">
        <v>2568</v>
      </c>
      <c r="BL4" s="259" t="s">
        <v>2569</v>
      </c>
      <c r="BM4" s="259" t="s">
        <v>2570</v>
      </c>
      <c r="BN4" s="259" t="s">
        <v>2571</v>
      </c>
      <c r="BO4" s="259" t="s">
        <v>2572</v>
      </c>
      <c r="BP4" s="259" t="s">
        <v>2573</v>
      </c>
      <c r="BQ4" s="259" t="s">
        <v>2574</v>
      </c>
      <c r="BR4" s="259" t="s">
        <v>2575</v>
      </c>
      <c r="BS4" s="259" t="s">
        <v>2576</v>
      </c>
      <c r="BT4" s="259" t="s">
        <v>2577</v>
      </c>
      <c r="BU4" s="259" t="s">
        <v>2578</v>
      </c>
      <c r="BV4" s="259" t="s">
        <v>2579</v>
      </c>
      <c r="BW4" s="259" t="s">
        <v>2580</v>
      </c>
      <c r="BX4" s="70"/>
      <c r="BY4" s="70"/>
      <c r="BZ4" s="70"/>
      <c r="CA4" s="70"/>
      <c r="CB4" s="70"/>
      <c r="CC4" s="70"/>
      <c r="CD4" s="70"/>
      <c r="CE4" s="70"/>
      <c r="CF4" s="70"/>
      <c r="CG4" s="70"/>
      <c r="CH4" s="70"/>
      <c r="CI4" s="70"/>
      <c r="CJ4" s="70"/>
      <c r="CK4" s="70"/>
      <c r="CL4" s="70"/>
      <c r="CM4" s="70"/>
      <c r="CN4" s="70"/>
      <c r="CO4" s="70"/>
      <c r="CP4" s="70"/>
      <c r="CQ4" s="70"/>
      <c r="CR4" s="70"/>
      <c r="CS4" s="70"/>
      <c r="CT4" s="70"/>
      <c r="CU4" s="70"/>
      <c r="CV4" s="70"/>
      <c r="CW4" s="70"/>
      <c r="CX4" s="70"/>
      <c r="CY4" s="70"/>
      <c r="CZ4" s="70"/>
      <c r="DA4" s="70"/>
      <c r="DB4" s="70"/>
      <c r="DC4" s="70"/>
      <c r="DD4" s="70"/>
      <c r="DE4" s="70"/>
      <c r="DF4" s="70"/>
      <c r="DG4" s="70"/>
      <c r="DH4" s="70"/>
      <c r="DI4" s="70"/>
      <c r="DJ4" s="70"/>
      <c r="DK4" s="70"/>
      <c r="DL4" s="70"/>
      <c r="DM4" s="70"/>
      <c r="DN4" s="70"/>
      <c r="DO4" s="70"/>
      <c r="DP4" s="70"/>
      <c r="DQ4" s="70"/>
      <c r="DR4" s="70"/>
      <c r="DS4" s="70"/>
      <c r="DT4" s="70"/>
      <c r="DU4" s="70"/>
      <c r="DV4" s="70"/>
      <c r="DW4" s="70"/>
      <c r="DX4" s="70"/>
      <c r="DY4" s="70"/>
      <c r="DZ4" s="70"/>
      <c r="EA4" s="70"/>
      <c r="EB4" s="70"/>
      <c r="EC4" s="70"/>
      <c r="ED4" s="70"/>
      <c r="EE4" s="70"/>
      <c r="EF4" s="70"/>
      <c r="EG4" s="70"/>
      <c r="EH4" s="70"/>
      <c r="EI4" s="70"/>
      <c r="EJ4" s="70"/>
      <c r="EK4" s="70"/>
      <c r="EL4" s="70"/>
      <c r="EM4" s="70"/>
      <c r="EN4" s="70"/>
      <c r="EO4" s="70"/>
      <c r="EP4" s="70"/>
      <c r="EQ4" s="70"/>
      <c r="ER4" s="70"/>
      <c r="ES4" s="70"/>
      <c r="ET4" s="70"/>
      <c r="EU4" s="70"/>
      <c r="EV4" s="70"/>
      <c r="EW4" s="70"/>
      <c r="EX4" s="70"/>
      <c r="EY4" s="70"/>
      <c r="EZ4" s="70"/>
      <c r="FA4" s="70"/>
      <c r="FB4" s="70"/>
      <c r="FC4" s="70"/>
      <c r="FD4" s="70"/>
      <c r="FE4" s="70"/>
      <c r="FF4" s="70"/>
      <c r="FG4" s="70"/>
      <c r="FH4" s="70"/>
      <c r="FI4" s="70"/>
      <c r="FJ4" s="70"/>
      <c r="FK4" s="70"/>
      <c r="FL4" s="70"/>
      <c r="FM4" s="70"/>
      <c r="FN4" s="70"/>
      <c r="FO4" s="70"/>
      <c r="FP4" s="70"/>
      <c r="FQ4" s="70"/>
      <c r="FR4" s="70"/>
      <c r="FS4" s="70"/>
      <c r="FT4" s="70"/>
      <c r="FU4" s="70"/>
      <c r="FV4" s="70"/>
      <c r="FW4" s="70"/>
      <c r="FX4" s="70"/>
      <c r="FY4" s="70"/>
      <c r="FZ4" s="70"/>
      <c r="GA4" s="70"/>
      <c r="GB4" s="70"/>
      <c r="GC4" s="70"/>
      <c r="GD4" s="70"/>
      <c r="GE4" s="70"/>
      <c r="GF4" s="70"/>
      <c r="GG4" s="70"/>
      <c r="GH4" s="70"/>
      <c r="GI4" s="70"/>
      <c r="GJ4" s="70"/>
      <c r="GK4" s="70"/>
      <c r="GL4" s="70"/>
      <c r="GM4" s="70"/>
      <c r="GN4" s="70"/>
      <c r="GO4" s="70"/>
      <c r="GP4" s="70"/>
      <c r="GQ4" s="70"/>
      <c r="GR4" s="70"/>
      <c r="GS4" s="70"/>
      <c r="GT4" s="70"/>
      <c r="GU4" s="70"/>
      <c r="GV4" s="70"/>
      <c r="GW4" s="70"/>
      <c r="GX4" s="70"/>
      <c r="GY4" s="70"/>
      <c r="GZ4" s="70"/>
      <c r="HA4" s="70"/>
      <c r="HB4" s="70"/>
      <c r="HC4" s="70"/>
      <c r="HD4" s="70"/>
      <c r="HE4" s="70"/>
      <c r="HF4" s="70"/>
      <c r="HG4" s="70"/>
      <c r="HH4" s="70"/>
      <c r="HI4" s="70"/>
      <c r="HJ4" s="70"/>
      <c r="HK4" s="70"/>
      <c r="HL4" s="70"/>
      <c r="HM4" s="70"/>
    </row>
    <row r="5" spans="1:221" ht="15" customHeight="1" thickTop="1">
      <c r="A5" s="33">
        <v>2</v>
      </c>
      <c r="B5" s="157" t="str">
        <f>VLOOKUP(Ruimtestaat[[#This Row],[Code]],Locaties[[Code]:[Locatie]],2,FALSE)</f>
        <v>'s Gravendreef College</v>
      </c>
      <c r="C5" s="157" t="str">
        <f>VLOOKUP(Ruimtestaat[[#This Row],[Code]],Locaties[[#All],[Code]:[Adres]],4,FALSE)</f>
        <v>Klaas Voskuildreef 135</v>
      </c>
      <c r="D5" s="157" t="str">
        <f>VLOOKUP(Ruimtestaat[[#This Row],[Code]],Locaties[[#All],[Code]:[Postcode]],5,FALSE)</f>
        <v>2492 JJ</v>
      </c>
      <c r="E5" s="157" t="str">
        <f>VLOOKUP(Ruimtestaat[[#This Row],[Code]],Locaties[#All],6,FALSE)</f>
        <v>Den Haag</v>
      </c>
      <c r="F5" s="33"/>
      <c r="G5" s="33" t="s">
        <v>1632</v>
      </c>
      <c r="H5" s="366">
        <v>1</v>
      </c>
      <c r="I5" s="367" t="s">
        <v>1633</v>
      </c>
      <c r="J5" s="21">
        <v>7</v>
      </c>
      <c r="K5" s="62" t="str">
        <f>VLOOKUP(Ruimtestaat[[#This Row],[Ruimte code]],Ruimtegroepen[[#All],[Code]:[Ruimte omschrijving]],2,FALSE)</f>
        <v>Entree</v>
      </c>
      <c r="L5" s="33" t="s">
        <v>100</v>
      </c>
      <c r="M5" s="367" t="s">
        <v>2494</v>
      </c>
      <c r="N5" s="140">
        <v>38</v>
      </c>
      <c r="O5" s="299"/>
      <c r="P5" s="125" t="str">
        <f>VLOOKUP(Ruimtestaat[[#This Row],[Ruimte code]],Ruimtegroepen[],4,FALSE)</f>
        <v>Ve</v>
      </c>
      <c r="R5" s="33">
        <v>40</v>
      </c>
      <c r="S5" s="33" t="s">
        <v>2</v>
      </c>
      <c r="T5" s="33">
        <f>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 s="33">
        <f>IF(T5&gt;0,VLOOKUP($J5,Ruimtegroepen[],3,FALSE)*VLOOKUP($L5,Vloersoorten[],3,FALSE)*VLOOKUP($S5,Frequenties[],3,FALSE)*VLOOKUP($A5,Locaties[],3,FALSE),0)</f>
        <v>0</v>
      </c>
      <c r="V5" s="33">
        <f>Ruimtestaat[[#This Row],[Uitvoeringen werkdagen]]*Ruimtestaat[[#This Row],[Oppervlak (netto)]]</f>
        <v>7600</v>
      </c>
      <c r="W5" s="154">
        <f>IF(U5&gt;0,Ruimtestaat[[#This Row],[Prest. (m2 /jaar) werkdagen]]/Ruimtestaat[[#This Row],[Norm (m2/uur) werkdagen]],0)</f>
        <v>0</v>
      </c>
      <c r="X5" s="155">
        <f>Ruimtestaat[[#This Row],[uren / jaar werkdagen]]*Tariefsopbouw!$E$35</f>
        <v>0</v>
      </c>
      <c r="Y5" s="33"/>
      <c r="Z5" s="33">
        <f>IF(Ruimtestaat[[#This Row],[Frequentie weekend]]&gt;0,VALUE(LEFT(Y5,1))*R5,0)</f>
        <v>0</v>
      </c>
      <c r="AA5" s="97">
        <f>IF($Z5&gt;0,VLOOKUP($J5,Ruimtegroepen[],3,FALSE)*VLOOKUP($L5,Vloersoorten[],3,FALSE)*VLOOKUP($Y5,Frequenties[],3,FALSE)*VLOOKUP(Ruimtestaat[[#This Row],[Code]],Locaties[],3,FALSE),0)</f>
        <v>0</v>
      </c>
      <c r="AB5" s="97">
        <f>Ruimtestaat[[#This Row],[Uitvoeringen weekend]]*Ruimtestaat[[#This Row],[Oppervlak (netto)]]</f>
        <v>0</v>
      </c>
      <c r="AC5" s="97">
        <f>IF(AA5&gt;0,Ruimtestaat[[#This Row],[Prest. (m2 /jaar) weekend]]/Ruimtestaat[[#This Row],[Norm (m2/uur) weekend]],0)</f>
        <v>0</v>
      </c>
      <c r="AD5" s="155">
        <f>Ruimtestaat[[#This Row],[uren / jaar weekend]]*Tariefsopbouw!$D$40</f>
        <v>0</v>
      </c>
      <c r="AE5" s="154">
        <f>Ruimtestaat[[#This Row],[Prest. (m2 /jaar) weekend]]+Ruimtestaat[[#This Row],[Prest. (m2 /jaar) werkdagen]]</f>
        <v>7600</v>
      </c>
      <c r="AF5" s="154">
        <f>Ruimtestaat[[#This Row],[uren / jaar weekend]]+Ruimtestaat[[#This Row],[uren / jaar werkdagen]]</f>
        <v>0</v>
      </c>
      <c r="AG5" s="69">
        <f>Ruimtestaat[[#This Row],[kosten / jaar weekend]]+Ruimtestaat[[#This Row],[kosten / jaar werkdagen]]</f>
        <v>0</v>
      </c>
      <c r="AH5" s="69"/>
      <c r="AI5" s="256" t="str">
        <f>IF(Ruimtestaat[[#This Row],[Frequentie werkdagen]]="","",_xlfn.CONCAT(Ruimtestaat[[#This Row],[Ruimte code]],"-",Ruimtestaat[[#This Row],[Frequentie werkdagen]]," ",Ruimtestaat[[#This Row],[Vloer code]]))</f>
        <v>7-5w T</v>
      </c>
      <c r="AJ5" s="363" t="str">
        <f>_xlfn.IFNA(VLOOKUP($AI5,Programma!$F$3:$G$1107,2,0),"")</f>
        <v>_</v>
      </c>
      <c r="AK5" s="363" t="str">
        <f>_xlfn.IFNA(VLOOKUP($AI5,Programma!$F$3:$H$1107,3,0),"")</f>
        <v>5w</v>
      </c>
      <c r="AL5" s="363" t="str">
        <f>_xlfn.IFNA(VLOOKUP($AI5,Programma!$F$3:$I$1107,4,0),"")</f>
        <v>_</v>
      </c>
      <c r="AM5" s="363" t="str">
        <f>_xlfn.IFNA(VLOOKUP($AI5,Programma!$F$3:$J$1107,5,0),"")</f>
        <v>_</v>
      </c>
      <c r="AN5" s="363" t="str">
        <f>_xlfn.IFNA(VLOOKUP($AI5,Programma!$F$3:$K$1107,6,0),"")</f>
        <v>_</v>
      </c>
      <c r="AO5" s="363" t="str">
        <f>_xlfn.IFNA(VLOOKUP($AI5,Programma!$F$3:$L$1107,7,0),"")</f>
        <v>_</v>
      </c>
      <c r="AP5" s="363" t="str">
        <f>_xlfn.IFNA(VLOOKUP($AI5,Programma!$F$3:$M$1107,8,0),"")</f>
        <v>_</v>
      </c>
      <c r="AQ5" s="363" t="str">
        <f>_xlfn.IFNA(VLOOKUP($AI5,Programma!$F$3:$N$1107,9,0),"")</f>
        <v>_</v>
      </c>
      <c r="AR5" s="363" t="str">
        <f>_xlfn.IFNA(VLOOKUP($AI5,Programma!$F$3:$O$1107,10,0),"")</f>
        <v>5w</v>
      </c>
      <c r="AS5" s="363" t="str">
        <f>_xlfn.IFNA(VLOOKUP($AI5,Programma!$F$3:$P$1107,11,0),"")</f>
        <v>5w</v>
      </c>
      <c r="AT5" s="363" t="str">
        <f>_xlfn.IFNA(VLOOKUP($AI5,Programma!$F$3:$Q$1107,12,0),"")</f>
        <v>1w</v>
      </c>
      <c r="AU5" s="363" t="str">
        <f>_xlfn.IFNA(VLOOKUP($AI5,Programma!$F$3:$R$1107,13,0),"")</f>
        <v>1w</v>
      </c>
      <c r="AV5" s="363" t="str">
        <f>_xlfn.IFNA(VLOOKUP($AI5,Programma!$F$3:$S$1107,14,0),"")</f>
        <v>1m</v>
      </c>
      <c r="AW5" s="363" t="str">
        <f>_xlfn.IFNA(VLOOKUP($AI5,Programma!$F$3:$T$1107,15,0),"")</f>
        <v>2j</v>
      </c>
      <c r="AX5" s="363" t="str">
        <f>_xlfn.IFNA(VLOOKUP($AI5,Programma!$F$3:$U$1107,16,0),"")</f>
        <v>1j</v>
      </c>
      <c r="AY5" s="363" t="str">
        <f>_xlfn.IFNA(VLOOKUP($AI5,Programma!$F$3:$V$1107,17,0),"")</f>
        <v>_</v>
      </c>
      <c r="AZ5" s="363" t="str">
        <f>_xlfn.IFNA(VLOOKUP($AI5,Programma!$F$3:$W$1107,18,0),"")</f>
        <v>_</v>
      </c>
      <c r="BA5" s="363" t="str">
        <f>_xlfn.IFNA(VLOOKUP($AI5,Programma!$F$3:$X$1107,19,0),"")</f>
        <v>_</v>
      </c>
      <c r="BB5" s="363" t="str">
        <f>_xlfn.IFNA(VLOOKUP($AI5,Programma!$F$3:$Y$1107,20,0),"")</f>
        <v>_</v>
      </c>
      <c r="BC5" s="257"/>
      <c r="BD5" s="256" t="str">
        <f>IF(Ruimtestaat[[#This Row],[Frequentie weekend]]="","",_xlfn.CONCAT(Ruimtestaat[[#This Row],[Ruimte code]],"-",Ruimtestaat[[#This Row],[Frequentie weekend]]," ",Ruimtestaat[[#This Row],[Vloer code]]))</f>
        <v/>
      </c>
      <c r="BE5" s="363" t="str">
        <f>_xlfn.IFNA(VLOOKUP($BD5,Programma!$F$3:$G$1107,2,0),"")</f>
        <v/>
      </c>
      <c r="BF5" s="363" t="str">
        <f>_xlfn.IFNA(VLOOKUP($BD5,Programma!$F$3:$H$1107,3,0),"")</f>
        <v/>
      </c>
      <c r="BG5" s="363" t="str">
        <f>_xlfn.IFNA(VLOOKUP($BD5,Programma!$F$3:$I$1107,4,0),"")</f>
        <v/>
      </c>
      <c r="BH5" s="363" t="str">
        <f>_xlfn.IFNA(VLOOKUP($BD5,Programma!$F$3:$J$1107,5,0),"")</f>
        <v/>
      </c>
      <c r="BI5" s="363" t="str">
        <f>_xlfn.IFNA(VLOOKUP($BD5,Programma!$F$3:$K$1107,6,0),"")</f>
        <v/>
      </c>
      <c r="BJ5" s="363" t="str">
        <f>_xlfn.IFNA(VLOOKUP($BD5,Programma!$F$3:$L$1107,7,0),"")</f>
        <v/>
      </c>
      <c r="BK5" s="363" t="str">
        <f>_xlfn.IFNA(VLOOKUP($BD5,Programma!$F$3:$M$1107,8,0),"")</f>
        <v/>
      </c>
      <c r="BL5" s="363" t="str">
        <f>_xlfn.IFNA(VLOOKUP($BD5,Programma!$F$3:$N$1107,9,0),"")</f>
        <v/>
      </c>
      <c r="BM5" s="363" t="str">
        <f>_xlfn.IFNA(VLOOKUP($BD5,Programma!$F$3:$O$1107,10,0),"")</f>
        <v/>
      </c>
      <c r="BN5" s="363" t="str">
        <f>_xlfn.IFNA(VLOOKUP($BD5,Programma!$F$3:$P$1107,11,0),"")</f>
        <v/>
      </c>
      <c r="BO5" s="363" t="str">
        <f>_xlfn.IFNA(VLOOKUP($BD5,Programma!$F$3:$Q$1107,12,0),"")</f>
        <v/>
      </c>
      <c r="BP5" s="363" t="str">
        <f>_xlfn.IFNA(VLOOKUP($BD5,Programma!$F$3:$R$1107,13,0),"")</f>
        <v/>
      </c>
      <c r="BQ5" s="363" t="str">
        <f>_xlfn.IFNA(VLOOKUP($BD5,Programma!$F$3:$S$1107,14,0),"")</f>
        <v/>
      </c>
      <c r="BR5" s="363" t="str">
        <f>_xlfn.IFNA(VLOOKUP($BD5,Programma!$F$3:$T$1107,15,0),"")</f>
        <v/>
      </c>
      <c r="BS5" s="363" t="str">
        <f>_xlfn.IFNA(VLOOKUP($BD5,Programma!$F$3:$U$1107,16,0),"")</f>
        <v/>
      </c>
      <c r="BT5" s="363" t="str">
        <f>_xlfn.IFNA(VLOOKUP($BD5,Programma!$F$3:$V$1107,17,0),"")</f>
        <v/>
      </c>
      <c r="BU5" s="363" t="str">
        <f>_xlfn.IFNA(VLOOKUP($BD5,Programma!$F$3:$W$1107,18,0),"")</f>
        <v/>
      </c>
      <c r="BV5" s="363" t="str">
        <f>_xlfn.IFNA(VLOOKUP($BD5,Programma!$F$3:$X$1107,19,0),"")</f>
        <v/>
      </c>
      <c r="BW5" s="363" t="str">
        <f>_xlfn.IFNA(VLOOKUP($BD5,Programma!$F$3:$Y$1107,20,0),"")</f>
        <v/>
      </c>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row>
    <row r="6" spans="1:221" ht="15" customHeight="1">
      <c r="A6" s="33">
        <v>2</v>
      </c>
      <c r="B6" s="157" t="str">
        <f>VLOOKUP(Ruimtestaat[[#This Row],[Code]],Locaties[[Code]:[Locatie]],2,FALSE)</f>
        <v>'s Gravendreef College</v>
      </c>
      <c r="C6" s="157" t="str">
        <f>VLOOKUP(Ruimtestaat[[#This Row],[Code]],Locaties[[#All],[Code]:[Adres]],4,FALSE)</f>
        <v>Klaas Voskuildreef 135</v>
      </c>
      <c r="D6" s="157" t="str">
        <f>VLOOKUP(Ruimtestaat[[#This Row],[Code]],Locaties[[#All],[Code]:[Postcode]],5,FALSE)</f>
        <v>2492 JJ</v>
      </c>
      <c r="E6" s="157" t="str">
        <f>VLOOKUP(Ruimtestaat[[#This Row],[Code]],Locaties[#All],6,FALSE)</f>
        <v>Den Haag</v>
      </c>
      <c r="F6" s="33"/>
      <c r="G6" s="33" t="s">
        <v>1632</v>
      </c>
      <c r="H6" s="366">
        <v>2</v>
      </c>
      <c r="I6" s="367" t="s">
        <v>1634</v>
      </c>
      <c r="J6" s="21">
        <v>6</v>
      </c>
      <c r="K6" s="62" t="str">
        <f>VLOOKUP(Ruimtestaat[[#This Row],[Ruimte code]],Ruimtegroepen[[#All],[Code]:[Ruimte omschrijving]],2,FALSE)</f>
        <v>Gangen/hallen</v>
      </c>
      <c r="L6" s="33" t="s">
        <v>101</v>
      </c>
      <c r="M6" s="367" t="s">
        <v>2495</v>
      </c>
      <c r="N6" s="140">
        <v>318</v>
      </c>
      <c r="O6" s="33"/>
      <c r="P6" s="125" t="str">
        <f>VLOOKUP(Ruimtestaat[[#This Row],[Ruimte code]],Ruimtegroepen[],4,FALSE)</f>
        <v>Ve</v>
      </c>
      <c r="R6" s="33">
        <v>40</v>
      </c>
      <c r="S6" s="33" t="s">
        <v>2</v>
      </c>
      <c r="T6" s="33">
        <f>IF(R6&gt;0,IF(RIGHT(Ruimtestaat[[#This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 s="33">
        <f>IF(T6&gt;0,VLOOKUP($J6,Ruimtegroepen[],3,FALSE)*VLOOKUP($L6,Vloersoorten[],3,FALSE)*VLOOKUP($S6,Frequenties[],3,FALSE)*VLOOKUP($A6,Locaties[],3,FALSE),0)</f>
        <v>0</v>
      </c>
      <c r="V6" s="33">
        <f>Ruimtestaat[[#This Row],[Uitvoeringen werkdagen]]*Ruimtestaat[[#This Row],[Oppervlak (netto)]]</f>
        <v>63600</v>
      </c>
      <c r="W6" s="154">
        <f>IF(U6&gt;0,Ruimtestaat[[#This Row],[Prest. (m2 /jaar) werkdagen]]/Ruimtestaat[[#This Row],[Norm (m2/uur) werkdagen]],0)</f>
        <v>0</v>
      </c>
      <c r="X6" s="155">
        <f>Ruimtestaat[[#This Row],[uren / jaar werkdagen]]*Tariefsopbouw!$E$35</f>
        <v>0</v>
      </c>
      <c r="Y6" s="33"/>
      <c r="Z6" s="33">
        <f>IF(Ruimtestaat[[#This Row],[Frequentie weekend]]&gt;0,VALUE(LEFT(Y6,1))*R6,0)</f>
        <v>0</v>
      </c>
      <c r="AA6" s="97">
        <f>IF($Z6&gt;0,VLOOKUP($J6,Ruimtegroepen[],3,FALSE)*VLOOKUP($L6,Vloersoorten[],3,FALSE)*VLOOKUP($Y6,Frequenties[],3,FALSE)*VLOOKUP(Ruimtestaat[[#This Row],[Code]],Locaties[],3,FALSE),0)</f>
        <v>0</v>
      </c>
      <c r="AB6" s="97">
        <f>Ruimtestaat[[#This Row],[Uitvoeringen weekend]]*Ruimtestaat[[#This Row],[Oppervlak (netto)]]</f>
        <v>0</v>
      </c>
      <c r="AC6" s="97">
        <f>IF(AA6&gt;0,Ruimtestaat[[#This Row],[Prest. (m2 /jaar) weekend]]/Ruimtestaat[[#This Row],[Norm (m2/uur) weekend]],0)</f>
        <v>0</v>
      </c>
      <c r="AD6" s="155">
        <f>Ruimtestaat[[#This Row],[uren / jaar weekend]]*Tariefsopbouw!$D$40</f>
        <v>0</v>
      </c>
      <c r="AE6" s="154">
        <f>Ruimtestaat[[#This Row],[Prest. (m2 /jaar) weekend]]+Ruimtestaat[[#This Row],[Prest. (m2 /jaar) werkdagen]]</f>
        <v>63600</v>
      </c>
      <c r="AF6" s="154">
        <f>Ruimtestaat[[#This Row],[uren / jaar weekend]]+Ruimtestaat[[#This Row],[uren / jaar werkdagen]]</f>
        <v>0</v>
      </c>
      <c r="AG6" s="69">
        <f>Ruimtestaat[[#This Row],[kosten / jaar weekend]]+Ruimtestaat[[#This Row],[kosten / jaar werkdagen]]</f>
        <v>0</v>
      </c>
      <c r="AH6" s="69"/>
      <c r="AI6" s="256" t="str">
        <f>IF(Ruimtestaat[[#This Row],[Frequentie werkdagen]]="","",_xlfn.CONCAT(Ruimtestaat[[#This Row],[Ruimte code]],"-",Ruimtestaat[[#This Row],[Frequentie werkdagen]]," ",Ruimtestaat[[#This Row],[Vloer code]]))</f>
        <v>6-5w L</v>
      </c>
      <c r="AJ6" s="363" t="str">
        <f>_xlfn.IFNA(VLOOKUP($AI6,Programma!$F$3:$G$1107,2,0),"")</f>
        <v>_</v>
      </c>
      <c r="AK6" s="363" t="str">
        <f>_xlfn.IFNA(VLOOKUP($AI6,Programma!$F$3:$H$1107,3,0),"")</f>
        <v>_</v>
      </c>
      <c r="AL6" s="363" t="str">
        <f>_xlfn.IFNA(VLOOKUP($AI6,Programma!$F$3:$I$1107,4,0),"")</f>
        <v>_</v>
      </c>
      <c r="AM6" s="363" t="str">
        <f>_xlfn.IFNA(VLOOKUP($AI6,Programma!$F$3:$J$1107,5,0),"")</f>
        <v>5w</v>
      </c>
      <c r="AN6" s="363" t="str">
        <f>_xlfn.IFNA(VLOOKUP($AI6,Programma!$F$3:$K$1107,6,0),"")</f>
        <v>_</v>
      </c>
      <c r="AO6" s="363" t="str">
        <f>_xlfn.IFNA(VLOOKUP($AI6,Programma!$F$3:$L$1107,7,0),"")</f>
        <v>_</v>
      </c>
      <c r="AP6" s="363" t="str">
        <f>_xlfn.IFNA(VLOOKUP($AI6,Programma!$F$3:$M$1107,8,0),"")</f>
        <v>_</v>
      </c>
      <c r="AQ6" s="363" t="str">
        <f>_xlfn.IFNA(VLOOKUP($AI6,Programma!$F$3:$N$1107,9,0),"")</f>
        <v>_</v>
      </c>
      <c r="AR6" s="363" t="str">
        <f>_xlfn.IFNA(VLOOKUP($AI6,Programma!$F$3:$O$1107,10,0),"")</f>
        <v>5w</v>
      </c>
      <c r="AS6" s="363" t="str">
        <f>_xlfn.IFNA(VLOOKUP($AI6,Programma!$F$3:$P$1107,11,0),"")</f>
        <v>5w</v>
      </c>
      <c r="AT6" s="363" t="str">
        <f>_xlfn.IFNA(VLOOKUP($AI6,Programma!$F$3:$Q$1107,12,0),"")</f>
        <v>1w</v>
      </c>
      <c r="AU6" s="363" t="str">
        <f>_xlfn.IFNA(VLOOKUP($AI6,Programma!$F$3:$R$1107,13,0),"")</f>
        <v>1w</v>
      </c>
      <c r="AV6" s="363" t="str">
        <f>_xlfn.IFNA(VLOOKUP($AI6,Programma!$F$3:$S$1107,14,0),"")</f>
        <v>1m</v>
      </c>
      <c r="AW6" s="363" t="str">
        <f>_xlfn.IFNA(VLOOKUP($AI6,Programma!$F$3:$T$1107,15,0),"")</f>
        <v>2j</v>
      </c>
      <c r="AX6" s="363" t="str">
        <f>_xlfn.IFNA(VLOOKUP($AI6,Programma!$F$3:$U$1107,16,0),"")</f>
        <v>1j</v>
      </c>
      <c r="AY6" s="363" t="str">
        <f>_xlfn.IFNA(VLOOKUP($AI6,Programma!$F$3:$V$1107,17,0),"")</f>
        <v>_</v>
      </c>
      <c r="AZ6" s="363" t="str">
        <f>_xlfn.IFNA(VLOOKUP($AI6,Programma!$F$3:$W$1107,18,0),"")</f>
        <v>_</v>
      </c>
      <c r="BA6" s="363" t="str">
        <f>_xlfn.IFNA(VLOOKUP($AI6,Programma!$F$3:$X$1107,19,0),"")</f>
        <v>_</v>
      </c>
      <c r="BB6" s="363" t="str">
        <f>_xlfn.IFNA(VLOOKUP($AI6,Programma!$F$3:$Y$1107,20,0),"")</f>
        <v>_</v>
      </c>
      <c r="BC6" s="257"/>
      <c r="BD6" s="256" t="str">
        <f>IF(Ruimtestaat[[#This Row],[Frequentie weekend]]="","",_xlfn.CONCAT(Ruimtestaat[[#This Row],[Ruimte code]],"-",Ruimtestaat[[#This Row],[Frequentie weekend]]," ",Ruimtestaat[[#This Row],[Vloer code]]))</f>
        <v/>
      </c>
      <c r="BE6" s="363" t="str">
        <f>_xlfn.IFNA(VLOOKUP($BD6,Programma!$F$3:$G$1107,2,0),"")</f>
        <v/>
      </c>
      <c r="BF6" s="363" t="str">
        <f>_xlfn.IFNA(VLOOKUP($BD6,Programma!$F$3:$H$1107,3,0),"")</f>
        <v/>
      </c>
      <c r="BG6" s="363" t="str">
        <f>_xlfn.IFNA(VLOOKUP($BD6,Programma!$F$3:$I$1107,4,0),"")</f>
        <v/>
      </c>
      <c r="BH6" s="363" t="str">
        <f>_xlfn.IFNA(VLOOKUP($BD6,Programma!$F$3:$J$1107,5,0),"")</f>
        <v/>
      </c>
      <c r="BI6" s="363" t="str">
        <f>_xlfn.IFNA(VLOOKUP($BD6,Programma!$F$3:$K$1107,6,0),"")</f>
        <v/>
      </c>
      <c r="BJ6" s="363" t="str">
        <f>_xlfn.IFNA(VLOOKUP($BD6,Programma!$F$3:$L$1107,7,0),"")</f>
        <v/>
      </c>
      <c r="BK6" s="363" t="str">
        <f>_xlfn.IFNA(VLOOKUP($BD6,Programma!$F$3:$M$1107,8,0),"")</f>
        <v/>
      </c>
      <c r="BL6" s="363" t="str">
        <f>_xlfn.IFNA(VLOOKUP($BD6,Programma!$F$3:$N$1107,9,0),"")</f>
        <v/>
      </c>
      <c r="BM6" s="363" t="str">
        <f>_xlfn.IFNA(VLOOKUP($BD6,Programma!$F$3:$O$1107,10,0),"")</f>
        <v/>
      </c>
      <c r="BN6" s="363" t="str">
        <f>_xlfn.IFNA(VLOOKUP($BD6,Programma!$F$3:$P$1107,11,0),"")</f>
        <v/>
      </c>
      <c r="BO6" s="363" t="str">
        <f>_xlfn.IFNA(VLOOKUP($BD6,Programma!$F$3:$Q$1107,12,0),"")</f>
        <v/>
      </c>
      <c r="BP6" s="363" t="str">
        <f>_xlfn.IFNA(VLOOKUP($BD6,Programma!$F$3:$R$1107,13,0),"")</f>
        <v/>
      </c>
      <c r="BQ6" s="363" t="str">
        <f>_xlfn.IFNA(VLOOKUP($BD6,Programma!$F$3:$S$1107,14,0),"")</f>
        <v/>
      </c>
      <c r="BR6" s="363" t="str">
        <f>_xlfn.IFNA(VLOOKUP($BD6,Programma!$F$3:$T$1107,15,0),"")</f>
        <v/>
      </c>
      <c r="BS6" s="363" t="str">
        <f>_xlfn.IFNA(VLOOKUP($BD6,Programma!$F$3:$U$1107,16,0),"")</f>
        <v/>
      </c>
      <c r="BT6" s="363" t="str">
        <f>_xlfn.IFNA(VLOOKUP($BD6,Programma!$F$3:$V$1107,17,0),"")</f>
        <v/>
      </c>
      <c r="BU6" s="363" t="str">
        <f>_xlfn.IFNA(VLOOKUP($BD6,Programma!$F$3:$W$1107,18,0),"")</f>
        <v/>
      </c>
      <c r="BV6" s="363" t="str">
        <f>_xlfn.IFNA(VLOOKUP($BD6,Programma!$F$3:$X$1107,19,0),"")</f>
        <v/>
      </c>
      <c r="BW6" s="363" t="str">
        <f>_xlfn.IFNA(VLOOKUP($BD6,Programma!$F$3:$Y$1107,20,0),"")</f>
        <v/>
      </c>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row>
    <row r="7" spans="1:221" ht="15" customHeight="1">
      <c r="A7" s="33">
        <v>2</v>
      </c>
      <c r="B7" s="157" t="str">
        <f>VLOOKUP(Ruimtestaat[[#This Row],[Code]],Locaties[[Code]:[Locatie]],2,FALSE)</f>
        <v>'s Gravendreef College</v>
      </c>
      <c r="C7" s="157" t="str">
        <f>VLOOKUP(Ruimtestaat[[#This Row],[Code]],Locaties[[#All],[Code]:[Adres]],4,FALSE)</f>
        <v>Klaas Voskuildreef 135</v>
      </c>
      <c r="D7" s="157" t="str">
        <f>VLOOKUP(Ruimtestaat[[#This Row],[Code]],Locaties[[#All],[Code]:[Postcode]],5,FALSE)</f>
        <v>2492 JJ</v>
      </c>
      <c r="E7" s="157" t="str">
        <f>VLOOKUP(Ruimtestaat[[#This Row],[Code]],Locaties[#All],6,FALSE)</f>
        <v>Den Haag</v>
      </c>
      <c r="F7" s="33"/>
      <c r="G7" s="33" t="s">
        <v>1632</v>
      </c>
      <c r="H7" s="366">
        <v>3</v>
      </c>
      <c r="I7" s="367" t="s">
        <v>1635</v>
      </c>
      <c r="J7" s="21">
        <v>2</v>
      </c>
      <c r="K7" s="62" t="str">
        <f>VLOOKUP(Ruimtestaat[[#This Row],[Ruimte code]],Ruimtegroepen[[#All],[Code]:[Ruimte omschrijving]],2,FALSE)</f>
        <v>Kantoren</v>
      </c>
      <c r="L7" s="33" t="s">
        <v>101</v>
      </c>
      <c r="M7" s="367" t="s">
        <v>2495</v>
      </c>
      <c r="N7" s="140">
        <v>26</v>
      </c>
      <c r="O7" s="299"/>
      <c r="P7" s="125" t="str">
        <f>VLOOKUP(Ruimtestaat[[#This Row],[Ruimte code]],Ruimtegroepen[],4,FALSE)</f>
        <v>Bu</v>
      </c>
      <c r="R7" s="33">
        <v>42</v>
      </c>
      <c r="S7" s="33" t="s">
        <v>18</v>
      </c>
      <c r="T7" s="33">
        <f>IF(R7&gt;0,IF(RIGHT(Ruimtestaat[[#This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 s="33">
        <f>IF(T7&gt;0,VLOOKUP($J7,Ruimtegroepen[],3,FALSE)*VLOOKUP($L7,Vloersoorten[],3,FALSE)*VLOOKUP($S7,Frequenties[],3,FALSE)*VLOOKUP($A7,Locaties[],3,FALSE),0)</f>
        <v>0</v>
      </c>
      <c r="V7" s="33">
        <f>Ruimtestaat[[#This Row],[Uitvoeringen werkdagen]]*Ruimtestaat[[#This Row],[Oppervlak (netto)]]</f>
        <v>3276</v>
      </c>
      <c r="W7" s="154">
        <f>IF(U7&gt;0,Ruimtestaat[[#This Row],[Prest. (m2 /jaar) werkdagen]]/Ruimtestaat[[#This Row],[Norm (m2/uur) werkdagen]],0)</f>
        <v>0</v>
      </c>
      <c r="X7" s="155">
        <f>Ruimtestaat[[#This Row],[uren / jaar werkdagen]]*Tariefsopbouw!$E$35</f>
        <v>0</v>
      </c>
      <c r="Y7" s="33"/>
      <c r="Z7" s="33">
        <f>IF(Ruimtestaat[[#This Row],[Frequentie weekend]]&gt;0,VALUE(LEFT(Y7,1))*R7,0)</f>
        <v>0</v>
      </c>
      <c r="AA7" s="97">
        <f>IF($Z7&gt;0,VLOOKUP($J7,Ruimtegroepen[],3,FALSE)*VLOOKUP($L7,Vloersoorten[],3,FALSE)*VLOOKUP($Y7,Frequenties[],3,FALSE)*VLOOKUP(Ruimtestaat[[#This Row],[Code]],Locaties[],3,FALSE),0)</f>
        <v>0</v>
      </c>
      <c r="AB7" s="97">
        <f>Ruimtestaat[[#This Row],[Uitvoeringen weekend]]*Ruimtestaat[[#This Row],[Oppervlak (netto)]]</f>
        <v>0</v>
      </c>
      <c r="AC7" s="97">
        <f>IF(AA7&gt;0,Ruimtestaat[[#This Row],[Prest. (m2 /jaar) weekend]]/Ruimtestaat[[#This Row],[Norm (m2/uur) weekend]],0)</f>
        <v>0</v>
      </c>
      <c r="AD7" s="155">
        <f>Ruimtestaat[[#This Row],[uren / jaar weekend]]*Tariefsopbouw!$D$40</f>
        <v>0</v>
      </c>
      <c r="AE7" s="154">
        <f>Ruimtestaat[[#This Row],[Prest. (m2 /jaar) weekend]]+Ruimtestaat[[#This Row],[Prest. (m2 /jaar) werkdagen]]</f>
        <v>3276</v>
      </c>
      <c r="AF7" s="154">
        <f>Ruimtestaat[[#This Row],[uren / jaar weekend]]+Ruimtestaat[[#This Row],[uren / jaar werkdagen]]</f>
        <v>0</v>
      </c>
      <c r="AG7" s="69">
        <f>Ruimtestaat[[#This Row],[kosten / jaar weekend]]+Ruimtestaat[[#This Row],[kosten / jaar werkdagen]]</f>
        <v>0</v>
      </c>
      <c r="AH7" s="69"/>
      <c r="AI7" s="256" t="str">
        <f>IF(Ruimtestaat[[#This Row],[Frequentie werkdagen]]="","",_xlfn.CONCAT(Ruimtestaat[[#This Row],[Ruimte code]],"-",Ruimtestaat[[#This Row],[Frequentie werkdagen]]," ",Ruimtestaat[[#This Row],[Vloer code]]))</f>
        <v>2-3w L</v>
      </c>
      <c r="AJ7" s="363" t="str">
        <f>_xlfn.IFNA(VLOOKUP($AI7,Programma!$F$3:$G$1107,2,0),"")</f>
        <v>_</v>
      </c>
      <c r="AK7" s="363" t="str">
        <f>_xlfn.IFNA(VLOOKUP($AI7,Programma!$F$3:$H$1107,3,0),"")</f>
        <v>_</v>
      </c>
      <c r="AL7" s="363" t="str">
        <f>_xlfn.IFNA(VLOOKUP($AI7,Programma!$F$3:$I$1107,4,0),"")</f>
        <v>2w</v>
      </c>
      <c r="AM7" s="363" t="str">
        <f>_xlfn.IFNA(VLOOKUP($AI7,Programma!$F$3:$J$1107,5,0),"")</f>
        <v>1w</v>
      </c>
      <c r="AN7" s="363" t="str">
        <f>_xlfn.IFNA(VLOOKUP($AI7,Programma!$F$3:$K$1107,6,0),"")</f>
        <v>_</v>
      </c>
      <c r="AO7" s="363" t="str">
        <f>_xlfn.IFNA(VLOOKUP($AI7,Programma!$F$3:$L$1107,7,0),"")</f>
        <v>_</v>
      </c>
      <c r="AP7" s="363" t="str">
        <f>_xlfn.IFNA(VLOOKUP($AI7,Programma!$F$3:$M$1107,8,0),"")</f>
        <v>_</v>
      </c>
      <c r="AQ7" s="363" t="str">
        <f>_xlfn.IFNA(VLOOKUP($AI7,Programma!$F$3:$N$1107,9,0),"")</f>
        <v>_</v>
      </c>
      <c r="AR7" s="363" t="str">
        <f>_xlfn.IFNA(VLOOKUP($AI7,Programma!$F$3:$O$1107,10,0),"")</f>
        <v>3w</v>
      </c>
      <c r="AS7" s="363" t="str">
        <f>_xlfn.IFNA(VLOOKUP($AI7,Programma!$F$3:$P$1107,11,0),"")</f>
        <v>3w</v>
      </c>
      <c r="AT7" s="363" t="str">
        <f>_xlfn.IFNA(VLOOKUP($AI7,Programma!$F$3:$Q$1107,12,0),"")</f>
        <v>1w</v>
      </c>
      <c r="AU7" s="363" t="str">
        <f>_xlfn.IFNA(VLOOKUP($AI7,Programma!$F$3:$R$1107,13,0),"")</f>
        <v>1w</v>
      </c>
      <c r="AV7" s="363" t="str">
        <f>_xlfn.IFNA(VLOOKUP($AI7,Programma!$F$3:$S$1107,14,0),"")</f>
        <v>1m</v>
      </c>
      <c r="AW7" s="363" t="str">
        <f>_xlfn.IFNA(VLOOKUP($AI7,Programma!$F$3:$T$1107,15,0),"")</f>
        <v>2j</v>
      </c>
      <c r="AX7" s="363" t="str">
        <f>_xlfn.IFNA(VLOOKUP($AI7,Programma!$F$3:$U$1107,16,0),"")</f>
        <v>1j</v>
      </c>
      <c r="AY7" s="363" t="str">
        <f>_xlfn.IFNA(VLOOKUP($AI7,Programma!$F$3:$V$1107,17,0),"")</f>
        <v>_</v>
      </c>
      <c r="AZ7" s="363" t="str">
        <f>_xlfn.IFNA(VLOOKUP($AI7,Programma!$F$3:$W$1107,18,0),"")</f>
        <v>_</v>
      </c>
      <c r="BA7" s="363" t="str">
        <f>_xlfn.IFNA(VLOOKUP($AI7,Programma!$F$3:$X$1107,19,0),"")</f>
        <v>_</v>
      </c>
      <c r="BB7" s="363" t="str">
        <f>_xlfn.IFNA(VLOOKUP($AI7,Programma!$F$3:$Y$1107,20,0),"")</f>
        <v>_</v>
      </c>
      <c r="BC7" s="257"/>
      <c r="BD7" s="256" t="str">
        <f>IF(Ruimtestaat[[#This Row],[Frequentie weekend]]="","",_xlfn.CONCAT(Ruimtestaat[[#This Row],[Ruimte code]],"-",Ruimtestaat[[#This Row],[Frequentie weekend]]," ",Ruimtestaat[[#This Row],[Vloer code]]))</f>
        <v/>
      </c>
      <c r="BE7" s="363" t="str">
        <f>_xlfn.IFNA(VLOOKUP($BD7,Programma!$F$3:$G$1107,2,0),"")</f>
        <v/>
      </c>
      <c r="BF7" s="363" t="str">
        <f>_xlfn.IFNA(VLOOKUP($BD7,Programma!$F$3:$H$1107,3,0),"")</f>
        <v/>
      </c>
      <c r="BG7" s="363" t="str">
        <f>_xlfn.IFNA(VLOOKUP($BD7,Programma!$F$3:$I$1107,4,0),"")</f>
        <v/>
      </c>
      <c r="BH7" s="363" t="str">
        <f>_xlfn.IFNA(VLOOKUP($BD7,Programma!$F$3:$J$1107,5,0),"")</f>
        <v/>
      </c>
      <c r="BI7" s="363" t="str">
        <f>_xlfn.IFNA(VLOOKUP($BD7,Programma!$F$3:$K$1107,6,0),"")</f>
        <v/>
      </c>
      <c r="BJ7" s="363" t="str">
        <f>_xlfn.IFNA(VLOOKUP($BD7,Programma!$F$3:$L$1107,7,0),"")</f>
        <v/>
      </c>
      <c r="BK7" s="363" t="str">
        <f>_xlfn.IFNA(VLOOKUP($BD7,Programma!$F$3:$M$1107,8,0),"")</f>
        <v/>
      </c>
      <c r="BL7" s="363" t="str">
        <f>_xlfn.IFNA(VLOOKUP($BD7,Programma!$F$3:$N$1107,9,0),"")</f>
        <v/>
      </c>
      <c r="BM7" s="363" t="str">
        <f>_xlfn.IFNA(VLOOKUP($BD7,Programma!$F$3:$O$1107,10,0),"")</f>
        <v/>
      </c>
      <c r="BN7" s="363" t="str">
        <f>_xlfn.IFNA(VLOOKUP($BD7,Programma!$F$3:$P$1107,11,0),"")</f>
        <v/>
      </c>
      <c r="BO7" s="363" t="str">
        <f>_xlfn.IFNA(VLOOKUP($BD7,Programma!$F$3:$Q$1107,12,0),"")</f>
        <v/>
      </c>
      <c r="BP7" s="363" t="str">
        <f>_xlfn.IFNA(VLOOKUP($BD7,Programma!$F$3:$R$1107,13,0),"")</f>
        <v/>
      </c>
      <c r="BQ7" s="363" t="str">
        <f>_xlfn.IFNA(VLOOKUP($BD7,Programma!$F$3:$S$1107,14,0),"")</f>
        <v/>
      </c>
      <c r="BR7" s="363" t="str">
        <f>_xlfn.IFNA(VLOOKUP($BD7,Programma!$F$3:$T$1107,15,0),"")</f>
        <v/>
      </c>
      <c r="BS7" s="363" t="str">
        <f>_xlfn.IFNA(VLOOKUP($BD7,Programma!$F$3:$U$1107,16,0),"")</f>
        <v/>
      </c>
      <c r="BT7" s="363" t="str">
        <f>_xlfn.IFNA(VLOOKUP($BD7,Programma!$F$3:$V$1107,17,0),"")</f>
        <v/>
      </c>
      <c r="BU7" s="363" t="str">
        <f>_xlfn.IFNA(VLOOKUP($BD7,Programma!$F$3:$W$1107,18,0),"")</f>
        <v/>
      </c>
      <c r="BV7" s="363" t="str">
        <f>_xlfn.IFNA(VLOOKUP($BD7,Programma!$F$3:$X$1107,19,0),"")</f>
        <v/>
      </c>
      <c r="BW7" s="363" t="str">
        <f>_xlfn.IFNA(VLOOKUP($BD7,Programma!$F$3:$Y$1107,20,0),"")</f>
        <v/>
      </c>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row>
    <row r="8" spans="1:221" ht="15" customHeight="1">
      <c r="A8" s="33">
        <v>2</v>
      </c>
      <c r="B8" s="157" t="str">
        <f>VLOOKUP(Ruimtestaat[[#This Row],[Code]],Locaties[[Code]:[Locatie]],2,FALSE)</f>
        <v>'s Gravendreef College</v>
      </c>
      <c r="C8" s="157" t="str">
        <f>VLOOKUP(Ruimtestaat[[#This Row],[Code]],Locaties[[#All],[Code]:[Adres]],4,FALSE)</f>
        <v>Klaas Voskuildreef 135</v>
      </c>
      <c r="D8" s="157" t="str">
        <f>VLOOKUP(Ruimtestaat[[#This Row],[Code]],Locaties[[#All],[Code]:[Postcode]],5,FALSE)</f>
        <v>2492 JJ</v>
      </c>
      <c r="E8" s="157" t="str">
        <f>VLOOKUP(Ruimtestaat[[#This Row],[Code]],Locaties[#All],6,FALSE)</f>
        <v>Den Haag</v>
      </c>
      <c r="F8" s="33"/>
      <c r="G8" s="33" t="s">
        <v>1632</v>
      </c>
      <c r="H8" s="366">
        <v>4</v>
      </c>
      <c r="I8" s="367" t="s">
        <v>1636</v>
      </c>
      <c r="J8" s="21">
        <v>12</v>
      </c>
      <c r="K8" s="62" t="str">
        <f>VLOOKUP(Ruimtestaat[[#This Row],[Ruimte code]],Ruimtegroepen[[#All],[Code]:[Ruimte omschrijving]],2,FALSE)</f>
        <v>Kantine</v>
      </c>
      <c r="L8" s="33" t="s">
        <v>101</v>
      </c>
      <c r="M8" s="367" t="s">
        <v>2495</v>
      </c>
      <c r="N8" s="140">
        <v>359</v>
      </c>
      <c r="O8" s="299"/>
      <c r="P8" s="125" t="str">
        <f>VLOOKUP(Ruimtestaat[[#This Row],[Ruimte code]],Ruimtegroepen[],4,FALSE)</f>
        <v>Ve</v>
      </c>
      <c r="R8" s="33">
        <v>40</v>
      </c>
      <c r="S8" s="33" t="s">
        <v>2</v>
      </c>
      <c r="T8" s="33">
        <f>IF(R8&gt;0,IF(RIGHT(Ruimtestaat[[#This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 s="33">
        <f>IF(T8&gt;0,VLOOKUP($J8,Ruimtegroepen[],3,FALSE)*VLOOKUP($L8,Vloersoorten[],3,FALSE)*VLOOKUP($S8,Frequenties[],3,FALSE)*VLOOKUP($A8,Locaties[],3,FALSE),0)</f>
        <v>0</v>
      </c>
      <c r="V8" s="33">
        <f>Ruimtestaat[[#This Row],[Uitvoeringen werkdagen]]*Ruimtestaat[[#This Row],[Oppervlak (netto)]]</f>
        <v>71800</v>
      </c>
      <c r="W8" s="154">
        <f>IF(U8&gt;0,Ruimtestaat[[#This Row],[Prest. (m2 /jaar) werkdagen]]/Ruimtestaat[[#This Row],[Norm (m2/uur) werkdagen]],0)</f>
        <v>0</v>
      </c>
      <c r="X8" s="155">
        <f>Ruimtestaat[[#This Row],[uren / jaar werkdagen]]*Tariefsopbouw!$E$35</f>
        <v>0</v>
      </c>
      <c r="Y8" s="33"/>
      <c r="Z8" s="33">
        <f>IF(Ruimtestaat[[#This Row],[Frequentie weekend]]&gt;0,VALUE(LEFT(Y8,1))*R8,0)</f>
        <v>0</v>
      </c>
      <c r="AA8" s="97">
        <f>IF($Z8&gt;0,VLOOKUP($J8,Ruimtegroepen[],3,FALSE)*VLOOKUP($L8,Vloersoorten[],3,FALSE)*VLOOKUP($Y8,Frequenties[],3,FALSE)*VLOOKUP(Ruimtestaat[[#This Row],[Code]],Locaties[],3,FALSE),0)</f>
        <v>0</v>
      </c>
      <c r="AB8" s="97">
        <f>Ruimtestaat[[#This Row],[Uitvoeringen weekend]]*Ruimtestaat[[#This Row],[Oppervlak (netto)]]</f>
        <v>0</v>
      </c>
      <c r="AC8" s="97">
        <f>IF(AA8&gt;0,Ruimtestaat[[#This Row],[Prest. (m2 /jaar) weekend]]/Ruimtestaat[[#This Row],[Norm (m2/uur) weekend]],0)</f>
        <v>0</v>
      </c>
      <c r="AD8" s="155">
        <f>Ruimtestaat[[#This Row],[uren / jaar weekend]]*Tariefsopbouw!$D$40</f>
        <v>0</v>
      </c>
      <c r="AE8" s="154">
        <f>Ruimtestaat[[#This Row],[Prest. (m2 /jaar) weekend]]+Ruimtestaat[[#This Row],[Prest. (m2 /jaar) werkdagen]]</f>
        <v>71800</v>
      </c>
      <c r="AF8" s="154">
        <f>Ruimtestaat[[#This Row],[uren / jaar weekend]]+Ruimtestaat[[#This Row],[uren / jaar werkdagen]]</f>
        <v>0</v>
      </c>
      <c r="AG8" s="69">
        <f>Ruimtestaat[[#This Row],[kosten / jaar weekend]]+Ruimtestaat[[#This Row],[kosten / jaar werkdagen]]</f>
        <v>0</v>
      </c>
      <c r="AH8" s="69"/>
      <c r="AI8" s="256" t="str">
        <f>IF(Ruimtestaat[[#This Row],[Frequentie werkdagen]]="","",_xlfn.CONCAT(Ruimtestaat[[#This Row],[Ruimte code]],"-",Ruimtestaat[[#This Row],[Frequentie werkdagen]]," ",Ruimtestaat[[#This Row],[Vloer code]]))</f>
        <v>12-5w L</v>
      </c>
      <c r="AJ8" s="363" t="str">
        <f>_xlfn.IFNA(VLOOKUP($AI8,Programma!$F$3:$G$1107,2,0),"")</f>
        <v>_</v>
      </c>
      <c r="AK8" s="363" t="str">
        <f>_xlfn.IFNA(VLOOKUP($AI8,Programma!$F$3:$H$1107,3,0),"")</f>
        <v>_</v>
      </c>
      <c r="AL8" s="363" t="str">
        <f>_xlfn.IFNA(VLOOKUP($AI8,Programma!$F$3:$I$1107,4,0),"")</f>
        <v>_</v>
      </c>
      <c r="AM8" s="363" t="str">
        <f>_xlfn.IFNA(VLOOKUP($AI8,Programma!$F$3:$J$1107,5,0),"")</f>
        <v>5w</v>
      </c>
      <c r="AN8" s="363" t="str">
        <f>_xlfn.IFNA(VLOOKUP($AI8,Programma!$F$3:$K$1107,6,0),"")</f>
        <v>_</v>
      </c>
      <c r="AO8" s="363" t="str">
        <f>_xlfn.IFNA(VLOOKUP($AI8,Programma!$F$3:$L$1107,7,0),"")</f>
        <v>_</v>
      </c>
      <c r="AP8" s="363" t="str">
        <f>_xlfn.IFNA(VLOOKUP($AI8,Programma!$F$3:$M$1107,8,0),"")</f>
        <v>_</v>
      </c>
      <c r="AQ8" s="363" t="str">
        <f>_xlfn.IFNA(VLOOKUP($AI8,Programma!$F$3:$N$1107,9,0),"")</f>
        <v>_</v>
      </c>
      <c r="AR8" s="363" t="str">
        <f>_xlfn.IFNA(VLOOKUP($AI8,Programma!$F$3:$O$1107,10,0),"")</f>
        <v>5w</v>
      </c>
      <c r="AS8" s="363" t="str">
        <f>_xlfn.IFNA(VLOOKUP($AI8,Programma!$F$3:$P$1107,11,0),"")</f>
        <v>5w</v>
      </c>
      <c r="AT8" s="363" t="str">
        <f>_xlfn.IFNA(VLOOKUP($AI8,Programma!$F$3:$Q$1107,12,0),"")</f>
        <v>1w</v>
      </c>
      <c r="AU8" s="363" t="str">
        <f>_xlfn.IFNA(VLOOKUP($AI8,Programma!$F$3:$R$1107,13,0),"")</f>
        <v>1w</v>
      </c>
      <c r="AV8" s="363" t="str">
        <f>_xlfn.IFNA(VLOOKUP($AI8,Programma!$F$3:$S$1107,14,0),"")</f>
        <v>1m</v>
      </c>
      <c r="AW8" s="363" t="str">
        <f>_xlfn.IFNA(VLOOKUP($AI8,Programma!$F$3:$T$1107,15,0),"")</f>
        <v>2j</v>
      </c>
      <c r="AX8" s="363" t="str">
        <f>_xlfn.IFNA(VLOOKUP($AI8,Programma!$F$3:$U$1107,16,0),"")</f>
        <v>1j</v>
      </c>
      <c r="AY8" s="363" t="str">
        <f>_xlfn.IFNA(VLOOKUP($AI8,Programma!$F$3:$V$1107,17,0),"")</f>
        <v>_</v>
      </c>
      <c r="AZ8" s="363" t="str">
        <f>_xlfn.IFNA(VLOOKUP($AI8,Programma!$F$3:$W$1107,18,0),"")</f>
        <v>_</v>
      </c>
      <c r="BA8" s="363" t="str">
        <f>_xlfn.IFNA(VLOOKUP($AI8,Programma!$F$3:$X$1107,19,0),"")</f>
        <v>_</v>
      </c>
      <c r="BB8" s="363" t="str">
        <f>_xlfn.IFNA(VLOOKUP($AI8,Programma!$F$3:$Y$1107,20,0),"")</f>
        <v>_</v>
      </c>
      <c r="BC8" s="257"/>
      <c r="BD8" s="256" t="str">
        <f>IF(Ruimtestaat[[#This Row],[Frequentie weekend]]="","",_xlfn.CONCAT(Ruimtestaat[[#This Row],[Ruimte code]],"-",Ruimtestaat[[#This Row],[Frequentie weekend]]," ",Ruimtestaat[[#This Row],[Vloer code]]))</f>
        <v/>
      </c>
      <c r="BE8" s="363" t="str">
        <f>_xlfn.IFNA(VLOOKUP($BD8,Programma!$F$3:$G$1107,2,0),"")</f>
        <v/>
      </c>
      <c r="BF8" s="363" t="str">
        <f>_xlfn.IFNA(VLOOKUP($BD8,Programma!$F$3:$H$1107,3,0),"")</f>
        <v/>
      </c>
      <c r="BG8" s="363" t="str">
        <f>_xlfn.IFNA(VLOOKUP($BD8,Programma!$F$3:$I$1107,4,0),"")</f>
        <v/>
      </c>
      <c r="BH8" s="363" t="str">
        <f>_xlfn.IFNA(VLOOKUP($BD8,Programma!$F$3:$J$1107,5,0),"")</f>
        <v/>
      </c>
      <c r="BI8" s="363" t="str">
        <f>_xlfn.IFNA(VLOOKUP($BD8,Programma!$F$3:$K$1107,6,0),"")</f>
        <v/>
      </c>
      <c r="BJ8" s="363" t="str">
        <f>_xlfn.IFNA(VLOOKUP($BD8,Programma!$F$3:$L$1107,7,0),"")</f>
        <v/>
      </c>
      <c r="BK8" s="363" t="str">
        <f>_xlfn.IFNA(VLOOKUP($BD8,Programma!$F$3:$M$1107,8,0),"")</f>
        <v/>
      </c>
      <c r="BL8" s="363" t="str">
        <f>_xlfn.IFNA(VLOOKUP($BD8,Programma!$F$3:$N$1107,9,0),"")</f>
        <v/>
      </c>
      <c r="BM8" s="363" t="str">
        <f>_xlfn.IFNA(VLOOKUP($BD8,Programma!$F$3:$O$1107,10,0),"")</f>
        <v/>
      </c>
      <c r="BN8" s="363" t="str">
        <f>_xlfn.IFNA(VLOOKUP($BD8,Programma!$F$3:$P$1107,11,0),"")</f>
        <v/>
      </c>
      <c r="BO8" s="363" t="str">
        <f>_xlfn.IFNA(VLOOKUP($BD8,Programma!$F$3:$Q$1107,12,0),"")</f>
        <v/>
      </c>
      <c r="BP8" s="363" t="str">
        <f>_xlfn.IFNA(VLOOKUP($BD8,Programma!$F$3:$R$1107,13,0),"")</f>
        <v/>
      </c>
      <c r="BQ8" s="363" t="str">
        <f>_xlfn.IFNA(VLOOKUP($BD8,Programma!$F$3:$S$1107,14,0),"")</f>
        <v/>
      </c>
      <c r="BR8" s="363" t="str">
        <f>_xlfn.IFNA(VLOOKUP($BD8,Programma!$F$3:$T$1107,15,0),"")</f>
        <v/>
      </c>
      <c r="BS8" s="363" t="str">
        <f>_xlfn.IFNA(VLOOKUP($BD8,Programma!$F$3:$U$1107,16,0),"")</f>
        <v/>
      </c>
      <c r="BT8" s="363" t="str">
        <f>_xlfn.IFNA(VLOOKUP($BD8,Programma!$F$3:$V$1107,17,0),"")</f>
        <v/>
      </c>
      <c r="BU8" s="363" t="str">
        <f>_xlfn.IFNA(VLOOKUP($BD8,Programma!$F$3:$W$1107,18,0),"")</f>
        <v/>
      </c>
      <c r="BV8" s="363" t="str">
        <f>_xlfn.IFNA(VLOOKUP($BD8,Programma!$F$3:$X$1107,19,0),"")</f>
        <v/>
      </c>
      <c r="BW8" s="363" t="str">
        <f>_xlfn.IFNA(VLOOKUP($BD8,Programma!$F$3:$Y$1107,20,0),"")</f>
        <v/>
      </c>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row>
    <row r="9" spans="1:221" ht="15" customHeight="1">
      <c r="A9" s="33">
        <v>2</v>
      </c>
      <c r="B9" s="157" t="str">
        <f>VLOOKUP(Ruimtestaat[[#This Row],[Code]],Locaties[[Code]:[Locatie]],2,FALSE)</f>
        <v>'s Gravendreef College</v>
      </c>
      <c r="C9" s="157" t="str">
        <f>VLOOKUP(Ruimtestaat[[#This Row],[Code]],Locaties[[#All],[Code]:[Adres]],4,FALSE)</f>
        <v>Klaas Voskuildreef 135</v>
      </c>
      <c r="D9" s="157" t="str">
        <f>VLOOKUP(Ruimtestaat[[#This Row],[Code]],Locaties[[#All],[Code]:[Postcode]],5,FALSE)</f>
        <v>2492 JJ</v>
      </c>
      <c r="E9" s="157" t="str">
        <f>VLOOKUP(Ruimtestaat[[#This Row],[Code]],Locaties[#All],6,FALSE)</f>
        <v>Den Haag</v>
      </c>
      <c r="F9" s="33"/>
      <c r="G9" s="33" t="s">
        <v>1632</v>
      </c>
      <c r="H9" s="366">
        <v>5</v>
      </c>
      <c r="I9" s="367" t="s">
        <v>1637</v>
      </c>
      <c r="J9" s="21">
        <v>10</v>
      </c>
      <c r="K9" s="62" t="str">
        <f>VLOOKUP(Ruimtestaat[[#This Row],[Ruimte code]],Ruimtegroepen[[#All],[Code]:[Ruimte omschrijving]],2,FALSE)</f>
        <v>Trappenhuizen/lift</v>
      </c>
      <c r="L9" s="33" t="s">
        <v>101</v>
      </c>
      <c r="M9" s="367" t="s">
        <v>2495</v>
      </c>
      <c r="N9" s="140">
        <v>2</v>
      </c>
      <c r="O9" s="33"/>
      <c r="P9" s="125" t="str">
        <f>VLOOKUP(Ruimtestaat[[#This Row],[Ruimte code]],Ruimtegroepen[],4,FALSE)</f>
        <v>Ve</v>
      </c>
      <c r="R9" s="33">
        <v>40</v>
      </c>
      <c r="S9" s="33" t="s">
        <v>2</v>
      </c>
      <c r="T9" s="33">
        <f>IF(R9&gt;0,IF(RIGHT(Ruimtestaat[[#This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 s="33">
        <f>IF(T9&gt;0,VLOOKUP($J9,Ruimtegroepen[],3,FALSE)*VLOOKUP($L9,Vloersoorten[],3,FALSE)*VLOOKUP($S9,Frequenties[],3,FALSE)*VLOOKUP($A9,Locaties[],3,FALSE),0)</f>
        <v>0</v>
      </c>
      <c r="V9" s="33">
        <f>Ruimtestaat[[#This Row],[Uitvoeringen werkdagen]]*Ruimtestaat[[#This Row],[Oppervlak (netto)]]</f>
        <v>400</v>
      </c>
      <c r="W9" s="154">
        <f>IF(U9&gt;0,Ruimtestaat[[#This Row],[Prest. (m2 /jaar) werkdagen]]/Ruimtestaat[[#This Row],[Norm (m2/uur) werkdagen]],0)</f>
        <v>0</v>
      </c>
      <c r="X9" s="155">
        <f>Ruimtestaat[[#This Row],[uren / jaar werkdagen]]*Tariefsopbouw!$E$35</f>
        <v>0</v>
      </c>
      <c r="Y9" s="33"/>
      <c r="Z9" s="33">
        <f>IF(Ruimtestaat[[#This Row],[Frequentie weekend]]&gt;0,VALUE(LEFT(Y9,1))*R9,0)</f>
        <v>0</v>
      </c>
      <c r="AA9" s="97">
        <f>IF($Z9&gt;0,VLOOKUP($J9,Ruimtegroepen[],3,FALSE)*VLOOKUP($L9,Vloersoorten[],3,FALSE)*VLOOKUP($Y9,Frequenties[],3,FALSE)*VLOOKUP(Ruimtestaat[[#This Row],[Code]],Locaties[],3,FALSE),0)</f>
        <v>0</v>
      </c>
      <c r="AB9" s="97">
        <f>Ruimtestaat[[#This Row],[Uitvoeringen weekend]]*Ruimtestaat[[#This Row],[Oppervlak (netto)]]</f>
        <v>0</v>
      </c>
      <c r="AC9" s="97">
        <f>IF(AA9&gt;0,Ruimtestaat[[#This Row],[Prest. (m2 /jaar) weekend]]/Ruimtestaat[[#This Row],[Norm (m2/uur) weekend]],0)</f>
        <v>0</v>
      </c>
      <c r="AD9" s="155">
        <f>Ruimtestaat[[#This Row],[uren / jaar weekend]]*Tariefsopbouw!$D$40</f>
        <v>0</v>
      </c>
      <c r="AE9" s="154">
        <f>Ruimtestaat[[#This Row],[Prest. (m2 /jaar) weekend]]+Ruimtestaat[[#This Row],[Prest. (m2 /jaar) werkdagen]]</f>
        <v>400</v>
      </c>
      <c r="AF9" s="154">
        <f>Ruimtestaat[[#This Row],[uren / jaar weekend]]+Ruimtestaat[[#This Row],[uren / jaar werkdagen]]</f>
        <v>0</v>
      </c>
      <c r="AG9" s="69">
        <f>Ruimtestaat[[#This Row],[kosten / jaar weekend]]+Ruimtestaat[[#This Row],[kosten / jaar werkdagen]]</f>
        <v>0</v>
      </c>
      <c r="AH9" s="69"/>
      <c r="AI9" s="256" t="str">
        <f>IF(Ruimtestaat[[#This Row],[Frequentie werkdagen]]="","",_xlfn.CONCAT(Ruimtestaat[[#This Row],[Ruimte code]],"-",Ruimtestaat[[#This Row],[Frequentie werkdagen]]," ",Ruimtestaat[[#This Row],[Vloer code]]))</f>
        <v>10-5w L</v>
      </c>
      <c r="AJ9" s="363" t="str">
        <f>_xlfn.IFNA(VLOOKUP($AI9,Programma!$F$3:$G$1107,2,0),"")</f>
        <v>_</v>
      </c>
      <c r="AK9" s="363" t="str">
        <f>_xlfn.IFNA(VLOOKUP($AI9,Programma!$F$3:$H$1107,3,0),"")</f>
        <v>_</v>
      </c>
      <c r="AL9" s="363" t="str">
        <f>_xlfn.IFNA(VLOOKUP($AI9,Programma!$F$3:$I$1107,4,0),"")</f>
        <v>4w</v>
      </c>
      <c r="AM9" s="363" t="str">
        <f>_xlfn.IFNA(VLOOKUP($AI9,Programma!$F$3:$J$1107,5,0),"")</f>
        <v>1w</v>
      </c>
      <c r="AN9" s="363" t="str">
        <f>_xlfn.IFNA(VLOOKUP($AI9,Programma!$F$3:$K$1107,6,0),"")</f>
        <v>_</v>
      </c>
      <c r="AO9" s="363" t="str">
        <f>_xlfn.IFNA(VLOOKUP($AI9,Programma!$F$3:$L$1107,7,0),"")</f>
        <v>_</v>
      </c>
      <c r="AP9" s="363" t="str">
        <f>_xlfn.IFNA(VLOOKUP($AI9,Programma!$F$3:$M$1107,8,0),"")</f>
        <v>_</v>
      </c>
      <c r="AQ9" s="363" t="str">
        <f>_xlfn.IFNA(VLOOKUP($AI9,Programma!$F$3:$N$1107,9,0),"")</f>
        <v>_</v>
      </c>
      <c r="AR9" s="363" t="str">
        <f>_xlfn.IFNA(VLOOKUP($AI9,Programma!$F$3:$O$1107,10,0),"")</f>
        <v>5w</v>
      </c>
      <c r="AS9" s="363" t="str">
        <f>_xlfn.IFNA(VLOOKUP($AI9,Programma!$F$3:$P$1107,11,0),"")</f>
        <v>5w</v>
      </c>
      <c r="AT9" s="363" t="str">
        <f>_xlfn.IFNA(VLOOKUP($AI9,Programma!$F$3:$Q$1107,12,0),"")</f>
        <v>1w</v>
      </c>
      <c r="AU9" s="363" t="str">
        <f>_xlfn.IFNA(VLOOKUP($AI9,Programma!$F$3:$R$1107,13,0),"")</f>
        <v>1w</v>
      </c>
      <c r="AV9" s="363" t="str">
        <f>_xlfn.IFNA(VLOOKUP($AI9,Programma!$F$3:$S$1107,14,0),"")</f>
        <v>1m</v>
      </c>
      <c r="AW9" s="363" t="str">
        <f>_xlfn.IFNA(VLOOKUP($AI9,Programma!$F$3:$T$1107,15,0),"")</f>
        <v>2j</v>
      </c>
      <c r="AX9" s="363" t="str">
        <f>_xlfn.IFNA(VLOOKUP($AI9,Programma!$F$3:$U$1107,16,0),"")</f>
        <v>1j</v>
      </c>
      <c r="AY9" s="363" t="str">
        <f>_xlfn.IFNA(VLOOKUP($AI9,Programma!$F$3:$V$1107,17,0),"")</f>
        <v>_</v>
      </c>
      <c r="AZ9" s="363" t="str">
        <f>_xlfn.IFNA(VLOOKUP($AI9,Programma!$F$3:$W$1107,18,0),"")</f>
        <v>_</v>
      </c>
      <c r="BA9" s="363" t="str">
        <f>_xlfn.IFNA(VLOOKUP($AI9,Programma!$F$3:$X$1107,19,0),"")</f>
        <v>_</v>
      </c>
      <c r="BB9" s="363" t="str">
        <f>_xlfn.IFNA(VLOOKUP($AI9,Programma!$F$3:$Y$1107,20,0),"")</f>
        <v>_</v>
      </c>
      <c r="BC9" s="257"/>
      <c r="BD9" s="256" t="str">
        <f>IF(Ruimtestaat[[#This Row],[Frequentie weekend]]="","",_xlfn.CONCAT(Ruimtestaat[[#This Row],[Ruimte code]],"-",Ruimtestaat[[#This Row],[Frequentie weekend]]," ",Ruimtestaat[[#This Row],[Vloer code]]))</f>
        <v/>
      </c>
      <c r="BE9" s="363" t="str">
        <f>_xlfn.IFNA(VLOOKUP($BD9,Programma!$F$3:$G$1107,2,0),"")</f>
        <v/>
      </c>
      <c r="BF9" s="363" t="str">
        <f>_xlfn.IFNA(VLOOKUP($BD9,Programma!$F$3:$H$1107,3,0),"")</f>
        <v/>
      </c>
      <c r="BG9" s="363" t="str">
        <f>_xlfn.IFNA(VLOOKUP($BD9,Programma!$F$3:$I$1107,4,0),"")</f>
        <v/>
      </c>
      <c r="BH9" s="363" t="str">
        <f>_xlfn.IFNA(VLOOKUP($BD9,Programma!$F$3:$J$1107,5,0),"")</f>
        <v/>
      </c>
      <c r="BI9" s="363" t="str">
        <f>_xlfn.IFNA(VLOOKUP($BD9,Programma!$F$3:$K$1107,6,0),"")</f>
        <v/>
      </c>
      <c r="BJ9" s="363" t="str">
        <f>_xlfn.IFNA(VLOOKUP($BD9,Programma!$F$3:$L$1107,7,0),"")</f>
        <v/>
      </c>
      <c r="BK9" s="363" t="str">
        <f>_xlfn.IFNA(VLOOKUP($BD9,Programma!$F$3:$M$1107,8,0),"")</f>
        <v/>
      </c>
      <c r="BL9" s="363" t="str">
        <f>_xlfn.IFNA(VLOOKUP($BD9,Programma!$F$3:$N$1107,9,0),"")</f>
        <v/>
      </c>
      <c r="BM9" s="363" t="str">
        <f>_xlfn.IFNA(VLOOKUP($BD9,Programma!$F$3:$O$1107,10,0),"")</f>
        <v/>
      </c>
      <c r="BN9" s="363" t="str">
        <f>_xlfn.IFNA(VLOOKUP($BD9,Programma!$F$3:$P$1107,11,0),"")</f>
        <v/>
      </c>
      <c r="BO9" s="363" t="str">
        <f>_xlfn.IFNA(VLOOKUP($BD9,Programma!$F$3:$Q$1107,12,0),"")</f>
        <v/>
      </c>
      <c r="BP9" s="363" t="str">
        <f>_xlfn.IFNA(VLOOKUP($BD9,Programma!$F$3:$R$1107,13,0),"")</f>
        <v/>
      </c>
      <c r="BQ9" s="363" t="str">
        <f>_xlfn.IFNA(VLOOKUP($BD9,Programma!$F$3:$S$1107,14,0),"")</f>
        <v/>
      </c>
      <c r="BR9" s="363" t="str">
        <f>_xlfn.IFNA(VLOOKUP($BD9,Programma!$F$3:$T$1107,15,0),"")</f>
        <v/>
      </c>
      <c r="BS9" s="363" t="str">
        <f>_xlfn.IFNA(VLOOKUP($BD9,Programma!$F$3:$U$1107,16,0),"")</f>
        <v/>
      </c>
      <c r="BT9" s="363" t="str">
        <f>_xlfn.IFNA(VLOOKUP($BD9,Programma!$F$3:$V$1107,17,0),"")</f>
        <v/>
      </c>
      <c r="BU9" s="363" t="str">
        <f>_xlfn.IFNA(VLOOKUP($BD9,Programma!$F$3:$W$1107,18,0),"")</f>
        <v/>
      </c>
      <c r="BV9" s="363" t="str">
        <f>_xlfn.IFNA(VLOOKUP($BD9,Programma!$F$3:$X$1107,19,0),"")</f>
        <v/>
      </c>
      <c r="BW9" s="363" t="str">
        <f>_xlfn.IFNA(VLOOKUP($BD9,Programma!$F$3:$Y$1107,20,0),"")</f>
        <v/>
      </c>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row>
    <row r="10" spans="1:221" ht="15" customHeight="1">
      <c r="A10" s="33">
        <v>2</v>
      </c>
      <c r="B10" s="157" t="str">
        <f>VLOOKUP(Ruimtestaat[[#This Row],[Code]],Locaties[[Code]:[Locatie]],2,FALSE)</f>
        <v>'s Gravendreef College</v>
      </c>
      <c r="C10" s="157" t="str">
        <f>VLOOKUP(Ruimtestaat[[#This Row],[Code]],Locaties[[#All],[Code]:[Adres]],4,FALSE)</f>
        <v>Klaas Voskuildreef 135</v>
      </c>
      <c r="D10" s="157" t="str">
        <f>VLOOKUP(Ruimtestaat[[#This Row],[Code]],Locaties[[#All],[Code]:[Postcode]],5,FALSE)</f>
        <v>2492 JJ</v>
      </c>
      <c r="E10" s="157" t="str">
        <f>VLOOKUP(Ruimtestaat[[#This Row],[Code]],Locaties[#All],6,FALSE)</f>
        <v>Den Haag</v>
      </c>
      <c r="F10" s="33"/>
      <c r="G10" s="33" t="s">
        <v>1632</v>
      </c>
      <c r="H10" s="366">
        <v>6</v>
      </c>
      <c r="I10" s="367" t="s">
        <v>1625</v>
      </c>
      <c r="J10" s="21">
        <v>6</v>
      </c>
      <c r="K10" s="62" t="str">
        <f>VLOOKUP(Ruimtestaat[[#This Row],[Ruimte code]],Ruimtegroepen[[#All],[Code]:[Ruimte omschrijving]],2,FALSE)</f>
        <v>Gangen/hallen</v>
      </c>
      <c r="L10" s="33" t="s">
        <v>101</v>
      </c>
      <c r="M10" s="367" t="s">
        <v>2495</v>
      </c>
      <c r="N10" s="140">
        <v>22</v>
      </c>
      <c r="O10" s="299"/>
      <c r="P10" s="125" t="str">
        <f>VLOOKUP(Ruimtestaat[[#This Row],[Ruimte code]],Ruimtegroepen[],4,FALSE)</f>
        <v>Ve</v>
      </c>
      <c r="R10" s="33">
        <v>40</v>
      </c>
      <c r="S10" s="33" t="s">
        <v>2</v>
      </c>
      <c r="T10" s="33">
        <f>IF(R10&gt;0,IF(RIGHT(Ruimtestaat[[#This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 s="33">
        <f>IF(T10&gt;0,VLOOKUP($J10,Ruimtegroepen[],3,FALSE)*VLOOKUP($L10,Vloersoorten[],3,FALSE)*VLOOKUP($S10,Frequenties[],3,FALSE)*VLOOKUP($A10,Locaties[],3,FALSE),0)</f>
        <v>0</v>
      </c>
      <c r="V10" s="33">
        <f>Ruimtestaat[[#This Row],[Uitvoeringen werkdagen]]*Ruimtestaat[[#This Row],[Oppervlak (netto)]]</f>
        <v>4400</v>
      </c>
      <c r="W10" s="154">
        <f>IF(U10&gt;0,Ruimtestaat[[#This Row],[Prest. (m2 /jaar) werkdagen]]/Ruimtestaat[[#This Row],[Norm (m2/uur) werkdagen]],0)</f>
        <v>0</v>
      </c>
      <c r="X10" s="155">
        <f>Ruimtestaat[[#This Row],[uren / jaar werkdagen]]*Tariefsopbouw!$E$35</f>
        <v>0</v>
      </c>
      <c r="Y10" s="33"/>
      <c r="Z10" s="33">
        <f>IF(Ruimtestaat[[#This Row],[Frequentie weekend]]&gt;0,VALUE(LEFT(Y10,1))*R10,0)</f>
        <v>0</v>
      </c>
      <c r="AA10" s="97">
        <f>IF($Z10&gt;0,VLOOKUP($J10,Ruimtegroepen[],3,FALSE)*VLOOKUP($L10,Vloersoorten[],3,FALSE)*VLOOKUP($Y10,Frequenties[],3,FALSE)*VLOOKUP(Ruimtestaat[[#This Row],[Code]],Locaties[],3,FALSE),0)</f>
        <v>0</v>
      </c>
      <c r="AB10" s="97">
        <f>Ruimtestaat[[#This Row],[Uitvoeringen weekend]]*Ruimtestaat[[#This Row],[Oppervlak (netto)]]</f>
        <v>0</v>
      </c>
      <c r="AC10" s="97">
        <f>IF(AA10&gt;0,Ruimtestaat[[#This Row],[Prest. (m2 /jaar) weekend]]/Ruimtestaat[[#This Row],[Norm (m2/uur) weekend]],0)</f>
        <v>0</v>
      </c>
      <c r="AD10" s="155">
        <f>Ruimtestaat[[#This Row],[uren / jaar weekend]]*Tariefsopbouw!$D$40</f>
        <v>0</v>
      </c>
      <c r="AE10" s="154">
        <f>Ruimtestaat[[#This Row],[Prest. (m2 /jaar) weekend]]+Ruimtestaat[[#This Row],[Prest. (m2 /jaar) werkdagen]]</f>
        <v>4400</v>
      </c>
      <c r="AF10" s="154">
        <f>Ruimtestaat[[#This Row],[uren / jaar weekend]]+Ruimtestaat[[#This Row],[uren / jaar werkdagen]]</f>
        <v>0</v>
      </c>
      <c r="AG10" s="69">
        <f>Ruimtestaat[[#This Row],[kosten / jaar weekend]]+Ruimtestaat[[#This Row],[kosten / jaar werkdagen]]</f>
        <v>0</v>
      </c>
      <c r="AH10" s="69"/>
      <c r="AI10" s="256" t="str">
        <f>IF(Ruimtestaat[[#This Row],[Frequentie werkdagen]]="","",_xlfn.CONCAT(Ruimtestaat[[#This Row],[Ruimte code]],"-",Ruimtestaat[[#This Row],[Frequentie werkdagen]]," ",Ruimtestaat[[#This Row],[Vloer code]]))</f>
        <v>6-5w L</v>
      </c>
      <c r="AJ10" s="363" t="str">
        <f>_xlfn.IFNA(VLOOKUP($AI10,Programma!$F$3:$G$1107,2,0),"")</f>
        <v>_</v>
      </c>
      <c r="AK10" s="363" t="str">
        <f>_xlfn.IFNA(VLOOKUP($AI10,Programma!$F$3:$H$1107,3,0),"")</f>
        <v>_</v>
      </c>
      <c r="AL10" s="363" t="str">
        <f>_xlfn.IFNA(VLOOKUP($AI10,Programma!$F$3:$I$1107,4,0),"")</f>
        <v>_</v>
      </c>
      <c r="AM10" s="363" t="str">
        <f>_xlfn.IFNA(VLOOKUP($AI10,Programma!$F$3:$J$1107,5,0),"")</f>
        <v>5w</v>
      </c>
      <c r="AN10" s="363" t="str">
        <f>_xlfn.IFNA(VLOOKUP($AI10,Programma!$F$3:$K$1107,6,0),"")</f>
        <v>_</v>
      </c>
      <c r="AO10" s="363" t="str">
        <f>_xlfn.IFNA(VLOOKUP($AI10,Programma!$F$3:$L$1107,7,0),"")</f>
        <v>_</v>
      </c>
      <c r="AP10" s="363" t="str">
        <f>_xlfn.IFNA(VLOOKUP($AI10,Programma!$F$3:$M$1107,8,0),"")</f>
        <v>_</v>
      </c>
      <c r="AQ10" s="363" t="str">
        <f>_xlfn.IFNA(VLOOKUP($AI10,Programma!$F$3:$N$1107,9,0),"")</f>
        <v>_</v>
      </c>
      <c r="AR10" s="363" t="str">
        <f>_xlfn.IFNA(VLOOKUP($AI10,Programma!$F$3:$O$1107,10,0),"")</f>
        <v>5w</v>
      </c>
      <c r="AS10" s="363" t="str">
        <f>_xlfn.IFNA(VLOOKUP($AI10,Programma!$F$3:$P$1107,11,0),"")</f>
        <v>5w</v>
      </c>
      <c r="AT10" s="363" t="str">
        <f>_xlfn.IFNA(VLOOKUP($AI10,Programma!$F$3:$Q$1107,12,0),"")</f>
        <v>1w</v>
      </c>
      <c r="AU10" s="363" t="str">
        <f>_xlfn.IFNA(VLOOKUP($AI10,Programma!$F$3:$R$1107,13,0),"")</f>
        <v>1w</v>
      </c>
      <c r="AV10" s="363" t="str">
        <f>_xlfn.IFNA(VLOOKUP($AI10,Programma!$F$3:$S$1107,14,0),"")</f>
        <v>1m</v>
      </c>
      <c r="AW10" s="363" t="str">
        <f>_xlfn.IFNA(VLOOKUP($AI10,Programma!$F$3:$T$1107,15,0),"")</f>
        <v>2j</v>
      </c>
      <c r="AX10" s="363" t="str">
        <f>_xlfn.IFNA(VLOOKUP($AI10,Programma!$F$3:$U$1107,16,0),"")</f>
        <v>1j</v>
      </c>
      <c r="AY10" s="363" t="str">
        <f>_xlfn.IFNA(VLOOKUP($AI10,Programma!$F$3:$V$1107,17,0),"")</f>
        <v>_</v>
      </c>
      <c r="AZ10" s="363" t="str">
        <f>_xlfn.IFNA(VLOOKUP($AI10,Programma!$F$3:$W$1107,18,0),"")</f>
        <v>_</v>
      </c>
      <c r="BA10" s="363" t="str">
        <f>_xlfn.IFNA(VLOOKUP($AI10,Programma!$F$3:$X$1107,19,0),"")</f>
        <v>_</v>
      </c>
      <c r="BB10" s="363" t="str">
        <f>_xlfn.IFNA(VLOOKUP($AI10,Programma!$F$3:$Y$1107,20,0),"")</f>
        <v>_</v>
      </c>
      <c r="BC10" s="257"/>
      <c r="BD10" s="256" t="str">
        <f>IF(Ruimtestaat[[#This Row],[Frequentie weekend]]="","",_xlfn.CONCAT(Ruimtestaat[[#This Row],[Ruimte code]],"-",Ruimtestaat[[#This Row],[Frequentie weekend]]," ",Ruimtestaat[[#This Row],[Vloer code]]))</f>
        <v/>
      </c>
      <c r="BE10" s="363" t="str">
        <f>_xlfn.IFNA(VLOOKUP($BD10,Programma!$F$3:$G$1107,2,0),"")</f>
        <v/>
      </c>
      <c r="BF10" s="363" t="str">
        <f>_xlfn.IFNA(VLOOKUP($BD10,Programma!$F$3:$H$1107,3,0),"")</f>
        <v/>
      </c>
      <c r="BG10" s="363" t="str">
        <f>_xlfn.IFNA(VLOOKUP($BD10,Programma!$F$3:$I$1107,4,0),"")</f>
        <v/>
      </c>
      <c r="BH10" s="363" t="str">
        <f>_xlfn.IFNA(VLOOKUP($BD10,Programma!$F$3:$J$1107,5,0),"")</f>
        <v/>
      </c>
      <c r="BI10" s="363" t="str">
        <f>_xlfn.IFNA(VLOOKUP($BD10,Programma!$F$3:$K$1107,6,0),"")</f>
        <v/>
      </c>
      <c r="BJ10" s="363" t="str">
        <f>_xlfn.IFNA(VLOOKUP($BD10,Programma!$F$3:$L$1107,7,0),"")</f>
        <v/>
      </c>
      <c r="BK10" s="363" t="str">
        <f>_xlfn.IFNA(VLOOKUP($BD10,Programma!$F$3:$M$1107,8,0),"")</f>
        <v/>
      </c>
      <c r="BL10" s="363" t="str">
        <f>_xlfn.IFNA(VLOOKUP($BD10,Programma!$F$3:$N$1107,9,0),"")</f>
        <v/>
      </c>
      <c r="BM10" s="363" t="str">
        <f>_xlfn.IFNA(VLOOKUP($BD10,Programma!$F$3:$O$1107,10,0),"")</f>
        <v/>
      </c>
      <c r="BN10" s="363" t="str">
        <f>_xlfn.IFNA(VLOOKUP($BD10,Programma!$F$3:$P$1107,11,0),"")</f>
        <v/>
      </c>
      <c r="BO10" s="363" t="str">
        <f>_xlfn.IFNA(VLOOKUP($BD10,Programma!$F$3:$Q$1107,12,0),"")</f>
        <v/>
      </c>
      <c r="BP10" s="363" t="str">
        <f>_xlfn.IFNA(VLOOKUP($BD10,Programma!$F$3:$R$1107,13,0),"")</f>
        <v/>
      </c>
      <c r="BQ10" s="363" t="str">
        <f>_xlfn.IFNA(VLOOKUP($BD10,Programma!$F$3:$S$1107,14,0),"")</f>
        <v/>
      </c>
      <c r="BR10" s="363" t="str">
        <f>_xlfn.IFNA(VLOOKUP($BD10,Programma!$F$3:$T$1107,15,0),"")</f>
        <v/>
      </c>
      <c r="BS10" s="363" t="str">
        <f>_xlfn.IFNA(VLOOKUP($BD10,Programma!$F$3:$U$1107,16,0),"")</f>
        <v/>
      </c>
      <c r="BT10" s="363" t="str">
        <f>_xlfn.IFNA(VLOOKUP($BD10,Programma!$F$3:$V$1107,17,0),"")</f>
        <v/>
      </c>
      <c r="BU10" s="363" t="str">
        <f>_xlfn.IFNA(VLOOKUP($BD10,Programma!$F$3:$W$1107,18,0),"")</f>
        <v/>
      </c>
      <c r="BV10" s="363" t="str">
        <f>_xlfn.IFNA(VLOOKUP($BD10,Programma!$F$3:$X$1107,19,0),"")</f>
        <v/>
      </c>
      <c r="BW10" s="363" t="str">
        <f>_xlfn.IFNA(VLOOKUP($BD10,Programma!$F$3:$Y$1107,20,0),"")</f>
        <v/>
      </c>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row>
    <row r="11" spans="1:221" ht="15" customHeight="1">
      <c r="A11" s="33">
        <v>2</v>
      </c>
      <c r="B11" s="157" t="str">
        <f>VLOOKUP(Ruimtestaat[[#This Row],[Code]],Locaties[[Code]:[Locatie]],2,FALSE)</f>
        <v>'s Gravendreef College</v>
      </c>
      <c r="C11" s="157" t="str">
        <f>VLOOKUP(Ruimtestaat[[#This Row],[Code]],Locaties[[#All],[Code]:[Adres]],4,FALSE)</f>
        <v>Klaas Voskuildreef 135</v>
      </c>
      <c r="D11" s="157" t="str">
        <f>VLOOKUP(Ruimtestaat[[#This Row],[Code]],Locaties[[#All],[Code]:[Postcode]],5,FALSE)</f>
        <v>2492 JJ</v>
      </c>
      <c r="E11" s="157" t="str">
        <f>VLOOKUP(Ruimtestaat[[#This Row],[Code]],Locaties[#All],6,FALSE)</f>
        <v>Den Haag</v>
      </c>
      <c r="F11" s="33"/>
      <c r="G11" s="33" t="s">
        <v>1632</v>
      </c>
      <c r="H11" s="366">
        <v>7</v>
      </c>
      <c r="I11" s="367" t="s">
        <v>1638</v>
      </c>
      <c r="J11" s="21">
        <v>6</v>
      </c>
      <c r="K11" s="62" t="str">
        <f>VLOOKUP(Ruimtestaat[[#This Row],[Ruimte code]],Ruimtegroepen[[#All],[Code]:[Ruimte omschrijving]],2,FALSE)</f>
        <v>Gangen/hallen</v>
      </c>
      <c r="L11" s="33" t="s">
        <v>102</v>
      </c>
      <c r="M11" s="367" t="s">
        <v>2496</v>
      </c>
      <c r="N11" s="140">
        <v>4</v>
      </c>
      <c r="O11" s="140"/>
      <c r="P11" s="125" t="str">
        <f>VLOOKUP(Ruimtestaat[[#This Row],[Ruimte code]],Ruimtegroepen[],4,FALSE)</f>
        <v>Ve</v>
      </c>
      <c r="R11" s="33">
        <v>40</v>
      </c>
      <c r="S11" s="33" t="s">
        <v>2</v>
      </c>
      <c r="T11" s="33">
        <f>IF(R11&gt;0,IF(RIGHT(Ruimtestaat[[#This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 s="33">
        <f>IF(T11&gt;0,VLOOKUP($J11,Ruimtegroepen[],3,FALSE)*VLOOKUP($L11,Vloersoorten[],3,FALSE)*VLOOKUP($S11,Frequenties[],3,FALSE)*VLOOKUP($A11,Locaties[],3,FALSE),0)</f>
        <v>0</v>
      </c>
      <c r="V11" s="33">
        <f>Ruimtestaat[[#This Row],[Uitvoeringen werkdagen]]*Ruimtestaat[[#This Row],[Oppervlak (netto)]]</f>
        <v>800</v>
      </c>
      <c r="W11" s="154">
        <f>IF(U11&gt;0,Ruimtestaat[[#This Row],[Prest. (m2 /jaar) werkdagen]]/Ruimtestaat[[#This Row],[Norm (m2/uur) werkdagen]],0)</f>
        <v>0</v>
      </c>
      <c r="X11" s="155">
        <f>Ruimtestaat[[#This Row],[uren / jaar werkdagen]]*Tariefsopbouw!$E$35</f>
        <v>0</v>
      </c>
      <c r="Y11" s="33"/>
      <c r="Z11" s="33">
        <f>IF(Ruimtestaat[[#This Row],[Frequentie weekend]]&gt;0,VALUE(LEFT(Y11,1))*R11,0)</f>
        <v>0</v>
      </c>
      <c r="AA11" s="97">
        <f>IF($Z11&gt;0,VLOOKUP($J11,Ruimtegroepen[],3,FALSE)*VLOOKUP($L11,Vloersoorten[],3,FALSE)*VLOOKUP($Y11,Frequenties[],3,FALSE)*VLOOKUP(Ruimtestaat[[#This Row],[Code]],Locaties[],3,FALSE),0)</f>
        <v>0</v>
      </c>
      <c r="AB11" s="97">
        <f>Ruimtestaat[[#This Row],[Uitvoeringen weekend]]*Ruimtestaat[[#This Row],[Oppervlak (netto)]]</f>
        <v>0</v>
      </c>
      <c r="AC11" s="97">
        <f>IF(AA11&gt;0,Ruimtestaat[[#This Row],[Prest. (m2 /jaar) weekend]]/Ruimtestaat[[#This Row],[Norm (m2/uur) weekend]],0)</f>
        <v>0</v>
      </c>
      <c r="AD11" s="155">
        <f>Ruimtestaat[[#This Row],[uren / jaar weekend]]*Tariefsopbouw!$D$40</f>
        <v>0</v>
      </c>
      <c r="AE11" s="154">
        <f>Ruimtestaat[[#This Row],[Prest. (m2 /jaar) weekend]]+Ruimtestaat[[#This Row],[Prest. (m2 /jaar) werkdagen]]</f>
        <v>800</v>
      </c>
      <c r="AF11" s="154">
        <f>Ruimtestaat[[#This Row],[uren / jaar weekend]]+Ruimtestaat[[#This Row],[uren / jaar werkdagen]]</f>
        <v>0</v>
      </c>
      <c r="AG11" s="69">
        <f>Ruimtestaat[[#This Row],[kosten / jaar weekend]]+Ruimtestaat[[#This Row],[kosten / jaar werkdagen]]</f>
        <v>0</v>
      </c>
      <c r="AH11" s="69"/>
      <c r="AI11" s="256" t="str">
        <f>IF(Ruimtestaat[[#This Row],[Frequentie werkdagen]]="","",_xlfn.CONCAT(Ruimtestaat[[#This Row],[Ruimte code]],"-",Ruimtestaat[[#This Row],[Frequentie werkdagen]]," ",Ruimtestaat[[#This Row],[Vloer code]]))</f>
        <v>6-5w S</v>
      </c>
      <c r="AJ11" s="363" t="str">
        <f>_xlfn.IFNA(VLOOKUP($AI11,Programma!$F$3:$G$1107,2,0),"")</f>
        <v>_</v>
      </c>
      <c r="AK11" s="363" t="str">
        <f>_xlfn.IFNA(VLOOKUP($AI11,Programma!$F$3:$H$1107,3,0),"")</f>
        <v>_</v>
      </c>
      <c r="AL11" s="363" t="str">
        <f>_xlfn.IFNA(VLOOKUP($AI11,Programma!$F$3:$I$1107,4,0),"")</f>
        <v>5w</v>
      </c>
      <c r="AM11" s="363" t="str">
        <f>_xlfn.IFNA(VLOOKUP($AI11,Programma!$F$3:$J$1107,5,0),"")</f>
        <v>_</v>
      </c>
      <c r="AN11" s="363" t="str">
        <f>_xlfn.IFNA(VLOOKUP($AI11,Programma!$F$3:$K$1107,6,0),"")</f>
        <v>5w</v>
      </c>
      <c r="AO11" s="363" t="str">
        <f>_xlfn.IFNA(VLOOKUP($AI11,Programma!$F$3:$L$1107,7,0),"")</f>
        <v>_</v>
      </c>
      <c r="AP11" s="363" t="str">
        <f>_xlfn.IFNA(VLOOKUP($AI11,Programma!$F$3:$M$1107,8,0),"")</f>
        <v>_</v>
      </c>
      <c r="AQ11" s="363" t="str">
        <f>_xlfn.IFNA(VLOOKUP($AI11,Programma!$F$3:$N$1107,9,0),"")</f>
        <v>_</v>
      </c>
      <c r="AR11" s="363" t="str">
        <f>_xlfn.IFNA(VLOOKUP($AI11,Programma!$F$3:$O$1107,10,0),"")</f>
        <v>5w</v>
      </c>
      <c r="AS11" s="363" t="str">
        <f>_xlfn.IFNA(VLOOKUP($AI11,Programma!$F$3:$P$1107,11,0),"")</f>
        <v>5w</v>
      </c>
      <c r="AT11" s="363" t="str">
        <f>_xlfn.IFNA(VLOOKUP($AI11,Programma!$F$3:$Q$1107,12,0),"")</f>
        <v>1w</v>
      </c>
      <c r="AU11" s="363" t="str">
        <f>_xlfn.IFNA(VLOOKUP($AI11,Programma!$F$3:$R$1107,13,0),"")</f>
        <v>1w</v>
      </c>
      <c r="AV11" s="363" t="str">
        <f>_xlfn.IFNA(VLOOKUP($AI11,Programma!$F$3:$S$1107,14,0),"")</f>
        <v>1m</v>
      </c>
      <c r="AW11" s="363" t="str">
        <f>_xlfn.IFNA(VLOOKUP($AI11,Programma!$F$3:$T$1107,15,0),"")</f>
        <v>2j</v>
      </c>
      <c r="AX11" s="363" t="str">
        <f>_xlfn.IFNA(VLOOKUP($AI11,Programma!$F$3:$U$1107,16,0),"")</f>
        <v>1j</v>
      </c>
      <c r="AY11" s="363" t="str">
        <f>_xlfn.IFNA(VLOOKUP($AI11,Programma!$F$3:$V$1107,17,0),"")</f>
        <v>_</v>
      </c>
      <c r="AZ11" s="363" t="str">
        <f>_xlfn.IFNA(VLOOKUP($AI11,Programma!$F$3:$W$1107,18,0),"")</f>
        <v>_</v>
      </c>
      <c r="BA11" s="363" t="str">
        <f>_xlfn.IFNA(VLOOKUP($AI11,Programma!$F$3:$X$1107,19,0),"")</f>
        <v>_</v>
      </c>
      <c r="BB11" s="363" t="str">
        <f>_xlfn.IFNA(VLOOKUP($AI11,Programma!$F$3:$Y$1107,20,0),"")</f>
        <v>_</v>
      </c>
      <c r="BC11" s="257"/>
      <c r="BD11" s="256" t="str">
        <f>IF(Ruimtestaat[[#This Row],[Frequentie weekend]]="","",_xlfn.CONCAT(Ruimtestaat[[#This Row],[Ruimte code]],"-",Ruimtestaat[[#This Row],[Frequentie weekend]]," ",Ruimtestaat[[#This Row],[Vloer code]]))</f>
        <v/>
      </c>
      <c r="BE11" s="363" t="str">
        <f>_xlfn.IFNA(VLOOKUP($BD11,Programma!$F$3:$G$1107,2,0),"")</f>
        <v/>
      </c>
      <c r="BF11" s="363" t="str">
        <f>_xlfn.IFNA(VLOOKUP($BD11,Programma!$F$3:$H$1107,3,0),"")</f>
        <v/>
      </c>
      <c r="BG11" s="363" t="str">
        <f>_xlfn.IFNA(VLOOKUP($BD11,Programma!$F$3:$I$1107,4,0),"")</f>
        <v/>
      </c>
      <c r="BH11" s="363" t="str">
        <f>_xlfn.IFNA(VLOOKUP($BD11,Programma!$F$3:$J$1107,5,0),"")</f>
        <v/>
      </c>
      <c r="BI11" s="363" t="str">
        <f>_xlfn.IFNA(VLOOKUP($BD11,Programma!$F$3:$K$1107,6,0),"")</f>
        <v/>
      </c>
      <c r="BJ11" s="363" t="str">
        <f>_xlfn.IFNA(VLOOKUP($BD11,Programma!$F$3:$L$1107,7,0),"")</f>
        <v/>
      </c>
      <c r="BK11" s="363" t="str">
        <f>_xlfn.IFNA(VLOOKUP($BD11,Programma!$F$3:$M$1107,8,0),"")</f>
        <v/>
      </c>
      <c r="BL11" s="363" t="str">
        <f>_xlfn.IFNA(VLOOKUP($BD11,Programma!$F$3:$N$1107,9,0),"")</f>
        <v/>
      </c>
      <c r="BM11" s="363" t="str">
        <f>_xlfn.IFNA(VLOOKUP($BD11,Programma!$F$3:$O$1107,10,0),"")</f>
        <v/>
      </c>
      <c r="BN11" s="363" t="str">
        <f>_xlfn.IFNA(VLOOKUP($BD11,Programma!$F$3:$P$1107,11,0),"")</f>
        <v/>
      </c>
      <c r="BO11" s="363" t="str">
        <f>_xlfn.IFNA(VLOOKUP($BD11,Programma!$F$3:$Q$1107,12,0),"")</f>
        <v/>
      </c>
      <c r="BP11" s="363" t="str">
        <f>_xlfn.IFNA(VLOOKUP($BD11,Programma!$F$3:$R$1107,13,0),"")</f>
        <v/>
      </c>
      <c r="BQ11" s="363" t="str">
        <f>_xlfn.IFNA(VLOOKUP($BD11,Programma!$F$3:$S$1107,14,0),"")</f>
        <v/>
      </c>
      <c r="BR11" s="363" t="str">
        <f>_xlfn.IFNA(VLOOKUP($BD11,Programma!$F$3:$T$1107,15,0),"")</f>
        <v/>
      </c>
      <c r="BS11" s="363" t="str">
        <f>_xlfn.IFNA(VLOOKUP($BD11,Programma!$F$3:$U$1107,16,0),"")</f>
        <v/>
      </c>
      <c r="BT11" s="363" t="str">
        <f>_xlfn.IFNA(VLOOKUP($BD11,Programma!$F$3:$V$1107,17,0),"")</f>
        <v/>
      </c>
      <c r="BU11" s="363" t="str">
        <f>_xlfn.IFNA(VLOOKUP($BD11,Programma!$F$3:$W$1107,18,0),"")</f>
        <v/>
      </c>
      <c r="BV11" s="363" t="str">
        <f>_xlfn.IFNA(VLOOKUP($BD11,Programma!$F$3:$X$1107,19,0),"")</f>
        <v/>
      </c>
      <c r="BW11" s="363" t="str">
        <f>_xlfn.IFNA(VLOOKUP($BD11,Programma!$F$3:$Y$1107,20,0),"")</f>
        <v/>
      </c>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row>
    <row r="12" spans="1:221" ht="15" customHeight="1">
      <c r="A12" s="33">
        <v>2</v>
      </c>
      <c r="B12" s="157" t="str">
        <f>VLOOKUP(Ruimtestaat[[#This Row],[Code]],Locaties[[Code]:[Locatie]],2,FALSE)</f>
        <v>'s Gravendreef College</v>
      </c>
      <c r="C12" s="157" t="str">
        <f>VLOOKUP(Ruimtestaat[[#This Row],[Code]],Locaties[[#All],[Code]:[Adres]],4,FALSE)</f>
        <v>Klaas Voskuildreef 135</v>
      </c>
      <c r="D12" s="157" t="str">
        <f>VLOOKUP(Ruimtestaat[[#This Row],[Code]],Locaties[[#All],[Code]:[Postcode]],5,FALSE)</f>
        <v>2492 JJ</v>
      </c>
      <c r="E12" s="157" t="str">
        <f>VLOOKUP(Ruimtestaat[[#This Row],[Code]],Locaties[#All],6,FALSE)</f>
        <v>Den Haag</v>
      </c>
      <c r="F12" s="33"/>
      <c r="G12" s="33" t="s">
        <v>1632</v>
      </c>
      <c r="H12" s="366">
        <v>8</v>
      </c>
      <c r="I12" s="367" t="s">
        <v>1639</v>
      </c>
      <c r="J12" s="21">
        <v>5</v>
      </c>
      <c r="K12" s="62" t="str">
        <f>VLOOKUP(Ruimtestaat[[#This Row],[Ruimte code]],Ruimtegroepen[[#All],[Code]:[Ruimte omschrijving]],2,FALSE)</f>
        <v>Sanitair</v>
      </c>
      <c r="L12" s="33" t="s">
        <v>102</v>
      </c>
      <c r="M12" s="367" t="s">
        <v>2496</v>
      </c>
      <c r="N12" s="140">
        <v>24</v>
      </c>
      <c r="O12" s="140"/>
      <c r="P12" s="125" t="str">
        <f>VLOOKUP(Ruimtestaat[[#This Row],[Ruimte code]],Ruimtegroepen[],4,FALSE)</f>
        <v>Sa</v>
      </c>
      <c r="R12" s="33">
        <v>40</v>
      </c>
      <c r="S12" s="33" t="s">
        <v>2</v>
      </c>
      <c r="T12" s="33">
        <f>IF(R12&gt;0,IF(RIGHT(Ruimtestaat[[#This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 s="33">
        <f>IF(T12&gt;0,VLOOKUP($J12,Ruimtegroepen[],3,FALSE)*VLOOKUP($L12,Vloersoorten[],3,FALSE)*VLOOKUP($S12,Frequenties[],3,FALSE)*VLOOKUP($A12,Locaties[],3,FALSE),0)</f>
        <v>0</v>
      </c>
      <c r="V12" s="33">
        <f>Ruimtestaat[[#This Row],[Uitvoeringen werkdagen]]*Ruimtestaat[[#This Row],[Oppervlak (netto)]]</f>
        <v>4800</v>
      </c>
      <c r="W12" s="154">
        <f>IF(U12&gt;0,Ruimtestaat[[#This Row],[Prest. (m2 /jaar) werkdagen]]/Ruimtestaat[[#This Row],[Norm (m2/uur) werkdagen]],0)</f>
        <v>0</v>
      </c>
      <c r="X12" s="155">
        <f>Ruimtestaat[[#This Row],[uren / jaar werkdagen]]*Tariefsopbouw!$E$35</f>
        <v>0</v>
      </c>
      <c r="Y12" s="33"/>
      <c r="Z12" s="33">
        <f>IF(Ruimtestaat[[#This Row],[Frequentie weekend]]&gt;0,VALUE(LEFT(Y12,1))*R12,0)</f>
        <v>0</v>
      </c>
      <c r="AA12" s="97">
        <f>IF($Z12&gt;0,VLOOKUP($J12,Ruimtegroepen[],3,FALSE)*VLOOKUP($L12,Vloersoorten[],3,FALSE)*VLOOKUP($Y12,Frequenties[],3,FALSE)*VLOOKUP(Ruimtestaat[[#This Row],[Code]],Locaties[],3,FALSE),0)</f>
        <v>0</v>
      </c>
      <c r="AB12" s="97">
        <f>Ruimtestaat[[#This Row],[Uitvoeringen weekend]]*Ruimtestaat[[#This Row],[Oppervlak (netto)]]</f>
        <v>0</v>
      </c>
      <c r="AC12" s="97">
        <f>IF(AA12&gt;0,Ruimtestaat[[#This Row],[Prest. (m2 /jaar) weekend]]/Ruimtestaat[[#This Row],[Norm (m2/uur) weekend]],0)</f>
        <v>0</v>
      </c>
      <c r="AD12" s="155">
        <f>Ruimtestaat[[#This Row],[uren / jaar weekend]]*Tariefsopbouw!$D$40</f>
        <v>0</v>
      </c>
      <c r="AE12" s="154">
        <f>Ruimtestaat[[#This Row],[Prest. (m2 /jaar) weekend]]+Ruimtestaat[[#This Row],[Prest. (m2 /jaar) werkdagen]]</f>
        <v>4800</v>
      </c>
      <c r="AF12" s="154">
        <f>Ruimtestaat[[#This Row],[uren / jaar weekend]]+Ruimtestaat[[#This Row],[uren / jaar werkdagen]]</f>
        <v>0</v>
      </c>
      <c r="AG12" s="69">
        <f>Ruimtestaat[[#This Row],[kosten / jaar weekend]]+Ruimtestaat[[#This Row],[kosten / jaar werkdagen]]</f>
        <v>0</v>
      </c>
      <c r="AH12" s="69"/>
      <c r="AI12" s="256" t="str">
        <f>IF(Ruimtestaat[[#This Row],[Frequentie werkdagen]]="","",_xlfn.CONCAT(Ruimtestaat[[#This Row],[Ruimte code]],"-",Ruimtestaat[[#This Row],[Frequentie werkdagen]]," ",Ruimtestaat[[#This Row],[Vloer code]]))</f>
        <v>5-5w S</v>
      </c>
      <c r="AJ12" s="363" t="str">
        <f>_xlfn.IFNA(VLOOKUP($AI12,Programma!$F$3:$G$1107,2,0),"")</f>
        <v>_</v>
      </c>
      <c r="AK12" s="363" t="str">
        <f>_xlfn.IFNA(VLOOKUP($AI12,Programma!$F$3:$H$1107,3,0),"")</f>
        <v>_</v>
      </c>
      <c r="AL12" s="363" t="str">
        <f>_xlfn.IFNA(VLOOKUP($AI12,Programma!$F$3:$I$1107,4,0),"")</f>
        <v>_</v>
      </c>
      <c r="AM12" s="363" t="str">
        <f>_xlfn.IFNA(VLOOKUP($AI12,Programma!$F$3:$J$1107,5,0),"")</f>
        <v>4w</v>
      </c>
      <c r="AN12" s="363" t="str">
        <f>_xlfn.IFNA(VLOOKUP($AI12,Programma!$F$3:$K$1107,6,0),"")</f>
        <v>1w</v>
      </c>
      <c r="AO12" s="363" t="str">
        <f>_xlfn.IFNA(VLOOKUP($AI12,Programma!$F$3:$L$1107,7,0),"")</f>
        <v>_</v>
      </c>
      <c r="AP12" s="363" t="str">
        <f>_xlfn.IFNA(VLOOKUP($AI12,Programma!$F$3:$M$1107,8,0),"")</f>
        <v>_</v>
      </c>
      <c r="AQ12" s="363" t="str">
        <f>_xlfn.IFNA(VLOOKUP($AI12,Programma!$F$3:$N$1107,9,0),"")</f>
        <v>_</v>
      </c>
      <c r="AR12" s="363" t="str">
        <f>_xlfn.IFNA(VLOOKUP($AI12,Programma!$F$3:$O$1107,10,0),"")</f>
        <v>_</v>
      </c>
      <c r="AS12" s="363" t="str">
        <f>_xlfn.IFNA(VLOOKUP($AI12,Programma!$F$3:$P$1107,11,0),"")</f>
        <v>_</v>
      </c>
      <c r="AT12" s="363" t="str">
        <f>_xlfn.IFNA(VLOOKUP($AI12,Programma!$F$3:$Q$1107,12,0),"")</f>
        <v>_</v>
      </c>
      <c r="AU12" s="363" t="str">
        <f>_xlfn.IFNA(VLOOKUP($AI12,Programma!$F$3:$R$1107,13,0),"")</f>
        <v>_</v>
      </c>
      <c r="AV12" s="363" t="str">
        <f>_xlfn.IFNA(VLOOKUP($AI12,Programma!$F$3:$S$1107,14,0),"")</f>
        <v>_</v>
      </c>
      <c r="AW12" s="363" t="str">
        <f>_xlfn.IFNA(VLOOKUP($AI12,Programma!$F$3:$T$1107,15,0),"")</f>
        <v>_</v>
      </c>
      <c r="AX12" s="363" t="str">
        <f>_xlfn.IFNA(VLOOKUP($AI12,Programma!$F$3:$U$1107,16,0),"")</f>
        <v>_</v>
      </c>
      <c r="AY12" s="363" t="str">
        <f>_xlfn.IFNA(VLOOKUP($AI12,Programma!$F$3:$V$1107,17,0),"")</f>
        <v>_</v>
      </c>
      <c r="AZ12" s="363" t="str">
        <f>_xlfn.IFNA(VLOOKUP($AI12,Programma!$F$3:$W$1107,18,0),"")</f>
        <v>4w</v>
      </c>
      <c r="BA12" s="363" t="str">
        <f>_xlfn.IFNA(VLOOKUP($AI12,Programma!$F$3:$X$1107,19,0),"")</f>
        <v>1w</v>
      </c>
      <c r="BB12" s="363" t="str">
        <f>_xlfn.IFNA(VLOOKUP($AI12,Programma!$F$3:$Y$1107,20,0),"")</f>
        <v>_</v>
      </c>
      <c r="BC12" s="257"/>
      <c r="BD12" s="256" t="str">
        <f>IF(Ruimtestaat[[#This Row],[Frequentie weekend]]="","",_xlfn.CONCAT(Ruimtestaat[[#This Row],[Ruimte code]],"-",Ruimtestaat[[#This Row],[Frequentie weekend]]," ",Ruimtestaat[[#This Row],[Vloer code]]))</f>
        <v/>
      </c>
      <c r="BE12" s="363" t="str">
        <f>_xlfn.IFNA(VLOOKUP($BD12,Programma!$F$3:$G$1107,2,0),"")</f>
        <v/>
      </c>
      <c r="BF12" s="363" t="str">
        <f>_xlfn.IFNA(VLOOKUP($BD12,Programma!$F$3:$H$1107,3,0),"")</f>
        <v/>
      </c>
      <c r="BG12" s="363" t="str">
        <f>_xlfn.IFNA(VLOOKUP($BD12,Programma!$F$3:$I$1107,4,0),"")</f>
        <v/>
      </c>
      <c r="BH12" s="363" t="str">
        <f>_xlfn.IFNA(VLOOKUP($BD12,Programma!$F$3:$J$1107,5,0),"")</f>
        <v/>
      </c>
      <c r="BI12" s="363" t="str">
        <f>_xlfn.IFNA(VLOOKUP($BD12,Programma!$F$3:$K$1107,6,0),"")</f>
        <v/>
      </c>
      <c r="BJ12" s="363" t="str">
        <f>_xlfn.IFNA(VLOOKUP($BD12,Programma!$F$3:$L$1107,7,0),"")</f>
        <v/>
      </c>
      <c r="BK12" s="363" t="str">
        <f>_xlfn.IFNA(VLOOKUP($BD12,Programma!$F$3:$M$1107,8,0),"")</f>
        <v/>
      </c>
      <c r="BL12" s="363" t="str">
        <f>_xlfn.IFNA(VLOOKUP($BD12,Programma!$F$3:$N$1107,9,0),"")</f>
        <v/>
      </c>
      <c r="BM12" s="363" t="str">
        <f>_xlfn.IFNA(VLOOKUP($BD12,Programma!$F$3:$O$1107,10,0),"")</f>
        <v/>
      </c>
      <c r="BN12" s="363" t="str">
        <f>_xlfn.IFNA(VLOOKUP($BD12,Programma!$F$3:$P$1107,11,0),"")</f>
        <v/>
      </c>
      <c r="BO12" s="363" t="str">
        <f>_xlfn.IFNA(VLOOKUP($BD12,Programma!$F$3:$Q$1107,12,0),"")</f>
        <v/>
      </c>
      <c r="BP12" s="363" t="str">
        <f>_xlfn.IFNA(VLOOKUP($BD12,Programma!$F$3:$R$1107,13,0),"")</f>
        <v/>
      </c>
      <c r="BQ12" s="363" t="str">
        <f>_xlfn.IFNA(VLOOKUP($BD12,Programma!$F$3:$S$1107,14,0),"")</f>
        <v/>
      </c>
      <c r="BR12" s="363" t="str">
        <f>_xlfn.IFNA(VLOOKUP($BD12,Programma!$F$3:$T$1107,15,0),"")</f>
        <v/>
      </c>
      <c r="BS12" s="363" t="str">
        <f>_xlfn.IFNA(VLOOKUP($BD12,Programma!$F$3:$U$1107,16,0),"")</f>
        <v/>
      </c>
      <c r="BT12" s="363" t="str">
        <f>_xlfn.IFNA(VLOOKUP($BD12,Programma!$F$3:$V$1107,17,0),"")</f>
        <v/>
      </c>
      <c r="BU12" s="363" t="str">
        <f>_xlfn.IFNA(VLOOKUP($BD12,Programma!$F$3:$W$1107,18,0),"")</f>
        <v/>
      </c>
      <c r="BV12" s="363" t="str">
        <f>_xlfn.IFNA(VLOOKUP($BD12,Programma!$F$3:$X$1107,19,0),"")</f>
        <v/>
      </c>
      <c r="BW12" s="363" t="str">
        <f>_xlfn.IFNA(VLOOKUP($BD12,Programma!$F$3:$Y$1107,20,0),"")</f>
        <v/>
      </c>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row>
    <row r="13" spans="1:221" ht="15" customHeight="1">
      <c r="A13" s="33">
        <v>2</v>
      </c>
      <c r="B13" s="157" t="str">
        <f>VLOOKUP(Ruimtestaat[[#This Row],[Code]],Locaties[[Code]:[Locatie]],2,FALSE)</f>
        <v>'s Gravendreef College</v>
      </c>
      <c r="C13" s="157" t="str">
        <f>VLOOKUP(Ruimtestaat[[#This Row],[Code]],Locaties[[#All],[Code]:[Adres]],4,FALSE)</f>
        <v>Klaas Voskuildreef 135</v>
      </c>
      <c r="D13" s="157" t="str">
        <f>VLOOKUP(Ruimtestaat[[#This Row],[Code]],Locaties[[#All],[Code]:[Postcode]],5,FALSE)</f>
        <v>2492 JJ</v>
      </c>
      <c r="E13" s="157" t="str">
        <f>VLOOKUP(Ruimtestaat[[#This Row],[Code]],Locaties[#All],6,FALSE)</f>
        <v>Den Haag</v>
      </c>
      <c r="F13" s="33"/>
      <c r="G13" s="33" t="s">
        <v>1632</v>
      </c>
      <c r="H13" s="366">
        <v>9</v>
      </c>
      <c r="I13" s="367" t="s">
        <v>1640</v>
      </c>
      <c r="J13" s="21">
        <v>5</v>
      </c>
      <c r="K13" s="62" t="str">
        <f>VLOOKUP(Ruimtestaat[[#This Row],[Ruimte code]],Ruimtegroepen[[#All],[Code]:[Ruimte omschrijving]],2,FALSE)</f>
        <v>Sanitair</v>
      </c>
      <c r="L13" s="33" t="s">
        <v>102</v>
      </c>
      <c r="M13" s="367" t="s">
        <v>2496</v>
      </c>
      <c r="N13" s="140">
        <v>24</v>
      </c>
      <c r="O13" s="140"/>
      <c r="P13" s="125" t="str">
        <f>VLOOKUP(Ruimtestaat[[#This Row],[Ruimte code]],Ruimtegroepen[],4,FALSE)</f>
        <v>Sa</v>
      </c>
      <c r="R13" s="33">
        <v>40</v>
      </c>
      <c r="S13" s="33" t="s">
        <v>2</v>
      </c>
      <c r="T13" s="33">
        <f>IF(R13&gt;0,IF(RIGHT(Ruimtestaat[[#This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 s="33">
        <f>IF(T13&gt;0,VLOOKUP($J13,Ruimtegroepen[],3,FALSE)*VLOOKUP($L13,Vloersoorten[],3,FALSE)*VLOOKUP($S13,Frequenties[],3,FALSE)*VLOOKUP($A13,Locaties[],3,FALSE),0)</f>
        <v>0</v>
      </c>
      <c r="V13" s="33">
        <f>Ruimtestaat[[#This Row],[Uitvoeringen werkdagen]]*Ruimtestaat[[#This Row],[Oppervlak (netto)]]</f>
        <v>4800</v>
      </c>
      <c r="W13" s="154">
        <f>IF(U13&gt;0,Ruimtestaat[[#This Row],[Prest. (m2 /jaar) werkdagen]]/Ruimtestaat[[#This Row],[Norm (m2/uur) werkdagen]],0)</f>
        <v>0</v>
      </c>
      <c r="X13" s="155">
        <f>Ruimtestaat[[#This Row],[uren / jaar werkdagen]]*Tariefsopbouw!$E$35</f>
        <v>0</v>
      </c>
      <c r="Y13" s="33"/>
      <c r="Z13" s="33">
        <f>IF(Ruimtestaat[[#This Row],[Frequentie weekend]]&gt;0,VALUE(LEFT(Y13,1))*R13,0)</f>
        <v>0</v>
      </c>
      <c r="AA13" s="97">
        <f>IF($Z13&gt;0,VLOOKUP($J13,Ruimtegroepen[],3,FALSE)*VLOOKUP($L13,Vloersoorten[],3,FALSE)*VLOOKUP($Y13,Frequenties[],3,FALSE)*VLOOKUP(Ruimtestaat[[#This Row],[Code]],Locaties[],3,FALSE),0)</f>
        <v>0</v>
      </c>
      <c r="AB13" s="97">
        <f>Ruimtestaat[[#This Row],[Uitvoeringen weekend]]*Ruimtestaat[[#This Row],[Oppervlak (netto)]]</f>
        <v>0</v>
      </c>
      <c r="AC13" s="97">
        <f>IF(AA13&gt;0,Ruimtestaat[[#This Row],[Prest. (m2 /jaar) weekend]]/Ruimtestaat[[#This Row],[Norm (m2/uur) weekend]],0)</f>
        <v>0</v>
      </c>
      <c r="AD13" s="155">
        <f>Ruimtestaat[[#This Row],[uren / jaar weekend]]*Tariefsopbouw!$D$40</f>
        <v>0</v>
      </c>
      <c r="AE13" s="154">
        <f>Ruimtestaat[[#This Row],[Prest. (m2 /jaar) weekend]]+Ruimtestaat[[#This Row],[Prest. (m2 /jaar) werkdagen]]</f>
        <v>4800</v>
      </c>
      <c r="AF13" s="154">
        <f>Ruimtestaat[[#This Row],[uren / jaar weekend]]+Ruimtestaat[[#This Row],[uren / jaar werkdagen]]</f>
        <v>0</v>
      </c>
      <c r="AG13" s="69">
        <f>Ruimtestaat[[#This Row],[kosten / jaar weekend]]+Ruimtestaat[[#This Row],[kosten / jaar werkdagen]]</f>
        <v>0</v>
      </c>
      <c r="AH13" s="69"/>
      <c r="AI13" s="256" t="str">
        <f>IF(Ruimtestaat[[#This Row],[Frequentie werkdagen]]="","",_xlfn.CONCAT(Ruimtestaat[[#This Row],[Ruimte code]],"-",Ruimtestaat[[#This Row],[Frequentie werkdagen]]," ",Ruimtestaat[[#This Row],[Vloer code]]))</f>
        <v>5-5w S</v>
      </c>
      <c r="AJ13" s="363" t="str">
        <f>_xlfn.IFNA(VLOOKUP($AI13,Programma!$F$3:$G$1107,2,0),"")</f>
        <v>_</v>
      </c>
      <c r="AK13" s="363" t="str">
        <f>_xlfn.IFNA(VLOOKUP($AI13,Programma!$F$3:$H$1107,3,0),"")</f>
        <v>_</v>
      </c>
      <c r="AL13" s="363" t="str">
        <f>_xlfn.IFNA(VLOOKUP($AI13,Programma!$F$3:$I$1107,4,0),"")</f>
        <v>_</v>
      </c>
      <c r="AM13" s="363" t="str">
        <f>_xlfn.IFNA(VLOOKUP($AI13,Programma!$F$3:$J$1107,5,0),"")</f>
        <v>4w</v>
      </c>
      <c r="AN13" s="363" t="str">
        <f>_xlfn.IFNA(VLOOKUP($AI13,Programma!$F$3:$K$1107,6,0),"")</f>
        <v>1w</v>
      </c>
      <c r="AO13" s="363" t="str">
        <f>_xlfn.IFNA(VLOOKUP($AI13,Programma!$F$3:$L$1107,7,0),"")</f>
        <v>_</v>
      </c>
      <c r="AP13" s="363" t="str">
        <f>_xlfn.IFNA(VLOOKUP($AI13,Programma!$F$3:$M$1107,8,0),"")</f>
        <v>_</v>
      </c>
      <c r="AQ13" s="363" t="str">
        <f>_xlfn.IFNA(VLOOKUP($AI13,Programma!$F$3:$N$1107,9,0),"")</f>
        <v>_</v>
      </c>
      <c r="AR13" s="363" t="str">
        <f>_xlfn.IFNA(VLOOKUP($AI13,Programma!$F$3:$O$1107,10,0),"")</f>
        <v>_</v>
      </c>
      <c r="AS13" s="363" t="str">
        <f>_xlfn.IFNA(VLOOKUP($AI13,Programma!$F$3:$P$1107,11,0),"")</f>
        <v>_</v>
      </c>
      <c r="AT13" s="363" t="str">
        <f>_xlfn.IFNA(VLOOKUP($AI13,Programma!$F$3:$Q$1107,12,0),"")</f>
        <v>_</v>
      </c>
      <c r="AU13" s="363" t="str">
        <f>_xlfn.IFNA(VLOOKUP($AI13,Programma!$F$3:$R$1107,13,0),"")</f>
        <v>_</v>
      </c>
      <c r="AV13" s="363" t="str">
        <f>_xlfn.IFNA(VLOOKUP($AI13,Programma!$F$3:$S$1107,14,0),"")</f>
        <v>_</v>
      </c>
      <c r="AW13" s="363" t="str">
        <f>_xlfn.IFNA(VLOOKUP($AI13,Programma!$F$3:$T$1107,15,0),"")</f>
        <v>_</v>
      </c>
      <c r="AX13" s="363" t="str">
        <f>_xlfn.IFNA(VLOOKUP($AI13,Programma!$F$3:$U$1107,16,0),"")</f>
        <v>_</v>
      </c>
      <c r="AY13" s="363" t="str">
        <f>_xlfn.IFNA(VLOOKUP($AI13,Programma!$F$3:$V$1107,17,0),"")</f>
        <v>_</v>
      </c>
      <c r="AZ13" s="363" t="str">
        <f>_xlfn.IFNA(VLOOKUP($AI13,Programma!$F$3:$W$1107,18,0),"")</f>
        <v>4w</v>
      </c>
      <c r="BA13" s="363" t="str">
        <f>_xlfn.IFNA(VLOOKUP($AI13,Programma!$F$3:$X$1107,19,0),"")</f>
        <v>1w</v>
      </c>
      <c r="BB13" s="363" t="str">
        <f>_xlfn.IFNA(VLOOKUP($AI13,Programma!$F$3:$Y$1107,20,0),"")</f>
        <v>_</v>
      </c>
      <c r="BC13" s="257"/>
      <c r="BD13" s="256" t="str">
        <f>IF(Ruimtestaat[[#This Row],[Frequentie weekend]]="","",_xlfn.CONCAT(Ruimtestaat[[#This Row],[Ruimte code]],"-",Ruimtestaat[[#This Row],[Frequentie weekend]]," ",Ruimtestaat[[#This Row],[Vloer code]]))</f>
        <v/>
      </c>
      <c r="BE13" s="363" t="str">
        <f>_xlfn.IFNA(VLOOKUP($BD13,Programma!$F$3:$G$1107,2,0),"")</f>
        <v/>
      </c>
      <c r="BF13" s="363" t="str">
        <f>_xlfn.IFNA(VLOOKUP($BD13,Programma!$F$3:$H$1107,3,0),"")</f>
        <v/>
      </c>
      <c r="BG13" s="363" t="str">
        <f>_xlfn.IFNA(VLOOKUP($BD13,Programma!$F$3:$I$1107,4,0),"")</f>
        <v/>
      </c>
      <c r="BH13" s="363" t="str">
        <f>_xlfn.IFNA(VLOOKUP($BD13,Programma!$F$3:$J$1107,5,0),"")</f>
        <v/>
      </c>
      <c r="BI13" s="363" t="str">
        <f>_xlfn.IFNA(VLOOKUP($BD13,Programma!$F$3:$K$1107,6,0),"")</f>
        <v/>
      </c>
      <c r="BJ13" s="363" t="str">
        <f>_xlfn.IFNA(VLOOKUP($BD13,Programma!$F$3:$L$1107,7,0),"")</f>
        <v/>
      </c>
      <c r="BK13" s="363" t="str">
        <f>_xlfn.IFNA(VLOOKUP($BD13,Programma!$F$3:$M$1107,8,0),"")</f>
        <v/>
      </c>
      <c r="BL13" s="363" t="str">
        <f>_xlfn.IFNA(VLOOKUP($BD13,Programma!$F$3:$N$1107,9,0),"")</f>
        <v/>
      </c>
      <c r="BM13" s="363" t="str">
        <f>_xlfn.IFNA(VLOOKUP($BD13,Programma!$F$3:$O$1107,10,0),"")</f>
        <v/>
      </c>
      <c r="BN13" s="363" t="str">
        <f>_xlfn.IFNA(VLOOKUP($BD13,Programma!$F$3:$P$1107,11,0),"")</f>
        <v/>
      </c>
      <c r="BO13" s="363" t="str">
        <f>_xlfn.IFNA(VLOOKUP($BD13,Programma!$F$3:$Q$1107,12,0),"")</f>
        <v/>
      </c>
      <c r="BP13" s="363" t="str">
        <f>_xlfn.IFNA(VLOOKUP($BD13,Programma!$F$3:$R$1107,13,0),"")</f>
        <v/>
      </c>
      <c r="BQ13" s="363" t="str">
        <f>_xlfn.IFNA(VLOOKUP($BD13,Programma!$F$3:$S$1107,14,0),"")</f>
        <v/>
      </c>
      <c r="BR13" s="363" t="str">
        <f>_xlfn.IFNA(VLOOKUP($BD13,Programma!$F$3:$T$1107,15,0),"")</f>
        <v/>
      </c>
      <c r="BS13" s="363" t="str">
        <f>_xlfn.IFNA(VLOOKUP($BD13,Programma!$F$3:$U$1107,16,0),"")</f>
        <v/>
      </c>
      <c r="BT13" s="363" t="str">
        <f>_xlfn.IFNA(VLOOKUP($BD13,Programma!$F$3:$V$1107,17,0),"")</f>
        <v/>
      </c>
      <c r="BU13" s="363" t="str">
        <f>_xlfn.IFNA(VLOOKUP($BD13,Programma!$F$3:$W$1107,18,0),"")</f>
        <v/>
      </c>
      <c r="BV13" s="363" t="str">
        <f>_xlfn.IFNA(VLOOKUP($BD13,Programma!$F$3:$X$1107,19,0),"")</f>
        <v/>
      </c>
      <c r="BW13" s="363" t="str">
        <f>_xlfn.IFNA(VLOOKUP($BD13,Programma!$F$3:$Y$1107,20,0),"")</f>
        <v/>
      </c>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row>
    <row r="14" spans="1:221" ht="15" customHeight="1">
      <c r="A14" s="33">
        <v>2</v>
      </c>
      <c r="B14" s="157" t="str">
        <f>VLOOKUP(Ruimtestaat[[#This Row],[Code]],Locaties[[Code]:[Locatie]],2,FALSE)</f>
        <v>'s Gravendreef College</v>
      </c>
      <c r="C14" s="157" t="str">
        <f>VLOOKUP(Ruimtestaat[[#This Row],[Code]],Locaties[[#All],[Code]:[Adres]],4,FALSE)</f>
        <v>Klaas Voskuildreef 135</v>
      </c>
      <c r="D14" s="157" t="str">
        <f>VLOOKUP(Ruimtestaat[[#This Row],[Code]],Locaties[[#All],[Code]:[Postcode]],5,FALSE)</f>
        <v>2492 JJ</v>
      </c>
      <c r="E14" s="157" t="str">
        <f>VLOOKUP(Ruimtestaat[[#This Row],[Code]],Locaties[#All],6,FALSE)</f>
        <v>Den Haag</v>
      </c>
      <c r="F14" s="33"/>
      <c r="G14" s="33" t="s">
        <v>1632</v>
      </c>
      <c r="H14" s="366">
        <v>10</v>
      </c>
      <c r="I14" s="367" t="s">
        <v>1641</v>
      </c>
      <c r="J14" s="21">
        <v>16</v>
      </c>
      <c r="K14" s="63" t="str">
        <f>VLOOKUP(Ruimtestaat[[#This Row],[Ruimte code]],Ruimtegroepen[[#All],[Code]:[Ruimte omschrijving]],2,FALSE)</f>
        <v>Leslokalen theorie</v>
      </c>
      <c r="L14" s="33" t="s">
        <v>101</v>
      </c>
      <c r="M14" s="367" t="s">
        <v>2495</v>
      </c>
      <c r="N14" s="140">
        <v>103</v>
      </c>
      <c r="O14" s="140"/>
      <c r="P14" s="125" t="str">
        <f>VLOOKUP(Ruimtestaat[[#This Row],[Ruimte code]],Ruimtegroepen[],4,FALSE)</f>
        <v>Le</v>
      </c>
      <c r="R14" s="33">
        <v>40</v>
      </c>
      <c r="S14" s="33" t="s">
        <v>2</v>
      </c>
      <c r="T14" s="33">
        <f>IF(R14&gt;0,IF(RIGHT(Ruimtestaat[[#This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 s="33">
        <f>IF(T14&gt;0,VLOOKUP($J14,Ruimtegroepen[],3,FALSE)*VLOOKUP($L14,Vloersoorten[],3,FALSE)*VLOOKUP($S14,Frequenties[],3,FALSE)*VLOOKUP($A14,Locaties[],3,FALSE),0)</f>
        <v>0</v>
      </c>
      <c r="V14" s="33">
        <f>Ruimtestaat[[#This Row],[Uitvoeringen werkdagen]]*Ruimtestaat[[#This Row],[Oppervlak (netto)]]</f>
        <v>20600</v>
      </c>
      <c r="W14" s="154">
        <f>IF(U14&gt;0,Ruimtestaat[[#This Row],[Prest. (m2 /jaar) werkdagen]]/Ruimtestaat[[#This Row],[Norm (m2/uur) werkdagen]],0)</f>
        <v>0</v>
      </c>
      <c r="X14" s="155">
        <f>Ruimtestaat[[#This Row],[uren / jaar werkdagen]]*Tariefsopbouw!$E$35</f>
        <v>0</v>
      </c>
      <c r="Y14" s="33"/>
      <c r="Z14" s="33">
        <f>IF(Ruimtestaat[[#This Row],[Frequentie weekend]]&gt;0,VALUE(LEFT(Y14,1))*R14,0)</f>
        <v>0</v>
      </c>
      <c r="AA14" s="97">
        <f>IF($Z14&gt;0,VLOOKUP($J14,Ruimtegroepen[],3,FALSE)*VLOOKUP($L14,Vloersoorten[],3,FALSE)*VLOOKUP($Y14,Frequenties[],3,FALSE)*VLOOKUP(Ruimtestaat[[#This Row],[Code]],Locaties[],3,FALSE),0)</f>
        <v>0</v>
      </c>
      <c r="AB14" s="97">
        <f>Ruimtestaat[[#This Row],[Uitvoeringen weekend]]*Ruimtestaat[[#This Row],[Oppervlak (netto)]]</f>
        <v>0</v>
      </c>
      <c r="AC14" s="97">
        <f>IF(AA14&gt;0,Ruimtestaat[[#This Row],[Prest. (m2 /jaar) weekend]]/Ruimtestaat[[#This Row],[Norm (m2/uur) weekend]],0)</f>
        <v>0</v>
      </c>
      <c r="AD14" s="155">
        <f>Ruimtestaat[[#This Row],[uren / jaar weekend]]*Tariefsopbouw!$D$40</f>
        <v>0</v>
      </c>
      <c r="AE14" s="154">
        <f>Ruimtestaat[[#This Row],[Prest. (m2 /jaar) weekend]]+Ruimtestaat[[#This Row],[Prest. (m2 /jaar) werkdagen]]</f>
        <v>20600</v>
      </c>
      <c r="AF14" s="154">
        <f>Ruimtestaat[[#This Row],[uren / jaar weekend]]+Ruimtestaat[[#This Row],[uren / jaar werkdagen]]</f>
        <v>0</v>
      </c>
      <c r="AG14" s="69">
        <f>Ruimtestaat[[#This Row],[kosten / jaar weekend]]+Ruimtestaat[[#This Row],[kosten / jaar werkdagen]]</f>
        <v>0</v>
      </c>
      <c r="AH14" s="69"/>
      <c r="AI14" s="256" t="str">
        <f>IF(Ruimtestaat[[#This Row],[Frequentie werkdagen]]="","",_xlfn.CONCAT(Ruimtestaat[[#This Row],[Ruimte code]],"-",Ruimtestaat[[#This Row],[Frequentie werkdagen]]," ",Ruimtestaat[[#This Row],[Vloer code]]))</f>
        <v>16-5w L</v>
      </c>
      <c r="AJ14" s="363" t="str">
        <f>_xlfn.IFNA(VLOOKUP($AI14,Programma!$F$3:$G$1107,2,0),"")</f>
        <v>_</v>
      </c>
      <c r="AK14" s="363" t="str">
        <f>_xlfn.IFNA(VLOOKUP($AI14,Programma!$F$3:$H$1107,3,0),"")</f>
        <v>_</v>
      </c>
      <c r="AL14" s="363" t="str">
        <f>_xlfn.IFNA(VLOOKUP($AI14,Programma!$F$3:$I$1107,4,0),"")</f>
        <v>4w</v>
      </c>
      <c r="AM14" s="363" t="str">
        <f>_xlfn.IFNA(VLOOKUP($AI14,Programma!$F$3:$J$1107,5,0),"")</f>
        <v>1w</v>
      </c>
      <c r="AN14" s="363" t="str">
        <f>_xlfn.IFNA(VLOOKUP($AI14,Programma!$F$3:$K$1107,6,0),"")</f>
        <v>_</v>
      </c>
      <c r="AO14" s="363" t="str">
        <f>_xlfn.IFNA(VLOOKUP($AI14,Programma!$F$3:$L$1107,7,0),"")</f>
        <v>_</v>
      </c>
      <c r="AP14" s="363" t="str">
        <f>_xlfn.IFNA(VLOOKUP($AI14,Programma!$F$3:$M$1107,8,0),"")</f>
        <v>_</v>
      </c>
      <c r="AQ14" s="363" t="str">
        <f>_xlfn.IFNA(VLOOKUP($AI14,Programma!$F$3:$N$1107,9,0),"")</f>
        <v>_</v>
      </c>
      <c r="AR14" s="363" t="str">
        <f>_xlfn.IFNA(VLOOKUP($AI14,Programma!$F$3:$O$1107,10,0),"")</f>
        <v>5w</v>
      </c>
      <c r="AS14" s="363" t="str">
        <f>_xlfn.IFNA(VLOOKUP($AI14,Programma!$F$3:$P$1107,11,0),"")</f>
        <v>5w</v>
      </c>
      <c r="AT14" s="363" t="str">
        <f>_xlfn.IFNA(VLOOKUP($AI14,Programma!$F$3:$Q$1107,12,0),"")</f>
        <v>1w</v>
      </c>
      <c r="AU14" s="363" t="str">
        <f>_xlfn.IFNA(VLOOKUP($AI14,Programma!$F$3:$R$1107,13,0),"")</f>
        <v>1w</v>
      </c>
      <c r="AV14" s="363" t="str">
        <f>_xlfn.IFNA(VLOOKUP($AI14,Programma!$F$3:$S$1107,14,0),"")</f>
        <v>1m</v>
      </c>
      <c r="AW14" s="363" t="str">
        <f>_xlfn.IFNA(VLOOKUP($AI14,Programma!$F$3:$T$1107,15,0),"")</f>
        <v>2j</v>
      </c>
      <c r="AX14" s="363" t="str">
        <f>_xlfn.IFNA(VLOOKUP($AI14,Programma!$F$3:$U$1107,16,0),"")</f>
        <v>1j</v>
      </c>
      <c r="AY14" s="363" t="str">
        <f>_xlfn.IFNA(VLOOKUP($AI14,Programma!$F$3:$V$1107,17,0),"")</f>
        <v>_</v>
      </c>
      <c r="AZ14" s="363" t="str">
        <f>_xlfn.IFNA(VLOOKUP($AI14,Programma!$F$3:$W$1107,18,0),"")</f>
        <v>_</v>
      </c>
      <c r="BA14" s="363" t="str">
        <f>_xlfn.IFNA(VLOOKUP($AI14,Programma!$F$3:$X$1107,19,0),"")</f>
        <v>_</v>
      </c>
      <c r="BB14" s="363" t="str">
        <f>_xlfn.IFNA(VLOOKUP($AI14,Programma!$F$3:$Y$1107,20,0),"")</f>
        <v>_</v>
      </c>
      <c r="BC14" s="257"/>
      <c r="BD14" s="256" t="str">
        <f>IF(Ruimtestaat[[#This Row],[Frequentie weekend]]="","",_xlfn.CONCAT(Ruimtestaat[[#This Row],[Ruimte code]],"-",Ruimtestaat[[#This Row],[Frequentie weekend]]," ",Ruimtestaat[[#This Row],[Vloer code]]))</f>
        <v/>
      </c>
      <c r="BE14" s="363" t="str">
        <f>_xlfn.IFNA(VLOOKUP($BD14,Programma!$F$3:$G$1107,2,0),"")</f>
        <v/>
      </c>
      <c r="BF14" s="363" t="str">
        <f>_xlfn.IFNA(VLOOKUP($BD14,Programma!$F$3:$H$1107,3,0),"")</f>
        <v/>
      </c>
      <c r="BG14" s="363" t="str">
        <f>_xlfn.IFNA(VLOOKUP($BD14,Programma!$F$3:$I$1107,4,0),"")</f>
        <v/>
      </c>
      <c r="BH14" s="363" t="str">
        <f>_xlfn.IFNA(VLOOKUP($BD14,Programma!$F$3:$J$1107,5,0),"")</f>
        <v/>
      </c>
      <c r="BI14" s="363" t="str">
        <f>_xlfn.IFNA(VLOOKUP($BD14,Programma!$F$3:$K$1107,6,0),"")</f>
        <v/>
      </c>
      <c r="BJ14" s="363" t="str">
        <f>_xlfn.IFNA(VLOOKUP($BD14,Programma!$F$3:$L$1107,7,0),"")</f>
        <v/>
      </c>
      <c r="BK14" s="363" t="str">
        <f>_xlfn.IFNA(VLOOKUP($BD14,Programma!$F$3:$M$1107,8,0),"")</f>
        <v/>
      </c>
      <c r="BL14" s="363" t="str">
        <f>_xlfn.IFNA(VLOOKUP($BD14,Programma!$F$3:$N$1107,9,0),"")</f>
        <v/>
      </c>
      <c r="BM14" s="363" t="str">
        <f>_xlfn.IFNA(VLOOKUP($BD14,Programma!$F$3:$O$1107,10,0),"")</f>
        <v/>
      </c>
      <c r="BN14" s="363" t="str">
        <f>_xlfn.IFNA(VLOOKUP($BD14,Programma!$F$3:$P$1107,11,0),"")</f>
        <v/>
      </c>
      <c r="BO14" s="363" t="str">
        <f>_xlfn.IFNA(VLOOKUP($BD14,Programma!$F$3:$Q$1107,12,0),"")</f>
        <v/>
      </c>
      <c r="BP14" s="363" t="str">
        <f>_xlfn.IFNA(VLOOKUP($BD14,Programma!$F$3:$R$1107,13,0),"")</f>
        <v/>
      </c>
      <c r="BQ14" s="363" t="str">
        <f>_xlfn.IFNA(VLOOKUP($BD14,Programma!$F$3:$S$1107,14,0),"")</f>
        <v/>
      </c>
      <c r="BR14" s="363" t="str">
        <f>_xlfn.IFNA(VLOOKUP($BD14,Programma!$F$3:$T$1107,15,0),"")</f>
        <v/>
      </c>
      <c r="BS14" s="363" t="str">
        <f>_xlfn.IFNA(VLOOKUP($BD14,Programma!$F$3:$U$1107,16,0),"")</f>
        <v/>
      </c>
      <c r="BT14" s="363" t="str">
        <f>_xlfn.IFNA(VLOOKUP($BD14,Programma!$F$3:$V$1107,17,0),"")</f>
        <v/>
      </c>
      <c r="BU14" s="363" t="str">
        <f>_xlfn.IFNA(VLOOKUP($BD14,Programma!$F$3:$W$1107,18,0),"")</f>
        <v/>
      </c>
      <c r="BV14" s="363" t="str">
        <f>_xlfn.IFNA(VLOOKUP($BD14,Programma!$F$3:$X$1107,19,0),"")</f>
        <v/>
      </c>
      <c r="BW14" s="363" t="str">
        <f>_xlfn.IFNA(VLOOKUP($BD14,Programma!$F$3:$Y$1107,20,0),"")</f>
        <v/>
      </c>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row>
    <row r="15" spans="1:221" ht="15" customHeight="1">
      <c r="A15" s="33">
        <v>2</v>
      </c>
      <c r="B15" s="157" t="str">
        <f>VLOOKUP(Ruimtestaat[[#This Row],[Code]],Locaties[[Code]:[Locatie]],2,FALSE)</f>
        <v>'s Gravendreef College</v>
      </c>
      <c r="C15" s="157" t="str">
        <f>VLOOKUP(Ruimtestaat[[#This Row],[Code]],Locaties[[#All],[Code]:[Adres]],4,FALSE)</f>
        <v>Klaas Voskuildreef 135</v>
      </c>
      <c r="D15" s="157" t="str">
        <f>VLOOKUP(Ruimtestaat[[#This Row],[Code]],Locaties[[#All],[Code]:[Postcode]],5,FALSE)</f>
        <v>2492 JJ</v>
      </c>
      <c r="E15" s="157" t="str">
        <f>VLOOKUP(Ruimtestaat[[#This Row],[Code]],Locaties[#All],6,FALSE)</f>
        <v>Den Haag</v>
      </c>
      <c r="F15" s="33"/>
      <c r="G15" s="33" t="s">
        <v>1632</v>
      </c>
      <c r="H15" s="366">
        <v>11</v>
      </c>
      <c r="I15" s="367" t="s">
        <v>1642</v>
      </c>
      <c r="J15" s="21">
        <v>15</v>
      </c>
      <c r="K15" s="63" t="str">
        <f>VLOOKUP(Ruimtestaat[[#This Row],[Ruimte code]],Ruimtegroepen[[#All],[Code]:[Ruimte omschrijving]],2,FALSE)</f>
        <v>Keuken/pantry</v>
      </c>
      <c r="L15" s="33" t="s">
        <v>103</v>
      </c>
      <c r="M15" s="367" t="s">
        <v>2497</v>
      </c>
      <c r="N15" s="140">
        <v>17</v>
      </c>
      <c r="O15" s="140"/>
      <c r="P15" s="125" t="str">
        <f>VLOOKUP(Ruimtestaat[[#This Row],[Ruimte code]],Ruimtegroepen[],4,FALSE)</f>
        <v>Ve</v>
      </c>
      <c r="R15" s="33">
        <v>40</v>
      </c>
      <c r="S15" s="33" t="s">
        <v>2</v>
      </c>
      <c r="T15" s="33">
        <f>IF(R15&gt;0,IF(RIGHT(Ruimtestaat[[#This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 s="33">
        <f>IF(T15&gt;0,VLOOKUP($J15,Ruimtegroepen[],3,FALSE)*VLOOKUP($L15,Vloersoorten[],3,FALSE)*VLOOKUP($S15,Frequenties[],3,FALSE)*VLOOKUP($A15,Locaties[],3,FALSE),0)</f>
        <v>0</v>
      </c>
      <c r="V15" s="33">
        <f>Ruimtestaat[[#This Row],[Uitvoeringen werkdagen]]*Ruimtestaat[[#This Row],[Oppervlak (netto)]]</f>
        <v>3400</v>
      </c>
      <c r="W15" s="154">
        <f>IF(U15&gt;0,Ruimtestaat[[#This Row],[Prest. (m2 /jaar) werkdagen]]/Ruimtestaat[[#This Row],[Norm (m2/uur) werkdagen]],0)</f>
        <v>0</v>
      </c>
      <c r="X15" s="155">
        <f>Ruimtestaat[[#This Row],[uren / jaar werkdagen]]*Tariefsopbouw!$E$35</f>
        <v>0</v>
      </c>
      <c r="Y15" s="33"/>
      <c r="Z15" s="33">
        <f>IF(Ruimtestaat[[#This Row],[Frequentie weekend]]&gt;0,VALUE(LEFT(Y15,1))*R15,0)</f>
        <v>0</v>
      </c>
      <c r="AA15" s="97">
        <f>IF($Z15&gt;0,VLOOKUP($J15,Ruimtegroepen[],3,FALSE)*VLOOKUP($L15,Vloersoorten[],3,FALSE)*VLOOKUP($Y15,Frequenties[],3,FALSE)*VLOOKUP(Ruimtestaat[[#This Row],[Code]],Locaties[],3,FALSE),0)</f>
        <v>0</v>
      </c>
      <c r="AB15" s="97">
        <f>Ruimtestaat[[#This Row],[Uitvoeringen weekend]]*Ruimtestaat[[#This Row],[Oppervlak (netto)]]</f>
        <v>0</v>
      </c>
      <c r="AC15" s="97">
        <f>IF(AA15&gt;0,Ruimtestaat[[#This Row],[Prest. (m2 /jaar) weekend]]/Ruimtestaat[[#This Row],[Norm (m2/uur) weekend]],0)</f>
        <v>0</v>
      </c>
      <c r="AD15" s="155">
        <f>Ruimtestaat[[#This Row],[uren / jaar weekend]]*Tariefsopbouw!$D$40</f>
        <v>0</v>
      </c>
      <c r="AE15" s="154">
        <f>Ruimtestaat[[#This Row],[Prest. (m2 /jaar) weekend]]+Ruimtestaat[[#This Row],[Prest. (m2 /jaar) werkdagen]]</f>
        <v>3400</v>
      </c>
      <c r="AF15" s="154">
        <f>Ruimtestaat[[#This Row],[uren / jaar weekend]]+Ruimtestaat[[#This Row],[uren / jaar werkdagen]]</f>
        <v>0</v>
      </c>
      <c r="AG15" s="69">
        <f>Ruimtestaat[[#This Row],[kosten / jaar weekend]]+Ruimtestaat[[#This Row],[kosten / jaar werkdagen]]</f>
        <v>0</v>
      </c>
      <c r="AH15" s="69"/>
      <c r="AI15" s="256" t="str">
        <f>IF(Ruimtestaat[[#This Row],[Frequentie werkdagen]]="","",_xlfn.CONCAT(Ruimtestaat[[#This Row],[Ruimte code]],"-",Ruimtestaat[[#This Row],[Frequentie werkdagen]]," ",Ruimtestaat[[#This Row],[Vloer code]]))</f>
        <v>15-5w P</v>
      </c>
      <c r="AJ15" s="363" t="str">
        <f>_xlfn.IFNA(VLOOKUP($AI15,Programma!$F$3:$G$1107,2,0),"")</f>
        <v>_</v>
      </c>
      <c r="AK15" s="363" t="str">
        <f>_xlfn.IFNA(VLOOKUP($AI15,Programma!$F$3:$H$1107,3,0),"")</f>
        <v>_</v>
      </c>
      <c r="AL15" s="363" t="str">
        <f>_xlfn.IFNA(VLOOKUP($AI15,Programma!$F$3:$I$1107,4,0),"")</f>
        <v>5w</v>
      </c>
      <c r="AM15" s="363" t="str">
        <f>_xlfn.IFNA(VLOOKUP($AI15,Programma!$F$3:$J$1107,5,0),"")</f>
        <v>_</v>
      </c>
      <c r="AN15" s="363" t="str">
        <f>_xlfn.IFNA(VLOOKUP($AI15,Programma!$F$3:$K$1107,6,0),"")</f>
        <v>5w</v>
      </c>
      <c r="AO15" s="363" t="str">
        <f>_xlfn.IFNA(VLOOKUP($AI15,Programma!$F$3:$L$1107,7,0),"")</f>
        <v>_</v>
      </c>
      <c r="AP15" s="363" t="str">
        <f>_xlfn.IFNA(VLOOKUP($AI15,Programma!$F$3:$M$1107,8,0),"")</f>
        <v>_</v>
      </c>
      <c r="AQ15" s="363" t="str">
        <f>_xlfn.IFNA(VLOOKUP($AI15,Programma!$F$3:$N$1107,9,0),"")</f>
        <v>_</v>
      </c>
      <c r="AR15" s="363" t="str">
        <f>_xlfn.IFNA(VLOOKUP($AI15,Programma!$F$3:$O$1107,10,0),"")</f>
        <v>5w</v>
      </c>
      <c r="AS15" s="363" t="str">
        <f>_xlfn.IFNA(VLOOKUP($AI15,Programma!$F$3:$P$1107,11,0),"")</f>
        <v>5w</v>
      </c>
      <c r="AT15" s="363" t="str">
        <f>_xlfn.IFNA(VLOOKUP($AI15,Programma!$F$3:$Q$1107,12,0),"")</f>
        <v>1w</v>
      </c>
      <c r="AU15" s="363" t="str">
        <f>_xlfn.IFNA(VLOOKUP($AI15,Programma!$F$3:$R$1107,13,0),"")</f>
        <v>1w</v>
      </c>
      <c r="AV15" s="363" t="str">
        <f>_xlfn.IFNA(VLOOKUP($AI15,Programma!$F$3:$S$1107,14,0),"")</f>
        <v>1m</v>
      </c>
      <c r="AW15" s="363" t="str">
        <f>_xlfn.IFNA(VLOOKUP($AI15,Programma!$F$3:$T$1107,15,0),"")</f>
        <v>2j</v>
      </c>
      <c r="AX15" s="363" t="str">
        <f>_xlfn.IFNA(VLOOKUP($AI15,Programma!$F$3:$U$1107,16,0),"")</f>
        <v>1j</v>
      </c>
      <c r="AY15" s="363" t="str">
        <f>_xlfn.IFNA(VLOOKUP($AI15,Programma!$F$3:$V$1107,17,0),"")</f>
        <v>_</v>
      </c>
      <c r="AZ15" s="363" t="str">
        <f>_xlfn.IFNA(VLOOKUP($AI15,Programma!$F$3:$W$1107,18,0),"")</f>
        <v>_</v>
      </c>
      <c r="BA15" s="363" t="str">
        <f>_xlfn.IFNA(VLOOKUP($AI15,Programma!$F$3:$X$1107,19,0),"")</f>
        <v>_</v>
      </c>
      <c r="BB15" s="363" t="str">
        <f>_xlfn.IFNA(VLOOKUP($AI15,Programma!$F$3:$Y$1107,20,0),"")</f>
        <v>_</v>
      </c>
      <c r="BC15" s="257"/>
      <c r="BD15" s="256" t="str">
        <f>IF(Ruimtestaat[[#This Row],[Frequentie weekend]]="","",_xlfn.CONCAT(Ruimtestaat[[#This Row],[Ruimte code]],"-",Ruimtestaat[[#This Row],[Frequentie weekend]]," ",Ruimtestaat[[#This Row],[Vloer code]]))</f>
        <v/>
      </c>
      <c r="BE15" s="363" t="str">
        <f>_xlfn.IFNA(VLOOKUP($BD15,Programma!$F$3:$G$1107,2,0),"")</f>
        <v/>
      </c>
      <c r="BF15" s="363" t="str">
        <f>_xlfn.IFNA(VLOOKUP($BD15,Programma!$F$3:$H$1107,3,0),"")</f>
        <v/>
      </c>
      <c r="BG15" s="363" t="str">
        <f>_xlfn.IFNA(VLOOKUP($BD15,Programma!$F$3:$I$1107,4,0),"")</f>
        <v/>
      </c>
      <c r="BH15" s="363" t="str">
        <f>_xlfn.IFNA(VLOOKUP($BD15,Programma!$F$3:$J$1107,5,0),"")</f>
        <v/>
      </c>
      <c r="BI15" s="363" t="str">
        <f>_xlfn.IFNA(VLOOKUP($BD15,Programma!$F$3:$K$1107,6,0),"")</f>
        <v/>
      </c>
      <c r="BJ15" s="363" t="str">
        <f>_xlfn.IFNA(VLOOKUP($BD15,Programma!$F$3:$L$1107,7,0),"")</f>
        <v/>
      </c>
      <c r="BK15" s="363" t="str">
        <f>_xlfn.IFNA(VLOOKUP($BD15,Programma!$F$3:$M$1107,8,0),"")</f>
        <v/>
      </c>
      <c r="BL15" s="363" t="str">
        <f>_xlfn.IFNA(VLOOKUP($BD15,Programma!$F$3:$N$1107,9,0),"")</f>
        <v/>
      </c>
      <c r="BM15" s="363" t="str">
        <f>_xlfn.IFNA(VLOOKUP($BD15,Programma!$F$3:$O$1107,10,0),"")</f>
        <v/>
      </c>
      <c r="BN15" s="363" t="str">
        <f>_xlfn.IFNA(VLOOKUP($BD15,Programma!$F$3:$P$1107,11,0),"")</f>
        <v/>
      </c>
      <c r="BO15" s="363" t="str">
        <f>_xlfn.IFNA(VLOOKUP($BD15,Programma!$F$3:$Q$1107,12,0),"")</f>
        <v/>
      </c>
      <c r="BP15" s="363" t="str">
        <f>_xlfn.IFNA(VLOOKUP($BD15,Programma!$F$3:$R$1107,13,0),"")</f>
        <v/>
      </c>
      <c r="BQ15" s="363" t="str">
        <f>_xlfn.IFNA(VLOOKUP($BD15,Programma!$F$3:$S$1107,14,0),"")</f>
        <v/>
      </c>
      <c r="BR15" s="363" t="str">
        <f>_xlfn.IFNA(VLOOKUP($BD15,Programma!$F$3:$T$1107,15,0),"")</f>
        <v/>
      </c>
      <c r="BS15" s="363" t="str">
        <f>_xlfn.IFNA(VLOOKUP($BD15,Programma!$F$3:$U$1107,16,0),"")</f>
        <v/>
      </c>
      <c r="BT15" s="363" t="str">
        <f>_xlfn.IFNA(VLOOKUP($BD15,Programma!$F$3:$V$1107,17,0),"")</f>
        <v/>
      </c>
      <c r="BU15" s="363" t="str">
        <f>_xlfn.IFNA(VLOOKUP($BD15,Programma!$F$3:$W$1107,18,0),"")</f>
        <v/>
      </c>
      <c r="BV15" s="363" t="str">
        <f>_xlfn.IFNA(VLOOKUP($BD15,Programma!$F$3:$X$1107,19,0),"")</f>
        <v/>
      </c>
      <c r="BW15" s="363" t="str">
        <f>_xlfn.IFNA(VLOOKUP($BD15,Programma!$F$3:$Y$1107,20,0),"")</f>
        <v/>
      </c>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row>
    <row r="16" spans="1:221" ht="15" customHeight="1">
      <c r="A16" s="33">
        <v>2</v>
      </c>
      <c r="B16" s="157" t="str">
        <f>VLOOKUP(Ruimtestaat[[#This Row],[Code]],Locaties[[Code]:[Locatie]],2,FALSE)</f>
        <v>'s Gravendreef College</v>
      </c>
      <c r="C16" s="157" t="str">
        <f>VLOOKUP(Ruimtestaat[[#This Row],[Code]],Locaties[[#All],[Code]:[Adres]],4,FALSE)</f>
        <v>Klaas Voskuildreef 135</v>
      </c>
      <c r="D16" s="157" t="str">
        <f>VLOOKUP(Ruimtestaat[[#This Row],[Code]],Locaties[[#All],[Code]:[Postcode]],5,FALSE)</f>
        <v>2492 JJ</v>
      </c>
      <c r="E16" s="157" t="str">
        <f>VLOOKUP(Ruimtestaat[[#This Row],[Code]],Locaties[#All],6,FALSE)</f>
        <v>Den Haag</v>
      </c>
      <c r="F16" s="33"/>
      <c r="G16" s="33" t="s">
        <v>1632</v>
      </c>
      <c r="H16" s="366">
        <v>12</v>
      </c>
      <c r="I16" s="367" t="s">
        <v>1625</v>
      </c>
      <c r="J16" s="21">
        <v>6</v>
      </c>
      <c r="K16" s="62" t="str">
        <f>VLOOKUP(Ruimtestaat[[#This Row],[Ruimte code]],Ruimtegroepen[[#All],[Code]:[Ruimte omschrijving]],2,FALSE)</f>
        <v>Gangen/hallen</v>
      </c>
      <c r="L16" s="33" t="s">
        <v>101</v>
      </c>
      <c r="M16" s="367" t="s">
        <v>2495</v>
      </c>
      <c r="N16" s="140">
        <v>9</v>
      </c>
      <c r="O16" s="140"/>
      <c r="P16" s="125" t="str">
        <f>VLOOKUP(Ruimtestaat[[#This Row],[Ruimte code]],Ruimtegroepen[],4,FALSE)</f>
        <v>Ve</v>
      </c>
      <c r="R16" s="33">
        <v>40</v>
      </c>
      <c r="S16" s="33" t="s">
        <v>2</v>
      </c>
      <c r="T16" s="33">
        <f>IF(R16&gt;0,IF(RIGHT(Ruimtestaat[[#This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 s="33">
        <f>IF(T16&gt;0,VLOOKUP($J16,Ruimtegroepen[],3,FALSE)*VLOOKUP($L16,Vloersoorten[],3,FALSE)*VLOOKUP($S16,Frequenties[],3,FALSE)*VLOOKUP($A16,Locaties[],3,FALSE),0)</f>
        <v>0</v>
      </c>
      <c r="V16" s="33">
        <f>Ruimtestaat[[#This Row],[Uitvoeringen werkdagen]]*Ruimtestaat[[#This Row],[Oppervlak (netto)]]</f>
        <v>1800</v>
      </c>
      <c r="W16" s="154">
        <f>IF(U16&gt;0,Ruimtestaat[[#This Row],[Prest. (m2 /jaar) werkdagen]]/Ruimtestaat[[#This Row],[Norm (m2/uur) werkdagen]],0)</f>
        <v>0</v>
      </c>
      <c r="X16" s="155">
        <f>Ruimtestaat[[#This Row],[uren / jaar werkdagen]]*Tariefsopbouw!$E$35</f>
        <v>0</v>
      </c>
      <c r="Y16" s="33"/>
      <c r="Z16" s="33">
        <f>IF(Ruimtestaat[[#This Row],[Frequentie weekend]]&gt;0,VALUE(LEFT(Y16,1))*R16,0)</f>
        <v>0</v>
      </c>
      <c r="AA16" s="97">
        <f>IF($Z16&gt;0,VLOOKUP($J16,Ruimtegroepen[],3,FALSE)*VLOOKUP($L16,Vloersoorten[],3,FALSE)*VLOOKUP($Y16,Frequenties[],3,FALSE)*VLOOKUP(Ruimtestaat[[#This Row],[Code]],Locaties[],3,FALSE),0)</f>
        <v>0</v>
      </c>
      <c r="AB16" s="97">
        <f>Ruimtestaat[[#This Row],[Uitvoeringen weekend]]*Ruimtestaat[[#This Row],[Oppervlak (netto)]]</f>
        <v>0</v>
      </c>
      <c r="AC16" s="97">
        <f>IF(AA16&gt;0,Ruimtestaat[[#This Row],[Prest. (m2 /jaar) weekend]]/Ruimtestaat[[#This Row],[Norm (m2/uur) weekend]],0)</f>
        <v>0</v>
      </c>
      <c r="AD16" s="155">
        <f>Ruimtestaat[[#This Row],[uren / jaar weekend]]*Tariefsopbouw!$D$40</f>
        <v>0</v>
      </c>
      <c r="AE16" s="154">
        <f>Ruimtestaat[[#This Row],[Prest. (m2 /jaar) weekend]]+Ruimtestaat[[#This Row],[Prest. (m2 /jaar) werkdagen]]</f>
        <v>1800</v>
      </c>
      <c r="AF16" s="154">
        <f>Ruimtestaat[[#This Row],[uren / jaar weekend]]+Ruimtestaat[[#This Row],[uren / jaar werkdagen]]</f>
        <v>0</v>
      </c>
      <c r="AG16" s="69">
        <f>Ruimtestaat[[#This Row],[kosten / jaar weekend]]+Ruimtestaat[[#This Row],[kosten / jaar werkdagen]]</f>
        <v>0</v>
      </c>
      <c r="AH16" s="69"/>
      <c r="AI16" s="256" t="str">
        <f>IF(Ruimtestaat[[#This Row],[Frequentie werkdagen]]="","",_xlfn.CONCAT(Ruimtestaat[[#This Row],[Ruimte code]],"-",Ruimtestaat[[#This Row],[Frequentie werkdagen]]," ",Ruimtestaat[[#This Row],[Vloer code]]))</f>
        <v>6-5w L</v>
      </c>
      <c r="AJ16" s="363" t="str">
        <f>_xlfn.IFNA(VLOOKUP($AI16,Programma!$F$3:$G$1107,2,0),"")</f>
        <v>_</v>
      </c>
      <c r="AK16" s="363" t="str">
        <f>_xlfn.IFNA(VLOOKUP($AI16,Programma!$F$3:$H$1107,3,0),"")</f>
        <v>_</v>
      </c>
      <c r="AL16" s="363" t="str">
        <f>_xlfn.IFNA(VLOOKUP($AI16,Programma!$F$3:$I$1107,4,0),"")</f>
        <v>_</v>
      </c>
      <c r="AM16" s="363" t="str">
        <f>_xlfn.IFNA(VLOOKUP($AI16,Programma!$F$3:$J$1107,5,0),"")</f>
        <v>5w</v>
      </c>
      <c r="AN16" s="363" t="str">
        <f>_xlfn.IFNA(VLOOKUP($AI16,Programma!$F$3:$K$1107,6,0),"")</f>
        <v>_</v>
      </c>
      <c r="AO16" s="363" t="str">
        <f>_xlfn.IFNA(VLOOKUP($AI16,Programma!$F$3:$L$1107,7,0),"")</f>
        <v>_</v>
      </c>
      <c r="AP16" s="363" t="str">
        <f>_xlfn.IFNA(VLOOKUP($AI16,Programma!$F$3:$M$1107,8,0),"")</f>
        <v>_</v>
      </c>
      <c r="AQ16" s="363" t="str">
        <f>_xlfn.IFNA(VLOOKUP($AI16,Programma!$F$3:$N$1107,9,0),"")</f>
        <v>_</v>
      </c>
      <c r="AR16" s="363" t="str">
        <f>_xlfn.IFNA(VLOOKUP($AI16,Programma!$F$3:$O$1107,10,0),"")</f>
        <v>5w</v>
      </c>
      <c r="AS16" s="363" t="str">
        <f>_xlfn.IFNA(VLOOKUP($AI16,Programma!$F$3:$P$1107,11,0),"")</f>
        <v>5w</v>
      </c>
      <c r="AT16" s="363" t="str">
        <f>_xlfn.IFNA(VLOOKUP($AI16,Programma!$F$3:$Q$1107,12,0),"")</f>
        <v>1w</v>
      </c>
      <c r="AU16" s="363" t="str">
        <f>_xlfn.IFNA(VLOOKUP($AI16,Programma!$F$3:$R$1107,13,0),"")</f>
        <v>1w</v>
      </c>
      <c r="AV16" s="363" t="str">
        <f>_xlfn.IFNA(VLOOKUP($AI16,Programma!$F$3:$S$1107,14,0),"")</f>
        <v>1m</v>
      </c>
      <c r="AW16" s="363" t="str">
        <f>_xlfn.IFNA(VLOOKUP($AI16,Programma!$F$3:$T$1107,15,0),"")</f>
        <v>2j</v>
      </c>
      <c r="AX16" s="363" t="str">
        <f>_xlfn.IFNA(VLOOKUP($AI16,Programma!$F$3:$U$1107,16,0),"")</f>
        <v>1j</v>
      </c>
      <c r="AY16" s="363" t="str">
        <f>_xlfn.IFNA(VLOOKUP($AI16,Programma!$F$3:$V$1107,17,0),"")</f>
        <v>_</v>
      </c>
      <c r="AZ16" s="363" t="str">
        <f>_xlfn.IFNA(VLOOKUP($AI16,Programma!$F$3:$W$1107,18,0),"")</f>
        <v>_</v>
      </c>
      <c r="BA16" s="363" t="str">
        <f>_xlfn.IFNA(VLOOKUP($AI16,Programma!$F$3:$X$1107,19,0),"")</f>
        <v>_</v>
      </c>
      <c r="BB16" s="363" t="str">
        <f>_xlfn.IFNA(VLOOKUP($AI16,Programma!$F$3:$Y$1107,20,0),"")</f>
        <v>_</v>
      </c>
      <c r="BC16" s="257"/>
      <c r="BD16" s="256" t="str">
        <f>IF(Ruimtestaat[[#This Row],[Frequentie weekend]]="","",_xlfn.CONCAT(Ruimtestaat[[#This Row],[Ruimte code]],"-",Ruimtestaat[[#This Row],[Frequentie weekend]]," ",Ruimtestaat[[#This Row],[Vloer code]]))</f>
        <v/>
      </c>
      <c r="BE16" s="363" t="str">
        <f>_xlfn.IFNA(VLOOKUP($BD16,Programma!$F$3:$G$1107,2,0),"")</f>
        <v/>
      </c>
      <c r="BF16" s="363" t="str">
        <f>_xlfn.IFNA(VLOOKUP($BD16,Programma!$F$3:$H$1107,3,0),"")</f>
        <v/>
      </c>
      <c r="BG16" s="363" t="str">
        <f>_xlfn.IFNA(VLOOKUP($BD16,Programma!$F$3:$I$1107,4,0),"")</f>
        <v/>
      </c>
      <c r="BH16" s="363" t="str">
        <f>_xlfn.IFNA(VLOOKUP($BD16,Programma!$F$3:$J$1107,5,0),"")</f>
        <v/>
      </c>
      <c r="BI16" s="363" t="str">
        <f>_xlfn.IFNA(VLOOKUP($BD16,Programma!$F$3:$K$1107,6,0),"")</f>
        <v/>
      </c>
      <c r="BJ16" s="363" t="str">
        <f>_xlfn.IFNA(VLOOKUP($BD16,Programma!$F$3:$L$1107,7,0),"")</f>
        <v/>
      </c>
      <c r="BK16" s="363" t="str">
        <f>_xlfn.IFNA(VLOOKUP($BD16,Programma!$F$3:$M$1107,8,0),"")</f>
        <v/>
      </c>
      <c r="BL16" s="363" t="str">
        <f>_xlfn.IFNA(VLOOKUP($BD16,Programma!$F$3:$N$1107,9,0),"")</f>
        <v/>
      </c>
      <c r="BM16" s="363" t="str">
        <f>_xlfn.IFNA(VLOOKUP($BD16,Programma!$F$3:$O$1107,10,0),"")</f>
        <v/>
      </c>
      <c r="BN16" s="363" t="str">
        <f>_xlfn.IFNA(VLOOKUP($BD16,Programma!$F$3:$P$1107,11,0),"")</f>
        <v/>
      </c>
      <c r="BO16" s="363" t="str">
        <f>_xlfn.IFNA(VLOOKUP($BD16,Programma!$F$3:$Q$1107,12,0),"")</f>
        <v/>
      </c>
      <c r="BP16" s="363" t="str">
        <f>_xlfn.IFNA(VLOOKUP($BD16,Programma!$F$3:$R$1107,13,0),"")</f>
        <v/>
      </c>
      <c r="BQ16" s="363" t="str">
        <f>_xlfn.IFNA(VLOOKUP($BD16,Programma!$F$3:$S$1107,14,0),"")</f>
        <v/>
      </c>
      <c r="BR16" s="363" t="str">
        <f>_xlfn.IFNA(VLOOKUP($BD16,Programma!$F$3:$T$1107,15,0),"")</f>
        <v/>
      </c>
      <c r="BS16" s="363" t="str">
        <f>_xlfn.IFNA(VLOOKUP($BD16,Programma!$F$3:$U$1107,16,0),"")</f>
        <v/>
      </c>
      <c r="BT16" s="363" t="str">
        <f>_xlfn.IFNA(VLOOKUP($BD16,Programma!$F$3:$V$1107,17,0),"")</f>
        <v/>
      </c>
      <c r="BU16" s="363" t="str">
        <f>_xlfn.IFNA(VLOOKUP($BD16,Programma!$F$3:$W$1107,18,0),"")</f>
        <v/>
      </c>
      <c r="BV16" s="363" t="str">
        <f>_xlfn.IFNA(VLOOKUP($BD16,Programma!$F$3:$X$1107,19,0),"")</f>
        <v/>
      </c>
      <c r="BW16" s="363" t="str">
        <f>_xlfn.IFNA(VLOOKUP($BD16,Programma!$F$3:$Y$1107,20,0),"")</f>
        <v/>
      </c>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row>
    <row r="17" spans="1:220" ht="15" customHeight="1">
      <c r="A17" s="33">
        <v>2</v>
      </c>
      <c r="B17" s="157" t="str">
        <f>VLOOKUP(Ruimtestaat[[#This Row],[Code]],Locaties[[Code]:[Locatie]],2,FALSE)</f>
        <v>'s Gravendreef College</v>
      </c>
      <c r="C17" s="157" t="str">
        <f>VLOOKUP(Ruimtestaat[[#This Row],[Code]],Locaties[[#All],[Code]:[Adres]],4,FALSE)</f>
        <v>Klaas Voskuildreef 135</v>
      </c>
      <c r="D17" s="157" t="str">
        <f>VLOOKUP(Ruimtestaat[[#This Row],[Code]],Locaties[[#All],[Code]:[Postcode]],5,FALSE)</f>
        <v>2492 JJ</v>
      </c>
      <c r="E17" s="157" t="str">
        <f>VLOOKUP(Ruimtestaat[[#This Row],[Code]],Locaties[#All],6,FALSE)</f>
        <v>Den Haag</v>
      </c>
      <c r="F17" s="33"/>
      <c r="G17" s="33" t="s">
        <v>1632</v>
      </c>
      <c r="H17" s="366">
        <v>13</v>
      </c>
      <c r="I17" s="367" t="s">
        <v>1643</v>
      </c>
      <c r="J17" s="21">
        <v>9</v>
      </c>
      <c r="K17" s="62" t="str">
        <f>VLOOKUP(Ruimtestaat[[#This Row],[Ruimte code]],Ruimtegroepen[[#All],[Code]:[Ruimte omschrijving]],2,FALSE)</f>
        <v>Publieksruimte</v>
      </c>
      <c r="L17" s="33" t="s">
        <v>101</v>
      </c>
      <c r="M17" s="367" t="s">
        <v>2495</v>
      </c>
      <c r="N17" s="140">
        <v>30</v>
      </c>
      <c r="O17" s="140"/>
      <c r="P17" s="125" t="str">
        <f>VLOOKUP(Ruimtestaat[[#This Row],[Ruimte code]],Ruimtegroepen[],4,FALSE)</f>
        <v>Ve</v>
      </c>
      <c r="R17" s="33">
        <v>40</v>
      </c>
      <c r="S17" s="33" t="s">
        <v>2</v>
      </c>
      <c r="T17" s="33">
        <f>IF(R17&gt;0,IF(RIGHT(Ruimtestaat[[#This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 s="33">
        <f>IF(T17&gt;0,VLOOKUP($J17,Ruimtegroepen[],3,FALSE)*VLOOKUP($L17,Vloersoorten[],3,FALSE)*VLOOKUP($S17,Frequenties[],3,FALSE)*VLOOKUP($A17,Locaties[],3,FALSE),0)</f>
        <v>0</v>
      </c>
      <c r="V17" s="33">
        <f>Ruimtestaat[[#This Row],[Uitvoeringen werkdagen]]*Ruimtestaat[[#This Row],[Oppervlak (netto)]]</f>
        <v>6000</v>
      </c>
      <c r="W17" s="154">
        <f>IF(U17&gt;0,Ruimtestaat[[#This Row],[Prest. (m2 /jaar) werkdagen]]/Ruimtestaat[[#This Row],[Norm (m2/uur) werkdagen]],0)</f>
        <v>0</v>
      </c>
      <c r="X17" s="155">
        <f>Ruimtestaat[[#This Row],[uren / jaar werkdagen]]*Tariefsopbouw!$E$35</f>
        <v>0</v>
      </c>
      <c r="Y17" s="33"/>
      <c r="Z17" s="33">
        <f>IF(Ruimtestaat[[#This Row],[Frequentie weekend]]&gt;0,VALUE(LEFT(Y17,1))*R17,0)</f>
        <v>0</v>
      </c>
      <c r="AA17" s="97">
        <f>IF($Z17&gt;0,VLOOKUP($J17,Ruimtegroepen[],3,FALSE)*VLOOKUP($L17,Vloersoorten[],3,FALSE)*VLOOKUP($Y17,Frequenties[],3,FALSE)*VLOOKUP(Ruimtestaat[[#This Row],[Code]],Locaties[],3,FALSE),0)</f>
        <v>0</v>
      </c>
      <c r="AB17" s="97">
        <f>Ruimtestaat[[#This Row],[Uitvoeringen weekend]]*Ruimtestaat[[#This Row],[Oppervlak (netto)]]</f>
        <v>0</v>
      </c>
      <c r="AC17" s="97">
        <f>IF(AA17&gt;0,Ruimtestaat[[#This Row],[Prest. (m2 /jaar) weekend]]/Ruimtestaat[[#This Row],[Norm (m2/uur) weekend]],0)</f>
        <v>0</v>
      </c>
      <c r="AD17" s="155">
        <f>Ruimtestaat[[#This Row],[uren / jaar weekend]]*Tariefsopbouw!$D$40</f>
        <v>0</v>
      </c>
      <c r="AE17" s="154">
        <f>Ruimtestaat[[#This Row],[Prest. (m2 /jaar) weekend]]+Ruimtestaat[[#This Row],[Prest. (m2 /jaar) werkdagen]]</f>
        <v>6000</v>
      </c>
      <c r="AF17" s="154">
        <f>Ruimtestaat[[#This Row],[uren / jaar weekend]]+Ruimtestaat[[#This Row],[uren / jaar werkdagen]]</f>
        <v>0</v>
      </c>
      <c r="AG17" s="69">
        <f>Ruimtestaat[[#This Row],[kosten / jaar weekend]]+Ruimtestaat[[#This Row],[kosten / jaar werkdagen]]</f>
        <v>0</v>
      </c>
      <c r="AH17" s="69"/>
      <c r="AI17" s="256" t="str">
        <f>IF(Ruimtestaat[[#This Row],[Frequentie werkdagen]]="","",_xlfn.CONCAT(Ruimtestaat[[#This Row],[Ruimte code]],"-",Ruimtestaat[[#This Row],[Frequentie werkdagen]]," ",Ruimtestaat[[#This Row],[Vloer code]]))</f>
        <v>9-5w L</v>
      </c>
      <c r="AJ17" s="363" t="str">
        <f>_xlfn.IFNA(VLOOKUP($AI17,Programma!$F$3:$G$1107,2,0),"")</f>
        <v>_</v>
      </c>
      <c r="AK17" s="363" t="str">
        <f>_xlfn.IFNA(VLOOKUP($AI17,Programma!$F$3:$H$1107,3,0),"")</f>
        <v>_</v>
      </c>
      <c r="AL17" s="363" t="str">
        <f>_xlfn.IFNA(VLOOKUP($AI17,Programma!$F$3:$I$1107,4,0),"")</f>
        <v>4w</v>
      </c>
      <c r="AM17" s="363" t="str">
        <f>_xlfn.IFNA(VLOOKUP($AI17,Programma!$F$3:$J$1107,5,0),"")</f>
        <v>1w</v>
      </c>
      <c r="AN17" s="363" t="str">
        <f>_xlfn.IFNA(VLOOKUP($AI17,Programma!$F$3:$K$1107,6,0),"")</f>
        <v>_</v>
      </c>
      <c r="AO17" s="363" t="str">
        <f>_xlfn.IFNA(VLOOKUP($AI17,Programma!$F$3:$L$1107,7,0),"")</f>
        <v>_</v>
      </c>
      <c r="AP17" s="363" t="str">
        <f>_xlfn.IFNA(VLOOKUP($AI17,Programma!$F$3:$M$1107,8,0),"")</f>
        <v>_</v>
      </c>
      <c r="AQ17" s="363" t="str">
        <f>_xlfn.IFNA(VLOOKUP($AI17,Programma!$F$3:$N$1107,9,0),"")</f>
        <v>_</v>
      </c>
      <c r="AR17" s="363" t="str">
        <f>_xlfn.IFNA(VLOOKUP($AI17,Programma!$F$3:$O$1107,10,0),"")</f>
        <v>5w</v>
      </c>
      <c r="AS17" s="363" t="str">
        <f>_xlfn.IFNA(VLOOKUP($AI17,Programma!$F$3:$P$1107,11,0),"")</f>
        <v>5w</v>
      </c>
      <c r="AT17" s="363" t="str">
        <f>_xlfn.IFNA(VLOOKUP($AI17,Programma!$F$3:$Q$1107,12,0),"")</f>
        <v>1w</v>
      </c>
      <c r="AU17" s="363" t="str">
        <f>_xlfn.IFNA(VLOOKUP($AI17,Programma!$F$3:$R$1107,13,0),"")</f>
        <v>1w</v>
      </c>
      <c r="AV17" s="363" t="str">
        <f>_xlfn.IFNA(VLOOKUP($AI17,Programma!$F$3:$S$1107,14,0),"")</f>
        <v>1m</v>
      </c>
      <c r="AW17" s="363" t="str">
        <f>_xlfn.IFNA(VLOOKUP($AI17,Programma!$F$3:$T$1107,15,0),"")</f>
        <v>2j</v>
      </c>
      <c r="AX17" s="363" t="str">
        <f>_xlfn.IFNA(VLOOKUP($AI17,Programma!$F$3:$U$1107,16,0),"")</f>
        <v>1j</v>
      </c>
      <c r="AY17" s="363" t="str">
        <f>_xlfn.IFNA(VLOOKUP($AI17,Programma!$F$3:$V$1107,17,0),"")</f>
        <v>_</v>
      </c>
      <c r="AZ17" s="363" t="str">
        <f>_xlfn.IFNA(VLOOKUP($AI17,Programma!$F$3:$W$1107,18,0),"")</f>
        <v>_</v>
      </c>
      <c r="BA17" s="363" t="str">
        <f>_xlfn.IFNA(VLOOKUP($AI17,Programma!$F$3:$X$1107,19,0),"")</f>
        <v>_</v>
      </c>
      <c r="BB17" s="363" t="str">
        <f>_xlfn.IFNA(VLOOKUP($AI17,Programma!$F$3:$Y$1107,20,0),"")</f>
        <v>_</v>
      </c>
      <c r="BC17" s="257"/>
      <c r="BD17" s="256" t="str">
        <f>IF(Ruimtestaat[[#This Row],[Frequentie weekend]]="","",_xlfn.CONCAT(Ruimtestaat[[#This Row],[Ruimte code]],"-",Ruimtestaat[[#This Row],[Frequentie weekend]]," ",Ruimtestaat[[#This Row],[Vloer code]]))</f>
        <v/>
      </c>
      <c r="BE17" s="363" t="str">
        <f>_xlfn.IFNA(VLOOKUP($BD17,Programma!$F$3:$G$1107,2,0),"")</f>
        <v/>
      </c>
      <c r="BF17" s="363" t="str">
        <f>_xlfn.IFNA(VLOOKUP($BD17,Programma!$F$3:$H$1107,3,0),"")</f>
        <v/>
      </c>
      <c r="BG17" s="363" t="str">
        <f>_xlfn.IFNA(VLOOKUP($BD17,Programma!$F$3:$I$1107,4,0),"")</f>
        <v/>
      </c>
      <c r="BH17" s="363" t="str">
        <f>_xlfn.IFNA(VLOOKUP($BD17,Programma!$F$3:$J$1107,5,0),"")</f>
        <v/>
      </c>
      <c r="BI17" s="363" t="str">
        <f>_xlfn.IFNA(VLOOKUP($BD17,Programma!$F$3:$K$1107,6,0),"")</f>
        <v/>
      </c>
      <c r="BJ17" s="363" t="str">
        <f>_xlfn.IFNA(VLOOKUP($BD17,Programma!$F$3:$L$1107,7,0),"")</f>
        <v/>
      </c>
      <c r="BK17" s="363" t="str">
        <f>_xlfn.IFNA(VLOOKUP($BD17,Programma!$F$3:$M$1107,8,0),"")</f>
        <v/>
      </c>
      <c r="BL17" s="363" t="str">
        <f>_xlfn.IFNA(VLOOKUP($BD17,Programma!$F$3:$N$1107,9,0),"")</f>
        <v/>
      </c>
      <c r="BM17" s="363" t="str">
        <f>_xlfn.IFNA(VLOOKUP($BD17,Programma!$F$3:$O$1107,10,0),"")</f>
        <v/>
      </c>
      <c r="BN17" s="363" t="str">
        <f>_xlfn.IFNA(VLOOKUP($BD17,Programma!$F$3:$P$1107,11,0),"")</f>
        <v/>
      </c>
      <c r="BO17" s="363" t="str">
        <f>_xlfn.IFNA(VLOOKUP($BD17,Programma!$F$3:$Q$1107,12,0),"")</f>
        <v/>
      </c>
      <c r="BP17" s="363" t="str">
        <f>_xlfn.IFNA(VLOOKUP($BD17,Programma!$F$3:$R$1107,13,0),"")</f>
        <v/>
      </c>
      <c r="BQ17" s="363" t="str">
        <f>_xlfn.IFNA(VLOOKUP($BD17,Programma!$F$3:$S$1107,14,0),"")</f>
        <v/>
      </c>
      <c r="BR17" s="363" t="str">
        <f>_xlfn.IFNA(VLOOKUP($BD17,Programma!$F$3:$T$1107,15,0),"")</f>
        <v/>
      </c>
      <c r="BS17" s="363" t="str">
        <f>_xlfn.IFNA(VLOOKUP($BD17,Programma!$F$3:$U$1107,16,0),"")</f>
        <v/>
      </c>
      <c r="BT17" s="363" t="str">
        <f>_xlfn.IFNA(VLOOKUP($BD17,Programma!$F$3:$V$1107,17,0),"")</f>
        <v/>
      </c>
      <c r="BU17" s="363" t="str">
        <f>_xlfn.IFNA(VLOOKUP($BD17,Programma!$F$3:$W$1107,18,0),"")</f>
        <v/>
      </c>
      <c r="BV17" s="363" t="str">
        <f>_xlfn.IFNA(VLOOKUP($BD17,Programma!$F$3:$X$1107,19,0),"")</f>
        <v/>
      </c>
      <c r="BW17" s="363" t="str">
        <f>_xlfn.IFNA(VLOOKUP($BD17,Programma!$F$3:$Y$1107,20,0),"")</f>
        <v/>
      </c>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row>
    <row r="18" spans="1:220" ht="15" customHeight="1">
      <c r="A18" s="33">
        <v>2</v>
      </c>
      <c r="B18" s="157" t="str">
        <f>VLOOKUP(Ruimtestaat[[#This Row],[Code]],Locaties[[Code]:[Locatie]],2,FALSE)</f>
        <v>'s Gravendreef College</v>
      </c>
      <c r="C18" s="157" t="str">
        <f>VLOOKUP(Ruimtestaat[[#This Row],[Code]],Locaties[[#All],[Code]:[Adres]],4,FALSE)</f>
        <v>Klaas Voskuildreef 135</v>
      </c>
      <c r="D18" s="157" t="str">
        <f>VLOOKUP(Ruimtestaat[[#This Row],[Code]],Locaties[[#All],[Code]:[Postcode]],5,FALSE)</f>
        <v>2492 JJ</v>
      </c>
      <c r="E18" s="157" t="str">
        <f>VLOOKUP(Ruimtestaat[[#This Row],[Code]],Locaties[#All],6,FALSE)</f>
        <v>Den Haag</v>
      </c>
      <c r="F18" s="33"/>
      <c r="G18" s="33" t="s">
        <v>1632</v>
      </c>
      <c r="H18" s="366">
        <v>14</v>
      </c>
      <c r="I18" s="367" t="s">
        <v>1644</v>
      </c>
      <c r="J18" s="21">
        <v>20</v>
      </c>
      <c r="K18" s="62" t="str">
        <f>VLOOKUP(Ruimtestaat[[#This Row],[Ruimte code]],Ruimtegroepen[[#All],[Code]:[Ruimte omschrijving]],2,FALSE)</f>
        <v>Niet in Onderhoud</v>
      </c>
      <c r="L18" s="33" t="s">
        <v>101</v>
      </c>
      <c r="M18" s="367" t="s">
        <v>2495</v>
      </c>
      <c r="N18" s="140"/>
      <c r="O18" s="140">
        <v>30</v>
      </c>
      <c r="P18" s="125">
        <f>VLOOKUP(Ruimtestaat[[#This Row],[Ruimte code]],Ruimtegroepen[],4,FALSE)</f>
        <v>0</v>
      </c>
      <c r="Q18" s="125" t="s">
        <v>2532</v>
      </c>
      <c r="R18" s="33"/>
      <c r="S18" s="33"/>
      <c r="T18" s="33">
        <f>IF(R18&gt;0,IF(RIGHT(Ruimtestaat[[#This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8" s="33">
        <f>IF(T18&gt;0,VLOOKUP($J18,Ruimtegroepen[],3,FALSE)*VLOOKUP($L18,Vloersoorten[],3,FALSE)*VLOOKUP($S18,Frequenties[],3,FALSE)*VLOOKUP($A18,Locaties[],3,FALSE),0)</f>
        <v>0</v>
      </c>
      <c r="V18" s="33">
        <f>Ruimtestaat[[#This Row],[Uitvoeringen werkdagen]]*Ruimtestaat[[#This Row],[Oppervlak (netto)]]</f>
        <v>0</v>
      </c>
      <c r="W18" s="154">
        <f>IF(U18&gt;0,Ruimtestaat[[#This Row],[Prest. (m2 /jaar) werkdagen]]/Ruimtestaat[[#This Row],[Norm (m2/uur) werkdagen]],0)</f>
        <v>0</v>
      </c>
      <c r="X18" s="155">
        <f>Ruimtestaat[[#This Row],[uren / jaar werkdagen]]*Tariefsopbouw!$E$35</f>
        <v>0</v>
      </c>
      <c r="Y18" s="33"/>
      <c r="Z18" s="33">
        <f>IF(Ruimtestaat[[#This Row],[Frequentie weekend]]&gt;0,VALUE(LEFT(Y18,1))*R18,0)</f>
        <v>0</v>
      </c>
      <c r="AA18" s="97">
        <f>IF($Z18&gt;0,VLOOKUP($J18,Ruimtegroepen[],3,FALSE)*VLOOKUP($L18,Vloersoorten[],3,FALSE)*VLOOKUP($Y18,Frequenties[],3,FALSE)*VLOOKUP(Ruimtestaat[[#This Row],[Code]],Locaties[],3,FALSE),0)</f>
        <v>0</v>
      </c>
      <c r="AB18" s="97">
        <f>Ruimtestaat[[#This Row],[Uitvoeringen weekend]]*Ruimtestaat[[#This Row],[Oppervlak (netto)]]</f>
        <v>0</v>
      </c>
      <c r="AC18" s="97">
        <f>IF(AA18&gt;0,Ruimtestaat[[#This Row],[Prest. (m2 /jaar) weekend]]/Ruimtestaat[[#This Row],[Norm (m2/uur) weekend]],0)</f>
        <v>0</v>
      </c>
      <c r="AD18" s="155">
        <f>Ruimtestaat[[#This Row],[uren / jaar weekend]]*Tariefsopbouw!$D$40</f>
        <v>0</v>
      </c>
      <c r="AE18" s="154">
        <f>Ruimtestaat[[#This Row],[Prest. (m2 /jaar) weekend]]+Ruimtestaat[[#This Row],[Prest. (m2 /jaar) werkdagen]]</f>
        <v>0</v>
      </c>
      <c r="AF18" s="154">
        <f>Ruimtestaat[[#This Row],[uren / jaar weekend]]+Ruimtestaat[[#This Row],[uren / jaar werkdagen]]</f>
        <v>0</v>
      </c>
      <c r="AG18" s="69">
        <f>Ruimtestaat[[#This Row],[kosten / jaar weekend]]+Ruimtestaat[[#This Row],[kosten / jaar werkdagen]]</f>
        <v>0</v>
      </c>
      <c r="AH18" s="69"/>
      <c r="AI18" s="256" t="str">
        <f>IF(Ruimtestaat[[#This Row],[Frequentie werkdagen]]="","",_xlfn.CONCAT(Ruimtestaat[[#This Row],[Ruimte code]],"-",Ruimtestaat[[#This Row],[Frequentie werkdagen]]," ",Ruimtestaat[[#This Row],[Vloer code]]))</f>
        <v/>
      </c>
      <c r="AJ18" s="363" t="str">
        <f>_xlfn.IFNA(VLOOKUP($AI18,Programma!$F$3:$G$1107,2,0),"")</f>
        <v/>
      </c>
      <c r="AK18" s="363" t="str">
        <f>_xlfn.IFNA(VLOOKUP($AI18,Programma!$F$3:$H$1107,3,0),"")</f>
        <v/>
      </c>
      <c r="AL18" s="363" t="str">
        <f>_xlfn.IFNA(VLOOKUP($AI18,Programma!$F$3:$I$1107,4,0),"")</f>
        <v/>
      </c>
      <c r="AM18" s="363" t="str">
        <f>_xlfn.IFNA(VLOOKUP($AI18,Programma!$F$3:$J$1107,5,0),"")</f>
        <v/>
      </c>
      <c r="AN18" s="363" t="str">
        <f>_xlfn.IFNA(VLOOKUP($AI18,Programma!$F$3:$K$1107,6,0),"")</f>
        <v/>
      </c>
      <c r="AO18" s="363" t="str">
        <f>_xlfn.IFNA(VLOOKUP($AI18,Programma!$F$3:$L$1107,7,0),"")</f>
        <v/>
      </c>
      <c r="AP18" s="363" t="str">
        <f>_xlfn.IFNA(VLOOKUP($AI18,Programma!$F$3:$M$1107,8,0),"")</f>
        <v/>
      </c>
      <c r="AQ18" s="363" t="str">
        <f>_xlfn.IFNA(VLOOKUP($AI18,Programma!$F$3:$N$1107,9,0),"")</f>
        <v/>
      </c>
      <c r="AR18" s="363" t="str">
        <f>_xlfn.IFNA(VLOOKUP($AI18,Programma!$F$3:$O$1107,10,0),"")</f>
        <v/>
      </c>
      <c r="AS18" s="363" t="str">
        <f>_xlfn.IFNA(VLOOKUP($AI18,Programma!$F$3:$P$1107,11,0),"")</f>
        <v/>
      </c>
      <c r="AT18" s="363" t="str">
        <f>_xlfn.IFNA(VLOOKUP($AI18,Programma!$F$3:$Q$1107,12,0),"")</f>
        <v/>
      </c>
      <c r="AU18" s="363" t="str">
        <f>_xlfn.IFNA(VLOOKUP($AI18,Programma!$F$3:$R$1107,13,0),"")</f>
        <v/>
      </c>
      <c r="AV18" s="363" t="str">
        <f>_xlfn.IFNA(VLOOKUP($AI18,Programma!$F$3:$S$1107,14,0),"")</f>
        <v/>
      </c>
      <c r="AW18" s="363" t="str">
        <f>_xlfn.IFNA(VLOOKUP($AI18,Programma!$F$3:$T$1107,15,0),"")</f>
        <v/>
      </c>
      <c r="AX18" s="363" t="str">
        <f>_xlfn.IFNA(VLOOKUP($AI18,Programma!$F$3:$U$1107,16,0),"")</f>
        <v/>
      </c>
      <c r="AY18" s="363" t="str">
        <f>_xlfn.IFNA(VLOOKUP($AI18,Programma!$F$3:$V$1107,17,0),"")</f>
        <v/>
      </c>
      <c r="AZ18" s="363" t="str">
        <f>_xlfn.IFNA(VLOOKUP($AI18,Programma!$F$3:$W$1107,18,0),"")</f>
        <v/>
      </c>
      <c r="BA18" s="363" t="str">
        <f>_xlfn.IFNA(VLOOKUP($AI18,Programma!$F$3:$X$1107,19,0),"")</f>
        <v/>
      </c>
      <c r="BB18" s="363" t="str">
        <f>_xlfn.IFNA(VLOOKUP($AI18,Programma!$F$3:$Y$1107,20,0),"")</f>
        <v/>
      </c>
      <c r="BC18" s="257"/>
      <c r="BD18" s="256" t="str">
        <f>IF(Ruimtestaat[[#This Row],[Frequentie weekend]]="","",_xlfn.CONCAT(Ruimtestaat[[#This Row],[Ruimte code]],"-",Ruimtestaat[[#This Row],[Frequentie weekend]]," ",Ruimtestaat[[#This Row],[Vloer code]]))</f>
        <v/>
      </c>
      <c r="BE18" s="363" t="str">
        <f>_xlfn.IFNA(VLOOKUP($BD18,Programma!$F$3:$G$1107,2,0),"")</f>
        <v/>
      </c>
      <c r="BF18" s="363" t="str">
        <f>_xlfn.IFNA(VLOOKUP($BD18,Programma!$F$3:$H$1107,3,0),"")</f>
        <v/>
      </c>
      <c r="BG18" s="363" t="str">
        <f>_xlfn.IFNA(VLOOKUP($BD18,Programma!$F$3:$I$1107,4,0),"")</f>
        <v/>
      </c>
      <c r="BH18" s="363" t="str">
        <f>_xlfn.IFNA(VLOOKUP($BD18,Programma!$F$3:$J$1107,5,0),"")</f>
        <v/>
      </c>
      <c r="BI18" s="363" t="str">
        <f>_xlfn.IFNA(VLOOKUP($BD18,Programma!$F$3:$K$1107,6,0),"")</f>
        <v/>
      </c>
      <c r="BJ18" s="363" t="str">
        <f>_xlfn.IFNA(VLOOKUP($BD18,Programma!$F$3:$L$1107,7,0),"")</f>
        <v/>
      </c>
      <c r="BK18" s="363" t="str">
        <f>_xlfn.IFNA(VLOOKUP($BD18,Programma!$F$3:$M$1107,8,0),"")</f>
        <v/>
      </c>
      <c r="BL18" s="363" t="str">
        <f>_xlfn.IFNA(VLOOKUP($BD18,Programma!$F$3:$N$1107,9,0),"")</f>
        <v/>
      </c>
      <c r="BM18" s="363" t="str">
        <f>_xlfn.IFNA(VLOOKUP($BD18,Programma!$F$3:$O$1107,10,0),"")</f>
        <v/>
      </c>
      <c r="BN18" s="363" t="str">
        <f>_xlfn.IFNA(VLOOKUP($BD18,Programma!$F$3:$P$1107,11,0),"")</f>
        <v/>
      </c>
      <c r="BO18" s="363" t="str">
        <f>_xlfn.IFNA(VLOOKUP($BD18,Programma!$F$3:$Q$1107,12,0),"")</f>
        <v/>
      </c>
      <c r="BP18" s="363" t="str">
        <f>_xlfn.IFNA(VLOOKUP($BD18,Programma!$F$3:$R$1107,13,0),"")</f>
        <v/>
      </c>
      <c r="BQ18" s="363" t="str">
        <f>_xlfn.IFNA(VLOOKUP($BD18,Programma!$F$3:$S$1107,14,0),"")</f>
        <v/>
      </c>
      <c r="BR18" s="363" t="str">
        <f>_xlfn.IFNA(VLOOKUP($BD18,Programma!$F$3:$T$1107,15,0),"")</f>
        <v/>
      </c>
      <c r="BS18" s="363" t="str">
        <f>_xlfn.IFNA(VLOOKUP($BD18,Programma!$F$3:$U$1107,16,0),"")</f>
        <v/>
      </c>
      <c r="BT18" s="363" t="str">
        <f>_xlfn.IFNA(VLOOKUP($BD18,Programma!$F$3:$V$1107,17,0),"")</f>
        <v/>
      </c>
      <c r="BU18" s="363" t="str">
        <f>_xlfn.IFNA(VLOOKUP($BD18,Programma!$F$3:$W$1107,18,0),"")</f>
        <v/>
      </c>
      <c r="BV18" s="363" t="str">
        <f>_xlfn.IFNA(VLOOKUP($BD18,Programma!$F$3:$X$1107,19,0),"")</f>
        <v/>
      </c>
      <c r="BW18" s="363" t="str">
        <f>_xlfn.IFNA(VLOOKUP($BD18,Programma!$F$3:$Y$1107,20,0),"")</f>
        <v/>
      </c>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row>
    <row r="19" spans="1:220" ht="15" customHeight="1">
      <c r="A19" s="33">
        <v>2</v>
      </c>
      <c r="B19" s="157" t="str">
        <f>VLOOKUP(Ruimtestaat[[#This Row],[Code]],Locaties[[Code]:[Locatie]],2,FALSE)</f>
        <v>'s Gravendreef College</v>
      </c>
      <c r="C19" s="157" t="str">
        <f>VLOOKUP(Ruimtestaat[[#This Row],[Code]],Locaties[[#All],[Code]:[Adres]],4,FALSE)</f>
        <v>Klaas Voskuildreef 135</v>
      </c>
      <c r="D19" s="157" t="str">
        <f>VLOOKUP(Ruimtestaat[[#This Row],[Code]],Locaties[[#All],[Code]:[Postcode]],5,FALSE)</f>
        <v>2492 JJ</v>
      </c>
      <c r="E19" s="157" t="str">
        <f>VLOOKUP(Ruimtestaat[[#This Row],[Code]],Locaties[#All],6,FALSE)</f>
        <v>Den Haag</v>
      </c>
      <c r="F19" s="33"/>
      <c r="G19" s="33" t="s">
        <v>1632</v>
      </c>
      <c r="H19" s="366">
        <v>15</v>
      </c>
      <c r="I19" s="367" t="s">
        <v>1645</v>
      </c>
      <c r="J19" s="21">
        <v>2</v>
      </c>
      <c r="K19" s="62" t="str">
        <f>VLOOKUP(Ruimtestaat[[#This Row],[Ruimte code]],Ruimtegroepen[[#All],[Code]:[Ruimte omschrijving]],2,FALSE)</f>
        <v>Kantoren</v>
      </c>
      <c r="L19" s="33" t="s">
        <v>101</v>
      </c>
      <c r="M19" s="367" t="s">
        <v>2495</v>
      </c>
      <c r="N19" s="140">
        <v>30</v>
      </c>
      <c r="O19" s="140"/>
      <c r="P19" s="125" t="str">
        <f>VLOOKUP(Ruimtestaat[[#This Row],[Ruimte code]],Ruimtegroepen[],4,FALSE)</f>
        <v>Bu</v>
      </c>
      <c r="R19" s="33">
        <v>42</v>
      </c>
      <c r="S19" s="33" t="s">
        <v>18</v>
      </c>
      <c r="T19" s="33">
        <f>IF(R19&gt;0,IF(RIGHT(Ruimtestaat[[#This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9" s="33">
        <f>IF(T19&gt;0,VLOOKUP($J19,Ruimtegroepen[],3,FALSE)*VLOOKUP($L19,Vloersoorten[],3,FALSE)*VLOOKUP($S19,Frequenties[],3,FALSE)*VLOOKUP($A19,Locaties[],3,FALSE),0)</f>
        <v>0</v>
      </c>
      <c r="V19" s="33">
        <f>Ruimtestaat[[#This Row],[Uitvoeringen werkdagen]]*Ruimtestaat[[#This Row],[Oppervlak (netto)]]</f>
        <v>3780</v>
      </c>
      <c r="W19" s="154">
        <f>IF(U19&gt;0,Ruimtestaat[[#This Row],[Prest. (m2 /jaar) werkdagen]]/Ruimtestaat[[#This Row],[Norm (m2/uur) werkdagen]],0)</f>
        <v>0</v>
      </c>
      <c r="X19" s="155">
        <f>Ruimtestaat[[#This Row],[uren / jaar werkdagen]]*Tariefsopbouw!$E$35</f>
        <v>0</v>
      </c>
      <c r="Y19" s="33"/>
      <c r="Z19" s="33">
        <f>IF(Ruimtestaat[[#This Row],[Frequentie weekend]]&gt;0,VALUE(LEFT(Y19,1))*R19,0)</f>
        <v>0</v>
      </c>
      <c r="AA19" s="97">
        <f>IF($Z19&gt;0,VLOOKUP($J19,Ruimtegroepen[],3,FALSE)*VLOOKUP($L19,Vloersoorten[],3,FALSE)*VLOOKUP($Y19,Frequenties[],3,FALSE)*VLOOKUP(Ruimtestaat[[#This Row],[Code]],Locaties[],3,FALSE),0)</f>
        <v>0</v>
      </c>
      <c r="AB19" s="97">
        <f>Ruimtestaat[[#This Row],[Uitvoeringen weekend]]*Ruimtestaat[[#This Row],[Oppervlak (netto)]]</f>
        <v>0</v>
      </c>
      <c r="AC19" s="97">
        <f>IF(AA19&gt;0,Ruimtestaat[[#This Row],[Prest. (m2 /jaar) weekend]]/Ruimtestaat[[#This Row],[Norm (m2/uur) weekend]],0)</f>
        <v>0</v>
      </c>
      <c r="AD19" s="155">
        <f>Ruimtestaat[[#This Row],[uren / jaar weekend]]*Tariefsopbouw!$D$40</f>
        <v>0</v>
      </c>
      <c r="AE19" s="154">
        <f>Ruimtestaat[[#This Row],[Prest. (m2 /jaar) weekend]]+Ruimtestaat[[#This Row],[Prest. (m2 /jaar) werkdagen]]</f>
        <v>3780</v>
      </c>
      <c r="AF19" s="154">
        <f>Ruimtestaat[[#This Row],[uren / jaar weekend]]+Ruimtestaat[[#This Row],[uren / jaar werkdagen]]</f>
        <v>0</v>
      </c>
      <c r="AG19" s="69">
        <f>Ruimtestaat[[#This Row],[kosten / jaar weekend]]+Ruimtestaat[[#This Row],[kosten / jaar werkdagen]]</f>
        <v>0</v>
      </c>
      <c r="AH19" s="69"/>
      <c r="AI19" s="256" t="str">
        <f>IF(Ruimtestaat[[#This Row],[Frequentie werkdagen]]="","",_xlfn.CONCAT(Ruimtestaat[[#This Row],[Ruimte code]],"-",Ruimtestaat[[#This Row],[Frequentie werkdagen]]," ",Ruimtestaat[[#This Row],[Vloer code]]))</f>
        <v>2-3w L</v>
      </c>
      <c r="AJ19" s="363" t="str">
        <f>_xlfn.IFNA(VLOOKUP($AI19,Programma!$F$3:$G$1107,2,0),"")</f>
        <v>_</v>
      </c>
      <c r="AK19" s="363" t="str">
        <f>_xlfn.IFNA(VLOOKUP($AI19,Programma!$F$3:$H$1107,3,0),"")</f>
        <v>_</v>
      </c>
      <c r="AL19" s="363" t="str">
        <f>_xlfn.IFNA(VLOOKUP($AI19,Programma!$F$3:$I$1107,4,0),"")</f>
        <v>2w</v>
      </c>
      <c r="AM19" s="363" t="str">
        <f>_xlfn.IFNA(VLOOKUP($AI19,Programma!$F$3:$J$1107,5,0),"")</f>
        <v>1w</v>
      </c>
      <c r="AN19" s="363" t="str">
        <f>_xlfn.IFNA(VLOOKUP($AI19,Programma!$F$3:$K$1107,6,0),"")</f>
        <v>_</v>
      </c>
      <c r="AO19" s="363" t="str">
        <f>_xlfn.IFNA(VLOOKUP($AI19,Programma!$F$3:$L$1107,7,0),"")</f>
        <v>_</v>
      </c>
      <c r="AP19" s="363" t="str">
        <f>_xlfn.IFNA(VLOOKUP($AI19,Programma!$F$3:$M$1107,8,0),"")</f>
        <v>_</v>
      </c>
      <c r="AQ19" s="363" t="str">
        <f>_xlfn.IFNA(VLOOKUP($AI19,Programma!$F$3:$N$1107,9,0),"")</f>
        <v>_</v>
      </c>
      <c r="AR19" s="363" t="str">
        <f>_xlfn.IFNA(VLOOKUP($AI19,Programma!$F$3:$O$1107,10,0),"")</f>
        <v>3w</v>
      </c>
      <c r="AS19" s="363" t="str">
        <f>_xlfn.IFNA(VLOOKUP($AI19,Programma!$F$3:$P$1107,11,0),"")</f>
        <v>3w</v>
      </c>
      <c r="AT19" s="363" t="str">
        <f>_xlfn.IFNA(VLOOKUP($AI19,Programma!$F$3:$Q$1107,12,0),"")</f>
        <v>1w</v>
      </c>
      <c r="AU19" s="363" t="str">
        <f>_xlfn.IFNA(VLOOKUP($AI19,Programma!$F$3:$R$1107,13,0),"")</f>
        <v>1w</v>
      </c>
      <c r="AV19" s="363" t="str">
        <f>_xlfn.IFNA(VLOOKUP($AI19,Programma!$F$3:$S$1107,14,0),"")</f>
        <v>1m</v>
      </c>
      <c r="AW19" s="363" t="str">
        <f>_xlfn.IFNA(VLOOKUP($AI19,Programma!$F$3:$T$1107,15,0),"")</f>
        <v>2j</v>
      </c>
      <c r="AX19" s="363" t="str">
        <f>_xlfn.IFNA(VLOOKUP($AI19,Programma!$F$3:$U$1107,16,0),"")</f>
        <v>1j</v>
      </c>
      <c r="AY19" s="363" t="str">
        <f>_xlfn.IFNA(VLOOKUP($AI19,Programma!$F$3:$V$1107,17,0),"")</f>
        <v>_</v>
      </c>
      <c r="AZ19" s="363" t="str">
        <f>_xlfn.IFNA(VLOOKUP($AI19,Programma!$F$3:$W$1107,18,0),"")</f>
        <v>_</v>
      </c>
      <c r="BA19" s="363" t="str">
        <f>_xlfn.IFNA(VLOOKUP($AI19,Programma!$F$3:$X$1107,19,0),"")</f>
        <v>_</v>
      </c>
      <c r="BB19" s="363" t="str">
        <f>_xlfn.IFNA(VLOOKUP($AI19,Programma!$F$3:$Y$1107,20,0),"")</f>
        <v>_</v>
      </c>
      <c r="BC19" s="257"/>
      <c r="BD19" s="256" t="str">
        <f>IF(Ruimtestaat[[#This Row],[Frequentie weekend]]="","",_xlfn.CONCAT(Ruimtestaat[[#This Row],[Ruimte code]],"-",Ruimtestaat[[#This Row],[Frequentie weekend]]," ",Ruimtestaat[[#This Row],[Vloer code]]))</f>
        <v/>
      </c>
      <c r="BE19" s="363" t="str">
        <f>_xlfn.IFNA(VLOOKUP($BD19,Programma!$F$3:$G$1107,2,0),"")</f>
        <v/>
      </c>
      <c r="BF19" s="363" t="str">
        <f>_xlfn.IFNA(VLOOKUP($BD19,Programma!$F$3:$H$1107,3,0),"")</f>
        <v/>
      </c>
      <c r="BG19" s="363" t="str">
        <f>_xlfn.IFNA(VLOOKUP($BD19,Programma!$F$3:$I$1107,4,0),"")</f>
        <v/>
      </c>
      <c r="BH19" s="363" t="str">
        <f>_xlfn.IFNA(VLOOKUP($BD19,Programma!$F$3:$J$1107,5,0),"")</f>
        <v/>
      </c>
      <c r="BI19" s="363" t="str">
        <f>_xlfn.IFNA(VLOOKUP($BD19,Programma!$F$3:$K$1107,6,0),"")</f>
        <v/>
      </c>
      <c r="BJ19" s="363" t="str">
        <f>_xlfn.IFNA(VLOOKUP($BD19,Programma!$F$3:$L$1107,7,0),"")</f>
        <v/>
      </c>
      <c r="BK19" s="363" t="str">
        <f>_xlfn.IFNA(VLOOKUP($BD19,Programma!$F$3:$M$1107,8,0),"")</f>
        <v/>
      </c>
      <c r="BL19" s="363" t="str">
        <f>_xlfn.IFNA(VLOOKUP($BD19,Programma!$F$3:$N$1107,9,0),"")</f>
        <v/>
      </c>
      <c r="BM19" s="363" t="str">
        <f>_xlfn.IFNA(VLOOKUP($BD19,Programma!$F$3:$O$1107,10,0),"")</f>
        <v/>
      </c>
      <c r="BN19" s="363" t="str">
        <f>_xlfn.IFNA(VLOOKUP($BD19,Programma!$F$3:$P$1107,11,0),"")</f>
        <v/>
      </c>
      <c r="BO19" s="363" t="str">
        <f>_xlfn.IFNA(VLOOKUP($BD19,Programma!$F$3:$Q$1107,12,0),"")</f>
        <v/>
      </c>
      <c r="BP19" s="363" t="str">
        <f>_xlfn.IFNA(VLOOKUP($BD19,Programma!$F$3:$R$1107,13,0),"")</f>
        <v/>
      </c>
      <c r="BQ19" s="363" t="str">
        <f>_xlfn.IFNA(VLOOKUP($BD19,Programma!$F$3:$S$1107,14,0),"")</f>
        <v/>
      </c>
      <c r="BR19" s="363" t="str">
        <f>_xlfn.IFNA(VLOOKUP($BD19,Programma!$F$3:$T$1107,15,0),"")</f>
        <v/>
      </c>
      <c r="BS19" s="363" t="str">
        <f>_xlfn.IFNA(VLOOKUP($BD19,Programma!$F$3:$U$1107,16,0),"")</f>
        <v/>
      </c>
      <c r="BT19" s="363" t="str">
        <f>_xlfn.IFNA(VLOOKUP($BD19,Programma!$F$3:$V$1107,17,0),"")</f>
        <v/>
      </c>
      <c r="BU19" s="363" t="str">
        <f>_xlfn.IFNA(VLOOKUP($BD19,Programma!$F$3:$W$1107,18,0),"")</f>
        <v/>
      </c>
      <c r="BV19" s="363" t="str">
        <f>_xlfn.IFNA(VLOOKUP($BD19,Programma!$F$3:$X$1107,19,0),"")</f>
        <v/>
      </c>
      <c r="BW19" s="363" t="str">
        <f>_xlfn.IFNA(VLOOKUP($BD19,Programma!$F$3:$Y$1107,20,0),"")</f>
        <v/>
      </c>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row>
    <row r="20" spans="1:220" ht="15" customHeight="1">
      <c r="A20" s="33">
        <v>2</v>
      </c>
      <c r="B20" s="157" t="str">
        <f>VLOOKUP(Ruimtestaat[[#This Row],[Code]],Locaties[[Code]:[Locatie]],2,FALSE)</f>
        <v>'s Gravendreef College</v>
      </c>
      <c r="C20" s="157" t="str">
        <f>VLOOKUP(Ruimtestaat[[#This Row],[Code]],Locaties[[#All],[Code]:[Adres]],4,FALSE)</f>
        <v>Klaas Voskuildreef 135</v>
      </c>
      <c r="D20" s="157" t="str">
        <f>VLOOKUP(Ruimtestaat[[#This Row],[Code]],Locaties[[#All],[Code]:[Postcode]],5,FALSE)</f>
        <v>2492 JJ</v>
      </c>
      <c r="E20" s="157" t="str">
        <f>VLOOKUP(Ruimtestaat[[#This Row],[Code]],Locaties[#All],6,FALSE)</f>
        <v>Den Haag</v>
      </c>
      <c r="F20" s="33"/>
      <c r="G20" s="33" t="s">
        <v>1632</v>
      </c>
      <c r="H20" s="366">
        <v>16</v>
      </c>
      <c r="I20" s="367" t="s">
        <v>1646</v>
      </c>
      <c r="J20" s="21">
        <v>8</v>
      </c>
      <c r="K20" s="62" t="str">
        <f>VLOOKUP(Ruimtestaat[[#This Row],[Ruimte code]],Ruimtegroepen[[#All],[Code]:[Ruimte omschrijving]],2,FALSE)</f>
        <v>Mediatheek / OLC</v>
      </c>
      <c r="L20" s="33" t="s">
        <v>101</v>
      </c>
      <c r="M20" s="367" t="s">
        <v>2495</v>
      </c>
      <c r="N20" s="140">
        <v>25</v>
      </c>
      <c r="O20" s="140"/>
      <c r="P20" s="125" t="str">
        <f>VLOOKUP(Ruimtestaat[[#This Row],[Ruimte code]],Ruimtegroepen[],4,FALSE)</f>
        <v>Le</v>
      </c>
      <c r="R20" s="33">
        <v>40</v>
      </c>
      <c r="S20" s="33" t="s">
        <v>2</v>
      </c>
      <c r="T20" s="33">
        <f>IF(R20&gt;0,IF(RIGHT(Ruimtestaat[[#This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 s="33">
        <f>IF(T20&gt;0,VLOOKUP($J20,Ruimtegroepen[],3,FALSE)*VLOOKUP($L20,Vloersoorten[],3,FALSE)*VLOOKUP($S20,Frequenties[],3,FALSE)*VLOOKUP($A20,Locaties[],3,FALSE),0)</f>
        <v>0</v>
      </c>
      <c r="V20" s="33">
        <f>Ruimtestaat[[#This Row],[Uitvoeringen werkdagen]]*Ruimtestaat[[#This Row],[Oppervlak (netto)]]</f>
        <v>5000</v>
      </c>
      <c r="W20" s="154">
        <f>IF(U20&gt;0,Ruimtestaat[[#This Row],[Prest. (m2 /jaar) werkdagen]]/Ruimtestaat[[#This Row],[Norm (m2/uur) werkdagen]],0)</f>
        <v>0</v>
      </c>
      <c r="X20" s="155">
        <f>Ruimtestaat[[#This Row],[uren / jaar werkdagen]]*Tariefsopbouw!$E$35</f>
        <v>0</v>
      </c>
      <c r="Y20" s="33"/>
      <c r="Z20" s="33">
        <f>IF(Ruimtestaat[[#This Row],[Frequentie weekend]]&gt;0,VALUE(LEFT(Y20,1))*R20,0)</f>
        <v>0</v>
      </c>
      <c r="AA20" s="97">
        <f>IF($Z20&gt;0,VLOOKUP($J20,Ruimtegroepen[],3,FALSE)*VLOOKUP($L20,Vloersoorten[],3,FALSE)*VLOOKUP($Y20,Frequenties[],3,FALSE)*VLOOKUP(Ruimtestaat[[#This Row],[Code]],Locaties[],3,FALSE),0)</f>
        <v>0</v>
      </c>
      <c r="AB20" s="97">
        <f>Ruimtestaat[[#This Row],[Uitvoeringen weekend]]*Ruimtestaat[[#This Row],[Oppervlak (netto)]]</f>
        <v>0</v>
      </c>
      <c r="AC20" s="97">
        <f>IF(AA20&gt;0,Ruimtestaat[[#This Row],[Prest. (m2 /jaar) weekend]]/Ruimtestaat[[#This Row],[Norm (m2/uur) weekend]],0)</f>
        <v>0</v>
      </c>
      <c r="AD20" s="155">
        <f>Ruimtestaat[[#This Row],[uren / jaar weekend]]*Tariefsopbouw!$D$40</f>
        <v>0</v>
      </c>
      <c r="AE20" s="154">
        <f>Ruimtestaat[[#This Row],[Prest. (m2 /jaar) weekend]]+Ruimtestaat[[#This Row],[Prest. (m2 /jaar) werkdagen]]</f>
        <v>5000</v>
      </c>
      <c r="AF20" s="154">
        <f>Ruimtestaat[[#This Row],[uren / jaar weekend]]+Ruimtestaat[[#This Row],[uren / jaar werkdagen]]</f>
        <v>0</v>
      </c>
      <c r="AG20" s="69">
        <f>Ruimtestaat[[#This Row],[kosten / jaar weekend]]+Ruimtestaat[[#This Row],[kosten / jaar werkdagen]]</f>
        <v>0</v>
      </c>
      <c r="AH20" s="69"/>
      <c r="AI20" s="256" t="str">
        <f>IF(Ruimtestaat[[#This Row],[Frequentie werkdagen]]="","",_xlfn.CONCAT(Ruimtestaat[[#This Row],[Ruimte code]],"-",Ruimtestaat[[#This Row],[Frequentie werkdagen]]," ",Ruimtestaat[[#This Row],[Vloer code]]))</f>
        <v>8-5w L</v>
      </c>
      <c r="AJ20" s="363" t="str">
        <f>_xlfn.IFNA(VLOOKUP($AI20,Programma!$F$3:$G$1107,2,0),"")</f>
        <v>_</v>
      </c>
      <c r="AK20" s="363" t="str">
        <f>_xlfn.IFNA(VLOOKUP($AI20,Programma!$F$3:$H$1107,3,0),"")</f>
        <v>_</v>
      </c>
      <c r="AL20" s="363" t="str">
        <f>_xlfn.IFNA(VLOOKUP($AI20,Programma!$F$3:$I$1107,4,0),"")</f>
        <v>4w</v>
      </c>
      <c r="AM20" s="363" t="str">
        <f>_xlfn.IFNA(VLOOKUP($AI20,Programma!$F$3:$J$1107,5,0),"")</f>
        <v>1w</v>
      </c>
      <c r="AN20" s="363" t="str">
        <f>_xlfn.IFNA(VLOOKUP($AI20,Programma!$F$3:$K$1107,6,0),"")</f>
        <v>_</v>
      </c>
      <c r="AO20" s="363" t="str">
        <f>_xlfn.IFNA(VLOOKUP($AI20,Programma!$F$3:$L$1107,7,0),"")</f>
        <v>_</v>
      </c>
      <c r="AP20" s="363" t="str">
        <f>_xlfn.IFNA(VLOOKUP($AI20,Programma!$F$3:$M$1107,8,0),"")</f>
        <v>_</v>
      </c>
      <c r="AQ20" s="363" t="str">
        <f>_xlfn.IFNA(VLOOKUP($AI20,Programma!$F$3:$N$1107,9,0),"")</f>
        <v>_</v>
      </c>
      <c r="AR20" s="363" t="str">
        <f>_xlfn.IFNA(VLOOKUP($AI20,Programma!$F$3:$O$1107,10,0),"")</f>
        <v>5w</v>
      </c>
      <c r="AS20" s="363" t="str">
        <f>_xlfn.IFNA(VLOOKUP($AI20,Programma!$F$3:$P$1107,11,0),"")</f>
        <v>5w</v>
      </c>
      <c r="AT20" s="363" t="str">
        <f>_xlfn.IFNA(VLOOKUP($AI20,Programma!$F$3:$Q$1107,12,0),"")</f>
        <v>1w</v>
      </c>
      <c r="AU20" s="363" t="str">
        <f>_xlfn.IFNA(VLOOKUP($AI20,Programma!$F$3:$R$1107,13,0),"")</f>
        <v>1w</v>
      </c>
      <c r="AV20" s="363" t="str">
        <f>_xlfn.IFNA(VLOOKUP($AI20,Programma!$F$3:$S$1107,14,0),"")</f>
        <v>1m</v>
      </c>
      <c r="AW20" s="363" t="str">
        <f>_xlfn.IFNA(VLOOKUP($AI20,Programma!$F$3:$T$1107,15,0),"")</f>
        <v>2j</v>
      </c>
      <c r="AX20" s="363" t="str">
        <f>_xlfn.IFNA(VLOOKUP($AI20,Programma!$F$3:$U$1107,16,0),"")</f>
        <v>1j</v>
      </c>
      <c r="AY20" s="363" t="str">
        <f>_xlfn.IFNA(VLOOKUP($AI20,Programma!$F$3:$V$1107,17,0),"")</f>
        <v>_</v>
      </c>
      <c r="AZ20" s="363" t="str">
        <f>_xlfn.IFNA(VLOOKUP($AI20,Programma!$F$3:$W$1107,18,0),"")</f>
        <v>_</v>
      </c>
      <c r="BA20" s="363" t="str">
        <f>_xlfn.IFNA(VLOOKUP($AI20,Programma!$F$3:$X$1107,19,0),"")</f>
        <v>_</v>
      </c>
      <c r="BB20" s="363" t="str">
        <f>_xlfn.IFNA(VLOOKUP($AI20,Programma!$F$3:$Y$1107,20,0),"")</f>
        <v>_</v>
      </c>
      <c r="BC20" s="257"/>
      <c r="BD20" s="256" t="str">
        <f>IF(Ruimtestaat[[#This Row],[Frequentie weekend]]="","",_xlfn.CONCAT(Ruimtestaat[[#This Row],[Ruimte code]],"-",Ruimtestaat[[#This Row],[Frequentie weekend]]," ",Ruimtestaat[[#This Row],[Vloer code]]))</f>
        <v/>
      </c>
      <c r="BE20" s="363" t="str">
        <f>_xlfn.IFNA(VLOOKUP($BD20,Programma!$F$3:$G$1107,2,0),"")</f>
        <v/>
      </c>
      <c r="BF20" s="363" t="str">
        <f>_xlfn.IFNA(VLOOKUP($BD20,Programma!$F$3:$H$1107,3,0),"")</f>
        <v/>
      </c>
      <c r="BG20" s="363" t="str">
        <f>_xlfn.IFNA(VLOOKUP($BD20,Programma!$F$3:$I$1107,4,0),"")</f>
        <v/>
      </c>
      <c r="BH20" s="363" t="str">
        <f>_xlfn.IFNA(VLOOKUP($BD20,Programma!$F$3:$J$1107,5,0),"")</f>
        <v/>
      </c>
      <c r="BI20" s="363" t="str">
        <f>_xlfn.IFNA(VLOOKUP($BD20,Programma!$F$3:$K$1107,6,0),"")</f>
        <v/>
      </c>
      <c r="BJ20" s="363" t="str">
        <f>_xlfn.IFNA(VLOOKUP($BD20,Programma!$F$3:$L$1107,7,0),"")</f>
        <v/>
      </c>
      <c r="BK20" s="363" t="str">
        <f>_xlfn.IFNA(VLOOKUP($BD20,Programma!$F$3:$M$1107,8,0),"")</f>
        <v/>
      </c>
      <c r="BL20" s="363" t="str">
        <f>_xlfn.IFNA(VLOOKUP($BD20,Programma!$F$3:$N$1107,9,0),"")</f>
        <v/>
      </c>
      <c r="BM20" s="363" t="str">
        <f>_xlfn.IFNA(VLOOKUP($BD20,Programma!$F$3:$O$1107,10,0),"")</f>
        <v/>
      </c>
      <c r="BN20" s="363" t="str">
        <f>_xlfn.IFNA(VLOOKUP($BD20,Programma!$F$3:$P$1107,11,0),"")</f>
        <v/>
      </c>
      <c r="BO20" s="363" t="str">
        <f>_xlfn.IFNA(VLOOKUP($BD20,Programma!$F$3:$Q$1107,12,0),"")</f>
        <v/>
      </c>
      <c r="BP20" s="363" t="str">
        <f>_xlfn.IFNA(VLOOKUP($BD20,Programma!$F$3:$R$1107,13,0),"")</f>
        <v/>
      </c>
      <c r="BQ20" s="363" t="str">
        <f>_xlfn.IFNA(VLOOKUP($BD20,Programma!$F$3:$S$1107,14,0),"")</f>
        <v/>
      </c>
      <c r="BR20" s="363" t="str">
        <f>_xlfn.IFNA(VLOOKUP($BD20,Programma!$F$3:$T$1107,15,0),"")</f>
        <v/>
      </c>
      <c r="BS20" s="363" t="str">
        <f>_xlfn.IFNA(VLOOKUP($BD20,Programma!$F$3:$U$1107,16,0),"")</f>
        <v/>
      </c>
      <c r="BT20" s="363" t="str">
        <f>_xlfn.IFNA(VLOOKUP($BD20,Programma!$F$3:$V$1107,17,0),"")</f>
        <v/>
      </c>
      <c r="BU20" s="363" t="str">
        <f>_xlfn.IFNA(VLOOKUP($BD20,Programma!$F$3:$W$1107,18,0),"")</f>
        <v/>
      </c>
      <c r="BV20" s="363" t="str">
        <f>_xlfn.IFNA(VLOOKUP($BD20,Programma!$F$3:$X$1107,19,0),"")</f>
        <v/>
      </c>
      <c r="BW20" s="363" t="str">
        <f>_xlfn.IFNA(VLOOKUP($BD20,Programma!$F$3:$Y$1107,20,0),"")</f>
        <v/>
      </c>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row>
    <row r="21" spans="1:220" ht="15" customHeight="1">
      <c r="A21" s="33">
        <v>2</v>
      </c>
      <c r="B21" s="157" t="str">
        <f>VLOOKUP(Ruimtestaat[[#This Row],[Code]],Locaties[[Code]:[Locatie]],2,FALSE)</f>
        <v>'s Gravendreef College</v>
      </c>
      <c r="C21" s="157" t="str">
        <f>VLOOKUP(Ruimtestaat[[#This Row],[Code]],Locaties[[#All],[Code]:[Adres]],4,FALSE)</f>
        <v>Klaas Voskuildreef 135</v>
      </c>
      <c r="D21" s="157" t="str">
        <f>VLOOKUP(Ruimtestaat[[#This Row],[Code]],Locaties[[#All],[Code]:[Postcode]],5,FALSE)</f>
        <v>2492 JJ</v>
      </c>
      <c r="E21" s="157" t="str">
        <f>VLOOKUP(Ruimtestaat[[#This Row],[Code]],Locaties[#All],6,FALSE)</f>
        <v>Den Haag</v>
      </c>
      <c r="F21" s="33"/>
      <c r="G21" s="33" t="s">
        <v>1632</v>
      </c>
      <c r="H21" s="366">
        <v>17</v>
      </c>
      <c r="I21" s="367" t="s">
        <v>1647</v>
      </c>
      <c r="J21" s="21">
        <v>12</v>
      </c>
      <c r="K21" s="62" t="str">
        <f>VLOOKUP(Ruimtestaat[[#This Row],[Ruimte code]],Ruimtegroepen[[#All],[Code]:[Ruimte omschrijving]],2,FALSE)</f>
        <v>Kantine</v>
      </c>
      <c r="L21" s="33" t="s">
        <v>101</v>
      </c>
      <c r="M21" s="367" t="s">
        <v>2495</v>
      </c>
      <c r="N21" s="140">
        <v>84</v>
      </c>
      <c r="O21" s="140"/>
      <c r="P21" s="125" t="str">
        <f>VLOOKUP(Ruimtestaat[[#This Row],[Ruimte code]],Ruimtegroepen[],4,FALSE)</f>
        <v>Ve</v>
      </c>
      <c r="R21" s="33">
        <v>40</v>
      </c>
      <c r="S21" s="33" t="s">
        <v>2</v>
      </c>
      <c r="T21" s="33">
        <f>IF(R21&gt;0,IF(RIGHT(Ruimtestaat[[#This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 s="33">
        <f>IF(T21&gt;0,VLOOKUP($J21,Ruimtegroepen[],3,FALSE)*VLOOKUP($L21,Vloersoorten[],3,FALSE)*VLOOKUP($S21,Frequenties[],3,FALSE)*VLOOKUP($A21,Locaties[],3,FALSE),0)</f>
        <v>0</v>
      </c>
      <c r="V21" s="33">
        <f>Ruimtestaat[[#This Row],[Uitvoeringen werkdagen]]*Ruimtestaat[[#This Row],[Oppervlak (netto)]]</f>
        <v>16800</v>
      </c>
      <c r="W21" s="154">
        <f>IF(U21&gt;0,Ruimtestaat[[#This Row],[Prest. (m2 /jaar) werkdagen]]/Ruimtestaat[[#This Row],[Norm (m2/uur) werkdagen]],0)</f>
        <v>0</v>
      </c>
      <c r="X21" s="155">
        <f>Ruimtestaat[[#This Row],[uren / jaar werkdagen]]*Tariefsopbouw!$E$35</f>
        <v>0</v>
      </c>
      <c r="Y21" s="33"/>
      <c r="Z21" s="33">
        <f>IF(Ruimtestaat[[#This Row],[Frequentie weekend]]&gt;0,VALUE(LEFT(Y21,1))*R21,0)</f>
        <v>0</v>
      </c>
      <c r="AA21" s="97">
        <f>IF($Z21&gt;0,VLOOKUP($J21,Ruimtegroepen[],3,FALSE)*VLOOKUP($L21,Vloersoorten[],3,FALSE)*VLOOKUP($Y21,Frequenties[],3,FALSE)*VLOOKUP(Ruimtestaat[[#This Row],[Code]],Locaties[],3,FALSE),0)</f>
        <v>0</v>
      </c>
      <c r="AB21" s="97">
        <f>Ruimtestaat[[#This Row],[Uitvoeringen weekend]]*Ruimtestaat[[#This Row],[Oppervlak (netto)]]</f>
        <v>0</v>
      </c>
      <c r="AC21" s="97">
        <f>IF(AA21&gt;0,Ruimtestaat[[#This Row],[Prest. (m2 /jaar) weekend]]/Ruimtestaat[[#This Row],[Norm (m2/uur) weekend]],0)</f>
        <v>0</v>
      </c>
      <c r="AD21" s="155">
        <f>Ruimtestaat[[#This Row],[uren / jaar weekend]]*Tariefsopbouw!$D$40</f>
        <v>0</v>
      </c>
      <c r="AE21" s="154">
        <f>Ruimtestaat[[#This Row],[Prest. (m2 /jaar) weekend]]+Ruimtestaat[[#This Row],[Prest. (m2 /jaar) werkdagen]]</f>
        <v>16800</v>
      </c>
      <c r="AF21" s="154">
        <f>Ruimtestaat[[#This Row],[uren / jaar weekend]]+Ruimtestaat[[#This Row],[uren / jaar werkdagen]]</f>
        <v>0</v>
      </c>
      <c r="AG21" s="69">
        <f>Ruimtestaat[[#This Row],[kosten / jaar weekend]]+Ruimtestaat[[#This Row],[kosten / jaar werkdagen]]</f>
        <v>0</v>
      </c>
      <c r="AH21" s="69"/>
      <c r="AI21" s="256" t="str">
        <f>IF(Ruimtestaat[[#This Row],[Frequentie werkdagen]]="","",_xlfn.CONCAT(Ruimtestaat[[#This Row],[Ruimte code]],"-",Ruimtestaat[[#This Row],[Frequentie werkdagen]]," ",Ruimtestaat[[#This Row],[Vloer code]]))</f>
        <v>12-5w L</v>
      </c>
      <c r="AJ21" s="363" t="str">
        <f>_xlfn.IFNA(VLOOKUP($AI21,Programma!$F$3:$G$1107,2,0),"")</f>
        <v>_</v>
      </c>
      <c r="AK21" s="363" t="str">
        <f>_xlfn.IFNA(VLOOKUP($AI21,Programma!$F$3:$H$1107,3,0),"")</f>
        <v>_</v>
      </c>
      <c r="AL21" s="363" t="str">
        <f>_xlfn.IFNA(VLOOKUP($AI21,Programma!$F$3:$I$1107,4,0),"")</f>
        <v>_</v>
      </c>
      <c r="AM21" s="363" t="str">
        <f>_xlfn.IFNA(VLOOKUP($AI21,Programma!$F$3:$J$1107,5,0),"")</f>
        <v>5w</v>
      </c>
      <c r="AN21" s="363" t="str">
        <f>_xlfn.IFNA(VLOOKUP($AI21,Programma!$F$3:$K$1107,6,0),"")</f>
        <v>_</v>
      </c>
      <c r="AO21" s="363" t="str">
        <f>_xlfn.IFNA(VLOOKUP($AI21,Programma!$F$3:$L$1107,7,0),"")</f>
        <v>_</v>
      </c>
      <c r="AP21" s="363" t="str">
        <f>_xlfn.IFNA(VLOOKUP($AI21,Programma!$F$3:$M$1107,8,0),"")</f>
        <v>_</v>
      </c>
      <c r="AQ21" s="363" t="str">
        <f>_xlfn.IFNA(VLOOKUP($AI21,Programma!$F$3:$N$1107,9,0),"")</f>
        <v>_</v>
      </c>
      <c r="AR21" s="363" t="str">
        <f>_xlfn.IFNA(VLOOKUP($AI21,Programma!$F$3:$O$1107,10,0),"")</f>
        <v>5w</v>
      </c>
      <c r="AS21" s="363" t="str">
        <f>_xlfn.IFNA(VLOOKUP($AI21,Programma!$F$3:$P$1107,11,0),"")</f>
        <v>5w</v>
      </c>
      <c r="AT21" s="363" t="str">
        <f>_xlfn.IFNA(VLOOKUP($AI21,Programma!$F$3:$Q$1107,12,0),"")</f>
        <v>1w</v>
      </c>
      <c r="AU21" s="363" t="str">
        <f>_xlfn.IFNA(VLOOKUP($AI21,Programma!$F$3:$R$1107,13,0),"")</f>
        <v>1w</v>
      </c>
      <c r="AV21" s="363" t="str">
        <f>_xlfn.IFNA(VLOOKUP($AI21,Programma!$F$3:$S$1107,14,0),"")</f>
        <v>1m</v>
      </c>
      <c r="AW21" s="363" t="str">
        <f>_xlfn.IFNA(VLOOKUP($AI21,Programma!$F$3:$T$1107,15,0),"")</f>
        <v>2j</v>
      </c>
      <c r="AX21" s="363" t="str">
        <f>_xlfn.IFNA(VLOOKUP($AI21,Programma!$F$3:$U$1107,16,0),"")</f>
        <v>1j</v>
      </c>
      <c r="AY21" s="363" t="str">
        <f>_xlfn.IFNA(VLOOKUP($AI21,Programma!$F$3:$V$1107,17,0),"")</f>
        <v>_</v>
      </c>
      <c r="AZ21" s="363" t="str">
        <f>_xlfn.IFNA(VLOOKUP($AI21,Programma!$F$3:$W$1107,18,0),"")</f>
        <v>_</v>
      </c>
      <c r="BA21" s="363" t="str">
        <f>_xlfn.IFNA(VLOOKUP($AI21,Programma!$F$3:$X$1107,19,0),"")</f>
        <v>_</v>
      </c>
      <c r="BB21" s="363" t="str">
        <f>_xlfn.IFNA(VLOOKUP($AI21,Programma!$F$3:$Y$1107,20,0),"")</f>
        <v>_</v>
      </c>
      <c r="BC21" s="257"/>
      <c r="BD21" s="256" t="str">
        <f>IF(Ruimtestaat[[#This Row],[Frequentie weekend]]="","",_xlfn.CONCAT(Ruimtestaat[[#This Row],[Ruimte code]],"-",Ruimtestaat[[#This Row],[Frequentie weekend]]," ",Ruimtestaat[[#This Row],[Vloer code]]))</f>
        <v/>
      </c>
      <c r="BE21" s="363" t="str">
        <f>_xlfn.IFNA(VLOOKUP($BD21,Programma!$F$3:$G$1107,2,0),"")</f>
        <v/>
      </c>
      <c r="BF21" s="363" t="str">
        <f>_xlfn.IFNA(VLOOKUP($BD21,Programma!$F$3:$H$1107,3,0),"")</f>
        <v/>
      </c>
      <c r="BG21" s="363" t="str">
        <f>_xlfn.IFNA(VLOOKUP($BD21,Programma!$F$3:$I$1107,4,0),"")</f>
        <v/>
      </c>
      <c r="BH21" s="363" t="str">
        <f>_xlfn.IFNA(VLOOKUP($BD21,Programma!$F$3:$J$1107,5,0),"")</f>
        <v/>
      </c>
      <c r="BI21" s="363" t="str">
        <f>_xlfn.IFNA(VLOOKUP($BD21,Programma!$F$3:$K$1107,6,0),"")</f>
        <v/>
      </c>
      <c r="BJ21" s="363" t="str">
        <f>_xlfn.IFNA(VLOOKUP($BD21,Programma!$F$3:$L$1107,7,0),"")</f>
        <v/>
      </c>
      <c r="BK21" s="363" t="str">
        <f>_xlfn.IFNA(VLOOKUP($BD21,Programma!$F$3:$M$1107,8,0),"")</f>
        <v/>
      </c>
      <c r="BL21" s="363" t="str">
        <f>_xlfn.IFNA(VLOOKUP($BD21,Programma!$F$3:$N$1107,9,0),"")</f>
        <v/>
      </c>
      <c r="BM21" s="363" t="str">
        <f>_xlfn.IFNA(VLOOKUP($BD21,Programma!$F$3:$O$1107,10,0),"")</f>
        <v/>
      </c>
      <c r="BN21" s="363" t="str">
        <f>_xlfn.IFNA(VLOOKUP($BD21,Programma!$F$3:$P$1107,11,0),"")</f>
        <v/>
      </c>
      <c r="BO21" s="363" t="str">
        <f>_xlfn.IFNA(VLOOKUP($BD21,Programma!$F$3:$Q$1107,12,0),"")</f>
        <v/>
      </c>
      <c r="BP21" s="363" t="str">
        <f>_xlfn.IFNA(VLOOKUP($BD21,Programma!$F$3:$R$1107,13,0),"")</f>
        <v/>
      </c>
      <c r="BQ21" s="363" t="str">
        <f>_xlfn.IFNA(VLOOKUP($BD21,Programma!$F$3:$S$1107,14,0),"")</f>
        <v/>
      </c>
      <c r="BR21" s="363" t="str">
        <f>_xlfn.IFNA(VLOOKUP($BD21,Programma!$F$3:$T$1107,15,0),"")</f>
        <v/>
      </c>
      <c r="BS21" s="363" t="str">
        <f>_xlfn.IFNA(VLOOKUP($BD21,Programma!$F$3:$U$1107,16,0),"")</f>
        <v/>
      </c>
      <c r="BT21" s="363" t="str">
        <f>_xlfn.IFNA(VLOOKUP($BD21,Programma!$F$3:$V$1107,17,0),"")</f>
        <v/>
      </c>
      <c r="BU21" s="363" t="str">
        <f>_xlfn.IFNA(VLOOKUP($BD21,Programma!$F$3:$W$1107,18,0),"")</f>
        <v/>
      </c>
      <c r="BV21" s="363" t="str">
        <f>_xlfn.IFNA(VLOOKUP($BD21,Programma!$F$3:$X$1107,19,0),"")</f>
        <v/>
      </c>
      <c r="BW21" s="363" t="str">
        <f>_xlfn.IFNA(VLOOKUP($BD21,Programma!$F$3:$Y$1107,20,0),"")</f>
        <v/>
      </c>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row>
    <row r="22" spans="1:220" ht="15" customHeight="1">
      <c r="A22" s="33">
        <v>2</v>
      </c>
      <c r="B22" s="157" t="str">
        <f>VLOOKUP(Ruimtestaat[[#This Row],[Code]],Locaties[[Code]:[Locatie]],2,FALSE)</f>
        <v>'s Gravendreef College</v>
      </c>
      <c r="C22" s="157" t="str">
        <f>VLOOKUP(Ruimtestaat[[#This Row],[Code]],Locaties[[#All],[Code]:[Adres]],4,FALSE)</f>
        <v>Klaas Voskuildreef 135</v>
      </c>
      <c r="D22" s="157" t="str">
        <f>VLOOKUP(Ruimtestaat[[#This Row],[Code]],Locaties[[#All],[Code]:[Postcode]],5,FALSE)</f>
        <v>2492 JJ</v>
      </c>
      <c r="E22" s="157" t="str">
        <f>VLOOKUP(Ruimtestaat[[#This Row],[Code]],Locaties[#All],6,FALSE)</f>
        <v>Den Haag</v>
      </c>
      <c r="F22" s="33"/>
      <c r="G22" s="33" t="s">
        <v>1632</v>
      </c>
      <c r="H22" s="366">
        <v>18</v>
      </c>
      <c r="I22" s="367" t="s">
        <v>1648</v>
      </c>
      <c r="J22" s="21">
        <v>9</v>
      </c>
      <c r="K22" s="62" t="str">
        <f>VLOOKUP(Ruimtestaat[[#This Row],[Ruimte code]],Ruimtegroepen[[#All],[Code]:[Ruimte omschrijving]],2,FALSE)</f>
        <v>Publieksruimte</v>
      </c>
      <c r="L22" s="33" t="s">
        <v>101</v>
      </c>
      <c r="M22" s="367" t="s">
        <v>2495</v>
      </c>
      <c r="N22" s="140">
        <v>7</v>
      </c>
      <c r="O22" s="140"/>
      <c r="P22" s="125" t="str">
        <f>VLOOKUP(Ruimtestaat[[#This Row],[Ruimte code]],Ruimtegroepen[],4,FALSE)</f>
        <v>Ve</v>
      </c>
      <c r="R22" s="33">
        <v>40</v>
      </c>
      <c r="S22" s="33" t="s">
        <v>2</v>
      </c>
      <c r="T22" s="33">
        <f>IF(R22&gt;0,IF(RIGHT(Ruimtestaat[[#This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 s="33">
        <f>IF(T22&gt;0,VLOOKUP($J22,Ruimtegroepen[],3,FALSE)*VLOOKUP($L22,Vloersoorten[],3,FALSE)*VLOOKUP($S22,Frequenties[],3,FALSE)*VLOOKUP($A22,Locaties[],3,FALSE),0)</f>
        <v>0</v>
      </c>
      <c r="V22" s="33">
        <f>Ruimtestaat[[#This Row],[Uitvoeringen werkdagen]]*Ruimtestaat[[#This Row],[Oppervlak (netto)]]</f>
        <v>1400</v>
      </c>
      <c r="W22" s="154">
        <f>IF(U22&gt;0,Ruimtestaat[[#This Row],[Prest. (m2 /jaar) werkdagen]]/Ruimtestaat[[#This Row],[Norm (m2/uur) werkdagen]],0)</f>
        <v>0</v>
      </c>
      <c r="X22" s="155">
        <f>Ruimtestaat[[#This Row],[uren / jaar werkdagen]]*Tariefsopbouw!$E$35</f>
        <v>0</v>
      </c>
      <c r="Y22" s="33"/>
      <c r="Z22" s="33">
        <f>IF(Ruimtestaat[[#This Row],[Frequentie weekend]]&gt;0,VALUE(LEFT(Y22,1))*R22,0)</f>
        <v>0</v>
      </c>
      <c r="AA22" s="97">
        <f>IF($Z22&gt;0,VLOOKUP($J22,Ruimtegroepen[],3,FALSE)*VLOOKUP($L22,Vloersoorten[],3,FALSE)*VLOOKUP($Y22,Frequenties[],3,FALSE)*VLOOKUP(Ruimtestaat[[#This Row],[Code]],Locaties[],3,FALSE),0)</f>
        <v>0</v>
      </c>
      <c r="AB22" s="97">
        <f>Ruimtestaat[[#This Row],[Uitvoeringen weekend]]*Ruimtestaat[[#This Row],[Oppervlak (netto)]]</f>
        <v>0</v>
      </c>
      <c r="AC22" s="97">
        <f>IF(AA22&gt;0,Ruimtestaat[[#This Row],[Prest. (m2 /jaar) weekend]]/Ruimtestaat[[#This Row],[Norm (m2/uur) weekend]],0)</f>
        <v>0</v>
      </c>
      <c r="AD22" s="155">
        <f>Ruimtestaat[[#This Row],[uren / jaar weekend]]*Tariefsopbouw!$D$40</f>
        <v>0</v>
      </c>
      <c r="AE22" s="154">
        <f>Ruimtestaat[[#This Row],[Prest. (m2 /jaar) weekend]]+Ruimtestaat[[#This Row],[Prest. (m2 /jaar) werkdagen]]</f>
        <v>1400</v>
      </c>
      <c r="AF22" s="154">
        <f>Ruimtestaat[[#This Row],[uren / jaar weekend]]+Ruimtestaat[[#This Row],[uren / jaar werkdagen]]</f>
        <v>0</v>
      </c>
      <c r="AG22" s="69">
        <f>Ruimtestaat[[#This Row],[kosten / jaar weekend]]+Ruimtestaat[[#This Row],[kosten / jaar werkdagen]]</f>
        <v>0</v>
      </c>
      <c r="AH22" s="69"/>
      <c r="AI22" s="256" t="str">
        <f>IF(Ruimtestaat[[#This Row],[Frequentie werkdagen]]="","",_xlfn.CONCAT(Ruimtestaat[[#This Row],[Ruimte code]],"-",Ruimtestaat[[#This Row],[Frequentie werkdagen]]," ",Ruimtestaat[[#This Row],[Vloer code]]))</f>
        <v>9-5w L</v>
      </c>
      <c r="AJ22" s="363" t="str">
        <f>_xlfn.IFNA(VLOOKUP($AI22,Programma!$F$3:$G$1107,2,0),"")</f>
        <v>_</v>
      </c>
      <c r="AK22" s="363" t="str">
        <f>_xlfn.IFNA(VLOOKUP($AI22,Programma!$F$3:$H$1107,3,0),"")</f>
        <v>_</v>
      </c>
      <c r="AL22" s="363" t="str">
        <f>_xlfn.IFNA(VLOOKUP($AI22,Programma!$F$3:$I$1107,4,0),"")</f>
        <v>4w</v>
      </c>
      <c r="AM22" s="363" t="str">
        <f>_xlfn.IFNA(VLOOKUP($AI22,Programma!$F$3:$J$1107,5,0),"")</f>
        <v>1w</v>
      </c>
      <c r="AN22" s="363" t="str">
        <f>_xlfn.IFNA(VLOOKUP($AI22,Programma!$F$3:$K$1107,6,0),"")</f>
        <v>_</v>
      </c>
      <c r="AO22" s="363" t="str">
        <f>_xlfn.IFNA(VLOOKUP($AI22,Programma!$F$3:$L$1107,7,0),"")</f>
        <v>_</v>
      </c>
      <c r="AP22" s="363" t="str">
        <f>_xlfn.IFNA(VLOOKUP($AI22,Programma!$F$3:$M$1107,8,0),"")</f>
        <v>_</v>
      </c>
      <c r="AQ22" s="363" t="str">
        <f>_xlfn.IFNA(VLOOKUP($AI22,Programma!$F$3:$N$1107,9,0),"")</f>
        <v>_</v>
      </c>
      <c r="AR22" s="363" t="str">
        <f>_xlfn.IFNA(VLOOKUP($AI22,Programma!$F$3:$O$1107,10,0),"")</f>
        <v>5w</v>
      </c>
      <c r="AS22" s="363" t="str">
        <f>_xlfn.IFNA(VLOOKUP($AI22,Programma!$F$3:$P$1107,11,0),"")</f>
        <v>5w</v>
      </c>
      <c r="AT22" s="363" t="str">
        <f>_xlfn.IFNA(VLOOKUP($AI22,Programma!$F$3:$Q$1107,12,0),"")</f>
        <v>1w</v>
      </c>
      <c r="AU22" s="363" t="str">
        <f>_xlfn.IFNA(VLOOKUP($AI22,Programma!$F$3:$R$1107,13,0),"")</f>
        <v>1w</v>
      </c>
      <c r="AV22" s="363" t="str">
        <f>_xlfn.IFNA(VLOOKUP($AI22,Programma!$F$3:$S$1107,14,0),"")</f>
        <v>1m</v>
      </c>
      <c r="AW22" s="363" t="str">
        <f>_xlfn.IFNA(VLOOKUP($AI22,Programma!$F$3:$T$1107,15,0),"")</f>
        <v>2j</v>
      </c>
      <c r="AX22" s="363" t="str">
        <f>_xlfn.IFNA(VLOOKUP($AI22,Programma!$F$3:$U$1107,16,0),"")</f>
        <v>1j</v>
      </c>
      <c r="AY22" s="363" t="str">
        <f>_xlfn.IFNA(VLOOKUP($AI22,Programma!$F$3:$V$1107,17,0),"")</f>
        <v>_</v>
      </c>
      <c r="AZ22" s="363" t="str">
        <f>_xlfn.IFNA(VLOOKUP($AI22,Programma!$F$3:$W$1107,18,0),"")</f>
        <v>_</v>
      </c>
      <c r="BA22" s="363" t="str">
        <f>_xlfn.IFNA(VLOOKUP($AI22,Programma!$F$3:$X$1107,19,0),"")</f>
        <v>_</v>
      </c>
      <c r="BB22" s="363" t="str">
        <f>_xlfn.IFNA(VLOOKUP($AI22,Programma!$F$3:$Y$1107,20,0),"")</f>
        <v>_</v>
      </c>
      <c r="BC22" s="257"/>
      <c r="BD22" s="256" t="str">
        <f>IF(Ruimtestaat[[#This Row],[Frequentie weekend]]="","",_xlfn.CONCAT(Ruimtestaat[[#This Row],[Ruimte code]],"-",Ruimtestaat[[#This Row],[Frequentie weekend]]," ",Ruimtestaat[[#This Row],[Vloer code]]))</f>
        <v/>
      </c>
      <c r="BE22" s="363" t="str">
        <f>_xlfn.IFNA(VLOOKUP($BD22,Programma!$F$3:$G$1107,2,0),"")</f>
        <v/>
      </c>
      <c r="BF22" s="363" t="str">
        <f>_xlfn.IFNA(VLOOKUP($BD22,Programma!$F$3:$H$1107,3,0),"")</f>
        <v/>
      </c>
      <c r="BG22" s="363" t="str">
        <f>_xlfn.IFNA(VLOOKUP($BD22,Programma!$F$3:$I$1107,4,0),"")</f>
        <v/>
      </c>
      <c r="BH22" s="363" t="str">
        <f>_xlfn.IFNA(VLOOKUP($BD22,Programma!$F$3:$J$1107,5,0),"")</f>
        <v/>
      </c>
      <c r="BI22" s="363" t="str">
        <f>_xlfn.IFNA(VLOOKUP($BD22,Programma!$F$3:$K$1107,6,0),"")</f>
        <v/>
      </c>
      <c r="BJ22" s="363" t="str">
        <f>_xlfn.IFNA(VLOOKUP($BD22,Programma!$F$3:$L$1107,7,0),"")</f>
        <v/>
      </c>
      <c r="BK22" s="363" t="str">
        <f>_xlfn.IFNA(VLOOKUP($BD22,Programma!$F$3:$M$1107,8,0),"")</f>
        <v/>
      </c>
      <c r="BL22" s="363" t="str">
        <f>_xlfn.IFNA(VLOOKUP($BD22,Programma!$F$3:$N$1107,9,0),"")</f>
        <v/>
      </c>
      <c r="BM22" s="363" t="str">
        <f>_xlfn.IFNA(VLOOKUP($BD22,Programma!$F$3:$O$1107,10,0),"")</f>
        <v/>
      </c>
      <c r="BN22" s="363" t="str">
        <f>_xlfn.IFNA(VLOOKUP($BD22,Programma!$F$3:$P$1107,11,0),"")</f>
        <v/>
      </c>
      <c r="BO22" s="363" t="str">
        <f>_xlfn.IFNA(VLOOKUP($BD22,Programma!$F$3:$Q$1107,12,0),"")</f>
        <v/>
      </c>
      <c r="BP22" s="363" t="str">
        <f>_xlfn.IFNA(VLOOKUP($BD22,Programma!$F$3:$R$1107,13,0),"")</f>
        <v/>
      </c>
      <c r="BQ22" s="363" t="str">
        <f>_xlfn.IFNA(VLOOKUP($BD22,Programma!$F$3:$S$1107,14,0),"")</f>
        <v/>
      </c>
      <c r="BR22" s="363" t="str">
        <f>_xlfn.IFNA(VLOOKUP($BD22,Programma!$F$3:$T$1107,15,0),"")</f>
        <v/>
      </c>
      <c r="BS22" s="363" t="str">
        <f>_xlfn.IFNA(VLOOKUP($BD22,Programma!$F$3:$U$1107,16,0),"")</f>
        <v/>
      </c>
      <c r="BT22" s="363" t="str">
        <f>_xlfn.IFNA(VLOOKUP($BD22,Programma!$F$3:$V$1107,17,0),"")</f>
        <v/>
      </c>
      <c r="BU22" s="363" t="str">
        <f>_xlfn.IFNA(VLOOKUP($BD22,Programma!$F$3:$W$1107,18,0),"")</f>
        <v/>
      </c>
      <c r="BV22" s="363" t="str">
        <f>_xlfn.IFNA(VLOOKUP($BD22,Programma!$F$3:$X$1107,19,0),"")</f>
        <v/>
      </c>
      <c r="BW22" s="363" t="str">
        <f>_xlfn.IFNA(VLOOKUP($BD22,Programma!$F$3:$Y$1107,20,0),"")</f>
        <v/>
      </c>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row>
    <row r="23" spans="1:220" ht="15" customHeight="1">
      <c r="A23" s="33">
        <v>2</v>
      </c>
      <c r="B23" s="157" t="str">
        <f>VLOOKUP(Ruimtestaat[[#This Row],[Code]],Locaties[[Code]:[Locatie]],2,FALSE)</f>
        <v>'s Gravendreef College</v>
      </c>
      <c r="C23" s="157" t="str">
        <f>VLOOKUP(Ruimtestaat[[#This Row],[Code]],Locaties[[#All],[Code]:[Adres]],4,FALSE)</f>
        <v>Klaas Voskuildreef 135</v>
      </c>
      <c r="D23" s="157" t="str">
        <f>VLOOKUP(Ruimtestaat[[#This Row],[Code]],Locaties[[#All],[Code]:[Postcode]],5,FALSE)</f>
        <v>2492 JJ</v>
      </c>
      <c r="E23" s="157" t="str">
        <f>VLOOKUP(Ruimtestaat[[#This Row],[Code]],Locaties[#All],6,FALSE)</f>
        <v>Den Haag</v>
      </c>
      <c r="F23" s="33"/>
      <c r="G23" s="33" t="s">
        <v>1632</v>
      </c>
      <c r="H23" s="366">
        <v>19</v>
      </c>
      <c r="I23" s="367" t="s">
        <v>122</v>
      </c>
      <c r="J23" s="21">
        <v>15</v>
      </c>
      <c r="K23" s="62" t="str">
        <f>VLOOKUP(Ruimtestaat[[#This Row],[Ruimte code]],Ruimtegroepen[[#All],[Code]:[Ruimte omschrijving]],2,FALSE)</f>
        <v>Keuken/pantry</v>
      </c>
      <c r="L23" s="33" t="s">
        <v>101</v>
      </c>
      <c r="M23" s="367" t="s">
        <v>2495</v>
      </c>
      <c r="N23" s="140">
        <v>9</v>
      </c>
      <c r="O23" s="140"/>
      <c r="P23" s="125" t="str">
        <f>VLOOKUP(Ruimtestaat[[#This Row],[Ruimte code]],Ruimtegroepen[],4,FALSE)</f>
        <v>Ve</v>
      </c>
      <c r="R23" s="33">
        <v>40</v>
      </c>
      <c r="S23" s="33" t="s">
        <v>2</v>
      </c>
      <c r="T23" s="33">
        <f>IF(R23&gt;0,IF(RIGHT(Ruimtestaat[[#This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 s="33">
        <f>IF(T23&gt;0,VLOOKUP($J23,Ruimtegroepen[],3,FALSE)*VLOOKUP($L23,Vloersoorten[],3,FALSE)*VLOOKUP($S23,Frequenties[],3,FALSE)*VLOOKUP($A23,Locaties[],3,FALSE),0)</f>
        <v>0</v>
      </c>
      <c r="V23" s="33">
        <f>Ruimtestaat[[#This Row],[Uitvoeringen werkdagen]]*Ruimtestaat[[#This Row],[Oppervlak (netto)]]</f>
        <v>1800</v>
      </c>
      <c r="W23" s="154">
        <f>IF(U23&gt;0,Ruimtestaat[[#This Row],[Prest. (m2 /jaar) werkdagen]]/Ruimtestaat[[#This Row],[Norm (m2/uur) werkdagen]],0)</f>
        <v>0</v>
      </c>
      <c r="X23" s="155">
        <f>Ruimtestaat[[#This Row],[uren / jaar werkdagen]]*Tariefsopbouw!$E$35</f>
        <v>0</v>
      </c>
      <c r="Y23" s="33"/>
      <c r="Z23" s="33">
        <f>IF(Ruimtestaat[[#This Row],[Frequentie weekend]]&gt;0,VALUE(LEFT(Y23,1))*R23,0)</f>
        <v>0</v>
      </c>
      <c r="AA23" s="97">
        <f>IF($Z23&gt;0,VLOOKUP($J23,Ruimtegroepen[],3,FALSE)*VLOOKUP($L23,Vloersoorten[],3,FALSE)*VLOOKUP($Y23,Frequenties[],3,FALSE)*VLOOKUP(Ruimtestaat[[#This Row],[Code]],Locaties[],3,FALSE),0)</f>
        <v>0</v>
      </c>
      <c r="AB23" s="97">
        <f>Ruimtestaat[[#This Row],[Uitvoeringen weekend]]*Ruimtestaat[[#This Row],[Oppervlak (netto)]]</f>
        <v>0</v>
      </c>
      <c r="AC23" s="97">
        <f>IF(AA23&gt;0,Ruimtestaat[[#This Row],[Prest. (m2 /jaar) weekend]]/Ruimtestaat[[#This Row],[Norm (m2/uur) weekend]],0)</f>
        <v>0</v>
      </c>
      <c r="AD23" s="155">
        <f>Ruimtestaat[[#This Row],[uren / jaar weekend]]*Tariefsopbouw!$D$40</f>
        <v>0</v>
      </c>
      <c r="AE23" s="154">
        <f>Ruimtestaat[[#This Row],[Prest. (m2 /jaar) weekend]]+Ruimtestaat[[#This Row],[Prest. (m2 /jaar) werkdagen]]</f>
        <v>1800</v>
      </c>
      <c r="AF23" s="154">
        <f>Ruimtestaat[[#This Row],[uren / jaar weekend]]+Ruimtestaat[[#This Row],[uren / jaar werkdagen]]</f>
        <v>0</v>
      </c>
      <c r="AG23" s="69">
        <f>Ruimtestaat[[#This Row],[kosten / jaar weekend]]+Ruimtestaat[[#This Row],[kosten / jaar werkdagen]]</f>
        <v>0</v>
      </c>
      <c r="AH23" s="69"/>
      <c r="AI23" s="256" t="str">
        <f>IF(Ruimtestaat[[#This Row],[Frequentie werkdagen]]="","",_xlfn.CONCAT(Ruimtestaat[[#This Row],[Ruimte code]],"-",Ruimtestaat[[#This Row],[Frequentie werkdagen]]," ",Ruimtestaat[[#This Row],[Vloer code]]))</f>
        <v>15-5w L</v>
      </c>
      <c r="AJ23" s="363" t="str">
        <f>_xlfn.IFNA(VLOOKUP($AI23,Programma!$F$3:$G$1107,2,0),"")</f>
        <v>_</v>
      </c>
      <c r="AK23" s="363" t="str">
        <f>_xlfn.IFNA(VLOOKUP($AI23,Programma!$F$3:$H$1107,3,0),"")</f>
        <v>_</v>
      </c>
      <c r="AL23" s="363" t="str">
        <f>_xlfn.IFNA(VLOOKUP($AI23,Programma!$F$3:$I$1107,4,0),"")</f>
        <v>_</v>
      </c>
      <c r="AM23" s="363" t="str">
        <f>_xlfn.IFNA(VLOOKUP($AI23,Programma!$F$3:$J$1107,5,0),"")</f>
        <v>5w</v>
      </c>
      <c r="AN23" s="363" t="str">
        <f>_xlfn.IFNA(VLOOKUP($AI23,Programma!$F$3:$K$1107,6,0),"")</f>
        <v>_</v>
      </c>
      <c r="AO23" s="363" t="str">
        <f>_xlfn.IFNA(VLOOKUP($AI23,Programma!$F$3:$L$1107,7,0),"")</f>
        <v>_</v>
      </c>
      <c r="AP23" s="363" t="str">
        <f>_xlfn.IFNA(VLOOKUP($AI23,Programma!$F$3:$M$1107,8,0),"")</f>
        <v>_</v>
      </c>
      <c r="AQ23" s="363" t="str">
        <f>_xlfn.IFNA(VLOOKUP($AI23,Programma!$F$3:$N$1107,9,0),"")</f>
        <v>_</v>
      </c>
      <c r="AR23" s="363" t="str">
        <f>_xlfn.IFNA(VLOOKUP($AI23,Programma!$F$3:$O$1107,10,0),"")</f>
        <v>5w</v>
      </c>
      <c r="AS23" s="363" t="str">
        <f>_xlfn.IFNA(VLOOKUP($AI23,Programma!$F$3:$P$1107,11,0),"")</f>
        <v>5w</v>
      </c>
      <c r="AT23" s="363" t="str">
        <f>_xlfn.IFNA(VLOOKUP($AI23,Programma!$F$3:$Q$1107,12,0),"")</f>
        <v>1w</v>
      </c>
      <c r="AU23" s="363" t="str">
        <f>_xlfn.IFNA(VLOOKUP($AI23,Programma!$F$3:$R$1107,13,0),"")</f>
        <v>1w</v>
      </c>
      <c r="AV23" s="363" t="str">
        <f>_xlfn.IFNA(VLOOKUP($AI23,Programma!$F$3:$S$1107,14,0),"")</f>
        <v>1m</v>
      </c>
      <c r="AW23" s="363" t="str">
        <f>_xlfn.IFNA(VLOOKUP($AI23,Programma!$F$3:$T$1107,15,0),"")</f>
        <v>2j</v>
      </c>
      <c r="AX23" s="363" t="str">
        <f>_xlfn.IFNA(VLOOKUP($AI23,Programma!$F$3:$U$1107,16,0),"")</f>
        <v>1j</v>
      </c>
      <c r="AY23" s="363" t="str">
        <f>_xlfn.IFNA(VLOOKUP($AI23,Programma!$F$3:$V$1107,17,0),"")</f>
        <v>_</v>
      </c>
      <c r="AZ23" s="363" t="str">
        <f>_xlfn.IFNA(VLOOKUP($AI23,Programma!$F$3:$W$1107,18,0),"")</f>
        <v>_</v>
      </c>
      <c r="BA23" s="363" t="str">
        <f>_xlfn.IFNA(VLOOKUP($AI23,Programma!$F$3:$X$1107,19,0),"")</f>
        <v>_</v>
      </c>
      <c r="BB23" s="363" t="str">
        <f>_xlfn.IFNA(VLOOKUP($AI23,Programma!$F$3:$Y$1107,20,0),"")</f>
        <v>_</v>
      </c>
      <c r="BC23" s="257"/>
      <c r="BD23" s="256" t="str">
        <f>IF(Ruimtestaat[[#This Row],[Frequentie weekend]]="","",_xlfn.CONCAT(Ruimtestaat[[#This Row],[Ruimte code]],"-",Ruimtestaat[[#This Row],[Frequentie weekend]]," ",Ruimtestaat[[#This Row],[Vloer code]]))</f>
        <v/>
      </c>
      <c r="BE23" s="363" t="str">
        <f>_xlfn.IFNA(VLOOKUP($BD23,Programma!$F$3:$G$1107,2,0),"")</f>
        <v/>
      </c>
      <c r="BF23" s="363" t="str">
        <f>_xlfn.IFNA(VLOOKUP($BD23,Programma!$F$3:$H$1107,3,0),"")</f>
        <v/>
      </c>
      <c r="BG23" s="363" t="str">
        <f>_xlfn.IFNA(VLOOKUP($BD23,Programma!$F$3:$I$1107,4,0),"")</f>
        <v/>
      </c>
      <c r="BH23" s="363" t="str">
        <f>_xlfn.IFNA(VLOOKUP($BD23,Programma!$F$3:$J$1107,5,0),"")</f>
        <v/>
      </c>
      <c r="BI23" s="363" t="str">
        <f>_xlfn.IFNA(VLOOKUP($BD23,Programma!$F$3:$K$1107,6,0),"")</f>
        <v/>
      </c>
      <c r="BJ23" s="363" t="str">
        <f>_xlfn.IFNA(VLOOKUP($BD23,Programma!$F$3:$L$1107,7,0),"")</f>
        <v/>
      </c>
      <c r="BK23" s="363" t="str">
        <f>_xlfn.IFNA(VLOOKUP($BD23,Programma!$F$3:$M$1107,8,0),"")</f>
        <v/>
      </c>
      <c r="BL23" s="363" t="str">
        <f>_xlfn.IFNA(VLOOKUP($BD23,Programma!$F$3:$N$1107,9,0),"")</f>
        <v/>
      </c>
      <c r="BM23" s="363" t="str">
        <f>_xlfn.IFNA(VLOOKUP($BD23,Programma!$F$3:$O$1107,10,0),"")</f>
        <v/>
      </c>
      <c r="BN23" s="363" t="str">
        <f>_xlfn.IFNA(VLOOKUP($BD23,Programma!$F$3:$P$1107,11,0),"")</f>
        <v/>
      </c>
      <c r="BO23" s="363" t="str">
        <f>_xlfn.IFNA(VLOOKUP($BD23,Programma!$F$3:$Q$1107,12,0),"")</f>
        <v/>
      </c>
      <c r="BP23" s="363" t="str">
        <f>_xlfn.IFNA(VLOOKUP($BD23,Programma!$F$3:$R$1107,13,0),"")</f>
        <v/>
      </c>
      <c r="BQ23" s="363" t="str">
        <f>_xlfn.IFNA(VLOOKUP($BD23,Programma!$F$3:$S$1107,14,0),"")</f>
        <v/>
      </c>
      <c r="BR23" s="363" t="str">
        <f>_xlfn.IFNA(VLOOKUP($BD23,Programma!$F$3:$T$1107,15,0),"")</f>
        <v/>
      </c>
      <c r="BS23" s="363" t="str">
        <f>_xlfn.IFNA(VLOOKUP($BD23,Programma!$F$3:$U$1107,16,0),"")</f>
        <v/>
      </c>
      <c r="BT23" s="363" t="str">
        <f>_xlfn.IFNA(VLOOKUP($BD23,Programma!$F$3:$V$1107,17,0),"")</f>
        <v/>
      </c>
      <c r="BU23" s="363" t="str">
        <f>_xlfn.IFNA(VLOOKUP($BD23,Programma!$F$3:$W$1107,18,0),"")</f>
        <v/>
      </c>
      <c r="BV23" s="363" t="str">
        <f>_xlfn.IFNA(VLOOKUP($BD23,Programma!$F$3:$X$1107,19,0),"")</f>
        <v/>
      </c>
      <c r="BW23" s="363" t="str">
        <f>_xlfn.IFNA(VLOOKUP($BD23,Programma!$F$3:$Y$1107,20,0),"")</f>
        <v/>
      </c>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row>
    <row r="24" spans="1:220" ht="15" customHeight="1">
      <c r="A24" s="33">
        <v>2</v>
      </c>
      <c r="B24" s="157" t="str">
        <f>VLOOKUP(Ruimtestaat[[#This Row],[Code]],Locaties[[Code]:[Locatie]],2,FALSE)</f>
        <v>'s Gravendreef College</v>
      </c>
      <c r="C24" s="157" t="str">
        <f>VLOOKUP(Ruimtestaat[[#This Row],[Code]],Locaties[[#All],[Code]:[Adres]],4,FALSE)</f>
        <v>Klaas Voskuildreef 135</v>
      </c>
      <c r="D24" s="157" t="str">
        <f>VLOOKUP(Ruimtestaat[[#This Row],[Code]],Locaties[[#All],[Code]:[Postcode]],5,FALSE)</f>
        <v>2492 JJ</v>
      </c>
      <c r="E24" s="157" t="str">
        <f>VLOOKUP(Ruimtestaat[[#This Row],[Code]],Locaties[#All],6,FALSE)</f>
        <v>Den Haag</v>
      </c>
      <c r="F24" s="33"/>
      <c r="G24" s="33" t="s">
        <v>1632</v>
      </c>
      <c r="H24" s="366">
        <v>20</v>
      </c>
      <c r="I24" s="367" t="s">
        <v>1649</v>
      </c>
      <c r="J24" s="21">
        <v>13</v>
      </c>
      <c r="K24" s="62" t="str">
        <f>VLOOKUP(Ruimtestaat[[#This Row],[Ruimte code]],Ruimtegroepen[[#All],[Code]:[Ruimte omschrijving]],2,FALSE)</f>
        <v>HV/Technieklokaal</v>
      </c>
      <c r="L24" s="33" t="s">
        <v>103</v>
      </c>
      <c r="M24" s="367" t="s">
        <v>2497</v>
      </c>
      <c r="N24" s="140">
        <v>102</v>
      </c>
      <c r="O24" s="140"/>
      <c r="P24" s="125" t="str">
        <f>VLOOKUP(Ruimtestaat[[#This Row],[Ruimte code]],Ruimtegroepen[],4,FALSE)</f>
        <v>Le</v>
      </c>
      <c r="R24" s="33">
        <v>40</v>
      </c>
      <c r="S24" s="33" t="s">
        <v>2</v>
      </c>
      <c r="T24" s="33">
        <f>IF(R24&gt;0,IF(RIGHT(Ruimtestaat[[#This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 s="33">
        <f>IF(T24&gt;0,VLOOKUP($J24,Ruimtegroepen[],3,FALSE)*VLOOKUP($L24,Vloersoorten[],3,FALSE)*VLOOKUP($S24,Frequenties[],3,FALSE)*VLOOKUP($A24,Locaties[],3,FALSE),0)</f>
        <v>0</v>
      </c>
      <c r="V24" s="33">
        <f>Ruimtestaat[[#This Row],[Uitvoeringen werkdagen]]*Ruimtestaat[[#This Row],[Oppervlak (netto)]]</f>
        <v>20400</v>
      </c>
      <c r="W24" s="154">
        <f>IF(U24&gt;0,Ruimtestaat[[#This Row],[Prest. (m2 /jaar) werkdagen]]/Ruimtestaat[[#This Row],[Norm (m2/uur) werkdagen]],0)</f>
        <v>0</v>
      </c>
      <c r="X24" s="155">
        <f>Ruimtestaat[[#This Row],[uren / jaar werkdagen]]*Tariefsopbouw!$E$35</f>
        <v>0</v>
      </c>
      <c r="Y24" s="33"/>
      <c r="Z24" s="33">
        <f>IF(Ruimtestaat[[#This Row],[Frequentie weekend]]&gt;0,VALUE(LEFT(Y24,1))*R24,0)</f>
        <v>0</v>
      </c>
      <c r="AA24" s="97">
        <f>IF($Z24&gt;0,VLOOKUP($J24,Ruimtegroepen[],3,FALSE)*VLOOKUP($L24,Vloersoorten[],3,FALSE)*VLOOKUP($Y24,Frequenties[],3,FALSE)*VLOOKUP(Ruimtestaat[[#This Row],[Code]],Locaties[],3,FALSE),0)</f>
        <v>0</v>
      </c>
      <c r="AB24" s="97">
        <f>Ruimtestaat[[#This Row],[Uitvoeringen weekend]]*Ruimtestaat[[#This Row],[Oppervlak (netto)]]</f>
        <v>0</v>
      </c>
      <c r="AC24" s="97">
        <f>IF(AA24&gt;0,Ruimtestaat[[#This Row],[Prest. (m2 /jaar) weekend]]/Ruimtestaat[[#This Row],[Norm (m2/uur) weekend]],0)</f>
        <v>0</v>
      </c>
      <c r="AD24" s="155">
        <f>Ruimtestaat[[#This Row],[uren / jaar weekend]]*Tariefsopbouw!$D$40</f>
        <v>0</v>
      </c>
      <c r="AE24" s="154">
        <f>Ruimtestaat[[#This Row],[Prest. (m2 /jaar) weekend]]+Ruimtestaat[[#This Row],[Prest. (m2 /jaar) werkdagen]]</f>
        <v>20400</v>
      </c>
      <c r="AF24" s="154">
        <f>Ruimtestaat[[#This Row],[uren / jaar weekend]]+Ruimtestaat[[#This Row],[uren / jaar werkdagen]]</f>
        <v>0</v>
      </c>
      <c r="AG24" s="69">
        <f>Ruimtestaat[[#This Row],[kosten / jaar weekend]]+Ruimtestaat[[#This Row],[kosten / jaar werkdagen]]</f>
        <v>0</v>
      </c>
      <c r="AH24" s="69"/>
      <c r="AI24" s="256" t="str">
        <f>IF(Ruimtestaat[[#This Row],[Frequentie werkdagen]]="","",_xlfn.CONCAT(Ruimtestaat[[#This Row],[Ruimte code]],"-",Ruimtestaat[[#This Row],[Frequentie werkdagen]]," ",Ruimtestaat[[#This Row],[Vloer code]]))</f>
        <v>13-5w P</v>
      </c>
      <c r="AJ24" s="363" t="str">
        <f>_xlfn.IFNA(VLOOKUP($AI24,Programma!$F$3:$G$1107,2,0),"")</f>
        <v>_</v>
      </c>
      <c r="AK24" s="363" t="str">
        <f>_xlfn.IFNA(VLOOKUP($AI24,Programma!$F$3:$H$1107,3,0),"")</f>
        <v>_</v>
      </c>
      <c r="AL24" s="363" t="str">
        <f>_xlfn.IFNA(VLOOKUP($AI24,Programma!$F$3:$I$1107,4,0),"")</f>
        <v>4w</v>
      </c>
      <c r="AM24" s="363" t="str">
        <f>_xlfn.IFNA(VLOOKUP($AI24,Programma!$F$3:$J$1107,5,0),"")</f>
        <v>1w</v>
      </c>
      <c r="AN24" s="363" t="str">
        <f>_xlfn.IFNA(VLOOKUP($AI24,Programma!$F$3:$K$1107,6,0),"")</f>
        <v>1j</v>
      </c>
      <c r="AO24" s="363" t="str">
        <f>_xlfn.IFNA(VLOOKUP($AI24,Programma!$F$3:$L$1107,7,0),"")</f>
        <v>_</v>
      </c>
      <c r="AP24" s="363" t="str">
        <f>_xlfn.IFNA(VLOOKUP($AI24,Programma!$F$3:$M$1107,8,0),"")</f>
        <v>_</v>
      </c>
      <c r="AQ24" s="363" t="str">
        <f>_xlfn.IFNA(VLOOKUP($AI24,Programma!$F$3:$N$1107,9,0),"")</f>
        <v>_</v>
      </c>
      <c r="AR24" s="363" t="str">
        <f>_xlfn.IFNA(VLOOKUP($AI24,Programma!$F$3:$O$1107,10,0),"")</f>
        <v>5w</v>
      </c>
      <c r="AS24" s="363" t="str">
        <f>_xlfn.IFNA(VLOOKUP($AI24,Programma!$F$3:$P$1107,11,0),"")</f>
        <v>5w</v>
      </c>
      <c r="AT24" s="363" t="str">
        <f>_xlfn.IFNA(VLOOKUP($AI24,Programma!$F$3:$Q$1107,12,0),"")</f>
        <v>1w</v>
      </c>
      <c r="AU24" s="363" t="str">
        <f>_xlfn.IFNA(VLOOKUP($AI24,Programma!$F$3:$R$1107,13,0),"")</f>
        <v>1w</v>
      </c>
      <c r="AV24" s="363" t="str">
        <f>_xlfn.IFNA(VLOOKUP($AI24,Programma!$F$3:$S$1107,14,0),"")</f>
        <v>1m</v>
      </c>
      <c r="AW24" s="363" t="str">
        <f>_xlfn.IFNA(VLOOKUP($AI24,Programma!$F$3:$T$1107,15,0),"")</f>
        <v>2j</v>
      </c>
      <c r="AX24" s="363" t="str">
        <f>_xlfn.IFNA(VLOOKUP($AI24,Programma!$F$3:$U$1107,16,0),"")</f>
        <v>1j</v>
      </c>
      <c r="AY24" s="363" t="str">
        <f>_xlfn.IFNA(VLOOKUP($AI24,Programma!$F$3:$V$1107,17,0),"")</f>
        <v>_</v>
      </c>
      <c r="AZ24" s="363" t="str">
        <f>_xlfn.IFNA(VLOOKUP($AI24,Programma!$F$3:$W$1107,18,0),"")</f>
        <v>_</v>
      </c>
      <c r="BA24" s="363" t="str">
        <f>_xlfn.IFNA(VLOOKUP($AI24,Programma!$F$3:$X$1107,19,0),"")</f>
        <v>_</v>
      </c>
      <c r="BB24" s="363" t="str">
        <f>_xlfn.IFNA(VLOOKUP($AI24,Programma!$F$3:$Y$1107,20,0),"")</f>
        <v>_</v>
      </c>
      <c r="BC24" s="257"/>
      <c r="BD24" s="256" t="str">
        <f>IF(Ruimtestaat[[#This Row],[Frequentie weekend]]="","",_xlfn.CONCAT(Ruimtestaat[[#This Row],[Ruimte code]],"-",Ruimtestaat[[#This Row],[Frequentie weekend]]," ",Ruimtestaat[[#This Row],[Vloer code]]))</f>
        <v/>
      </c>
      <c r="BE24" s="363" t="str">
        <f>_xlfn.IFNA(VLOOKUP($BD24,Programma!$F$3:$G$1107,2,0),"")</f>
        <v/>
      </c>
      <c r="BF24" s="363" t="str">
        <f>_xlfn.IFNA(VLOOKUP($BD24,Programma!$F$3:$H$1107,3,0),"")</f>
        <v/>
      </c>
      <c r="BG24" s="363" t="str">
        <f>_xlfn.IFNA(VLOOKUP($BD24,Programma!$F$3:$I$1107,4,0),"")</f>
        <v/>
      </c>
      <c r="BH24" s="363" t="str">
        <f>_xlfn.IFNA(VLOOKUP($BD24,Programma!$F$3:$J$1107,5,0),"")</f>
        <v/>
      </c>
      <c r="BI24" s="363" t="str">
        <f>_xlfn.IFNA(VLOOKUP($BD24,Programma!$F$3:$K$1107,6,0),"")</f>
        <v/>
      </c>
      <c r="BJ24" s="363" t="str">
        <f>_xlfn.IFNA(VLOOKUP($BD24,Programma!$F$3:$L$1107,7,0),"")</f>
        <v/>
      </c>
      <c r="BK24" s="363" t="str">
        <f>_xlfn.IFNA(VLOOKUP($BD24,Programma!$F$3:$M$1107,8,0),"")</f>
        <v/>
      </c>
      <c r="BL24" s="363" t="str">
        <f>_xlfn.IFNA(VLOOKUP($BD24,Programma!$F$3:$N$1107,9,0),"")</f>
        <v/>
      </c>
      <c r="BM24" s="363" t="str">
        <f>_xlfn.IFNA(VLOOKUP($BD24,Programma!$F$3:$O$1107,10,0),"")</f>
        <v/>
      </c>
      <c r="BN24" s="363" t="str">
        <f>_xlfn.IFNA(VLOOKUP($BD24,Programma!$F$3:$P$1107,11,0),"")</f>
        <v/>
      </c>
      <c r="BO24" s="363" t="str">
        <f>_xlfn.IFNA(VLOOKUP($BD24,Programma!$F$3:$Q$1107,12,0),"")</f>
        <v/>
      </c>
      <c r="BP24" s="363" t="str">
        <f>_xlfn.IFNA(VLOOKUP($BD24,Programma!$F$3:$R$1107,13,0),"")</f>
        <v/>
      </c>
      <c r="BQ24" s="363" t="str">
        <f>_xlfn.IFNA(VLOOKUP($BD24,Programma!$F$3:$S$1107,14,0),"")</f>
        <v/>
      </c>
      <c r="BR24" s="363" t="str">
        <f>_xlfn.IFNA(VLOOKUP($BD24,Programma!$F$3:$T$1107,15,0),"")</f>
        <v/>
      </c>
      <c r="BS24" s="363" t="str">
        <f>_xlfn.IFNA(VLOOKUP($BD24,Programma!$F$3:$U$1107,16,0),"")</f>
        <v/>
      </c>
      <c r="BT24" s="363" t="str">
        <f>_xlfn.IFNA(VLOOKUP($BD24,Programma!$F$3:$V$1107,17,0),"")</f>
        <v/>
      </c>
      <c r="BU24" s="363" t="str">
        <f>_xlfn.IFNA(VLOOKUP($BD24,Programma!$F$3:$W$1107,18,0),"")</f>
        <v/>
      </c>
      <c r="BV24" s="363" t="str">
        <f>_xlfn.IFNA(VLOOKUP($BD24,Programma!$F$3:$X$1107,19,0),"")</f>
        <v/>
      </c>
      <c r="BW24" s="363" t="str">
        <f>_xlfn.IFNA(VLOOKUP($BD24,Programma!$F$3:$Y$1107,20,0),"")</f>
        <v/>
      </c>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row>
    <row r="25" spans="1:220" ht="15" customHeight="1">
      <c r="A25" s="33">
        <v>2</v>
      </c>
      <c r="B25" s="157" t="str">
        <f>VLOOKUP(Ruimtestaat[[#This Row],[Code]],Locaties[[Code]:[Locatie]],2,FALSE)</f>
        <v>'s Gravendreef College</v>
      </c>
      <c r="C25" s="157" t="str">
        <f>VLOOKUP(Ruimtestaat[[#This Row],[Code]],Locaties[[#All],[Code]:[Adres]],4,FALSE)</f>
        <v>Klaas Voskuildreef 135</v>
      </c>
      <c r="D25" s="157" t="str">
        <f>VLOOKUP(Ruimtestaat[[#This Row],[Code]],Locaties[[#All],[Code]:[Postcode]],5,FALSE)</f>
        <v>2492 JJ</v>
      </c>
      <c r="E25" s="157" t="str">
        <f>VLOOKUP(Ruimtestaat[[#This Row],[Code]],Locaties[#All],6,FALSE)</f>
        <v>Den Haag</v>
      </c>
      <c r="F25" s="33"/>
      <c r="G25" s="33" t="s">
        <v>1632</v>
      </c>
      <c r="H25" s="366">
        <v>21</v>
      </c>
      <c r="I25" s="367" t="s">
        <v>1639</v>
      </c>
      <c r="J25" s="21">
        <v>5</v>
      </c>
      <c r="K25" s="62" t="str">
        <f>VLOOKUP(Ruimtestaat[[#This Row],[Ruimte code]],Ruimtegroepen[[#All],[Code]:[Ruimte omschrijving]],2,FALSE)</f>
        <v>Sanitair</v>
      </c>
      <c r="L25" s="33" t="s">
        <v>102</v>
      </c>
      <c r="M25" s="367" t="s">
        <v>2496</v>
      </c>
      <c r="N25" s="140">
        <v>8</v>
      </c>
      <c r="O25" s="140"/>
      <c r="P25" s="125" t="str">
        <f>VLOOKUP(Ruimtestaat[[#This Row],[Ruimte code]],Ruimtegroepen[],4,FALSE)</f>
        <v>Sa</v>
      </c>
      <c r="R25" s="33">
        <v>40</v>
      </c>
      <c r="S25" s="33" t="s">
        <v>2</v>
      </c>
      <c r="T25" s="33">
        <f>IF(R25&gt;0,IF(RIGHT(Ruimtestaat[[#This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 s="33">
        <f>IF(T25&gt;0,VLOOKUP($J25,Ruimtegroepen[],3,FALSE)*VLOOKUP($L25,Vloersoorten[],3,FALSE)*VLOOKUP($S25,Frequenties[],3,FALSE)*VLOOKUP($A25,Locaties[],3,FALSE),0)</f>
        <v>0</v>
      </c>
      <c r="V25" s="33">
        <f>Ruimtestaat[[#This Row],[Uitvoeringen werkdagen]]*Ruimtestaat[[#This Row],[Oppervlak (netto)]]</f>
        <v>1600</v>
      </c>
      <c r="W25" s="154">
        <f>IF(U25&gt;0,Ruimtestaat[[#This Row],[Prest. (m2 /jaar) werkdagen]]/Ruimtestaat[[#This Row],[Norm (m2/uur) werkdagen]],0)</f>
        <v>0</v>
      </c>
      <c r="X25" s="155">
        <f>Ruimtestaat[[#This Row],[uren / jaar werkdagen]]*Tariefsopbouw!$E$35</f>
        <v>0</v>
      </c>
      <c r="Y25" s="33"/>
      <c r="Z25" s="33">
        <f>IF(Ruimtestaat[[#This Row],[Frequentie weekend]]&gt;0,VALUE(LEFT(Y25,1))*R25,0)</f>
        <v>0</v>
      </c>
      <c r="AA25" s="97">
        <f>IF($Z25&gt;0,VLOOKUP($J25,Ruimtegroepen[],3,FALSE)*VLOOKUP($L25,Vloersoorten[],3,FALSE)*VLOOKUP($Y25,Frequenties[],3,FALSE)*VLOOKUP(Ruimtestaat[[#This Row],[Code]],Locaties[],3,FALSE),0)</f>
        <v>0</v>
      </c>
      <c r="AB25" s="97">
        <f>Ruimtestaat[[#This Row],[Uitvoeringen weekend]]*Ruimtestaat[[#This Row],[Oppervlak (netto)]]</f>
        <v>0</v>
      </c>
      <c r="AC25" s="97">
        <f>IF(AA25&gt;0,Ruimtestaat[[#This Row],[Prest. (m2 /jaar) weekend]]/Ruimtestaat[[#This Row],[Norm (m2/uur) weekend]],0)</f>
        <v>0</v>
      </c>
      <c r="AD25" s="155">
        <f>Ruimtestaat[[#This Row],[uren / jaar weekend]]*Tariefsopbouw!$D$40</f>
        <v>0</v>
      </c>
      <c r="AE25" s="154">
        <f>Ruimtestaat[[#This Row],[Prest. (m2 /jaar) weekend]]+Ruimtestaat[[#This Row],[Prest. (m2 /jaar) werkdagen]]</f>
        <v>1600</v>
      </c>
      <c r="AF25" s="154">
        <f>Ruimtestaat[[#This Row],[uren / jaar weekend]]+Ruimtestaat[[#This Row],[uren / jaar werkdagen]]</f>
        <v>0</v>
      </c>
      <c r="AG25" s="69">
        <f>Ruimtestaat[[#This Row],[kosten / jaar weekend]]+Ruimtestaat[[#This Row],[kosten / jaar werkdagen]]</f>
        <v>0</v>
      </c>
      <c r="AH25" s="69"/>
      <c r="AI25" s="256" t="str">
        <f>IF(Ruimtestaat[[#This Row],[Frequentie werkdagen]]="","",_xlfn.CONCAT(Ruimtestaat[[#This Row],[Ruimte code]],"-",Ruimtestaat[[#This Row],[Frequentie werkdagen]]," ",Ruimtestaat[[#This Row],[Vloer code]]))</f>
        <v>5-5w S</v>
      </c>
      <c r="AJ25" s="363" t="str">
        <f>_xlfn.IFNA(VLOOKUP($AI25,Programma!$F$3:$G$1107,2,0),"")</f>
        <v>_</v>
      </c>
      <c r="AK25" s="363" t="str">
        <f>_xlfn.IFNA(VLOOKUP($AI25,Programma!$F$3:$H$1107,3,0),"")</f>
        <v>_</v>
      </c>
      <c r="AL25" s="363" t="str">
        <f>_xlfn.IFNA(VLOOKUP($AI25,Programma!$F$3:$I$1107,4,0),"")</f>
        <v>_</v>
      </c>
      <c r="AM25" s="363" t="str">
        <f>_xlfn.IFNA(VLOOKUP($AI25,Programma!$F$3:$J$1107,5,0),"")</f>
        <v>4w</v>
      </c>
      <c r="AN25" s="363" t="str">
        <f>_xlfn.IFNA(VLOOKUP($AI25,Programma!$F$3:$K$1107,6,0),"")</f>
        <v>1w</v>
      </c>
      <c r="AO25" s="363" t="str">
        <f>_xlfn.IFNA(VLOOKUP($AI25,Programma!$F$3:$L$1107,7,0),"")</f>
        <v>_</v>
      </c>
      <c r="AP25" s="363" t="str">
        <f>_xlfn.IFNA(VLOOKUP($AI25,Programma!$F$3:$M$1107,8,0),"")</f>
        <v>_</v>
      </c>
      <c r="AQ25" s="363" t="str">
        <f>_xlfn.IFNA(VLOOKUP($AI25,Programma!$F$3:$N$1107,9,0),"")</f>
        <v>_</v>
      </c>
      <c r="AR25" s="363" t="str">
        <f>_xlfn.IFNA(VLOOKUP($AI25,Programma!$F$3:$O$1107,10,0),"")</f>
        <v>_</v>
      </c>
      <c r="AS25" s="363" t="str">
        <f>_xlfn.IFNA(VLOOKUP($AI25,Programma!$F$3:$P$1107,11,0),"")</f>
        <v>_</v>
      </c>
      <c r="AT25" s="363" t="str">
        <f>_xlfn.IFNA(VLOOKUP($AI25,Programma!$F$3:$Q$1107,12,0),"")</f>
        <v>_</v>
      </c>
      <c r="AU25" s="363" t="str">
        <f>_xlfn.IFNA(VLOOKUP($AI25,Programma!$F$3:$R$1107,13,0),"")</f>
        <v>_</v>
      </c>
      <c r="AV25" s="363" t="str">
        <f>_xlfn.IFNA(VLOOKUP($AI25,Programma!$F$3:$S$1107,14,0),"")</f>
        <v>_</v>
      </c>
      <c r="AW25" s="363" t="str">
        <f>_xlfn.IFNA(VLOOKUP($AI25,Programma!$F$3:$T$1107,15,0),"")</f>
        <v>_</v>
      </c>
      <c r="AX25" s="363" t="str">
        <f>_xlfn.IFNA(VLOOKUP($AI25,Programma!$F$3:$U$1107,16,0),"")</f>
        <v>_</v>
      </c>
      <c r="AY25" s="363" t="str">
        <f>_xlfn.IFNA(VLOOKUP($AI25,Programma!$F$3:$V$1107,17,0),"")</f>
        <v>_</v>
      </c>
      <c r="AZ25" s="363" t="str">
        <f>_xlfn.IFNA(VLOOKUP($AI25,Programma!$F$3:$W$1107,18,0),"")</f>
        <v>4w</v>
      </c>
      <c r="BA25" s="363" t="str">
        <f>_xlfn.IFNA(VLOOKUP($AI25,Programma!$F$3:$X$1107,19,0),"")</f>
        <v>1w</v>
      </c>
      <c r="BB25" s="363" t="str">
        <f>_xlfn.IFNA(VLOOKUP($AI25,Programma!$F$3:$Y$1107,20,0),"")</f>
        <v>_</v>
      </c>
      <c r="BC25" s="257"/>
      <c r="BD25" s="256" t="str">
        <f>IF(Ruimtestaat[[#This Row],[Frequentie weekend]]="","",_xlfn.CONCAT(Ruimtestaat[[#This Row],[Ruimte code]],"-",Ruimtestaat[[#This Row],[Frequentie weekend]]," ",Ruimtestaat[[#This Row],[Vloer code]]))</f>
        <v/>
      </c>
      <c r="BE25" s="363" t="str">
        <f>_xlfn.IFNA(VLOOKUP($BD25,Programma!$F$3:$G$1107,2,0),"")</f>
        <v/>
      </c>
      <c r="BF25" s="363" t="str">
        <f>_xlfn.IFNA(VLOOKUP($BD25,Programma!$F$3:$H$1107,3,0),"")</f>
        <v/>
      </c>
      <c r="BG25" s="363" t="str">
        <f>_xlfn.IFNA(VLOOKUP($BD25,Programma!$F$3:$I$1107,4,0),"")</f>
        <v/>
      </c>
      <c r="BH25" s="363" t="str">
        <f>_xlfn.IFNA(VLOOKUP($BD25,Programma!$F$3:$J$1107,5,0),"")</f>
        <v/>
      </c>
      <c r="BI25" s="363" t="str">
        <f>_xlfn.IFNA(VLOOKUP($BD25,Programma!$F$3:$K$1107,6,0),"")</f>
        <v/>
      </c>
      <c r="BJ25" s="363" t="str">
        <f>_xlfn.IFNA(VLOOKUP($BD25,Programma!$F$3:$L$1107,7,0),"")</f>
        <v/>
      </c>
      <c r="BK25" s="363" t="str">
        <f>_xlfn.IFNA(VLOOKUP($BD25,Programma!$F$3:$M$1107,8,0),"")</f>
        <v/>
      </c>
      <c r="BL25" s="363" t="str">
        <f>_xlfn.IFNA(VLOOKUP($BD25,Programma!$F$3:$N$1107,9,0),"")</f>
        <v/>
      </c>
      <c r="BM25" s="363" t="str">
        <f>_xlfn.IFNA(VLOOKUP($BD25,Programma!$F$3:$O$1107,10,0),"")</f>
        <v/>
      </c>
      <c r="BN25" s="363" t="str">
        <f>_xlfn.IFNA(VLOOKUP($BD25,Programma!$F$3:$P$1107,11,0),"")</f>
        <v/>
      </c>
      <c r="BO25" s="363" t="str">
        <f>_xlfn.IFNA(VLOOKUP($BD25,Programma!$F$3:$Q$1107,12,0),"")</f>
        <v/>
      </c>
      <c r="BP25" s="363" t="str">
        <f>_xlfn.IFNA(VLOOKUP($BD25,Programma!$F$3:$R$1107,13,0),"")</f>
        <v/>
      </c>
      <c r="BQ25" s="363" t="str">
        <f>_xlfn.IFNA(VLOOKUP($BD25,Programma!$F$3:$S$1107,14,0),"")</f>
        <v/>
      </c>
      <c r="BR25" s="363" t="str">
        <f>_xlfn.IFNA(VLOOKUP($BD25,Programma!$F$3:$T$1107,15,0),"")</f>
        <v/>
      </c>
      <c r="BS25" s="363" t="str">
        <f>_xlfn.IFNA(VLOOKUP($BD25,Programma!$F$3:$U$1107,16,0),"")</f>
        <v/>
      </c>
      <c r="BT25" s="363" t="str">
        <f>_xlfn.IFNA(VLOOKUP($BD25,Programma!$F$3:$V$1107,17,0),"")</f>
        <v/>
      </c>
      <c r="BU25" s="363" t="str">
        <f>_xlfn.IFNA(VLOOKUP($BD25,Programma!$F$3:$W$1107,18,0),"")</f>
        <v/>
      </c>
      <c r="BV25" s="363" t="str">
        <f>_xlfn.IFNA(VLOOKUP($BD25,Programma!$F$3:$X$1107,19,0),"")</f>
        <v/>
      </c>
      <c r="BW25" s="363" t="str">
        <f>_xlfn.IFNA(VLOOKUP($BD25,Programma!$F$3:$Y$1107,20,0),"")</f>
        <v/>
      </c>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row>
    <row r="26" spans="1:220" ht="15" customHeight="1">
      <c r="A26" s="33">
        <v>2</v>
      </c>
      <c r="B26" s="157" t="str">
        <f>VLOOKUP(Ruimtestaat[[#This Row],[Code]],Locaties[[Code]:[Locatie]],2,FALSE)</f>
        <v>'s Gravendreef College</v>
      </c>
      <c r="C26" s="157" t="str">
        <f>VLOOKUP(Ruimtestaat[[#This Row],[Code]],Locaties[[#All],[Code]:[Adres]],4,FALSE)</f>
        <v>Klaas Voskuildreef 135</v>
      </c>
      <c r="D26" s="157" t="str">
        <f>VLOOKUP(Ruimtestaat[[#This Row],[Code]],Locaties[[#All],[Code]:[Postcode]],5,FALSE)</f>
        <v>2492 JJ</v>
      </c>
      <c r="E26" s="157" t="str">
        <f>VLOOKUP(Ruimtestaat[[#This Row],[Code]],Locaties[#All],6,FALSE)</f>
        <v>Den Haag</v>
      </c>
      <c r="F26" s="33"/>
      <c r="G26" s="33" t="s">
        <v>1632</v>
      </c>
      <c r="H26" s="366">
        <v>22</v>
      </c>
      <c r="I26" s="367" t="s">
        <v>1640</v>
      </c>
      <c r="J26" s="21">
        <v>5</v>
      </c>
      <c r="K26" s="62" t="str">
        <f>VLOOKUP(Ruimtestaat[[#This Row],[Ruimte code]],Ruimtegroepen[[#All],[Code]:[Ruimte omschrijving]],2,FALSE)</f>
        <v>Sanitair</v>
      </c>
      <c r="L26" s="33" t="s">
        <v>102</v>
      </c>
      <c r="M26" s="367" t="s">
        <v>2496</v>
      </c>
      <c r="N26" s="140">
        <v>8</v>
      </c>
      <c r="O26" s="140"/>
      <c r="P26" s="125" t="str">
        <f>VLOOKUP(Ruimtestaat[[#This Row],[Ruimte code]],Ruimtegroepen[],4,FALSE)</f>
        <v>Sa</v>
      </c>
      <c r="R26" s="33">
        <v>40</v>
      </c>
      <c r="S26" s="33" t="s">
        <v>2</v>
      </c>
      <c r="T26" s="33">
        <f>IF(R26&gt;0,IF(RIGHT(Ruimtestaat[[#This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 s="33">
        <f>IF(T26&gt;0,VLOOKUP($J26,Ruimtegroepen[],3,FALSE)*VLOOKUP($L26,Vloersoorten[],3,FALSE)*VLOOKUP($S26,Frequenties[],3,FALSE)*VLOOKUP($A26,Locaties[],3,FALSE),0)</f>
        <v>0</v>
      </c>
      <c r="V26" s="33">
        <f>Ruimtestaat[[#This Row],[Uitvoeringen werkdagen]]*Ruimtestaat[[#This Row],[Oppervlak (netto)]]</f>
        <v>1600</v>
      </c>
      <c r="W26" s="154">
        <f>IF(U26&gt;0,Ruimtestaat[[#This Row],[Prest. (m2 /jaar) werkdagen]]/Ruimtestaat[[#This Row],[Norm (m2/uur) werkdagen]],0)</f>
        <v>0</v>
      </c>
      <c r="X26" s="155">
        <f>Ruimtestaat[[#This Row],[uren / jaar werkdagen]]*Tariefsopbouw!$E$35</f>
        <v>0</v>
      </c>
      <c r="Y26" s="33"/>
      <c r="Z26" s="33">
        <f>IF(Ruimtestaat[[#This Row],[Frequentie weekend]]&gt;0,VALUE(LEFT(Y26,1))*R26,0)</f>
        <v>0</v>
      </c>
      <c r="AA26" s="97">
        <f>IF($Z26&gt;0,VLOOKUP($J26,Ruimtegroepen[],3,FALSE)*VLOOKUP($L26,Vloersoorten[],3,FALSE)*VLOOKUP($Y26,Frequenties[],3,FALSE)*VLOOKUP(Ruimtestaat[[#This Row],[Code]],Locaties[],3,FALSE),0)</f>
        <v>0</v>
      </c>
      <c r="AB26" s="97">
        <f>Ruimtestaat[[#This Row],[Uitvoeringen weekend]]*Ruimtestaat[[#This Row],[Oppervlak (netto)]]</f>
        <v>0</v>
      </c>
      <c r="AC26" s="97">
        <f>IF(AA26&gt;0,Ruimtestaat[[#This Row],[Prest. (m2 /jaar) weekend]]/Ruimtestaat[[#This Row],[Norm (m2/uur) weekend]],0)</f>
        <v>0</v>
      </c>
      <c r="AD26" s="155">
        <f>Ruimtestaat[[#This Row],[uren / jaar weekend]]*Tariefsopbouw!$D$40</f>
        <v>0</v>
      </c>
      <c r="AE26" s="154">
        <f>Ruimtestaat[[#This Row],[Prest. (m2 /jaar) weekend]]+Ruimtestaat[[#This Row],[Prest. (m2 /jaar) werkdagen]]</f>
        <v>1600</v>
      </c>
      <c r="AF26" s="154">
        <f>Ruimtestaat[[#This Row],[uren / jaar weekend]]+Ruimtestaat[[#This Row],[uren / jaar werkdagen]]</f>
        <v>0</v>
      </c>
      <c r="AG26" s="69">
        <f>Ruimtestaat[[#This Row],[kosten / jaar weekend]]+Ruimtestaat[[#This Row],[kosten / jaar werkdagen]]</f>
        <v>0</v>
      </c>
      <c r="AH26" s="69"/>
      <c r="AI26" s="256" t="str">
        <f>IF(Ruimtestaat[[#This Row],[Frequentie werkdagen]]="","",_xlfn.CONCAT(Ruimtestaat[[#This Row],[Ruimte code]],"-",Ruimtestaat[[#This Row],[Frequentie werkdagen]]," ",Ruimtestaat[[#This Row],[Vloer code]]))</f>
        <v>5-5w S</v>
      </c>
      <c r="AJ26" s="363" t="str">
        <f>_xlfn.IFNA(VLOOKUP($AI26,Programma!$F$3:$G$1107,2,0),"")</f>
        <v>_</v>
      </c>
      <c r="AK26" s="363" t="str">
        <f>_xlfn.IFNA(VLOOKUP($AI26,Programma!$F$3:$H$1107,3,0),"")</f>
        <v>_</v>
      </c>
      <c r="AL26" s="363" t="str">
        <f>_xlfn.IFNA(VLOOKUP($AI26,Programma!$F$3:$I$1107,4,0),"")</f>
        <v>_</v>
      </c>
      <c r="AM26" s="363" t="str">
        <f>_xlfn.IFNA(VLOOKUP($AI26,Programma!$F$3:$J$1107,5,0),"")</f>
        <v>4w</v>
      </c>
      <c r="AN26" s="363" t="str">
        <f>_xlfn.IFNA(VLOOKUP($AI26,Programma!$F$3:$K$1107,6,0),"")</f>
        <v>1w</v>
      </c>
      <c r="AO26" s="363" t="str">
        <f>_xlfn.IFNA(VLOOKUP($AI26,Programma!$F$3:$L$1107,7,0),"")</f>
        <v>_</v>
      </c>
      <c r="AP26" s="363" t="str">
        <f>_xlfn.IFNA(VLOOKUP($AI26,Programma!$F$3:$M$1107,8,0),"")</f>
        <v>_</v>
      </c>
      <c r="AQ26" s="363" t="str">
        <f>_xlfn.IFNA(VLOOKUP($AI26,Programma!$F$3:$N$1107,9,0),"")</f>
        <v>_</v>
      </c>
      <c r="AR26" s="363" t="str">
        <f>_xlfn.IFNA(VLOOKUP($AI26,Programma!$F$3:$O$1107,10,0),"")</f>
        <v>_</v>
      </c>
      <c r="AS26" s="363" t="str">
        <f>_xlfn.IFNA(VLOOKUP($AI26,Programma!$F$3:$P$1107,11,0),"")</f>
        <v>_</v>
      </c>
      <c r="AT26" s="363" t="str">
        <f>_xlfn.IFNA(VLOOKUP($AI26,Programma!$F$3:$Q$1107,12,0),"")</f>
        <v>_</v>
      </c>
      <c r="AU26" s="363" t="str">
        <f>_xlfn.IFNA(VLOOKUP($AI26,Programma!$F$3:$R$1107,13,0),"")</f>
        <v>_</v>
      </c>
      <c r="AV26" s="363" t="str">
        <f>_xlfn.IFNA(VLOOKUP($AI26,Programma!$F$3:$S$1107,14,0),"")</f>
        <v>_</v>
      </c>
      <c r="AW26" s="363" t="str">
        <f>_xlfn.IFNA(VLOOKUP($AI26,Programma!$F$3:$T$1107,15,0),"")</f>
        <v>_</v>
      </c>
      <c r="AX26" s="363" t="str">
        <f>_xlfn.IFNA(VLOOKUP($AI26,Programma!$F$3:$U$1107,16,0),"")</f>
        <v>_</v>
      </c>
      <c r="AY26" s="363" t="str">
        <f>_xlfn.IFNA(VLOOKUP($AI26,Programma!$F$3:$V$1107,17,0),"")</f>
        <v>_</v>
      </c>
      <c r="AZ26" s="363" t="str">
        <f>_xlfn.IFNA(VLOOKUP($AI26,Programma!$F$3:$W$1107,18,0),"")</f>
        <v>4w</v>
      </c>
      <c r="BA26" s="363" t="str">
        <f>_xlfn.IFNA(VLOOKUP($AI26,Programma!$F$3:$X$1107,19,0),"")</f>
        <v>1w</v>
      </c>
      <c r="BB26" s="363" t="str">
        <f>_xlfn.IFNA(VLOOKUP($AI26,Programma!$F$3:$Y$1107,20,0),"")</f>
        <v>_</v>
      </c>
      <c r="BC26" s="257"/>
      <c r="BD26" s="256" t="str">
        <f>IF(Ruimtestaat[[#This Row],[Frequentie weekend]]="","",_xlfn.CONCAT(Ruimtestaat[[#This Row],[Ruimte code]],"-",Ruimtestaat[[#This Row],[Frequentie weekend]]," ",Ruimtestaat[[#This Row],[Vloer code]]))</f>
        <v/>
      </c>
      <c r="BE26" s="363" t="str">
        <f>_xlfn.IFNA(VLOOKUP($BD26,Programma!$F$3:$G$1107,2,0),"")</f>
        <v/>
      </c>
      <c r="BF26" s="363" t="str">
        <f>_xlfn.IFNA(VLOOKUP($BD26,Programma!$F$3:$H$1107,3,0),"")</f>
        <v/>
      </c>
      <c r="BG26" s="363" t="str">
        <f>_xlfn.IFNA(VLOOKUP($BD26,Programma!$F$3:$I$1107,4,0),"")</f>
        <v/>
      </c>
      <c r="BH26" s="363" t="str">
        <f>_xlfn.IFNA(VLOOKUP($BD26,Programma!$F$3:$J$1107,5,0),"")</f>
        <v/>
      </c>
      <c r="BI26" s="363" t="str">
        <f>_xlfn.IFNA(VLOOKUP($BD26,Programma!$F$3:$K$1107,6,0),"")</f>
        <v/>
      </c>
      <c r="BJ26" s="363" t="str">
        <f>_xlfn.IFNA(VLOOKUP($BD26,Programma!$F$3:$L$1107,7,0),"")</f>
        <v/>
      </c>
      <c r="BK26" s="363" t="str">
        <f>_xlfn.IFNA(VLOOKUP($BD26,Programma!$F$3:$M$1107,8,0),"")</f>
        <v/>
      </c>
      <c r="BL26" s="363" t="str">
        <f>_xlfn.IFNA(VLOOKUP($BD26,Programma!$F$3:$N$1107,9,0),"")</f>
        <v/>
      </c>
      <c r="BM26" s="363" t="str">
        <f>_xlfn.IFNA(VLOOKUP($BD26,Programma!$F$3:$O$1107,10,0),"")</f>
        <v/>
      </c>
      <c r="BN26" s="363" t="str">
        <f>_xlfn.IFNA(VLOOKUP($BD26,Programma!$F$3:$P$1107,11,0),"")</f>
        <v/>
      </c>
      <c r="BO26" s="363" t="str">
        <f>_xlfn.IFNA(VLOOKUP($BD26,Programma!$F$3:$Q$1107,12,0),"")</f>
        <v/>
      </c>
      <c r="BP26" s="363" t="str">
        <f>_xlfn.IFNA(VLOOKUP($BD26,Programma!$F$3:$R$1107,13,0),"")</f>
        <v/>
      </c>
      <c r="BQ26" s="363" t="str">
        <f>_xlfn.IFNA(VLOOKUP($BD26,Programma!$F$3:$S$1107,14,0),"")</f>
        <v/>
      </c>
      <c r="BR26" s="363" t="str">
        <f>_xlfn.IFNA(VLOOKUP($BD26,Programma!$F$3:$T$1107,15,0),"")</f>
        <v/>
      </c>
      <c r="BS26" s="363" t="str">
        <f>_xlfn.IFNA(VLOOKUP($BD26,Programma!$F$3:$U$1107,16,0),"")</f>
        <v/>
      </c>
      <c r="BT26" s="363" t="str">
        <f>_xlfn.IFNA(VLOOKUP($BD26,Programma!$F$3:$V$1107,17,0),"")</f>
        <v/>
      </c>
      <c r="BU26" s="363" t="str">
        <f>_xlfn.IFNA(VLOOKUP($BD26,Programma!$F$3:$W$1107,18,0),"")</f>
        <v/>
      </c>
      <c r="BV26" s="363" t="str">
        <f>_xlfn.IFNA(VLOOKUP($BD26,Programma!$F$3:$X$1107,19,0),"")</f>
        <v/>
      </c>
      <c r="BW26" s="363" t="str">
        <f>_xlfn.IFNA(VLOOKUP($BD26,Programma!$F$3:$Y$1107,20,0),"")</f>
        <v/>
      </c>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row>
    <row r="27" spans="1:220" ht="15" customHeight="1">
      <c r="A27" s="33">
        <v>2</v>
      </c>
      <c r="B27" s="157" t="str">
        <f>VLOOKUP(Ruimtestaat[[#This Row],[Code]],Locaties[[Code]:[Locatie]],2,FALSE)</f>
        <v>'s Gravendreef College</v>
      </c>
      <c r="C27" s="157" t="str">
        <f>VLOOKUP(Ruimtestaat[[#This Row],[Code]],Locaties[[#All],[Code]:[Adres]],4,FALSE)</f>
        <v>Klaas Voskuildreef 135</v>
      </c>
      <c r="D27" s="157" t="str">
        <f>VLOOKUP(Ruimtestaat[[#This Row],[Code]],Locaties[[#All],[Code]:[Postcode]],5,FALSE)</f>
        <v>2492 JJ</v>
      </c>
      <c r="E27" s="157" t="str">
        <f>VLOOKUP(Ruimtestaat[[#This Row],[Code]],Locaties[#All],6,FALSE)</f>
        <v>Den Haag</v>
      </c>
      <c r="F27" s="33"/>
      <c r="G27" s="33" t="s">
        <v>1632</v>
      </c>
      <c r="H27" s="366">
        <v>23</v>
      </c>
      <c r="I27" s="367" t="s">
        <v>1650</v>
      </c>
      <c r="J27" s="21">
        <v>14</v>
      </c>
      <c r="K27" s="62" t="str">
        <f>VLOOKUP(Ruimtestaat[[#This Row],[Ruimte code]],Ruimtegroepen[[#All],[Code]:[Ruimte omschrijving]],2,FALSE)</f>
        <v>Praktijklokalen binas/zorg</v>
      </c>
      <c r="L27" s="33" t="s">
        <v>103</v>
      </c>
      <c r="M27" s="367" t="s">
        <v>2497</v>
      </c>
      <c r="N27" s="140">
        <v>218</v>
      </c>
      <c r="O27" s="140"/>
      <c r="P27" s="125" t="str">
        <f>VLOOKUP(Ruimtestaat[[#This Row],[Ruimte code]],Ruimtegroepen[],4,FALSE)</f>
        <v>Le</v>
      </c>
      <c r="R27" s="33">
        <v>40</v>
      </c>
      <c r="S27" s="33" t="s">
        <v>2</v>
      </c>
      <c r="T27" s="33">
        <f>IF(R27&gt;0,IF(RIGHT(Ruimtestaat[[#This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 s="33">
        <f>IF(T27&gt;0,VLOOKUP($J27,Ruimtegroepen[],3,FALSE)*VLOOKUP($L27,Vloersoorten[],3,FALSE)*VLOOKUP($S27,Frequenties[],3,FALSE)*VLOOKUP($A27,Locaties[],3,FALSE),0)</f>
        <v>0</v>
      </c>
      <c r="V27" s="33">
        <f>Ruimtestaat[[#This Row],[Uitvoeringen werkdagen]]*Ruimtestaat[[#This Row],[Oppervlak (netto)]]</f>
        <v>43600</v>
      </c>
      <c r="W27" s="154">
        <f>IF(U27&gt;0,Ruimtestaat[[#This Row],[Prest. (m2 /jaar) werkdagen]]/Ruimtestaat[[#This Row],[Norm (m2/uur) werkdagen]],0)</f>
        <v>0</v>
      </c>
      <c r="X27" s="155">
        <f>Ruimtestaat[[#This Row],[uren / jaar werkdagen]]*Tariefsopbouw!$E$35</f>
        <v>0</v>
      </c>
      <c r="Y27" s="33"/>
      <c r="Z27" s="33">
        <f>IF(Ruimtestaat[[#This Row],[Frequentie weekend]]&gt;0,VALUE(LEFT(Y27,1))*R27,0)</f>
        <v>0</v>
      </c>
      <c r="AA27" s="97">
        <f>IF($Z27&gt;0,VLOOKUP($J27,Ruimtegroepen[],3,FALSE)*VLOOKUP($L27,Vloersoorten[],3,FALSE)*VLOOKUP($Y27,Frequenties[],3,FALSE)*VLOOKUP(Ruimtestaat[[#This Row],[Code]],Locaties[],3,FALSE),0)</f>
        <v>0</v>
      </c>
      <c r="AB27" s="97">
        <f>Ruimtestaat[[#This Row],[Uitvoeringen weekend]]*Ruimtestaat[[#This Row],[Oppervlak (netto)]]</f>
        <v>0</v>
      </c>
      <c r="AC27" s="97">
        <f>IF(AA27&gt;0,Ruimtestaat[[#This Row],[Prest. (m2 /jaar) weekend]]/Ruimtestaat[[#This Row],[Norm (m2/uur) weekend]],0)</f>
        <v>0</v>
      </c>
      <c r="AD27" s="155">
        <f>Ruimtestaat[[#This Row],[uren / jaar weekend]]*Tariefsopbouw!$D$40</f>
        <v>0</v>
      </c>
      <c r="AE27" s="154">
        <f>Ruimtestaat[[#This Row],[Prest. (m2 /jaar) weekend]]+Ruimtestaat[[#This Row],[Prest. (m2 /jaar) werkdagen]]</f>
        <v>43600</v>
      </c>
      <c r="AF27" s="154">
        <f>Ruimtestaat[[#This Row],[uren / jaar weekend]]+Ruimtestaat[[#This Row],[uren / jaar werkdagen]]</f>
        <v>0</v>
      </c>
      <c r="AG27" s="69">
        <f>Ruimtestaat[[#This Row],[kosten / jaar weekend]]+Ruimtestaat[[#This Row],[kosten / jaar werkdagen]]</f>
        <v>0</v>
      </c>
      <c r="AH27" s="69"/>
      <c r="AI27" s="256" t="str">
        <f>IF(Ruimtestaat[[#This Row],[Frequentie werkdagen]]="","",_xlfn.CONCAT(Ruimtestaat[[#This Row],[Ruimte code]],"-",Ruimtestaat[[#This Row],[Frequentie werkdagen]]," ",Ruimtestaat[[#This Row],[Vloer code]]))</f>
        <v>14-5w P</v>
      </c>
      <c r="AJ27" s="363" t="str">
        <f>_xlfn.IFNA(VLOOKUP($AI27,Programma!$F$3:$G$1107,2,0),"")</f>
        <v>_</v>
      </c>
      <c r="AK27" s="363" t="str">
        <f>_xlfn.IFNA(VLOOKUP($AI27,Programma!$F$3:$H$1107,3,0),"")</f>
        <v>_</v>
      </c>
      <c r="AL27" s="363" t="str">
        <f>_xlfn.IFNA(VLOOKUP($AI27,Programma!$F$3:$I$1107,4,0),"")</f>
        <v>5w</v>
      </c>
      <c r="AM27" s="363" t="str">
        <f>_xlfn.IFNA(VLOOKUP($AI27,Programma!$F$3:$J$1107,5,0),"")</f>
        <v>_</v>
      </c>
      <c r="AN27" s="363" t="str">
        <f>_xlfn.IFNA(VLOOKUP($AI27,Programma!$F$3:$K$1107,6,0),"")</f>
        <v>5w</v>
      </c>
      <c r="AO27" s="363" t="str">
        <f>_xlfn.IFNA(VLOOKUP($AI27,Programma!$F$3:$L$1107,7,0),"")</f>
        <v>_</v>
      </c>
      <c r="AP27" s="363" t="str">
        <f>_xlfn.IFNA(VLOOKUP($AI27,Programma!$F$3:$M$1107,8,0),"")</f>
        <v>_</v>
      </c>
      <c r="AQ27" s="363" t="str">
        <f>_xlfn.IFNA(VLOOKUP($AI27,Programma!$F$3:$N$1107,9,0),"")</f>
        <v>_</v>
      </c>
      <c r="AR27" s="363" t="str">
        <f>_xlfn.IFNA(VLOOKUP($AI27,Programma!$F$3:$O$1107,10,0),"")</f>
        <v>5w</v>
      </c>
      <c r="AS27" s="363" t="str">
        <f>_xlfn.IFNA(VLOOKUP($AI27,Programma!$F$3:$P$1107,11,0),"")</f>
        <v>5w</v>
      </c>
      <c r="AT27" s="363" t="str">
        <f>_xlfn.IFNA(VLOOKUP($AI27,Programma!$F$3:$Q$1107,12,0),"")</f>
        <v>1w</v>
      </c>
      <c r="AU27" s="363" t="str">
        <f>_xlfn.IFNA(VLOOKUP($AI27,Programma!$F$3:$R$1107,13,0),"")</f>
        <v>1w</v>
      </c>
      <c r="AV27" s="363" t="str">
        <f>_xlfn.IFNA(VLOOKUP($AI27,Programma!$F$3:$S$1107,14,0),"")</f>
        <v>1m</v>
      </c>
      <c r="AW27" s="363" t="str">
        <f>_xlfn.IFNA(VLOOKUP($AI27,Programma!$F$3:$T$1107,15,0),"")</f>
        <v>2j</v>
      </c>
      <c r="AX27" s="363" t="str">
        <f>_xlfn.IFNA(VLOOKUP($AI27,Programma!$F$3:$U$1107,16,0),"")</f>
        <v>1j</v>
      </c>
      <c r="AY27" s="363" t="str">
        <f>_xlfn.IFNA(VLOOKUP($AI27,Programma!$F$3:$V$1107,17,0),"")</f>
        <v>_</v>
      </c>
      <c r="AZ27" s="363" t="str">
        <f>_xlfn.IFNA(VLOOKUP($AI27,Programma!$F$3:$W$1107,18,0),"")</f>
        <v>_</v>
      </c>
      <c r="BA27" s="363" t="str">
        <f>_xlfn.IFNA(VLOOKUP($AI27,Programma!$F$3:$X$1107,19,0),"")</f>
        <v>_</v>
      </c>
      <c r="BB27" s="363" t="str">
        <f>_xlfn.IFNA(VLOOKUP($AI27,Programma!$F$3:$Y$1107,20,0),"")</f>
        <v>_</v>
      </c>
      <c r="BC27" s="257"/>
      <c r="BD27" s="256" t="str">
        <f>IF(Ruimtestaat[[#This Row],[Frequentie weekend]]="","",_xlfn.CONCAT(Ruimtestaat[[#This Row],[Ruimte code]],"-",Ruimtestaat[[#This Row],[Frequentie weekend]]," ",Ruimtestaat[[#This Row],[Vloer code]]))</f>
        <v/>
      </c>
      <c r="BE27" s="363" t="str">
        <f>_xlfn.IFNA(VLOOKUP($BD27,Programma!$F$3:$G$1107,2,0),"")</f>
        <v/>
      </c>
      <c r="BF27" s="363" t="str">
        <f>_xlfn.IFNA(VLOOKUP($BD27,Programma!$F$3:$H$1107,3,0),"")</f>
        <v/>
      </c>
      <c r="BG27" s="363" t="str">
        <f>_xlfn.IFNA(VLOOKUP($BD27,Programma!$F$3:$I$1107,4,0),"")</f>
        <v/>
      </c>
      <c r="BH27" s="363" t="str">
        <f>_xlfn.IFNA(VLOOKUP($BD27,Programma!$F$3:$J$1107,5,0),"")</f>
        <v/>
      </c>
      <c r="BI27" s="363" t="str">
        <f>_xlfn.IFNA(VLOOKUP($BD27,Programma!$F$3:$K$1107,6,0),"")</f>
        <v/>
      </c>
      <c r="BJ27" s="363" t="str">
        <f>_xlfn.IFNA(VLOOKUP($BD27,Programma!$F$3:$L$1107,7,0),"")</f>
        <v/>
      </c>
      <c r="BK27" s="363" t="str">
        <f>_xlfn.IFNA(VLOOKUP($BD27,Programma!$F$3:$M$1107,8,0),"")</f>
        <v/>
      </c>
      <c r="BL27" s="363" t="str">
        <f>_xlfn.IFNA(VLOOKUP($BD27,Programma!$F$3:$N$1107,9,0),"")</f>
        <v/>
      </c>
      <c r="BM27" s="363" t="str">
        <f>_xlfn.IFNA(VLOOKUP($BD27,Programma!$F$3:$O$1107,10,0),"")</f>
        <v/>
      </c>
      <c r="BN27" s="363" t="str">
        <f>_xlfn.IFNA(VLOOKUP($BD27,Programma!$F$3:$P$1107,11,0),"")</f>
        <v/>
      </c>
      <c r="BO27" s="363" t="str">
        <f>_xlfn.IFNA(VLOOKUP($BD27,Programma!$F$3:$Q$1107,12,0),"")</f>
        <v/>
      </c>
      <c r="BP27" s="363" t="str">
        <f>_xlfn.IFNA(VLOOKUP($BD27,Programma!$F$3:$R$1107,13,0),"")</f>
        <v/>
      </c>
      <c r="BQ27" s="363" t="str">
        <f>_xlfn.IFNA(VLOOKUP($BD27,Programma!$F$3:$S$1107,14,0),"")</f>
        <v/>
      </c>
      <c r="BR27" s="363" t="str">
        <f>_xlfn.IFNA(VLOOKUP($BD27,Programma!$F$3:$T$1107,15,0),"")</f>
        <v/>
      </c>
      <c r="BS27" s="363" t="str">
        <f>_xlfn.IFNA(VLOOKUP($BD27,Programma!$F$3:$U$1107,16,0),"")</f>
        <v/>
      </c>
      <c r="BT27" s="363" t="str">
        <f>_xlfn.IFNA(VLOOKUP($BD27,Programma!$F$3:$V$1107,17,0),"")</f>
        <v/>
      </c>
      <c r="BU27" s="363" t="str">
        <f>_xlfn.IFNA(VLOOKUP($BD27,Programma!$F$3:$W$1107,18,0),"")</f>
        <v/>
      </c>
      <c r="BV27" s="363" t="str">
        <f>_xlfn.IFNA(VLOOKUP($BD27,Programma!$F$3:$X$1107,19,0),"")</f>
        <v/>
      </c>
      <c r="BW27" s="363" t="str">
        <f>_xlfn.IFNA(VLOOKUP($BD27,Programma!$F$3:$Y$1107,20,0),"")</f>
        <v/>
      </c>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row>
    <row r="28" spans="1:220" ht="15" customHeight="1">
      <c r="A28" s="33">
        <v>2</v>
      </c>
      <c r="B28" s="157" t="str">
        <f>VLOOKUP(Ruimtestaat[[#This Row],[Code]],Locaties[[Code]:[Locatie]],2,FALSE)</f>
        <v>'s Gravendreef College</v>
      </c>
      <c r="C28" s="157" t="str">
        <f>VLOOKUP(Ruimtestaat[[#This Row],[Code]],Locaties[[#All],[Code]:[Adres]],4,FALSE)</f>
        <v>Klaas Voskuildreef 135</v>
      </c>
      <c r="D28" s="157" t="str">
        <f>VLOOKUP(Ruimtestaat[[#This Row],[Code]],Locaties[[#All],[Code]:[Postcode]],5,FALSE)</f>
        <v>2492 JJ</v>
      </c>
      <c r="E28" s="157" t="str">
        <f>VLOOKUP(Ruimtestaat[[#This Row],[Code]],Locaties[#All],6,FALSE)</f>
        <v>Den Haag</v>
      </c>
      <c r="F28" s="33"/>
      <c r="G28" s="33" t="s">
        <v>1632</v>
      </c>
      <c r="H28" s="366">
        <v>24</v>
      </c>
      <c r="I28" s="367" t="s">
        <v>1644</v>
      </c>
      <c r="J28" s="21">
        <v>20</v>
      </c>
      <c r="K28" s="62" t="str">
        <f>VLOOKUP(Ruimtestaat[[#This Row],[Ruimte code]],Ruimtegroepen[[#All],[Code]:[Ruimte omschrijving]],2,FALSE)</f>
        <v>Niet in Onderhoud</v>
      </c>
      <c r="L28" s="33" t="s">
        <v>101</v>
      </c>
      <c r="M28" s="367" t="s">
        <v>2495</v>
      </c>
      <c r="N28" s="140"/>
      <c r="O28" s="140">
        <v>8</v>
      </c>
      <c r="P28" s="125">
        <f>VLOOKUP(Ruimtestaat[[#This Row],[Ruimte code]],Ruimtegroepen[],4,FALSE)</f>
        <v>0</v>
      </c>
      <c r="Q28" s="125" t="s">
        <v>2532</v>
      </c>
      <c r="R28" s="33"/>
      <c r="S28" s="33"/>
      <c r="T28" s="33">
        <f>IF(R28&gt;0,IF(RIGHT(Ruimtestaat[[#This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8" s="33">
        <f>IF(T28&gt;0,VLOOKUP($J28,Ruimtegroepen[],3,FALSE)*VLOOKUP($L28,Vloersoorten[],3,FALSE)*VLOOKUP($S28,Frequenties[],3,FALSE)*VLOOKUP($A28,Locaties[],3,FALSE),0)</f>
        <v>0</v>
      </c>
      <c r="V28" s="33">
        <f>Ruimtestaat[[#This Row],[Uitvoeringen werkdagen]]*Ruimtestaat[[#This Row],[Oppervlak (netto)]]</f>
        <v>0</v>
      </c>
      <c r="W28" s="154">
        <f>IF(U28&gt;0,Ruimtestaat[[#This Row],[Prest. (m2 /jaar) werkdagen]]/Ruimtestaat[[#This Row],[Norm (m2/uur) werkdagen]],0)</f>
        <v>0</v>
      </c>
      <c r="X28" s="155">
        <f>Ruimtestaat[[#This Row],[uren / jaar werkdagen]]*Tariefsopbouw!$E$35</f>
        <v>0</v>
      </c>
      <c r="Y28" s="33"/>
      <c r="Z28" s="33">
        <f>IF(Ruimtestaat[[#This Row],[Frequentie weekend]]&gt;0,VALUE(LEFT(Y28,1))*R28,0)</f>
        <v>0</v>
      </c>
      <c r="AA28" s="97">
        <f>IF($Z28&gt;0,VLOOKUP($J28,Ruimtegroepen[],3,FALSE)*VLOOKUP($L28,Vloersoorten[],3,FALSE)*VLOOKUP($Y28,Frequenties[],3,FALSE)*VLOOKUP(Ruimtestaat[[#This Row],[Code]],Locaties[],3,FALSE),0)</f>
        <v>0</v>
      </c>
      <c r="AB28" s="97">
        <f>Ruimtestaat[[#This Row],[Uitvoeringen weekend]]*Ruimtestaat[[#This Row],[Oppervlak (netto)]]</f>
        <v>0</v>
      </c>
      <c r="AC28" s="97">
        <f>IF(AA28&gt;0,Ruimtestaat[[#This Row],[Prest. (m2 /jaar) weekend]]/Ruimtestaat[[#This Row],[Norm (m2/uur) weekend]],0)</f>
        <v>0</v>
      </c>
      <c r="AD28" s="155">
        <f>Ruimtestaat[[#This Row],[uren / jaar weekend]]*Tariefsopbouw!$D$40</f>
        <v>0</v>
      </c>
      <c r="AE28" s="154">
        <f>Ruimtestaat[[#This Row],[Prest. (m2 /jaar) weekend]]+Ruimtestaat[[#This Row],[Prest. (m2 /jaar) werkdagen]]</f>
        <v>0</v>
      </c>
      <c r="AF28" s="154">
        <f>Ruimtestaat[[#This Row],[uren / jaar weekend]]+Ruimtestaat[[#This Row],[uren / jaar werkdagen]]</f>
        <v>0</v>
      </c>
      <c r="AG28" s="69">
        <f>Ruimtestaat[[#This Row],[kosten / jaar weekend]]+Ruimtestaat[[#This Row],[kosten / jaar werkdagen]]</f>
        <v>0</v>
      </c>
      <c r="AH28" s="69"/>
      <c r="AI28" s="256" t="str">
        <f>IF(Ruimtestaat[[#This Row],[Frequentie werkdagen]]="","",_xlfn.CONCAT(Ruimtestaat[[#This Row],[Ruimte code]],"-",Ruimtestaat[[#This Row],[Frequentie werkdagen]]," ",Ruimtestaat[[#This Row],[Vloer code]]))</f>
        <v/>
      </c>
      <c r="AJ28" s="363" t="str">
        <f>_xlfn.IFNA(VLOOKUP($AI28,Programma!$F$3:$G$1107,2,0),"")</f>
        <v/>
      </c>
      <c r="AK28" s="363" t="str">
        <f>_xlfn.IFNA(VLOOKUP($AI28,Programma!$F$3:$H$1107,3,0),"")</f>
        <v/>
      </c>
      <c r="AL28" s="363" t="str">
        <f>_xlfn.IFNA(VLOOKUP($AI28,Programma!$F$3:$I$1107,4,0),"")</f>
        <v/>
      </c>
      <c r="AM28" s="363" t="str">
        <f>_xlfn.IFNA(VLOOKUP($AI28,Programma!$F$3:$J$1107,5,0),"")</f>
        <v/>
      </c>
      <c r="AN28" s="363" t="str">
        <f>_xlfn.IFNA(VLOOKUP($AI28,Programma!$F$3:$K$1107,6,0),"")</f>
        <v/>
      </c>
      <c r="AO28" s="363" t="str">
        <f>_xlfn.IFNA(VLOOKUP($AI28,Programma!$F$3:$L$1107,7,0),"")</f>
        <v/>
      </c>
      <c r="AP28" s="363" t="str">
        <f>_xlfn.IFNA(VLOOKUP($AI28,Programma!$F$3:$M$1107,8,0),"")</f>
        <v/>
      </c>
      <c r="AQ28" s="363" t="str">
        <f>_xlfn.IFNA(VLOOKUP($AI28,Programma!$F$3:$N$1107,9,0),"")</f>
        <v/>
      </c>
      <c r="AR28" s="363" t="str">
        <f>_xlfn.IFNA(VLOOKUP($AI28,Programma!$F$3:$O$1107,10,0),"")</f>
        <v/>
      </c>
      <c r="AS28" s="363" t="str">
        <f>_xlfn.IFNA(VLOOKUP($AI28,Programma!$F$3:$P$1107,11,0),"")</f>
        <v/>
      </c>
      <c r="AT28" s="363" t="str">
        <f>_xlfn.IFNA(VLOOKUP($AI28,Programma!$F$3:$Q$1107,12,0),"")</f>
        <v/>
      </c>
      <c r="AU28" s="363" t="str">
        <f>_xlfn.IFNA(VLOOKUP($AI28,Programma!$F$3:$R$1107,13,0),"")</f>
        <v/>
      </c>
      <c r="AV28" s="363" t="str">
        <f>_xlfn.IFNA(VLOOKUP($AI28,Programma!$F$3:$S$1107,14,0),"")</f>
        <v/>
      </c>
      <c r="AW28" s="363" t="str">
        <f>_xlfn.IFNA(VLOOKUP($AI28,Programma!$F$3:$T$1107,15,0),"")</f>
        <v/>
      </c>
      <c r="AX28" s="363" t="str">
        <f>_xlfn.IFNA(VLOOKUP($AI28,Programma!$F$3:$U$1107,16,0),"")</f>
        <v/>
      </c>
      <c r="AY28" s="363" t="str">
        <f>_xlfn.IFNA(VLOOKUP($AI28,Programma!$F$3:$V$1107,17,0),"")</f>
        <v/>
      </c>
      <c r="AZ28" s="363" t="str">
        <f>_xlfn.IFNA(VLOOKUP($AI28,Programma!$F$3:$W$1107,18,0),"")</f>
        <v/>
      </c>
      <c r="BA28" s="363" t="str">
        <f>_xlfn.IFNA(VLOOKUP($AI28,Programma!$F$3:$X$1107,19,0),"")</f>
        <v/>
      </c>
      <c r="BB28" s="363" t="str">
        <f>_xlfn.IFNA(VLOOKUP($AI28,Programma!$F$3:$Y$1107,20,0),"")</f>
        <v/>
      </c>
      <c r="BC28" s="257"/>
      <c r="BD28" s="256" t="str">
        <f>IF(Ruimtestaat[[#This Row],[Frequentie weekend]]="","",_xlfn.CONCAT(Ruimtestaat[[#This Row],[Ruimte code]],"-",Ruimtestaat[[#This Row],[Frequentie weekend]]," ",Ruimtestaat[[#This Row],[Vloer code]]))</f>
        <v/>
      </c>
      <c r="BE28" s="363" t="str">
        <f>_xlfn.IFNA(VLOOKUP($BD28,Programma!$F$3:$G$1107,2,0),"")</f>
        <v/>
      </c>
      <c r="BF28" s="363" t="str">
        <f>_xlfn.IFNA(VLOOKUP($BD28,Programma!$F$3:$H$1107,3,0),"")</f>
        <v/>
      </c>
      <c r="BG28" s="363" t="str">
        <f>_xlfn.IFNA(VLOOKUP($BD28,Programma!$F$3:$I$1107,4,0),"")</f>
        <v/>
      </c>
      <c r="BH28" s="363" t="str">
        <f>_xlfn.IFNA(VLOOKUP($BD28,Programma!$F$3:$J$1107,5,0),"")</f>
        <v/>
      </c>
      <c r="BI28" s="363" t="str">
        <f>_xlfn.IFNA(VLOOKUP($BD28,Programma!$F$3:$K$1107,6,0),"")</f>
        <v/>
      </c>
      <c r="BJ28" s="363" t="str">
        <f>_xlfn.IFNA(VLOOKUP($BD28,Programma!$F$3:$L$1107,7,0),"")</f>
        <v/>
      </c>
      <c r="BK28" s="363" t="str">
        <f>_xlfn.IFNA(VLOOKUP($BD28,Programma!$F$3:$M$1107,8,0),"")</f>
        <v/>
      </c>
      <c r="BL28" s="363" t="str">
        <f>_xlfn.IFNA(VLOOKUP($BD28,Programma!$F$3:$N$1107,9,0),"")</f>
        <v/>
      </c>
      <c r="BM28" s="363" t="str">
        <f>_xlfn.IFNA(VLOOKUP($BD28,Programma!$F$3:$O$1107,10,0),"")</f>
        <v/>
      </c>
      <c r="BN28" s="363" t="str">
        <f>_xlfn.IFNA(VLOOKUP($BD28,Programma!$F$3:$P$1107,11,0),"")</f>
        <v/>
      </c>
      <c r="BO28" s="363" t="str">
        <f>_xlfn.IFNA(VLOOKUP($BD28,Programma!$F$3:$Q$1107,12,0),"")</f>
        <v/>
      </c>
      <c r="BP28" s="363" t="str">
        <f>_xlfn.IFNA(VLOOKUP($BD28,Programma!$F$3:$R$1107,13,0),"")</f>
        <v/>
      </c>
      <c r="BQ28" s="363" t="str">
        <f>_xlfn.IFNA(VLOOKUP($BD28,Programma!$F$3:$S$1107,14,0),"")</f>
        <v/>
      </c>
      <c r="BR28" s="363" t="str">
        <f>_xlfn.IFNA(VLOOKUP($BD28,Programma!$F$3:$T$1107,15,0),"")</f>
        <v/>
      </c>
      <c r="BS28" s="363" t="str">
        <f>_xlfn.IFNA(VLOOKUP($BD28,Programma!$F$3:$U$1107,16,0),"")</f>
        <v/>
      </c>
      <c r="BT28" s="363" t="str">
        <f>_xlfn.IFNA(VLOOKUP($BD28,Programma!$F$3:$V$1107,17,0),"")</f>
        <v/>
      </c>
      <c r="BU28" s="363" t="str">
        <f>_xlfn.IFNA(VLOOKUP($BD28,Programma!$F$3:$W$1107,18,0),"")</f>
        <v/>
      </c>
      <c r="BV28" s="363" t="str">
        <f>_xlfn.IFNA(VLOOKUP($BD28,Programma!$F$3:$X$1107,19,0),"")</f>
        <v/>
      </c>
      <c r="BW28" s="363" t="str">
        <f>_xlfn.IFNA(VLOOKUP($BD28,Programma!$F$3:$Y$1107,20,0),"")</f>
        <v/>
      </c>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row>
    <row r="29" spans="1:220" ht="14.25" customHeight="1">
      <c r="A29" s="33">
        <v>2</v>
      </c>
      <c r="B29" s="157" t="str">
        <f>VLOOKUP(Ruimtestaat[[#This Row],[Code]],Locaties[[Code]:[Locatie]],2,FALSE)</f>
        <v>'s Gravendreef College</v>
      </c>
      <c r="C29" s="157" t="str">
        <f>VLOOKUP(Ruimtestaat[[#This Row],[Code]],Locaties[[#All],[Code]:[Adres]],4,FALSE)</f>
        <v>Klaas Voskuildreef 135</v>
      </c>
      <c r="D29" s="157" t="str">
        <f>VLOOKUP(Ruimtestaat[[#This Row],[Code]],Locaties[[#All],[Code]:[Postcode]],5,FALSE)</f>
        <v>2492 JJ</v>
      </c>
      <c r="E29" s="157" t="str">
        <f>VLOOKUP(Ruimtestaat[[#This Row],[Code]],Locaties[#All],6,FALSE)</f>
        <v>Den Haag</v>
      </c>
      <c r="F29" s="33"/>
      <c r="G29" s="33" t="s">
        <v>1632</v>
      </c>
      <c r="H29" s="366">
        <v>25</v>
      </c>
      <c r="I29" s="367" t="s">
        <v>1644</v>
      </c>
      <c r="J29" s="21">
        <v>20</v>
      </c>
      <c r="K29" s="62" t="str">
        <f>VLOOKUP(Ruimtestaat[[#This Row],[Ruimte code]],Ruimtegroepen[[#All],[Code]:[Ruimte omschrijving]],2,FALSE)</f>
        <v>Niet in Onderhoud</v>
      </c>
      <c r="L29" s="33" t="s">
        <v>101</v>
      </c>
      <c r="M29" s="367" t="s">
        <v>2495</v>
      </c>
      <c r="N29" s="140"/>
      <c r="O29" s="140">
        <v>8</v>
      </c>
      <c r="P29" s="125">
        <f>VLOOKUP(Ruimtestaat[[#This Row],[Ruimte code]],Ruimtegroepen[],4,FALSE)</f>
        <v>0</v>
      </c>
      <c r="Q29" s="125" t="s">
        <v>2532</v>
      </c>
      <c r="R29" s="33"/>
      <c r="S29" s="33"/>
      <c r="T29" s="33">
        <f>IF(R29&gt;0,IF(RIGHT(Ruimtestaat[[#This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9" s="33">
        <f>IF(T29&gt;0,VLOOKUP($J29,Ruimtegroepen[],3,FALSE)*VLOOKUP($L29,Vloersoorten[],3,FALSE)*VLOOKUP($S29,Frequenties[],3,FALSE)*VLOOKUP($A29,Locaties[],3,FALSE),0)</f>
        <v>0</v>
      </c>
      <c r="V29" s="33">
        <f>Ruimtestaat[[#This Row],[Uitvoeringen werkdagen]]*Ruimtestaat[[#This Row],[Oppervlak (netto)]]</f>
        <v>0</v>
      </c>
      <c r="W29" s="154">
        <f>IF(U29&gt;0,Ruimtestaat[[#This Row],[Prest. (m2 /jaar) werkdagen]]/Ruimtestaat[[#This Row],[Norm (m2/uur) werkdagen]],0)</f>
        <v>0</v>
      </c>
      <c r="X29" s="155">
        <f>Ruimtestaat[[#This Row],[uren / jaar werkdagen]]*Tariefsopbouw!$E$35</f>
        <v>0</v>
      </c>
      <c r="Y29" s="33"/>
      <c r="Z29" s="33">
        <f>IF(Ruimtestaat[[#This Row],[Frequentie weekend]]&gt;0,VALUE(LEFT(Y29,1))*R29,0)</f>
        <v>0</v>
      </c>
      <c r="AA29" s="97">
        <f>IF($Z29&gt;0,VLOOKUP($J29,Ruimtegroepen[],3,FALSE)*VLOOKUP($L29,Vloersoorten[],3,FALSE)*VLOOKUP($Y29,Frequenties[],3,FALSE)*VLOOKUP(Ruimtestaat[[#This Row],[Code]],Locaties[],3,FALSE),0)</f>
        <v>0</v>
      </c>
      <c r="AB29" s="97">
        <f>Ruimtestaat[[#This Row],[Uitvoeringen weekend]]*Ruimtestaat[[#This Row],[Oppervlak (netto)]]</f>
        <v>0</v>
      </c>
      <c r="AC29" s="97">
        <f>IF(AA29&gt;0,Ruimtestaat[[#This Row],[Prest. (m2 /jaar) weekend]]/Ruimtestaat[[#This Row],[Norm (m2/uur) weekend]],0)</f>
        <v>0</v>
      </c>
      <c r="AD29" s="155">
        <f>Ruimtestaat[[#This Row],[uren / jaar weekend]]*Tariefsopbouw!$D$40</f>
        <v>0</v>
      </c>
      <c r="AE29" s="154">
        <f>Ruimtestaat[[#This Row],[Prest. (m2 /jaar) weekend]]+Ruimtestaat[[#This Row],[Prest. (m2 /jaar) werkdagen]]</f>
        <v>0</v>
      </c>
      <c r="AF29" s="154">
        <f>Ruimtestaat[[#This Row],[uren / jaar weekend]]+Ruimtestaat[[#This Row],[uren / jaar werkdagen]]</f>
        <v>0</v>
      </c>
      <c r="AG29" s="69">
        <f>Ruimtestaat[[#This Row],[kosten / jaar weekend]]+Ruimtestaat[[#This Row],[kosten / jaar werkdagen]]</f>
        <v>0</v>
      </c>
      <c r="AH29" s="69"/>
      <c r="AI29" s="256" t="str">
        <f>IF(Ruimtestaat[[#This Row],[Frequentie werkdagen]]="","",_xlfn.CONCAT(Ruimtestaat[[#This Row],[Ruimte code]],"-",Ruimtestaat[[#This Row],[Frequentie werkdagen]]," ",Ruimtestaat[[#This Row],[Vloer code]]))</f>
        <v/>
      </c>
      <c r="AJ29" s="363" t="str">
        <f>_xlfn.IFNA(VLOOKUP($AI29,Programma!$F$3:$G$1107,2,0),"")</f>
        <v/>
      </c>
      <c r="AK29" s="363" t="str">
        <f>_xlfn.IFNA(VLOOKUP($AI29,Programma!$F$3:$H$1107,3,0),"")</f>
        <v/>
      </c>
      <c r="AL29" s="363" t="str">
        <f>_xlfn.IFNA(VLOOKUP($AI29,Programma!$F$3:$I$1107,4,0),"")</f>
        <v/>
      </c>
      <c r="AM29" s="363" t="str">
        <f>_xlfn.IFNA(VLOOKUP($AI29,Programma!$F$3:$J$1107,5,0),"")</f>
        <v/>
      </c>
      <c r="AN29" s="363" t="str">
        <f>_xlfn.IFNA(VLOOKUP($AI29,Programma!$F$3:$K$1107,6,0),"")</f>
        <v/>
      </c>
      <c r="AO29" s="363" t="str">
        <f>_xlfn.IFNA(VLOOKUP($AI29,Programma!$F$3:$L$1107,7,0),"")</f>
        <v/>
      </c>
      <c r="AP29" s="363" t="str">
        <f>_xlfn.IFNA(VLOOKUP($AI29,Programma!$F$3:$M$1107,8,0),"")</f>
        <v/>
      </c>
      <c r="AQ29" s="363" t="str">
        <f>_xlfn.IFNA(VLOOKUP($AI29,Programma!$F$3:$N$1107,9,0),"")</f>
        <v/>
      </c>
      <c r="AR29" s="363" t="str">
        <f>_xlfn.IFNA(VLOOKUP($AI29,Programma!$F$3:$O$1107,10,0),"")</f>
        <v/>
      </c>
      <c r="AS29" s="363" t="str">
        <f>_xlfn.IFNA(VLOOKUP($AI29,Programma!$F$3:$P$1107,11,0),"")</f>
        <v/>
      </c>
      <c r="AT29" s="363" t="str">
        <f>_xlfn.IFNA(VLOOKUP($AI29,Programma!$F$3:$Q$1107,12,0),"")</f>
        <v/>
      </c>
      <c r="AU29" s="363" t="str">
        <f>_xlfn.IFNA(VLOOKUP($AI29,Programma!$F$3:$R$1107,13,0),"")</f>
        <v/>
      </c>
      <c r="AV29" s="363" t="str">
        <f>_xlfn.IFNA(VLOOKUP($AI29,Programma!$F$3:$S$1107,14,0),"")</f>
        <v/>
      </c>
      <c r="AW29" s="363" t="str">
        <f>_xlfn.IFNA(VLOOKUP($AI29,Programma!$F$3:$T$1107,15,0),"")</f>
        <v/>
      </c>
      <c r="AX29" s="363" t="str">
        <f>_xlfn.IFNA(VLOOKUP($AI29,Programma!$F$3:$U$1107,16,0),"")</f>
        <v/>
      </c>
      <c r="AY29" s="363" t="str">
        <f>_xlfn.IFNA(VLOOKUP($AI29,Programma!$F$3:$V$1107,17,0),"")</f>
        <v/>
      </c>
      <c r="AZ29" s="363" t="str">
        <f>_xlfn.IFNA(VLOOKUP($AI29,Programma!$F$3:$W$1107,18,0),"")</f>
        <v/>
      </c>
      <c r="BA29" s="363" t="str">
        <f>_xlfn.IFNA(VLOOKUP($AI29,Programma!$F$3:$X$1107,19,0),"")</f>
        <v/>
      </c>
      <c r="BB29" s="363" t="str">
        <f>_xlfn.IFNA(VLOOKUP($AI29,Programma!$F$3:$Y$1107,20,0),"")</f>
        <v/>
      </c>
      <c r="BC29" s="257"/>
      <c r="BD29" s="256" t="str">
        <f>IF(Ruimtestaat[[#This Row],[Frequentie weekend]]="","",_xlfn.CONCAT(Ruimtestaat[[#This Row],[Ruimte code]],"-",Ruimtestaat[[#This Row],[Frequentie weekend]]," ",Ruimtestaat[[#This Row],[Vloer code]]))</f>
        <v/>
      </c>
      <c r="BE29" s="363" t="str">
        <f>_xlfn.IFNA(VLOOKUP($BD29,Programma!$F$3:$G$1107,2,0),"")</f>
        <v/>
      </c>
      <c r="BF29" s="363" t="str">
        <f>_xlfn.IFNA(VLOOKUP($BD29,Programma!$F$3:$H$1107,3,0),"")</f>
        <v/>
      </c>
      <c r="BG29" s="363" t="str">
        <f>_xlfn.IFNA(VLOOKUP($BD29,Programma!$F$3:$I$1107,4,0),"")</f>
        <v/>
      </c>
      <c r="BH29" s="363" t="str">
        <f>_xlfn.IFNA(VLOOKUP($BD29,Programma!$F$3:$J$1107,5,0),"")</f>
        <v/>
      </c>
      <c r="BI29" s="363" t="str">
        <f>_xlfn.IFNA(VLOOKUP($BD29,Programma!$F$3:$K$1107,6,0),"")</f>
        <v/>
      </c>
      <c r="BJ29" s="363" t="str">
        <f>_xlfn.IFNA(VLOOKUP($BD29,Programma!$F$3:$L$1107,7,0),"")</f>
        <v/>
      </c>
      <c r="BK29" s="363" t="str">
        <f>_xlfn.IFNA(VLOOKUP($BD29,Programma!$F$3:$M$1107,8,0),"")</f>
        <v/>
      </c>
      <c r="BL29" s="363" t="str">
        <f>_xlfn.IFNA(VLOOKUP($BD29,Programma!$F$3:$N$1107,9,0),"")</f>
        <v/>
      </c>
      <c r="BM29" s="363" t="str">
        <f>_xlfn.IFNA(VLOOKUP($BD29,Programma!$F$3:$O$1107,10,0),"")</f>
        <v/>
      </c>
      <c r="BN29" s="363" t="str">
        <f>_xlfn.IFNA(VLOOKUP($BD29,Programma!$F$3:$P$1107,11,0),"")</f>
        <v/>
      </c>
      <c r="BO29" s="363" t="str">
        <f>_xlfn.IFNA(VLOOKUP($BD29,Programma!$F$3:$Q$1107,12,0),"")</f>
        <v/>
      </c>
      <c r="BP29" s="363" t="str">
        <f>_xlfn.IFNA(VLOOKUP($BD29,Programma!$F$3:$R$1107,13,0),"")</f>
        <v/>
      </c>
      <c r="BQ29" s="363" t="str">
        <f>_xlfn.IFNA(VLOOKUP($BD29,Programma!$F$3:$S$1107,14,0),"")</f>
        <v/>
      </c>
      <c r="BR29" s="363" t="str">
        <f>_xlfn.IFNA(VLOOKUP($BD29,Programma!$F$3:$T$1107,15,0),"")</f>
        <v/>
      </c>
      <c r="BS29" s="363" t="str">
        <f>_xlfn.IFNA(VLOOKUP($BD29,Programma!$F$3:$U$1107,16,0),"")</f>
        <v/>
      </c>
      <c r="BT29" s="363" t="str">
        <f>_xlfn.IFNA(VLOOKUP($BD29,Programma!$F$3:$V$1107,17,0),"")</f>
        <v/>
      </c>
      <c r="BU29" s="363" t="str">
        <f>_xlfn.IFNA(VLOOKUP($BD29,Programma!$F$3:$W$1107,18,0),"")</f>
        <v/>
      </c>
      <c r="BV29" s="363" t="str">
        <f>_xlfn.IFNA(VLOOKUP($BD29,Programma!$F$3:$X$1107,19,0),"")</f>
        <v/>
      </c>
      <c r="BW29" s="363" t="str">
        <f>_xlfn.IFNA(VLOOKUP($BD29,Programma!$F$3:$Y$1107,20,0),"")</f>
        <v/>
      </c>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row>
    <row r="30" spans="1:220" ht="15" customHeight="1">
      <c r="A30" s="33">
        <v>2</v>
      </c>
      <c r="B30" s="157" t="str">
        <f>VLOOKUP(Ruimtestaat[[#This Row],[Code]],Locaties[[Code]:[Locatie]],2,FALSE)</f>
        <v>'s Gravendreef College</v>
      </c>
      <c r="C30" s="157" t="str">
        <f>VLOOKUP(Ruimtestaat[[#This Row],[Code]],Locaties[[#All],[Code]:[Adres]],4,FALSE)</f>
        <v>Klaas Voskuildreef 135</v>
      </c>
      <c r="D30" s="157" t="str">
        <f>VLOOKUP(Ruimtestaat[[#This Row],[Code]],Locaties[[#All],[Code]:[Postcode]],5,FALSE)</f>
        <v>2492 JJ</v>
      </c>
      <c r="E30" s="157" t="str">
        <f>VLOOKUP(Ruimtestaat[[#This Row],[Code]],Locaties[#All],6,FALSE)</f>
        <v>Den Haag</v>
      </c>
      <c r="F30" s="33"/>
      <c r="G30" s="33" t="s">
        <v>1632</v>
      </c>
      <c r="H30" s="366">
        <v>26</v>
      </c>
      <c r="I30" s="367" t="s">
        <v>1644</v>
      </c>
      <c r="J30" s="21">
        <v>20</v>
      </c>
      <c r="K30" s="62" t="str">
        <f>VLOOKUP(Ruimtestaat[[#This Row],[Ruimte code]],Ruimtegroepen[[#All],[Code]:[Ruimte omschrijving]],2,FALSE)</f>
        <v>Niet in Onderhoud</v>
      </c>
      <c r="L30" s="33" t="s">
        <v>101</v>
      </c>
      <c r="M30" s="367" t="s">
        <v>2495</v>
      </c>
      <c r="N30" s="140"/>
      <c r="O30" s="140">
        <v>7</v>
      </c>
      <c r="P30" s="125">
        <f>VLOOKUP(Ruimtestaat[[#This Row],[Ruimte code]],Ruimtegroepen[],4,FALSE)</f>
        <v>0</v>
      </c>
      <c r="Q30" s="125" t="s">
        <v>2532</v>
      </c>
      <c r="R30" s="33"/>
      <c r="S30" s="33"/>
      <c r="T30" s="33">
        <f>IF(R30&gt;0,IF(RIGHT(Ruimtestaat[[#This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0" s="33">
        <f>IF(T30&gt;0,VLOOKUP($J30,Ruimtegroepen[],3,FALSE)*VLOOKUP($L30,Vloersoorten[],3,FALSE)*VLOOKUP($S30,Frequenties[],3,FALSE)*VLOOKUP($A30,Locaties[],3,FALSE),0)</f>
        <v>0</v>
      </c>
      <c r="V30" s="33">
        <f>Ruimtestaat[[#This Row],[Uitvoeringen werkdagen]]*Ruimtestaat[[#This Row],[Oppervlak (netto)]]</f>
        <v>0</v>
      </c>
      <c r="W30" s="154">
        <f>IF(U30&gt;0,Ruimtestaat[[#This Row],[Prest. (m2 /jaar) werkdagen]]/Ruimtestaat[[#This Row],[Norm (m2/uur) werkdagen]],0)</f>
        <v>0</v>
      </c>
      <c r="X30" s="155">
        <f>Ruimtestaat[[#This Row],[uren / jaar werkdagen]]*Tariefsopbouw!$E$35</f>
        <v>0</v>
      </c>
      <c r="Y30" s="33"/>
      <c r="Z30" s="33">
        <f>IF(Ruimtestaat[[#This Row],[Frequentie weekend]]&gt;0,VALUE(LEFT(Y30,1))*R30,0)</f>
        <v>0</v>
      </c>
      <c r="AA30" s="97">
        <f>IF($Z30&gt;0,VLOOKUP($J30,Ruimtegroepen[],3,FALSE)*VLOOKUP($L30,Vloersoorten[],3,FALSE)*VLOOKUP($Y30,Frequenties[],3,FALSE)*VLOOKUP(Ruimtestaat[[#This Row],[Code]],Locaties[],3,FALSE),0)</f>
        <v>0</v>
      </c>
      <c r="AB30" s="97">
        <f>Ruimtestaat[[#This Row],[Uitvoeringen weekend]]*Ruimtestaat[[#This Row],[Oppervlak (netto)]]</f>
        <v>0</v>
      </c>
      <c r="AC30" s="97">
        <f>IF(AA30&gt;0,Ruimtestaat[[#This Row],[Prest. (m2 /jaar) weekend]]/Ruimtestaat[[#This Row],[Norm (m2/uur) weekend]],0)</f>
        <v>0</v>
      </c>
      <c r="AD30" s="155">
        <f>Ruimtestaat[[#This Row],[uren / jaar weekend]]*Tariefsopbouw!$D$40</f>
        <v>0</v>
      </c>
      <c r="AE30" s="154">
        <f>Ruimtestaat[[#This Row],[Prest. (m2 /jaar) weekend]]+Ruimtestaat[[#This Row],[Prest. (m2 /jaar) werkdagen]]</f>
        <v>0</v>
      </c>
      <c r="AF30" s="154">
        <f>Ruimtestaat[[#This Row],[uren / jaar weekend]]+Ruimtestaat[[#This Row],[uren / jaar werkdagen]]</f>
        <v>0</v>
      </c>
      <c r="AG30" s="69">
        <f>Ruimtestaat[[#This Row],[kosten / jaar weekend]]+Ruimtestaat[[#This Row],[kosten / jaar werkdagen]]</f>
        <v>0</v>
      </c>
      <c r="AH30" s="69"/>
      <c r="AI30" s="256" t="str">
        <f>IF(Ruimtestaat[[#This Row],[Frequentie werkdagen]]="","",_xlfn.CONCAT(Ruimtestaat[[#This Row],[Ruimte code]],"-",Ruimtestaat[[#This Row],[Frequentie werkdagen]]," ",Ruimtestaat[[#This Row],[Vloer code]]))</f>
        <v/>
      </c>
      <c r="AJ30" s="363" t="str">
        <f>_xlfn.IFNA(VLOOKUP($AI30,Programma!$F$3:$G$1107,2,0),"")</f>
        <v/>
      </c>
      <c r="AK30" s="363" t="str">
        <f>_xlfn.IFNA(VLOOKUP($AI30,Programma!$F$3:$H$1107,3,0),"")</f>
        <v/>
      </c>
      <c r="AL30" s="363" t="str">
        <f>_xlfn.IFNA(VLOOKUP($AI30,Programma!$F$3:$I$1107,4,0),"")</f>
        <v/>
      </c>
      <c r="AM30" s="363" t="str">
        <f>_xlfn.IFNA(VLOOKUP($AI30,Programma!$F$3:$J$1107,5,0),"")</f>
        <v/>
      </c>
      <c r="AN30" s="363" t="str">
        <f>_xlfn.IFNA(VLOOKUP($AI30,Programma!$F$3:$K$1107,6,0),"")</f>
        <v/>
      </c>
      <c r="AO30" s="363" t="str">
        <f>_xlfn.IFNA(VLOOKUP($AI30,Programma!$F$3:$L$1107,7,0),"")</f>
        <v/>
      </c>
      <c r="AP30" s="363" t="str">
        <f>_xlfn.IFNA(VLOOKUP($AI30,Programma!$F$3:$M$1107,8,0),"")</f>
        <v/>
      </c>
      <c r="AQ30" s="363" t="str">
        <f>_xlfn.IFNA(VLOOKUP($AI30,Programma!$F$3:$N$1107,9,0),"")</f>
        <v/>
      </c>
      <c r="AR30" s="363" t="str">
        <f>_xlfn.IFNA(VLOOKUP($AI30,Programma!$F$3:$O$1107,10,0),"")</f>
        <v/>
      </c>
      <c r="AS30" s="363" t="str">
        <f>_xlfn.IFNA(VLOOKUP($AI30,Programma!$F$3:$P$1107,11,0),"")</f>
        <v/>
      </c>
      <c r="AT30" s="363" t="str">
        <f>_xlfn.IFNA(VLOOKUP($AI30,Programma!$F$3:$Q$1107,12,0),"")</f>
        <v/>
      </c>
      <c r="AU30" s="363" t="str">
        <f>_xlfn.IFNA(VLOOKUP($AI30,Programma!$F$3:$R$1107,13,0),"")</f>
        <v/>
      </c>
      <c r="AV30" s="363" t="str">
        <f>_xlfn.IFNA(VLOOKUP($AI30,Programma!$F$3:$S$1107,14,0),"")</f>
        <v/>
      </c>
      <c r="AW30" s="363" t="str">
        <f>_xlfn.IFNA(VLOOKUP($AI30,Programma!$F$3:$T$1107,15,0),"")</f>
        <v/>
      </c>
      <c r="AX30" s="363" t="str">
        <f>_xlfn.IFNA(VLOOKUP($AI30,Programma!$F$3:$U$1107,16,0),"")</f>
        <v/>
      </c>
      <c r="AY30" s="363" t="str">
        <f>_xlfn.IFNA(VLOOKUP($AI30,Programma!$F$3:$V$1107,17,0),"")</f>
        <v/>
      </c>
      <c r="AZ30" s="363" t="str">
        <f>_xlfn.IFNA(VLOOKUP($AI30,Programma!$F$3:$W$1107,18,0),"")</f>
        <v/>
      </c>
      <c r="BA30" s="363" t="str">
        <f>_xlfn.IFNA(VLOOKUP($AI30,Programma!$F$3:$X$1107,19,0),"")</f>
        <v/>
      </c>
      <c r="BB30" s="363" t="str">
        <f>_xlfn.IFNA(VLOOKUP($AI30,Programma!$F$3:$Y$1107,20,0),"")</f>
        <v/>
      </c>
      <c r="BC30" s="257"/>
      <c r="BD30" s="256" t="str">
        <f>IF(Ruimtestaat[[#This Row],[Frequentie weekend]]="","",_xlfn.CONCAT(Ruimtestaat[[#This Row],[Ruimte code]],"-",Ruimtestaat[[#This Row],[Frequentie weekend]]," ",Ruimtestaat[[#This Row],[Vloer code]]))</f>
        <v/>
      </c>
      <c r="BE30" s="363" t="str">
        <f>_xlfn.IFNA(VLOOKUP($BD30,Programma!$F$3:$G$1107,2,0),"")</f>
        <v/>
      </c>
      <c r="BF30" s="363" t="str">
        <f>_xlfn.IFNA(VLOOKUP($BD30,Programma!$F$3:$H$1107,3,0),"")</f>
        <v/>
      </c>
      <c r="BG30" s="363" t="str">
        <f>_xlfn.IFNA(VLOOKUP($BD30,Programma!$F$3:$I$1107,4,0),"")</f>
        <v/>
      </c>
      <c r="BH30" s="363" t="str">
        <f>_xlfn.IFNA(VLOOKUP($BD30,Programma!$F$3:$J$1107,5,0),"")</f>
        <v/>
      </c>
      <c r="BI30" s="363" t="str">
        <f>_xlfn.IFNA(VLOOKUP($BD30,Programma!$F$3:$K$1107,6,0),"")</f>
        <v/>
      </c>
      <c r="BJ30" s="363" t="str">
        <f>_xlfn.IFNA(VLOOKUP($BD30,Programma!$F$3:$L$1107,7,0),"")</f>
        <v/>
      </c>
      <c r="BK30" s="363" t="str">
        <f>_xlfn.IFNA(VLOOKUP($BD30,Programma!$F$3:$M$1107,8,0),"")</f>
        <v/>
      </c>
      <c r="BL30" s="363" t="str">
        <f>_xlfn.IFNA(VLOOKUP($BD30,Programma!$F$3:$N$1107,9,0),"")</f>
        <v/>
      </c>
      <c r="BM30" s="363" t="str">
        <f>_xlfn.IFNA(VLOOKUP($BD30,Programma!$F$3:$O$1107,10,0),"")</f>
        <v/>
      </c>
      <c r="BN30" s="363" t="str">
        <f>_xlfn.IFNA(VLOOKUP($BD30,Programma!$F$3:$P$1107,11,0),"")</f>
        <v/>
      </c>
      <c r="BO30" s="363" t="str">
        <f>_xlfn.IFNA(VLOOKUP($BD30,Programma!$F$3:$Q$1107,12,0),"")</f>
        <v/>
      </c>
      <c r="BP30" s="363" t="str">
        <f>_xlfn.IFNA(VLOOKUP($BD30,Programma!$F$3:$R$1107,13,0),"")</f>
        <v/>
      </c>
      <c r="BQ30" s="363" t="str">
        <f>_xlfn.IFNA(VLOOKUP($BD30,Programma!$F$3:$S$1107,14,0),"")</f>
        <v/>
      </c>
      <c r="BR30" s="363" t="str">
        <f>_xlfn.IFNA(VLOOKUP($BD30,Programma!$F$3:$T$1107,15,0),"")</f>
        <v/>
      </c>
      <c r="BS30" s="363" t="str">
        <f>_xlfn.IFNA(VLOOKUP($BD30,Programma!$F$3:$U$1107,16,0),"")</f>
        <v/>
      </c>
      <c r="BT30" s="363" t="str">
        <f>_xlfn.IFNA(VLOOKUP($BD30,Programma!$F$3:$V$1107,17,0),"")</f>
        <v/>
      </c>
      <c r="BU30" s="363" t="str">
        <f>_xlfn.IFNA(VLOOKUP($BD30,Programma!$F$3:$W$1107,18,0),"")</f>
        <v/>
      </c>
      <c r="BV30" s="363" t="str">
        <f>_xlfn.IFNA(VLOOKUP($BD30,Programma!$F$3:$X$1107,19,0),"")</f>
        <v/>
      </c>
      <c r="BW30" s="363" t="str">
        <f>_xlfn.IFNA(VLOOKUP($BD30,Programma!$F$3:$Y$1107,20,0),"")</f>
        <v/>
      </c>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row>
    <row r="31" spans="1:220" ht="15" customHeight="1">
      <c r="A31" s="33">
        <v>2</v>
      </c>
      <c r="B31" s="157" t="str">
        <f>VLOOKUP(Ruimtestaat[[#This Row],[Code]],Locaties[[Code]:[Locatie]],2,FALSE)</f>
        <v>'s Gravendreef College</v>
      </c>
      <c r="C31" s="157" t="str">
        <f>VLOOKUP(Ruimtestaat[[#This Row],[Code]],Locaties[[#All],[Code]:[Adres]],4,FALSE)</f>
        <v>Klaas Voskuildreef 135</v>
      </c>
      <c r="D31" s="157" t="str">
        <f>VLOOKUP(Ruimtestaat[[#This Row],[Code]],Locaties[[#All],[Code]:[Postcode]],5,FALSE)</f>
        <v>2492 JJ</v>
      </c>
      <c r="E31" s="157" t="str">
        <f>VLOOKUP(Ruimtestaat[[#This Row],[Code]],Locaties[#All],6,FALSE)</f>
        <v>Den Haag</v>
      </c>
      <c r="F31" s="33"/>
      <c r="G31" s="33" t="s">
        <v>1632</v>
      </c>
      <c r="H31" s="366">
        <v>27</v>
      </c>
      <c r="I31" s="367" t="s">
        <v>1644</v>
      </c>
      <c r="J31" s="21">
        <v>20</v>
      </c>
      <c r="K31" s="62" t="str">
        <f>VLOOKUP(Ruimtestaat[[#This Row],[Ruimte code]],Ruimtegroepen[[#All],[Code]:[Ruimte omschrijving]],2,FALSE)</f>
        <v>Niet in Onderhoud</v>
      </c>
      <c r="L31" s="33" t="s">
        <v>101</v>
      </c>
      <c r="M31" s="367" t="s">
        <v>2495</v>
      </c>
      <c r="N31" s="140"/>
      <c r="O31" s="140">
        <v>7</v>
      </c>
      <c r="P31" s="125">
        <f>VLOOKUP(Ruimtestaat[[#This Row],[Ruimte code]],Ruimtegroepen[],4,FALSE)</f>
        <v>0</v>
      </c>
      <c r="Q31" s="125" t="s">
        <v>2532</v>
      </c>
      <c r="R31" s="33"/>
      <c r="S31" s="33"/>
      <c r="T31" s="33">
        <f>IF(R31&gt;0,IF(RIGHT(Ruimtestaat[[#This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 s="33">
        <f>IF(T31&gt;0,VLOOKUP($J31,Ruimtegroepen[],3,FALSE)*VLOOKUP($L31,Vloersoorten[],3,FALSE)*VLOOKUP($S31,Frequenties[],3,FALSE)*VLOOKUP($A31,Locaties[],3,FALSE),0)</f>
        <v>0</v>
      </c>
      <c r="V31" s="33">
        <f>Ruimtestaat[[#This Row],[Uitvoeringen werkdagen]]*Ruimtestaat[[#This Row],[Oppervlak (netto)]]</f>
        <v>0</v>
      </c>
      <c r="W31" s="154">
        <f>IF(U31&gt;0,Ruimtestaat[[#This Row],[Prest. (m2 /jaar) werkdagen]]/Ruimtestaat[[#This Row],[Norm (m2/uur) werkdagen]],0)</f>
        <v>0</v>
      </c>
      <c r="X31" s="155">
        <f>Ruimtestaat[[#This Row],[uren / jaar werkdagen]]*Tariefsopbouw!$E$35</f>
        <v>0</v>
      </c>
      <c r="Y31" s="33"/>
      <c r="Z31" s="33">
        <f>IF(Ruimtestaat[[#This Row],[Frequentie weekend]]&gt;0,VALUE(LEFT(Y31,1))*R31,0)</f>
        <v>0</v>
      </c>
      <c r="AA31" s="97">
        <f>IF($Z31&gt;0,VLOOKUP($J31,Ruimtegroepen[],3,FALSE)*VLOOKUP($L31,Vloersoorten[],3,FALSE)*VLOOKUP($Y31,Frequenties[],3,FALSE)*VLOOKUP(Ruimtestaat[[#This Row],[Code]],Locaties[],3,FALSE),0)</f>
        <v>0</v>
      </c>
      <c r="AB31" s="97">
        <f>Ruimtestaat[[#This Row],[Uitvoeringen weekend]]*Ruimtestaat[[#This Row],[Oppervlak (netto)]]</f>
        <v>0</v>
      </c>
      <c r="AC31" s="97">
        <f>IF(AA31&gt;0,Ruimtestaat[[#This Row],[Prest. (m2 /jaar) weekend]]/Ruimtestaat[[#This Row],[Norm (m2/uur) weekend]],0)</f>
        <v>0</v>
      </c>
      <c r="AD31" s="155">
        <f>Ruimtestaat[[#This Row],[uren / jaar weekend]]*Tariefsopbouw!$D$40</f>
        <v>0</v>
      </c>
      <c r="AE31" s="154">
        <f>Ruimtestaat[[#This Row],[Prest. (m2 /jaar) weekend]]+Ruimtestaat[[#This Row],[Prest. (m2 /jaar) werkdagen]]</f>
        <v>0</v>
      </c>
      <c r="AF31" s="154">
        <f>Ruimtestaat[[#This Row],[uren / jaar weekend]]+Ruimtestaat[[#This Row],[uren / jaar werkdagen]]</f>
        <v>0</v>
      </c>
      <c r="AG31" s="69">
        <f>Ruimtestaat[[#This Row],[kosten / jaar weekend]]+Ruimtestaat[[#This Row],[kosten / jaar werkdagen]]</f>
        <v>0</v>
      </c>
      <c r="AH31" s="69"/>
      <c r="AI31" s="256" t="str">
        <f>IF(Ruimtestaat[[#This Row],[Frequentie werkdagen]]="","",_xlfn.CONCAT(Ruimtestaat[[#This Row],[Ruimte code]],"-",Ruimtestaat[[#This Row],[Frequentie werkdagen]]," ",Ruimtestaat[[#This Row],[Vloer code]]))</f>
        <v/>
      </c>
      <c r="AJ31" s="363" t="str">
        <f>_xlfn.IFNA(VLOOKUP($AI31,Programma!$F$3:$G$1107,2,0),"")</f>
        <v/>
      </c>
      <c r="AK31" s="363" t="str">
        <f>_xlfn.IFNA(VLOOKUP($AI31,Programma!$F$3:$H$1107,3,0),"")</f>
        <v/>
      </c>
      <c r="AL31" s="363" t="str">
        <f>_xlfn.IFNA(VLOOKUP($AI31,Programma!$F$3:$I$1107,4,0),"")</f>
        <v/>
      </c>
      <c r="AM31" s="363" t="str">
        <f>_xlfn.IFNA(VLOOKUP($AI31,Programma!$F$3:$J$1107,5,0),"")</f>
        <v/>
      </c>
      <c r="AN31" s="363" t="str">
        <f>_xlfn.IFNA(VLOOKUP($AI31,Programma!$F$3:$K$1107,6,0),"")</f>
        <v/>
      </c>
      <c r="AO31" s="363" t="str">
        <f>_xlfn.IFNA(VLOOKUP($AI31,Programma!$F$3:$L$1107,7,0),"")</f>
        <v/>
      </c>
      <c r="AP31" s="363" t="str">
        <f>_xlfn.IFNA(VLOOKUP($AI31,Programma!$F$3:$M$1107,8,0),"")</f>
        <v/>
      </c>
      <c r="AQ31" s="363" t="str">
        <f>_xlfn.IFNA(VLOOKUP($AI31,Programma!$F$3:$N$1107,9,0),"")</f>
        <v/>
      </c>
      <c r="AR31" s="363" t="str">
        <f>_xlfn.IFNA(VLOOKUP($AI31,Programma!$F$3:$O$1107,10,0),"")</f>
        <v/>
      </c>
      <c r="AS31" s="363" t="str">
        <f>_xlfn.IFNA(VLOOKUP($AI31,Programma!$F$3:$P$1107,11,0),"")</f>
        <v/>
      </c>
      <c r="AT31" s="363" t="str">
        <f>_xlfn.IFNA(VLOOKUP($AI31,Programma!$F$3:$Q$1107,12,0),"")</f>
        <v/>
      </c>
      <c r="AU31" s="363" t="str">
        <f>_xlfn.IFNA(VLOOKUP($AI31,Programma!$F$3:$R$1107,13,0),"")</f>
        <v/>
      </c>
      <c r="AV31" s="363" t="str">
        <f>_xlfn.IFNA(VLOOKUP($AI31,Programma!$F$3:$S$1107,14,0),"")</f>
        <v/>
      </c>
      <c r="AW31" s="363" t="str">
        <f>_xlfn.IFNA(VLOOKUP($AI31,Programma!$F$3:$T$1107,15,0),"")</f>
        <v/>
      </c>
      <c r="AX31" s="363" t="str">
        <f>_xlfn.IFNA(VLOOKUP($AI31,Programma!$F$3:$U$1107,16,0),"")</f>
        <v/>
      </c>
      <c r="AY31" s="363" t="str">
        <f>_xlfn.IFNA(VLOOKUP($AI31,Programma!$F$3:$V$1107,17,0),"")</f>
        <v/>
      </c>
      <c r="AZ31" s="363" t="str">
        <f>_xlfn.IFNA(VLOOKUP($AI31,Programma!$F$3:$W$1107,18,0),"")</f>
        <v/>
      </c>
      <c r="BA31" s="363" t="str">
        <f>_xlfn.IFNA(VLOOKUP($AI31,Programma!$F$3:$X$1107,19,0),"")</f>
        <v/>
      </c>
      <c r="BB31" s="363" t="str">
        <f>_xlfn.IFNA(VLOOKUP($AI31,Programma!$F$3:$Y$1107,20,0),"")</f>
        <v/>
      </c>
      <c r="BC31" s="257"/>
      <c r="BD31" s="256" t="str">
        <f>IF(Ruimtestaat[[#This Row],[Frequentie weekend]]="","",_xlfn.CONCAT(Ruimtestaat[[#This Row],[Ruimte code]],"-",Ruimtestaat[[#This Row],[Frequentie weekend]]," ",Ruimtestaat[[#This Row],[Vloer code]]))</f>
        <v/>
      </c>
      <c r="BE31" s="363" t="str">
        <f>_xlfn.IFNA(VLOOKUP($BD31,Programma!$F$3:$G$1107,2,0),"")</f>
        <v/>
      </c>
      <c r="BF31" s="363" t="str">
        <f>_xlfn.IFNA(VLOOKUP($BD31,Programma!$F$3:$H$1107,3,0),"")</f>
        <v/>
      </c>
      <c r="BG31" s="363" t="str">
        <f>_xlfn.IFNA(VLOOKUP($BD31,Programma!$F$3:$I$1107,4,0),"")</f>
        <v/>
      </c>
      <c r="BH31" s="363" t="str">
        <f>_xlfn.IFNA(VLOOKUP($BD31,Programma!$F$3:$J$1107,5,0),"")</f>
        <v/>
      </c>
      <c r="BI31" s="363" t="str">
        <f>_xlfn.IFNA(VLOOKUP($BD31,Programma!$F$3:$K$1107,6,0),"")</f>
        <v/>
      </c>
      <c r="BJ31" s="363" t="str">
        <f>_xlfn.IFNA(VLOOKUP($BD31,Programma!$F$3:$L$1107,7,0),"")</f>
        <v/>
      </c>
      <c r="BK31" s="363" t="str">
        <f>_xlfn.IFNA(VLOOKUP($BD31,Programma!$F$3:$M$1107,8,0),"")</f>
        <v/>
      </c>
      <c r="BL31" s="363" t="str">
        <f>_xlfn.IFNA(VLOOKUP($BD31,Programma!$F$3:$N$1107,9,0),"")</f>
        <v/>
      </c>
      <c r="BM31" s="363" t="str">
        <f>_xlfn.IFNA(VLOOKUP($BD31,Programma!$F$3:$O$1107,10,0),"")</f>
        <v/>
      </c>
      <c r="BN31" s="363" t="str">
        <f>_xlfn.IFNA(VLOOKUP($BD31,Programma!$F$3:$P$1107,11,0),"")</f>
        <v/>
      </c>
      <c r="BO31" s="363" t="str">
        <f>_xlfn.IFNA(VLOOKUP($BD31,Programma!$F$3:$Q$1107,12,0),"")</f>
        <v/>
      </c>
      <c r="BP31" s="363" t="str">
        <f>_xlfn.IFNA(VLOOKUP($BD31,Programma!$F$3:$R$1107,13,0),"")</f>
        <v/>
      </c>
      <c r="BQ31" s="363" t="str">
        <f>_xlfn.IFNA(VLOOKUP($BD31,Programma!$F$3:$S$1107,14,0),"")</f>
        <v/>
      </c>
      <c r="BR31" s="363" t="str">
        <f>_xlfn.IFNA(VLOOKUP($BD31,Programma!$F$3:$T$1107,15,0),"")</f>
        <v/>
      </c>
      <c r="BS31" s="363" t="str">
        <f>_xlfn.IFNA(VLOOKUP($BD31,Programma!$F$3:$U$1107,16,0),"")</f>
        <v/>
      </c>
      <c r="BT31" s="363" t="str">
        <f>_xlfn.IFNA(VLOOKUP($BD31,Programma!$F$3:$V$1107,17,0),"")</f>
        <v/>
      </c>
      <c r="BU31" s="363" t="str">
        <f>_xlfn.IFNA(VLOOKUP($BD31,Programma!$F$3:$W$1107,18,0),"")</f>
        <v/>
      </c>
      <c r="BV31" s="363" t="str">
        <f>_xlfn.IFNA(VLOOKUP($BD31,Programma!$F$3:$X$1107,19,0),"")</f>
        <v/>
      </c>
      <c r="BW31" s="363" t="str">
        <f>_xlfn.IFNA(VLOOKUP($BD31,Programma!$F$3:$Y$1107,20,0),"")</f>
        <v/>
      </c>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row>
    <row r="32" spans="1:220" ht="15" customHeight="1">
      <c r="A32" s="33">
        <v>2</v>
      </c>
      <c r="B32" s="157" t="str">
        <f>VLOOKUP(Ruimtestaat[[#This Row],[Code]],Locaties[[Code]:[Locatie]],2,FALSE)</f>
        <v>'s Gravendreef College</v>
      </c>
      <c r="C32" s="157" t="str">
        <f>VLOOKUP(Ruimtestaat[[#This Row],[Code]],Locaties[[#All],[Code]:[Adres]],4,FALSE)</f>
        <v>Klaas Voskuildreef 135</v>
      </c>
      <c r="D32" s="157" t="str">
        <f>VLOOKUP(Ruimtestaat[[#This Row],[Code]],Locaties[[#All],[Code]:[Postcode]],5,FALSE)</f>
        <v>2492 JJ</v>
      </c>
      <c r="E32" s="157" t="str">
        <f>VLOOKUP(Ruimtestaat[[#This Row],[Code]],Locaties[#All],6,FALSE)</f>
        <v>Den Haag</v>
      </c>
      <c r="F32" s="33"/>
      <c r="G32" s="33" t="s">
        <v>1632</v>
      </c>
      <c r="H32" s="21">
        <v>28</v>
      </c>
      <c r="I32" s="62" t="s">
        <v>1651</v>
      </c>
      <c r="J32" s="33">
        <v>1</v>
      </c>
      <c r="K32" s="62" t="str">
        <f>VLOOKUP(Ruimtestaat[[#This Row],[Ruimte code]],Ruimtegroepen[[#All],[Code]:[Ruimte omschrijving]],2,FALSE)</f>
        <v>Magazijnen/bergingen</v>
      </c>
      <c r="L32" s="33" t="s">
        <v>101</v>
      </c>
      <c r="M32" s="367" t="s">
        <v>2495</v>
      </c>
      <c r="N32" s="140">
        <v>11</v>
      </c>
      <c r="O32" s="140"/>
      <c r="P32" s="125" t="str">
        <f>VLOOKUP(Ruimtestaat[[#This Row],[Ruimte code]],Ruimtegroepen[],4,FALSE)</f>
        <v>Ve</v>
      </c>
      <c r="R32" s="33">
        <v>40</v>
      </c>
      <c r="S32" s="33" t="s">
        <v>16</v>
      </c>
      <c r="T32" s="33">
        <f>IF(R32&gt;0,IF(RIGHT(Ruimtestaat[[#This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2" s="33">
        <f>IF(T32&gt;0,VLOOKUP($J32,Ruimtegroepen[],3,FALSE)*VLOOKUP($L32,Vloersoorten[],3,FALSE)*VLOOKUP($S32,Frequenties[],3,FALSE)*VLOOKUP($A32,Locaties[],3,FALSE),0)</f>
        <v>0</v>
      </c>
      <c r="V32" s="33">
        <f>Ruimtestaat[[#This Row],[Uitvoeringen werkdagen]]*Ruimtestaat[[#This Row],[Oppervlak (netto)]]</f>
        <v>132</v>
      </c>
      <c r="W32" s="154">
        <f>IF(U32&gt;0,Ruimtestaat[[#This Row],[Prest. (m2 /jaar) werkdagen]]/Ruimtestaat[[#This Row],[Norm (m2/uur) werkdagen]],0)</f>
        <v>0</v>
      </c>
      <c r="X32" s="155">
        <f>Ruimtestaat[[#This Row],[uren / jaar werkdagen]]*Tariefsopbouw!$E$35</f>
        <v>0</v>
      </c>
      <c r="Y32" s="33"/>
      <c r="Z32" s="33">
        <f>IF(Ruimtestaat[[#This Row],[Frequentie weekend]]&gt;0,VALUE(LEFT(Y32,1))*R32,0)</f>
        <v>0</v>
      </c>
      <c r="AA32" s="97">
        <f>IF($Z32&gt;0,VLOOKUP($J32,Ruimtegroepen[],3,FALSE)*VLOOKUP($L32,Vloersoorten[],3,FALSE)*VLOOKUP($Y32,Frequenties[],3,FALSE)*VLOOKUP(Ruimtestaat[[#This Row],[Code]],Locaties[],3,FALSE),0)</f>
        <v>0</v>
      </c>
      <c r="AB32" s="97">
        <f>Ruimtestaat[[#This Row],[Uitvoeringen weekend]]*Ruimtestaat[[#This Row],[Oppervlak (netto)]]</f>
        <v>0</v>
      </c>
      <c r="AC32" s="97">
        <f>IF(AA32&gt;0,Ruimtestaat[[#This Row],[Prest. (m2 /jaar) weekend]]/Ruimtestaat[[#This Row],[Norm (m2/uur) weekend]],0)</f>
        <v>0</v>
      </c>
      <c r="AD32" s="155">
        <f>Ruimtestaat[[#This Row],[uren / jaar weekend]]*Tariefsopbouw!$D$40</f>
        <v>0</v>
      </c>
      <c r="AE32" s="154">
        <f>Ruimtestaat[[#This Row],[Prest. (m2 /jaar) weekend]]+Ruimtestaat[[#This Row],[Prest. (m2 /jaar) werkdagen]]</f>
        <v>132</v>
      </c>
      <c r="AF32" s="154">
        <f>Ruimtestaat[[#This Row],[uren / jaar weekend]]+Ruimtestaat[[#This Row],[uren / jaar werkdagen]]</f>
        <v>0</v>
      </c>
      <c r="AG32" s="69">
        <f>Ruimtestaat[[#This Row],[kosten / jaar weekend]]+Ruimtestaat[[#This Row],[kosten / jaar werkdagen]]</f>
        <v>0</v>
      </c>
      <c r="AH32" s="69"/>
      <c r="AI32" s="256" t="str">
        <f>IF(Ruimtestaat[[#This Row],[Frequentie werkdagen]]="","",_xlfn.CONCAT(Ruimtestaat[[#This Row],[Ruimte code]],"-",Ruimtestaat[[#This Row],[Frequentie werkdagen]]," ",Ruimtestaat[[#This Row],[Vloer code]]))</f>
        <v>1-1m L</v>
      </c>
      <c r="AJ32" s="363" t="str">
        <f>_xlfn.IFNA(VLOOKUP($AI32,Programma!$F$3:$G$1107,2,0),"")</f>
        <v>_</v>
      </c>
      <c r="AK32" s="363" t="str">
        <f>_xlfn.IFNA(VLOOKUP($AI32,Programma!$F$3:$H$1107,3,0),"")</f>
        <v>_</v>
      </c>
      <c r="AL32" s="363" t="str">
        <f>_xlfn.IFNA(VLOOKUP($AI32,Programma!$F$3:$I$1107,4,0),"")</f>
        <v>1m</v>
      </c>
      <c r="AM32" s="363" t="str">
        <f>_xlfn.IFNA(VLOOKUP($AI32,Programma!$F$3:$J$1107,5,0),"")</f>
        <v>1m</v>
      </c>
      <c r="AN32" s="363" t="str">
        <f>_xlfn.IFNA(VLOOKUP($AI32,Programma!$F$3:$K$1107,6,0),"")</f>
        <v>_</v>
      </c>
      <c r="AO32" s="363" t="str">
        <f>_xlfn.IFNA(VLOOKUP($AI32,Programma!$F$3:$L$1107,7,0),"")</f>
        <v>_</v>
      </c>
      <c r="AP32" s="363" t="str">
        <f>_xlfn.IFNA(VLOOKUP($AI32,Programma!$F$3:$M$1107,8,0),"")</f>
        <v>_</v>
      </c>
      <c r="AQ32" s="363" t="str">
        <f>_xlfn.IFNA(VLOOKUP($AI32,Programma!$F$3:$N$1107,9,0),"")</f>
        <v>_</v>
      </c>
      <c r="AR32" s="363" t="str">
        <f>_xlfn.IFNA(VLOOKUP($AI32,Programma!$F$3:$O$1107,10,0),"")</f>
        <v>_</v>
      </c>
      <c r="AS32" s="363" t="str">
        <f>_xlfn.IFNA(VLOOKUP($AI32,Programma!$F$3:$P$1107,11,0),"")</f>
        <v>_</v>
      </c>
      <c r="AT32" s="363" t="str">
        <f>_xlfn.IFNA(VLOOKUP($AI32,Programma!$F$3:$Q$1107,12,0),"")</f>
        <v>_</v>
      </c>
      <c r="AU32" s="363" t="str">
        <f>_xlfn.IFNA(VLOOKUP($AI32,Programma!$F$3:$R$1107,13,0),"")</f>
        <v>_</v>
      </c>
      <c r="AV32" s="363" t="str">
        <f>_xlfn.IFNA(VLOOKUP($AI32,Programma!$F$3:$S$1107,14,0),"")</f>
        <v>1m</v>
      </c>
      <c r="AW32" s="363" t="str">
        <f>_xlfn.IFNA(VLOOKUP($AI32,Programma!$F$3:$T$1107,15,0),"")</f>
        <v>4j</v>
      </c>
      <c r="AX32" s="363" t="str">
        <f>_xlfn.IFNA(VLOOKUP($AI32,Programma!$F$3:$U$1107,16,0),"")</f>
        <v>4j</v>
      </c>
      <c r="AY32" s="363" t="str">
        <f>_xlfn.IFNA(VLOOKUP($AI32,Programma!$F$3:$V$1107,17,0),"")</f>
        <v>_</v>
      </c>
      <c r="AZ32" s="363" t="str">
        <f>_xlfn.IFNA(VLOOKUP($AI32,Programma!$F$3:$W$1107,18,0),"")</f>
        <v>_</v>
      </c>
      <c r="BA32" s="363" t="str">
        <f>_xlfn.IFNA(VLOOKUP($AI32,Programma!$F$3:$X$1107,19,0),"")</f>
        <v>_</v>
      </c>
      <c r="BB32" s="363" t="str">
        <f>_xlfn.IFNA(VLOOKUP($AI32,Programma!$F$3:$Y$1107,20,0),"")</f>
        <v>_</v>
      </c>
      <c r="BC32" s="257"/>
      <c r="BD32" s="256" t="str">
        <f>IF(Ruimtestaat[[#This Row],[Frequentie weekend]]="","",_xlfn.CONCAT(Ruimtestaat[[#This Row],[Ruimte code]],"-",Ruimtestaat[[#This Row],[Frequentie weekend]]," ",Ruimtestaat[[#This Row],[Vloer code]]))</f>
        <v/>
      </c>
      <c r="BE32" s="363" t="str">
        <f>_xlfn.IFNA(VLOOKUP($BD32,Programma!$F$3:$G$1107,2,0),"")</f>
        <v/>
      </c>
      <c r="BF32" s="363" t="str">
        <f>_xlfn.IFNA(VLOOKUP($BD32,Programma!$F$3:$H$1107,3,0),"")</f>
        <v/>
      </c>
      <c r="BG32" s="363" t="str">
        <f>_xlfn.IFNA(VLOOKUP($BD32,Programma!$F$3:$I$1107,4,0),"")</f>
        <v/>
      </c>
      <c r="BH32" s="363" t="str">
        <f>_xlfn.IFNA(VLOOKUP($BD32,Programma!$F$3:$J$1107,5,0),"")</f>
        <v/>
      </c>
      <c r="BI32" s="363" t="str">
        <f>_xlfn.IFNA(VLOOKUP($BD32,Programma!$F$3:$K$1107,6,0),"")</f>
        <v/>
      </c>
      <c r="BJ32" s="363" t="str">
        <f>_xlfn.IFNA(VLOOKUP($BD32,Programma!$F$3:$L$1107,7,0),"")</f>
        <v/>
      </c>
      <c r="BK32" s="363" t="str">
        <f>_xlfn.IFNA(VLOOKUP($BD32,Programma!$F$3:$M$1107,8,0),"")</f>
        <v/>
      </c>
      <c r="BL32" s="363" t="str">
        <f>_xlfn.IFNA(VLOOKUP($BD32,Programma!$F$3:$N$1107,9,0),"")</f>
        <v/>
      </c>
      <c r="BM32" s="363" t="str">
        <f>_xlfn.IFNA(VLOOKUP($BD32,Programma!$F$3:$O$1107,10,0),"")</f>
        <v/>
      </c>
      <c r="BN32" s="363" t="str">
        <f>_xlfn.IFNA(VLOOKUP($BD32,Programma!$F$3:$P$1107,11,0),"")</f>
        <v/>
      </c>
      <c r="BO32" s="363" t="str">
        <f>_xlfn.IFNA(VLOOKUP($BD32,Programma!$F$3:$Q$1107,12,0),"")</f>
        <v/>
      </c>
      <c r="BP32" s="363" t="str">
        <f>_xlfn.IFNA(VLOOKUP($BD32,Programma!$F$3:$R$1107,13,0),"")</f>
        <v/>
      </c>
      <c r="BQ32" s="363" t="str">
        <f>_xlfn.IFNA(VLOOKUP($BD32,Programma!$F$3:$S$1107,14,0),"")</f>
        <v/>
      </c>
      <c r="BR32" s="363" t="str">
        <f>_xlfn.IFNA(VLOOKUP($BD32,Programma!$F$3:$T$1107,15,0),"")</f>
        <v/>
      </c>
      <c r="BS32" s="363" t="str">
        <f>_xlfn.IFNA(VLOOKUP($BD32,Programma!$F$3:$U$1107,16,0),"")</f>
        <v/>
      </c>
      <c r="BT32" s="363" t="str">
        <f>_xlfn.IFNA(VLOOKUP($BD32,Programma!$F$3:$V$1107,17,0),"")</f>
        <v/>
      </c>
      <c r="BU32" s="363" t="str">
        <f>_xlfn.IFNA(VLOOKUP($BD32,Programma!$F$3:$W$1107,18,0),"")</f>
        <v/>
      </c>
      <c r="BV32" s="363" t="str">
        <f>_xlfn.IFNA(VLOOKUP($BD32,Programma!$F$3:$X$1107,19,0),"")</f>
        <v/>
      </c>
      <c r="BW32" s="363" t="str">
        <f>_xlfn.IFNA(VLOOKUP($BD32,Programma!$F$3:$Y$1107,20,0),"")</f>
        <v/>
      </c>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row>
    <row r="33" spans="1:220" ht="15" customHeight="1">
      <c r="A33" s="33">
        <v>2</v>
      </c>
      <c r="B33" s="157" t="str">
        <f>VLOOKUP(Ruimtestaat[[#This Row],[Code]],Locaties[[Code]:[Locatie]],2,FALSE)</f>
        <v>'s Gravendreef College</v>
      </c>
      <c r="C33" s="157" t="str">
        <f>VLOOKUP(Ruimtestaat[[#This Row],[Code]],Locaties[[#All],[Code]:[Adres]],4,FALSE)</f>
        <v>Klaas Voskuildreef 135</v>
      </c>
      <c r="D33" s="157" t="str">
        <f>VLOOKUP(Ruimtestaat[[#This Row],[Code]],Locaties[[#All],[Code]:[Postcode]],5,FALSE)</f>
        <v>2492 JJ</v>
      </c>
      <c r="E33" s="157" t="str">
        <f>VLOOKUP(Ruimtestaat[[#This Row],[Code]],Locaties[#All],6,FALSE)</f>
        <v>Den Haag</v>
      </c>
      <c r="F33" s="33"/>
      <c r="G33" s="33" t="s">
        <v>1632</v>
      </c>
      <c r="H33" s="366">
        <v>29</v>
      </c>
      <c r="I33" s="367" t="s">
        <v>1652</v>
      </c>
      <c r="J33" s="21">
        <v>3</v>
      </c>
      <c r="K33" s="62" t="str">
        <f>VLOOKUP(Ruimtestaat[[#This Row],[Ruimte code]],Ruimtegroepen[[#All],[Code]:[Ruimte omschrijving]],2,FALSE)</f>
        <v>Reproruimte</v>
      </c>
      <c r="L33" s="33" t="s">
        <v>101</v>
      </c>
      <c r="M33" s="367" t="s">
        <v>2495</v>
      </c>
      <c r="N33" s="140">
        <v>14</v>
      </c>
      <c r="O33" s="140"/>
      <c r="P33" s="125" t="str">
        <f>VLOOKUP(Ruimtestaat[[#This Row],[Ruimte code]],Ruimtegroepen[],4,FALSE)</f>
        <v>Ve</v>
      </c>
      <c r="R33" s="33">
        <v>40</v>
      </c>
      <c r="S33" s="33" t="s">
        <v>2</v>
      </c>
      <c r="T33" s="33">
        <f>IF(R33&gt;0,IF(RIGHT(Ruimtestaat[[#This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 s="33">
        <f>IF(T33&gt;0,VLOOKUP($J33,Ruimtegroepen[],3,FALSE)*VLOOKUP($L33,Vloersoorten[],3,FALSE)*VLOOKUP($S33,Frequenties[],3,FALSE)*VLOOKUP($A33,Locaties[],3,FALSE),0)</f>
        <v>0</v>
      </c>
      <c r="V33" s="33">
        <f>Ruimtestaat[[#This Row],[Uitvoeringen werkdagen]]*Ruimtestaat[[#This Row],[Oppervlak (netto)]]</f>
        <v>2800</v>
      </c>
      <c r="W33" s="154">
        <f>IF(U33&gt;0,Ruimtestaat[[#This Row],[Prest. (m2 /jaar) werkdagen]]/Ruimtestaat[[#This Row],[Norm (m2/uur) werkdagen]],0)</f>
        <v>0</v>
      </c>
      <c r="X33" s="155">
        <f>Ruimtestaat[[#This Row],[uren / jaar werkdagen]]*Tariefsopbouw!$E$35</f>
        <v>0</v>
      </c>
      <c r="Y33" s="33"/>
      <c r="Z33" s="33">
        <f>IF(Ruimtestaat[[#This Row],[Frequentie weekend]]&gt;0,VALUE(LEFT(Y33,1))*R33,0)</f>
        <v>0</v>
      </c>
      <c r="AA33" s="97">
        <f>IF($Z33&gt;0,VLOOKUP($J33,Ruimtegroepen[],3,FALSE)*VLOOKUP($L33,Vloersoorten[],3,FALSE)*VLOOKUP($Y33,Frequenties[],3,FALSE)*VLOOKUP(Ruimtestaat[[#This Row],[Code]],Locaties[],3,FALSE),0)</f>
        <v>0</v>
      </c>
      <c r="AB33" s="97">
        <f>Ruimtestaat[[#This Row],[Uitvoeringen weekend]]*Ruimtestaat[[#This Row],[Oppervlak (netto)]]</f>
        <v>0</v>
      </c>
      <c r="AC33" s="97">
        <f>IF(AA33&gt;0,Ruimtestaat[[#This Row],[Prest. (m2 /jaar) weekend]]/Ruimtestaat[[#This Row],[Norm (m2/uur) weekend]],0)</f>
        <v>0</v>
      </c>
      <c r="AD33" s="155">
        <f>Ruimtestaat[[#This Row],[uren / jaar weekend]]*Tariefsopbouw!$D$40</f>
        <v>0</v>
      </c>
      <c r="AE33" s="154">
        <f>Ruimtestaat[[#This Row],[Prest. (m2 /jaar) weekend]]+Ruimtestaat[[#This Row],[Prest. (m2 /jaar) werkdagen]]</f>
        <v>2800</v>
      </c>
      <c r="AF33" s="154">
        <f>Ruimtestaat[[#This Row],[uren / jaar weekend]]+Ruimtestaat[[#This Row],[uren / jaar werkdagen]]</f>
        <v>0</v>
      </c>
      <c r="AG33" s="69">
        <f>Ruimtestaat[[#This Row],[kosten / jaar weekend]]+Ruimtestaat[[#This Row],[kosten / jaar werkdagen]]</f>
        <v>0</v>
      </c>
      <c r="AH33" s="69"/>
      <c r="AI33" s="256" t="str">
        <f>IF(Ruimtestaat[[#This Row],[Frequentie werkdagen]]="","",_xlfn.CONCAT(Ruimtestaat[[#This Row],[Ruimte code]],"-",Ruimtestaat[[#This Row],[Frequentie werkdagen]]," ",Ruimtestaat[[#This Row],[Vloer code]]))</f>
        <v>3-5w L</v>
      </c>
      <c r="AJ33" s="363" t="str">
        <f>_xlfn.IFNA(VLOOKUP($AI33,Programma!$F$3:$G$1107,2,0),"")</f>
        <v>_</v>
      </c>
      <c r="AK33" s="363" t="str">
        <f>_xlfn.IFNA(VLOOKUP($AI33,Programma!$F$3:$H$1107,3,0),"")</f>
        <v>_</v>
      </c>
      <c r="AL33" s="363" t="str">
        <f>_xlfn.IFNA(VLOOKUP($AI33,Programma!$F$3:$I$1107,4,0),"")</f>
        <v>4w</v>
      </c>
      <c r="AM33" s="363" t="str">
        <f>_xlfn.IFNA(VLOOKUP($AI33,Programma!$F$3:$J$1107,5,0),"")</f>
        <v>1w</v>
      </c>
      <c r="AN33" s="363" t="str">
        <f>_xlfn.IFNA(VLOOKUP($AI33,Programma!$F$3:$K$1107,6,0),"")</f>
        <v>_</v>
      </c>
      <c r="AO33" s="363" t="str">
        <f>_xlfn.IFNA(VLOOKUP($AI33,Programma!$F$3:$L$1107,7,0),"")</f>
        <v>_</v>
      </c>
      <c r="AP33" s="363" t="str">
        <f>_xlfn.IFNA(VLOOKUP($AI33,Programma!$F$3:$M$1107,8,0),"")</f>
        <v>_</v>
      </c>
      <c r="AQ33" s="363" t="str">
        <f>_xlfn.IFNA(VLOOKUP($AI33,Programma!$F$3:$N$1107,9,0),"")</f>
        <v>_</v>
      </c>
      <c r="AR33" s="363" t="str">
        <f>_xlfn.IFNA(VLOOKUP($AI33,Programma!$F$3:$O$1107,10,0),"")</f>
        <v>5w</v>
      </c>
      <c r="AS33" s="363" t="str">
        <f>_xlfn.IFNA(VLOOKUP($AI33,Programma!$F$3:$P$1107,11,0),"")</f>
        <v>5w</v>
      </c>
      <c r="AT33" s="363" t="str">
        <f>_xlfn.IFNA(VLOOKUP($AI33,Programma!$F$3:$Q$1107,12,0),"")</f>
        <v>1w</v>
      </c>
      <c r="AU33" s="363" t="str">
        <f>_xlfn.IFNA(VLOOKUP($AI33,Programma!$F$3:$R$1107,13,0),"")</f>
        <v>1w</v>
      </c>
      <c r="AV33" s="363" t="str">
        <f>_xlfn.IFNA(VLOOKUP($AI33,Programma!$F$3:$S$1107,14,0),"")</f>
        <v>1m</v>
      </c>
      <c r="AW33" s="363" t="str">
        <f>_xlfn.IFNA(VLOOKUP($AI33,Programma!$F$3:$T$1107,15,0),"")</f>
        <v>4j</v>
      </c>
      <c r="AX33" s="363" t="str">
        <f>_xlfn.IFNA(VLOOKUP($AI33,Programma!$F$3:$U$1107,16,0),"")</f>
        <v>1j</v>
      </c>
      <c r="AY33" s="363" t="str">
        <f>_xlfn.IFNA(VLOOKUP($AI33,Programma!$F$3:$V$1107,17,0),"")</f>
        <v>_</v>
      </c>
      <c r="AZ33" s="363" t="str">
        <f>_xlfn.IFNA(VLOOKUP($AI33,Programma!$F$3:$W$1107,18,0),"")</f>
        <v>_</v>
      </c>
      <c r="BA33" s="363" t="str">
        <f>_xlfn.IFNA(VLOOKUP($AI33,Programma!$F$3:$X$1107,19,0),"")</f>
        <v>_</v>
      </c>
      <c r="BB33" s="363" t="str">
        <f>_xlfn.IFNA(VLOOKUP($AI33,Programma!$F$3:$Y$1107,20,0),"")</f>
        <v>_</v>
      </c>
      <c r="BC33" s="257"/>
      <c r="BD33" s="256" t="str">
        <f>IF(Ruimtestaat[[#This Row],[Frequentie weekend]]="","",_xlfn.CONCAT(Ruimtestaat[[#This Row],[Ruimte code]],"-",Ruimtestaat[[#This Row],[Frequentie weekend]]," ",Ruimtestaat[[#This Row],[Vloer code]]))</f>
        <v/>
      </c>
      <c r="BE33" s="363" t="str">
        <f>_xlfn.IFNA(VLOOKUP($BD33,Programma!$F$3:$G$1107,2,0),"")</f>
        <v/>
      </c>
      <c r="BF33" s="363" t="str">
        <f>_xlfn.IFNA(VLOOKUP($BD33,Programma!$F$3:$H$1107,3,0),"")</f>
        <v/>
      </c>
      <c r="BG33" s="363" t="str">
        <f>_xlfn.IFNA(VLOOKUP($BD33,Programma!$F$3:$I$1107,4,0),"")</f>
        <v/>
      </c>
      <c r="BH33" s="363" t="str">
        <f>_xlfn.IFNA(VLOOKUP($BD33,Programma!$F$3:$J$1107,5,0),"")</f>
        <v/>
      </c>
      <c r="BI33" s="363" t="str">
        <f>_xlfn.IFNA(VLOOKUP($BD33,Programma!$F$3:$K$1107,6,0),"")</f>
        <v/>
      </c>
      <c r="BJ33" s="363" t="str">
        <f>_xlfn.IFNA(VLOOKUP($BD33,Programma!$F$3:$L$1107,7,0),"")</f>
        <v/>
      </c>
      <c r="BK33" s="363" t="str">
        <f>_xlfn.IFNA(VLOOKUP($BD33,Programma!$F$3:$M$1107,8,0),"")</f>
        <v/>
      </c>
      <c r="BL33" s="363" t="str">
        <f>_xlfn.IFNA(VLOOKUP($BD33,Programma!$F$3:$N$1107,9,0),"")</f>
        <v/>
      </c>
      <c r="BM33" s="363" t="str">
        <f>_xlfn.IFNA(VLOOKUP($BD33,Programma!$F$3:$O$1107,10,0),"")</f>
        <v/>
      </c>
      <c r="BN33" s="363" t="str">
        <f>_xlfn.IFNA(VLOOKUP($BD33,Programma!$F$3:$P$1107,11,0),"")</f>
        <v/>
      </c>
      <c r="BO33" s="363" t="str">
        <f>_xlfn.IFNA(VLOOKUP($BD33,Programma!$F$3:$Q$1107,12,0),"")</f>
        <v/>
      </c>
      <c r="BP33" s="363" t="str">
        <f>_xlfn.IFNA(VLOOKUP($BD33,Programma!$F$3:$R$1107,13,0),"")</f>
        <v/>
      </c>
      <c r="BQ33" s="363" t="str">
        <f>_xlfn.IFNA(VLOOKUP($BD33,Programma!$F$3:$S$1107,14,0),"")</f>
        <v/>
      </c>
      <c r="BR33" s="363" t="str">
        <f>_xlfn.IFNA(VLOOKUP($BD33,Programma!$F$3:$T$1107,15,0),"")</f>
        <v/>
      </c>
      <c r="BS33" s="363" t="str">
        <f>_xlfn.IFNA(VLOOKUP($BD33,Programma!$F$3:$U$1107,16,0),"")</f>
        <v/>
      </c>
      <c r="BT33" s="363" t="str">
        <f>_xlfn.IFNA(VLOOKUP($BD33,Programma!$F$3:$V$1107,17,0),"")</f>
        <v/>
      </c>
      <c r="BU33" s="363" t="str">
        <f>_xlfn.IFNA(VLOOKUP($BD33,Programma!$F$3:$W$1107,18,0),"")</f>
        <v/>
      </c>
      <c r="BV33" s="363" t="str">
        <f>_xlfn.IFNA(VLOOKUP($BD33,Programma!$F$3:$X$1107,19,0),"")</f>
        <v/>
      </c>
      <c r="BW33" s="363" t="str">
        <f>_xlfn.IFNA(VLOOKUP($BD33,Programma!$F$3:$Y$1107,20,0),"")</f>
        <v/>
      </c>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row>
    <row r="34" spans="1:220" ht="15" customHeight="1">
      <c r="A34" s="33">
        <v>2</v>
      </c>
      <c r="B34" s="157" t="str">
        <f>VLOOKUP(Ruimtestaat[[#This Row],[Code]],Locaties[[Code]:[Locatie]],2,FALSE)</f>
        <v>'s Gravendreef College</v>
      </c>
      <c r="C34" s="157" t="str">
        <f>VLOOKUP(Ruimtestaat[[#This Row],[Code]],Locaties[[#All],[Code]:[Adres]],4,FALSE)</f>
        <v>Klaas Voskuildreef 135</v>
      </c>
      <c r="D34" s="157" t="str">
        <f>VLOOKUP(Ruimtestaat[[#This Row],[Code]],Locaties[[#All],[Code]:[Postcode]],5,FALSE)</f>
        <v>2492 JJ</v>
      </c>
      <c r="E34" s="157" t="str">
        <f>VLOOKUP(Ruimtestaat[[#This Row],[Code]],Locaties[#All],6,FALSE)</f>
        <v>Den Haag</v>
      </c>
      <c r="F34" s="33"/>
      <c r="G34" s="33" t="s">
        <v>1632</v>
      </c>
      <c r="H34" s="366">
        <v>30</v>
      </c>
      <c r="I34" s="367" t="s">
        <v>1653</v>
      </c>
      <c r="J34" s="21">
        <v>2</v>
      </c>
      <c r="K34" s="62" t="str">
        <f>VLOOKUP(Ruimtestaat[[#This Row],[Ruimte code]],Ruimtegroepen[[#All],[Code]:[Ruimte omschrijving]],2,FALSE)</f>
        <v>Kantoren</v>
      </c>
      <c r="L34" s="33" t="s">
        <v>101</v>
      </c>
      <c r="M34" s="367" t="s">
        <v>2495</v>
      </c>
      <c r="N34" s="140">
        <v>44</v>
      </c>
      <c r="O34" s="140"/>
      <c r="P34" s="125" t="str">
        <f>VLOOKUP(Ruimtestaat[[#This Row],[Ruimte code]],Ruimtegroepen[],4,FALSE)</f>
        <v>Bu</v>
      </c>
      <c r="R34" s="33">
        <v>42</v>
      </c>
      <c r="S34" s="33" t="s">
        <v>18</v>
      </c>
      <c r="T34" s="33">
        <f>IF(R34&gt;0,IF(RIGHT(Ruimtestaat[[#This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4" s="33">
        <f>IF(T34&gt;0,VLOOKUP($J34,Ruimtegroepen[],3,FALSE)*VLOOKUP($L34,Vloersoorten[],3,FALSE)*VLOOKUP($S34,Frequenties[],3,FALSE)*VLOOKUP($A34,Locaties[],3,FALSE),0)</f>
        <v>0</v>
      </c>
      <c r="V34" s="33">
        <f>Ruimtestaat[[#This Row],[Uitvoeringen werkdagen]]*Ruimtestaat[[#This Row],[Oppervlak (netto)]]</f>
        <v>5544</v>
      </c>
      <c r="W34" s="154">
        <f>IF(U34&gt;0,Ruimtestaat[[#This Row],[Prest. (m2 /jaar) werkdagen]]/Ruimtestaat[[#This Row],[Norm (m2/uur) werkdagen]],0)</f>
        <v>0</v>
      </c>
      <c r="X34" s="155">
        <f>Ruimtestaat[[#This Row],[uren / jaar werkdagen]]*Tariefsopbouw!$E$35</f>
        <v>0</v>
      </c>
      <c r="Y34" s="33"/>
      <c r="Z34" s="33">
        <f>IF(Ruimtestaat[[#This Row],[Frequentie weekend]]&gt;0,VALUE(LEFT(Y34,1))*R34,0)</f>
        <v>0</v>
      </c>
      <c r="AA34" s="97">
        <f>IF($Z34&gt;0,VLOOKUP($J34,Ruimtegroepen[],3,FALSE)*VLOOKUP($L34,Vloersoorten[],3,FALSE)*VLOOKUP($Y34,Frequenties[],3,FALSE)*VLOOKUP(Ruimtestaat[[#This Row],[Code]],Locaties[],3,FALSE),0)</f>
        <v>0</v>
      </c>
      <c r="AB34" s="97">
        <f>Ruimtestaat[[#This Row],[Uitvoeringen weekend]]*Ruimtestaat[[#This Row],[Oppervlak (netto)]]</f>
        <v>0</v>
      </c>
      <c r="AC34" s="97">
        <f>IF(AA34&gt;0,Ruimtestaat[[#This Row],[Prest. (m2 /jaar) weekend]]/Ruimtestaat[[#This Row],[Norm (m2/uur) weekend]],0)</f>
        <v>0</v>
      </c>
      <c r="AD34" s="155">
        <f>Ruimtestaat[[#This Row],[uren / jaar weekend]]*Tariefsopbouw!$D$40</f>
        <v>0</v>
      </c>
      <c r="AE34" s="154">
        <f>Ruimtestaat[[#This Row],[Prest. (m2 /jaar) weekend]]+Ruimtestaat[[#This Row],[Prest. (m2 /jaar) werkdagen]]</f>
        <v>5544</v>
      </c>
      <c r="AF34" s="154">
        <f>Ruimtestaat[[#This Row],[uren / jaar weekend]]+Ruimtestaat[[#This Row],[uren / jaar werkdagen]]</f>
        <v>0</v>
      </c>
      <c r="AG34" s="69">
        <f>Ruimtestaat[[#This Row],[kosten / jaar weekend]]+Ruimtestaat[[#This Row],[kosten / jaar werkdagen]]</f>
        <v>0</v>
      </c>
      <c r="AH34" s="69"/>
      <c r="AI34" s="256" t="str">
        <f>IF(Ruimtestaat[[#This Row],[Frequentie werkdagen]]="","",_xlfn.CONCAT(Ruimtestaat[[#This Row],[Ruimte code]],"-",Ruimtestaat[[#This Row],[Frequentie werkdagen]]," ",Ruimtestaat[[#This Row],[Vloer code]]))</f>
        <v>2-3w L</v>
      </c>
      <c r="AJ34" s="363" t="str">
        <f>_xlfn.IFNA(VLOOKUP($AI34,Programma!$F$3:$G$1107,2,0),"")</f>
        <v>_</v>
      </c>
      <c r="AK34" s="363" t="str">
        <f>_xlfn.IFNA(VLOOKUP($AI34,Programma!$F$3:$H$1107,3,0),"")</f>
        <v>_</v>
      </c>
      <c r="AL34" s="363" t="str">
        <f>_xlfn.IFNA(VLOOKUP($AI34,Programma!$F$3:$I$1107,4,0),"")</f>
        <v>2w</v>
      </c>
      <c r="AM34" s="363" t="str">
        <f>_xlfn.IFNA(VLOOKUP($AI34,Programma!$F$3:$J$1107,5,0),"")</f>
        <v>1w</v>
      </c>
      <c r="AN34" s="363" t="str">
        <f>_xlfn.IFNA(VLOOKUP($AI34,Programma!$F$3:$K$1107,6,0),"")</f>
        <v>_</v>
      </c>
      <c r="AO34" s="363" t="str">
        <f>_xlfn.IFNA(VLOOKUP($AI34,Programma!$F$3:$L$1107,7,0),"")</f>
        <v>_</v>
      </c>
      <c r="AP34" s="363" t="str">
        <f>_xlfn.IFNA(VLOOKUP($AI34,Programma!$F$3:$M$1107,8,0),"")</f>
        <v>_</v>
      </c>
      <c r="AQ34" s="363" t="str">
        <f>_xlfn.IFNA(VLOOKUP($AI34,Programma!$F$3:$N$1107,9,0),"")</f>
        <v>_</v>
      </c>
      <c r="AR34" s="363" t="str">
        <f>_xlfn.IFNA(VLOOKUP($AI34,Programma!$F$3:$O$1107,10,0),"")</f>
        <v>3w</v>
      </c>
      <c r="AS34" s="363" t="str">
        <f>_xlfn.IFNA(VLOOKUP($AI34,Programma!$F$3:$P$1107,11,0),"")</f>
        <v>3w</v>
      </c>
      <c r="AT34" s="363" t="str">
        <f>_xlfn.IFNA(VLOOKUP($AI34,Programma!$F$3:$Q$1107,12,0),"")</f>
        <v>1w</v>
      </c>
      <c r="AU34" s="363" t="str">
        <f>_xlfn.IFNA(VLOOKUP($AI34,Programma!$F$3:$R$1107,13,0),"")</f>
        <v>1w</v>
      </c>
      <c r="AV34" s="363" t="str">
        <f>_xlfn.IFNA(VLOOKUP($AI34,Programma!$F$3:$S$1107,14,0),"")</f>
        <v>1m</v>
      </c>
      <c r="AW34" s="363" t="str">
        <f>_xlfn.IFNA(VLOOKUP($AI34,Programma!$F$3:$T$1107,15,0),"")</f>
        <v>2j</v>
      </c>
      <c r="AX34" s="363" t="str">
        <f>_xlfn.IFNA(VLOOKUP($AI34,Programma!$F$3:$U$1107,16,0),"")</f>
        <v>1j</v>
      </c>
      <c r="AY34" s="363" t="str">
        <f>_xlfn.IFNA(VLOOKUP($AI34,Programma!$F$3:$V$1107,17,0),"")</f>
        <v>_</v>
      </c>
      <c r="AZ34" s="363" t="str">
        <f>_xlfn.IFNA(VLOOKUP($AI34,Programma!$F$3:$W$1107,18,0),"")</f>
        <v>_</v>
      </c>
      <c r="BA34" s="363" t="str">
        <f>_xlfn.IFNA(VLOOKUP($AI34,Programma!$F$3:$X$1107,19,0),"")</f>
        <v>_</v>
      </c>
      <c r="BB34" s="363" t="str">
        <f>_xlfn.IFNA(VLOOKUP($AI34,Programma!$F$3:$Y$1107,20,0),"")</f>
        <v>_</v>
      </c>
      <c r="BC34" s="257"/>
      <c r="BD34" s="256" t="str">
        <f>IF(Ruimtestaat[[#This Row],[Frequentie weekend]]="","",_xlfn.CONCAT(Ruimtestaat[[#This Row],[Ruimte code]],"-",Ruimtestaat[[#This Row],[Frequentie weekend]]," ",Ruimtestaat[[#This Row],[Vloer code]]))</f>
        <v/>
      </c>
      <c r="BE34" s="363" t="str">
        <f>_xlfn.IFNA(VLOOKUP($BD34,Programma!$F$3:$G$1107,2,0),"")</f>
        <v/>
      </c>
      <c r="BF34" s="363" t="str">
        <f>_xlfn.IFNA(VLOOKUP($BD34,Programma!$F$3:$H$1107,3,0),"")</f>
        <v/>
      </c>
      <c r="BG34" s="363" t="str">
        <f>_xlfn.IFNA(VLOOKUP($BD34,Programma!$F$3:$I$1107,4,0),"")</f>
        <v/>
      </c>
      <c r="BH34" s="363" t="str">
        <f>_xlfn.IFNA(VLOOKUP($BD34,Programma!$F$3:$J$1107,5,0),"")</f>
        <v/>
      </c>
      <c r="BI34" s="363" t="str">
        <f>_xlfn.IFNA(VLOOKUP($BD34,Programma!$F$3:$K$1107,6,0),"")</f>
        <v/>
      </c>
      <c r="BJ34" s="363" t="str">
        <f>_xlfn.IFNA(VLOOKUP($BD34,Programma!$F$3:$L$1107,7,0),"")</f>
        <v/>
      </c>
      <c r="BK34" s="363" t="str">
        <f>_xlfn.IFNA(VLOOKUP($BD34,Programma!$F$3:$M$1107,8,0),"")</f>
        <v/>
      </c>
      <c r="BL34" s="363" t="str">
        <f>_xlfn.IFNA(VLOOKUP($BD34,Programma!$F$3:$N$1107,9,0),"")</f>
        <v/>
      </c>
      <c r="BM34" s="363" t="str">
        <f>_xlfn.IFNA(VLOOKUP($BD34,Programma!$F$3:$O$1107,10,0),"")</f>
        <v/>
      </c>
      <c r="BN34" s="363" t="str">
        <f>_xlfn.IFNA(VLOOKUP($BD34,Programma!$F$3:$P$1107,11,0),"")</f>
        <v/>
      </c>
      <c r="BO34" s="363" t="str">
        <f>_xlfn.IFNA(VLOOKUP($BD34,Programma!$F$3:$Q$1107,12,0),"")</f>
        <v/>
      </c>
      <c r="BP34" s="363" t="str">
        <f>_xlfn.IFNA(VLOOKUP($BD34,Programma!$F$3:$R$1107,13,0),"")</f>
        <v/>
      </c>
      <c r="BQ34" s="363" t="str">
        <f>_xlfn.IFNA(VLOOKUP($BD34,Programma!$F$3:$S$1107,14,0),"")</f>
        <v/>
      </c>
      <c r="BR34" s="363" t="str">
        <f>_xlfn.IFNA(VLOOKUP($BD34,Programma!$F$3:$T$1107,15,0),"")</f>
        <v/>
      </c>
      <c r="BS34" s="363" t="str">
        <f>_xlfn.IFNA(VLOOKUP($BD34,Programma!$F$3:$U$1107,16,0),"")</f>
        <v/>
      </c>
      <c r="BT34" s="363" t="str">
        <f>_xlfn.IFNA(VLOOKUP($BD34,Programma!$F$3:$V$1107,17,0),"")</f>
        <v/>
      </c>
      <c r="BU34" s="363" t="str">
        <f>_xlfn.IFNA(VLOOKUP($BD34,Programma!$F$3:$W$1107,18,0),"")</f>
        <v/>
      </c>
      <c r="BV34" s="363" t="str">
        <f>_xlfn.IFNA(VLOOKUP($BD34,Programma!$F$3:$X$1107,19,0),"")</f>
        <v/>
      </c>
      <c r="BW34" s="363" t="str">
        <f>_xlfn.IFNA(VLOOKUP($BD34,Programma!$F$3:$Y$1107,20,0),"")</f>
        <v/>
      </c>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row>
    <row r="35" spans="1:220" ht="15" customHeight="1">
      <c r="A35" s="33">
        <v>2</v>
      </c>
      <c r="B35" s="157" t="str">
        <f>VLOOKUP(Ruimtestaat[[#This Row],[Code]],Locaties[[Code]:[Locatie]],2,FALSE)</f>
        <v>'s Gravendreef College</v>
      </c>
      <c r="C35" s="157" t="str">
        <f>VLOOKUP(Ruimtestaat[[#This Row],[Code]],Locaties[[#All],[Code]:[Adres]],4,FALSE)</f>
        <v>Klaas Voskuildreef 135</v>
      </c>
      <c r="D35" s="157" t="str">
        <f>VLOOKUP(Ruimtestaat[[#This Row],[Code]],Locaties[[#All],[Code]:[Postcode]],5,FALSE)</f>
        <v>2492 JJ</v>
      </c>
      <c r="E35" s="157" t="str">
        <f>VLOOKUP(Ruimtestaat[[#This Row],[Code]],Locaties[#All],6,FALSE)</f>
        <v>Den Haag</v>
      </c>
      <c r="F35" s="33"/>
      <c r="G35" s="33" t="s">
        <v>1624</v>
      </c>
      <c r="H35" s="368" t="s">
        <v>1654</v>
      </c>
      <c r="I35" s="367" t="s">
        <v>1655</v>
      </c>
      <c r="J35" s="21">
        <v>10</v>
      </c>
      <c r="K35" s="62" t="str">
        <f>VLOOKUP(Ruimtestaat[[#This Row],[Ruimte code]],Ruimtegroepen[[#All],[Code]:[Ruimte omschrijving]],2,FALSE)</f>
        <v>Trappenhuizen/lift</v>
      </c>
      <c r="L35" s="33" t="s">
        <v>103</v>
      </c>
      <c r="M35" s="367" t="s">
        <v>2498</v>
      </c>
      <c r="N35" s="140">
        <v>23</v>
      </c>
      <c r="O35" s="140"/>
      <c r="P35" s="125" t="str">
        <f>VLOOKUP(Ruimtestaat[[#This Row],[Ruimte code]],Ruimtegroepen[],4,FALSE)</f>
        <v>Ve</v>
      </c>
      <c r="R35" s="33">
        <v>40</v>
      </c>
      <c r="S35" s="33" t="s">
        <v>2</v>
      </c>
      <c r="T35" s="33">
        <f>IF(R35&gt;0,IF(RIGHT(Ruimtestaat[[#This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 s="33">
        <f>IF(T35&gt;0,VLOOKUP($J35,Ruimtegroepen[],3,FALSE)*VLOOKUP($L35,Vloersoorten[],3,FALSE)*VLOOKUP($S35,Frequenties[],3,FALSE)*VLOOKUP($A35,Locaties[],3,FALSE),0)</f>
        <v>0</v>
      </c>
      <c r="V35" s="33">
        <f>Ruimtestaat[[#This Row],[Uitvoeringen werkdagen]]*Ruimtestaat[[#This Row],[Oppervlak (netto)]]</f>
        <v>4600</v>
      </c>
      <c r="W35" s="154">
        <f>IF(U35&gt;0,Ruimtestaat[[#This Row],[Prest. (m2 /jaar) werkdagen]]/Ruimtestaat[[#This Row],[Norm (m2/uur) werkdagen]],0)</f>
        <v>0</v>
      </c>
      <c r="X35" s="155">
        <f>Ruimtestaat[[#This Row],[uren / jaar werkdagen]]*Tariefsopbouw!$E$35</f>
        <v>0</v>
      </c>
      <c r="Y35" s="33"/>
      <c r="Z35" s="33">
        <f>IF(Ruimtestaat[[#This Row],[Frequentie weekend]]&gt;0,VALUE(LEFT(Y35,1))*R35,0)</f>
        <v>0</v>
      </c>
      <c r="AA35" s="97">
        <f>IF($Z35&gt;0,VLOOKUP($J35,Ruimtegroepen[],3,FALSE)*VLOOKUP($L35,Vloersoorten[],3,FALSE)*VLOOKUP($Y35,Frequenties[],3,FALSE)*VLOOKUP(Ruimtestaat[[#This Row],[Code]],Locaties[],3,FALSE),0)</f>
        <v>0</v>
      </c>
      <c r="AB35" s="97">
        <f>Ruimtestaat[[#This Row],[Uitvoeringen weekend]]*Ruimtestaat[[#This Row],[Oppervlak (netto)]]</f>
        <v>0</v>
      </c>
      <c r="AC35" s="97">
        <f>IF(AA35&gt;0,Ruimtestaat[[#This Row],[Prest. (m2 /jaar) weekend]]/Ruimtestaat[[#This Row],[Norm (m2/uur) weekend]],0)</f>
        <v>0</v>
      </c>
      <c r="AD35" s="155">
        <f>Ruimtestaat[[#This Row],[uren / jaar weekend]]*Tariefsopbouw!$D$40</f>
        <v>0</v>
      </c>
      <c r="AE35" s="154">
        <f>Ruimtestaat[[#This Row],[Prest. (m2 /jaar) weekend]]+Ruimtestaat[[#This Row],[Prest. (m2 /jaar) werkdagen]]</f>
        <v>4600</v>
      </c>
      <c r="AF35" s="154">
        <f>Ruimtestaat[[#This Row],[uren / jaar weekend]]+Ruimtestaat[[#This Row],[uren / jaar werkdagen]]</f>
        <v>0</v>
      </c>
      <c r="AG35" s="69">
        <f>Ruimtestaat[[#This Row],[kosten / jaar weekend]]+Ruimtestaat[[#This Row],[kosten / jaar werkdagen]]</f>
        <v>0</v>
      </c>
      <c r="AH35" s="69"/>
      <c r="AI35" s="256" t="str">
        <f>IF(Ruimtestaat[[#This Row],[Frequentie werkdagen]]="","",_xlfn.CONCAT(Ruimtestaat[[#This Row],[Ruimte code]],"-",Ruimtestaat[[#This Row],[Frequentie werkdagen]]," ",Ruimtestaat[[#This Row],[Vloer code]]))</f>
        <v>10-5w P</v>
      </c>
      <c r="AJ35" s="363" t="str">
        <f>_xlfn.IFNA(VLOOKUP($AI35,Programma!$F$3:$G$1107,2,0),"")</f>
        <v>_</v>
      </c>
      <c r="AK35" s="363" t="str">
        <f>_xlfn.IFNA(VLOOKUP($AI35,Programma!$F$3:$H$1107,3,0),"")</f>
        <v>_</v>
      </c>
      <c r="AL35" s="363" t="str">
        <f>_xlfn.IFNA(VLOOKUP($AI35,Programma!$F$3:$I$1107,4,0),"")</f>
        <v>5w</v>
      </c>
      <c r="AM35" s="363" t="str">
        <f>_xlfn.IFNA(VLOOKUP($AI35,Programma!$F$3:$J$1107,5,0),"")</f>
        <v>_</v>
      </c>
      <c r="AN35" s="363" t="str">
        <f>_xlfn.IFNA(VLOOKUP($AI35,Programma!$F$3:$K$1107,6,0),"")</f>
        <v>4j</v>
      </c>
      <c r="AO35" s="363" t="str">
        <f>_xlfn.IFNA(VLOOKUP($AI35,Programma!$F$3:$L$1107,7,0),"")</f>
        <v>_</v>
      </c>
      <c r="AP35" s="363" t="str">
        <f>_xlfn.IFNA(VLOOKUP($AI35,Programma!$F$3:$M$1107,8,0),"")</f>
        <v>_</v>
      </c>
      <c r="AQ35" s="363" t="str">
        <f>_xlfn.IFNA(VLOOKUP($AI35,Programma!$F$3:$N$1107,9,0),"")</f>
        <v>_</v>
      </c>
      <c r="AR35" s="363" t="str">
        <f>_xlfn.IFNA(VLOOKUP($AI35,Programma!$F$3:$O$1107,10,0),"")</f>
        <v>5w</v>
      </c>
      <c r="AS35" s="363" t="str">
        <f>_xlfn.IFNA(VLOOKUP($AI35,Programma!$F$3:$P$1107,11,0),"")</f>
        <v>5w</v>
      </c>
      <c r="AT35" s="363" t="str">
        <f>_xlfn.IFNA(VLOOKUP($AI35,Programma!$F$3:$Q$1107,12,0),"")</f>
        <v>1w</v>
      </c>
      <c r="AU35" s="363" t="str">
        <f>_xlfn.IFNA(VLOOKUP($AI35,Programma!$F$3:$R$1107,13,0),"")</f>
        <v>1w</v>
      </c>
      <c r="AV35" s="363" t="str">
        <f>_xlfn.IFNA(VLOOKUP($AI35,Programma!$F$3:$S$1107,14,0),"")</f>
        <v>1m</v>
      </c>
      <c r="AW35" s="363" t="str">
        <f>_xlfn.IFNA(VLOOKUP($AI35,Programma!$F$3:$T$1107,15,0),"")</f>
        <v>2j</v>
      </c>
      <c r="AX35" s="363" t="str">
        <f>_xlfn.IFNA(VLOOKUP($AI35,Programma!$F$3:$U$1107,16,0),"")</f>
        <v>1j</v>
      </c>
      <c r="AY35" s="363" t="str">
        <f>_xlfn.IFNA(VLOOKUP($AI35,Programma!$F$3:$V$1107,17,0),"")</f>
        <v>_</v>
      </c>
      <c r="AZ35" s="363" t="str">
        <f>_xlfn.IFNA(VLOOKUP($AI35,Programma!$F$3:$W$1107,18,0),"")</f>
        <v>_</v>
      </c>
      <c r="BA35" s="363" t="str">
        <f>_xlfn.IFNA(VLOOKUP($AI35,Programma!$F$3:$X$1107,19,0),"")</f>
        <v>_</v>
      </c>
      <c r="BB35" s="363" t="str">
        <f>_xlfn.IFNA(VLOOKUP($AI35,Programma!$F$3:$Y$1107,20,0),"")</f>
        <v>_</v>
      </c>
      <c r="BC35" s="257"/>
      <c r="BD35" s="256" t="str">
        <f>IF(Ruimtestaat[[#This Row],[Frequentie weekend]]="","",_xlfn.CONCAT(Ruimtestaat[[#This Row],[Ruimte code]],"-",Ruimtestaat[[#This Row],[Frequentie weekend]]," ",Ruimtestaat[[#This Row],[Vloer code]]))</f>
        <v/>
      </c>
      <c r="BE35" s="363" t="str">
        <f>_xlfn.IFNA(VLOOKUP($BD35,Programma!$F$3:$G$1107,2,0),"")</f>
        <v/>
      </c>
      <c r="BF35" s="363" t="str">
        <f>_xlfn.IFNA(VLOOKUP($BD35,Programma!$F$3:$H$1107,3,0),"")</f>
        <v/>
      </c>
      <c r="BG35" s="363" t="str">
        <f>_xlfn.IFNA(VLOOKUP($BD35,Programma!$F$3:$I$1107,4,0),"")</f>
        <v/>
      </c>
      <c r="BH35" s="363" t="str">
        <f>_xlfn.IFNA(VLOOKUP($BD35,Programma!$F$3:$J$1107,5,0),"")</f>
        <v/>
      </c>
      <c r="BI35" s="363" t="str">
        <f>_xlfn.IFNA(VLOOKUP($BD35,Programma!$F$3:$K$1107,6,0),"")</f>
        <v/>
      </c>
      <c r="BJ35" s="363" t="str">
        <f>_xlfn.IFNA(VLOOKUP($BD35,Programma!$F$3:$L$1107,7,0),"")</f>
        <v/>
      </c>
      <c r="BK35" s="363" t="str">
        <f>_xlfn.IFNA(VLOOKUP($BD35,Programma!$F$3:$M$1107,8,0),"")</f>
        <v/>
      </c>
      <c r="BL35" s="363" t="str">
        <f>_xlfn.IFNA(VLOOKUP($BD35,Programma!$F$3:$N$1107,9,0),"")</f>
        <v/>
      </c>
      <c r="BM35" s="363" t="str">
        <f>_xlfn.IFNA(VLOOKUP($BD35,Programma!$F$3:$O$1107,10,0),"")</f>
        <v/>
      </c>
      <c r="BN35" s="363" t="str">
        <f>_xlfn.IFNA(VLOOKUP($BD35,Programma!$F$3:$P$1107,11,0),"")</f>
        <v/>
      </c>
      <c r="BO35" s="363" t="str">
        <f>_xlfn.IFNA(VLOOKUP($BD35,Programma!$F$3:$Q$1107,12,0),"")</f>
        <v/>
      </c>
      <c r="BP35" s="363" t="str">
        <f>_xlfn.IFNA(VLOOKUP($BD35,Programma!$F$3:$R$1107,13,0),"")</f>
        <v/>
      </c>
      <c r="BQ35" s="363" t="str">
        <f>_xlfn.IFNA(VLOOKUP($BD35,Programma!$F$3:$S$1107,14,0),"")</f>
        <v/>
      </c>
      <c r="BR35" s="363" t="str">
        <f>_xlfn.IFNA(VLOOKUP($BD35,Programma!$F$3:$T$1107,15,0),"")</f>
        <v/>
      </c>
      <c r="BS35" s="363" t="str">
        <f>_xlfn.IFNA(VLOOKUP($BD35,Programma!$F$3:$U$1107,16,0),"")</f>
        <v/>
      </c>
      <c r="BT35" s="363" t="str">
        <f>_xlfn.IFNA(VLOOKUP($BD35,Programma!$F$3:$V$1107,17,0),"")</f>
        <v/>
      </c>
      <c r="BU35" s="363" t="str">
        <f>_xlfn.IFNA(VLOOKUP($BD35,Programma!$F$3:$W$1107,18,0),"")</f>
        <v/>
      </c>
      <c r="BV35" s="363" t="str">
        <f>_xlfn.IFNA(VLOOKUP($BD35,Programma!$F$3:$X$1107,19,0),"")</f>
        <v/>
      </c>
      <c r="BW35" s="363" t="str">
        <f>_xlfn.IFNA(VLOOKUP($BD35,Programma!$F$3:$Y$1107,20,0),"")</f>
        <v/>
      </c>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row>
    <row r="36" spans="1:220" ht="15" customHeight="1">
      <c r="A36" s="33">
        <v>2</v>
      </c>
      <c r="B36" s="157" t="str">
        <f>VLOOKUP(Ruimtestaat[[#This Row],[Code]],Locaties[[Code]:[Locatie]],2,FALSE)</f>
        <v>'s Gravendreef College</v>
      </c>
      <c r="C36" s="157" t="str">
        <f>VLOOKUP(Ruimtestaat[[#This Row],[Code]],Locaties[[#All],[Code]:[Adres]],4,FALSE)</f>
        <v>Klaas Voskuildreef 135</v>
      </c>
      <c r="D36" s="157" t="str">
        <f>VLOOKUP(Ruimtestaat[[#This Row],[Code]],Locaties[[#All],[Code]:[Postcode]],5,FALSE)</f>
        <v>2492 JJ</v>
      </c>
      <c r="E36" s="157" t="str">
        <f>VLOOKUP(Ruimtestaat[[#This Row],[Code]],Locaties[#All],6,FALSE)</f>
        <v>Den Haag</v>
      </c>
      <c r="F36" s="33"/>
      <c r="G36" s="33" t="s">
        <v>1624</v>
      </c>
      <c r="H36" s="368" t="s">
        <v>1656</v>
      </c>
      <c r="I36" s="367" t="s">
        <v>1657</v>
      </c>
      <c r="J36" s="21">
        <v>10</v>
      </c>
      <c r="K36" s="62" t="str">
        <f>VLOOKUP(Ruimtestaat[[#This Row],[Ruimte code]],Ruimtegroepen[[#All],[Code]:[Ruimte omschrijving]],2,FALSE)</f>
        <v>Trappenhuizen/lift</v>
      </c>
      <c r="L36" s="33" t="s">
        <v>102</v>
      </c>
      <c r="M36" s="367" t="s">
        <v>2499</v>
      </c>
      <c r="N36" s="140">
        <v>38</v>
      </c>
      <c r="O36" s="140"/>
      <c r="P36" s="125" t="str">
        <f>VLOOKUP(Ruimtestaat[[#This Row],[Ruimte code]],Ruimtegroepen[],4,FALSE)</f>
        <v>Ve</v>
      </c>
      <c r="R36" s="33">
        <v>40</v>
      </c>
      <c r="S36" s="33" t="s">
        <v>2</v>
      </c>
      <c r="T36" s="33">
        <f>IF(R36&gt;0,IF(RIGHT(Ruimtestaat[[#This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 s="33">
        <f>IF(T36&gt;0,VLOOKUP($J36,Ruimtegroepen[],3,FALSE)*VLOOKUP($L36,Vloersoorten[],3,FALSE)*VLOOKUP($S36,Frequenties[],3,FALSE)*VLOOKUP($A36,Locaties[],3,FALSE),0)</f>
        <v>0</v>
      </c>
      <c r="V36" s="33">
        <f>Ruimtestaat[[#This Row],[Uitvoeringen werkdagen]]*Ruimtestaat[[#This Row],[Oppervlak (netto)]]</f>
        <v>7600</v>
      </c>
      <c r="W36" s="154">
        <f>IF(U36&gt;0,Ruimtestaat[[#This Row],[Prest. (m2 /jaar) werkdagen]]/Ruimtestaat[[#This Row],[Norm (m2/uur) werkdagen]],0)</f>
        <v>0</v>
      </c>
      <c r="X36" s="155">
        <f>Ruimtestaat[[#This Row],[uren / jaar werkdagen]]*Tariefsopbouw!$E$35</f>
        <v>0</v>
      </c>
      <c r="Y36" s="33"/>
      <c r="Z36" s="33">
        <f>IF(Ruimtestaat[[#This Row],[Frequentie weekend]]&gt;0,VALUE(LEFT(Y36,1))*R36,0)</f>
        <v>0</v>
      </c>
      <c r="AA36" s="97">
        <f>IF($Z36&gt;0,VLOOKUP($J36,Ruimtegroepen[],3,FALSE)*VLOOKUP($L36,Vloersoorten[],3,FALSE)*VLOOKUP($Y36,Frequenties[],3,FALSE)*VLOOKUP(Ruimtestaat[[#This Row],[Code]],Locaties[],3,FALSE),0)</f>
        <v>0</v>
      </c>
      <c r="AB36" s="97">
        <f>Ruimtestaat[[#This Row],[Uitvoeringen weekend]]*Ruimtestaat[[#This Row],[Oppervlak (netto)]]</f>
        <v>0</v>
      </c>
      <c r="AC36" s="97">
        <f>IF(AA36&gt;0,Ruimtestaat[[#This Row],[Prest. (m2 /jaar) weekend]]/Ruimtestaat[[#This Row],[Norm (m2/uur) weekend]],0)</f>
        <v>0</v>
      </c>
      <c r="AD36" s="155">
        <f>Ruimtestaat[[#This Row],[uren / jaar weekend]]*Tariefsopbouw!$D$40</f>
        <v>0</v>
      </c>
      <c r="AE36" s="154">
        <f>Ruimtestaat[[#This Row],[Prest. (m2 /jaar) weekend]]+Ruimtestaat[[#This Row],[Prest. (m2 /jaar) werkdagen]]</f>
        <v>7600</v>
      </c>
      <c r="AF36" s="154">
        <f>Ruimtestaat[[#This Row],[uren / jaar weekend]]+Ruimtestaat[[#This Row],[uren / jaar werkdagen]]</f>
        <v>0</v>
      </c>
      <c r="AG36" s="69">
        <f>Ruimtestaat[[#This Row],[kosten / jaar weekend]]+Ruimtestaat[[#This Row],[kosten / jaar werkdagen]]</f>
        <v>0</v>
      </c>
      <c r="AH36" s="69"/>
      <c r="AI36" s="256" t="str">
        <f>IF(Ruimtestaat[[#This Row],[Frequentie werkdagen]]="","",_xlfn.CONCAT(Ruimtestaat[[#This Row],[Ruimte code]],"-",Ruimtestaat[[#This Row],[Frequentie werkdagen]]," ",Ruimtestaat[[#This Row],[Vloer code]]))</f>
        <v>10-5w S</v>
      </c>
      <c r="AJ36" s="363" t="str">
        <f>_xlfn.IFNA(VLOOKUP($AI36,Programma!$F$3:$G$1107,2,0),"")</f>
        <v>_</v>
      </c>
      <c r="AK36" s="363" t="str">
        <f>_xlfn.IFNA(VLOOKUP($AI36,Programma!$F$3:$H$1107,3,0),"")</f>
        <v>_</v>
      </c>
      <c r="AL36" s="363" t="str">
        <f>_xlfn.IFNA(VLOOKUP($AI36,Programma!$F$3:$I$1107,4,0),"")</f>
        <v>4w</v>
      </c>
      <c r="AM36" s="363" t="str">
        <f>_xlfn.IFNA(VLOOKUP($AI36,Programma!$F$3:$J$1107,5,0),"")</f>
        <v>1w</v>
      </c>
      <c r="AN36" s="363" t="str">
        <f>_xlfn.IFNA(VLOOKUP($AI36,Programma!$F$3:$K$1107,6,0),"")</f>
        <v>4j</v>
      </c>
      <c r="AO36" s="363" t="str">
        <f>_xlfn.IFNA(VLOOKUP($AI36,Programma!$F$3:$L$1107,7,0),"")</f>
        <v>_</v>
      </c>
      <c r="AP36" s="363" t="str">
        <f>_xlfn.IFNA(VLOOKUP($AI36,Programma!$F$3:$M$1107,8,0),"")</f>
        <v>_</v>
      </c>
      <c r="AQ36" s="363" t="str">
        <f>_xlfn.IFNA(VLOOKUP($AI36,Programma!$F$3:$N$1107,9,0),"")</f>
        <v>_</v>
      </c>
      <c r="AR36" s="363" t="str">
        <f>_xlfn.IFNA(VLOOKUP($AI36,Programma!$F$3:$O$1107,10,0),"")</f>
        <v>5w</v>
      </c>
      <c r="AS36" s="363" t="str">
        <f>_xlfn.IFNA(VLOOKUP($AI36,Programma!$F$3:$P$1107,11,0),"")</f>
        <v>5w</v>
      </c>
      <c r="AT36" s="363" t="str">
        <f>_xlfn.IFNA(VLOOKUP($AI36,Programma!$F$3:$Q$1107,12,0),"")</f>
        <v>1w</v>
      </c>
      <c r="AU36" s="363" t="str">
        <f>_xlfn.IFNA(VLOOKUP($AI36,Programma!$F$3:$R$1107,13,0),"")</f>
        <v>1w</v>
      </c>
      <c r="AV36" s="363" t="str">
        <f>_xlfn.IFNA(VLOOKUP($AI36,Programma!$F$3:$S$1107,14,0),"")</f>
        <v>1m</v>
      </c>
      <c r="AW36" s="363" t="str">
        <f>_xlfn.IFNA(VLOOKUP($AI36,Programma!$F$3:$T$1107,15,0),"")</f>
        <v>2j</v>
      </c>
      <c r="AX36" s="363" t="str">
        <f>_xlfn.IFNA(VLOOKUP($AI36,Programma!$F$3:$U$1107,16,0),"")</f>
        <v>1j</v>
      </c>
      <c r="AY36" s="363" t="str">
        <f>_xlfn.IFNA(VLOOKUP($AI36,Programma!$F$3:$V$1107,17,0),"")</f>
        <v>_</v>
      </c>
      <c r="AZ36" s="363" t="str">
        <f>_xlfn.IFNA(VLOOKUP($AI36,Programma!$F$3:$W$1107,18,0),"")</f>
        <v>_</v>
      </c>
      <c r="BA36" s="363" t="str">
        <f>_xlfn.IFNA(VLOOKUP($AI36,Programma!$F$3:$X$1107,19,0),"")</f>
        <v>_</v>
      </c>
      <c r="BB36" s="363" t="str">
        <f>_xlfn.IFNA(VLOOKUP($AI36,Programma!$F$3:$Y$1107,20,0),"")</f>
        <v>_</v>
      </c>
      <c r="BC36" s="257"/>
      <c r="BD36" s="256" t="str">
        <f>IF(Ruimtestaat[[#This Row],[Frequentie weekend]]="","",_xlfn.CONCAT(Ruimtestaat[[#This Row],[Ruimte code]],"-",Ruimtestaat[[#This Row],[Frequentie weekend]]," ",Ruimtestaat[[#This Row],[Vloer code]]))</f>
        <v/>
      </c>
      <c r="BE36" s="363" t="str">
        <f>_xlfn.IFNA(VLOOKUP($BD36,Programma!$F$3:$G$1107,2,0),"")</f>
        <v/>
      </c>
      <c r="BF36" s="363" t="str">
        <f>_xlfn.IFNA(VLOOKUP($BD36,Programma!$F$3:$H$1107,3,0),"")</f>
        <v/>
      </c>
      <c r="BG36" s="363" t="str">
        <f>_xlfn.IFNA(VLOOKUP($BD36,Programma!$F$3:$I$1107,4,0),"")</f>
        <v/>
      </c>
      <c r="BH36" s="363" t="str">
        <f>_xlfn.IFNA(VLOOKUP($BD36,Programma!$F$3:$J$1107,5,0),"")</f>
        <v/>
      </c>
      <c r="BI36" s="363" t="str">
        <f>_xlfn.IFNA(VLOOKUP($BD36,Programma!$F$3:$K$1107,6,0),"")</f>
        <v/>
      </c>
      <c r="BJ36" s="363" t="str">
        <f>_xlfn.IFNA(VLOOKUP($BD36,Programma!$F$3:$L$1107,7,0),"")</f>
        <v/>
      </c>
      <c r="BK36" s="363" t="str">
        <f>_xlfn.IFNA(VLOOKUP($BD36,Programma!$F$3:$M$1107,8,0),"")</f>
        <v/>
      </c>
      <c r="BL36" s="363" t="str">
        <f>_xlfn.IFNA(VLOOKUP($BD36,Programma!$F$3:$N$1107,9,0),"")</f>
        <v/>
      </c>
      <c r="BM36" s="363" t="str">
        <f>_xlfn.IFNA(VLOOKUP($BD36,Programma!$F$3:$O$1107,10,0),"")</f>
        <v/>
      </c>
      <c r="BN36" s="363" t="str">
        <f>_xlfn.IFNA(VLOOKUP($BD36,Programma!$F$3:$P$1107,11,0),"")</f>
        <v/>
      </c>
      <c r="BO36" s="363" t="str">
        <f>_xlfn.IFNA(VLOOKUP($BD36,Programma!$F$3:$Q$1107,12,0),"")</f>
        <v/>
      </c>
      <c r="BP36" s="363" t="str">
        <f>_xlfn.IFNA(VLOOKUP($BD36,Programma!$F$3:$R$1107,13,0),"")</f>
        <v/>
      </c>
      <c r="BQ36" s="363" t="str">
        <f>_xlfn.IFNA(VLOOKUP($BD36,Programma!$F$3:$S$1107,14,0),"")</f>
        <v/>
      </c>
      <c r="BR36" s="363" t="str">
        <f>_xlfn.IFNA(VLOOKUP($BD36,Programma!$F$3:$T$1107,15,0),"")</f>
        <v/>
      </c>
      <c r="BS36" s="363" t="str">
        <f>_xlfn.IFNA(VLOOKUP($BD36,Programma!$F$3:$U$1107,16,0),"")</f>
        <v/>
      </c>
      <c r="BT36" s="363" t="str">
        <f>_xlfn.IFNA(VLOOKUP($BD36,Programma!$F$3:$V$1107,17,0),"")</f>
        <v/>
      </c>
      <c r="BU36" s="363" t="str">
        <f>_xlfn.IFNA(VLOOKUP($BD36,Programma!$F$3:$W$1107,18,0),"")</f>
        <v/>
      </c>
      <c r="BV36" s="363" t="str">
        <f>_xlfn.IFNA(VLOOKUP($BD36,Programma!$F$3:$X$1107,19,0),"")</f>
        <v/>
      </c>
      <c r="BW36" s="363" t="str">
        <f>_xlfn.IFNA(VLOOKUP($BD36,Programma!$F$3:$Y$1107,20,0),"")</f>
        <v/>
      </c>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row>
    <row r="37" spans="1:220" ht="15" customHeight="1">
      <c r="A37" s="33">
        <v>2</v>
      </c>
      <c r="B37" s="157" t="str">
        <f>VLOOKUP(Ruimtestaat[[#This Row],[Code]],Locaties[[Code]:[Locatie]],2,FALSE)</f>
        <v>'s Gravendreef College</v>
      </c>
      <c r="C37" s="157" t="str">
        <f>VLOOKUP(Ruimtestaat[[#This Row],[Code]],Locaties[[#All],[Code]:[Adres]],4,FALSE)</f>
        <v>Klaas Voskuildreef 135</v>
      </c>
      <c r="D37" s="157" t="str">
        <f>VLOOKUP(Ruimtestaat[[#This Row],[Code]],Locaties[[#All],[Code]:[Postcode]],5,FALSE)</f>
        <v>2492 JJ</v>
      </c>
      <c r="E37" s="157" t="str">
        <f>VLOOKUP(Ruimtestaat[[#This Row],[Code]],Locaties[#All],6,FALSE)</f>
        <v>Den Haag</v>
      </c>
      <c r="F37" s="33"/>
      <c r="G37" s="33" t="s">
        <v>1624</v>
      </c>
      <c r="H37" s="368" t="s">
        <v>1658</v>
      </c>
      <c r="I37" s="367" t="s">
        <v>1657</v>
      </c>
      <c r="J37" s="21">
        <v>10</v>
      </c>
      <c r="K37" s="62" t="str">
        <f>VLOOKUP(Ruimtestaat[[#This Row],[Ruimte code]],Ruimtegroepen[[#All],[Code]:[Ruimte omschrijving]],2,FALSE)</f>
        <v>Trappenhuizen/lift</v>
      </c>
      <c r="L37" s="33" t="s">
        <v>102</v>
      </c>
      <c r="M37" s="367" t="s">
        <v>2499</v>
      </c>
      <c r="N37" s="140">
        <v>38</v>
      </c>
      <c r="O37" s="140"/>
      <c r="P37" s="125" t="str">
        <f>VLOOKUP(Ruimtestaat[[#This Row],[Ruimte code]],Ruimtegroepen[],4,FALSE)</f>
        <v>Ve</v>
      </c>
      <c r="R37" s="33">
        <v>40</v>
      </c>
      <c r="S37" s="33" t="s">
        <v>2</v>
      </c>
      <c r="T37" s="33">
        <f>IF(R37&gt;0,IF(RIGHT(Ruimtestaat[[#This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 s="33">
        <f>IF(T37&gt;0,VLOOKUP($J37,Ruimtegroepen[],3,FALSE)*VLOOKUP($L37,Vloersoorten[],3,FALSE)*VLOOKUP($S37,Frequenties[],3,FALSE)*VLOOKUP($A37,Locaties[],3,FALSE),0)</f>
        <v>0</v>
      </c>
      <c r="V37" s="33">
        <f>Ruimtestaat[[#This Row],[Uitvoeringen werkdagen]]*Ruimtestaat[[#This Row],[Oppervlak (netto)]]</f>
        <v>7600</v>
      </c>
      <c r="W37" s="154">
        <f>IF(U37&gt;0,Ruimtestaat[[#This Row],[Prest. (m2 /jaar) werkdagen]]/Ruimtestaat[[#This Row],[Norm (m2/uur) werkdagen]],0)</f>
        <v>0</v>
      </c>
      <c r="X37" s="155">
        <f>Ruimtestaat[[#This Row],[uren / jaar werkdagen]]*Tariefsopbouw!$E$35</f>
        <v>0</v>
      </c>
      <c r="Y37" s="33"/>
      <c r="Z37" s="33">
        <f>IF(Ruimtestaat[[#This Row],[Frequentie weekend]]&gt;0,VALUE(LEFT(Y37,1))*R37,0)</f>
        <v>0</v>
      </c>
      <c r="AA37" s="97">
        <f>IF($Z37&gt;0,VLOOKUP($J37,Ruimtegroepen[],3,FALSE)*VLOOKUP($L37,Vloersoorten[],3,FALSE)*VLOOKUP($Y37,Frequenties[],3,FALSE)*VLOOKUP(Ruimtestaat[[#This Row],[Code]],Locaties[],3,FALSE),0)</f>
        <v>0</v>
      </c>
      <c r="AB37" s="97">
        <f>Ruimtestaat[[#This Row],[Uitvoeringen weekend]]*Ruimtestaat[[#This Row],[Oppervlak (netto)]]</f>
        <v>0</v>
      </c>
      <c r="AC37" s="97">
        <f>IF(AA37&gt;0,Ruimtestaat[[#This Row],[Prest. (m2 /jaar) weekend]]/Ruimtestaat[[#This Row],[Norm (m2/uur) weekend]],0)</f>
        <v>0</v>
      </c>
      <c r="AD37" s="155">
        <f>Ruimtestaat[[#This Row],[uren / jaar weekend]]*Tariefsopbouw!$D$40</f>
        <v>0</v>
      </c>
      <c r="AE37" s="154">
        <f>Ruimtestaat[[#This Row],[Prest. (m2 /jaar) weekend]]+Ruimtestaat[[#This Row],[Prest. (m2 /jaar) werkdagen]]</f>
        <v>7600</v>
      </c>
      <c r="AF37" s="154">
        <f>Ruimtestaat[[#This Row],[uren / jaar weekend]]+Ruimtestaat[[#This Row],[uren / jaar werkdagen]]</f>
        <v>0</v>
      </c>
      <c r="AG37" s="69">
        <f>Ruimtestaat[[#This Row],[kosten / jaar weekend]]+Ruimtestaat[[#This Row],[kosten / jaar werkdagen]]</f>
        <v>0</v>
      </c>
      <c r="AH37" s="69"/>
      <c r="AI37" s="256" t="str">
        <f>IF(Ruimtestaat[[#This Row],[Frequentie werkdagen]]="","",_xlfn.CONCAT(Ruimtestaat[[#This Row],[Ruimte code]],"-",Ruimtestaat[[#This Row],[Frequentie werkdagen]]," ",Ruimtestaat[[#This Row],[Vloer code]]))</f>
        <v>10-5w S</v>
      </c>
      <c r="AJ37" s="363" t="str">
        <f>_xlfn.IFNA(VLOOKUP($AI37,Programma!$F$3:$G$1107,2,0),"")</f>
        <v>_</v>
      </c>
      <c r="AK37" s="363" t="str">
        <f>_xlfn.IFNA(VLOOKUP($AI37,Programma!$F$3:$H$1107,3,0),"")</f>
        <v>_</v>
      </c>
      <c r="AL37" s="363" t="str">
        <f>_xlfn.IFNA(VLOOKUP($AI37,Programma!$F$3:$I$1107,4,0),"")</f>
        <v>4w</v>
      </c>
      <c r="AM37" s="363" t="str">
        <f>_xlfn.IFNA(VLOOKUP($AI37,Programma!$F$3:$J$1107,5,0),"")</f>
        <v>1w</v>
      </c>
      <c r="AN37" s="363" t="str">
        <f>_xlfn.IFNA(VLOOKUP($AI37,Programma!$F$3:$K$1107,6,0),"")</f>
        <v>4j</v>
      </c>
      <c r="AO37" s="363" t="str">
        <f>_xlfn.IFNA(VLOOKUP($AI37,Programma!$F$3:$L$1107,7,0),"")</f>
        <v>_</v>
      </c>
      <c r="AP37" s="363" t="str">
        <f>_xlfn.IFNA(VLOOKUP($AI37,Programma!$F$3:$M$1107,8,0),"")</f>
        <v>_</v>
      </c>
      <c r="AQ37" s="363" t="str">
        <f>_xlfn.IFNA(VLOOKUP($AI37,Programma!$F$3:$N$1107,9,0),"")</f>
        <v>_</v>
      </c>
      <c r="AR37" s="363" t="str">
        <f>_xlfn.IFNA(VLOOKUP($AI37,Programma!$F$3:$O$1107,10,0),"")</f>
        <v>5w</v>
      </c>
      <c r="AS37" s="363" t="str">
        <f>_xlfn.IFNA(VLOOKUP($AI37,Programma!$F$3:$P$1107,11,0),"")</f>
        <v>5w</v>
      </c>
      <c r="AT37" s="363" t="str">
        <f>_xlfn.IFNA(VLOOKUP($AI37,Programma!$F$3:$Q$1107,12,0),"")</f>
        <v>1w</v>
      </c>
      <c r="AU37" s="363" t="str">
        <f>_xlfn.IFNA(VLOOKUP($AI37,Programma!$F$3:$R$1107,13,0),"")</f>
        <v>1w</v>
      </c>
      <c r="AV37" s="363" t="str">
        <f>_xlfn.IFNA(VLOOKUP($AI37,Programma!$F$3:$S$1107,14,0),"")</f>
        <v>1m</v>
      </c>
      <c r="AW37" s="363" t="str">
        <f>_xlfn.IFNA(VLOOKUP($AI37,Programma!$F$3:$T$1107,15,0),"")</f>
        <v>2j</v>
      </c>
      <c r="AX37" s="363" t="str">
        <f>_xlfn.IFNA(VLOOKUP($AI37,Programma!$F$3:$U$1107,16,0),"")</f>
        <v>1j</v>
      </c>
      <c r="AY37" s="363" t="str">
        <f>_xlfn.IFNA(VLOOKUP($AI37,Programma!$F$3:$V$1107,17,0),"")</f>
        <v>_</v>
      </c>
      <c r="AZ37" s="363" t="str">
        <f>_xlfn.IFNA(VLOOKUP($AI37,Programma!$F$3:$W$1107,18,0),"")</f>
        <v>_</v>
      </c>
      <c r="BA37" s="363" t="str">
        <f>_xlfn.IFNA(VLOOKUP($AI37,Programma!$F$3:$X$1107,19,0),"")</f>
        <v>_</v>
      </c>
      <c r="BB37" s="363" t="str">
        <f>_xlfn.IFNA(VLOOKUP($AI37,Programma!$F$3:$Y$1107,20,0),"")</f>
        <v>_</v>
      </c>
      <c r="BC37" s="257"/>
      <c r="BD37" s="256" t="str">
        <f>IF(Ruimtestaat[[#This Row],[Frequentie weekend]]="","",_xlfn.CONCAT(Ruimtestaat[[#This Row],[Ruimte code]],"-",Ruimtestaat[[#This Row],[Frequentie weekend]]," ",Ruimtestaat[[#This Row],[Vloer code]]))</f>
        <v/>
      </c>
      <c r="BE37" s="363" t="str">
        <f>_xlfn.IFNA(VLOOKUP($BD37,Programma!$F$3:$G$1107,2,0),"")</f>
        <v/>
      </c>
      <c r="BF37" s="363" t="str">
        <f>_xlfn.IFNA(VLOOKUP($BD37,Programma!$F$3:$H$1107,3,0),"")</f>
        <v/>
      </c>
      <c r="BG37" s="363" t="str">
        <f>_xlfn.IFNA(VLOOKUP($BD37,Programma!$F$3:$I$1107,4,0),"")</f>
        <v/>
      </c>
      <c r="BH37" s="363" t="str">
        <f>_xlfn.IFNA(VLOOKUP($BD37,Programma!$F$3:$J$1107,5,0),"")</f>
        <v/>
      </c>
      <c r="BI37" s="363" t="str">
        <f>_xlfn.IFNA(VLOOKUP($BD37,Programma!$F$3:$K$1107,6,0),"")</f>
        <v/>
      </c>
      <c r="BJ37" s="363" t="str">
        <f>_xlfn.IFNA(VLOOKUP($BD37,Programma!$F$3:$L$1107,7,0),"")</f>
        <v/>
      </c>
      <c r="BK37" s="363" t="str">
        <f>_xlfn.IFNA(VLOOKUP($BD37,Programma!$F$3:$M$1107,8,0),"")</f>
        <v/>
      </c>
      <c r="BL37" s="363" t="str">
        <f>_xlfn.IFNA(VLOOKUP($BD37,Programma!$F$3:$N$1107,9,0),"")</f>
        <v/>
      </c>
      <c r="BM37" s="363" t="str">
        <f>_xlfn.IFNA(VLOOKUP($BD37,Programma!$F$3:$O$1107,10,0),"")</f>
        <v/>
      </c>
      <c r="BN37" s="363" t="str">
        <f>_xlfn.IFNA(VLOOKUP($BD37,Programma!$F$3:$P$1107,11,0),"")</f>
        <v/>
      </c>
      <c r="BO37" s="363" t="str">
        <f>_xlfn.IFNA(VLOOKUP($BD37,Programma!$F$3:$Q$1107,12,0),"")</f>
        <v/>
      </c>
      <c r="BP37" s="363" t="str">
        <f>_xlfn.IFNA(VLOOKUP($BD37,Programma!$F$3:$R$1107,13,0),"")</f>
        <v/>
      </c>
      <c r="BQ37" s="363" t="str">
        <f>_xlfn.IFNA(VLOOKUP($BD37,Programma!$F$3:$S$1107,14,0),"")</f>
        <v/>
      </c>
      <c r="BR37" s="363" t="str">
        <f>_xlfn.IFNA(VLOOKUP($BD37,Programma!$F$3:$T$1107,15,0),"")</f>
        <v/>
      </c>
      <c r="BS37" s="363" t="str">
        <f>_xlfn.IFNA(VLOOKUP($BD37,Programma!$F$3:$U$1107,16,0),"")</f>
        <v/>
      </c>
      <c r="BT37" s="363" t="str">
        <f>_xlfn.IFNA(VLOOKUP($BD37,Programma!$F$3:$V$1107,17,0),"")</f>
        <v/>
      </c>
      <c r="BU37" s="363" t="str">
        <f>_xlfn.IFNA(VLOOKUP($BD37,Programma!$F$3:$W$1107,18,0),"")</f>
        <v/>
      </c>
      <c r="BV37" s="363" t="str">
        <f>_xlfn.IFNA(VLOOKUP($BD37,Programma!$F$3:$X$1107,19,0),"")</f>
        <v/>
      </c>
      <c r="BW37" s="363" t="str">
        <f>_xlfn.IFNA(VLOOKUP($BD37,Programma!$F$3:$Y$1107,20,0),"")</f>
        <v/>
      </c>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row>
    <row r="38" spans="1:220" ht="15" customHeight="1">
      <c r="A38" s="33">
        <v>2</v>
      </c>
      <c r="B38" s="157" t="str">
        <f>VLOOKUP(Ruimtestaat[[#This Row],[Code]],Locaties[[Code]:[Locatie]],2,FALSE)</f>
        <v>'s Gravendreef College</v>
      </c>
      <c r="C38" s="157" t="str">
        <f>VLOOKUP(Ruimtestaat[[#This Row],[Code]],Locaties[[#All],[Code]:[Adres]],4,FALSE)</f>
        <v>Klaas Voskuildreef 135</v>
      </c>
      <c r="D38" s="157" t="str">
        <f>VLOOKUP(Ruimtestaat[[#This Row],[Code]],Locaties[[#All],[Code]:[Postcode]],5,FALSE)</f>
        <v>2492 JJ</v>
      </c>
      <c r="E38" s="157" t="str">
        <f>VLOOKUP(Ruimtestaat[[#This Row],[Code]],Locaties[#All],6,FALSE)</f>
        <v>Den Haag</v>
      </c>
      <c r="F38" s="33"/>
      <c r="G38" s="33" t="s">
        <v>1624</v>
      </c>
      <c r="H38" s="368" t="s">
        <v>1659</v>
      </c>
      <c r="I38" s="367" t="s">
        <v>1660</v>
      </c>
      <c r="J38" s="21">
        <v>8</v>
      </c>
      <c r="K38" s="62" t="str">
        <f>VLOOKUP(Ruimtestaat[[#This Row],[Ruimte code]],Ruimtegroepen[[#All],[Code]:[Ruimte omschrijving]],2,FALSE)</f>
        <v>Mediatheek / OLC</v>
      </c>
      <c r="L38" s="33" t="s">
        <v>101</v>
      </c>
      <c r="M38" s="367" t="s">
        <v>2495</v>
      </c>
      <c r="N38" s="140">
        <v>236</v>
      </c>
      <c r="O38" s="140"/>
      <c r="P38" s="125" t="str">
        <f>VLOOKUP(Ruimtestaat[[#This Row],[Ruimte code]],Ruimtegroepen[],4,FALSE)</f>
        <v>Le</v>
      </c>
      <c r="R38" s="33">
        <v>40</v>
      </c>
      <c r="S38" s="33" t="s">
        <v>2</v>
      </c>
      <c r="T38" s="33">
        <f>IF(R38&gt;0,IF(RIGHT(Ruimtestaat[[#This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 s="33">
        <f>IF(T38&gt;0,VLOOKUP($J38,Ruimtegroepen[],3,FALSE)*VLOOKUP($L38,Vloersoorten[],3,FALSE)*VLOOKUP($S38,Frequenties[],3,FALSE)*VLOOKUP($A38,Locaties[],3,FALSE),0)</f>
        <v>0</v>
      </c>
      <c r="V38" s="33">
        <f>Ruimtestaat[[#This Row],[Uitvoeringen werkdagen]]*Ruimtestaat[[#This Row],[Oppervlak (netto)]]</f>
        <v>47200</v>
      </c>
      <c r="W38" s="154">
        <f>IF(U38&gt;0,Ruimtestaat[[#This Row],[Prest. (m2 /jaar) werkdagen]]/Ruimtestaat[[#This Row],[Norm (m2/uur) werkdagen]],0)</f>
        <v>0</v>
      </c>
      <c r="X38" s="155">
        <f>Ruimtestaat[[#This Row],[uren / jaar werkdagen]]*Tariefsopbouw!$E$35</f>
        <v>0</v>
      </c>
      <c r="Y38" s="33"/>
      <c r="Z38" s="33">
        <f>IF(Ruimtestaat[[#This Row],[Frequentie weekend]]&gt;0,VALUE(LEFT(Y38,1))*R38,0)</f>
        <v>0</v>
      </c>
      <c r="AA38" s="97">
        <f>IF($Z38&gt;0,VLOOKUP($J38,Ruimtegroepen[],3,FALSE)*VLOOKUP($L38,Vloersoorten[],3,FALSE)*VLOOKUP($Y38,Frequenties[],3,FALSE)*VLOOKUP(Ruimtestaat[[#This Row],[Code]],Locaties[],3,FALSE),0)</f>
        <v>0</v>
      </c>
      <c r="AB38" s="97">
        <f>Ruimtestaat[[#This Row],[Uitvoeringen weekend]]*Ruimtestaat[[#This Row],[Oppervlak (netto)]]</f>
        <v>0</v>
      </c>
      <c r="AC38" s="97">
        <f>IF(AA38&gt;0,Ruimtestaat[[#This Row],[Prest. (m2 /jaar) weekend]]/Ruimtestaat[[#This Row],[Norm (m2/uur) weekend]],0)</f>
        <v>0</v>
      </c>
      <c r="AD38" s="155">
        <f>Ruimtestaat[[#This Row],[uren / jaar weekend]]*Tariefsopbouw!$D$40</f>
        <v>0</v>
      </c>
      <c r="AE38" s="154">
        <f>Ruimtestaat[[#This Row],[Prest. (m2 /jaar) weekend]]+Ruimtestaat[[#This Row],[Prest. (m2 /jaar) werkdagen]]</f>
        <v>47200</v>
      </c>
      <c r="AF38" s="154">
        <f>Ruimtestaat[[#This Row],[uren / jaar weekend]]+Ruimtestaat[[#This Row],[uren / jaar werkdagen]]</f>
        <v>0</v>
      </c>
      <c r="AG38" s="69">
        <f>Ruimtestaat[[#This Row],[kosten / jaar weekend]]+Ruimtestaat[[#This Row],[kosten / jaar werkdagen]]</f>
        <v>0</v>
      </c>
      <c r="AH38" s="69"/>
      <c r="AI38" s="256" t="str">
        <f>IF(Ruimtestaat[[#This Row],[Frequentie werkdagen]]="","",_xlfn.CONCAT(Ruimtestaat[[#This Row],[Ruimte code]],"-",Ruimtestaat[[#This Row],[Frequentie werkdagen]]," ",Ruimtestaat[[#This Row],[Vloer code]]))</f>
        <v>8-5w L</v>
      </c>
      <c r="AJ38" s="363" t="str">
        <f>_xlfn.IFNA(VLOOKUP($AI38,Programma!$F$3:$G$1107,2,0),"")</f>
        <v>_</v>
      </c>
      <c r="AK38" s="363" t="str">
        <f>_xlfn.IFNA(VLOOKUP($AI38,Programma!$F$3:$H$1107,3,0),"")</f>
        <v>_</v>
      </c>
      <c r="AL38" s="363" t="str">
        <f>_xlfn.IFNA(VLOOKUP($AI38,Programma!$F$3:$I$1107,4,0),"")</f>
        <v>4w</v>
      </c>
      <c r="AM38" s="363" t="str">
        <f>_xlfn.IFNA(VLOOKUP($AI38,Programma!$F$3:$J$1107,5,0),"")</f>
        <v>1w</v>
      </c>
      <c r="AN38" s="363" t="str">
        <f>_xlfn.IFNA(VLOOKUP($AI38,Programma!$F$3:$K$1107,6,0),"")</f>
        <v>_</v>
      </c>
      <c r="AO38" s="363" t="str">
        <f>_xlfn.IFNA(VLOOKUP($AI38,Programma!$F$3:$L$1107,7,0),"")</f>
        <v>_</v>
      </c>
      <c r="AP38" s="363" t="str">
        <f>_xlfn.IFNA(VLOOKUP($AI38,Programma!$F$3:$M$1107,8,0),"")</f>
        <v>_</v>
      </c>
      <c r="AQ38" s="363" t="str">
        <f>_xlfn.IFNA(VLOOKUP($AI38,Programma!$F$3:$N$1107,9,0),"")</f>
        <v>_</v>
      </c>
      <c r="AR38" s="363" t="str">
        <f>_xlfn.IFNA(VLOOKUP($AI38,Programma!$F$3:$O$1107,10,0),"")</f>
        <v>5w</v>
      </c>
      <c r="AS38" s="363" t="str">
        <f>_xlfn.IFNA(VLOOKUP($AI38,Programma!$F$3:$P$1107,11,0),"")</f>
        <v>5w</v>
      </c>
      <c r="AT38" s="363" t="str">
        <f>_xlfn.IFNA(VLOOKUP($AI38,Programma!$F$3:$Q$1107,12,0),"")</f>
        <v>1w</v>
      </c>
      <c r="AU38" s="363" t="str">
        <f>_xlfn.IFNA(VLOOKUP($AI38,Programma!$F$3:$R$1107,13,0),"")</f>
        <v>1w</v>
      </c>
      <c r="AV38" s="363" t="str">
        <f>_xlfn.IFNA(VLOOKUP($AI38,Programma!$F$3:$S$1107,14,0),"")</f>
        <v>1m</v>
      </c>
      <c r="AW38" s="363" t="str">
        <f>_xlfn.IFNA(VLOOKUP($AI38,Programma!$F$3:$T$1107,15,0),"")</f>
        <v>2j</v>
      </c>
      <c r="AX38" s="363" t="str">
        <f>_xlfn.IFNA(VLOOKUP($AI38,Programma!$F$3:$U$1107,16,0),"")</f>
        <v>1j</v>
      </c>
      <c r="AY38" s="363" t="str">
        <f>_xlfn.IFNA(VLOOKUP($AI38,Programma!$F$3:$V$1107,17,0),"")</f>
        <v>_</v>
      </c>
      <c r="AZ38" s="363" t="str">
        <f>_xlfn.IFNA(VLOOKUP($AI38,Programma!$F$3:$W$1107,18,0),"")</f>
        <v>_</v>
      </c>
      <c r="BA38" s="363" t="str">
        <f>_xlfn.IFNA(VLOOKUP($AI38,Programma!$F$3:$X$1107,19,0),"")</f>
        <v>_</v>
      </c>
      <c r="BB38" s="363" t="str">
        <f>_xlfn.IFNA(VLOOKUP($AI38,Programma!$F$3:$Y$1107,20,0),"")</f>
        <v>_</v>
      </c>
      <c r="BC38" s="257"/>
      <c r="BD38" s="256" t="str">
        <f>IF(Ruimtestaat[[#This Row],[Frequentie weekend]]="","",_xlfn.CONCAT(Ruimtestaat[[#This Row],[Ruimte code]],"-",Ruimtestaat[[#This Row],[Frequentie weekend]]," ",Ruimtestaat[[#This Row],[Vloer code]]))</f>
        <v/>
      </c>
      <c r="BE38" s="363" t="str">
        <f>_xlfn.IFNA(VLOOKUP($BD38,Programma!$F$3:$G$1107,2,0),"")</f>
        <v/>
      </c>
      <c r="BF38" s="363" t="str">
        <f>_xlfn.IFNA(VLOOKUP($BD38,Programma!$F$3:$H$1107,3,0),"")</f>
        <v/>
      </c>
      <c r="BG38" s="363" t="str">
        <f>_xlfn.IFNA(VLOOKUP($BD38,Programma!$F$3:$I$1107,4,0),"")</f>
        <v/>
      </c>
      <c r="BH38" s="363" t="str">
        <f>_xlfn.IFNA(VLOOKUP($BD38,Programma!$F$3:$J$1107,5,0),"")</f>
        <v/>
      </c>
      <c r="BI38" s="363" t="str">
        <f>_xlfn.IFNA(VLOOKUP($BD38,Programma!$F$3:$K$1107,6,0),"")</f>
        <v/>
      </c>
      <c r="BJ38" s="363" t="str">
        <f>_xlfn.IFNA(VLOOKUP($BD38,Programma!$F$3:$L$1107,7,0),"")</f>
        <v/>
      </c>
      <c r="BK38" s="363" t="str">
        <f>_xlfn.IFNA(VLOOKUP($BD38,Programma!$F$3:$M$1107,8,0),"")</f>
        <v/>
      </c>
      <c r="BL38" s="363" t="str">
        <f>_xlfn.IFNA(VLOOKUP($BD38,Programma!$F$3:$N$1107,9,0),"")</f>
        <v/>
      </c>
      <c r="BM38" s="363" t="str">
        <f>_xlfn.IFNA(VLOOKUP($BD38,Programma!$F$3:$O$1107,10,0),"")</f>
        <v/>
      </c>
      <c r="BN38" s="363" t="str">
        <f>_xlfn.IFNA(VLOOKUP($BD38,Programma!$F$3:$P$1107,11,0),"")</f>
        <v/>
      </c>
      <c r="BO38" s="363" t="str">
        <f>_xlfn.IFNA(VLOOKUP($BD38,Programma!$F$3:$Q$1107,12,0),"")</f>
        <v/>
      </c>
      <c r="BP38" s="363" t="str">
        <f>_xlfn.IFNA(VLOOKUP($BD38,Programma!$F$3:$R$1107,13,0),"")</f>
        <v/>
      </c>
      <c r="BQ38" s="363" t="str">
        <f>_xlfn.IFNA(VLOOKUP($BD38,Programma!$F$3:$S$1107,14,0),"")</f>
        <v/>
      </c>
      <c r="BR38" s="363" t="str">
        <f>_xlfn.IFNA(VLOOKUP($BD38,Programma!$F$3:$T$1107,15,0),"")</f>
        <v/>
      </c>
      <c r="BS38" s="363" t="str">
        <f>_xlfn.IFNA(VLOOKUP($BD38,Programma!$F$3:$U$1107,16,0),"")</f>
        <v/>
      </c>
      <c r="BT38" s="363" t="str">
        <f>_xlfn.IFNA(VLOOKUP($BD38,Programma!$F$3:$V$1107,17,0),"")</f>
        <v/>
      </c>
      <c r="BU38" s="363" t="str">
        <f>_xlfn.IFNA(VLOOKUP($BD38,Programma!$F$3:$W$1107,18,0),"")</f>
        <v/>
      </c>
      <c r="BV38" s="363" t="str">
        <f>_xlfn.IFNA(VLOOKUP($BD38,Programma!$F$3:$X$1107,19,0),"")</f>
        <v/>
      </c>
      <c r="BW38" s="363" t="str">
        <f>_xlfn.IFNA(VLOOKUP($BD38,Programma!$F$3:$Y$1107,20,0),"")</f>
        <v/>
      </c>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row>
    <row r="39" spans="1:220" ht="15" customHeight="1">
      <c r="A39" s="33">
        <v>2</v>
      </c>
      <c r="B39" s="157" t="str">
        <f>VLOOKUP(Ruimtestaat[[#This Row],[Code]],Locaties[[Code]:[Locatie]],2,FALSE)</f>
        <v>'s Gravendreef College</v>
      </c>
      <c r="C39" s="157" t="str">
        <f>VLOOKUP(Ruimtestaat[[#This Row],[Code]],Locaties[[#All],[Code]:[Adres]],4,FALSE)</f>
        <v>Klaas Voskuildreef 135</v>
      </c>
      <c r="D39" s="157" t="str">
        <f>VLOOKUP(Ruimtestaat[[#This Row],[Code]],Locaties[[#All],[Code]:[Postcode]],5,FALSE)</f>
        <v>2492 JJ</v>
      </c>
      <c r="E39" s="157" t="str">
        <f>VLOOKUP(Ruimtestaat[[#This Row],[Code]],Locaties[#All],6,FALSE)</f>
        <v>Den Haag</v>
      </c>
      <c r="F39" s="33"/>
      <c r="G39" s="33" t="s">
        <v>1624</v>
      </c>
      <c r="H39" s="368" t="s">
        <v>1661</v>
      </c>
      <c r="I39" s="367" t="s">
        <v>1662</v>
      </c>
      <c r="J39" s="21">
        <v>4</v>
      </c>
      <c r="K39" s="62" t="str">
        <f>VLOOKUP(Ruimtestaat[[#This Row],[Ruimte code]],Ruimtegroepen[[#All],[Code]:[Ruimte omschrijving]],2,FALSE)</f>
        <v>Vergader/spreekkamers</v>
      </c>
      <c r="L39" s="33" t="s">
        <v>101</v>
      </c>
      <c r="M39" s="367" t="s">
        <v>2495</v>
      </c>
      <c r="N39" s="140">
        <v>46</v>
      </c>
      <c r="O39" s="140"/>
      <c r="P39" s="125" t="str">
        <f>VLOOKUP(Ruimtestaat[[#This Row],[Ruimte code]],Ruimtegroepen[],4,FALSE)</f>
        <v>Bu</v>
      </c>
      <c r="R39" s="33">
        <v>40</v>
      </c>
      <c r="S39" s="33" t="s">
        <v>18</v>
      </c>
      <c r="T39" s="33">
        <f>IF(R39&gt;0,IF(RIGHT(Ruimtestaat[[#This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39" s="33">
        <f>IF(T39&gt;0,VLOOKUP($J39,Ruimtegroepen[],3,FALSE)*VLOOKUP($L39,Vloersoorten[],3,FALSE)*VLOOKUP($S39,Frequenties[],3,FALSE)*VLOOKUP($A39,Locaties[],3,FALSE),0)</f>
        <v>0</v>
      </c>
      <c r="V39" s="33">
        <f>Ruimtestaat[[#This Row],[Uitvoeringen werkdagen]]*Ruimtestaat[[#This Row],[Oppervlak (netto)]]</f>
        <v>5520</v>
      </c>
      <c r="W39" s="154">
        <f>IF(U39&gt;0,Ruimtestaat[[#This Row],[Prest. (m2 /jaar) werkdagen]]/Ruimtestaat[[#This Row],[Norm (m2/uur) werkdagen]],0)</f>
        <v>0</v>
      </c>
      <c r="X39" s="155">
        <f>Ruimtestaat[[#This Row],[uren / jaar werkdagen]]*Tariefsopbouw!$E$35</f>
        <v>0</v>
      </c>
      <c r="Y39" s="33"/>
      <c r="Z39" s="33">
        <f>IF(Ruimtestaat[[#This Row],[Frequentie weekend]]&gt;0,VALUE(LEFT(Y39,1))*R39,0)</f>
        <v>0</v>
      </c>
      <c r="AA39" s="97">
        <f>IF($Z39&gt;0,VLOOKUP($J39,Ruimtegroepen[],3,FALSE)*VLOOKUP($L39,Vloersoorten[],3,FALSE)*VLOOKUP($Y39,Frequenties[],3,FALSE)*VLOOKUP(Ruimtestaat[[#This Row],[Code]],Locaties[],3,FALSE),0)</f>
        <v>0</v>
      </c>
      <c r="AB39" s="97">
        <f>Ruimtestaat[[#This Row],[Uitvoeringen weekend]]*Ruimtestaat[[#This Row],[Oppervlak (netto)]]</f>
        <v>0</v>
      </c>
      <c r="AC39" s="97">
        <f>IF(AA39&gt;0,Ruimtestaat[[#This Row],[Prest. (m2 /jaar) weekend]]/Ruimtestaat[[#This Row],[Norm (m2/uur) weekend]],0)</f>
        <v>0</v>
      </c>
      <c r="AD39" s="155">
        <f>Ruimtestaat[[#This Row],[uren / jaar weekend]]*Tariefsopbouw!$D$40</f>
        <v>0</v>
      </c>
      <c r="AE39" s="154">
        <f>Ruimtestaat[[#This Row],[Prest. (m2 /jaar) weekend]]+Ruimtestaat[[#This Row],[Prest. (m2 /jaar) werkdagen]]</f>
        <v>5520</v>
      </c>
      <c r="AF39" s="154">
        <f>Ruimtestaat[[#This Row],[uren / jaar weekend]]+Ruimtestaat[[#This Row],[uren / jaar werkdagen]]</f>
        <v>0</v>
      </c>
      <c r="AG39" s="69">
        <f>Ruimtestaat[[#This Row],[kosten / jaar weekend]]+Ruimtestaat[[#This Row],[kosten / jaar werkdagen]]</f>
        <v>0</v>
      </c>
      <c r="AH39" s="69"/>
      <c r="AI39" s="256" t="str">
        <f>IF(Ruimtestaat[[#This Row],[Frequentie werkdagen]]="","",_xlfn.CONCAT(Ruimtestaat[[#This Row],[Ruimte code]],"-",Ruimtestaat[[#This Row],[Frequentie werkdagen]]," ",Ruimtestaat[[#This Row],[Vloer code]]))</f>
        <v>4-3w L</v>
      </c>
      <c r="AJ39" s="363" t="str">
        <f>_xlfn.IFNA(VLOOKUP($AI39,Programma!$F$3:$G$1107,2,0),"")</f>
        <v>_</v>
      </c>
      <c r="AK39" s="363" t="str">
        <f>_xlfn.IFNA(VLOOKUP($AI39,Programma!$F$3:$H$1107,3,0),"")</f>
        <v>_</v>
      </c>
      <c r="AL39" s="363" t="str">
        <f>_xlfn.IFNA(VLOOKUP($AI39,Programma!$F$3:$I$1107,4,0),"")</f>
        <v>2w</v>
      </c>
      <c r="AM39" s="363" t="str">
        <f>_xlfn.IFNA(VLOOKUP($AI39,Programma!$F$3:$J$1107,5,0),"")</f>
        <v>1w</v>
      </c>
      <c r="AN39" s="363" t="str">
        <f>_xlfn.IFNA(VLOOKUP($AI39,Programma!$F$3:$K$1107,6,0),"")</f>
        <v>_</v>
      </c>
      <c r="AO39" s="363" t="str">
        <f>_xlfn.IFNA(VLOOKUP($AI39,Programma!$F$3:$L$1107,7,0),"")</f>
        <v>_</v>
      </c>
      <c r="AP39" s="363" t="str">
        <f>_xlfn.IFNA(VLOOKUP($AI39,Programma!$F$3:$M$1107,8,0),"")</f>
        <v>_</v>
      </c>
      <c r="AQ39" s="363" t="str">
        <f>_xlfn.IFNA(VLOOKUP($AI39,Programma!$F$3:$N$1107,9,0),"")</f>
        <v>_</v>
      </c>
      <c r="AR39" s="363" t="str">
        <f>_xlfn.IFNA(VLOOKUP($AI39,Programma!$F$3:$O$1107,10,0),"")</f>
        <v>3w</v>
      </c>
      <c r="AS39" s="363" t="str">
        <f>_xlfn.IFNA(VLOOKUP($AI39,Programma!$F$3:$P$1107,11,0),"")</f>
        <v>3w</v>
      </c>
      <c r="AT39" s="363" t="str">
        <f>_xlfn.IFNA(VLOOKUP($AI39,Programma!$F$3:$Q$1107,12,0),"")</f>
        <v>1w</v>
      </c>
      <c r="AU39" s="363" t="str">
        <f>_xlfn.IFNA(VLOOKUP($AI39,Programma!$F$3:$R$1107,13,0),"")</f>
        <v>1w</v>
      </c>
      <c r="AV39" s="363" t="str">
        <f>_xlfn.IFNA(VLOOKUP($AI39,Programma!$F$3:$S$1107,14,0),"")</f>
        <v>1m</v>
      </c>
      <c r="AW39" s="363" t="str">
        <f>_xlfn.IFNA(VLOOKUP($AI39,Programma!$F$3:$T$1107,15,0),"")</f>
        <v>2j</v>
      </c>
      <c r="AX39" s="363" t="str">
        <f>_xlfn.IFNA(VLOOKUP($AI39,Programma!$F$3:$U$1107,16,0),"")</f>
        <v>1j</v>
      </c>
      <c r="AY39" s="363" t="str">
        <f>_xlfn.IFNA(VLOOKUP($AI39,Programma!$F$3:$V$1107,17,0),"")</f>
        <v>_</v>
      </c>
      <c r="AZ39" s="363" t="str">
        <f>_xlfn.IFNA(VLOOKUP($AI39,Programma!$F$3:$W$1107,18,0),"")</f>
        <v>_</v>
      </c>
      <c r="BA39" s="363" t="str">
        <f>_xlfn.IFNA(VLOOKUP($AI39,Programma!$F$3:$X$1107,19,0),"")</f>
        <v>_</v>
      </c>
      <c r="BB39" s="363" t="str">
        <f>_xlfn.IFNA(VLOOKUP($AI39,Programma!$F$3:$Y$1107,20,0),"")</f>
        <v>_</v>
      </c>
      <c r="BC39" s="257"/>
      <c r="BD39" s="256" t="str">
        <f>IF(Ruimtestaat[[#This Row],[Frequentie weekend]]="","",_xlfn.CONCAT(Ruimtestaat[[#This Row],[Ruimte code]],"-",Ruimtestaat[[#This Row],[Frequentie weekend]]," ",Ruimtestaat[[#This Row],[Vloer code]]))</f>
        <v/>
      </c>
      <c r="BE39" s="363" t="str">
        <f>_xlfn.IFNA(VLOOKUP($BD39,Programma!$F$3:$G$1107,2,0),"")</f>
        <v/>
      </c>
      <c r="BF39" s="363" t="str">
        <f>_xlfn.IFNA(VLOOKUP($BD39,Programma!$F$3:$H$1107,3,0),"")</f>
        <v/>
      </c>
      <c r="BG39" s="363" t="str">
        <f>_xlfn.IFNA(VLOOKUP($BD39,Programma!$F$3:$I$1107,4,0),"")</f>
        <v/>
      </c>
      <c r="BH39" s="363" t="str">
        <f>_xlfn.IFNA(VLOOKUP($BD39,Programma!$F$3:$J$1107,5,0),"")</f>
        <v/>
      </c>
      <c r="BI39" s="363" t="str">
        <f>_xlfn.IFNA(VLOOKUP($BD39,Programma!$F$3:$K$1107,6,0),"")</f>
        <v/>
      </c>
      <c r="BJ39" s="363" t="str">
        <f>_xlfn.IFNA(VLOOKUP($BD39,Programma!$F$3:$L$1107,7,0),"")</f>
        <v/>
      </c>
      <c r="BK39" s="363" t="str">
        <f>_xlfn.IFNA(VLOOKUP($BD39,Programma!$F$3:$M$1107,8,0),"")</f>
        <v/>
      </c>
      <c r="BL39" s="363" t="str">
        <f>_xlfn.IFNA(VLOOKUP($BD39,Programma!$F$3:$N$1107,9,0),"")</f>
        <v/>
      </c>
      <c r="BM39" s="363" t="str">
        <f>_xlfn.IFNA(VLOOKUP($BD39,Programma!$F$3:$O$1107,10,0),"")</f>
        <v/>
      </c>
      <c r="BN39" s="363" t="str">
        <f>_xlfn.IFNA(VLOOKUP($BD39,Programma!$F$3:$P$1107,11,0),"")</f>
        <v/>
      </c>
      <c r="BO39" s="363" t="str">
        <f>_xlfn.IFNA(VLOOKUP($BD39,Programma!$F$3:$Q$1107,12,0),"")</f>
        <v/>
      </c>
      <c r="BP39" s="363" t="str">
        <f>_xlfn.IFNA(VLOOKUP($BD39,Programma!$F$3:$R$1107,13,0),"")</f>
        <v/>
      </c>
      <c r="BQ39" s="363" t="str">
        <f>_xlfn.IFNA(VLOOKUP($BD39,Programma!$F$3:$S$1107,14,0),"")</f>
        <v/>
      </c>
      <c r="BR39" s="363" t="str">
        <f>_xlfn.IFNA(VLOOKUP($BD39,Programma!$F$3:$T$1107,15,0),"")</f>
        <v/>
      </c>
      <c r="BS39" s="363" t="str">
        <f>_xlfn.IFNA(VLOOKUP($BD39,Programma!$F$3:$U$1107,16,0),"")</f>
        <v/>
      </c>
      <c r="BT39" s="363" t="str">
        <f>_xlfn.IFNA(VLOOKUP($BD39,Programma!$F$3:$V$1107,17,0),"")</f>
        <v/>
      </c>
      <c r="BU39" s="363" t="str">
        <f>_xlfn.IFNA(VLOOKUP($BD39,Programma!$F$3:$W$1107,18,0),"")</f>
        <v/>
      </c>
      <c r="BV39" s="363" t="str">
        <f>_xlfn.IFNA(VLOOKUP($BD39,Programma!$F$3:$X$1107,19,0),"")</f>
        <v/>
      </c>
      <c r="BW39" s="363" t="str">
        <f>_xlfn.IFNA(VLOOKUP($BD39,Programma!$F$3:$Y$1107,20,0),"")</f>
        <v/>
      </c>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row>
    <row r="40" spans="1:220" ht="15" customHeight="1">
      <c r="A40" s="33">
        <v>2</v>
      </c>
      <c r="B40" s="157" t="str">
        <f>VLOOKUP(Ruimtestaat[[#This Row],[Code]],Locaties[[Code]:[Locatie]],2,FALSE)</f>
        <v>'s Gravendreef College</v>
      </c>
      <c r="C40" s="157" t="str">
        <f>VLOOKUP(Ruimtestaat[[#This Row],[Code]],Locaties[[#All],[Code]:[Adres]],4,FALSE)</f>
        <v>Klaas Voskuildreef 135</v>
      </c>
      <c r="D40" s="157" t="str">
        <f>VLOOKUP(Ruimtestaat[[#This Row],[Code]],Locaties[[#All],[Code]:[Postcode]],5,FALSE)</f>
        <v>2492 JJ</v>
      </c>
      <c r="E40" s="157" t="str">
        <f>VLOOKUP(Ruimtestaat[[#This Row],[Code]],Locaties[#All],6,FALSE)</f>
        <v>Den Haag</v>
      </c>
      <c r="F40" s="33"/>
      <c r="G40" s="33" t="s">
        <v>1624</v>
      </c>
      <c r="H40" s="368" t="s">
        <v>1663</v>
      </c>
      <c r="I40" s="367" t="s">
        <v>1625</v>
      </c>
      <c r="J40" s="21">
        <v>6</v>
      </c>
      <c r="K40" s="62" t="str">
        <f>VLOOKUP(Ruimtestaat[[#This Row],[Ruimte code]],Ruimtegroepen[[#All],[Code]:[Ruimte omschrijving]],2,FALSE)</f>
        <v>Gangen/hallen</v>
      </c>
      <c r="L40" s="33" t="s">
        <v>101</v>
      </c>
      <c r="M40" s="367" t="s">
        <v>2495</v>
      </c>
      <c r="N40" s="140">
        <v>38</v>
      </c>
      <c r="O40" s="140"/>
      <c r="P40" s="125" t="str">
        <f>VLOOKUP(Ruimtestaat[[#This Row],[Ruimte code]],Ruimtegroepen[],4,FALSE)</f>
        <v>Ve</v>
      </c>
      <c r="R40" s="33">
        <v>40</v>
      </c>
      <c r="S40" s="33" t="s">
        <v>2</v>
      </c>
      <c r="T40" s="33">
        <f>IF(R40&gt;0,IF(RIGHT(Ruimtestaat[[#This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 s="33">
        <f>IF(T40&gt;0,VLOOKUP($J40,Ruimtegroepen[],3,FALSE)*VLOOKUP($L40,Vloersoorten[],3,FALSE)*VLOOKUP($S40,Frequenties[],3,FALSE)*VLOOKUP($A40,Locaties[],3,FALSE),0)</f>
        <v>0</v>
      </c>
      <c r="V40" s="33">
        <f>Ruimtestaat[[#This Row],[Uitvoeringen werkdagen]]*Ruimtestaat[[#This Row],[Oppervlak (netto)]]</f>
        <v>7600</v>
      </c>
      <c r="W40" s="154">
        <f>IF(U40&gt;0,Ruimtestaat[[#This Row],[Prest. (m2 /jaar) werkdagen]]/Ruimtestaat[[#This Row],[Norm (m2/uur) werkdagen]],0)</f>
        <v>0</v>
      </c>
      <c r="X40" s="155">
        <f>Ruimtestaat[[#This Row],[uren / jaar werkdagen]]*Tariefsopbouw!$E$35</f>
        <v>0</v>
      </c>
      <c r="Y40" s="33"/>
      <c r="Z40" s="33">
        <f>IF(Ruimtestaat[[#This Row],[Frequentie weekend]]&gt;0,VALUE(LEFT(Y40,1))*R40,0)</f>
        <v>0</v>
      </c>
      <c r="AA40" s="97">
        <f>IF($Z40&gt;0,VLOOKUP($J40,Ruimtegroepen[],3,FALSE)*VLOOKUP($L40,Vloersoorten[],3,FALSE)*VLOOKUP($Y40,Frequenties[],3,FALSE)*VLOOKUP(Ruimtestaat[[#This Row],[Code]],Locaties[],3,FALSE),0)</f>
        <v>0</v>
      </c>
      <c r="AB40" s="97">
        <f>Ruimtestaat[[#This Row],[Uitvoeringen weekend]]*Ruimtestaat[[#This Row],[Oppervlak (netto)]]</f>
        <v>0</v>
      </c>
      <c r="AC40" s="97">
        <f>IF(AA40&gt;0,Ruimtestaat[[#This Row],[Prest. (m2 /jaar) weekend]]/Ruimtestaat[[#This Row],[Norm (m2/uur) weekend]],0)</f>
        <v>0</v>
      </c>
      <c r="AD40" s="155">
        <f>Ruimtestaat[[#This Row],[uren / jaar weekend]]*Tariefsopbouw!$D$40</f>
        <v>0</v>
      </c>
      <c r="AE40" s="154">
        <f>Ruimtestaat[[#This Row],[Prest. (m2 /jaar) weekend]]+Ruimtestaat[[#This Row],[Prest. (m2 /jaar) werkdagen]]</f>
        <v>7600</v>
      </c>
      <c r="AF40" s="154">
        <f>Ruimtestaat[[#This Row],[uren / jaar weekend]]+Ruimtestaat[[#This Row],[uren / jaar werkdagen]]</f>
        <v>0</v>
      </c>
      <c r="AG40" s="69">
        <f>Ruimtestaat[[#This Row],[kosten / jaar weekend]]+Ruimtestaat[[#This Row],[kosten / jaar werkdagen]]</f>
        <v>0</v>
      </c>
      <c r="AH40" s="69"/>
      <c r="AI40" s="256" t="str">
        <f>IF(Ruimtestaat[[#This Row],[Frequentie werkdagen]]="","",_xlfn.CONCAT(Ruimtestaat[[#This Row],[Ruimte code]],"-",Ruimtestaat[[#This Row],[Frequentie werkdagen]]," ",Ruimtestaat[[#This Row],[Vloer code]]))</f>
        <v>6-5w L</v>
      </c>
      <c r="AJ40" s="363" t="str">
        <f>_xlfn.IFNA(VLOOKUP($AI40,Programma!$F$3:$G$1107,2,0),"")</f>
        <v>_</v>
      </c>
      <c r="AK40" s="363" t="str">
        <f>_xlfn.IFNA(VLOOKUP($AI40,Programma!$F$3:$H$1107,3,0),"")</f>
        <v>_</v>
      </c>
      <c r="AL40" s="363" t="str">
        <f>_xlfn.IFNA(VLOOKUP($AI40,Programma!$F$3:$I$1107,4,0),"")</f>
        <v>_</v>
      </c>
      <c r="AM40" s="363" t="str">
        <f>_xlfn.IFNA(VLOOKUP($AI40,Programma!$F$3:$J$1107,5,0),"")</f>
        <v>5w</v>
      </c>
      <c r="AN40" s="363" t="str">
        <f>_xlfn.IFNA(VLOOKUP($AI40,Programma!$F$3:$K$1107,6,0),"")</f>
        <v>_</v>
      </c>
      <c r="AO40" s="363" t="str">
        <f>_xlfn.IFNA(VLOOKUP($AI40,Programma!$F$3:$L$1107,7,0),"")</f>
        <v>_</v>
      </c>
      <c r="AP40" s="363" t="str">
        <f>_xlfn.IFNA(VLOOKUP($AI40,Programma!$F$3:$M$1107,8,0),"")</f>
        <v>_</v>
      </c>
      <c r="AQ40" s="363" t="str">
        <f>_xlfn.IFNA(VLOOKUP($AI40,Programma!$F$3:$N$1107,9,0),"")</f>
        <v>_</v>
      </c>
      <c r="AR40" s="363" t="str">
        <f>_xlfn.IFNA(VLOOKUP($AI40,Programma!$F$3:$O$1107,10,0),"")</f>
        <v>5w</v>
      </c>
      <c r="AS40" s="363" t="str">
        <f>_xlfn.IFNA(VLOOKUP($AI40,Programma!$F$3:$P$1107,11,0),"")</f>
        <v>5w</v>
      </c>
      <c r="AT40" s="363" t="str">
        <f>_xlfn.IFNA(VLOOKUP($AI40,Programma!$F$3:$Q$1107,12,0),"")</f>
        <v>1w</v>
      </c>
      <c r="AU40" s="363" t="str">
        <f>_xlfn.IFNA(VLOOKUP($AI40,Programma!$F$3:$R$1107,13,0),"")</f>
        <v>1w</v>
      </c>
      <c r="AV40" s="363" t="str">
        <f>_xlfn.IFNA(VLOOKUP($AI40,Programma!$F$3:$S$1107,14,0),"")</f>
        <v>1m</v>
      </c>
      <c r="AW40" s="363" t="str">
        <f>_xlfn.IFNA(VLOOKUP($AI40,Programma!$F$3:$T$1107,15,0),"")</f>
        <v>2j</v>
      </c>
      <c r="AX40" s="363" t="str">
        <f>_xlfn.IFNA(VLOOKUP($AI40,Programma!$F$3:$U$1107,16,0),"")</f>
        <v>1j</v>
      </c>
      <c r="AY40" s="363" t="str">
        <f>_xlfn.IFNA(VLOOKUP($AI40,Programma!$F$3:$V$1107,17,0),"")</f>
        <v>_</v>
      </c>
      <c r="AZ40" s="363" t="str">
        <f>_xlfn.IFNA(VLOOKUP($AI40,Programma!$F$3:$W$1107,18,0),"")</f>
        <v>_</v>
      </c>
      <c r="BA40" s="363" t="str">
        <f>_xlfn.IFNA(VLOOKUP($AI40,Programma!$F$3:$X$1107,19,0),"")</f>
        <v>_</v>
      </c>
      <c r="BB40" s="363" t="str">
        <f>_xlfn.IFNA(VLOOKUP($AI40,Programma!$F$3:$Y$1107,20,0),"")</f>
        <v>_</v>
      </c>
      <c r="BC40" s="257"/>
      <c r="BD40" s="256" t="str">
        <f>IF(Ruimtestaat[[#This Row],[Frequentie weekend]]="","",_xlfn.CONCAT(Ruimtestaat[[#This Row],[Ruimte code]],"-",Ruimtestaat[[#This Row],[Frequentie weekend]]," ",Ruimtestaat[[#This Row],[Vloer code]]))</f>
        <v/>
      </c>
      <c r="BE40" s="363" t="str">
        <f>_xlfn.IFNA(VLOOKUP($BD40,Programma!$F$3:$G$1107,2,0),"")</f>
        <v/>
      </c>
      <c r="BF40" s="363" t="str">
        <f>_xlfn.IFNA(VLOOKUP($BD40,Programma!$F$3:$H$1107,3,0),"")</f>
        <v/>
      </c>
      <c r="BG40" s="363" t="str">
        <f>_xlfn.IFNA(VLOOKUP($BD40,Programma!$F$3:$I$1107,4,0),"")</f>
        <v/>
      </c>
      <c r="BH40" s="363" t="str">
        <f>_xlfn.IFNA(VLOOKUP($BD40,Programma!$F$3:$J$1107,5,0),"")</f>
        <v/>
      </c>
      <c r="BI40" s="363" t="str">
        <f>_xlfn.IFNA(VLOOKUP($BD40,Programma!$F$3:$K$1107,6,0),"")</f>
        <v/>
      </c>
      <c r="BJ40" s="363" t="str">
        <f>_xlfn.IFNA(VLOOKUP($BD40,Programma!$F$3:$L$1107,7,0),"")</f>
        <v/>
      </c>
      <c r="BK40" s="363" t="str">
        <f>_xlfn.IFNA(VLOOKUP($BD40,Programma!$F$3:$M$1107,8,0),"")</f>
        <v/>
      </c>
      <c r="BL40" s="363" t="str">
        <f>_xlfn.IFNA(VLOOKUP($BD40,Programma!$F$3:$N$1107,9,0),"")</f>
        <v/>
      </c>
      <c r="BM40" s="363" t="str">
        <f>_xlfn.IFNA(VLOOKUP($BD40,Programma!$F$3:$O$1107,10,0),"")</f>
        <v/>
      </c>
      <c r="BN40" s="363" t="str">
        <f>_xlfn.IFNA(VLOOKUP($BD40,Programma!$F$3:$P$1107,11,0),"")</f>
        <v/>
      </c>
      <c r="BO40" s="363" t="str">
        <f>_xlfn.IFNA(VLOOKUP($BD40,Programma!$F$3:$Q$1107,12,0),"")</f>
        <v/>
      </c>
      <c r="BP40" s="363" t="str">
        <f>_xlfn.IFNA(VLOOKUP($BD40,Programma!$F$3:$R$1107,13,0),"")</f>
        <v/>
      </c>
      <c r="BQ40" s="363" t="str">
        <f>_xlfn.IFNA(VLOOKUP($BD40,Programma!$F$3:$S$1107,14,0),"")</f>
        <v/>
      </c>
      <c r="BR40" s="363" t="str">
        <f>_xlfn.IFNA(VLOOKUP($BD40,Programma!$F$3:$T$1107,15,0),"")</f>
        <v/>
      </c>
      <c r="BS40" s="363" t="str">
        <f>_xlfn.IFNA(VLOOKUP($BD40,Programma!$F$3:$U$1107,16,0),"")</f>
        <v/>
      </c>
      <c r="BT40" s="363" t="str">
        <f>_xlfn.IFNA(VLOOKUP($BD40,Programma!$F$3:$V$1107,17,0),"")</f>
        <v/>
      </c>
      <c r="BU40" s="363" t="str">
        <f>_xlfn.IFNA(VLOOKUP($BD40,Programma!$F$3:$W$1107,18,0),"")</f>
        <v/>
      </c>
      <c r="BV40" s="363" t="str">
        <f>_xlfn.IFNA(VLOOKUP($BD40,Programma!$F$3:$X$1107,19,0),"")</f>
        <v/>
      </c>
      <c r="BW40" s="363" t="str">
        <f>_xlfn.IFNA(VLOOKUP($BD40,Programma!$F$3:$Y$1107,20,0),"")</f>
        <v/>
      </c>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row>
    <row r="41" spans="1:220" ht="15" customHeight="1">
      <c r="A41" s="33">
        <v>2</v>
      </c>
      <c r="B41" s="157" t="str">
        <f>VLOOKUP(Ruimtestaat[[#This Row],[Code]],Locaties[[Code]:[Locatie]],2,FALSE)</f>
        <v>'s Gravendreef College</v>
      </c>
      <c r="C41" s="157" t="str">
        <f>VLOOKUP(Ruimtestaat[[#This Row],[Code]],Locaties[[#All],[Code]:[Adres]],4,FALSE)</f>
        <v>Klaas Voskuildreef 135</v>
      </c>
      <c r="D41" s="157" t="str">
        <f>VLOOKUP(Ruimtestaat[[#This Row],[Code]],Locaties[[#All],[Code]:[Postcode]],5,FALSE)</f>
        <v>2492 JJ</v>
      </c>
      <c r="E41" s="157" t="str">
        <f>VLOOKUP(Ruimtestaat[[#This Row],[Code]],Locaties[#All],6,FALSE)</f>
        <v>Den Haag</v>
      </c>
      <c r="F41" s="33"/>
      <c r="G41" s="33" t="s">
        <v>1624</v>
      </c>
      <c r="H41" s="368" t="s">
        <v>1664</v>
      </c>
      <c r="I41" s="367" t="s">
        <v>1625</v>
      </c>
      <c r="J41" s="21">
        <v>6</v>
      </c>
      <c r="K41" s="62" t="str">
        <f>VLOOKUP(Ruimtestaat[[#This Row],[Ruimte code]],Ruimtegroepen[[#All],[Code]:[Ruimte omschrijving]],2,FALSE)</f>
        <v>Gangen/hallen</v>
      </c>
      <c r="L41" s="33" t="s">
        <v>101</v>
      </c>
      <c r="M41" s="367" t="s">
        <v>2495</v>
      </c>
      <c r="N41" s="140">
        <v>150</v>
      </c>
      <c r="O41" s="140"/>
      <c r="P41" s="125" t="str">
        <f>VLOOKUP(Ruimtestaat[[#This Row],[Ruimte code]],Ruimtegroepen[],4,FALSE)</f>
        <v>Ve</v>
      </c>
      <c r="R41" s="33">
        <v>40</v>
      </c>
      <c r="S41" s="33" t="s">
        <v>2</v>
      </c>
      <c r="T41" s="33">
        <f>IF(R41&gt;0,IF(RIGHT(Ruimtestaat[[#This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 s="33">
        <f>IF(T41&gt;0,VLOOKUP($J41,Ruimtegroepen[],3,FALSE)*VLOOKUP($L41,Vloersoorten[],3,FALSE)*VLOOKUP($S41,Frequenties[],3,FALSE)*VLOOKUP($A41,Locaties[],3,FALSE),0)</f>
        <v>0</v>
      </c>
      <c r="V41" s="33">
        <f>Ruimtestaat[[#This Row],[Uitvoeringen werkdagen]]*Ruimtestaat[[#This Row],[Oppervlak (netto)]]</f>
        <v>30000</v>
      </c>
      <c r="W41" s="154">
        <f>IF(U41&gt;0,Ruimtestaat[[#This Row],[Prest. (m2 /jaar) werkdagen]]/Ruimtestaat[[#This Row],[Norm (m2/uur) werkdagen]],0)</f>
        <v>0</v>
      </c>
      <c r="X41" s="155">
        <f>Ruimtestaat[[#This Row],[uren / jaar werkdagen]]*Tariefsopbouw!$E$35</f>
        <v>0</v>
      </c>
      <c r="Y41" s="33"/>
      <c r="Z41" s="33">
        <f>IF(Ruimtestaat[[#This Row],[Frequentie weekend]]&gt;0,VALUE(LEFT(Y41,1))*R41,0)</f>
        <v>0</v>
      </c>
      <c r="AA41" s="97">
        <f>IF($Z41&gt;0,VLOOKUP($J41,Ruimtegroepen[],3,FALSE)*VLOOKUP($L41,Vloersoorten[],3,FALSE)*VLOOKUP($Y41,Frequenties[],3,FALSE)*VLOOKUP(Ruimtestaat[[#This Row],[Code]],Locaties[],3,FALSE),0)</f>
        <v>0</v>
      </c>
      <c r="AB41" s="97">
        <f>Ruimtestaat[[#This Row],[Uitvoeringen weekend]]*Ruimtestaat[[#This Row],[Oppervlak (netto)]]</f>
        <v>0</v>
      </c>
      <c r="AC41" s="97">
        <f>IF(AA41&gt;0,Ruimtestaat[[#This Row],[Prest. (m2 /jaar) weekend]]/Ruimtestaat[[#This Row],[Norm (m2/uur) weekend]],0)</f>
        <v>0</v>
      </c>
      <c r="AD41" s="155">
        <f>Ruimtestaat[[#This Row],[uren / jaar weekend]]*Tariefsopbouw!$D$40</f>
        <v>0</v>
      </c>
      <c r="AE41" s="154">
        <f>Ruimtestaat[[#This Row],[Prest. (m2 /jaar) weekend]]+Ruimtestaat[[#This Row],[Prest. (m2 /jaar) werkdagen]]</f>
        <v>30000</v>
      </c>
      <c r="AF41" s="154">
        <f>Ruimtestaat[[#This Row],[uren / jaar weekend]]+Ruimtestaat[[#This Row],[uren / jaar werkdagen]]</f>
        <v>0</v>
      </c>
      <c r="AG41" s="69">
        <f>Ruimtestaat[[#This Row],[kosten / jaar weekend]]+Ruimtestaat[[#This Row],[kosten / jaar werkdagen]]</f>
        <v>0</v>
      </c>
      <c r="AH41" s="69"/>
      <c r="AI41" s="256" t="str">
        <f>IF(Ruimtestaat[[#This Row],[Frequentie werkdagen]]="","",_xlfn.CONCAT(Ruimtestaat[[#This Row],[Ruimte code]],"-",Ruimtestaat[[#This Row],[Frequentie werkdagen]]," ",Ruimtestaat[[#This Row],[Vloer code]]))</f>
        <v>6-5w L</v>
      </c>
      <c r="AJ41" s="363" t="str">
        <f>_xlfn.IFNA(VLOOKUP($AI41,Programma!$F$3:$G$1107,2,0),"")</f>
        <v>_</v>
      </c>
      <c r="AK41" s="363" t="str">
        <f>_xlfn.IFNA(VLOOKUP($AI41,Programma!$F$3:$H$1107,3,0),"")</f>
        <v>_</v>
      </c>
      <c r="AL41" s="363" t="str">
        <f>_xlfn.IFNA(VLOOKUP($AI41,Programma!$F$3:$I$1107,4,0),"")</f>
        <v>_</v>
      </c>
      <c r="AM41" s="363" t="str">
        <f>_xlfn.IFNA(VLOOKUP($AI41,Programma!$F$3:$J$1107,5,0),"")</f>
        <v>5w</v>
      </c>
      <c r="AN41" s="363" t="str">
        <f>_xlfn.IFNA(VLOOKUP($AI41,Programma!$F$3:$K$1107,6,0),"")</f>
        <v>_</v>
      </c>
      <c r="AO41" s="363" t="str">
        <f>_xlfn.IFNA(VLOOKUP($AI41,Programma!$F$3:$L$1107,7,0),"")</f>
        <v>_</v>
      </c>
      <c r="AP41" s="363" t="str">
        <f>_xlfn.IFNA(VLOOKUP($AI41,Programma!$F$3:$M$1107,8,0),"")</f>
        <v>_</v>
      </c>
      <c r="AQ41" s="363" t="str">
        <f>_xlfn.IFNA(VLOOKUP($AI41,Programma!$F$3:$N$1107,9,0),"")</f>
        <v>_</v>
      </c>
      <c r="AR41" s="363" t="str">
        <f>_xlfn.IFNA(VLOOKUP($AI41,Programma!$F$3:$O$1107,10,0),"")</f>
        <v>5w</v>
      </c>
      <c r="AS41" s="363" t="str">
        <f>_xlfn.IFNA(VLOOKUP($AI41,Programma!$F$3:$P$1107,11,0),"")</f>
        <v>5w</v>
      </c>
      <c r="AT41" s="363" t="str">
        <f>_xlfn.IFNA(VLOOKUP($AI41,Programma!$F$3:$Q$1107,12,0),"")</f>
        <v>1w</v>
      </c>
      <c r="AU41" s="363" t="str">
        <f>_xlfn.IFNA(VLOOKUP($AI41,Programma!$F$3:$R$1107,13,0),"")</f>
        <v>1w</v>
      </c>
      <c r="AV41" s="363" t="str">
        <f>_xlfn.IFNA(VLOOKUP($AI41,Programma!$F$3:$S$1107,14,0),"")</f>
        <v>1m</v>
      </c>
      <c r="AW41" s="363" t="str">
        <f>_xlfn.IFNA(VLOOKUP($AI41,Programma!$F$3:$T$1107,15,0),"")</f>
        <v>2j</v>
      </c>
      <c r="AX41" s="363" t="str">
        <f>_xlfn.IFNA(VLOOKUP($AI41,Programma!$F$3:$U$1107,16,0),"")</f>
        <v>1j</v>
      </c>
      <c r="AY41" s="363" t="str">
        <f>_xlfn.IFNA(VLOOKUP($AI41,Programma!$F$3:$V$1107,17,0),"")</f>
        <v>_</v>
      </c>
      <c r="AZ41" s="363" t="str">
        <f>_xlfn.IFNA(VLOOKUP($AI41,Programma!$F$3:$W$1107,18,0),"")</f>
        <v>_</v>
      </c>
      <c r="BA41" s="363" t="str">
        <f>_xlfn.IFNA(VLOOKUP($AI41,Programma!$F$3:$X$1107,19,0),"")</f>
        <v>_</v>
      </c>
      <c r="BB41" s="363" t="str">
        <f>_xlfn.IFNA(VLOOKUP($AI41,Programma!$F$3:$Y$1107,20,0),"")</f>
        <v>_</v>
      </c>
      <c r="BC41" s="257"/>
      <c r="BD41" s="256" t="str">
        <f>IF(Ruimtestaat[[#This Row],[Frequentie weekend]]="","",_xlfn.CONCAT(Ruimtestaat[[#This Row],[Ruimte code]],"-",Ruimtestaat[[#This Row],[Frequentie weekend]]," ",Ruimtestaat[[#This Row],[Vloer code]]))</f>
        <v/>
      </c>
      <c r="BE41" s="363" t="str">
        <f>_xlfn.IFNA(VLOOKUP($BD41,Programma!$F$3:$G$1107,2,0),"")</f>
        <v/>
      </c>
      <c r="BF41" s="363" t="str">
        <f>_xlfn.IFNA(VLOOKUP($BD41,Programma!$F$3:$H$1107,3,0),"")</f>
        <v/>
      </c>
      <c r="BG41" s="363" t="str">
        <f>_xlfn.IFNA(VLOOKUP($BD41,Programma!$F$3:$I$1107,4,0),"")</f>
        <v/>
      </c>
      <c r="BH41" s="363" t="str">
        <f>_xlfn.IFNA(VLOOKUP($BD41,Programma!$F$3:$J$1107,5,0),"")</f>
        <v/>
      </c>
      <c r="BI41" s="363" t="str">
        <f>_xlfn.IFNA(VLOOKUP($BD41,Programma!$F$3:$K$1107,6,0),"")</f>
        <v/>
      </c>
      <c r="BJ41" s="363" t="str">
        <f>_xlfn.IFNA(VLOOKUP($BD41,Programma!$F$3:$L$1107,7,0),"")</f>
        <v/>
      </c>
      <c r="BK41" s="363" t="str">
        <f>_xlfn.IFNA(VLOOKUP($BD41,Programma!$F$3:$M$1107,8,0),"")</f>
        <v/>
      </c>
      <c r="BL41" s="363" t="str">
        <f>_xlfn.IFNA(VLOOKUP($BD41,Programma!$F$3:$N$1107,9,0),"")</f>
        <v/>
      </c>
      <c r="BM41" s="363" t="str">
        <f>_xlfn.IFNA(VLOOKUP($BD41,Programma!$F$3:$O$1107,10,0),"")</f>
        <v/>
      </c>
      <c r="BN41" s="363" t="str">
        <f>_xlfn.IFNA(VLOOKUP($BD41,Programma!$F$3:$P$1107,11,0),"")</f>
        <v/>
      </c>
      <c r="BO41" s="363" t="str">
        <f>_xlfn.IFNA(VLOOKUP($BD41,Programma!$F$3:$Q$1107,12,0),"")</f>
        <v/>
      </c>
      <c r="BP41" s="363" t="str">
        <f>_xlfn.IFNA(VLOOKUP($BD41,Programma!$F$3:$R$1107,13,0),"")</f>
        <v/>
      </c>
      <c r="BQ41" s="363" t="str">
        <f>_xlfn.IFNA(VLOOKUP($BD41,Programma!$F$3:$S$1107,14,0),"")</f>
        <v/>
      </c>
      <c r="BR41" s="363" t="str">
        <f>_xlfn.IFNA(VLOOKUP($BD41,Programma!$F$3:$T$1107,15,0),"")</f>
        <v/>
      </c>
      <c r="BS41" s="363" t="str">
        <f>_xlfn.IFNA(VLOOKUP($BD41,Programma!$F$3:$U$1107,16,0),"")</f>
        <v/>
      </c>
      <c r="BT41" s="363" t="str">
        <f>_xlfn.IFNA(VLOOKUP($BD41,Programma!$F$3:$V$1107,17,0),"")</f>
        <v/>
      </c>
      <c r="BU41" s="363" t="str">
        <f>_xlfn.IFNA(VLOOKUP($BD41,Programma!$F$3:$W$1107,18,0),"")</f>
        <v/>
      </c>
      <c r="BV41" s="363" t="str">
        <f>_xlfn.IFNA(VLOOKUP($BD41,Programma!$F$3:$X$1107,19,0),"")</f>
        <v/>
      </c>
      <c r="BW41" s="363" t="str">
        <f>_xlfn.IFNA(VLOOKUP($BD41,Programma!$F$3:$Y$1107,20,0),"")</f>
        <v/>
      </c>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row>
    <row r="42" spans="1:220" ht="15" customHeight="1">
      <c r="A42" s="33">
        <v>2</v>
      </c>
      <c r="B42" s="157" t="str">
        <f>VLOOKUP(Ruimtestaat[[#This Row],[Code]],Locaties[[Code]:[Locatie]],2,FALSE)</f>
        <v>'s Gravendreef College</v>
      </c>
      <c r="C42" s="157" t="str">
        <f>VLOOKUP(Ruimtestaat[[#This Row],[Code]],Locaties[[#All],[Code]:[Adres]],4,FALSE)</f>
        <v>Klaas Voskuildreef 135</v>
      </c>
      <c r="D42" s="157" t="str">
        <f>VLOOKUP(Ruimtestaat[[#This Row],[Code]],Locaties[[#All],[Code]:[Postcode]],5,FALSE)</f>
        <v>2492 JJ</v>
      </c>
      <c r="E42" s="157" t="str">
        <f>VLOOKUP(Ruimtestaat[[#This Row],[Code]],Locaties[#All],6,FALSE)</f>
        <v>Den Haag</v>
      </c>
      <c r="F42" s="33"/>
      <c r="G42" s="33" t="s">
        <v>1624</v>
      </c>
      <c r="H42" s="368" t="s">
        <v>1665</v>
      </c>
      <c r="I42" s="367" t="s">
        <v>1625</v>
      </c>
      <c r="J42" s="21">
        <v>6</v>
      </c>
      <c r="K42" s="62" t="str">
        <f>VLOOKUP(Ruimtestaat[[#This Row],[Ruimte code]],Ruimtegroepen[[#All],[Code]:[Ruimte omschrijving]],2,FALSE)</f>
        <v>Gangen/hallen</v>
      </c>
      <c r="L42" s="33" t="s">
        <v>101</v>
      </c>
      <c r="M42" s="367" t="s">
        <v>2495</v>
      </c>
      <c r="N42" s="140">
        <v>13</v>
      </c>
      <c r="O42" s="140"/>
      <c r="P42" s="125" t="str">
        <f>VLOOKUP(Ruimtestaat[[#This Row],[Ruimte code]],Ruimtegroepen[],4,FALSE)</f>
        <v>Ve</v>
      </c>
      <c r="R42" s="33">
        <v>40</v>
      </c>
      <c r="S42" s="33" t="s">
        <v>2</v>
      </c>
      <c r="T42" s="33">
        <f>IF(R42&gt;0,IF(RIGHT(Ruimtestaat[[#This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 s="33">
        <f>IF(T42&gt;0,VLOOKUP($J42,Ruimtegroepen[],3,FALSE)*VLOOKUP($L42,Vloersoorten[],3,FALSE)*VLOOKUP($S42,Frequenties[],3,FALSE)*VLOOKUP($A42,Locaties[],3,FALSE),0)</f>
        <v>0</v>
      </c>
      <c r="V42" s="33">
        <f>Ruimtestaat[[#This Row],[Uitvoeringen werkdagen]]*Ruimtestaat[[#This Row],[Oppervlak (netto)]]</f>
        <v>2600</v>
      </c>
      <c r="W42" s="154">
        <f>IF(U42&gt;0,Ruimtestaat[[#This Row],[Prest. (m2 /jaar) werkdagen]]/Ruimtestaat[[#This Row],[Norm (m2/uur) werkdagen]],0)</f>
        <v>0</v>
      </c>
      <c r="X42" s="155">
        <f>Ruimtestaat[[#This Row],[uren / jaar werkdagen]]*Tariefsopbouw!$E$35</f>
        <v>0</v>
      </c>
      <c r="Y42" s="33"/>
      <c r="Z42" s="33">
        <f>IF(Ruimtestaat[[#This Row],[Frequentie weekend]]&gt;0,VALUE(LEFT(Y42,1))*R42,0)</f>
        <v>0</v>
      </c>
      <c r="AA42" s="97">
        <f>IF($Z42&gt;0,VLOOKUP($J42,Ruimtegroepen[],3,FALSE)*VLOOKUP($L42,Vloersoorten[],3,FALSE)*VLOOKUP($Y42,Frequenties[],3,FALSE)*VLOOKUP(Ruimtestaat[[#This Row],[Code]],Locaties[],3,FALSE),0)</f>
        <v>0</v>
      </c>
      <c r="AB42" s="97">
        <f>Ruimtestaat[[#This Row],[Uitvoeringen weekend]]*Ruimtestaat[[#This Row],[Oppervlak (netto)]]</f>
        <v>0</v>
      </c>
      <c r="AC42" s="97">
        <f>IF(AA42&gt;0,Ruimtestaat[[#This Row],[Prest. (m2 /jaar) weekend]]/Ruimtestaat[[#This Row],[Norm (m2/uur) weekend]],0)</f>
        <v>0</v>
      </c>
      <c r="AD42" s="155">
        <f>Ruimtestaat[[#This Row],[uren / jaar weekend]]*Tariefsopbouw!$D$40</f>
        <v>0</v>
      </c>
      <c r="AE42" s="154">
        <f>Ruimtestaat[[#This Row],[Prest. (m2 /jaar) weekend]]+Ruimtestaat[[#This Row],[Prest. (m2 /jaar) werkdagen]]</f>
        <v>2600</v>
      </c>
      <c r="AF42" s="154">
        <f>Ruimtestaat[[#This Row],[uren / jaar weekend]]+Ruimtestaat[[#This Row],[uren / jaar werkdagen]]</f>
        <v>0</v>
      </c>
      <c r="AG42" s="69">
        <f>Ruimtestaat[[#This Row],[kosten / jaar weekend]]+Ruimtestaat[[#This Row],[kosten / jaar werkdagen]]</f>
        <v>0</v>
      </c>
      <c r="AH42" s="69"/>
      <c r="AI42" s="256" t="str">
        <f>IF(Ruimtestaat[[#This Row],[Frequentie werkdagen]]="","",_xlfn.CONCAT(Ruimtestaat[[#This Row],[Ruimte code]],"-",Ruimtestaat[[#This Row],[Frequentie werkdagen]]," ",Ruimtestaat[[#This Row],[Vloer code]]))</f>
        <v>6-5w L</v>
      </c>
      <c r="AJ42" s="363" t="str">
        <f>_xlfn.IFNA(VLOOKUP($AI42,Programma!$F$3:$G$1107,2,0),"")</f>
        <v>_</v>
      </c>
      <c r="AK42" s="363" t="str">
        <f>_xlfn.IFNA(VLOOKUP($AI42,Programma!$F$3:$H$1107,3,0),"")</f>
        <v>_</v>
      </c>
      <c r="AL42" s="363" t="str">
        <f>_xlfn.IFNA(VLOOKUP($AI42,Programma!$F$3:$I$1107,4,0),"")</f>
        <v>_</v>
      </c>
      <c r="AM42" s="363" t="str">
        <f>_xlfn.IFNA(VLOOKUP($AI42,Programma!$F$3:$J$1107,5,0),"")</f>
        <v>5w</v>
      </c>
      <c r="AN42" s="363" t="str">
        <f>_xlfn.IFNA(VLOOKUP($AI42,Programma!$F$3:$K$1107,6,0),"")</f>
        <v>_</v>
      </c>
      <c r="AO42" s="363" t="str">
        <f>_xlfn.IFNA(VLOOKUP($AI42,Programma!$F$3:$L$1107,7,0),"")</f>
        <v>_</v>
      </c>
      <c r="AP42" s="363" t="str">
        <f>_xlfn.IFNA(VLOOKUP($AI42,Programma!$F$3:$M$1107,8,0),"")</f>
        <v>_</v>
      </c>
      <c r="AQ42" s="363" t="str">
        <f>_xlfn.IFNA(VLOOKUP($AI42,Programma!$F$3:$N$1107,9,0),"")</f>
        <v>_</v>
      </c>
      <c r="AR42" s="363" t="str">
        <f>_xlfn.IFNA(VLOOKUP($AI42,Programma!$F$3:$O$1107,10,0),"")</f>
        <v>5w</v>
      </c>
      <c r="AS42" s="363" t="str">
        <f>_xlfn.IFNA(VLOOKUP($AI42,Programma!$F$3:$P$1107,11,0),"")</f>
        <v>5w</v>
      </c>
      <c r="AT42" s="363" t="str">
        <f>_xlfn.IFNA(VLOOKUP($AI42,Programma!$F$3:$Q$1107,12,0),"")</f>
        <v>1w</v>
      </c>
      <c r="AU42" s="363" t="str">
        <f>_xlfn.IFNA(VLOOKUP($AI42,Programma!$F$3:$R$1107,13,0),"")</f>
        <v>1w</v>
      </c>
      <c r="AV42" s="363" t="str">
        <f>_xlfn.IFNA(VLOOKUP($AI42,Programma!$F$3:$S$1107,14,0),"")</f>
        <v>1m</v>
      </c>
      <c r="AW42" s="363" t="str">
        <f>_xlfn.IFNA(VLOOKUP($AI42,Programma!$F$3:$T$1107,15,0),"")</f>
        <v>2j</v>
      </c>
      <c r="AX42" s="363" t="str">
        <f>_xlfn.IFNA(VLOOKUP($AI42,Programma!$F$3:$U$1107,16,0),"")</f>
        <v>1j</v>
      </c>
      <c r="AY42" s="363" t="str">
        <f>_xlfn.IFNA(VLOOKUP($AI42,Programma!$F$3:$V$1107,17,0),"")</f>
        <v>_</v>
      </c>
      <c r="AZ42" s="363" t="str">
        <f>_xlfn.IFNA(VLOOKUP($AI42,Programma!$F$3:$W$1107,18,0),"")</f>
        <v>_</v>
      </c>
      <c r="BA42" s="363" t="str">
        <f>_xlfn.IFNA(VLOOKUP($AI42,Programma!$F$3:$X$1107,19,0),"")</f>
        <v>_</v>
      </c>
      <c r="BB42" s="363" t="str">
        <f>_xlfn.IFNA(VLOOKUP($AI42,Programma!$F$3:$Y$1107,20,0),"")</f>
        <v>_</v>
      </c>
      <c r="BC42" s="257"/>
      <c r="BD42" s="256" t="str">
        <f>IF(Ruimtestaat[[#This Row],[Frequentie weekend]]="","",_xlfn.CONCAT(Ruimtestaat[[#This Row],[Ruimte code]],"-",Ruimtestaat[[#This Row],[Frequentie weekend]]," ",Ruimtestaat[[#This Row],[Vloer code]]))</f>
        <v/>
      </c>
      <c r="BE42" s="363" t="str">
        <f>_xlfn.IFNA(VLOOKUP($BD42,Programma!$F$3:$G$1107,2,0),"")</f>
        <v/>
      </c>
      <c r="BF42" s="363" t="str">
        <f>_xlfn.IFNA(VLOOKUP($BD42,Programma!$F$3:$H$1107,3,0),"")</f>
        <v/>
      </c>
      <c r="BG42" s="363" t="str">
        <f>_xlfn.IFNA(VLOOKUP($BD42,Programma!$F$3:$I$1107,4,0),"")</f>
        <v/>
      </c>
      <c r="BH42" s="363" t="str">
        <f>_xlfn.IFNA(VLOOKUP($BD42,Programma!$F$3:$J$1107,5,0),"")</f>
        <v/>
      </c>
      <c r="BI42" s="363" t="str">
        <f>_xlfn.IFNA(VLOOKUP($BD42,Programma!$F$3:$K$1107,6,0),"")</f>
        <v/>
      </c>
      <c r="BJ42" s="363" t="str">
        <f>_xlfn.IFNA(VLOOKUP($BD42,Programma!$F$3:$L$1107,7,0),"")</f>
        <v/>
      </c>
      <c r="BK42" s="363" t="str">
        <f>_xlfn.IFNA(VLOOKUP($BD42,Programma!$F$3:$M$1107,8,0),"")</f>
        <v/>
      </c>
      <c r="BL42" s="363" t="str">
        <f>_xlfn.IFNA(VLOOKUP($BD42,Programma!$F$3:$N$1107,9,0),"")</f>
        <v/>
      </c>
      <c r="BM42" s="363" t="str">
        <f>_xlfn.IFNA(VLOOKUP($BD42,Programma!$F$3:$O$1107,10,0),"")</f>
        <v/>
      </c>
      <c r="BN42" s="363" t="str">
        <f>_xlfn.IFNA(VLOOKUP($BD42,Programma!$F$3:$P$1107,11,0),"")</f>
        <v/>
      </c>
      <c r="BO42" s="363" t="str">
        <f>_xlfn.IFNA(VLOOKUP($BD42,Programma!$F$3:$Q$1107,12,0),"")</f>
        <v/>
      </c>
      <c r="BP42" s="363" t="str">
        <f>_xlfn.IFNA(VLOOKUP($BD42,Programma!$F$3:$R$1107,13,0),"")</f>
        <v/>
      </c>
      <c r="BQ42" s="363" t="str">
        <f>_xlfn.IFNA(VLOOKUP($BD42,Programma!$F$3:$S$1107,14,0),"")</f>
        <v/>
      </c>
      <c r="BR42" s="363" t="str">
        <f>_xlfn.IFNA(VLOOKUP($BD42,Programma!$F$3:$T$1107,15,0),"")</f>
        <v/>
      </c>
      <c r="BS42" s="363" t="str">
        <f>_xlfn.IFNA(VLOOKUP($BD42,Programma!$F$3:$U$1107,16,0),"")</f>
        <v/>
      </c>
      <c r="BT42" s="363" t="str">
        <f>_xlfn.IFNA(VLOOKUP($BD42,Programma!$F$3:$V$1107,17,0),"")</f>
        <v/>
      </c>
      <c r="BU42" s="363" t="str">
        <f>_xlfn.IFNA(VLOOKUP($BD42,Programma!$F$3:$W$1107,18,0),"")</f>
        <v/>
      </c>
      <c r="BV42" s="363" t="str">
        <f>_xlfn.IFNA(VLOOKUP($BD42,Programma!$F$3:$X$1107,19,0),"")</f>
        <v/>
      </c>
      <c r="BW42" s="363" t="str">
        <f>_xlfn.IFNA(VLOOKUP($BD42,Programma!$F$3:$Y$1107,20,0),"")</f>
        <v/>
      </c>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row>
    <row r="43" spans="1:220" ht="15" customHeight="1">
      <c r="A43" s="33">
        <v>2</v>
      </c>
      <c r="B43" s="157" t="str">
        <f>VLOOKUP(Ruimtestaat[[#This Row],[Code]],Locaties[[Code]:[Locatie]],2,FALSE)</f>
        <v>'s Gravendreef College</v>
      </c>
      <c r="C43" s="157" t="str">
        <f>VLOOKUP(Ruimtestaat[[#This Row],[Code]],Locaties[[#All],[Code]:[Adres]],4,FALSE)</f>
        <v>Klaas Voskuildreef 135</v>
      </c>
      <c r="D43" s="157" t="str">
        <f>VLOOKUP(Ruimtestaat[[#This Row],[Code]],Locaties[[#All],[Code]:[Postcode]],5,FALSE)</f>
        <v>2492 JJ</v>
      </c>
      <c r="E43" s="157" t="str">
        <f>VLOOKUP(Ruimtestaat[[#This Row],[Code]],Locaties[#All],6,FALSE)</f>
        <v>Den Haag</v>
      </c>
      <c r="F43" s="33"/>
      <c r="G43" s="33" t="s">
        <v>1624</v>
      </c>
      <c r="H43" s="368" t="s">
        <v>1666</v>
      </c>
      <c r="I43" s="367" t="s">
        <v>1639</v>
      </c>
      <c r="J43" s="21">
        <v>5</v>
      </c>
      <c r="K43" s="62" t="str">
        <f>VLOOKUP(Ruimtestaat[[#This Row],[Ruimte code]],Ruimtegroepen[[#All],[Code]:[Ruimte omschrijving]],2,FALSE)</f>
        <v>Sanitair</v>
      </c>
      <c r="L43" s="33" t="s">
        <v>102</v>
      </c>
      <c r="M43" s="367" t="s">
        <v>2496</v>
      </c>
      <c r="N43" s="140">
        <v>19</v>
      </c>
      <c r="O43" s="140"/>
      <c r="P43" s="125" t="str">
        <f>VLOOKUP(Ruimtestaat[[#This Row],[Ruimte code]],Ruimtegroepen[],4,FALSE)</f>
        <v>Sa</v>
      </c>
      <c r="R43" s="33">
        <v>40</v>
      </c>
      <c r="S43" s="33" t="s">
        <v>2</v>
      </c>
      <c r="T43" s="33">
        <f>IF(R43&gt;0,IF(RIGHT(Ruimtestaat[[#This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 s="33">
        <f>IF(T43&gt;0,VLOOKUP($J43,Ruimtegroepen[],3,FALSE)*VLOOKUP($L43,Vloersoorten[],3,FALSE)*VLOOKUP($S43,Frequenties[],3,FALSE)*VLOOKUP($A43,Locaties[],3,FALSE),0)</f>
        <v>0</v>
      </c>
      <c r="V43" s="33">
        <f>Ruimtestaat[[#This Row],[Uitvoeringen werkdagen]]*Ruimtestaat[[#This Row],[Oppervlak (netto)]]</f>
        <v>3800</v>
      </c>
      <c r="W43" s="154">
        <f>IF(U43&gt;0,Ruimtestaat[[#This Row],[Prest. (m2 /jaar) werkdagen]]/Ruimtestaat[[#This Row],[Norm (m2/uur) werkdagen]],0)</f>
        <v>0</v>
      </c>
      <c r="X43" s="155">
        <f>Ruimtestaat[[#This Row],[uren / jaar werkdagen]]*Tariefsopbouw!$E$35</f>
        <v>0</v>
      </c>
      <c r="Y43" s="33"/>
      <c r="Z43" s="33">
        <f>IF(Ruimtestaat[[#This Row],[Frequentie weekend]]&gt;0,VALUE(LEFT(Y43,1))*R43,0)</f>
        <v>0</v>
      </c>
      <c r="AA43" s="97">
        <f>IF($Z43&gt;0,VLOOKUP($J43,Ruimtegroepen[],3,FALSE)*VLOOKUP($L43,Vloersoorten[],3,FALSE)*VLOOKUP($Y43,Frequenties[],3,FALSE)*VLOOKUP(Ruimtestaat[[#This Row],[Code]],Locaties[],3,FALSE),0)</f>
        <v>0</v>
      </c>
      <c r="AB43" s="97">
        <f>Ruimtestaat[[#This Row],[Uitvoeringen weekend]]*Ruimtestaat[[#This Row],[Oppervlak (netto)]]</f>
        <v>0</v>
      </c>
      <c r="AC43" s="97">
        <f>IF(AA43&gt;0,Ruimtestaat[[#This Row],[Prest. (m2 /jaar) weekend]]/Ruimtestaat[[#This Row],[Norm (m2/uur) weekend]],0)</f>
        <v>0</v>
      </c>
      <c r="AD43" s="155">
        <f>Ruimtestaat[[#This Row],[uren / jaar weekend]]*Tariefsopbouw!$D$40</f>
        <v>0</v>
      </c>
      <c r="AE43" s="154">
        <f>Ruimtestaat[[#This Row],[Prest. (m2 /jaar) weekend]]+Ruimtestaat[[#This Row],[Prest. (m2 /jaar) werkdagen]]</f>
        <v>3800</v>
      </c>
      <c r="AF43" s="154">
        <f>Ruimtestaat[[#This Row],[uren / jaar weekend]]+Ruimtestaat[[#This Row],[uren / jaar werkdagen]]</f>
        <v>0</v>
      </c>
      <c r="AG43" s="69">
        <f>Ruimtestaat[[#This Row],[kosten / jaar weekend]]+Ruimtestaat[[#This Row],[kosten / jaar werkdagen]]</f>
        <v>0</v>
      </c>
      <c r="AH43" s="69"/>
      <c r="AI43" s="256" t="str">
        <f>IF(Ruimtestaat[[#This Row],[Frequentie werkdagen]]="","",_xlfn.CONCAT(Ruimtestaat[[#This Row],[Ruimte code]],"-",Ruimtestaat[[#This Row],[Frequentie werkdagen]]," ",Ruimtestaat[[#This Row],[Vloer code]]))</f>
        <v>5-5w S</v>
      </c>
      <c r="AJ43" s="363" t="str">
        <f>_xlfn.IFNA(VLOOKUP($AI43,Programma!$F$3:$G$1107,2,0),"")</f>
        <v>_</v>
      </c>
      <c r="AK43" s="363" t="str">
        <f>_xlfn.IFNA(VLOOKUP($AI43,Programma!$F$3:$H$1107,3,0),"")</f>
        <v>_</v>
      </c>
      <c r="AL43" s="363" t="str">
        <f>_xlfn.IFNA(VLOOKUP($AI43,Programma!$F$3:$I$1107,4,0),"")</f>
        <v>_</v>
      </c>
      <c r="AM43" s="363" t="str">
        <f>_xlfn.IFNA(VLOOKUP($AI43,Programma!$F$3:$J$1107,5,0),"")</f>
        <v>4w</v>
      </c>
      <c r="AN43" s="363" t="str">
        <f>_xlfn.IFNA(VLOOKUP($AI43,Programma!$F$3:$K$1107,6,0),"")</f>
        <v>1w</v>
      </c>
      <c r="AO43" s="363" t="str">
        <f>_xlfn.IFNA(VLOOKUP($AI43,Programma!$F$3:$L$1107,7,0),"")</f>
        <v>_</v>
      </c>
      <c r="AP43" s="363" t="str">
        <f>_xlfn.IFNA(VLOOKUP($AI43,Programma!$F$3:$M$1107,8,0),"")</f>
        <v>_</v>
      </c>
      <c r="AQ43" s="363" t="str">
        <f>_xlfn.IFNA(VLOOKUP($AI43,Programma!$F$3:$N$1107,9,0),"")</f>
        <v>_</v>
      </c>
      <c r="AR43" s="363" t="str">
        <f>_xlfn.IFNA(VLOOKUP($AI43,Programma!$F$3:$O$1107,10,0),"")</f>
        <v>_</v>
      </c>
      <c r="AS43" s="363" t="str">
        <f>_xlfn.IFNA(VLOOKUP($AI43,Programma!$F$3:$P$1107,11,0),"")</f>
        <v>_</v>
      </c>
      <c r="AT43" s="363" t="str">
        <f>_xlfn.IFNA(VLOOKUP($AI43,Programma!$F$3:$Q$1107,12,0),"")</f>
        <v>_</v>
      </c>
      <c r="AU43" s="363" t="str">
        <f>_xlfn.IFNA(VLOOKUP($AI43,Programma!$F$3:$R$1107,13,0),"")</f>
        <v>_</v>
      </c>
      <c r="AV43" s="363" t="str">
        <f>_xlfn.IFNA(VLOOKUP($AI43,Programma!$F$3:$S$1107,14,0),"")</f>
        <v>_</v>
      </c>
      <c r="AW43" s="363" t="str">
        <f>_xlfn.IFNA(VLOOKUP($AI43,Programma!$F$3:$T$1107,15,0),"")</f>
        <v>_</v>
      </c>
      <c r="AX43" s="363" t="str">
        <f>_xlfn.IFNA(VLOOKUP($AI43,Programma!$F$3:$U$1107,16,0),"")</f>
        <v>_</v>
      </c>
      <c r="AY43" s="363" t="str">
        <f>_xlfn.IFNA(VLOOKUP($AI43,Programma!$F$3:$V$1107,17,0),"")</f>
        <v>_</v>
      </c>
      <c r="AZ43" s="363" t="str">
        <f>_xlfn.IFNA(VLOOKUP($AI43,Programma!$F$3:$W$1107,18,0),"")</f>
        <v>4w</v>
      </c>
      <c r="BA43" s="363" t="str">
        <f>_xlfn.IFNA(VLOOKUP($AI43,Programma!$F$3:$X$1107,19,0),"")</f>
        <v>1w</v>
      </c>
      <c r="BB43" s="363" t="str">
        <f>_xlfn.IFNA(VLOOKUP($AI43,Programma!$F$3:$Y$1107,20,0),"")</f>
        <v>_</v>
      </c>
      <c r="BC43" s="257"/>
      <c r="BD43" s="256" t="str">
        <f>IF(Ruimtestaat[[#This Row],[Frequentie weekend]]="","",_xlfn.CONCAT(Ruimtestaat[[#This Row],[Ruimte code]],"-",Ruimtestaat[[#This Row],[Frequentie weekend]]," ",Ruimtestaat[[#This Row],[Vloer code]]))</f>
        <v/>
      </c>
      <c r="BE43" s="363" t="str">
        <f>_xlfn.IFNA(VLOOKUP($BD43,Programma!$F$3:$G$1107,2,0),"")</f>
        <v/>
      </c>
      <c r="BF43" s="363" t="str">
        <f>_xlfn.IFNA(VLOOKUP($BD43,Programma!$F$3:$H$1107,3,0),"")</f>
        <v/>
      </c>
      <c r="BG43" s="363" t="str">
        <f>_xlfn.IFNA(VLOOKUP($BD43,Programma!$F$3:$I$1107,4,0),"")</f>
        <v/>
      </c>
      <c r="BH43" s="363" t="str">
        <f>_xlfn.IFNA(VLOOKUP($BD43,Programma!$F$3:$J$1107,5,0),"")</f>
        <v/>
      </c>
      <c r="BI43" s="363" t="str">
        <f>_xlfn.IFNA(VLOOKUP($BD43,Programma!$F$3:$K$1107,6,0),"")</f>
        <v/>
      </c>
      <c r="BJ43" s="363" t="str">
        <f>_xlfn.IFNA(VLOOKUP($BD43,Programma!$F$3:$L$1107,7,0),"")</f>
        <v/>
      </c>
      <c r="BK43" s="363" t="str">
        <f>_xlfn.IFNA(VLOOKUP($BD43,Programma!$F$3:$M$1107,8,0),"")</f>
        <v/>
      </c>
      <c r="BL43" s="363" t="str">
        <f>_xlfn.IFNA(VLOOKUP($BD43,Programma!$F$3:$N$1107,9,0),"")</f>
        <v/>
      </c>
      <c r="BM43" s="363" t="str">
        <f>_xlfn.IFNA(VLOOKUP($BD43,Programma!$F$3:$O$1107,10,0),"")</f>
        <v/>
      </c>
      <c r="BN43" s="363" t="str">
        <f>_xlfn.IFNA(VLOOKUP($BD43,Programma!$F$3:$P$1107,11,0),"")</f>
        <v/>
      </c>
      <c r="BO43" s="363" t="str">
        <f>_xlfn.IFNA(VLOOKUP($BD43,Programma!$F$3:$Q$1107,12,0),"")</f>
        <v/>
      </c>
      <c r="BP43" s="363" t="str">
        <f>_xlfn.IFNA(VLOOKUP($BD43,Programma!$F$3:$R$1107,13,0),"")</f>
        <v/>
      </c>
      <c r="BQ43" s="363" t="str">
        <f>_xlfn.IFNA(VLOOKUP($BD43,Programma!$F$3:$S$1107,14,0),"")</f>
        <v/>
      </c>
      <c r="BR43" s="363" t="str">
        <f>_xlfn.IFNA(VLOOKUP($BD43,Programma!$F$3:$T$1107,15,0),"")</f>
        <v/>
      </c>
      <c r="BS43" s="363" t="str">
        <f>_xlfn.IFNA(VLOOKUP($BD43,Programma!$F$3:$U$1107,16,0),"")</f>
        <v/>
      </c>
      <c r="BT43" s="363" t="str">
        <f>_xlfn.IFNA(VLOOKUP($BD43,Programma!$F$3:$V$1107,17,0),"")</f>
        <v/>
      </c>
      <c r="BU43" s="363" t="str">
        <f>_xlfn.IFNA(VLOOKUP($BD43,Programma!$F$3:$W$1107,18,0),"")</f>
        <v/>
      </c>
      <c r="BV43" s="363" t="str">
        <f>_xlfn.IFNA(VLOOKUP($BD43,Programma!$F$3:$X$1107,19,0),"")</f>
        <v/>
      </c>
      <c r="BW43" s="363" t="str">
        <f>_xlfn.IFNA(VLOOKUP($BD43,Programma!$F$3:$Y$1107,20,0),"")</f>
        <v/>
      </c>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row>
    <row r="44" spans="1:220" ht="15" customHeight="1">
      <c r="A44" s="33">
        <v>2</v>
      </c>
      <c r="B44" s="157" t="str">
        <f>VLOOKUP(Ruimtestaat[[#This Row],[Code]],Locaties[[Code]:[Locatie]],2,FALSE)</f>
        <v>'s Gravendreef College</v>
      </c>
      <c r="C44" s="157" t="str">
        <f>VLOOKUP(Ruimtestaat[[#This Row],[Code]],Locaties[[#All],[Code]:[Adres]],4,FALSE)</f>
        <v>Klaas Voskuildreef 135</v>
      </c>
      <c r="D44" s="157" t="str">
        <f>VLOOKUP(Ruimtestaat[[#This Row],[Code]],Locaties[[#All],[Code]:[Postcode]],5,FALSE)</f>
        <v>2492 JJ</v>
      </c>
      <c r="E44" s="157" t="str">
        <f>VLOOKUP(Ruimtestaat[[#This Row],[Code]],Locaties[#All],6,FALSE)</f>
        <v>Den Haag</v>
      </c>
      <c r="F44" s="33"/>
      <c r="G44" s="33" t="s">
        <v>1624</v>
      </c>
      <c r="H44" s="368" t="s">
        <v>1667</v>
      </c>
      <c r="I44" s="367" t="s">
        <v>1640</v>
      </c>
      <c r="J44" s="21">
        <v>5</v>
      </c>
      <c r="K44" s="62" t="str">
        <f>VLOOKUP(Ruimtestaat[[#This Row],[Ruimte code]],Ruimtegroepen[[#All],[Code]:[Ruimte omschrijving]],2,FALSE)</f>
        <v>Sanitair</v>
      </c>
      <c r="L44" s="33" t="s">
        <v>102</v>
      </c>
      <c r="M44" s="367" t="s">
        <v>2496</v>
      </c>
      <c r="N44" s="140">
        <v>18</v>
      </c>
      <c r="O44" s="140"/>
      <c r="P44" s="125" t="str">
        <f>VLOOKUP(Ruimtestaat[[#This Row],[Ruimte code]],Ruimtegroepen[],4,FALSE)</f>
        <v>Sa</v>
      </c>
      <c r="R44" s="33">
        <v>40</v>
      </c>
      <c r="S44" s="33" t="s">
        <v>2</v>
      </c>
      <c r="T44" s="33">
        <f>IF(R44&gt;0,IF(RIGHT(Ruimtestaat[[#This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 s="33">
        <f>IF(T44&gt;0,VLOOKUP($J44,Ruimtegroepen[],3,FALSE)*VLOOKUP($L44,Vloersoorten[],3,FALSE)*VLOOKUP($S44,Frequenties[],3,FALSE)*VLOOKUP($A44,Locaties[],3,FALSE),0)</f>
        <v>0</v>
      </c>
      <c r="V44" s="33">
        <f>Ruimtestaat[[#This Row],[Uitvoeringen werkdagen]]*Ruimtestaat[[#This Row],[Oppervlak (netto)]]</f>
        <v>3600</v>
      </c>
      <c r="W44" s="154">
        <f>IF(U44&gt;0,Ruimtestaat[[#This Row],[Prest. (m2 /jaar) werkdagen]]/Ruimtestaat[[#This Row],[Norm (m2/uur) werkdagen]],0)</f>
        <v>0</v>
      </c>
      <c r="X44" s="155">
        <f>Ruimtestaat[[#This Row],[uren / jaar werkdagen]]*Tariefsopbouw!$E$35</f>
        <v>0</v>
      </c>
      <c r="Y44" s="33"/>
      <c r="Z44" s="33">
        <f>IF(Ruimtestaat[[#This Row],[Frequentie weekend]]&gt;0,VALUE(LEFT(Y44,1))*R44,0)</f>
        <v>0</v>
      </c>
      <c r="AA44" s="97">
        <f>IF($Z44&gt;0,VLOOKUP($J44,Ruimtegroepen[],3,FALSE)*VLOOKUP($L44,Vloersoorten[],3,FALSE)*VLOOKUP($Y44,Frequenties[],3,FALSE)*VLOOKUP(Ruimtestaat[[#This Row],[Code]],Locaties[],3,FALSE),0)</f>
        <v>0</v>
      </c>
      <c r="AB44" s="97">
        <f>Ruimtestaat[[#This Row],[Uitvoeringen weekend]]*Ruimtestaat[[#This Row],[Oppervlak (netto)]]</f>
        <v>0</v>
      </c>
      <c r="AC44" s="97">
        <f>IF(AA44&gt;0,Ruimtestaat[[#This Row],[Prest. (m2 /jaar) weekend]]/Ruimtestaat[[#This Row],[Norm (m2/uur) weekend]],0)</f>
        <v>0</v>
      </c>
      <c r="AD44" s="155">
        <f>Ruimtestaat[[#This Row],[uren / jaar weekend]]*Tariefsopbouw!$D$40</f>
        <v>0</v>
      </c>
      <c r="AE44" s="154">
        <f>Ruimtestaat[[#This Row],[Prest. (m2 /jaar) weekend]]+Ruimtestaat[[#This Row],[Prest. (m2 /jaar) werkdagen]]</f>
        <v>3600</v>
      </c>
      <c r="AF44" s="154">
        <f>Ruimtestaat[[#This Row],[uren / jaar weekend]]+Ruimtestaat[[#This Row],[uren / jaar werkdagen]]</f>
        <v>0</v>
      </c>
      <c r="AG44" s="69">
        <f>Ruimtestaat[[#This Row],[kosten / jaar weekend]]+Ruimtestaat[[#This Row],[kosten / jaar werkdagen]]</f>
        <v>0</v>
      </c>
      <c r="AH44" s="69"/>
      <c r="AI44" s="256" t="str">
        <f>IF(Ruimtestaat[[#This Row],[Frequentie werkdagen]]="","",_xlfn.CONCAT(Ruimtestaat[[#This Row],[Ruimte code]],"-",Ruimtestaat[[#This Row],[Frequentie werkdagen]]," ",Ruimtestaat[[#This Row],[Vloer code]]))</f>
        <v>5-5w S</v>
      </c>
      <c r="AJ44" s="363" t="str">
        <f>_xlfn.IFNA(VLOOKUP($AI44,Programma!$F$3:$G$1107,2,0),"")</f>
        <v>_</v>
      </c>
      <c r="AK44" s="363" t="str">
        <f>_xlfn.IFNA(VLOOKUP($AI44,Programma!$F$3:$H$1107,3,0),"")</f>
        <v>_</v>
      </c>
      <c r="AL44" s="363" t="str">
        <f>_xlfn.IFNA(VLOOKUP($AI44,Programma!$F$3:$I$1107,4,0),"")</f>
        <v>_</v>
      </c>
      <c r="AM44" s="363" t="str">
        <f>_xlfn.IFNA(VLOOKUP($AI44,Programma!$F$3:$J$1107,5,0),"")</f>
        <v>4w</v>
      </c>
      <c r="AN44" s="363" t="str">
        <f>_xlfn.IFNA(VLOOKUP($AI44,Programma!$F$3:$K$1107,6,0),"")</f>
        <v>1w</v>
      </c>
      <c r="AO44" s="363" t="str">
        <f>_xlfn.IFNA(VLOOKUP($AI44,Programma!$F$3:$L$1107,7,0),"")</f>
        <v>_</v>
      </c>
      <c r="AP44" s="363" t="str">
        <f>_xlfn.IFNA(VLOOKUP($AI44,Programma!$F$3:$M$1107,8,0),"")</f>
        <v>_</v>
      </c>
      <c r="AQ44" s="363" t="str">
        <f>_xlfn.IFNA(VLOOKUP($AI44,Programma!$F$3:$N$1107,9,0),"")</f>
        <v>_</v>
      </c>
      <c r="AR44" s="363" t="str">
        <f>_xlfn.IFNA(VLOOKUP($AI44,Programma!$F$3:$O$1107,10,0),"")</f>
        <v>_</v>
      </c>
      <c r="AS44" s="363" t="str">
        <f>_xlfn.IFNA(VLOOKUP($AI44,Programma!$F$3:$P$1107,11,0),"")</f>
        <v>_</v>
      </c>
      <c r="AT44" s="363" t="str">
        <f>_xlfn.IFNA(VLOOKUP($AI44,Programma!$F$3:$Q$1107,12,0),"")</f>
        <v>_</v>
      </c>
      <c r="AU44" s="363" t="str">
        <f>_xlfn.IFNA(VLOOKUP($AI44,Programma!$F$3:$R$1107,13,0),"")</f>
        <v>_</v>
      </c>
      <c r="AV44" s="363" t="str">
        <f>_xlfn.IFNA(VLOOKUP($AI44,Programma!$F$3:$S$1107,14,0),"")</f>
        <v>_</v>
      </c>
      <c r="AW44" s="363" t="str">
        <f>_xlfn.IFNA(VLOOKUP($AI44,Programma!$F$3:$T$1107,15,0),"")</f>
        <v>_</v>
      </c>
      <c r="AX44" s="363" t="str">
        <f>_xlfn.IFNA(VLOOKUP($AI44,Programma!$F$3:$U$1107,16,0),"")</f>
        <v>_</v>
      </c>
      <c r="AY44" s="363" t="str">
        <f>_xlfn.IFNA(VLOOKUP($AI44,Programma!$F$3:$V$1107,17,0),"")</f>
        <v>_</v>
      </c>
      <c r="AZ44" s="363" t="str">
        <f>_xlfn.IFNA(VLOOKUP($AI44,Programma!$F$3:$W$1107,18,0),"")</f>
        <v>4w</v>
      </c>
      <c r="BA44" s="363" t="str">
        <f>_xlfn.IFNA(VLOOKUP($AI44,Programma!$F$3:$X$1107,19,0),"")</f>
        <v>1w</v>
      </c>
      <c r="BB44" s="363" t="str">
        <f>_xlfn.IFNA(VLOOKUP($AI44,Programma!$F$3:$Y$1107,20,0),"")</f>
        <v>_</v>
      </c>
      <c r="BC44" s="257"/>
      <c r="BD44" s="256" t="str">
        <f>IF(Ruimtestaat[[#This Row],[Frequentie weekend]]="","",_xlfn.CONCAT(Ruimtestaat[[#This Row],[Ruimte code]],"-",Ruimtestaat[[#This Row],[Frequentie weekend]]," ",Ruimtestaat[[#This Row],[Vloer code]]))</f>
        <v/>
      </c>
      <c r="BE44" s="363" t="str">
        <f>_xlfn.IFNA(VLOOKUP($BD44,Programma!$F$3:$G$1107,2,0),"")</f>
        <v/>
      </c>
      <c r="BF44" s="363" t="str">
        <f>_xlfn.IFNA(VLOOKUP($BD44,Programma!$F$3:$H$1107,3,0),"")</f>
        <v/>
      </c>
      <c r="BG44" s="363" t="str">
        <f>_xlfn.IFNA(VLOOKUP($BD44,Programma!$F$3:$I$1107,4,0),"")</f>
        <v/>
      </c>
      <c r="BH44" s="363" t="str">
        <f>_xlfn.IFNA(VLOOKUP($BD44,Programma!$F$3:$J$1107,5,0),"")</f>
        <v/>
      </c>
      <c r="BI44" s="363" t="str">
        <f>_xlfn.IFNA(VLOOKUP($BD44,Programma!$F$3:$K$1107,6,0),"")</f>
        <v/>
      </c>
      <c r="BJ44" s="363" t="str">
        <f>_xlfn.IFNA(VLOOKUP($BD44,Programma!$F$3:$L$1107,7,0),"")</f>
        <v/>
      </c>
      <c r="BK44" s="363" t="str">
        <f>_xlfn.IFNA(VLOOKUP($BD44,Programma!$F$3:$M$1107,8,0),"")</f>
        <v/>
      </c>
      <c r="BL44" s="363" t="str">
        <f>_xlfn.IFNA(VLOOKUP($BD44,Programma!$F$3:$N$1107,9,0),"")</f>
        <v/>
      </c>
      <c r="BM44" s="363" t="str">
        <f>_xlfn.IFNA(VLOOKUP($BD44,Programma!$F$3:$O$1107,10,0),"")</f>
        <v/>
      </c>
      <c r="BN44" s="363" t="str">
        <f>_xlfn.IFNA(VLOOKUP($BD44,Programma!$F$3:$P$1107,11,0),"")</f>
        <v/>
      </c>
      <c r="BO44" s="363" t="str">
        <f>_xlfn.IFNA(VLOOKUP($BD44,Programma!$F$3:$Q$1107,12,0),"")</f>
        <v/>
      </c>
      <c r="BP44" s="363" t="str">
        <f>_xlfn.IFNA(VLOOKUP($BD44,Programma!$F$3:$R$1107,13,0),"")</f>
        <v/>
      </c>
      <c r="BQ44" s="363" t="str">
        <f>_xlfn.IFNA(VLOOKUP($BD44,Programma!$F$3:$S$1107,14,0),"")</f>
        <v/>
      </c>
      <c r="BR44" s="363" t="str">
        <f>_xlfn.IFNA(VLOOKUP($BD44,Programma!$F$3:$T$1107,15,0),"")</f>
        <v/>
      </c>
      <c r="BS44" s="363" t="str">
        <f>_xlfn.IFNA(VLOOKUP($BD44,Programma!$F$3:$U$1107,16,0),"")</f>
        <v/>
      </c>
      <c r="BT44" s="363" t="str">
        <f>_xlfn.IFNA(VLOOKUP($BD44,Programma!$F$3:$V$1107,17,0),"")</f>
        <v/>
      </c>
      <c r="BU44" s="363" t="str">
        <f>_xlfn.IFNA(VLOOKUP($BD44,Programma!$F$3:$W$1107,18,0),"")</f>
        <v/>
      </c>
      <c r="BV44" s="363" t="str">
        <f>_xlfn.IFNA(VLOOKUP($BD44,Programma!$F$3:$X$1107,19,0),"")</f>
        <v/>
      </c>
      <c r="BW44" s="363" t="str">
        <f>_xlfn.IFNA(VLOOKUP($BD44,Programma!$F$3:$Y$1107,20,0),"")</f>
        <v/>
      </c>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row>
    <row r="45" spans="1:220" ht="15" customHeight="1">
      <c r="A45" s="33">
        <v>2</v>
      </c>
      <c r="B45" s="157" t="str">
        <f>VLOOKUP(Ruimtestaat[[#This Row],[Code]],Locaties[[Code]:[Locatie]],2,FALSE)</f>
        <v>'s Gravendreef College</v>
      </c>
      <c r="C45" s="157" t="str">
        <f>VLOOKUP(Ruimtestaat[[#This Row],[Code]],Locaties[[#All],[Code]:[Adres]],4,FALSE)</f>
        <v>Klaas Voskuildreef 135</v>
      </c>
      <c r="D45" s="157" t="str">
        <f>VLOOKUP(Ruimtestaat[[#This Row],[Code]],Locaties[[#All],[Code]:[Postcode]],5,FALSE)</f>
        <v>2492 JJ</v>
      </c>
      <c r="E45" s="157" t="str">
        <f>VLOOKUP(Ruimtestaat[[#This Row],[Code]],Locaties[#All],6,FALSE)</f>
        <v>Den Haag</v>
      </c>
      <c r="F45" s="33"/>
      <c r="G45" s="33" t="s">
        <v>1624</v>
      </c>
      <c r="H45" s="368" t="s">
        <v>1668</v>
      </c>
      <c r="I45" s="367" t="s">
        <v>1669</v>
      </c>
      <c r="J45" s="21">
        <v>16</v>
      </c>
      <c r="K45" s="62" t="str">
        <f>VLOOKUP(Ruimtestaat[[#This Row],[Ruimte code]],Ruimtegroepen[[#All],[Code]:[Ruimte omschrijving]],2,FALSE)</f>
        <v>Leslokalen theorie</v>
      </c>
      <c r="L45" s="33" t="s">
        <v>101</v>
      </c>
      <c r="M45" s="367" t="s">
        <v>2495</v>
      </c>
      <c r="N45" s="140">
        <v>59</v>
      </c>
      <c r="O45" s="140"/>
      <c r="P45" s="125" t="str">
        <f>VLOOKUP(Ruimtestaat[[#This Row],[Ruimte code]],Ruimtegroepen[],4,FALSE)</f>
        <v>Le</v>
      </c>
      <c r="R45" s="33">
        <v>40</v>
      </c>
      <c r="S45" s="33" t="s">
        <v>2</v>
      </c>
      <c r="T45" s="33">
        <f>IF(R45&gt;0,IF(RIGHT(Ruimtestaat[[#This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 s="33">
        <f>IF(T45&gt;0,VLOOKUP($J45,Ruimtegroepen[],3,FALSE)*VLOOKUP($L45,Vloersoorten[],3,FALSE)*VLOOKUP($S45,Frequenties[],3,FALSE)*VLOOKUP($A45,Locaties[],3,FALSE),0)</f>
        <v>0</v>
      </c>
      <c r="V45" s="33">
        <f>Ruimtestaat[[#This Row],[Uitvoeringen werkdagen]]*Ruimtestaat[[#This Row],[Oppervlak (netto)]]</f>
        <v>11800</v>
      </c>
      <c r="W45" s="154">
        <f>IF(U45&gt;0,Ruimtestaat[[#This Row],[Prest. (m2 /jaar) werkdagen]]/Ruimtestaat[[#This Row],[Norm (m2/uur) werkdagen]],0)</f>
        <v>0</v>
      </c>
      <c r="X45" s="155">
        <f>Ruimtestaat[[#This Row],[uren / jaar werkdagen]]*Tariefsopbouw!$E$35</f>
        <v>0</v>
      </c>
      <c r="Y45" s="33"/>
      <c r="Z45" s="33">
        <f>IF(Ruimtestaat[[#This Row],[Frequentie weekend]]&gt;0,VALUE(LEFT(Y45,1))*R45,0)</f>
        <v>0</v>
      </c>
      <c r="AA45" s="97">
        <f>IF($Z45&gt;0,VLOOKUP($J45,Ruimtegroepen[],3,FALSE)*VLOOKUP($L45,Vloersoorten[],3,FALSE)*VLOOKUP($Y45,Frequenties[],3,FALSE)*VLOOKUP(Ruimtestaat[[#This Row],[Code]],Locaties[],3,FALSE),0)</f>
        <v>0</v>
      </c>
      <c r="AB45" s="97">
        <f>Ruimtestaat[[#This Row],[Uitvoeringen weekend]]*Ruimtestaat[[#This Row],[Oppervlak (netto)]]</f>
        <v>0</v>
      </c>
      <c r="AC45" s="97">
        <f>IF(AA45&gt;0,Ruimtestaat[[#This Row],[Prest. (m2 /jaar) weekend]]/Ruimtestaat[[#This Row],[Norm (m2/uur) weekend]],0)</f>
        <v>0</v>
      </c>
      <c r="AD45" s="155">
        <f>Ruimtestaat[[#This Row],[uren / jaar weekend]]*Tariefsopbouw!$D$40</f>
        <v>0</v>
      </c>
      <c r="AE45" s="154">
        <f>Ruimtestaat[[#This Row],[Prest. (m2 /jaar) weekend]]+Ruimtestaat[[#This Row],[Prest. (m2 /jaar) werkdagen]]</f>
        <v>11800</v>
      </c>
      <c r="AF45" s="154">
        <f>Ruimtestaat[[#This Row],[uren / jaar weekend]]+Ruimtestaat[[#This Row],[uren / jaar werkdagen]]</f>
        <v>0</v>
      </c>
      <c r="AG45" s="69">
        <f>Ruimtestaat[[#This Row],[kosten / jaar weekend]]+Ruimtestaat[[#This Row],[kosten / jaar werkdagen]]</f>
        <v>0</v>
      </c>
      <c r="AH45" s="69"/>
      <c r="AI45" s="256" t="str">
        <f>IF(Ruimtestaat[[#This Row],[Frequentie werkdagen]]="","",_xlfn.CONCAT(Ruimtestaat[[#This Row],[Ruimte code]],"-",Ruimtestaat[[#This Row],[Frequentie werkdagen]]," ",Ruimtestaat[[#This Row],[Vloer code]]))</f>
        <v>16-5w L</v>
      </c>
      <c r="AJ45" s="363" t="str">
        <f>_xlfn.IFNA(VLOOKUP($AI45,Programma!$F$3:$G$1107,2,0),"")</f>
        <v>_</v>
      </c>
      <c r="AK45" s="363" t="str">
        <f>_xlfn.IFNA(VLOOKUP($AI45,Programma!$F$3:$H$1107,3,0),"")</f>
        <v>_</v>
      </c>
      <c r="AL45" s="363" t="str">
        <f>_xlfn.IFNA(VLOOKUP($AI45,Programma!$F$3:$I$1107,4,0),"")</f>
        <v>4w</v>
      </c>
      <c r="AM45" s="363" t="str">
        <f>_xlfn.IFNA(VLOOKUP($AI45,Programma!$F$3:$J$1107,5,0),"")</f>
        <v>1w</v>
      </c>
      <c r="AN45" s="363" t="str">
        <f>_xlfn.IFNA(VLOOKUP($AI45,Programma!$F$3:$K$1107,6,0),"")</f>
        <v>_</v>
      </c>
      <c r="AO45" s="363" t="str">
        <f>_xlfn.IFNA(VLOOKUP($AI45,Programma!$F$3:$L$1107,7,0),"")</f>
        <v>_</v>
      </c>
      <c r="AP45" s="363" t="str">
        <f>_xlfn.IFNA(VLOOKUP($AI45,Programma!$F$3:$M$1107,8,0),"")</f>
        <v>_</v>
      </c>
      <c r="AQ45" s="363" t="str">
        <f>_xlfn.IFNA(VLOOKUP($AI45,Programma!$F$3:$N$1107,9,0),"")</f>
        <v>_</v>
      </c>
      <c r="AR45" s="363" t="str">
        <f>_xlfn.IFNA(VLOOKUP($AI45,Programma!$F$3:$O$1107,10,0),"")</f>
        <v>5w</v>
      </c>
      <c r="AS45" s="363" t="str">
        <f>_xlfn.IFNA(VLOOKUP($AI45,Programma!$F$3:$P$1107,11,0),"")</f>
        <v>5w</v>
      </c>
      <c r="AT45" s="363" t="str">
        <f>_xlfn.IFNA(VLOOKUP($AI45,Programma!$F$3:$Q$1107,12,0),"")</f>
        <v>1w</v>
      </c>
      <c r="AU45" s="363" t="str">
        <f>_xlfn.IFNA(VLOOKUP($AI45,Programma!$F$3:$R$1107,13,0),"")</f>
        <v>1w</v>
      </c>
      <c r="AV45" s="363" t="str">
        <f>_xlfn.IFNA(VLOOKUP($AI45,Programma!$F$3:$S$1107,14,0),"")</f>
        <v>1m</v>
      </c>
      <c r="AW45" s="363" t="str">
        <f>_xlfn.IFNA(VLOOKUP($AI45,Programma!$F$3:$T$1107,15,0),"")</f>
        <v>2j</v>
      </c>
      <c r="AX45" s="363" t="str">
        <f>_xlfn.IFNA(VLOOKUP($AI45,Programma!$F$3:$U$1107,16,0),"")</f>
        <v>1j</v>
      </c>
      <c r="AY45" s="363" t="str">
        <f>_xlfn.IFNA(VLOOKUP($AI45,Programma!$F$3:$V$1107,17,0),"")</f>
        <v>_</v>
      </c>
      <c r="AZ45" s="363" t="str">
        <f>_xlfn.IFNA(VLOOKUP($AI45,Programma!$F$3:$W$1107,18,0),"")</f>
        <v>_</v>
      </c>
      <c r="BA45" s="363" t="str">
        <f>_xlfn.IFNA(VLOOKUP($AI45,Programma!$F$3:$X$1107,19,0),"")</f>
        <v>_</v>
      </c>
      <c r="BB45" s="363" t="str">
        <f>_xlfn.IFNA(VLOOKUP($AI45,Programma!$F$3:$Y$1107,20,0),"")</f>
        <v>_</v>
      </c>
      <c r="BC45" s="257"/>
      <c r="BD45" s="256" t="str">
        <f>IF(Ruimtestaat[[#This Row],[Frequentie weekend]]="","",_xlfn.CONCAT(Ruimtestaat[[#This Row],[Ruimte code]],"-",Ruimtestaat[[#This Row],[Frequentie weekend]]," ",Ruimtestaat[[#This Row],[Vloer code]]))</f>
        <v/>
      </c>
      <c r="BE45" s="363" t="str">
        <f>_xlfn.IFNA(VLOOKUP($BD45,Programma!$F$3:$G$1107,2,0),"")</f>
        <v/>
      </c>
      <c r="BF45" s="363" t="str">
        <f>_xlfn.IFNA(VLOOKUP($BD45,Programma!$F$3:$H$1107,3,0),"")</f>
        <v/>
      </c>
      <c r="BG45" s="363" t="str">
        <f>_xlfn.IFNA(VLOOKUP($BD45,Programma!$F$3:$I$1107,4,0),"")</f>
        <v/>
      </c>
      <c r="BH45" s="363" t="str">
        <f>_xlfn.IFNA(VLOOKUP($BD45,Programma!$F$3:$J$1107,5,0),"")</f>
        <v/>
      </c>
      <c r="BI45" s="363" t="str">
        <f>_xlfn.IFNA(VLOOKUP($BD45,Programma!$F$3:$K$1107,6,0),"")</f>
        <v/>
      </c>
      <c r="BJ45" s="363" t="str">
        <f>_xlfn.IFNA(VLOOKUP($BD45,Programma!$F$3:$L$1107,7,0),"")</f>
        <v/>
      </c>
      <c r="BK45" s="363" t="str">
        <f>_xlfn.IFNA(VLOOKUP($BD45,Programma!$F$3:$M$1107,8,0),"")</f>
        <v/>
      </c>
      <c r="BL45" s="363" t="str">
        <f>_xlfn.IFNA(VLOOKUP($BD45,Programma!$F$3:$N$1107,9,0),"")</f>
        <v/>
      </c>
      <c r="BM45" s="363" t="str">
        <f>_xlfn.IFNA(VLOOKUP($BD45,Programma!$F$3:$O$1107,10,0),"")</f>
        <v/>
      </c>
      <c r="BN45" s="363" t="str">
        <f>_xlfn.IFNA(VLOOKUP($BD45,Programma!$F$3:$P$1107,11,0),"")</f>
        <v/>
      </c>
      <c r="BO45" s="363" t="str">
        <f>_xlfn.IFNA(VLOOKUP($BD45,Programma!$F$3:$Q$1107,12,0),"")</f>
        <v/>
      </c>
      <c r="BP45" s="363" t="str">
        <f>_xlfn.IFNA(VLOOKUP($BD45,Programma!$F$3:$R$1107,13,0),"")</f>
        <v/>
      </c>
      <c r="BQ45" s="363" t="str">
        <f>_xlfn.IFNA(VLOOKUP($BD45,Programma!$F$3:$S$1107,14,0),"")</f>
        <v/>
      </c>
      <c r="BR45" s="363" t="str">
        <f>_xlfn.IFNA(VLOOKUP($BD45,Programma!$F$3:$T$1107,15,0),"")</f>
        <v/>
      </c>
      <c r="BS45" s="363" t="str">
        <f>_xlfn.IFNA(VLOOKUP($BD45,Programma!$F$3:$U$1107,16,0),"")</f>
        <v/>
      </c>
      <c r="BT45" s="363" t="str">
        <f>_xlfn.IFNA(VLOOKUP($BD45,Programma!$F$3:$V$1107,17,0),"")</f>
        <v/>
      </c>
      <c r="BU45" s="363" t="str">
        <f>_xlfn.IFNA(VLOOKUP($BD45,Programma!$F$3:$W$1107,18,0),"")</f>
        <v/>
      </c>
      <c r="BV45" s="363" t="str">
        <f>_xlfn.IFNA(VLOOKUP($BD45,Programma!$F$3:$X$1107,19,0),"")</f>
        <v/>
      </c>
      <c r="BW45" s="363" t="str">
        <f>_xlfn.IFNA(VLOOKUP($BD45,Programma!$F$3:$Y$1107,20,0),"")</f>
        <v/>
      </c>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row>
    <row r="46" spans="1:220" ht="15" customHeight="1">
      <c r="A46" s="33">
        <v>2</v>
      </c>
      <c r="B46" s="157" t="str">
        <f>VLOOKUP(Ruimtestaat[[#This Row],[Code]],Locaties[[Code]:[Locatie]],2,FALSE)</f>
        <v>'s Gravendreef College</v>
      </c>
      <c r="C46" s="157" t="str">
        <f>VLOOKUP(Ruimtestaat[[#This Row],[Code]],Locaties[[#All],[Code]:[Adres]],4,FALSE)</f>
        <v>Klaas Voskuildreef 135</v>
      </c>
      <c r="D46" s="157" t="str">
        <f>VLOOKUP(Ruimtestaat[[#This Row],[Code]],Locaties[[#All],[Code]:[Postcode]],5,FALSE)</f>
        <v>2492 JJ</v>
      </c>
      <c r="E46" s="157" t="str">
        <f>VLOOKUP(Ruimtestaat[[#This Row],[Code]],Locaties[#All],6,FALSE)</f>
        <v>Den Haag</v>
      </c>
      <c r="F46" s="33"/>
      <c r="G46" s="33" t="s">
        <v>1624</v>
      </c>
      <c r="H46" s="368" t="s">
        <v>1670</v>
      </c>
      <c r="I46" s="367" t="s">
        <v>1671</v>
      </c>
      <c r="J46" s="21">
        <v>16</v>
      </c>
      <c r="K46" s="62" t="str">
        <f>VLOOKUP(Ruimtestaat[[#This Row],[Ruimte code]],Ruimtegroepen[[#All],[Code]:[Ruimte omschrijving]],2,FALSE)</f>
        <v>Leslokalen theorie</v>
      </c>
      <c r="L46" s="33" t="s">
        <v>101</v>
      </c>
      <c r="M46" s="367" t="s">
        <v>2495</v>
      </c>
      <c r="N46" s="140">
        <v>59</v>
      </c>
      <c r="O46" s="140"/>
      <c r="P46" s="125" t="str">
        <f>VLOOKUP(Ruimtestaat[[#This Row],[Ruimte code]],Ruimtegroepen[],4,FALSE)</f>
        <v>Le</v>
      </c>
      <c r="R46" s="33">
        <v>40</v>
      </c>
      <c r="S46" s="33" t="s">
        <v>2</v>
      </c>
      <c r="T46" s="33">
        <f>IF(R46&gt;0,IF(RIGHT(Ruimtestaat[[#This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 s="33">
        <f>IF(T46&gt;0,VLOOKUP($J46,Ruimtegroepen[],3,FALSE)*VLOOKUP($L46,Vloersoorten[],3,FALSE)*VLOOKUP($S46,Frequenties[],3,FALSE)*VLOOKUP($A46,Locaties[],3,FALSE),0)</f>
        <v>0</v>
      </c>
      <c r="V46" s="33">
        <f>Ruimtestaat[[#This Row],[Uitvoeringen werkdagen]]*Ruimtestaat[[#This Row],[Oppervlak (netto)]]</f>
        <v>11800</v>
      </c>
      <c r="W46" s="154">
        <f>IF(U46&gt;0,Ruimtestaat[[#This Row],[Prest. (m2 /jaar) werkdagen]]/Ruimtestaat[[#This Row],[Norm (m2/uur) werkdagen]],0)</f>
        <v>0</v>
      </c>
      <c r="X46" s="155">
        <f>Ruimtestaat[[#This Row],[uren / jaar werkdagen]]*Tariefsopbouw!$E$35</f>
        <v>0</v>
      </c>
      <c r="Y46" s="33"/>
      <c r="Z46" s="33">
        <f>IF(Ruimtestaat[[#This Row],[Frequentie weekend]]&gt;0,VALUE(LEFT(Y46,1))*R46,0)</f>
        <v>0</v>
      </c>
      <c r="AA46" s="97">
        <f>IF($Z46&gt;0,VLOOKUP($J46,Ruimtegroepen[],3,FALSE)*VLOOKUP($L46,Vloersoorten[],3,FALSE)*VLOOKUP($Y46,Frequenties[],3,FALSE)*VLOOKUP(Ruimtestaat[[#This Row],[Code]],Locaties[],3,FALSE),0)</f>
        <v>0</v>
      </c>
      <c r="AB46" s="97">
        <f>Ruimtestaat[[#This Row],[Uitvoeringen weekend]]*Ruimtestaat[[#This Row],[Oppervlak (netto)]]</f>
        <v>0</v>
      </c>
      <c r="AC46" s="97">
        <f>IF(AA46&gt;0,Ruimtestaat[[#This Row],[Prest. (m2 /jaar) weekend]]/Ruimtestaat[[#This Row],[Norm (m2/uur) weekend]],0)</f>
        <v>0</v>
      </c>
      <c r="AD46" s="155">
        <f>Ruimtestaat[[#This Row],[uren / jaar weekend]]*Tariefsopbouw!$D$40</f>
        <v>0</v>
      </c>
      <c r="AE46" s="154">
        <f>Ruimtestaat[[#This Row],[Prest. (m2 /jaar) weekend]]+Ruimtestaat[[#This Row],[Prest. (m2 /jaar) werkdagen]]</f>
        <v>11800</v>
      </c>
      <c r="AF46" s="154">
        <f>Ruimtestaat[[#This Row],[uren / jaar weekend]]+Ruimtestaat[[#This Row],[uren / jaar werkdagen]]</f>
        <v>0</v>
      </c>
      <c r="AG46" s="69">
        <f>Ruimtestaat[[#This Row],[kosten / jaar weekend]]+Ruimtestaat[[#This Row],[kosten / jaar werkdagen]]</f>
        <v>0</v>
      </c>
      <c r="AH46" s="69"/>
      <c r="AI46" s="256" t="str">
        <f>IF(Ruimtestaat[[#This Row],[Frequentie werkdagen]]="","",_xlfn.CONCAT(Ruimtestaat[[#This Row],[Ruimte code]],"-",Ruimtestaat[[#This Row],[Frequentie werkdagen]]," ",Ruimtestaat[[#This Row],[Vloer code]]))</f>
        <v>16-5w L</v>
      </c>
      <c r="AJ46" s="363" t="str">
        <f>_xlfn.IFNA(VLOOKUP($AI46,Programma!$F$3:$G$1107,2,0),"")</f>
        <v>_</v>
      </c>
      <c r="AK46" s="363" t="str">
        <f>_xlfn.IFNA(VLOOKUP($AI46,Programma!$F$3:$H$1107,3,0),"")</f>
        <v>_</v>
      </c>
      <c r="AL46" s="363" t="str">
        <f>_xlfn.IFNA(VLOOKUP($AI46,Programma!$F$3:$I$1107,4,0),"")</f>
        <v>4w</v>
      </c>
      <c r="AM46" s="363" t="str">
        <f>_xlfn.IFNA(VLOOKUP($AI46,Programma!$F$3:$J$1107,5,0),"")</f>
        <v>1w</v>
      </c>
      <c r="AN46" s="363" t="str">
        <f>_xlfn.IFNA(VLOOKUP($AI46,Programma!$F$3:$K$1107,6,0),"")</f>
        <v>_</v>
      </c>
      <c r="AO46" s="363" t="str">
        <f>_xlfn.IFNA(VLOOKUP($AI46,Programma!$F$3:$L$1107,7,0),"")</f>
        <v>_</v>
      </c>
      <c r="AP46" s="363" t="str">
        <f>_xlfn.IFNA(VLOOKUP($AI46,Programma!$F$3:$M$1107,8,0),"")</f>
        <v>_</v>
      </c>
      <c r="AQ46" s="363" t="str">
        <f>_xlfn.IFNA(VLOOKUP($AI46,Programma!$F$3:$N$1107,9,0),"")</f>
        <v>_</v>
      </c>
      <c r="AR46" s="363" t="str">
        <f>_xlfn.IFNA(VLOOKUP($AI46,Programma!$F$3:$O$1107,10,0),"")</f>
        <v>5w</v>
      </c>
      <c r="AS46" s="363" t="str">
        <f>_xlfn.IFNA(VLOOKUP($AI46,Programma!$F$3:$P$1107,11,0),"")</f>
        <v>5w</v>
      </c>
      <c r="AT46" s="363" t="str">
        <f>_xlfn.IFNA(VLOOKUP($AI46,Programma!$F$3:$Q$1107,12,0),"")</f>
        <v>1w</v>
      </c>
      <c r="AU46" s="363" t="str">
        <f>_xlfn.IFNA(VLOOKUP($AI46,Programma!$F$3:$R$1107,13,0),"")</f>
        <v>1w</v>
      </c>
      <c r="AV46" s="363" t="str">
        <f>_xlfn.IFNA(VLOOKUP($AI46,Programma!$F$3:$S$1107,14,0),"")</f>
        <v>1m</v>
      </c>
      <c r="AW46" s="363" t="str">
        <f>_xlfn.IFNA(VLOOKUP($AI46,Programma!$F$3:$T$1107,15,0),"")</f>
        <v>2j</v>
      </c>
      <c r="AX46" s="363" t="str">
        <f>_xlfn.IFNA(VLOOKUP($AI46,Programma!$F$3:$U$1107,16,0),"")</f>
        <v>1j</v>
      </c>
      <c r="AY46" s="363" t="str">
        <f>_xlfn.IFNA(VLOOKUP($AI46,Programma!$F$3:$V$1107,17,0),"")</f>
        <v>_</v>
      </c>
      <c r="AZ46" s="363" t="str">
        <f>_xlfn.IFNA(VLOOKUP($AI46,Programma!$F$3:$W$1107,18,0),"")</f>
        <v>_</v>
      </c>
      <c r="BA46" s="363" t="str">
        <f>_xlfn.IFNA(VLOOKUP($AI46,Programma!$F$3:$X$1107,19,0),"")</f>
        <v>_</v>
      </c>
      <c r="BB46" s="363" t="str">
        <f>_xlfn.IFNA(VLOOKUP($AI46,Programma!$F$3:$Y$1107,20,0),"")</f>
        <v>_</v>
      </c>
      <c r="BC46" s="257"/>
      <c r="BD46" s="256" t="str">
        <f>IF(Ruimtestaat[[#This Row],[Frequentie weekend]]="","",_xlfn.CONCAT(Ruimtestaat[[#This Row],[Ruimte code]],"-",Ruimtestaat[[#This Row],[Frequentie weekend]]," ",Ruimtestaat[[#This Row],[Vloer code]]))</f>
        <v/>
      </c>
      <c r="BE46" s="363" t="str">
        <f>_xlfn.IFNA(VLOOKUP($BD46,Programma!$F$3:$G$1107,2,0),"")</f>
        <v/>
      </c>
      <c r="BF46" s="363" t="str">
        <f>_xlfn.IFNA(VLOOKUP($BD46,Programma!$F$3:$H$1107,3,0),"")</f>
        <v/>
      </c>
      <c r="BG46" s="363" t="str">
        <f>_xlfn.IFNA(VLOOKUP($BD46,Programma!$F$3:$I$1107,4,0),"")</f>
        <v/>
      </c>
      <c r="BH46" s="363" t="str">
        <f>_xlfn.IFNA(VLOOKUP($BD46,Programma!$F$3:$J$1107,5,0),"")</f>
        <v/>
      </c>
      <c r="BI46" s="363" t="str">
        <f>_xlfn.IFNA(VLOOKUP($BD46,Programma!$F$3:$K$1107,6,0),"")</f>
        <v/>
      </c>
      <c r="BJ46" s="363" t="str">
        <f>_xlfn.IFNA(VLOOKUP($BD46,Programma!$F$3:$L$1107,7,0),"")</f>
        <v/>
      </c>
      <c r="BK46" s="363" t="str">
        <f>_xlfn.IFNA(VLOOKUP($BD46,Programma!$F$3:$M$1107,8,0),"")</f>
        <v/>
      </c>
      <c r="BL46" s="363" t="str">
        <f>_xlfn.IFNA(VLOOKUP($BD46,Programma!$F$3:$N$1107,9,0),"")</f>
        <v/>
      </c>
      <c r="BM46" s="363" t="str">
        <f>_xlfn.IFNA(VLOOKUP($BD46,Programma!$F$3:$O$1107,10,0),"")</f>
        <v/>
      </c>
      <c r="BN46" s="363" t="str">
        <f>_xlfn.IFNA(VLOOKUP($BD46,Programma!$F$3:$P$1107,11,0),"")</f>
        <v/>
      </c>
      <c r="BO46" s="363" t="str">
        <f>_xlfn.IFNA(VLOOKUP($BD46,Programma!$F$3:$Q$1107,12,0),"")</f>
        <v/>
      </c>
      <c r="BP46" s="363" t="str">
        <f>_xlfn.IFNA(VLOOKUP($BD46,Programma!$F$3:$R$1107,13,0),"")</f>
        <v/>
      </c>
      <c r="BQ46" s="363" t="str">
        <f>_xlfn.IFNA(VLOOKUP($BD46,Programma!$F$3:$S$1107,14,0),"")</f>
        <v/>
      </c>
      <c r="BR46" s="363" t="str">
        <f>_xlfn.IFNA(VLOOKUP($BD46,Programma!$F$3:$T$1107,15,0),"")</f>
        <v/>
      </c>
      <c r="BS46" s="363" t="str">
        <f>_xlfn.IFNA(VLOOKUP($BD46,Programma!$F$3:$U$1107,16,0),"")</f>
        <v/>
      </c>
      <c r="BT46" s="363" t="str">
        <f>_xlfn.IFNA(VLOOKUP($BD46,Programma!$F$3:$V$1107,17,0),"")</f>
        <v/>
      </c>
      <c r="BU46" s="363" t="str">
        <f>_xlfn.IFNA(VLOOKUP($BD46,Programma!$F$3:$W$1107,18,0),"")</f>
        <v/>
      </c>
      <c r="BV46" s="363" t="str">
        <f>_xlfn.IFNA(VLOOKUP($BD46,Programma!$F$3:$X$1107,19,0),"")</f>
        <v/>
      </c>
      <c r="BW46" s="363" t="str">
        <f>_xlfn.IFNA(VLOOKUP($BD46,Programma!$F$3:$Y$1107,20,0),"")</f>
        <v/>
      </c>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row>
    <row r="47" spans="1:220" ht="15" customHeight="1">
      <c r="A47" s="33">
        <v>2</v>
      </c>
      <c r="B47" s="157" t="str">
        <f>VLOOKUP(Ruimtestaat[[#This Row],[Code]],Locaties[[Code]:[Locatie]],2,FALSE)</f>
        <v>'s Gravendreef College</v>
      </c>
      <c r="C47" s="157" t="str">
        <f>VLOOKUP(Ruimtestaat[[#This Row],[Code]],Locaties[[#All],[Code]:[Adres]],4,FALSE)</f>
        <v>Klaas Voskuildreef 135</v>
      </c>
      <c r="D47" s="157" t="str">
        <f>VLOOKUP(Ruimtestaat[[#This Row],[Code]],Locaties[[#All],[Code]:[Postcode]],5,FALSE)</f>
        <v>2492 JJ</v>
      </c>
      <c r="E47" s="157" t="str">
        <f>VLOOKUP(Ruimtestaat[[#This Row],[Code]],Locaties[#All],6,FALSE)</f>
        <v>Den Haag</v>
      </c>
      <c r="F47" s="33"/>
      <c r="G47" s="33" t="s">
        <v>1624</v>
      </c>
      <c r="H47" s="368" t="s">
        <v>1672</v>
      </c>
      <c r="I47" s="367" t="s">
        <v>1673</v>
      </c>
      <c r="J47" s="21">
        <v>16</v>
      </c>
      <c r="K47" s="62" t="str">
        <f>VLOOKUP(Ruimtestaat[[#This Row],[Ruimte code]],Ruimtegroepen[[#All],[Code]:[Ruimte omschrijving]],2,FALSE)</f>
        <v>Leslokalen theorie</v>
      </c>
      <c r="L47" s="33" t="s">
        <v>101</v>
      </c>
      <c r="M47" s="367" t="s">
        <v>2495</v>
      </c>
      <c r="N47" s="140">
        <v>44</v>
      </c>
      <c r="O47" s="140"/>
      <c r="P47" s="125" t="str">
        <f>VLOOKUP(Ruimtestaat[[#This Row],[Ruimte code]],Ruimtegroepen[],4,FALSE)</f>
        <v>Le</v>
      </c>
      <c r="R47" s="33">
        <v>40</v>
      </c>
      <c r="S47" s="33" t="s">
        <v>2</v>
      </c>
      <c r="T47" s="33">
        <f>IF(R47&gt;0,IF(RIGHT(Ruimtestaat[[#This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 s="33">
        <f>IF(T47&gt;0,VLOOKUP($J47,Ruimtegroepen[],3,FALSE)*VLOOKUP($L47,Vloersoorten[],3,FALSE)*VLOOKUP($S47,Frequenties[],3,FALSE)*VLOOKUP($A47,Locaties[],3,FALSE),0)</f>
        <v>0</v>
      </c>
      <c r="V47" s="33">
        <f>Ruimtestaat[[#This Row],[Uitvoeringen werkdagen]]*Ruimtestaat[[#This Row],[Oppervlak (netto)]]</f>
        <v>8800</v>
      </c>
      <c r="W47" s="154">
        <f>IF(U47&gt;0,Ruimtestaat[[#This Row],[Prest. (m2 /jaar) werkdagen]]/Ruimtestaat[[#This Row],[Norm (m2/uur) werkdagen]],0)</f>
        <v>0</v>
      </c>
      <c r="X47" s="155">
        <f>Ruimtestaat[[#This Row],[uren / jaar werkdagen]]*Tariefsopbouw!$E$35</f>
        <v>0</v>
      </c>
      <c r="Y47" s="33"/>
      <c r="Z47" s="33">
        <f>IF(Ruimtestaat[[#This Row],[Frequentie weekend]]&gt;0,VALUE(LEFT(Y47,1))*R47,0)</f>
        <v>0</v>
      </c>
      <c r="AA47" s="97">
        <f>IF($Z47&gt;0,VLOOKUP($J47,Ruimtegroepen[],3,FALSE)*VLOOKUP($L47,Vloersoorten[],3,FALSE)*VLOOKUP($Y47,Frequenties[],3,FALSE)*VLOOKUP(Ruimtestaat[[#This Row],[Code]],Locaties[],3,FALSE),0)</f>
        <v>0</v>
      </c>
      <c r="AB47" s="97">
        <f>Ruimtestaat[[#This Row],[Uitvoeringen weekend]]*Ruimtestaat[[#This Row],[Oppervlak (netto)]]</f>
        <v>0</v>
      </c>
      <c r="AC47" s="97">
        <f>IF(AA47&gt;0,Ruimtestaat[[#This Row],[Prest. (m2 /jaar) weekend]]/Ruimtestaat[[#This Row],[Norm (m2/uur) weekend]],0)</f>
        <v>0</v>
      </c>
      <c r="AD47" s="155">
        <f>Ruimtestaat[[#This Row],[uren / jaar weekend]]*Tariefsopbouw!$D$40</f>
        <v>0</v>
      </c>
      <c r="AE47" s="154">
        <f>Ruimtestaat[[#This Row],[Prest. (m2 /jaar) weekend]]+Ruimtestaat[[#This Row],[Prest. (m2 /jaar) werkdagen]]</f>
        <v>8800</v>
      </c>
      <c r="AF47" s="154">
        <f>Ruimtestaat[[#This Row],[uren / jaar weekend]]+Ruimtestaat[[#This Row],[uren / jaar werkdagen]]</f>
        <v>0</v>
      </c>
      <c r="AG47" s="69">
        <f>Ruimtestaat[[#This Row],[kosten / jaar weekend]]+Ruimtestaat[[#This Row],[kosten / jaar werkdagen]]</f>
        <v>0</v>
      </c>
      <c r="AH47" s="69"/>
      <c r="AI47" s="256" t="str">
        <f>IF(Ruimtestaat[[#This Row],[Frequentie werkdagen]]="","",_xlfn.CONCAT(Ruimtestaat[[#This Row],[Ruimte code]],"-",Ruimtestaat[[#This Row],[Frequentie werkdagen]]," ",Ruimtestaat[[#This Row],[Vloer code]]))</f>
        <v>16-5w L</v>
      </c>
      <c r="AJ47" s="363" t="str">
        <f>_xlfn.IFNA(VLOOKUP($AI47,Programma!$F$3:$G$1107,2,0),"")</f>
        <v>_</v>
      </c>
      <c r="AK47" s="363" t="str">
        <f>_xlfn.IFNA(VLOOKUP($AI47,Programma!$F$3:$H$1107,3,0),"")</f>
        <v>_</v>
      </c>
      <c r="AL47" s="363" t="str">
        <f>_xlfn.IFNA(VLOOKUP($AI47,Programma!$F$3:$I$1107,4,0),"")</f>
        <v>4w</v>
      </c>
      <c r="AM47" s="363" t="str">
        <f>_xlfn.IFNA(VLOOKUP($AI47,Programma!$F$3:$J$1107,5,0),"")</f>
        <v>1w</v>
      </c>
      <c r="AN47" s="363" t="str">
        <f>_xlfn.IFNA(VLOOKUP($AI47,Programma!$F$3:$K$1107,6,0),"")</f>
        <v>_</v>
      </c>
      <c r="AO47" s="363" t="str">
        <f>_xlfn.IFNA(VLOOKUP($AI47,Programma!$F$3:$L$1107,7,0),"")</f>
        <v>_</v>
      </c>
      <c r="AP47" s="363" t="str">
        <f>_xlfn.IFNA(VLOOKUP($AI47,Programma!$F$3:$M$1107,8,0),"")</f>
        <v>_</v>
      </c>
      <c r="AQ47" s="363" t="str">
        <f>_xlfn.IFNA(VLOOKUP($AI47,Programma!$F$3:$N$1107,9,0),"")</f>
        <v>_</v>
      </c>
      <c r="AR47" s="363" t="str">
        <f>_xlfn.IFNA(VLOOKUP($AI47,Programma!$F$3:$O$1107,10,0),"")</f>
        <v>5w</v>
      </c>
      <c r="AS47" s="363" t="str">
        <f>_xlfn.IFNA(VLOOKUP($AI47,Programma!$F$3:$P$1107,11,0),"")</f>
        <v>5w</v>
      </c>
      <c r="AT47" s="363" t="str">
        <f>_xlfn.IFNA(VLOOKUP($AI47,Programma!$F$3:$Q$1107,12,0),"")</f>
        <v>1w</v>
      </c>
      <c r="AU47" s="363" t="str">
        <f>_xlfn.IFNA(VLOOKUP($AI47,Programma!$F$3:$R$1107,13,0),"")</f>
        <v>1w</v>
      </c>
      <c r="AV47" s="363" t="str">
        <f>_xlfn.IFNA(VLOOKUP($AI47,Programma!$F$3:$S$1107,14,0),"")</f>
        <v>1m</v>
      </c>
      <c r="AW47" s="363" t="str">
        <f>_xlfn.IFNA(VLOOKUP($AI47,Programma!$F$3:$T$1107,15,0),"")</f>
        <v>2j</v>
      </c>
      <c r="AX47" s="363" t="str">
        <f>_xlfn.IFNA(VLOOKUP($AI47,Programma!$F$3:$U$1107,16,0),"")</f>
        <v>1j</v>
      </c>
      <c r="AY47" s="363" t="str">
        <f>_xlfn.IFNA(VLOOKUP($AI47,Programma!$F$3:$V$1107,17,0),"")</f>
        <v>_</v>
      </c>
      <c r="AZ47" s="363" t="str">
        <f>_xlfn.IFNA(VLOOKUP($AI47,Programma!$F$3:$W$1107,18,0),"")</f>
        <v>_</v>
      </c>
      <c r="BA47" s="363" t="str">
        <f>_xlfn.IFNA(VLOOKUP($AI47,Programma!$F$3:$X$1107,19,0),"")</f>
        <v>_</v>
      </c>
      <c r="BB47" s="363" t="str">
        <f>_xlfn.IFNA(VLOOKUP($AI47,Programma!$F$3:$Y$1107,20,0),"")</f>
        <v>_</v>
      </c>
      <c r="BC47" s="257"/>
      <c r="BD47" s="256" t="str">
        <f>IF(Ruimtestaat[[#This Row],[Frequentie weekend]]="","",_xlfn.CONCAT(Ruimtestaat[[#This Row],[Ruimte code]],"-",Ruimtestaat[[#This Row],[Frequentie weekend]]," ",Ruimtestaat[[#This Row],[Vloer code]]))</f>
        <v/>
      </c>
      <c r="BE47" s="363" t="str">
        <f>_xlfn.IFNA(VLOOKUP($BD47,Programma!$F$3:$G$1107,2,0),"")</f>
        <v/>
      </c>
      <c r="BF47" s="363" t="str">
        <f>_xlfn.IFNA(VLOOKUP($BD47,Programma!$F$3:$H$1107,3,0),"")</f>
        <v/>
      </c>
      <c r="BG47" s="363" t="str">
        <f>_xlfn.IFNA(VLOOKUP($BD47,Programma!$F$3:$I$1107,4,0),"")</f>
        <v/>
      </c>
      <c r="BH47" s="363" t="str">
        <f>_xlfn.IFNA(VLOOKUP($BD47,Programma!$F$3:$J$1107,5,0),"")</f>
        <v/>
      </c>
      <c r="BI47" s="363" t="str">
        <f>_xlfn.IFNA(VLOOKUP($BD47,Programma!$F$3:$K$1107,6,0),"")</f>
        <v/>
      </c>
      <c r="BJ47" s="363" t="str">
        <f>_xlfn.IFNA(VLOOKUP($BD47,Programma!$F$3:$L$1107,7,0),"")</f>
        <v/>
      </c>
      <c r="BK47" s="363" t="str">
        <f>_xlfn.IFNA(VLOOKUP($BD47,Programma!$F$3:$M$1107,8,0),"")</f>
        <v/>
      </c>
      <c r="BL47" s="363" t="str">
        <f>_xlfn.IFNA(VLOOKUP($BD47,Programma!$F$3:$N$1107,9,0),"")</f>
        <v/>
      </c>
      <c r="BM47" s="363" t="str">
        <f>_xlfn.IFNA(VLOOKUP($BD47,Programma!$F$3:$O$1107,10,0),"")</f>
        <v/>
      </c>
      <c r="BN47" s="363" t="str">
        <f>_xlfn.IFNA(VLOOKUP($BD47,Programma!$F$3:$P$1107,11,0),"")</f>
        <v/>
      </c>
      <c r="BO47" s="363" t="str">
        <f>_xlfn.IFNA(VLOOKUP($BD47,Programma!$F$3:$Q$1107,12,0),"")</f>
        <v/>
      </c>
      <c r="BP47" s="363" t="str">
        <f>_xlfn.IFNA(VLOOKUP($BD47,Programma!$F$3:$R$1107,13,0),"")</f>
        <v/>
      </c>
      <c r="BQ47" s="363" t="str">
        <f>_xlfn.IFNA(VLOOKUP($BD47,Programma!$F$3:$S$1107,14,0),"")</f>
        <v/>
      </c>
      <c r="BR47" s="363" t="str">
        <f>_xlfn.IFNA(VLOOKUP($BD47,Programma!$F$3:$T$1107,15,0),"")</f>
        <v/>
      </c>
      <c r="BS47" s="363" t="str">
        <f>_xlfn.IFNA(VLOOKUP($BD47,Programma!$F$3:$U$1107,16,0),"")</f>
        <v/>
      </c>
      <c r="BT47" s="363" t="str">
        <f>_xlfn.IFNA(VLOOKUP($BD47,Programma!$F$3:$V$1107,17,0),"")</f>
        <v/>
      </c>
      <c r="BU47" s="363" t="str">
        <f>_xlfn.IFNA(VLOOKUP($BD47,Programma!$F$3:$W$1107,18,0),"")</f>
        <v/>
      </c>
      <c r="BV47" s="363" t="str">
        <f>_xlfn.IFNA(VLOOKUP($BD47,Programma!$F$3:$X$1107,19,0),"")</f>
        <v/>
      </c>
      <c r="BW47" s="363" t="str">
        <f>_xlfn.IFNA(VLOOKUP($BD47,Programma!$F$3:$Y$1107,20,0),"")</f>
        <v/>
      </c>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row>
    <row r="48" spans="1:220" ht="15" customHeight="1">
      <c r="A48" s="33">
        <v>2</v>
      </c>
      <c r="B48" s="157" t="str">
        <f>VLOOKUP(Ruimtestaat[[#This Row],[Code]],Locaties[[Code]:[Locatie]],2,FALSE)</f>
        <v>'s Gravendreef College</v>
      </c>
      <c r="C48" s="157" t="str">
        <f>VLOOKUP(Ruimtestaat[[#This Row],[Code]],Locaties[[#All],[Code]:[Adres]],4,FALSE)</f>
        <v>Klaas Voskuildreef 135</v>
      </c>
      <c r="D48" s="157" t="str">
        <f>VLOOKUP(Ruimtestaat[[#This Row],[Code]],Locaties[[#All],[Code]:[Postcode]],5,FALSE)</f>
        <v>2492 JJ</v>
      </c>
      <c r="E48" s="157" t="str">
        <f>VLOOKUP(Ruimtestaat[[#This Row],[Code]],Locaties[#All],6,FALSE)</f>
        <v>Den Haag</v>
      </c>
      <c r="F48" s="33"/>
      <c r="G48" s="33" t="s">
        <v>1624</v>
      </c>
      <c r="H48" s="368" t="s">
        <v>1674</v>
      </c>
      <c r="I48" s="367" t="s">
        <v>1675</v>
      </c>
      <c r="J48" s="21">
        <v>16</v>
      </c>
      <c r="K48" s="62" t="str">
        <f>VLOOKUP(Ruimtestaat[[#This Row],[Ruimte code]],Ruimtegroepen[[#All],[Code]:[Ruimte omschrijving]],2,FALSE)</f>
        <v>Leslokalen theorie</v>
      </c>
      <c r="L48" s="33" t="s">
        <v>101</v>
      </c>
      <c r="M48" s="367" t="s">
        <v>2495</v>
      </c>
      <c r="N48" s="140">
        <v>44</v>
      </c>
      <c r="O48" s="140"/>
      <c r="P48" s="125" t="str">
        <f>VLOOKUP(Ruimtestaat[[#This Row],[Ruimte code]],Ruimtegroepen[],4,FALSE)</f>
        <v>Le</v>
      </c>
      <c r="R48" s="33">
        <v>40</v>
      </c>
      <c r="S48" s="33" t="s">
        <v>2</v>
      </c>
      <c r="T48" s="33">
        <f>IF(R48&gt;0,IF(RIGHT(Ruimtestaat[[#This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 s="33">
        <f>IF(T48&gt;0,VLOOKUP($J48,Ruimtegroepen[],3,FALSE)*VLOOKUP($L48,Vloersoorten[],3,FALSE)*VLOOKUP($S48,Frequenties[],3,FALSE)*VLOOKUP($A48,Locaties[],3,FALSE),0)</f>
        <v>0</v>
      </c>
      <c r="V48" s="33">
        <f>Ruimtestaat[[#This Row],[Uitvoeringen werkdagen]]*Ruimtestaat[[#This Row],[Oppervlak (netto)]]</f>
        <v>8800</v>
      </c>
      <c r="W48" s="154">
        <f>IF(U48&gt;0,Ruimtestaat[[#This Row],[Prest. (m2 /jaar) werkdagen]]/Ruimtestaat[[#This Row],[Norm (m2/uur) werkdagen]],0)</f>
        <v>0</v>
      </c>
      <c r="X48" s="155">
        <f>Ruimtestaat[[#This Row],[uren / jaar werkdagen]]*Tariefsopbouw!$E$35</f>
        <v>0</v>
      </c>
      <c r="Y48" s="33"/>
      <c r="Z48" s="33">
        <f>IF(Ruimtestaat[[#This Row],[Frequentie weekend]]&gt;0,VALUE(LEFT(Y48,1))*R48,0)</f>
        <v>0</v>
      </c>
      <c r="AA48" s="97">
        <f>IF($Z48&gt;0,VLOOKUP($J48,Ruimtegroepen[],3,FALSE)*VLOOKUP($L48,Vloersoorten[],3,FALSE)*VLOOKUP($Y48,Frequenties[],3,FALSE)*VLOOKUP(Ruimtestaat[[#This Row],[Code]],Locaties[],3,FALSE),0)</f>
        <v>0</v>
      </c>
      <c r="AB48" s="97">
        <f>Ruimtestaat[[#This Row],[Uitvoeringen weekend]]*Ruimtestaat[[#This Row],[Oppervlak (netto)]]</f>
        <v>0</v>
      </c>
      <c r="AC48" s="97">
        <f>IF(AA48&gt;0,Ruimtestaat[[#This Row],[Prest. (m2 /jaar) weekend]]/Ruimtestaat[[#This Row],[Norm (m2/uur) weekend]],0)</f>
        <v>0</v>
      </c>
      <c r="AD48" s="155">
        <f>Ruimtestaat[[#This Row],[uren / jaar weekend]]*Tariefsopbouw!$D$40</f>
        <v>0</v>
      </c>
      <c r="AE48" s="154">
        <f>Ruimtestaat[[#This Row],[Prest. (m2 /jaar) weekend]]+Ruimtestaat[[#This Row],[Prest. (m2 /jaar) werkdagen]]</f>
        <v>8800</v>
      </c>
      <c r="AF48" s="154">
        <f>Ruimtestaat[[#This Row],[uren / jaar weekend]]+Ruimtestaat[[#This Row],[uren / jaar werkdagen]]</f>
        <v>0</v>
      </c>
      <c r="AG48" s="69">
        <f>Ruimtestaat[[#This Row],[kosten / jaar weekend]]+Ruimtestaat[[#This Row],[kosten / jaar werkdagen]]</f>
        <v>0</v>
      </c>
      <c r="AH48" s="69"/>
      <c r="AI48" s="256" t="str">
        <f>IF(Ruimtestaat[[#This Row],[Frequentie werkdagen]]="","",_xlfn.CONCAT(Ruimtestaat[[#This Row],[Ruimte code]],"-",Ruimtestaat[[#This Row],[Frequentie werkdagen]]," ",Ruimtestaat[[#This Row],[Vloer code]]))</f>
        <v>16-5w L</v>
      </c>
      <c r="AJ48" s="363" t="str">
        <f>_xlfn.IFNA(VLOOKUP($AI48,Programma!$F$3:$G$1107,2,0),"")</f>
        <v>_</v>
      </c>
      <c r="AK48" s="363" t="str">
        <f>_xlfn.IFNA(VLOOKUP($AI48,Programma!$F$3:$H$1107,3,0),"")</f>
        <v>_</v>
      </c>
      <c r="AL48" s="363" t="str">
        <f>_xlfn.IFNA(VLOOKUP($AI48,Programma!$F$3:$I$1107,4,0),"")</f>
        <v>4w</v>
      </c>
      <c r="AM48" s="363" t="str">
        <f>_xlfn.IFNA(VLOOKUP($AI48,Programma!$F$3:$J$1107,5,0),"")</f>
        <v>1w</v>
      </c>
      <c r="AN48" s="363" t="str">
        <f>_xlfn.IFNA(VLOOKUP($AI48,Programma!$F$3:$K$1107,6,0),"")</f>
        <v>_</v>
      </c>
      <c r="AO48" s="363" t="str">
        <f>_xlfn.IFNA(VLOOKUP($AI48,Programma!$F$3:$L$1107,7,0),"")</f>
        <v>_</v>
      </c>
      <c r="AP48" s="363" t="str">
        <f>_xlfn.IFNA(VLOOKUP($AI48,Programma!$F$3:$M$1107,8,0),"")</f>
        <v>_</v>
      </c>
      <c r="AQ48" s="363" t="str">
        <f>_xlfn.IFNA(VLOOKUP($AI48,Programma!$F$3:$N$1107,9,0),"")</f>
        <v>_</v>
      </c>
      <c r="AR48" s="363" t="str">
        <f>_xlfn.IFNA(VLOOKUP($AI48,Programma!$F$3:$O$1107,10,0),"")</f>
        <v>5w</v>
      </c>
      <c r="AS48" s="363" t="str">
        <f>_xlfn.IFNA(VLOOKUP($AI48,Programma!$F$3:$P$1107,11,0),"")</f>
        <v>5w</v>
      </c>
      <c r="AT48" s="363" t="str">
        <f>_xlfn.IFNA(VLOOKUP($AI48,Programma!$F$3:$Q$1107,12,0),"")</f>
        <v>1w</v>
      </c>
      <c r="AU48" s="363" t="str">
        <f>_xlfn.IFNA(VLOOKUP($AI48,Programma!$F$3:$R$1107,13,0),"")</f>
        <v>1w</v>
      </c>
      <c r="AV48" s="363" t="str">
        <f>_xlfn.IFNA(VLOOKUP($AI48,Programma!$F$3:$S$1107,14,0),"")</f>
        <v>1m</v>
      </c>
      <c r="AW48" s="363" t="str">
        <f>_xlfn.IFNA(VLOOKUP($AI48,Programma!$F$3:$T$1107,15,0),"")</f>
        <v>2j</v>
      </c>
      <c r="AX48" s="363" t="str">
        <f>_xlfn.IFNA(VLOOKUP($AI48,Programma!$F$3:$U$1107,16,0),"")</f>
        <v>1j</v>
      </c>
      <c r="AY48" s="363" t="str">
        <f>_xlfn.IFNA(VLOOKUP($AI48,Programma!$F$3:$V$1107,17,0),"")</f>
        <v>_</v>
      </c>
      <c r="AZ48" s="363" t="str">
        <f>_xlfn.IFNA(VLOOKUP($AI48,Programma!$F$3:$W$1107,18,0),"")</f>
        <v>_</v>
      </c>
      <c r="BA48" s="363" t="str">
        <f>_xlfn.IFNA(VLOOKUP($AI48,Programma!$F$3:$X$1107,19,0),"")</f>
        <v>_</v>
      </c>
      <c r="BB48" s="363" t="str">
        <f>_xlfn.IFNA(VLOOKUP($AI48,Programma!$F$3:$Y$1107,20,0),"")</f>
        <v>_</v>
      </c>
      <c r="BC48" s="257"/>
      <c r="BD48" s="256" t="str">
        <f>IF(Ruimtestaat[[#This Row],[Frequentie weekend]]="","",_xlfn.CONCAT(Ruimtestaat[[#This Row],[Ruimte code]],"-",Ruimtestaat[[#This Row],[Frequentie weekend]]," ",Ruimtestaat[[#This Row],[Vloer code]]))</f>
        <v/>
      </c>
      <c r="BE48" s="363" t="str">
        <f>_xlfn.IFNA(VLOOKUP($BD48,Programma!$F$3:$G$1107,2,0),"")</f>
        <v/>
      </c>
      <c r="BF48" s="363" t="str">
        <f>_xlfn.IFNA(VLOOKUP($BD48,Programma!$F$3:$H$1107,3,0),"")</f>
        <v/>
      </c>
      <c r="BG48" s="363" t="str">
        <f>_xlfn.IFNA(VLOOKUP($BD48,Programma!$F$3:$I$1107,4,0),"")</f>
        <v/>
      </c>
      <c r="BH48" s="363" t="str">
        <f>_xlfn.IFNA(VLOOKUP($BD48,Programma!$F$3:$J$1107,5,0),"")</f>
        <v/>
      </c>
      <c r="BI48" s="363" t="str">
        <f>_xlfn.IFNA(VLOOKUP($BD48,Programma!$F$3:$K$1107,6,0),"")</f>
        <v/>
      </c>
      <c r="BJ48" s="363" t="str">
        <f>_xlfn.IFNA(VLOOKUP($BD48,Programma!$F$3:$L$1107,7,0),"")</f>
        <v/>
      </c>
      <c r="BK48" s="363" t="str">
        <f>_xlfn.IFNA(VLOOKUP($BD48,Programma!$F$3:$M$1107,8,0),"")</f>
        <v/>
      </c>
      <c r="BL48" s="363" t="str">
        <f>_xlfn.IFNA(VLOOKUP($BD48,Programma!$F$3:$N$1107,9,0),"")</f>
        <v/>
      </c>
      <c r="BM48" s="363" t="str">
        <f>_xlfn.IFNA(VLOOKUP($BD48,Programma!$F$3:$O$1107,10,0),"")</f>
        <v/>
      </c>
      <c r="BN48" s="363" t="str">
        <f>_xlfn.IFNA(VLOOKUP($BD48,Programma!$F$3:$P$1107,11,0),"")</f>
        <v/>
      </c>
      <c r="BO48" s="363" t="str">
        <f>_xlfn.IFNA(VLOOKUP($BD48,Programma!$F$3:$Q$1107,12,0),"")</f>
        <v/>
      </c>
      <c r="BP48" s="363" t="str">
        <f>_xlfn.IFNA(VLOOKUP($BD48,Programma!$F$3:$R$1107,13,0),"")</f>
        <v/>
      </c>
      <c r="BQ48" s="363" t="str">
        <f>_xlfn.IFNA(VLOOKUP($BD48,Programma!$F$3:$S$1107,14,0),"")</f>
        <v/>
      </c>
      <c r="BR48" s="363" t="str">
        <f>_xlfn.IFNA(VLOOKUP($BD48,Programma!$F$3:$T$1107,15,0),"")</f>
        <v/>
      </c>
      <c r="BS48" s="363" t="str">
        <f>_xlfn.IFNA(VLOOKUP($BD48,Programma!$F$3:$U$1107,16,0),"")</f>
        <v/>
      </c>
      <c r="BT48" s="363" t="str">
        <f>_xlfn.IFNA(VLOOKUP($BD48,Programma!$F$3:$V$1107,17,0),"")</f>
        <v/>
      </c>
      <c r="BU48" s="363" t="str">
        <f>_xlfn.IFNA(VLOOKUP($BD48,Programma!$F$3:$W$1107,18,0),"")</f>
        <v/>
      </c>
      <c r="BV48" s="363" t="str">
        <f>_xlfn.IFNA(VLOOKUP($BD48,Programma!$F$3:$X$1107,19,0),"")</f>
        <v/>
      </c>
      <c r="BW48" s="363" t="str">
        <f>_xlfn.IFNA(VLOOKUP($BD48,Programma!$F$3:$Y$1107,20,0),"")</f>
        <v/>
      </c>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row>
    <row r="49" spans="1:220" ht="15" customHeight="1">
      <c r="A49" s="33">
        <v>2</v>
      </c>
      <c r="B49" s="157" t="str">
        <f>VLOOKUP(Ruimtestaat[[#This Row],[Code]],Locaties[[Code]:[Locatie]],2,FALSE)</f>
        <v>'s Gravendreef College</v>
      </c>
      <c r="C49" s="157" t="str">
        <f>VLOOKUP(Ruimtestaat[[#This Row],[Code]],Locaties[[#All],[Code]:[Adres]],4,FALSE)</f>
        <v>Klaas Voskuildreef 135</v>
      </c>
      <c r="D49" s="157" t="str">
        <f>VLOOKUP(Ruimtestaat[[#This Row],[Code]],Locaties[[#All],[Code]:[Postcode]],5,FALSE)</f>
        <v>2492 JJ</v>
      </c>
      <c r="E49" s="157" t="str">
        <f>VLOOKUP(Ruimtestaat[[#This Row],[Code]],Locaties[#All],6,FALSE)</f>
        <v>Den Haag</v>
      </c>
      <c r="F49" s="33"/>
      <c r="G49" s="33" t="s">
        <v>1624</v>
      </c>
      <c r="H49" s="368" t="s">
        <v>1676</v>
      </c>
      <c r="I49" s="367" t="s">
        <v>1677</v>
      </c>
      <c r="J49" s="21">
        <v>14</v>
      </c>
      <c r="K49" s="62" t="str">
        <f>VLOOKUP(Ruimtestaat[[#This Row],[Ruimte code]],Ruimtegroepen[[#All],[Code]:[Ruimte omschrijving]],2,FALSE)</f>
        <v>Praktijklokalen binas/zorg</v>
      </c>
      <c r="L49" s="33" t="s">
        <v>103</v>
      </c>
      <c r="M49" s="367" t="s">
        <v>2497</v>
      </c>
      <c r="N49" s="140">
        <v>74</v>
      </c>
      <c r="O49" s="140"/>
      <c r="P49" s="125" t="str">
        <f>VLOOKUP(Ruimtestaat[[#This Row],[Ruimte code]],Ruimtegroepen[],4,FALSE)</f>
        <v>Le</v>
      </c>
      <c r="R49" s="33">
        <v>40</v>
      </c>
      <c r="S49" s="33" t="s">
        <v>2</v>
      </c>
      <c r="T49" s="33">
        <f>IF(R49&gt;0,IF(RIGHT(Ruimtestaat[[#This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 s="33">
        <f>IF(T49&gt;0,VLOOKUP($J49,Ruimtegroepen[],3,FALSE)*VLOOKUP($L49,Vloersoorten[],3,FALSE)*VLOOKUP($S49,Frequenties[],3,FALSE)*VLOOKUP($A49,Locaties[],3,FALSE),0)</f>
        <v>0</v>
      </c>
      <c r="V49" s="33">
        <f>Ruimtestaat[[#This Row],[Uitvoeringen werkdagen]]*Ruimtestaat[[#This Row],[Oppervlak (netto)]]</f>
        <v>14800</v>
      </c>
      <c r="W49" s="154">
        <f>IF(U49&gt;0,Ruimtestaat[[#This Row],[Prest. (m2 /jaar) werkdagen]]/Ruimtestaat[[#This Row],[Norm (m2/uur) werkdagen]],0)</f>
        <v>0</v>
      </c>
      <c r="X49" s="155">
        <f>Ruimtestaat[[#This Row],[uren / jaar werkdagen]]*Tariefsopbouw!$E$35</f>
        <v>0</v>
      </c>
      <c r="Y49" s="33"/>
      <c r="Z49" s="33">
        <f>IF(Ruimtestaat[[#This Row],[Frequentie weekend]]&gt;0,VALUE(LEFT(Y49,1))*R49,0)</f>
        <v>0</v>
      </c>
      <c r="AA49" s="97">
        <f>IF($Z49&gt;0,VLOOKUP($J49,Ruimtegroepen[],3,FALSE)*VLOOKUP($L49,Vloersoorten[],3,FALSE)*VLOOKUP($Y49,Frequenties[],3,FALSE)*VLOOKUP(Ruimtestaat[[#This Row],[Code]],Locaties[],3,FALSE),0)</f>
        <v>0</v>
      </c>
      <c r="AB49" s="97">
        <f>Ruimtestaat[[#This Row],[Uitvoeringen weekend]]*Ruimtestaat[[#This Row],[Oppervlak (netto)]]</f>
        <v>0</v>
      </c>
      <c r="AC49" s="97">
        <f>IF(AA49&gt;0,Ruimtestaat[[#This Row],[Prest. (m2 /jaar) weekend]]/Ruimtestaat[[#This Row],[Norm (m2/uur) weekend]],0)</f>
        <v>0</v>
      </c>
      <c r="AD49" s="155">
        <f>Ruimtestaat[[#This Row],[uren / jaar weekend]]*Tariefsopbouw!$D$40</f>
        <v>0</v>
      </c>
      <c r="AE49" s="154">
        <f>Ruimtestaat[[#This Row],[Prest. (m2 /jaar) weekend]]+Ruimtestaat[[#This Row],[Prest. (m2 /jaar) werkdagen]]</f>
        <v>14800</v>
      </c>
      <c r="AF49" s="154">
        <f>Ruimtestaat[[#This Row],[uren / jaar weekend]]+Ruimtestaat[[#This Row],[uren / jaar werkdagen]]</f>
        <v>0</v>
      </c>
      <c r="AG49" s="69">
        <f>Ruimtestaat[[#This Row],[kosten / jaar weekend]]+Ruimtestaat[[#This Row],[kosten / jaar werkdagen]]</f>
        <v>0</v>
      </c>
      <c r="AH49" s="69"/>
      <c r="AI49" s="256" t="str">
        <f>IF(Ruimtestaat[[#This Row],[Frequentie werkdagen]]="","",_xlfn.CONCAT(Ruimtestaat[[#This Row],[Ruimte code]],"-",Ruimtestaat[[#This Row],[Frequentie werkdagen]]," ",Ruimtestaat[[#This Row],[Vloer code]]))</f>
        <v>14-5w P</v>
      </c>
      <c r="AJ49" s="363" t="str">
        <f>_xlfn.IFNA(VLOOKUP($AI49,Programma!$F$3:$G$1107,2,0),"")</f>
        <v>_</v>
      </c>
      <c r="AK49" s="363" t="str">
        <f>_xlfn.IFNA(VLOOKUP($AI49,Programma!$F$3:$H$1107,3,0),"")</f>
        <v>_</v>
      </c>
      <c r="AL49" s="363" t="str">
        <f>_xlfn.IFNA(VLOOKUP($AI49,Programma!$F$3:$I$1107,4,0),"")</f>
        <v>5w</v>
      </c>
      <c r="AM49" s="363" t="str">
        <f>_xlfn.IFNA(VLOOKUP($AI49,Programma!$F$3:$J$1107,5,0),"")</f>
        <v>_</v>
      </c>
      <c r="AN49" s="363" t="str">
        <f>_xlfn.IFNA(VLOOKUP($AI49,Programma!$F$3:$K$1107,6,0),"")</f>
        <v>5w</v>
      </c>
      <c r="AO49" s="363" t="str">
        <f>_xlfn.IFNA(VLOOKUP($AI49,Programma!$F$3:$L$1107,7,0),"")</f>
        <v>_</v>
      </c>
      <c r="AP49" s="363" t="str">
        <f>_xlfn.IFNA(VLOOKUP($AI49,Programma!$F$3:$M$1107,8,0),"")</f>
        <v>_</v>
      </c>
      <c r="AQ49" s="363" t="str">
        <f>_xlfn.IFNA(VLOOKUP($AI49,Programma!$F$3:$N$1107,9,0),"")</f>
        <v>_</v>
      </c>
      <c r="AR49" s="363" t="str">
        <f>_xlfn.IFNA(VLOOKUP($AI49,Programma!$F$3:$O$1107,10,0),"")</f>
        <v>5w</v>
      </c>
      <c r="AS49" s="363" t="str">
        <f>_xlfn.IFNA(VLOOKUP($AI49,Programma!$F$3:$P$1107,11,0),"")</f>
        <v>5w</v>
      </c>
      <c r="AT49" s="363" t="str">
        <f>_xlfn.IFNA(VLOOKUP($AI49,Programma!$F$3:$Q$1107,12,0),"")</f>
        <v>1w</v>
      </c>
      <c r="AU49" s="363" t="str">
        <f>_xlfn.IFNA(VLOOKUP($AI49,Programma!$F$3:$R$1107,13,0),"")</f>
        <v>1w</v>
      </c>
      <c r="AV49" s="363" t="str">
        <f>_xlfn.IFNA(VLOOKUP($AI49,Programma!$F$3:$S$1107,14,0),"")</f>
        <v>1m</v>
      </c>
      <c r="AW49" s="363" t="str">
        <f>_xlfn.IFNA(VLOOKUP($AI49,Programma!$F$3:$T$1107,15,0),"")</f>
        <v>2j</v>
      </c>
      <c r="AX49" s="363" t="str">
        <f>_xlfn.IFNA(VLOOKUP($AI49,Programma!$F$3:$U$1107,16,0),"")</f>
        <v>1j</v>
      </c>
      <c r="AY49" s="363" t="str">
        <f>_xlfn.IFNA(VLOOKUP($AI49,Programma!$F$3:$V$1107,17,0),"")</f>
        <v>_</v>
      </c>
      <c r="AZ49" s="363" t="str">
        <f>_xlfn.IFNA(VLOOKUP($AI49,Programma!$F$3:$W$1107,18,0),"")</f>
        <v>_</v>
      </c>
      <c r="BA49" s="363" t="str">
        <f>_xlfn.IFNA(VLOOKUP($AI49,Programma!$F$3:$X$1107,19,0),"")</f>
        <v>_</v>
      </c>
      <c r="BB49" s="363" t="str">
        <f>_xlfn.IFNA(VLOOKUP($AI49,Programma!$F$3:$Y$1107,20,0),"")</f>
        <v>_</v>
      </c>
      <c r="BC49" s="257"/>
      <c r="BD49" s="256" t="str">
        <f>IF(Ruimtestaat[[#This Row],[Frequentie weekend]]="","",_xlfn.CONCAT(Ruimtestaat[[#This Row],[Ruimte code]],"-",Ruimtestaat[[#This Row],[Frequentie weekend]]," ",Ruimtestaat[[#This Row],[Vloer code]]))</f>
        <v/>
      </c>
      <c r="BE49" s="363" t="str">
        <f>_xlfn.IFNA(VLOOKUP($BD49,Programma!$F$3:$G$1107,2,0),"")</f>
        <v/>
      </c>
      <c r="BF49" s="363" t="str">
        <f>_xlfn.IFNA(VLOOKUP($BD49,Programma!$F$3:$H$1107,3,0),"")</f>
        <v/>
      </c>
      <c r="BG49" s="363" t="str">
        <f>_xlfn.IFNA(VLOOKUP($BD49,Programma!$F$3:$I$1107,4,0),"")</f>
        <v/>
      </c>
      <c r="BH49" s="363" t="str">
        <f>_xlfn.IFNA(VLOOKUP($BD49,Programma!$F$3:$J$1107,5,0),"")</f>
        <v/>
      </c>
      <c r="BI49" s="363" t="str">
        <f>_xlfn.IFNA(VLOOKUP($BD49,Programma!$F$3:$K$1107,6,0),"")</f>
        <v/>
      </c>
      <c r="BJ49" s="363" t="str">
        <f>_xlfn.IFNA(VLOOKUP($BD49,Programma!$F$3:$L$1107,7,0),"")</f>
        <v/>
      </c>
      <c r="BK49" s="363" t="str">
        <f>_xlfn.IFNA(VLOOKUP($BD49,Programma!$F$3:$M$1107,8,0),"")</f>
        <v/>
      </c>
      <c r="BL49" s="363" t="str">
        <f>_xlfn.IFNA(VLOOKUP($BD49,Programma!$F$3:$N$1107,9,0),"")</f>
        <v/>
      </c>
      <c r="BM49" s="363" t="str">
        <f>_xlfn.IFNA(VLOOKUP($BD49,Programma!$F$3:$O$1107,10,0),"")</f>
        <v/>
      </c>
      <c r="BN49" s="363" t="str">
        <f>_xlfn.IFNA(VLOOKUP($BD49,Programma!$F$3:$P$1107,11,0),"")</f>
        <v/>
      </c>
      <c r="BO49" s="363" t="str">
        <f>_xlfn.IFNA(VLOOKUP($BD49,Programma!$F$3:$Q$1107,12,0),"")</f>
        <v/>
      </c>
      <c r="BP49" s="363" t="str">
        <f>_xlfn.IFNA(VLOOKUP($BD49,Programma!$F$3:$R$1107,13,0),"")</f>
        <v/>
      </c>
      <c r="BQ49" s="363" t="str">
        <f>_xlfn.IFNA(VLOOKUP($BD49,Programma!$F$3:$S$1107,14,0),"")</f>
        <v/>
      </c>
      <c r="BR49" s="363" t="str">
        <f>_xlfn.IFNA(VLOOKUP($BD49,Programma!$F$3:$T$1107,15,0),"")</f>
        <v/>
      </c>
      <c r="BS49" s="363" t="str">
        <f>_xlfn.IFNA(VLOOKUP($BD49,Programma!$F$3:$U$1107,16,0),"")</f>
        <v/>
      </c>
      <c r="BT49" s="363" t="str">
        <f>_xlfn.IFNA(VLOOKUP($BD49,Programma!$F$3:$V$1107,17,0),"")</f>
        <v/>
      </c>
      <c r="BU49" s="363" t="str">
        <f>_xlfn.IFNA(VLOOKUP($BD49,Programma!$F$3:$W$1107,18,0),"")</f>
        <v/>
      </c>
      <c r="BV49" s="363" t="str">
        <f>_xlfn.IFNA(VLOOKUP($BD49,Programma!$F$3:$X$1107,19,0),"")</f>
        <v/>
      </c>
      <c r="BW49" s="363" t="str">
        <f>_xlfn.IFNA(VLOOKUP($BD49,Programma!$F$3:$Y$1107,20,0),"")</f>
        <v/>
      </c>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row>
    <row r="50" spans="1:220" ht="15" customHeight="1">
      <c r="A50" s="33">
        <v>2</v>
      </c>
      <c r="B50" s="157" t="str">
        <f>VLOOKUP(Ruimtestaat[[#This Row],[Code]],Locaties[[Code]:[Locatie]],2,FALSE)</f>
        <v>'s Gravendreef College</v>
      </c>
      <c r="C50" s="157" t="str">
        <f>VLOOKUP(Ruimtestaat[[#This Row],[Code]],Locaties[[#All],[Code]:[Adres]],4,FALSE)</f>
        <v>Klaas Voskuildreef 135</v>
      </c>
      <c r="D50" s="157" t="str">
        <f>VLOOKUP(Ruimtestaat[[#This Row],[Code]],Locaties[[#All],[Code]:[Postcode]],5,FALSE)</f>
        <v>2492 JJ</v>
      </c>
      <c r="E50" s="157" t="str">
        <f>VLOOKUP(Ruimtestaat[[#This Row],[Code]],Locaties[#All],6,FALSE)</f>
        <v>Den Haag</v>
      </c>
      <c r="F50" s="33"/>
      <c r="G50" s="33" t="s">
        <v>1624</v>
      </c>
      <c r="H50" s="368" t="s">
        <v>1678</v>
      </c>
      <c r="I50" s="367" t="s">
        <v>1679</v>
      </c>
      <c r="J50" s="21">
        <v>14</v>
      </c>
      <c r="K50" s="62" t="str">
        <f>VLOOKUP(Ruimtestaat[[#This Row],[Ruimte code]],Ruimtegroepen[[#All],[Code]:[Ruimte omschrijving]],2,FALSE)</f>
        <v>Praktijklokalen binas/zorg</v>
      </c>
      <c r="L50" s="33" t="s">
        <v>103</v>
      </c>
      <c r="M50" s="367" t="s">
        <v>2497</v>
      </c>
      <c r="N50" s="140">
        <v>21</v>
      </c>
      <c r="O50" s="140"/>
      <c r="P50" s="125" t="str">
        <f>VLOOKUP(Ruimtestaat[[#This Row],[Ruimte code]],Ruimtegroepen[],4,FALSE)</f>
        <v>Le</v>
      </c>
      <c r="R50" s="33">
        <v>40</v>
      </c>
      <c r="S50" s="33" t="s">
        <v>2</v>
      </c>
      <c r="T50" s="33">
        <f>IF(R50&gt;0,IF(RIGHT(Ruimtestaat[[#This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 s="33">
        <f>IF(T50&gt;0,VLOOKUP($J50,Ruimtegroepen[],3,FALSE)*VLOOKUP($L50,Vloersoorten[],3,FALSE)*VLOOKUP($S50,Frequenties[],3,FALSE)*VLOOKUP($A50,Locaties[],3,FALSE),0)</f>
        <v>0</v>
      </c>
      <c r="V50" s="33">
        <f>Ruimtestaat[[#This Row],[Uitvoeringen werkdagen]]*Ruimtestaat[[#This Row],[Oppervlak (netto)]]</f>
        <v>4200</v>
      </c>
      <c r="W50" s="154">
        <f>IF(U50&gt;0,Ruimtestaat[[#This Row],[Prest. (m2 /jaar) werkdagen]]/Ruimtestaat[[#This Row],[Norm (m2/uur) werkdagen]],0)</f>
        <v>0</v>
      </c>
      <c r="X50" s="155">
        <f>Ruimtestaat[[#This Row],[uren / jaar werkdagen]]*Tariefsopbouw!$E$35</f>
        <v>0</v>
      </c>
      <c r="Y50" s="33"/>
      <c r="Z50" s="33">
        <f>IF(Ruimtestaat[[#This Row],[Frequentie weekend]]&gt;0,VALUE(LEFT(Y50,1))*R50,0)</f>
        <v>0</v>
      </c>
      <c r="AA50" s="97">
        <f>IF($Z50&gt;0,VLOOKUP($J50,Ruimtegroepen[],3,FALSE)*VLOOKUP($L50,Vloersoorten[],3,FALSE)*VLOOKUP($Y50,Frequenties[],3,FALSE)*VLOOKUP(Ruimtestaat[[#This Row],[Code]],Locaties[],3,FALSE),0)</f>
        <v>0</v>
      </c>
      <c r="AB50" s="97">
        <f>Ruimtestaat[[#This Row],[Uitvoeringen weekend]]*Ruimtestaat[[#This Row],[Oppervlak (netto)]]</f>
        <v>0</v>
      </c>
      <c r="AC50" s="97">
        <f>IF(AA50&gt;0,Ruimtestaat[[#This Row],[Prest. (m2 /jaar) weekend]]/Ruimtestaat[[#This Row],[Norm (m2/uur) weekend]],0)</f>
        <v>0</v>
      </c>
      <c r="AD50" s="155">
        <f>Ruimtestaat[[#This Row],[uren / jaar weekend]]*Tariefsopbouw!$D$40</f>
        <v>0</v>
      </c>
      <c r="AE50" s="154">
        <f>Ruimtestaat[[#This Row],[Prest. (m2 /jaar) weekend]]+Ruimtestaat[[#This Row],[Prest. (m2 /jaar) werkdagen]]</f>
        <v>4200</v>
      </c>
      <c r="AF50" s="154">
        <f>Ruimtestaat[[#This Row],[uren / jaar weekend]]+Ruimtestaat[[#This Row],[uren / jaar werkdagen]]</f>
        <v>0</v>
      </c>
      <c r="AG50" s="69">
        <f>Ruimtestaat[[#This Row],[kosten / jaar weekend]]+Ruimtestaat[[#This Row],[kosten / jaar werkdagen]]</f>
        <v>0</v>
      </c>
      <c r="AH50" s="69"/>
      <c r="AI50" s="256" t="str">
        <f>IF(Ruimtestaat[[#This Row],[Frequentie werkdagen]]="","",_xlfn.CONCAT(Ruimtestaat[[#This Row],[Ruimte code]],"-",Ruimtestaat[[#This Row],[Frequentie werkdagen]]," ",Ruimtestaat[[#This Row],[Vloer code]]))</f>
        <v>14-5w P</v>
      </c>
      <c r="AJ50" s="363" t="str">
        <f>_xlfn.IFNA(VLOOKUP($AI50,Programma!$F$3:$G$1107,2,0),"")</f>
        <v>_</v>
      </c>
      <c r="AK50" s="363" t="str">
        <f>_xlfn.IFNA(VLOOKUP($AI50,Programma!$F$3:$H$1107,3,0),"")</f>
        <v>_</v>
      </c>
      <c r="AL50" s="363" t="str">
        <f>_xlfn.IFNA(VLOOKUP($AI50,Programma!$F$3:$I$1107,4,0),"")</f>
        <v>5w</v>
      </c>
      <c r="AM50" s="363" t="str">
        <f>_xlfn.IFNA(VLOOKUP($AI50,Programma!$F$3:$J$1107,5,0),"")</f>
        <v>_</v>
      </c>
      <c r="AN50" s="363" t="str">
        <f>_xlfn.IFNA(VLOOKUP($AI50,Programma!$F$3:$K$1107,6,0),"")</f>
        <v>5w</v>
      </c>
      <c r="AO50" s="363" t="str">
        <f>_xlfn.IFNA(VLOOKUP($AI50,Programma!$F$3:$L$1107,7,0),"")</f>
        <v>_</v>
      </c>
      <c r="AP50" s="363" t="str">
        <f>_xlfn.IFNA(VLOOKUP($AI50,Programma!$F$3:$M$1107,8,0),"")</f>
        <v>_</v>
      </c>
      <c r="AQ50" s="363" t="str">
        <f>_xlfn.IFNA(VLOOKUP($AI50,Programma!$F$3:$N$1107,9,0),"")</f>
        <v>_</v>
      </c>
      <c r="AR50" s="363" t="str">
        <f>_xlfn.IFNA(VLOOKUP($AI50,Programma!$F$3:$O$1107,10,0),"")</f>
        <v>5w</v>
      </c>
      <c r="AS50" s="363" t="str">
        <f>_xlfn.IFNA(VLOOKUP($AI50,Programma!$F$3:$P$1107,11,0),"")</f>
        <v>5w</v>
      </c>
      <c r="AT50" s="363" t="str">
        <f>_xlfn.IFNA(VLOOKUP($AI50,Programma!$F$3:$Q$1107,12,0),"")</f>
        <v>1w</v>
      </c>
      <c r="AU50" s="363" t="str">
        <f>_xlfn.IFNA(VLOOKUP($AI50,Programma!$F$3:$R$1107,13,0),"")</f>
        <v>1w</v>
      </c>
      <c r="AV50" s="363" t="str">
        <f>_xlfn.IFNA(VLOOKUP($AI50,Programma!$F$3:$S$1107,14,0),"")</f>
        <v>1m</v>
      </c>
      <c r="AW50" s="363" t="str">
        <f>_xlfn.IFNA(VLOOKUP($AI50,Programma!$F$3:$T$1107,15,0),"")</f>
        <v>2j</v>
      </c>
      <c r="AX50" s="363" t="str">
        <f>_xlfn.IFNA(VLOOKUP($AI50,Programma!$F$3:$U$1107,16,0),"")</f>
        <v>1j</v>
      </c>
      <c r="AY50" s="363" t="str">
        <f>_xlfn.IFNA(VLOOKUP($AI50,Programma!$F$3:$V$1107,17,0),"")</f>
        <v>_</v>
      </c>
      <c r="AZ50" s="363" t="str">
        <f>_xlfn.IFNA(VLOOKUP($AI50,Programma!$F$3:$W$1107,18,0),"")</f>
        <v>_</v>
      </c>
      <c r="BA50" s="363" t="str">
        <f>_xlfn.IFNA(VLOOKUP($AI50,Programma!$F$3:$X$1107,19,0),"")</f>
        <v>_</v>
      </c>
      <c r="BB50" s="363" t="str">
        <f>_xlfn.IFNA(VLOOKUP($AI50,Programma!$F$3:$Y$1107,20,0),"")</f>
        <v>_</v>
      </c>
      <c r="BC50" s="257"/>
      <c r="BD50" s="256" t="str">
        <f>IF(Ruimtestaat[[#This Row],[Frequentie weekend]]="","",_xlfn.CONCAT(Ruimtestaat[[#This Row],[Ruimte code]],"-",Ruimtestaat[[#This Row],[Frequentie weekend]]," ",Ruimtestaat[[#This Row],[Vloer code]]))</f>
        <v/>
      </c>
      <c r="BE50" s="363" t="str">
        <f>_xlfn.IFNA(VLOOKUP($BD50,Programma!$F$3:$G$1107,2,0),"")</f>
        <v/>
      </c>
      <c r="BF50" s="363" t="str">
        <f>_xlfn.IFNA(VLOOKUP($BD50,Programma!$F$3:$H$1107,3,0),"")</f>
        <v/>
      </c>
      <c r="BG50" s="363" t="str">
        <f>_xlfn.IFNA(VLOOKUP($BD50,Programma!$F$3:$I$1107,4,0),"")</f>
        <v/>
      </c>
      <c r="BH50" s="363" t="str">
        <f>_xlfn.IFNA(VLOOKUP($BD50,Programma!$F$3:$J$1107,5,0),"")</f>
        <v/>
      </c>
      <c r="BI50" s="363" t="str">
        <f>_xlfn.IFNA(VLOOKUP($BD50,Programma!$F$3:$K$1107,6,0),"")</f>
        <v/>
      </c>
      <c r="BJ50" s="363" t="str">
        <f>_xlfn.IFNA(VLOOKUP($BD50,Programma!$F$3:$L$1107,7,0),"")</f>
        <v/>
      </c>
      <c r="BK50" s="363" t="str">
        <f>_xlfn.IFNA(VLOOKUP($BD50,Programma!$F$3:$M$1107,8,0),"")</f>
        <v/>
      </c>
      <c r="BL50" s="363" t="str">
        <f>_xlfn.IFNA(VLOOKUP($BD50,Programma!$F$3:$N$1107,9,0),"")</f>
        <v/>
      </c>
      <c r="BM50" s="363" t="str">
        <f>_xlfn.IFNA(VLOOKUP($BD50,Programma!$F$3:$O$1107,10,0),"")</f>
        <v/>
      </c>
      <c r="BN50" s="363" t="str">
        <f>_xlfn.IFNA(VLOOKUP($BD50,Programma!$F$3:$P$1107,11,0),"")</f>
        <v/>
      </c>
      <c r="BO50" s="363" t="str">
        <f>_xlfn.IFNA(VLOOKUP($BD50,Programma!$F$3:$Q$1107,12,0),"")</f>
        <v/>
      </c>
      <c r="BP50" s="363" t="str">
        <f>_xlfn.IFNA(VLOOKUP($BD50,Programma!$F$3:$R$1107,13,0),"")</f>
        <v/>
      </c>
      <c r="BQ50" s="363" t="str">
        <f>_xlfn.IFNA(VLOOKUP($BD50,Programma!$F$3:$S$1107,14,0),"")</f>
        <v/>
      </c>
      <c r="BR50" s="363" t="str">
        <f>_xlfn.IFNA(VLOOKUP($BD50,Programma!$F$3:$T$1107,15,0),"")</f>
        <v/>
      </c>
      <c r="BS50" s="363" t="str">
        <f>_xlfn.IFNA(VLOOKUP($BD50,Programma!$F$3:$U$1107,16,0),"")</f>
        <v/>
      </c>
      <c r="BT50" s="363" t="str">
        <f>_xlfn.IFNA(VLOOKUP($BD50,Programma!$F$3:$V$1107,17,0),"")</f>
        <v/>
      </c>
      <c r="BU50" s="363" t="str">
        <f>_xlfn.IFNA(VLOOKUP($BD50,Programma!$F$3:$W$1107,18,0),"")</f>
        <v/>
      </c>
      <c r="BV50" s="363" t="str">
        <f>_xlfn.IFNA(VLOOKUP($BD50,Programma!$F$3:$X$1107,19,0),"")</f>
        <v/>
      </c>
      <c r="BW50" s="363" t="str">
        <f>_xlfn.IFNA(VLOOKUP($BD50,Programma!$F$3:$Y$1107,20,0),"")</f>
        <v/>
      </c>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row>
    <row r="51" spans="1:220" ht="15" customHeight="1">
      <c r="A51" s="33">
        <v>2</v>
      </c>
      <c r="B51" s="157" t="str">
        <f>VLOOKUP(Ruimtestaat[[#This Row],[Code]],Locaties[[Code]:[Locatie]],2,FALSE)</f>
        <v>'s Gravendreef College</v>
      </c>
      <c r="C51" s="157" t="str">
        <f>VLOOKUP(Ruimtestaat[[#This Row],[Code]],Locaties[[#All],[Code]:[Adres]],4,FALSE)</f>
        <v>Klaas Voskuildreef 135</v>
      </c>
      <c r="D51" s="157" t="str">
        <f>VLOOKUP(Ruimtestaat[[#This Row],[Code]],Locaties[[#All],[Code]:[Postcode]],5,FALSE)</f>
        <v>2492 JJ</v>
      </c>
      <c r="E51" s="157" t="str">
        <f>VLOOKUP(Ruimtestaat[[#This Row],[Code]],Locaties[#All],6,FALSE)</f>
        <v>Den Haag</v>
      </c>
      <c r="F51" s="33"/>
      <c r="G51" s="33" t="s">
        <v>1624</v>
      </c>
      <c r="H51" s="368" t="s">
        <v>1680</v>
      </c>
      <c r="I51" s="367" t="s">
        <v>1644</v>
      </c>
      <c r="J51" s="21">
        <v>20</v>
      </c>
      <c r="K51" s="62" t="str">
        <f>VLOOKUP(Ruimtestaat[[#This Row],[Ruimte code]],Ruimtegroepen[[#All],[Code]:[Ruimte omschrijving]],2,FALSE)</f>
        <v>Niet in Onderhoud</v>
      </c>
      <c r="L51" s="33" t="s">
        <v>101</v>
      </c>
      <c r="M51" s="367" t="s">
        <v>2495</v>
      </c>
      <c r="N51" s="140"/>
      <c r="O51" s="140">
        <v>19</v>
      </c>
      <c r="P51" s="125">
        <f>VLOOKUP(Ruimtestaat[[#This Row],[Ruimte code]],Ruimtegroepen[],4,FALSE)</f>
        <v>0</v>
      </c>
      <c r="Q51" s="125" t="s">
        <v>2532</v>
      </c>
      <c r="R51" s="33"/>
      <c r="S51" s="33"/>
      <c r="T51" s="33">
        <f>IF(R51&gt;0,IF(RIGHT(Ruimtestaat[[#This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1" s="33">
        <f>IF(T51&gt;0,VLOOKUP($J51,Ruimtegroepen[],3,FALSE)*VLOOKUP($L51,Vloersoorten[],3,FALSE)*VLOOKUP($S51,Frequenties[],3,FALSE)*VLOOKUP($A51,Locaties[],3,FALSE),0)</f>
        <v>0</v>
      </c>
      <c r="V51" s="33">
        <f>Ruimtestaat[[#This Row],[Uitvoeringen werkdagen]]*Ruimtestaat[[#This Row],[Oppervlak (netto)]]</f>
        <v>0</v>
      </c>
      <c r="W51" s="154">
        <f>IF(U51&gt;0,Ruimtestaat[[#This Row],[Prest. (m2 /jaar) werkdagen]]/Ruimtestaat[[#This Row],[Norm (m2/uur) werkdagen]],0)</f>
        <v>0</v>
      </c>
      <c r="X51" s="155">
        <f>Ruimtestaat[[#This Row],[uren / jaar werkdagen]]*Tariefsopbouw!$E$35</f>
        <v>0</v>
      </c>
      <c r="Y51" s="33"/>
      <c r="Z51" s="33">
        <f>IF(Ruimtestaat[[#This Row],[Frequentie weekend]]&gt;0,VALUE(LEFT(Y51,1))*R51,0)</f>
        <v>0</v>
      </c>
      <c r="AA51" s="97">
        <f>IF($Z51&gt;0,VLOOKUP($J51,Ruimtegroepen[],3,FALSE)*VLOOKUP($L51,Vloersoorten[],3,FALSE)*VLOOKUP($Y51,Frequenties[],3,FALSE)*VLOOKUP(Ruimtestaat[[#This Row],[Code]],Locaties[],3,FALSE),0)</f>
        <v>0</v>
      </c>
      <c r="AB51" s="97">
        <f>Ruimtestaat[[#This Row],[Uitvoeringen weekend]]*Ruimtestaat[[#This Row],[Oppervlak (netto)]]</f>
        <v>0</v>
      </c>
      <c r="AC51" s="97">
        <f>IF(AA51&gt;0,Ruimtestaat[[#This Row],[Prest. (m2 /jaar) weekend]]/Ruimtestaat[[#This Row],[Norm (m2/uur) weekend]],0)</f>
        <v>0</v>
      </c>
      <c r="AD51" s="155">
        <f>Ruimtestaat[[#This Row],[uren / jaar weekend]]*Tariefsopbouw!$D$40</f>
        <v>0</v>
      </c>
      <c r="AE51" s="154">
        <f>Ruimtestaat[[#This Row],[Prest. (m2 /jaar) weekend]]+Ruimtestaat[[#This Row],[Prest. (m2 /jaar) werkdagen]]</f>
        <v>0</v>
      </c>
      <c r="AF51" s="154">
        <f>Ruimtestaat[[#This Row],[uren / jaar weekend]]+Ruimtestaat[[#This Row],[uren / jaar werkdagen]]</f>
        <v>0</v>
      </c>
      <c r="AG51" s="69">
        <f>Ruimtestaat[[#This Row],[kosten / jaar weekend]]+Ruimtestaat[[#This Row],[kosten / jaar werkdagen]]</f>
        <v>0</v>
      </c>
      <c r="AH51" s="69"/>
      <c r="AI51" s="256" t="str">
        <f>IF(Ruimtestaat[[#This Row],[Frequentie werkdagen]]="","",_xlfn.CONCAT(Ruimtestaat[[#This Row],[Ruimte code]],"-",Ruimtestaat[[#This Row],[Frequentie werkdagen]]," ",Ruimtestaat[[#This Row],[Vloer code]]))</f>
        <v/>
      </c>
      <c r="AJ51" s="363" t="str">
        <f>_xlfn.IFNA(VLOOKUP($AI51,Programma!$F$3:$G$1107,2,0),"")</f>
        <v/>
      </c>
      <c r="AK51" s="363" t="str">
        <f>_xlfn.IFNA(VLOOKUP($AI51,Programma!$F$3:$H$1107,3,0),"")</f>
        <v/>
      </c>
      <c r="AL51" s="363" t="str">
        <f>_xlfn.IFNA(VLOOKUP($AI51,Programma!$F$3:$I$1107,4,0),"")</f>
        <v/>
      </c>
      <c r="AM51" s="363" t="str">
        <f>_xlfn.IFNA(VLOOKUP($AI51,Programma!$F$3:$J$1107,5,0),"")</f>
        <v/>
      </c>
      <c r="AN51" s="363" t="str">
        <f>_xlfn.IFNA(VLOOKUP($AI51,Programma!$F$3:$K$1107,6,0),"")</f>
        <v/>
      </c>
      <c r="AO51" s="363" t="str">
        <f>_xlfn.IFNA(VLOOKUP($AI51,Programma!$F$3:$L$1107,7,0),"")</f>
        <v/>
      </c>
      <c r="AP51" s="363" t="str">
        <f>_xlfn.IFNA(VLOOKUP($AI51,Programma!$F$3:$M$1107,8,0),"")</f>
        <v/>
      </c>
      <c r="AQ51" s="363" t="str">
        <f>_xlfn.IFNA(VLOOKUP($AI51,Programma!$F$3:$N$1107,9,0),"")</f>
        <v/>
      </c>
      <c r="AR51" s="363" t="str">
        <f>_xlfn.IFNA(VLOOKUP($AI51,Programma!$F$3:$O$1107,10,0),"")</f>
        <v/>
      </c>
      <c r="AS51" s="363" t="str">
        <f>_xlfn.IFNA(VLOOKUP($AI51,Programma!$F$3:$P$1107,11,0),"")</f>
        <v/>
      </c>
      <c r="AT51" s="363" t="str">
        <f>_xlfn.IFNA(VLOOKUP($AI51,Programma!$F$3:$Q$1107,12,0),"")</f>
        <v/>
      </c>
      <c r="AU51" s="363" t="str">
        <f>_xlfn.IFNA(VLOOKUP($AI51,Programma!$F$3:$R$1107,13,0),"")</f>
        <v/>
      </c>
      <c r="AV51" s="363" t="str">
        <f>_xlfn.IFNA(VLOOKUP($AI51,Programma!$F$3:$S$1107,14,0),"")</f>
        <v/>
      </c>
      <c r="AW51" s="363" t="str">
        <f>_xlfn.IFNA(VLOOKUP($AI51,Programma!$F$3:$T$1107,15,0),"")</f>
        <v/>
      </c>
      <c r="AX51" s="363" t="str">
        <f>_xlfn.IFNA(VLOOKUP($AI51,Programma!$F$3:$U$1107,16,0),"")</f>
        <v/>
      </c>
      <c r="AY51" s="363" t="str">
        <f>_xlfn.IFNA(VLOOKUP($AI51,Programma!$F$3:$V$1107,17,0),"")</f>
        <v/>
      </c>
      <c r="AZ51" s="363" t="str">
        <f>_xlfn.IFNA(VLOOKUP($AI51,Programma!$F$3:$W$1107,18,0),"")</f>
        <v/>
      </c>
      <c r="BA51" s="363" t="str">
        <f>_xlfn.IFNA(VLOOKUP($AI51,Programma!$F$3:$X$1107,19,0),"")</f>
        <v/>
      </c>
      <c r="BB51" s="363" t="str">
        <f>_xlfn.IFNA(VLOOKUP($AI51,Programma!$F$3:$Y$1107,20,0),"")</f>
        <v/>
      </c>
      <c r="BC51" s="257"/>
      <c r="BD51" s="256" t="str">
        <f>IF(Ruimtestaat[[#This Row],[Frequentie weekend]]="","",_xlfn.CONCAT(Ruimtestaat[[#This Row],[Ruimte code]],"-",Ruimtestaat[[#This Row],[Frequentie weekend]]," ",Ruimtestaat[[#This Row],[Vloer code]]))</f>
        <v/>
      </c>
      <c r="BE51" s="363" t="str">
        <f>_xlfn.IFNA(VLOOKUP($BD51,Programma!$F$3:$G$1107,2,0),"")</f>
        <v/>
      </c>
      <c r="BF51" s="363" t="str">
        <f>_xlfn.IFNA(VLOOKUP($BD51,Programma!$F$3:$H$1107,3,0),"")</f>
        <v/>
      </c>
      <c r="BG51" s="363" t="str">
        <f>_xlfn.IFNA(VLOOKUP($BD51,Programma!$F$3:$I$1107,4,0),"")</f>
        <v/>
      </c>
      <c r="BH51" s="363" t="str">
        <f>_xlfn.IFNA(VLOOKUP($BD51,Programma!$F$3:$J$1107,5,0),"")</f>
        <v/>
      </c>
      <c r="BI51" s="363" t="str">
        <f>_xlfn.IFNA(VLOOKUP($BD51,Programma!$F$3:$K$1107,6,0),"")</f>
        <v/>
      </c>
      <c r="BJ51" s="363" t="str">
        <f>_xlfn.IFNA(VLOOKUP($BD51,Programma!$F$3:$L$1107,7,0),"")</f>
        <v/>
      </c>
      <c r="BK51" s="363" t="str">
        <f>_xlfn.IFNA(VLOOKUP($BD51,Programma!$F$3:$M$1107,8,0),"")</f>
        <v/>
      </c>
      <c r="BL51" s="363" t="str">
        <f>_xlfn.IFNA(VLOOKUP($BD51,Programma!$F$3:$N$1107,9,0),"")</f>
        <v/>
      </c>
      <c r="BM51" s="363" t="str">
        <f>_xlfn.IFNA(VLOOKUP($BD51,Programma!$F$3:$O$1107,10,0),"")</f>
        <v/>
      </c>
      <c r="BN51" s="363" t="str">
        <f>_xlfn.IFNA(VLOOKUP($BD51,Programma!$F$3:$P$1107,11,0),"")</f>
        <v/>
      </c>
      <c r="BO51" s="363" t="str">
        <f>_xlfn.IFNA(VLOOKUP($BD51,Programma!$F$3:$Q$1107,12,0),"")</f>
        <v/>
      </c>
      <c r="BP51" s="363" t="str">
        <f>_xlfn.IFNA(VLOOKUP($BD51,Programma!$F$3:$R$1107,13,0),"")</f>
        <v/>
      </c>
      <c r="BQ51" s="363" t="str">
        <f>_xlfn.IFNA(VLOOKUP($BD51,Programma!$F$3:$S$1107,14,0),"")</f>
        <v/>
      </c>
      <c r="BR51" s="363" t="str">
        <f>_xlfn.IFNA(VLOOKUP($BD51,Programma!$F$3:$T$1107,15,0),"")</f>
        <v/>
      </c>
      <c r="BS51" s="363" t="str">
        <f>_xlfn.IFNA(VLOOKUP($BD51,Programma!$F$3:$U$1107,16,0),"")</f>
        <v/>
      </c>
      <c r="BT51" s="363" t="str">
        <f>_xlfn.IFNA(VLOOKUP($BD51,Programma!$F$3:$V$1107,17,0),"")</f>
        <v/>
      </c>
      <c r="BU51" s="363" t="str">
        <f>_xlfn.IFNA(VLOOKUP($BD51,Programma!$F$3:$W$1107,18,0),"")</f>
        <v/>
      </c>
      <c r="BV51" s="363" t="str">
        <f>_xlfn.IFNA(VLOOKUP($BD51,Programma!$F$3:$X$1107,19,0),"")</f>
        <v/>
      </c>
      <c r="BW51" s="363" t="str">
        <f>_xlfn.IFNA(VLOOKUP($BD51,Programma!$F$3:$Y$1107,20,0),"")</f>
        <v/>
      </c>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row>
    <row r="52" spans="1:220" ht="15" customHeight="1">
      <c r="A52" s="33">
        <v>2</v>
      </c>
      <c r="B52" s="157" t="str">
        <f>VLOOKUP(Ruimtestaat[[#This Row],[Code]],Locaties[[Code]:[Locatie]],2,FALSE)</f>
        <v>'s Gravendreef College</v>
      </c>
      <c r="C52" s="157" t="str">
        <f>VLOOKUP(Ruimtestaat[[#This Row],[Code]],Locaties[[#All],[Code]:[Adres]],4,FALSE)</f>
        <v>Klaas Voskuildreef 135</v>
      </c>
      <c r="D52" s="157" t="str">
        <f>VLOOKUP(Ruimtestaat[[#This Row],[Code]],Locaties[[#All],[Code]:[Postcode]],5,FALSE)</f>
        <v>2492 JJ</v>
      </c>
      <c r="E52" s="157" t="str">
        <f>VLOOKUP(Ruimtestaat[[#This Row],[Code]],Locaties[#All],6,FALSE)</f>
        <v>Den Haag</v>
      </c>
      <c r="F52" s="33"/>
      <c r="G52" s="33" t="s">
        <v>1624</v>
      </c>
      <c r="H52" s="368" t="s">
        <v>1681</v>
      </c>
      <c r="I52" s="367" t="s">
        <v>1682</v>
      </c>
      <c r="J52" s="21">
        <v>14</v>
      </c>
      <c r="K52" s="62" t="str">
        <f>VLOOKUP(Ruimtestaat[[#This Row],[Ruimte code]],Ruimtegroepen[[#All],[Code]:[Ruimte omschrijving]],2,FALSE)</f>
        <v>Praktijklokalen binas/zorg</v>
      </c>
      <c r="L52" s="33" t="s">
        <v>101</v>
      </c>
      <c r="M52" s="367" t="s">
        <v>2495</v>
      </c>
      <c r="N52" s="140">
        <v>76</v>
      </c>
      <c r="O52" s="140"/>
      <c r="P52" s="125" t="str">
        <f>VLOOKUP(Ruimtestaat[[#This Row],[Ruimte code]],Ruimtegroepen[],4,FALSE)</f>
        <v>Le</v>
      </c>
      <c r="R52" s="33">
        <v>40</v>
      </c>
      <c r="S52" s="33" t="s">
        <v>2</v>
      </c>
      <c r="T52" s="33">
        <f>IF(R52&gt;0,IF(RIGHT(Ruimtestaat[[#This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2" s="33">
        <f>IF(T52&gt;0,VLOOKUP($J52,Ruimtegroepen[],3,FALSE)*VLOOKUP($L52,Vloersoorten[],3,FALSE)*VLOOKUP($S52,Frequenties[],3,FALSE)*VLOOKUP($A52,Locaties[],3,FALSE),0)</f>
        <v>0</v>
      </c>
      <c r="V52" s="33">
        <f>Ruimtestaat[[#This Row],[Uitvoeringen werkdagen]]*Ruimtestaat[[#This Row],[Oppervlak (netto)]]</f>
        <v>15200</v>
      </c>
      <c r="W52" s="154">
        <f>IF(U52&gt;0,Ruimtestaat[[#This Row],[Prest. (m2 /jaar) werkdagen]]/Ruimtestaat[[#This Row],[Norm (m2/uur) werkdagen]],0)</f>
        <v>0</v>
      </c>
      <c r="X52" s="155">
        <f>Ruimtestaat[[#This Row],[uren / jaar werkdagen]]*Tariefsopbouw!$E$35</f>
        <v>0</v>
      </c>
      <c r="Y52" s="33"/>
      <c r="Z52" s="33">
        <f>IF(Ruimtestaat[[#This Row],[Frequentie weekend]]&gt;0,VALUE(LEFT(Y52,1))*R52,0)</f>
        <v>0</v>
      </c>
      <c r="AA52" s="97">
        <f>IF($Z52&gt;0,VLOOKUP($J52,Ruimtegroepen[],3,FALSE)*VLOOKUP($L52,Vloersoorten[],3,FALSE)*VLOOKUP($Y52,Frequenties[],3,FALSE)*VLOOKUP(Ruimtestaat[[#This Row],[Code]],Locaties[],3,FALSE),0)</f>
        <v>0</v>
      </c>
      <c r="AB52" s="97">
        <f>Ruimtestaat[[#This Row],[Uitvoeringen weekend]]*Ruimtestaat[[#This Row],[Oppervlak (netto)]]</f>
        <v>0</v>
      </c>
      <c r="AC52" s="97">
        <f>IF(AA52&gt;0,Ruimtestaat[[#This Row],[Prest. (m2 /jaar) weekend]]/Ruimtestaat[[#This Row],[Norm (m2/uur) weekend]],0)</f>
        <v>0</v>
      </c>
      <c r="AD52" s="155">
        <f>Ruimtestaat[[#This Row],[uren / jaar weekend]]*Tariefsopbouw!$D$40</f>
        <v>0</v>
      </c>
      <c r="AE52" s="154">
        <f>Ruimtestaat[[#This Row],[Prest. (m2 /jaar) weekend]]+Ruimtestaat[[#This Row],[Prest. (m2 /jaar) werkdagen]]</f>
        <v>15200</v>
      </c>
      <c r="AF52" s="154">
        <f>Ruimtestaat[[#This Row],[uren / jaar weekend]]+Ruimtestaat[[#This Row],[uren / jaar werkdagen]]</f>
        <v>0</v>
      </c>
      <c r="AG52" s="69">
        <f>Ruimtestaat[[#This Row],[kosten / jaar weekend]]+Ruimtestaat[[#This Row],[kosten / jaar werkdagen]]</f>
        <v>0</v>
      </c>
      <c r="AH52" s="69"/>
      <c r="AI52" s="256" t="str">
        <f>IF(Ruimtestaat[[#This Row],[Frequentie werkdagen]]="","",_xlfn.CONCAT(Ruimtestaat[[#This Row],[Ruimte code]],"-",Ruimtestaat[[#This Row],[Frequentie werkdagen]]," ",Ruimtestaat[[#This Row],[Vloer code]]))</f>
        <v>14-5w L</v>
      </c>
      <c r="AJ52" s="363" t="str">
        <f>_xlfn.IFNA(VLOOKUP($AI52,Programma!$F$3:$G$1107,2,0),"")</f>
        <v>_</v>
      </c>
      <c r="AK52" s="363" t="str">
        <f>_xlfn.IFNA(VLOOKUP($AI52,Programma!$F$3:$H$1107,3,0),"")</f>
        <v>_</v>
      </c>
      <c r="AL52" s="363" t="str">
        <f>_xlfn.IFNA(VLOOKUP($AI52,Programma!$F$3:$I$1107,4,0),"")</f>
        <v>_</v>
      </c>
      <c r="AM52" s="363" t="str">
        <f>_xlfn.IFNA(VLOOKUP($AI52,Programma!$F$3:$J$1107,5,0),"")</f>
        <v>5w</v>
      </c>
      <c r="AN52" s="363" t="str">
        <f>_xlfn.IFNA(VLOOKUP($AI52,Programma!$F$3:$K$1107,6,0),"")</f>
        <v>_</v>
      </c>
      <c r="AO52" s="363" t="str">
        <f>_xlfn.IFNA(VLOOKUP($AI52,Programma!$F$3:$L$1107,7,0),"")</f>
        <v>_</v>
      </c>
      <c r="AP52" s="363" t="str">
        <f>_xlfn.IFNA(VLOOKUP($AI52,Programma!$F$3:$M$1107,8,0),"")</f>
        <v>_</v>
      </c>
      <c r="AQ52" s="363" t="str">
        <f>_xlfn.IFNA(VLOOKUP($AI52,Programma!$F$3:$N$1107,9,0),"")</f>
        <v>_</v>
      </c>
      <c r="AR52" s="363" t="str">
        <f>_xlfn.IFNA(VLOOKUP($AI52,Programma!$F$3:$O$1107,10,0),"")</f>
        <v>5w</v>
      </c>
      <c r="AS52" s="363" t="str">
        <f>_xlfn.IFNA(VLOOKUP($AI52,Programma!$F$3:$P$1107,11,0),"")</f>
        <v>5w</v>
      </c>
      <c r="AT52" s="363" t="str">
        <f>_xlfn.IFNA(VLOOKUP($AI52,Programma!$F$3:$Q$1107,12,0),"")</f>
        <v>1w</v>
      </c>
      <c r="AU52" s="363" t="str">
        <f>_xlfn.IFNA(VLOOKUP($AI52,Programma!$F$3:$R$1107,13,0),"")</f>
        <v>1w</v>
      </c>
      <c r="AV52" s="363" t="str">
        <f>_xlfn.IFNA(VLOOKUP($AI52,Programma!$F$3:$S$1107,14,0),"")</f>
        <v>1m</v>
      </c>
      <c r="AW52" s="363" t="str">
        <f>_xlfn.IFNA(VLOOKUP($AI52,Programma!$F$3:$T$1107,15,0),"")</f>
        <v>2j</v>
      </c>
      <c r="AX52" s="363" t="str">
        <f>_xlfn.IFNA(VLOOKUP($AI52,Programma!$F$3:$U$1107,16,0),"")</f>
        <v>1j</v>
      </c>
      <c r="AY52" s="363" t="str">
        <f>_xlfn.IFNA(VLOOKUP($AI52,Programma!$F$3:$V$1107,17,0),"")</f>
        <v>_</v>
      </c>
      <c r="AZ52" s="363" t="str">
        <f>_xlfn.IFNA(VLOOKUP($AI52,Programma!$F$3:$W$1107,18,0),"")</f>
        <v>_</v>
      </c>
      <c r="BA52" s="363" t="str">
        <f>_xlfn.IFNA(VLOOKUP($AI52,Programma!$F$3:$X$1107,19,0),"")</f>
        <v>_</v>
      </c>
      <c r="BB52" s="363" t="str">
        <f>_xlfn.IFNA(VLOOKUP($AI52,Programma!$F$3:$Y$1107,20,0),"")</f>
        <v>_</v>
      </c>
      <c r="BC52" s="257"/>
      <c r="BD52" s="256" t="str">
        <f>IF(Ruimtestaat[[#This Row],[Frequentie weekend]]="","",_xlfn.CONCAT(Ruimtestaat[[#This Row],[Ruimte code]],"-",Ruimtestaat[[#This Row],[Frequentie weekend]]," ",Ruimtestaat[[#This Row],[Vloer code]]))</f>
        <v/>
      </c>
      <c r="BE52" s="363" t="str">
        <f>_xlfn.IFNA(VLOOKUP($BD52,Programma!$F$3:$G$1107,2,0),"")</f>
        <v/>
      </c>
      <c r="BF52" s="363" t="str">
        <f>_xlfn.IFNA(VLOOKUP($BD52,Programma!$F$3:$H$1107,3,0),"")</f>
        <v/>
      </c>
      <c r="BG52" s="363" t="str">
        <f>_xlfn.IFNA(VLOOKUP($BD52,Programma!$F$3:$I$1107,4,0),"")</f>
        <v/>
      </c>
      <c r="BH52" s="363" t="str">
        <f>_xlfn.IFNA(VLOOKUP($BD52,Programma!$F$3:$J$1107,5,0),"")</f>
        <v/>
      </c>
      <c r="BI52" s="363" t="str">
        <f>_xlfn.IFNA(VLOOKUP($BD52,Programma!$F$3:$K$1107,6,0),"")</f>
        <v/>
      </c>
      <c r="BJ52" s="363" t="str">
        <f>_xlfn.IFNA(VLOOKUP($BD52,Programma!$F$3:$L$1107,7,0),"")</f>
        <v/>
      </c>
      <c r="BK52" s="363" t="str">
        <f>_xlfn.IFNA(VLOOKUP($BD52,Programma!$F$3:$M$1107,8,0),"")</f>
        <v/>
      </c>
      <c r="BL52" s="363" t="str">
        <f>_xlfn.IFNA(VLOOKUP($BD52,Programma!$F$3:$N$1107,9,0),"")</f>
        <v/>
      </c>
      <c r="BM52" s="363" t="str">
        <f>_xlfn.IFNA(VLOOKUP($BD52,Programma!$F$3:$O$1107,10,0),"")</f>
        <v/>
      </c>
      <c r="BN52" s="363" t="str">
        <f>_xlfn.IFNA(VLOOKUP($BD52,Programma!$F$3:$P$1107,11,0),"")</f>
        <v/>
      </c>
      <c r="BO52" s="363" t="str">
        <f>_xlfn.IFNA(VLOOKUP($BD52,Programma!$F$3:$Q$1107,12,0),"")</f>
        <v/>
      </c>
      <c r="BP52" s="363" t="str">
        <f>_xlfn.IFNA(VLOOKUP($BD52,Programma!$F$3:$R$1107,13,0),"")</f>
        <v/>
      </c>
      <c r="BQ52" s="363" t="str">
        <f>_xlfn.IFNA(VLOOKUP($BD52,Programma!$F$3:$S$1107,14,0),"")</f>
        <v/>
      </c>
      <c r="BR52" s="363" t="str">
        <f>_xlfn.IFNA(VLOOKUP($BD52,Programma!$F$3:$T$1107,15,0),"")</f>
        <v/>
      </c>
      <c r="BS52" s="363" t="str">
        <f>_xlfn.IFNA(VLOOKUP($BD52,Programma!$F$3:$U$1107,16,0),"")</f>
        <v/>
      </c>
      <c r="BT52" s="363" t="str">
        <f>_xlfn.IFNA(VLOOKUP($BD52,Programma!$F$3:$V$1107,17,0),"")</f>
        <v/>
      </c>
      <c r="BU52" s="363" t="str">
        <f>_xlfn.IFNA(VLOOKUP($BD52,Programma!$F$3:$W$1107,18,0),"")</f>
        <v/>
      </c>
      <c r="BV52" s="363" t="str">
        <f>_xlfn.IFNA(VLOOKUP($BD52,Programma!$F$3:$X$1107,19,0),"")</f>
        <v/>
      </c>
      <c r="BW52" s="363" t="str">
        <f>_xlfn.IFNA(VLOOKUP($BD52,Programma!$F$3:$Y$1107,20,0),"")</f>
        <v/>
      </c>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row>
    <row r="53" spans="1:220" ht="15" customHeight="1">
      <c r="A53" s="33">
        <v>2</v>
      </c>
      <c r="B53" s="157" t="str">
        <f>VLOOKUP(Ruimtestaat[[#This Row],[Code]],Locaties[[Code]:[Locatie]],2,FALSE)</f>
        <v>'s Gravendreef College</v>
      </c>
      <c r="C53" s="157" t="str">
        <f>VLOOKUP(Ruimtestaat[[#This Row],[Code]],Locaties[[#All],[Code]:[Adres]],4,FALSE)</f>
        <v>Klaas Voskuildreef 135</v>
      </c>
      <c r="D53" s="157" t="str">
        <f>VLOOKUP(Ruimtestaat[[#This Row],[Code]],Locaties[[#All],[Code]:[Postcode]],5,FALSE)</f>
        <v>2492 JJ</v>
      </c>
      <c r="E53" s="157" t="str">
        <f>VLOOKUP(Ruimtestaat[[#This Row],[Code]],Locaties[#All],6,FALSE)</f>
        <v>Den Haag</v>
      </c>
      <c r="F53" s="33"/>
      <c r="G53" s="33" t="s">
        <v>1624</v>
      </c>
      <c r="H53" s="368" t="s">
        <v>1683</v>
      </c>
      <c r="I53" s="367" t="s">
        <v>1684</v>
      </c>
      <c r="J53" s="21">
        <v>14</v>
      </c>
      <c r="K53" s="62" t="str">
        <f>VLOOKUP(Ruimtestaat[[#This Row],[Ruimte code]],Ruimtegroepen[[#All],[Code]:[Ruimte omschrijving]],2,FALSE)</f>
        <v>Praktijklokalen binas/zorg</v>
      </c>
      <c r="L53" s="33" t="s">
        <v>103</v>
      </c>
      <c r="M53" s="367" t="s">
        <v>2497</v>
      </c>
      <c r="N53" s="140">
        <v>164</v>
      </c>
      <c r="O53" s="140"/>
      <c r="P53" s="125" t="str">
        <f>VLOOKUP(Ruimtestaat[[#This Row],[Ruimte code]],Ruimtegroepen[],4,FALSE)</f>
        <v>Le</v>
      </c>
      <c r="R53" s="33">
        <v>40</v>
      </c>
      <c r="S53" s="33" t="s">
        <v>2</v>
      </c>
      <c r="T53" s="33">
        <f>IF(R53&gt;0,IF(RIGHT(Ruimtestaat[[#This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 s="33">
        <f>IF(T53&gt;0,VLOOKUP($J53,Ruimtegroepen[],3,FALSE)*VLOOKUP($L53,Vloersoorten[],3,FALSE)*VLOOKUP($S53,Frequenties[],3,FALSE)*VLOOKUP($A53,Locaties[],3,FALSE),0)</f>
        <v>0</v>
      </c>
      <c r="V53" s="33">
        <f>Ruimtestaat[[#This Row],[Uitvoeringen werkdagen]]*Ruimtestaat[[#This Row],[Oppervlak (netto)]]</f>
        <v>32800</v>
      </c>
      <c r="W53" s="154">
        <f>IF(U53&gt;0,Ruimtestaat[[#This Row],[Prest. (m2 /jaar) werkdagen]]/Ruimtestaat[[#This Row],[Norm (m2/uur) werkdagen]],0)</f>
        <v>0</v>
      </c>
      <c r="X53" s="155">
        <f>Ruimtestaat[[#This Row],[uren / jaar werkdagen]]*Tariefsopbouw!$E$35</f>
        <v>0</v>
      </c>
      <c r="Y53" s="33"/>
      <c r="Z53" s="33">
        <f>IF(Ruimtestaat[[#This Row],[Frequentie weekend]]&gt;0,VALUE(LEFT(Y53,1))*R53,0)</f>
        <v>0</v>
      </c>
      <c r="AA53" s="97">
        <f>IF($Z53&gt;0,VLOOKUP($J53,Ruimtegroepen[],3,FALSE)*VLOOKUP($L53,Vloersoorten[],3,FALSE)*VLOOKUP($Y53,Frequenties[],3,FALSE)*VLOOKUP(Ruimtestaat[[#This Row],[Code]],Locaties[],3,FALSE),0)</f>
        <v>0</v>
      </c>
      <c r="AB53" s="97">
        <f>Ruimtestaat[[#This Row],[Uitvoeringen weekend]]*Ruimtestaat[[#This Row],[Oppervlak (netto)]]</f>
        <v>0</v>
      </c>
      <c r="AC53" s="97">
        <f>IF(AA53&gt;0,Ruimtestaat[[#This Row],[Prest. (m2 /jaar) weekend]]/Ruimtestaat[[#This Row],[Norm (m2/uur) weekend]],0)</f>
        <v>0</v>
      </c>
      <c r="AD53" s="155">
        <f>Ruimtestaat[[#This Row],[uren / jaar weekend]]*Tariefsopbouw!$D$40</f>
        <v>0</v>
      </c>
      <c r="AE53" s="154">
        <f>Ruimtestaat[[#This Row],[Prest. (m2 /jaar) weekend]]+Ruimtestaat[[#This Row],[Prest. (m2 /jaar) werkdagen]]</f>
        <v>32800</v>
      </c>
      <c r="AF53" s="154">
        <f>Ruimtestaat[[#This Row],[uren / jaar weekend]]+Ruimtestaat[[#This Row],[uren / jaar werkdagen]]</f>
        <v>0</v>
      </c>
      <c r="AG53" s="69">
        <f>Ruimtestaat[[#This Row],[kosten / jaar weekend]]+Ruimtestaat[[#This Row],[kosten / jaar werkdagen]]</f>
        <v>0</v>
      </c>
      <c r="AH53" s="69"/>
      <c r="AI53" s="256" t="str">
        <f>IF(Ruimtestaat[[#This Row],[Frequentie werkdagen]]="","",_xlfn.CONCAT(Ruimtestaat[[#This Row],[Ruimte code]],"-",Ruimtestaat[[#This Row],[Frequentie werkdagen]]," ",Ruimtestaat[[#This Row],[Vloer code]]))</f>
        <v>14-5w P</v>
      </c>
      <c r="AJ53" s="363" t="str">
        <f>_xlfn.IFNA(VLOOKUP($AI53,Programma!$F$3:$G$1107,2,0),"")</f>
        <v>_</v>
      </c>
      <c r="AK53" s="363" t="str">
        <f>_xlfn.IFNA(VLOOKUP($AI53,Programma!$F$3:$H$1107,3,0),"")</f>
        <v>_</v>
      </c>
      <c r="AL53" s="363" t="str">
        <f>_xlfn.IFNA(VLOOKUP($AI53,Programma!$F$3:$I$1107,4,0),"")</f>
        <v>5w</v>
      </c>
      <c r="AM53" s="363" t="str">
        <f>_xlfn.IFNA(VLOOKUP($AI53,Programma!$F$3:$J$1107,5,0),"")</f>
        <v>_</v>
      </c>
      <c r="AN53" s="363" t="str">
        <f>_xlfn.IFNA(VLOOKUP($AI53,Programma!$F$3:$K$1107,6,0),"")</f>
        <v>5w</v>
      </c>
      <c r="AO53" s="363" t="str">
        <f>_xlfn.IFNA(VLOOKUP($AI53,Programma!$F$3:$L$1107,7,0),"")</f>
        <v>_</v>
      </c>
      <c r="AP53" s="363" t="str">
        <f>_xlfn.IFNA(VLOOKUP($AI53,Programma!$F$3:$M$1107,8,0),"")</f>
        <v>_</v>
      </c>
      <c r="AQ53" s="363" t="str">
        <f>_xlfn.IFNA(VLOOKUP($AI53,Programma!$F$3:$N$1107,9,0),"")</f>
        <v>_</v>
      </c>
      <c r="AR53" s="363" t="str">
        <f>_xlfn.IFNA(VLOOKUP($AI53,Programma!$F$3:$O$1107,10,0),"")</f>
        <v>5w</v>
      </c>
      <c r="AS53" s="363" t="str">
        <f>_xlfn.IFNA(VLOOKUP($AI53,Programma!$F$3:$P$1107,11,0),"")</f>
        <v>5w</v>
      </c>
      <c r="AT53" s="363" t="str">
        <f>_xlfn.IFNA(VLOOKUP($AI53,Programma!$F$3:$Q$1107,12,0),"")</f>
        <v>1w</v>
      </c>
      <c r="AU53" s="363" t="str">
        <f>_xlfn.IFNA(VLOOKUP($AI53,Programma!$F$3:$R$1107,13,0),"")</f>
        <v>1w</v>
      </c>
      <c r="AV53" s="363" t="str">
        <f>_xlfn.IFNA(VLOOKUP($AI53,Programma!$F$3:$S$1107,14,0),"")</f>
        <v>1m</v>
      </c>
      <c r="AW53" s="363" t="str">
        <f>_xlfn.IFNA(VLOOKUP($AI53,Programma!$F$3:$T$1107,15,0),"")</f>
        <v>2j</v>
      </c>
      <c r="AX53" s="363" t="str">
        <f>_xlfn.IFNA(VLOOKUP($AI53,Programma!$F$3:$U$1107,16,0),"")</f>
        <v>1j</v>
      </c>
      <c r="AY53" s="363" t="str">
        <f>_xlfn.IFNA(VLOOKUP($AI53,Programma!$F$3:$V$1107,17,0),"")</f>
        <v>_</v>
      </c>
      <c r="AZ53" s="363" t="str">
        <f>_xlfn.IFNA(VLOOKUP($AI53,Programma!$F$3:$W$1107,18,0),"")</f>
        <v>_</v>
      </c>
      <c r="BA53" s="363" t="str">
        <f>_xlfn.IFNA(VLOOKUP($AI53,Programma!$F$3:$X$1107,19,0),"")</f>
        <v>_</v>
      </c>
      <c r="BB53" s="363" t="str">
        <f>_xlfn.IFNA(VLOOKUP($AI53,Programma!$F$3:$Y$1107,20,0),"")</f>
        <v>_</v>
      </c>
      <c r="BC53" s="257"/>
      <c r="BD53" s="256" t="str">
        <f>IF(Ruimtestaat[[#This Row],[Frequentie weekend]]="","",_xlfn.CONCAT(Ruimtestaat[[#This Row],[Ruimte code]],"-",Ruimtestaat[[#This Row],[Frequentie weekend]]," ",Ruimtestaat[[#This Row],[Vloer code]]))</f>
        <v/>
      </c>
      <c r="BE53" s="363" t="str">
        <f>_xlfn.IFNA(VLOOKUP($BD53,Programma!$F$3:$G$1107,2,0),"")</f>
        <v/>
      </c>
      <c r="BF53" s="363" t="str">
        <f>_xlfn.IFNA(VLOOKUP($BD53,Programma!$F$3:$H$1107,3,0),"")</f>
        <v/>
      </c>
      <c r="BG53" s="363" t="str">
        <f>_xlfn.IFNA(VLOOKUP($BD53,Programma!$F$3:$I$1107,4,0),"")</f>
        <v/>
      </c>
      <c r="BH53" s="363" t="str">
        <f>_xlfn.IFNA(VLOOKUP($BD53,Programma!$F$3:$J$1107,5,0),"")</f>
        <v/>
      </c>
      <c r="BI53" s="363" t="str">
        <f>_xlfn.IFNA(VLOOKUP($BD53,Programma!$F$3:$K$1107,6,0),"")</f>
        <v/>
      </c>
      <c r="BJ53" s="363" t="str">
        <f>_xlfn.IFNA(VLOOKUP($BD53,Programma!$F$3:$L$1107,7,0),"")</f>
        <v/>
      </c>
      <c r="BK53" s="363" t="str">
        <f>_xlfn.IFNA(VLOOKUP($BD53,Programma!$F$3:$M$1107,8,0),"")</f>
        <v/>
      </c>
      <c r="BL53" s="363" t="str">
        <f>_xlfn.IFNA(VLOOKUP($BD53,Programma!$F$3:$N$1107,9,0),"")</f>
        <v/>
      </c>
      <c r="BM53" s="363" t="str">
        <f>_xlfn.IFNA(VLOOKUP($BD53,Programma!$F$3:$O$1107,10,0),"")</f>
        <v/>
      </c>
      <c r="BN53" s="363" t="str">
        <f>_xlfn.IFNA(VLOOKUP($BD53,Programma!$F$3:$P$1107,11,0),"")</f>
        <v/>
      </c>
      <c r="BO53" s="363" t="str">
        <f>_xlfn.IFNA(VLOOKUP($BD53,Programma!$F$3:$Q$1107,12,0),"")</f>
        <v/>
      </c>
      <c r="BP53" s="363" t="str">
        <f>_xlfn.IFNA(VLOOKUP($BD53,Programma!$F$3:$R$1107,13,0),"")</f>
        <v/>
      </c>
      <c r="BQ53" s="363" t="str">
        <f>_xlfn.IFNA(VLOOKUP($BD53,Programma!$F$3:$S$1107,14,0),"")</f>
        <v/>
      </c>
      <c r="BR53" s="363" t="str">
        <f>_xlfn.IFNA(VLOOKUP($BD53,Programma!$F$3:$T$1107,15,0),"")</f>
        <v/>
      </c>
      <c r="BS53" s="363" t="str">
        <f>_xlfn.IFNA(VLOOKUP($BD53,Programma!$F$3:$U$1107,16,0),"")</f>
        <v/>
      </c>
      <c r="BT53" s="363" t="str">
        <f>_xlfn.IFNA(VLOOKUP($BD53,Programma!$F$3:$V$1107,17,0),"")</f>
        <v/>
      </c>
      <c r="BU53" s="363" t="str">
        <f>_xlfn.IFNA(VLOOKUP($BD53,Programma!$F$3:$W$1107,18,0),"")</f>
        <v/>
      </c>
      <c r="BV53" s="363" t="str">
        <f>_xlfn.IFNA(VLOOKUP($BD53,Programma!$F$3:$X$1107,19,0),"")</f>
        <v/>
      </c>
      <c r="BW53" s="363" t="str">
        <f>_xlfn.IFNA(VLOOKUP($BD53,Programma!$F$3:$Y$1107,20,0),"")</f>
        <v/>
      </c>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row>
    <row r="54" spans="1:220" ht="15" customHeight="1">
      <c r="A54" s="33">
        <v>2</v>
      </c>
      <c r="B54" s="157" t="str">
        <f>VLOOKUP(Ruimtestaat[[#This Row],[Code]],Locaties[[Code]:[Locatie]],2,FALSE)</f>
        <v>'s Gravendreef College</v>
      </c>
      <c r="C54" s="157" t="str">
        <f>VLOOKUP(Ruimtestaat[[#This Row],[Code]],Locaties[[#All],[Code]:[Adres]],4,FALSE)</f>
        <v>Klaas Voskuildreef 135</v>
      </c>
      <c r="D54" s="157" t="str">
        <f>VLOOKUP(Ruimtestaat[[#This Row],[Code]],Locaties[[#All],[Code]:[Postcode]],5,FALSE)</f>
        <v>2492 JJ</v>
      </c>
      <c r="E54" s="157" t="str">
        <f>VLOOKUP(Ruimtestaat[[#This Row],[Code]],Locaties[#All],6,FALSE)</f>
        <v>Den Haag</v>
      </c>
      <c r="F54" s="33"/>
      <c r="G54" s="33" t="s">
        <v>1624</v>
      </c>
      <c r="H54" s="368" t="s">
        <v>1685</v>
      </c>
      <c r="I54" s="367" t="s">
        <v>1686</v>
      </c>
      <c r="J54" s="21">
        <v>16</v>
      </c>
      <c r="K54" s="62" t="str">
        <f>VLOOKUP(Ruimtestaat[[#This Row],[Ruimte code]],Ruimtegroepen[[#All],[Code]:[Ruimte omschrijving]],2,FALSE)</f>
        <v>Leslokalen theorie</v>
      </c>
      <c r="L54" s="33" t="s">
        <v>101</v>
      </c>
      <c r="M54" s="367" t="s">
        <v>2495</v>
      </c>
      <c r="N54" s="140">
        <v>57</v>
      </c>
      <c r="O54" s="140"/>
      <c r="P54" s="125" t="str">
        <f>VLOOKUP(Ruimtestaat[[#This Row],[Ruimte code]],Ruimtegroepen[],4,FALSE)</f>
        <v>Le</v>
      </c>
      <c r="R54" s="33">
        <v>40</v>
      </c>
      <c r="S54" s="33" t="s">
        <v>2</v>
      </c>
      <c r="T54" s="33">
        <f>IF(R54&gt;0,IF(RIGHT(Ruimtestaat[[#This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 s="33">
        <f>IF(T54&gt;0,VLOOKUP($J54,Ruimtegroepen[],3,FALSE)*VLOOKUP($L54,Vloersoorten[],3,FALSE)*VLOOKUP($S54,Frequenties[],3,FALSE)*VLOOKUP($A54,Locaties[],3,FALSE),0)</f>
        <v>0</v>
      </c>
      <c r="V54" s="33">
        <f>Ruimtestaat[[#This Row],[Uitvoeringen werkdagen]]*Ruimtestaat[[#This Row],[Oppervlak (netto)]]</f>
        <v>11400</v>
      </c>
      <c r="W54" s="154">
        <f>IF(U54&gt;0,Ruimtestaat[[#This Row],[Prest. (m2 /jaar) werkdagen]]/Ruimtestaat[[#This Row],[Norm (m2/uur) werkdagen]],0)</f>
        <v>0</v>
      </c>
      <c r="X54" s="155">
        <f>Ruimtestaat[[#This Row],[uren / jaar werkdagen]]*Tariefsopbouw!$E$35</f>
        <v>0</v>
      </c>
      <c r="Y54" s="33"/>
      <c r="Z54" s="33">
        <f>IF(Ruimtestaat[[#This Row],[Frequentie weekend]]&gt;0,VALUE(LEFT(Y54,1))*R54,0)</f>
        <v>0</v>
      </c>
      <c r="AA54" s="97">
        <f>IF($Z54&gt;0,VLOOKUP($J54,Ruimtegroepen[],3,FALSE)*VLOOKUP($L54,Vloersoorten[],3,FALSE)*VLOOKUP($Y54,Frequenties[],3,FALSE)*VLOOKUP(Ruimtestaat[[#This Row],[Code]],Locaties[],3,FALSE),0)</f>
        <v>0</v>
      </c>
      <c r="AB54" s="97">
        <f>Ruimtestaat[[#This Row],[Uitvoeringen weekend]]*Ruimtestaat[[#This Row],[Oppervlak (netto)]]</f>
        <v>0</v>
      </c>
      <c r="AC54" s="97">
        <f>IF(AA54&gt;0,Ruimtestaat[[#This Row],[Prest. (m2 /jaar) weekend]]/Ruimtestaat[[#This Row],[Norm (m2/uur) weekend]],0)</f>
        <v>0</v>
      </c>
      <c r="AD54" s="155">
        <f>Ruimtestaat[[#This Row],[uren / jaar weekend]]*Tariefsopbouw!$D$40</f>
        <v>0</v>
      </c>
      <c r="AE54" s="154">
        <f>Ruimtestaat[[#This Row],[Prest. (m2 /jaar) weekend]]+Ruimtestaat[[#This Row],[Prest. (m2 /jaar) werkdagen]]</f>
        <v>11400</v>
      </c>
      <c r="AF54" s="154">
        <f>Ruimtestaat[[#This Row],[uren / jaar weekend]]+Ruimtestaat[[#This Row],[uren / jaar werkdagen]]</f>
        <v>0</v>
      </c>
      <c r="AG54" s="69">
        <f>Ruimtestaat[[#This Row],[kosten / jaar weekend]]+Ruimtestaat[[#This Row],[kosten / jaar werkdagen]]</f>
        <v>0</v>
      </c>
      <c r="AH54" s="69"/>
      <c r="AI54" s="256" t="str">
        <f>IF(Ruimtestaat[[#This Row],[Frequentie werkdagen]]="","",_xlfn.CONCAT(Ruimtestaat[[#This Row],[Ruimte code]],"-",Ruimtestaat[[#This Row],[Frequentie werkdagen]]," ",Ruimtestaat[[#This Row],[Vloer code]]))</f>
        <v>16-5w L</v>
      </c>
      <c r="AJ54" s="363" t="str">
        <f>_xlfn.IFNA(VLOOKUP($AI54,Programma!$F$3:$G$1107,2,0),"")</f>
        <v>_</v>
      </c>
      <c r="AK54" s="363" t="str">
        <f>_xlfn.IFNA(VLOOKUP($AI54,Programma!$F$3:$H$1107,3,0),"")</f>
        <v>_</v>
      </c>
      <c r="AL54" s="363" t="str">
        <f>_xlfn.IFNA(VLOOKUP($AI54,Programma!$F$3:$I$1107,4,0),"")</f>
        <v>4w</v>
      </c>
      <c r="AM54" s="363" t="str">
        <f>_xlfn.IFNA(VLOOKUP($AI54,Programma!$F$3:$J$1107,5,0),"")</f>
        <v>1w</v>
      </c>
      <c r="AN54" s="363" t="str">
        <f>_xlfn.IFNA(VLOOKUP($AI54,Programma!$F$3:$K$1107,6,0),"")</f>
        <v>_</v>
      </c>
      <c r="AO54" s="363" t="str">
        <f>_xlfn.IFNA(VLOOKUP($AI54,Programma!$F$3:$L$1107,7,0),"")</f>
        <v>_</v>
      </c>
      <c r="AP54" s="363" t="str">
        <f>_xlfn.IFNA(VLOOKUP($AI54,Programma!$F$3:$M$1107,8,0),"")</f>
        <v>_</v>
      </c>
      <c r="AQ54" s="363" t="str">
        <f>_xlfn.IFNA(VLOOKUP($AI54,Programma!$F$3:$N$1107,9,0),"")</f>
        <v>_</v>
      </c>
      <c r="AR54" s="363" t="str">
        <f>_xlfn.IFNA(VLOOKUP($AI54,Programma!$F$3:$O$1107,10,0),"")</f>
        <v>5w</v>
      </c>
      <c r="AS54" s="363" t="str">
        <f>_xlfn.IFNA(VLOOKUP($AI54,Programma!$F$3:$P$1107,11,0),"")</f>
        <v>5w</v>
      </c>
      <c r="AT54" s="363" t="str">
        <f>_xlfn.IFNA(VLOOKUP($AI54,Programma!$F$3:$Q$1107,12,0),"")</f>
        <v>1w</v>
      </c>
      <c r="AU54" s="363" t="str">
        <f>_xlfn.IFNA(VLOOKUP($AI54,Programma!$F$3:$R$1107,13,0),"")</f>
        <v>1w</v>
      </c>
      <c r="AV54" s="363" t="str">
        <f>_xlfn.IFNA(VLOOKUP($AI54,Programma!$F$3:$S$1107,14,0),"")</f>
        <v>1m</v>
      </c>
      <c r="AW54" s="363" t="str">
        <f>_xlfn.IFNA(VLOOKUP($AI54,Programma!$F$3:$T$1107,15,0),"")</f>
        <v>2j</v>
      </c>
      <c r="AX54" s="363" t="str">
        <f>_xlfn.IFNA(VLOOKUP($AI54,Programma!$F$3:$U$1107,16,0),"")</f>
        <v>1j</v>
      </c>
      <c r="AY54" s="363" t="str">
        <f>_xlfn.IFNA(VLOOKUP($AI54,Programma!$F$3:$V$1107,17,0),"")</f>
        <v>_</v>
      </c>
      <c r="AZ54" s="363" t="str">
        <f>_xlfn.IFNA(VLOOKUP($AI54,Programma!$F$3:$W$1107,18,0),"")</f>
        <v>_</v>
      </c>
      <c r="BA54" s="363" t="str">
        <f>_xlfn.IFNA(VLOOKUP($AI54,Programma!$F$3:$X$1107,19,0),"")</f>
        <v>_</v>
      </c>
      <c r="BB54" s="363" t="str">
        <f>_xlfn.IFNA(VLOOKUP($AI54,Programma!$F$3:$Y$1107,20,0),"")</f>
        <v>_</v>
      </c>
      <c r="BC54" s="257"/>
      <c r="BD54" s="256" t="str">
        <f>IF(Ruimtestaat[[#This Row],[Frequentie weekend]]="","",_xlfn.CONCAT(Ruimtestaat[[#This Row],[Ruimte code]],"-",Ruimtestaat[[#This Row],[Frequentie weekend]]," ",Ruimtestaat[[#This Row],[Vloer code]]))</f>
        <v/>
      </c>
      <c r="BE54" s="363" t="str">
        <f>_xlfn.IFNA(VLOOKUP($BD54,Programma!$F$3:$G$1107,2,0),"")</f>
        <v/>
      </c>
      <c r="BF54" s="363" t="str">
        <f>_xlfn.IFNA(VLOOKUP($BD54,Programma!$F$3:$H$1107,3,0),"")</f>
        <v/>
      </c>
      <c r="BG54" s="363" t="str">
        <f>_xlfn.IFNA(VLOOKUP($BD54,Programma!$F$3:$I$1107,4,0),"")</f>
        <v/>
      </c>
      <c r="BH54" s="363" t="str">
        <f>_xlfn.IFNA(VLOOKUP($BD54,Programma!$F$3:$J$1107,5,0),"")</f>
        <v/>
      </c>
      <c r="BI54" s="363" t="str">
        <f>_xlfn.IFNA(VLOOKUP($BD54,Programma!$F$3:$K$1107,6,0),"")</f>
        <v/>
      </c>
      <c r="BJ54" s="363" t="str">
        <f>_xlfn.IFNA(VLOOKUP($BD54,Programma!$F$3:$L$1107,7,0),"")</f>
        <v/>
      </c>
      <c r="BK54" s="363" t="str">
        <f>_xlfn.IFNA(VLOOKUP($BD54,Programma!$F$3:$M$1107,8,0),"")</f>
        <v/>
      </c>
      <c r="BL54" s="363" t="str">
        <f>_xlfn.IFNA(VLOOKUP($BD54,Programma!$F$3:$N$1107,9,0),"")</f>
        <v/>
      </c>
      <c r="BM54" s="363" t="str">
        <f>_xlfn.IFNA(VLOOKUP($BD54,Programma!$F$3:$O$1107,10,0),"")</f>
        <v/>
      </c>
      <c r="BN54" s="363" t="str">
        <f>_xlfn.IFNA(VLOOKUP($BD54,Programma!$F$3:$P$1107,11,0),"")</f>
        <v/>
      </c>
      <c r="BO54" s="363" t="str">
        <f>_xlfn.IFNA(VLOOKUP($BD54,Programma!$F$3:$Q$1107,12,0),"")</f>
        <v/>
      </c>
      <c r="BP54" s="363" t="str">
        <f>_xlfn.IFNA(VLOOKUP($BD54,Programma!$F$3:$R$1107,13,0),"")</f>
        <v/>
      </c>
      <c r="BQ54" s="363" t="str">
        <f>_xlfn.IFNA(VLOOKUP($BD54,Programma!$F$3:$S$1107,14,0),"")</f>
        <v/>
      </c>
      <c r="BR54" s="363" t="str">
        <f>_xlfn.IFNA(VLOOKUP($BD54,Programma!$F$3:$T$1107,15,0),"")</f>
        <v/>
      </c>
      <c r="BS54" s="363" t="str">
        <f>_xlfn.IFNA(VLOOKUP($BD54,Programma!$F$3:$U$1107,16,0),"")</f>
        <v/>
      </c>
      <c r="BT54" s="363" t="str">
        <f>_xlfn.IFNA(VLOOKUP($BD54,Programma!$F$3:$V$1107,17,0),"")</f>
        <v/>
      </c>
      <c r="BU54" s="363" t="str">
        <f>_xlfn.IFNA(VLOOKUP($BD54,Programma!$F$3:$W$1107,18,0),"")</f>
        <v/>
      </c>
      <c r="BV54" s="363" t="str">
        <f>_xlfn.IFNA(VLOOKUP($BD54,Programma!$F$3:$X$1107,19,0),"")</f>
        <v/>
      </c>
      <c r="BW54" s="363" t="str">
        <f>_xlfn.IFNA(VLOOKUP($BD54,Programma!$F$3:$Y$1107,20,0),"")</f>
        <v/>
      </c>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row>
    <row r="55" spans="1:220" ht="15" customHeight="1">
      <c r="A55" s="33">
        <v>2</v>
      </c>
      <c r="B55" s="157" t="str">
        <f>VLOOKUP(Ruimtestaat[[#This Row],[Code]],Locaties[[Code]:[Locatie]],2,FALSE)</f>
        <v>'s Gravendreef College</v>
      </c>
      <c r="C55" s="157" t="str">
        <f>VLOOKUP(Ruimtestaat[[#This Row],[Code]],Locaties[[#All],[Code]:[Adres]],4,FALSE)</f>
        <v>Klaas Voskuildreef 135</v>
      </c>
      <c r="D55" s="157" t="str">
        <f>VLOOKUP(Ruimtestaat[[#This Row],[Code]],Locaties[[#All],[Code]:[Postcode]],5,FALSE)</f>
        <v>2492 JJ</v>
      </c>
      <c r="E55" s="157" t="str">
        <f>VLOOKUP(Ruimtestaat[[#This Row],[Code]],Locaties[#All],6,FALSE)</f>
        <v>Den Haag</v>
      </c>
      <c r="F55" s="33"/>
      <c r="G55" s="33" t="s">
        <v>1624</v>
      </c>
      <c r="H55" s="368" t="s">
        <v>1687</v>
      </c>
      <c r="I55" s="367" t="s">
        <v>1688</v>
      </c>
      <c r="J55" s="21">
        <v>2</v>
      </c>
      <c r="K55" s="62" t="str">
        <f>VLOOKUP(Ruimtestaat[[#This Row],[Ruimte code]],Ruimtegroepen[[#All],[Code]:[Ruimte omschrijving]],2,FALSE)</f>
        <v>Kantoren</v>
      </c>
      <c r="L55" s="33" t="s">
        <v>101</v>
      </c>
      <c r="M55" s="367" t="s">
        <v>2495</v>
      </c>
      <c r="N55" s="140">
        <v>21</v>
      </c>
      <c r="O55" s="140"/>
      <c r="P55" s="125" t="str">
        <f>VLOOKUP(Ruimtestaat[[#This Row],[Ruimte code]],Ruimtegroepen[],4,FALSE)</f>
        <v>Bu</v>
      </c>
      <c r="R55" s="33">
        <v>42</v>
      </c>
      <c r="S55" s="33" t="s">
        <v>18</v>
      </c>
      <c r="T55" s="33">
        <f>IF(R55&gt;0,IF(RIGHT(Ruimtestaat[[#This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5" s="33">
        <f>IF(T55&gt;0,VLOOKUP($J55,Ruimtegroepen[],3,FALSE)*VLOOKUP($L55,Vloersoorten[],3,FALSE)*VLOOKUP($S55,Frequenties[],3,FALSE)*VLOOKUP($A55,Locaties[],3,FALSE),0)</f>
        <v>0</v>
      </c>
      <c r="V55" s="33">
        <f>Ruimtestaat[[#This Row],[Uitvoeringen werkdagen]]*Ruimtestaat[[#This Row],[Oppervlak (netto)]]</f>
        <v>2646</v>
      </c>
      <c r="W55" s="154">
        <f>IF(U55&gt;0,Ruimtestaat[[#This Row],[Prest. (m2 /jaar) werkdagen]]/Ruimtestaat[[#This Row],[Norm (m2/uur) werkdagen]],0)</f>
        <v>0</v>
      </c>
      <c r="X55" s="155">
        <f>Ruimtestaat[[#This Row],[uren / jaar werkdagen]]*Tariefsopbouw!$E$35</f>
        <v>0</v>
      </c>
      <c r="Y55" s="33"/>
      <c r="Z55" s="33">
        <f>IF(Ruimtestaat[[#This Row],[Frequentie weekend]]&gt;0,VALUE(LEFT(Y55,1))*R55,0)</f>
        <v>0</v>
      </c>
      <c r="AA55" s="97">
        <f>IF($Z55&gt;0,VLOOKUP($J55,Ruimtegroepen[],3,FALSE)*VLOOKUP($L55,Vloersoorten[],3,FALSE)*VLOOKUP($Y55,Frequenties[],3,FALSE)*VLOOKUP(Ruimtestaat[[#This Row],[Code]],Locaties[],3,FALSE),0)</f>
        <v>0</v>
      </c>
      <c r="AB55" s="97">
        <f>Ruimtestaat[[#This Row],[Uitvoeringen weekend]]*Ruimtestaat[[#This Row],[Oppervlak (netto)]]</f>
        <v>0</v>
      </c>
      <c r="AC55" s="97">
        <f>IF(AA55&gt;0,Ruimtestaat[[#This Row],[Prest. (m2 /jaar) weekend]]/Ruimtestaat[[#This Row],[Norm (m2/uur) weekend]],0)</f>
        <v>0</v>
      </c>
      <c r="AD55" s="155">
        <f>Ruimtestaat[[#This Row],[uren / jaar weekend]]*Tariefsopbouw!$D$40</f>
        <v>0</v>
      </c>
      <c r="AE55" s="154">
        <f>Ruimtestaat[[#This Row],[Prest. (m2 /jaar) weekend]]+Ruimtestaat[[#This Row],[Prest. (m2 /jaar) werkdagen]]</f>
        <v>2646</v>
      </c>
      <c r="AF55" s="154">
        <f>Ruimtestaat[[#This Row],[uren / jaar weekend]]+Ruimtestaat[[#This Row],[uren / jaar werkdagen]]</f>
        <v>0</v>
      </c>
      <c r="AG55" s="69">
        <f>Ruimtestaat[[#This Row],[kosten / jaar weekend]]+Ruimtestaat[[#This Row],[kosten / jaar werkdagen]]</f>
        <v>0</v>
      </c>
      <c r="AH55" s="69"/>
      <c r="AI55" s="256" t="str">
        <f>IF(Ruimtestaat[[#This Row],[Frequentie werkdagen]]="","",_xlfn.CONCAT(Ruimtestaat[[#This Row],[Ruimte code]],"-",Ruimtestaat[[#This Row],[Frequentie werkdagen]]," ",Ruimtestaat[[#This Row],[Vloer code]]))</f>
        <v>2-3w L</v>
      </c>
      <c r="AJ55" s="363" t="str">
        <f>_xlfn.IFNA(VLOOKUP($AI55,Programma!$F$3:$G$1107,2,0),"")</f>
        <v>_</v>
      </c>
      <c r="AK55" s="363" t="str">
        <f>_xlfn.IFNA(VLOOKUP($AI55,Programma!$F$3:$H$1107,3,0),"")</f>
        <v>_</v>
      </c>
      <c r="AL55" s="363" t="str">
        <f>_xlfn.IFNA(VLOOKUP($AI55,Programma!$F$3:$I$1107,4,0),"")</f>
        <v>2w</v>
      </c>
      <c r="AM55" s="363" t="str">
        <f>_xlfn.IFNA(VLOOKUP($AI55,Programma!$F$3:$J$1107,5,0),"")</f>
        <v>1w</v>
      </c>
      <c r="AN55" s="363" t="str">
        <f>_xlfn.IFNA(VLOOKUP($AI55,Programma!$F$3:$K$1107,6,0),"")</f>
        <v>_</v>
      </c>
      <c r="AO55" s="363" t="str">
        <f>_xlfn.IFNA(VLOOKUP($AI55,Programma!$F$3:$L$1107,7,0),"")</f>
        <v>_</v>
      </c>
      <c r="AP55" s="363" t="str">
        <f>_xlfn.IFNA(VLOOKUP($AI55,Programma!$F$3:$M$1107,8,0),"")</f>
        <v>_</v>
      </c>
      <c r="AQ55" s="363" t="str">
        <f>_xlfn.IFNA(VLOOKUP($AI55,Programma!$F$3:$N$1107,9,0),"")</f>
        <v>_</v>
      </c>
      <c r="AR55" s="363" t="str">
        <f>_xlfn.IFNA(VLOOKUP($AI55,Programma!$F$3:$O$1107,10,0),"")</f>
        <v>3w</v>
      </c>
      <c r="AS55" s="363" t="str">
        <f>_xlfn.IFNA(VLOOKUP($AI55,Programma!$F$3:$P$1107,11,0),"")</f>
        <v>3w</v>
      </c>
      <c r="AT55" s="363" t="str">
        <f>_xlfn.IFNA(VLOOKUP($AI55,Programma!$F$3:$Q$1107,12,0),"")</f>
        <v>1w</v>
      </c>
      <c r="AU55" s="363" t="str">
        <f>_xlfn.IFNA(VLOOKUP($AI55,Programma!$F$3:$R$1107,13,0),"")</f>
        <v>1w</v>
      </c>
      <c r="AV55" s="363" t="str">
        <f>_xlfn.IFNA(VLOOKUP($AI55,Programma!$F$3:$S$1107,14,0),"")</f>
        <v>1m</v>
      </c>
      <c r="AW55" s="363" t="str">
        <f>_xlfn.IFNA(VLOOKUP($AI55,Programma!$F$3:$T$1107,15,0),"")</f>
        <v>2j</v>
      </c>
      <c r="AX55" s="363" t="str">
        <f>_xlfn.IFNA(VLOOKUP($AI55,Programma!$F$3:$U$1107,16,0),"")</f>
        <v>1j</v>
      </c>
      <c r="AY55" s="363" t="str">
        <f>_xlfn.IFNA(VLOOKUP($AI55,Programma!$F$3:$V$1107,17,0),"")</f>
        <v>_</v>
      </c>
      <c r="AZ55" s="363" t="str">
        <f>_xlfn.IFNA(VLOOKUP($AI55,Programma!$F$3:$W$1107,18,0),"")</f>
        <v>_</v>
      </c>
      <c r="BA55" s="363" t="str">
        <f>_xlfn.IFNA(VLOOKUP($AI55,Programma!$F$3:$X$1107,19,0),"")</f>
        <v>_</v>
      </c>
      <c r="BB55" s="363" t="str">
        <f>_xlfn.IFNA(VLOOKUP($AI55,Programma!$F$3:$Y$1107,20,0),"")</f>
        <v>_</v>
      </c>
      <c r="BC55" s="257"/>
      <c r="BD55" s="256" t="str">
        <f>IF(Ruimtestaat[[#This Row],[Frequentie weekend]]="","",_xlfn.CONCAT(Ruimtestaat[[#This Row],[Ruimte code]],"-",Ruimtestaat[[#This Row],[Frequentie weekend]]," ",Ruimtestaat[[#This Row],[Vloer code]]))</f>
        <v/>
      </c>
      <c r="BE55" s="363" t="str">
        <f>_xlfn.IFNA(VLOOKUP($BD55,Programma!$F$3:$G$1107,2,0),"")</f>
        <v/>
      </c>
      <c r="BF55" s="363" t="str">
        <f>_xlfn.IFNA(VLOOKUP($BD55,Programma!$F$3:$H$1107,3,0),"")</f>
        <v/>
      </c>
      <c r="BG55" s="363" t="str">
        <f>_xlfn.IFNA(VLOOKUP($BD55,Programma!$F$3:$I$1107,4,0),"")</f>
        <v/>
      </c>
      <c r="BH55" s="363" t="str">
        <f>_xlfn.IFNA(VLOOKUP($BD55,Programma!$F$3:$J$1107,5,0),"")</f>
        <v/>
      </c>
      <c r="BI55" s="363" t="str">
        <f>_xlfn.IFNA(VLOOKUP($BD55,Programma!$F$3:$K$1107,6,0),"")</f>
        <v/>
      </c>
      <c r="BJ55" s="363" t="str">
        <f>_xlfn.IFNA(VLOOKUP($BD55,Programma!$F$3:$L$1107,7,0),"")</f>
        <v/>
      </c>
      <c r="BK55" s="363" t="str">
        <f>_xlfn.IFNA(VLOOKUP($BD55,Programma!$F$3:$M$1107,8,0),"")</f>
        <v/>
      </c>
      <c r="BL55" s="363" t="str">
        <f>_xlfn.IFNA(VLOOKUP($BD55,Programma!$F$3:$N$1107,9,0),"")</f>
        <v/>
      </c>
      <c r="BM55" s="363" t="str">
        <f>_xlfn.IFNA(VLOOKUP($BD55,Programma!$F$3:$O$1107,10,0),"")</f>
        <v/>
      </c>
      <c r="BN55" s="363" t="str">
        <f>_xlfn.IFNA(VLOOKUP($BD55,Programma!$F$3:$P$1107,11,0),"")</f>
        <v/>
      </c>
      <c r="BO55" s="363" t="str">
        <f>_xlfn.IFNA(VLOOKUP($BD55,Programma!$F$3:$Q$1107,12,0),"")</f>
        <v/>
      </c>
      <c r="BP55" s="363" t="str">
        <f>_xlfn.IFNA(VLOOKUP($BD55,Programma!$F$3:$R$1107,13,0),"")</f>
        <v/>
      </c>
      <c r="BQ55" s="363" t="str">
        <f>_xlfn.IFNA(VLOOKUP($BD55,Programma!$F$3:$S$1107,14,0),"")</f>
        <v/>
      </c>
      <c r="BR55" s="363" t="str">
        <f>_xlfn.IFNA(VLOOKUP($BD55,Programma!$F$3:$T$1107,15,0),"")</f>
        <v/>
      </c>
      <c r="BS55" s="363" t="str">
        <f>_xlfn.IFNA(VLOOKUP($BD55,Programma!$F$3:$U$1107,16,0),"")</f>
        <v/>
      </c>
      <c r="BT55" s="363" t="str">
        <f>_xlfn.IFNA(VLOOKUP($BD55,Programma!$F$3:$V$1107,17,0),"")</f>
        <v/>
      </c>
      <c r="BU55" s="363" t="str">
        <f>_xlfn.IFNA(VLOOKUP($BD55,Programma!$F$3:$W$1107,18,0),"")</f>
        <v/>
      </c>
      <c r="BV55" s="363" t="str">
        <f>_xlfn.IFNA(VLOOKUP($BD55,Programma!$F$3:$X$1107,19,0),"")</f>
        <v/>
      </c>
      <c r="BW55" s="363" t="str">
        <f>_xlfn.IFNA(VLOOKUP($BD55,Programma!$F$3:$Y$1107,20,0),"")</f>
        <v/>
      </c>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row>
    <row r="56" spans="1:220" ht="15" customHeight="1">
      <c r="A56" s="33">
        <v>2</v>
      </c>
      <c r="B56" s="157" t="str">
        <f>VLOOKUP(Ruimtestaat[[#This Row],[Code]],Locaties[[Code]:[Locatie]],2,FALSE)</f>
        <v>'s Gravendreef College</v>
      </c>
      <c r="C56" s="157" t="str">
        <f>VLOOKUP(Ruimtestaat[[#This Row],[Code]],Locaties[[#All],[Code]:[Adres]],4,FALSE)</f>
        <v>Klaas Voskuildreef 135</v>
      </c>
      <c r="D56" s="157" t="str">
        <f>VLOOKUP(Ruimtestaat[[#This Row],[Code]],Locaties[[#All],[Code]:[Postcode]],5,FALSE)</f>
        <v>2492 JJ</v>
      </c>
      <c r="E56" s="157" t="str">
        <f>VLOOKUP(Ruimtestaat[[#This Row],[Code]],Locaties[#All],6,FALSE)</f>
        <v>Den Haag</v>
      </c>
      <c r="F56" s="33"/>
      <c r="G56" s="33" t="s">
        <v>1624</v>
      </c>
      <c r="H56" s="368" t="s">
        <v>1689</v>
      </c>
      <c r="I56" s="367" t="s">
        <v>1690</v>
      </c>
      <c r="J56" s="21">
        <v>2</v>
      </c>
      <c r="K56" s="62" t="str">
        <f>VLOOKUP(Ruimtestaat[[#This Row],[Ruimte code]],Ruimtegroepen[[#All],[Code]:[Ruimte omschrijving]],2,FALSE)</f>
        <v>Kantoren</v>
      </c>
      <c r="L56" s="33" t="s">
        <v>101</v>
      </c>
      <c r="M56" s="367" t="s">
        <v>2495</v>
      </c>
      <c r="N56" s="140">
        <v>21</v>
      </c>
      <c r="O56" s="140"/>
      <c r="P56" s="125" t="str">
        <f>VLOOKUP(Ruimtestaat[[#This Row],[Ruimte code]],Ruimtegroepen[],4,FALSE)</f>
        <v>Bu</v>
      </c>
      <c r="R56" s="33">
        <v>42</v>
      </c>
      <c r="S56" s="33" t="s">
        <v>18</v>
      </c>
      <c r="T56" s="33">
        <f>IF(R56&gt;0,IF(RIGHT(Ruimtestaat[[#This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6" s="33">
        <f>IF(T56&gt;0,VLOOKUP($J56,Ruimtegroepen[],3,FALSE)*VLOOKUP($L56,Vloersoorten[],3,FALSE)*VLOOKUP($S56,Frequenties[],3,FALSE)*VLOOKUP($A56,Locaties[],3,FALSE),0)</f>
        <v>0</v>
      </c>
      <c r="V56" s="33">
        <f>Ruimtestaat[[#This Row],[Uitvoeringen werkdagen]]*Ruimtestaat[[#This Row],[Oppervlak (netto)]]</f>
        <v>2646</v>
      </c>
      <c r="W56" s="154">
        <f>IF(U56&gt;0,Ruimtestaat[[#This Row],[Prest. (m2 /jaar) werkdagen]]/Ruimtestaat[[#This Row],[Norm (m2/uur) werkdagen]],0)</f>
        <v>0</v>
      </c>
      <c r="X56" s="155">
        <f>Ruimtestaat[[#This Row],[uren / jaar werkdagen]]*Tariefsopbouw!$E$35</f>
        <v>0</v>
      </c>
      <c r="Y56" s="33"/>
      <c r="Z56" s="33">
        <f>IF(Ruimtestaat[[#This Row],[Frequentie weekend]]&gt;0,VALUE(LEFT(Y56,1))*R56,0)</f>
        <v>0</v>
      </c>
      <c r="AA56" s="97">
        <f>IF($Z56&gt;0,VLOOKUP($J56,Ruimtegroepen[],3,FALSE)*VLOOKUP($L56,Vloersoorten[],3,FALSE)*VLOOKUP($Y56,Frequenties[],3,FALSE)*VLOOKUP(Ruimtestaat[[#This Row],[Code]],Locaties[],3,FALSE),0)</f>
        <v>0</v>
      </c>
      <c r="AB56" s="97">
        <f>Ruimtestaat[[#This Row],[Uitvoeringen weekend]]*Ruimtestaat[[#This Row],[Oppervlak (netto)]]</f>
        <v>0</v>
      </c>
      <c r="AC56" s="97">
        <f>IF(AA56&gt;0,Ruimtestaat[[#This Row],[Prest. (m2 /jaar) weekend]]/Ruimtestaat[[#This Row],[Norm (m2/uur) weekend]],0)</f>
        <v>0</v>
      </c>
      <c r="AD56" s="155">
        <f>Ruimtestaat[[#This Row],[uren / jaar weekend]]*Tariefsopbouw!$D$40</f>
        <v>0</v>
      </c>
      <c r="AE56" s="154">
        <f>Ruimtestaat[[#This Row],[Prest. (m2 /jaar) weekend]]+Ruimtestaat[[#This Row],[Prest. (m2 /jaar) werkdagen]]</f>
        <v>2646</v>
      </c>
      <c r="AF56" s="154">
        <f>Ruimtestaat[[#This Row],[uren / jaar weekend]]+Ruimtestaat[[#This Row],[uren / jaar werkdagen]]</f>
        <v>0</v>
      </c>
      <c r="AG56" s="69">
        <f>Ruimtestaat[[#This Row],[kosten / jaar weekend]]+Ruimtestaat[[#This Row],[kosten / jaar werkdagen]]</f>
        <v>0</v>
      </c>
      <c r="AH56" s="69"/>
      <c r="AI56" s="256" t="str">
        <f>IF(Ruimtestaat[[#This Row],[Frequentie werkdagen]]="","",_xlfn.CONCAT(Ruimtestaat[[#This Row],[Ruimte code]],"-",Ruimtestaat[[#This Row],[Frequentie werkdagen]]," ",Ruimtestaat[[#This Row],[Vloer code]]))</f>
        <v>2-3w L</v>
      </c>
      <c r="AJ56" s="363" t="str">
        <f>_xlfn.IFNA(VLOOKUP($AI56,Programma!$F$3:$G$1107,2,0),"")</f>
        <v>_</v>
      </c>
      <c r="AK56" s="363" t="str">
        <f>_xlfn.IFNA(VLOOKUP($AI56,Programma!$F$3:$H$1107,3,0),"")</f>
        <v>_</v>
      </c>
      <c r="AL56" s="363" t="str">
        <f>_xlfn.IFNA(VLOOKUP($AI56,Programma!$F$3:$I$1107,4,0),"")</f>
        <v>2w</v>
      </c>
      <c r="AM56" s="363" t="str">
        <f>_xlfn.IFNA(VLOOKUP($AI56,Programma!$F$3:$J$1107,5,0),"")</f>
        <v>1w</v>
      </c>
      <c r="AN56" s="363" t="str">
        <f>_xlfn.IFNA(VLOOKUP($AI56,Programma!$F$3:$K$1107,6,0),"")</f>
        <v>_</v>
      </c>
      <c r="AO56" s="363" t="str">
        <f>_xlfn.IFNA(VLOOKUP($AI56,Programma!$F$3:$L$1107,7,0),"")</f>
        <v>_</v>
      </c>
      <c r="AP56" s="363" t="str">
        <f>_xlfn.IFNA(VLOOKUP($AI56,Programma!$F$3:$M$1107,8,0),"")</f>
        <v>_</v>
      </c>
      <c r="AQ56" s="363" t="str">
        <f>_xlfn.IFNA(VLOOKUP($AI56,Programma!$F$3:$N$1107,9,0),"")</f>
        <v>_</v>
      </c>
      <c r="AR56" s="363" t="str">
        <f>_xlfn.IFNA(VLOOKUP($AI56,Programma!$F$3:$O$1107,10,0),"")</f>
        <v>3w</v>
      </c>
      <c r="AS56" s="363" t="str">
        <f>_xlfn.IFNA(VLOOKUP($AI56,Programma!$F$3:$P$1107,11,0),"")</f>
        <v>3w</v>
      </c>
      <c r="AT56" s="363" t="str">
        <f>_xlfn.IFNA(VLOOKUP($AI56,Programma!$F$3:$Q$1107,12,0),"")</f>
        <v>1w</v>
      </c>
      <c r="AU56" s="363" t="str">
        <f>_xlfn.IFNA(VLOOKUP($AI56,Programma!$F$3:$R$1107,13,0),"")</f>
        <v>1w</v>
      </c>
      <c r="AV56" s="363" t="str">
        <f>_xlfn.IFNA(VLOOKUP($AI56,Programma!$F$3:$S$1107,14,0),"")</f>
        <v>1m</v>
      </c>
      <c r="AW56" s="363" t="str">
        <f>_xlfn.IFNA(VLOOKUP($AI56,Programma!$F$3:$T$1107,15,0),"")</f>
        <v>2j</v>
      </c>
      <c r="AX56" s="363" t="str">
        <f>_xlfn.IFNA(VLOOKUP($AI56,Programma!$F$3:$U$1107,16,0),"")</f>
        <v>1j</v>
      </c>
      <c r="AY56" s="363" t="str">
        <f>_xlfn.IFNA(VLOOKUP($AI56,Programma!$F$3:$V$1107,17,0),"")</f>
        <v>_</v>
      </c>
      <c r="AZ56" s="363" t="str">
        <f>_xlfn.IFNA(VLOOKUP($AI56,Programma!$F$3:$W$1107,18,0),"")</f>
        <v>_</v>
      </c>
      <c r="BA56" s="363" t="str">
        <f>_xlfn.IFNA(VLOOKUP($AI56,Programma!$F$3:$X$1107,19,0),"")</f>
        <v>_</v>
      </c>
      <c r="BB56" s="363" t="str">
        <f>_xlfn.IFNA(VLOOKUP($AI56,Programma!$F$3:$Y$1107,20,0),"")</f>
        <v>_</v>
      </c>
      <c r="BC56" s="257"/>
      <c r="BD56" s="256" t="str">
        <f>IF(Ruimtestaat[[#This Row],[Frequentie weekend]]="","",_xlfn.CONCAT(Ruimtestaat[[#This Row],[Ruimte code]],"-",Ruimtestaat[[#This Row],[Frequentie weekend]]," ",Ruimtestaat[[#This Row],[Vloer code]]))</f>
        <v/>
      </c>
      <c r="BE56" s="363" t="str">
        <f>_xlfn.IFNA(VLOOKUP($BD56,Programma!$F$3:$G$1107,2,0),"")</f>
        <v/>
      </c>
      <c r="BF56" s="363" t="str">
        <f>_xlfn.IFNA(VLOOKUP($BD56,Programma!$F$3:$H$1107,3,0),"")</f>
        <v/>
      </c>
      <c r="BG56" s="363" t="str">
        <f>_xlfn.IFNA(VLOOKUP($BD56,Programma!$F$3:$I$1107,4,0),"")</f>
        <v/>
      </c>
      <c r="BH56" s="363" t="str">
        <f>_xlfn.IFNA(VLOOKUP($BD56,Programma!$F$3:$J$1107,5,0),"")</f>
        <v/>
      </c>
      <c r="BI56" s="363" t="str">
        <f>_xlfn.IFNA(VLOOKUP($BD56,Programma!$F$3:$K$1107,6,0),"")</f>
        <v/>
      </c>
      <c r="BJ56" s="363" t="str">
        <f>_xlfn.IFNA(VLOOKUP($BD56,Programma!$F$3:$L$1107,7,0),"")</f>
        <v/>
      </c>
      <c r="BK56" s="363" t="str">
        <f>_xlfn.IFNA(VLOOKUP($BD56,Programma!$F$3:$M$1107,8,0),"")</f>
        <v/>
      </c>
      <c r="BL56" s="363" t="str">
        <f>_xlfn.IFNA(VLOOKUP($BD56,Programma!$F$3:$N$1107,9,0),"")</f>
        <v/>
      </c>
      <c r="BM56" s="363" t="str">
        <f>_xlfn.IFNA(VLOOKUP($BD56,Programma!$F$3:$O$1107,10,0),"")</f>
        <v/>
      </c>
      <c r="BN56" s="363" t="str">
        <f>_xlfn.IFNA(VLOOKUP($BD56,Programma!$F$3:$P$1107,11,0),"")</f>
        <v/>
      </c>
      <c r="BO56" s="363" t="str">
        <f>_xlfn.IFNA(VLOOKUP($BD56,Programma!$F$3:$Q$1107,12,0),"")</f>
        <v/>
      </c>
      <c r="BP56" s="363" t="str">
        <f>_xlfn.IFNA(VLOOKUP($BD56,Programma!$F$3:$R$1107,13,0),"")</f>
        <v/>
      </c>
      <c r="BQ56" s="363" t="str">
        <f>_xlfn.IFNA(VLOOKUP($BD56,Programma!$F$3:$S$1107,14,0),"")</f>
        <v/>
      </c>
      <c r="BR56" s="363" t="str">
        <f>_xlfn.IFNA(VLOOKUP($BD56,Programma!$F$3:$T$1107,15,0),"")</f>
        <v/>
      </c>
      <c r="BS56" s="363" t="str">
        <f>_xlfn.IFNA(VLOOKUP($BD56,Programma!$F$3:$U$1107,16,0),"")</f>
        <v/>
      </c>
      <c r="BT56" s="363" t="str">
        <f>_xlfn.IFNA(VLOOKUP($BD56,Programma!$F$3:$V$1107,17,0),"")</f>
        <v/>
      </c>
      <c r="BU56" s="363" t="str">
        <f>_xlfn.IFNA(VLOOKUP($BD56,Programma!$F$3:$W$1107,18,0),"")</f>
        <v/>
      </c>
      <c r="BV56" s="363" t="str">
        <f>_xlfn.IFNA(VLOOKUP($BD56,Programma!$F$3:$X$1107,19,0),"")</f>
        <v/>
      </c>
      <c r="BW56" s="363" t="str">
        <f>_xlfn.IFNA(VLOOKUP($BD56,Programma!$F$3:$Y$1107,20,0),"")</f>
        <v/>
      </c>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row>
    <row r="57" spans="1:220" ht="15" customHeight="1">
      <c r="A57" s="33">
        <v>2</v>
      </c>
      <c r="B57" s="157" t="str">
        <f>VLOOKUP(Ruimtestaat[[#This Row],[Code]],Locaties[[Code]:[Locatie]],2,FALSE)</f>
        <v>'s Gravendreef College</v>
      </c>
      <c r="C57" s="157" t="str">
        <f>VLOOKUP(Ruimtestaat[[#This Row],[Code]],Locaties[[#All],[Code]:[Adres]],4,FALSE)</f>
        <v>Klaas Voskuildreef 135</v>
      </c>
      <c r="D57" s="157" t="str">
        <f>VLOOKUP(Ruimtestaat[[#This Row],[Code]],Locaties[[#All],[Code]:[Postcode]],5,FALSE)</f>
        <v>2492 JJ</v>
      </c>
      <c r="E57" s="157" t="str">
        <f>VLOOKUP(Ruimtestaat[[#This Row],[Code]],Locaties[#All],6,FALSE)</f>
        <v>Den Haag</v>
      </c>
      <c r="F57" s="33"/>
      <c r="G57" s="33" t="s">
        <v>1624</v>
      </c>
      <c r="H57" s="368" t="s">
        <v>1691</v>
      </c>
      <c r="I57" s="367" t="s">
        <v>1692</v>
      </c>
      <c r="J57" s="21">
        <v>12</v>
      </c>
      <c r="K57" s="62" t="str">
        <f>VLOOKUP(Ruimtestaat[[#This Row],[Ruimte code]],Ruimtegroepen[[#All],[Code]:[Ruimte omschrijving]],2,FALSE)</f>
        <v>Kantine</v>
      </c>
      <c r="L57" s="33" t="s">
        <v>101</v>
      </c>
      <c r="M57" s="367" t="s">
        <v>2495</v>
      </c>
      <c r="N57" s="140">
        <v>45</v>
      </c>
      <c r="O57" s="140"/>
      <c r="P57" s="125" t="str">
        <f>VLOOKUP(Ruimtestaat[[#This Row],[Ruimte code]],Ruimtegroepen[],4,FALSE)</f>
        <v>Ve</v>
      </c>
      <c r="R57" s="33">
        <v>40</v>
      </c>
      <c r="S57" s="33" t="s">
        <v>2</v>
      </c>
      <c r="T57" s="33">
        <f>IF(R57&gt;0,IF(RIGHT(Ruimtestaat[[#This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7" s="33">
        <f>IF(T57&gt;0,VLOOKUP($J57,Ruimtegroepen[],3,FALSE)*VLOOKUP($L57,Vloersoorten[],3,FALSE)*VLOOKUP($S57,Frequenties[],3,FALSE)*VLOOKUP($A57,Locaties[],3,FALSE),0)</f>
        <v>0</v>
      </c>
      <c r="V57" s="33">
        <f>Ruimtestaat[[#This Row],[Uitvoeringen werkdagen]]*Ruimtestaat[[#This Row],[Oppervlak (netto)]]</f>
        <v>9000</v>
      </c>
      <c r="W57" s="154">
        <f>IF(U57&gt;0,Ruimtestaat[[#This Row],[Prest. (m2 /jaar) werkdagen]]/Ruimtestaat[[#This Row],[Norm (m2/uur) werkdagen]],0)</f>
        <v>0</v>
      </c>
      <c r="X57" s="155">
        <f>Ruimtestaat[[#This Row],[uren / jaar werkdagen]]*Tariefsopbouw!$E$35</f>
        <v>0</v>
      </c>
      <c r="Y57" s="33"/>
      <c r="Z57" s="33">
        <f>IF(Ruimtestaat[[#This Row],[Frequentie weekend]]&gt;0,VALUE(LEFT(Y57,1))*R57,0)</f>
        <v>0</v>
      </c>
      <c r="AA57" s="97">
        <f>IF($Z57&gt;0,VLOOKUP($J57,Ruimtegroepen[],3,FALSE)*VLOOKUP($L57,Vloersoorten[],3,FALSE)*VLOOKUP($Y57,Frequenties[],3,FALSE)*VLOOKUP(Ruimtestaat[[#This Row],[Code]],Locaties[],3,FALSE),0)</f>
        <v>0</v>
      </c>
      <c r="AB57" s="97">
        <f>Ruimtestaat[[#This Row],[Uitvoeringen weekend]]*Ruimtestaat[[#This Row],[Oppervlak (netto)]]</f>
        <v>0</v>
      </c>
      <c r="AC57" s="97">
        <f>IF(AA57&gt;0,Ruimtestaat[[#This Row],[Prest. (m2 /jaar) weekend]]/Ruimtestaat[[#This Row],[Norm (m2/uur) weekend]],0)</f>
        <v>0</v>
      </c>
      <c r="AD57" s="155">
        <f>Ruimtestaat[[#This Row],[uren / jaar weekend]]*Tariefsopbouw!$D$40</f>
        <v>0</v>
      </c>
      <c r="AE57" s="154">
        <f>Ruimtestaat[[#This Row],[Prest. (m2 /jaar) weekend]]+Ruimtestaat[[#This Row],[Prest. (m2 /jaar) werkdagen]]</f>
        <v>9000</v>
      </c>
      <c r="AF57" s="154">
        <f>Ruimtestaat[[#This Row],[uren / jaar weekend]]+Ruimtestaat[[#This Row],[uren / jaar werkdagen]]</f>
        <v>0</v>
      </c>
      <c r="AG57" s="69">
        <f>Ruimtestaat[[#This Row],[kosten / jaar weekend]]+Ruimtestaat[[#This Row],[kosten / jaar werkdagen]]</f>
        <v>0</v>
      </c>
      <c r="AH57" s="69"/>
      <c r="AI57" s="256" t="str">
        <f>IF(Ruimtestaat[[#This Row],[Frequentie werkdagen]]="","",_xlfn.CONCAT(Ruimtestaat[[#This Row],[Ruimte code]],"-",Ruimtestaat[[#This Row],[Frequentie werkdagen]]," ",Ruimtestaat[[#This Row],[Vloer code]]))</f>
        <v>12-5w L</v>
      </c>
      <c r="AJ57" s="363" t="str">
        <f>_xlfn.IFNA(VLOOKUP($AI57,Programma!$F$3:$G$1107,2,0),"")</f>
        <v>_</v>
      </c>
      <c r="AK57" s="363" t="str">
        <f>_xlfn.IFNA(VLOOKUP($AI57,Programma!$F$3:$H$1107,3,0),"")</f>
        <v>_</v>
      </c>
      <c r="AL57" s="363" t="str">
        <f>_xlfn.IFNA(VLOOKUP($AI57,Programma!$F$3:$I$1107,4,0),"")</f>
        <v>_</v>
      </c>
      <c r="AM57" s="363" t="str">
        <f>_xlfn.IFNA(VLOOKUP($AI57,Programma!$F$3:$J$1107,5,0),"")</f>
        <v>5w</v>
      </c>
      <c r="AN57" s="363" t="str">
        <f>_xlfn.IFNA(VLOOKUP($AI57,Programma!$F$3:$K$1107,6,0),"")</f>
        <v>_</v>
      </c>
      <c r="AO57" s="363" t="str">
        <f>_xlfn.IFNA(VLOOKUP($AI57,Programma!$F$3:$L$1107,7,0),"")</f>
        <v>_</v>
      </c>
      <c r="AP57" s="363" t="str">
        <f>_xlfn.IFNA(VLOOKUP($AI57,Programma!$F$3:$M$1107,8,0),"")</f>
        <v>_</v>
      </c>
      <c r="AQ57" s="363" t="str">
        <f>_xlfn.IFNA(VLOOKUP($AI57,Programma!$F$3:$N$1107,9,0),"")</f>
        <v>_</v>
      </c>
      <c r="AR57" s="363" t="str">
        <f>_xlfn.IFNA(VLOOKUP($AI57,Programma!$F$3:$O$1107,10,0),"")</f>
        <v>5w</v>
      </c>
      <c r="AS57" s="363" t="str">
        <f>_xlfn.IFNA(VLOOKUP($AI57,Programma!$F$3:$P$1107,11,0),"")</f>
        <v>5w</v>
      </c>
      <c r="AT57" s="363" t="str">
        <f>_xlfn.IFNA(VLOOKUP($AI57,Programma!$F$3:$Q$1107,12,0),"")</f>
        <v>1w</v>
      </c>
      <c r="AU57" s="363" t="str">
        <f>_xlfn.IFNA(VLOOKUP($AI57,Programma!$F$3:$R$1107,13,0),"")</f>
        <v>1w</v>
      </c>
      <c r="AV57" s="363" t="str">
        <f>_xlfn.IFNA(VLOOKUP($AI57,Programma!$F$3:$S$1107,14,0),"")</f>
        <v>1m</v>
      </c>
      <c r="AW57" s="363" t="str">
        <f>_xlfn.IFNA(VLOOKUP($AI57,Programma!$F$3:$T$1107,15,0),"")</f>
        <v>2j</v>
      </c>
      <c r="AX57" s="363" t="str">
        <f>_xlfn.IFNA(VLOOKUP($AI57,Programma!$F$3:$U$1107,16,0),"")</f>
        <v>1j</v>
      </c>
      <c r="AY57" s="363" t="str">
        <f>_xlfn.IFNA(VLOOKUP($AI57,Programma!$F$3:$V$1107,17,0),"")</f>
        <v>_</v>
      </c>
      <c r="AZ57" s="363" t="str">
        <f>_xlfn.IFNA(VLOOKUP($AI57,Programma!$F$3:$W$1107,18,0),"")</f>
        <v>_</v>
      </c>
      <c r="BA57" s="363" t="str">
        <f>_xlfn.IFNA(VLOOKUP($AI57,Programma!$F$3:$X$1107,19,0),"")</f>
        <v>_</v>
      </c>
      <c r="BB57" s="363" t="str">
        <f>_xlfn.IFNA(VLOOKUP($AI57,Programma!$F$3:$Y$1107,20,0),"")</f>
        <v>_</v>
      </c>
      <c r="BC57" s="257"/>
      <c r="BD57" s="256" t="str">
        <f>IF(Ruimtestaat[[#This Row],[Frequentie weekend]]="","",_xlfn.CONCAT(Ruimtestaat[[#This Row],[Ruimte code]],"-",Ruimtestaat[[#This Row],[Frequentie weekend]]," ",Ruimtestaat[[#This Row],[Vloer code]]))</f>
        <v/>
      </c>
      <c r="BE57" s="363" t="str">
        <f>_xlfn.IFNA(VLOOKUP($BD57,Programma!$F$3:$G$1107,2,0),"")</f>
        <v/>
      </c>
      <c r="BF57" s="363" t="str">
        <f>_xlfn.IFNA(VLOOKUP($BD57,Programma!$F$3:$H$1107,3,0),"")</f>
        <v/>
      </c>
      <c r="BG57" s="363" t="str">
        <f>_xlfn.IFNA(VLOOKUP($BD57,Programma!$F$3:$I$1107,4,0),"")</f>
        <v/>
      </c>
      <c r="BH57" s="363" t="str">
        <f>_xlfn.IFNA(VLOOKUP($BD57,Programma!$F$3:$J$1107,5,0),"")</f>
        <v/>
      </c>
      <c r="BI57" s="363" t="str">
        <f>_xlfn.IFNA(VLOOKUP($BD57,Programma!$F$3:$K$1107,6,0),"")</f>
        <v/>
      </c>
      <c r="BJ57" s="363" t="str">
        <f>_xlfn.IFNA(VLOOKUP($BD57,Programma!$F$3:$L$1107,7,0),"")</f>
        <v/>
      </c>
      <c r="BK57" s="363" t="str">
        <f>_xlfn.IFNA(VLOOKUP($BD57,Programma!$F$3:$M$1107,8,0),"")</f>
        <v/>
      </c>
      <c r="BL57" s="363" t="str">
        <f>_xlfn.IFNA(VLOOKUP($BD57,Programma!$F$3:$N$1107,9,0),"")</f>
        <v/>
      </c>
      <c r="BM57" s="363" t="str">
        <f>_xlfn.IFNA(VLOOKUP($BD57,Programma!$F$3:$O$1107,10,0),"")</f>
        <v/>
      </c>
      <c r="BN57" s="363" t="str">
        <f>_xlfn.IFNA(VLOOKUP($BD57,Programma!$F$3:$P$1107,11,0),"")</f>
        <v/>
      </c>
      <c r="BO57" s="363" t="str">
        <f>_xlfn.IFNA(VLOOKUP($BD57,Programma!$F$3:$Q$1107,12,0),"")</f>
        <v/>
      </c>
      <c r="BP57" s="363" t="str">
        <f>_xlfn.IFNA(VLOOKUP($BD57,Programma!$F$3:$R$1107,13,0),"")</f>
        <v/>
      </c>
      <c r="BQ57" s="363" t="str">
        <f>_xlfn.IFNA(VLOOKUP($BD57,Programma!$F$3:$S$1107,14,0),"")</f>
        <v/>
      </c>
      <c r="BR57" s="363" t="str">
        <f>_xlfn.IFNA(VLOOKUP($BD57,Programma!$F$3:$T$1107,15,0),"")</f>
        <v/>
      </c>
      <c r="BS57" s="363" t="str">
        <f>_xlfn.IFNA(VLOOKUP($BD57,Programma!$F$3:$U$1107,16,0),"")</f>
        <v/>
      </c>
      <c r="BT57" s="363" t="str">
        <f>_xlfn.IFNA(VLOOKUP($BD57,Programma!$F$3:$V$1107,17,0),"")</f>
        <v/>
      </c>
      <c r="BU57" s="363" t="str">
        <f>_xlfn.IFNA(VLOOKUP($BD57,Programma!$F$3:$W$1107,18,0),"")</f>
        <v/>
      </c>
      <c r="BV57" s="363" t="str">
        <f>_xlfn.IFNA(VLOOKUP($BD57,Programma!$F$3:$X$1107,19,0),"")</f>
        <v/>
      </c>
      <c r="BW57" s="363" t="str">
        <f>_xlfn.IFNA(VLOOKUP($BD57,Programma!$F$3:$Y$1107,20,0),"")</f>
        <v/>
      </c>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row>
    <row r="58" spans="1:220" ht="15" customHeight="1">
      <c r="A58" s="33">
        <v>2</v>
      </c>
      <c r="B58" s="157" t="str">
        <f>VLOOKUP(Ruimtestaat[[#This Row],[Code]],Locaties[[Code]:[Locatie]],2,FALSE)</f>
        <v>'s Gravendreef College</v>
      </c>
      <c r="C58" s="157" t="str">
        <f>VLOOKUP(Ruimtestaat[[#This Row],[Code]],Locaties[[#All],[Code]:[Adres]],4,FALSE)</f>
        <v>Klaas Voskuildreef 135</v>
      </c>
      <c r="D58" s="157" t="str">
        <f>VLOOKUP(Ruimtestaat[[#This Row],[Code]],Locaties[[#All],[Code]:[Postcode]],5,FALSE)</f>
        <v>2492 JJ</v>
      </c>
      <c r="E58" s="157" t="str">
        <f>VLOOKUP(Ruimtestaat[[#This Row],[Code]],Locaties[#All],6,FALSE)</f>
        <v>Den Haag</v>
      </c>
      <c r="F58" s="33"/>
      <c r="G58" s="33" t="s">
        <v>1624</v>
      </c>
      <c r="H58" s="368" t="s">
        <v>1693</v>
      </c>
      <c r="I58" s="367" t="s">
        <v>1694</v>
      </c>
      <c r="J58" s="21">
        <v>4</v>
      </c>
      <c r="K58" s="62" t="str">
        <f>VLOOKUP(Ruimtestaat[[#This Row],[Ruimte code]],Ruimtegroepen[[#All],[Code]:[Ruimte omschrijving]],2,FALSE)</f>
        <v>Vergader/spreekkamers</v>
      </c>
      <c r="L58" s="33" t="s">
        <v>101</v>
      </c>
      <c r="M58" s="367" t="s">
        <v>2495</v>
      </c>
      <c r="N58" s="140">
        <v>8</v>
      </c>
      <c r="O58" s="140"/>
      <c r="P58" s="125" t="str">
        <f>VLOOKUP(Ruimtestaat[[#This Row],[Ruimte code]],Ruimtegroepen[],4,FALSE)</f>
        <v>Bu</v>
      </c>
      <c r="R58" s="33">
        <v>40</v>
      </c>
      <c r="S58" s="33" t="s">
        <v>18</v>
      </c>
      <c r="T58" s="33">
        <f>IF(R58&gt;0,IF(RIGHT(Ruimtestaat[[#This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58" s="33">
        <f>IF(T58&gt;0,VLOOKUP($J58,Ruimtegroepen[],3,FALSE)*VLOOKUP($L58,Vloersoorten[],3,FALSE)*VLOOKUP($S58,Frequenties[],3,FALSE)*VLOOKUP($A58,Locaties[],3,FALSE),0)</f>
        <v>0</v>
      </c>
      <c r="V58" s="33">
        <f>Ruimtestaat[[#This Row],[Uitvoeringen werkdagen]]*Ruimtestaat[[#This Row],[Oppervlak (netto)]]</f>
        <v>960</v>
      </c>
      <c r="W58" s="154">
        <f>IF(U58&gt;0,Ruimtestaat[[#This Row],[Prest. (m2 /jaar) werkdagen]]/Ruimtestaat[[#This Row],[Norm (m2/uur) werkdagen]],0)</f>
        <v>0</v>
      </c>
      <c r="X58" s="155">
        <f>Ruimtestaat[[#This Row],[uren / jaar werkdagen]]*Tariefsopbouw!$E$35</f>
        <v>0</v>
      </c>
      <c r="Y58" s="33"/>
      <c r="Z58" s="33">
        <f>IF(Ruimtestaat[[#This Row],[Frequentie weekend]]&gt;0,VALUE(LEFT(Y58,1))*R58,0)</f>
        <v>0</v>
      </c>
      <c r="AA58" s="97">
        <f>IF($Z58&gt;0,VLOOKUP($J58,Ruimtegroepen[],3,FALSE)*VLOOKUP($L58,Vloersoorten[],3,FALSE)*VLOOKUP($Y58,Frequenties[],3,FALSE)*VLOOKUP(Ruimtestaat[[#This Row],[Code]],Locaties[],3,FALSE),0)</f>
        <v>0</v>
      </c>
      <c r="AB58" s="97">
        <f>Ruimtestaat[[#This Row],[Uitvoeringen weekend]]*Ruimtestaat[[#This Row],[Oppervlak (netto)]]</f>
        <v>0</v>
      </c>
      <c r="AC58" s="97">
        <f>IF(AA58&gt;0,Ruimtestaat[[#This Row],[Prest. (m2 /jaar) weekend]]/Ruimtestaat[[#This Row],[Norm (m2/uur) weekend]],0)</f>
        <v>0</v>
      </c>
      <c r="AD58" s="155">
        <f>Ruimtestaat[[#This Row],[uren / jaar weekend]]*Tariefsopbouw!$D$40</f>
        <v>0</v>
      </c>
      <c r="AE58" s="154">
        <f>Ruimtestaat[[#This Row],[Prest. (m2 /jaar) weekend]]+Ruimtestaat[[#This Row],[Prest. (m2 /jaar) werkdagen]]</f>
        <v>960</v>
      </c>
      <c r="AF58" s="154">
        <f>Ruimtestaat[[#This Row],[uren / jaar weekend]]+Ruimtestaat[[#This Row],[uren / jaar werkdagen]]</f>
        <v>0</v>
      </c>
      <c r="AG58" s="69">
        <f>Ruimtestaat[[#This Row],[kosten / jaar weekend]]+Ruimtestaat[[#This Row],[kosten / jaar werkdagen]]</f>
        <v>0</v>
      </c>
      <c r="AH58" s="69"/>
      <c r="AI58" s="256" t="str">
        <f>IF(Ruimtestaat[[#This Row],[Frequentie werkdagen]]="","",_xlfn.CONCAT(Ruimtestaat[[#This Row],[Ruimte code]],"-",Ruimtestaat[[#This Row],[Frequentie werkdagen]]," ",Ruimtestaat[[#This Row],[Vloer code]]))</f>
        <v>4-3w L</v>
      </c>
      <c r="AJ58" s="363" t="str">
        <f>_xlfn.IFNA(VLOOKUP($AI58,Programma!$F$3:$G$1107,2,0),"")</f>
        <v>_</v>
      </c>
      <c r="AK58" s="363" t="str">
        <f>_xlfn.IFNA(VLOOKUP($AI58,Programma!$F$3:$H$1107,3,0),"")</f>
        <v>_</v>
      </c>
      <c r="AL58" s="363" t="str">
        <f>_xlfn.IFNA(VLOOKUP($AI58,Programma!$F$3:$I$1107,4,0),"")</f>
        <v>2w</v>
      </c>
      <c r="AM58" s="363" t="str">
        <f>_xlfn.IFNA(VLOOKUP($AI58,Programma!$F$3:$J$1107,5,0),"")</f>
        <v>1w</v>
      </c>
      <c r="AN58" s="363" t="str">
        <f>_xlfn.IFNA(VLOOKUP($AI58,Programma!$F$3:$K$1107,6,0),"")</f>
        <v>_</v>
      </c>
      <c r="AO58" s="363" t="str">
        <f>_xlfn.IFNA(VLOOKUP($AI58,Programma!$F$3:$L$1107,7,0),"")</f>
        <v>_</v>
      </c>
      <c r="AP58" s="363" t="str">
        <f>_xlfn.IFNA(VLOOKUP($AI58,Programma!$F$3:$M$1107,8,0),"")</f>
        <v>_</v>
      </c>
      <c r="AQ58" s="363" t="str">
        <f>_xlfn.IFNA(VLOOKUP($AI58,Programma!$F$3:$N$1107,9,0),"")</f>
        <v>_</v>
      </c>
      <c r="AR58" s="363" t="str">
        <f>_xlfn.IFNA(VLOOKUP($AI58,Programma!$F$3:$O$1107,10,0),"")</f>
        <v>3w</v>
      </c>
      <c r="AS58" s="363" t="str">
        <f>_xlfn.IFNA(VLOOKUP($AI58,Programma!$F$3:$P$1107,11,0),"")</f>
        <v>3w</v>
      </c>
      <c r="AT58" s="363" t="str">
        <f>_xlfn.IFNA(VLOOKUP($AI58,Programma!$F$3:$Q$1107,12,0),"")</f>
        <v>1w</v>
      </c>
      <c r="AU58" s="363" t="str">
        <f>_xlfn.IFNA(VLOOKUP($AI58,Programma!$F$3:$R$1107,13,0),"")</f>
        <v>1w</v>
      </c>
      <c r="AV58" s="363" t="str">
        <f>_xlfn.IFNA(VLOOKUP($AI58,Programma!$F$3:$S$1107,14,0),"")</f>
        <v>1m</v>
      </c>
      <c r="AW58" s="363" t="str">
        <f>_xlfn.IFNA(VLOOKUP($AI58,Programma!$F$3:$T$1107,15,0),"")</f>
        <v>2j</v>
      </c>
      <c r="AX58" s="363" t="str">
        <f>_xlfn.IFNA(VLOOKUP($AI58,Programma!$F$3:$U$1107,16,0),"")</f>
        <v>1j</v>
      </c>
      <c r="AY58" s="363" t="str">
        <f>_xlfn.IFNA(VLOOKUP($AI58,Programma!$F$3:$V$1107,17,0),"")</f>
        <v>_</v>
      </c>
      <c r="AZ58" s="363" t="str">
        <f>_xlfn.IFNA(VLOOKUP($AI58,Programma!$F$3:$W$1107,18,0),"")</f>
        <v>_</v>
      </c>
      <c r="BA58" s="363" t="str">
        <f>_xlfn.IFNA(VLOOKUP($AI58,Programma!$F$3:$X$1107,19,0),"")</f>
        <v>_</v>
      </c>
      <c r="BB58" s="363" t="str">
        <f>_xlfn.IFNA(VLOOKUP($AI58,Programma!$F$3:$Y$1107,20,0),"")</f>
        <v>_</v>
      </c>
      <c r="BC58" s="257"/>
      <c r="BD58" s="256" t="str">
        <f>IF(Ruimtestaat[[#This Row],[Frequentie weekend]]="","",_xlfn.CONCAT(Ruimtestaat[[#This Row],[Ruimte code]],"-",Ruimtestaat[[#This Row],[Frequentie weekend]]," ",Ruimtestaat[[#This Row],[Vloer code]]))</f>
        <v/>
      </c>
      <c r="BE58" s="363" t="str">
        <f>_xlfn.IFNA(VLOOKUP($BD58,Programma!$F$3:$G$1107,2,0),"")</f>
        <v/>
      </c>
      <c r="BF58" s="363" t="str">
        <f>_xlfn.IFNA(VLOOKUP($BD58,Programma!$F$3:$H$1107,3,0),"")</f>
        <v/>
      </c>
      <c r="BG58" s="363" t="str">
        <f>_xlfn.IFNA(VLOOKUP($BD58,Programma!$F$3:$I$1107,4,0),"")</f>
        <v/>
      </c>
      <c r="BH58" s="363" t="str">
        <f>_xlfn.IFNA(VLOOKUP($BD58,Programma!$F$3:$J$1107,5,0),"")</f>
        <v/>
      </c>
      <c r="BI58" s="363" t="str">
        <f>_xlfn.IFNA(VLOOKUP($BD58,Programma!$F$3:$K$1107,6,0),"")</f>
        <v/>
      </c>
      <c r="BJ58" s="363" t="str">
        <f>_xlfn.IFNA(VLOOKUP($BD58,Programma!$F$3:$L$1107,7,0),"")</f>
        <v/>
      </c>
      <c r="BK58" s="363" t="str">
        <f>_xlfn.IFNA(VLOOKUP($BD58,Programma!$F$3:$M$1107,8,0),"")</f>
        <v/>
      </c>
      <c r="BL58" s="363" t="str">
        <f>_xlfn.IFNA(VLOOKUP($BD58,Programma!$F$3:$N$1107,9,0),"")</f>
        <v/>
      </c>
      <c r="BM58" s="363" t="str">
        <f>_xlfn.IFNA(VLOOKUP($BD58,Programma!$F$3:$O$1107,10,0),"")</f>
        <v/>
      </c>
      <c r="BN58" s="363" t="str">
        <f>_xlfn.IFNA(VLOOKUP($BD58,Programma!$F$3:$P$1107,11,0),"")</f>
        <v/>
      </c>
      <c r="BO58" s="363" t="str">
        <f>_xlfn.IFNA(VLOOKUP($BD58,Programma!$F$3:$Q$1107,12,0),"")</f>
        <v/>
      </c>
      <c r="BP58" s="363" t="str">
        <f>_xlfn.IFNA(VLOOKUP($BD58,Programma!$F$3:$R$1107,13,0),"")</f>
        <v/>
      </c>
      <c r="BQ58" s="363" t="str">
        <f>_xlfn.IFNA(VLOOKUP($BD58,Programma!$F$3:$S$1107,14,0),"")</f>
        <v/>
      </c>
      <c r="BR58" s="363" t="str">
        <f>_xlfn.IFNA(VLOOKUP($BD58,Programma!$F$3:$T$1107,15,0),"")</f>
        <v/>
      </c>
      <c r="BS58" s="363" t="str">
        <f>_xlfn.IFNA(VLOOKUP($BD58,Programma!$F$3:$U$1107,16,0),"")</f>
        <v/>
      </c>
      <c r="BT58" s="363" t="str">
        <f>_xlfn.IFNA(VLOOKUP($BD58,Programma!$F$3:$V$1107,17,0),"")</f>
        <v/>
      </c>
      <c r="BU58" s="363" t="str">
        <f>_xlfn.IFNA(VLOOKUP($BD58,Programma!$F$3:$W$1107,18,0),"")</f>
        <v/>
      </c>
      <c r="BV58" s="363" t="str">
        <f>_xlfn.IFNA(VLOOKUP($BD58,Programma!$F$3:$X$1107,19,0),"")</f>
        <v/>
      </c>
      <c r="BW58" s="363" t="str">
        <f>_xlfn.IFNA(VLOOKUP($BD58,Programma!$F$3:$Y$1107,20,0),"")</f>
        <v/>
      </c>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row>
    <row r="59" spans="1:220" ht="15" customHeight="1">
      <c r="A59" s="33">
        <v>2</v>
      </c>
      <c r="B59" s="157" t="str">
        <f>VLOOKUP(Ruimtestaat[[#This Row],[Code]],Locaties[[Code]:[Locatie]],2,FALSE)</f>
        <v>'s Gravendreef College</v>
      </c>
      <c r="C59" s="157" t="str">
        <f>VLOOKUP(Ruimtestaat[[#This Row],[Code]],Locaties[[#All],[Code]:[Adres]],4,FALSE)</f>
        <v>Klaas Voskuildreef 135</v>
      </c>
      <c r="D59" s="157" t="str">
        <f>VLOOKUP(Ruimtestaat[[#This Row],[Code]],Locaties[[#All],[Code]:[Postcode]],5,FALSE)</f>
        <v>2492 JJ</v>
      </c>
      <c r="E59" s="157" t="str">
        <f>VLOOKUP(Ruimtestaat[[#This Row],[Code]],Locaties[#All],6,FALSE)</f>
        <v>Den Haag</v>
      </c>
      <c r="F59" s="33"/>
      <c r="G59" s="33" t="s">
        <v>1624</v>
      </c>
      <c r="H59" s="368" t="s">
        <v>1695</v>
      </c>
      <c r="I59" s="367" t="s">
        <v>1696</v>
      </c>
      <c r="J59" s="33">
        <v>16</v>
      </c>
      <c r="K59" s="62" t="str">
        <f>VLOOKUP(Ruimtestaat[[#This Row],[Ruimte code]],Ruimtegroepen[[#All],[Code]:[Ruimte omschrijving]],2,FALSE)</f>
        <v>Leslokalen theorie</v>
      </c>
      <c r="L59" s="33" t="s">
        <v>101</v>
      </c>
      <c r="M59" s="367" t="s">
        <v>2495</v>
      </c>
      <c r="N59" s="140">
        <v>59</v>
      </c>
      <c r="O59" s="140"/>
      <c r="P59" s="125" t="str">
        <f>VLOOKUP(Ruimtestaat[[#This Row],[Ruimte code]],Ruimtegroepen[],4,FALSE)</f>
        <v>Le</v>
      </c>
      <c r="R59" s="33">
        <v>40</v>
      </c>
      <c r="S59" s="33" t="s">
        <v>2</v>
      </c>
      <c r="T59" s="33">
        <f>IF(R59&gt;0,IF(RIGHT(Ruimtestaat[[#This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9" s="33">
        <f>IF(T59&gt;0,VLOOKUP($J59,Ruimtegroepen[],3,FALSE)*VLOOKUP($L59,Vloersoorten[],3,FALSE)*VLOOKUP($S59,Frequenties[],3,FALSE)*VLOOKUP($A59,Locaties[],3,FALSE),0)</f>
        <v>0</v>
      </c>
      <c r="V59" s="33">
        <f>Ruimtestaat[[#This Row],[Uitvoeringen werkdagen]]*Ruimtestaat[[#This Row],[Oppervlak (netto)]]</f>
        <v>11800</v>
      </c>
      <c r="W59" s="154">
        <f>IF(U59&gt;0,Ruimtestaat[[#This Row],[Prest. (m2 /jaar) werkdagen]]/Ruimtestaat[[#This Row],[Norm (m2/uur) werkdagen]],0)</f>
        <v>0</v>
      </c>
      <c r="X59" s="155">
        <f>Ruimtestaat[[#This Row],[uren / jaar werkdagen]]*Tariefsopbouw!$E$35</f>
        <v>0</v>
      </c>
      <c r="Y59" s="33"/>
      <c r="Z59" s="33">
        <f>IF(Ruimtestaat[[#This Row],[Frequentie weekend]]&gt;0,VALUE(LEFT(Y59,1))*R59,0)</f>
        <v>0</v>
      </c>
      <c r="AA59" s="97">
        <f>IF($Z59&gt;0,VLOOKUP($J59,Ruimtegroepen[],3,FALSE)*VLOOKUP($L59,Vloersoorten[],3,FALSE)*VLOOKUP($Y59,Frequenties[],3,FALSE)*VLOOKUP(Ruimtestaat[[#This Row],[Code]],Locaties[],3,FALSE),0)</f>
        <v>0</v>
      </c>
      <c r="AB59" s="97">
        <f>Ruimtestaat[[#This Row],[Uitvoeringen weekend]]*Ruimtestaat[[#This Row],[Oppervlak (netto)]]</f>
        <v>0</v>
      </c>
      <c r="AC59" s="97">
        <f>IF(AA59&gt;0,Ruimtestaat[[#This Row],[Prest. (m2 /jaar) weekend]]/Ruimtestaat[[#This Row],[Norm (m2/uur) weekend]],0)</f>
        <v>0</v>
      </c>
      <c r="AD59" s="155">
        <f>Ruimtestaat[[#This Row],[uren / jaar weekend]]*Tariefsopbouw!$D$40</f>
        <v>0</v>
      </c>
      <c r="AE59" s="154">
        <f>Ruimtestaat[[#This Row],[Prest. (m2 /jaar) weekend]]+Ruimtestaat[[#This Row],[Prest. (m2 /jaar) werkdagen]]</f>
        <v>11800</v>
      </c>
      <c r="AF59" s="154">
        <f>Ruimtestaat[[#This Row],[uren / jaar weekend]]+Ruimtestaat[[#This Row],[uren / jaar werkdagen]]</f>
        <v>0</v>
      </c>
      <c r="AG59" s="69">
        <f>Ruimtestaat[[#This Row],[kosten / jaar weekend]]+Ruimtestaat[[#This Row],[kosten / jaar werkdagen]]</f>
        <v>0</v>
      </c>
      <c r="AH59" s="69"/>
      <c r="AI59" s="256" t="str">
        <f>IF(Ruimtestaat[[#This Row],[Frequentie werkdagen]]="","",_xlfn.CONCAT(Ruimtestaat[[#This Row],[Ruimte code]],"-",Ruimtestaat[[#This Row],[Frequentie werkdagen]]," ",Ruimtestaat[[#This Row],[Vloer code]]))</f>
        <v>16-5w L</v>
      </c>
      <c r="AJ59" s="363" t="str">
        <f>_xlfn.IFNA(VLOOKUP($AI59,Programma!$F$3:$G$1107,2,0),"")</f>
        <v>_</v>
      </c>
      <c r="AK59" s="363" t="str">
        <f>_xlfn.IFNA(VLOOKUP($AI59,Programma!$F$3:$H$1107,3,0),"")</f>
        <v>_</v>
      </c>
      <c r="AL59" s="363" t="str">
        <f>_xlfn.IFNA(VLOOKUP($AI59,Programma!$F$3:$I$1107,4,0),"")</f>
        <v>4w</v>
      </c>
      <c r="AM59" s="363" t="str">
        <f>_xlfn.IFNA(VLOOKUP($AI59,Programma!$F$3:$J$1107,5,0),"")</f>
        <v>1w</v>
      </c>
      <c r="AN59" s="363" t="str">
        <f>_xlfn.IFNA(VLOOKUP($AI59,Programma!$F$3:$K$1107,6,0),"")</f>
        <v>_</v>
      </c>
      <c r="AO59" s="363" t="str">
        <f>_xlfn.IFNA(VLOOKUP($AI59,Programma!$F$3:$L$1107,7,0),"")</f>
        <v>_</v>
      </c>
      <c r="AP59" s="363" t="str">
        <f>_xlfn.IFNA(VLOOKUP($AI59,Programma!$F$3:$M$1107,8,0),"")</f>
        <v>_</v>
      </c>
      <c r="AQ59" s="363" t="str">
        <f>_xlfn.IFNA(VLOOKUP($AI59,Programma!$F$3:$N$1107,9,0),"")</f>
        <v>_</v>
      </c>
      <c r="AR59" s="363" t="str">
        <f>_xlfn.IFNA(VLOOKUP($AI59,Programma!$F$3:$O$1107,10,0),"")</f>
        <v>5w</v>
      </c>
      <c r="AS59" s="363" t="str">
        <f>_xlfn.IFNA(VLOOKUP($AI59,Programma!$F$3:$P$1107,11,0),"")</f>
        <v>5w</v>
      </c>
      <c r="AT59" s="363" t="str">
        <f>_xlfn.IFNA(VLOOKUP($AI59,Programma!$F$3:$Q$1107,12,0),"")</f>
        <v>1w</v>
      </c>
      <c r="AU59" s="363" t="str">
        <f>_xlfn.IFNA(VLOOKUP($AI59,Programma!$F$3:$R$1107,13,0),"")</f>
        <v>1w</v>
      </c>
      <c r="AV59" s="363" t="str">
        <f>_xlfn.IFNA(VLOOKUP($AI59,Programma!$F$3:$S$1107,14,0),"")</f>
        <v>1m</v>
      </c>
      <c r="AW59" s="363" t="str">
        <f>_xlfn.IFNA(VLOOKUP($AI59,Programma!$F$3:$T$1107,15,0),"")</f>
        <v>2j</v>
      </c>
      <c r="AX59" s="363" t="str">
        <f>_xlfn.IFNA(VLOOKUP($AI59,Programma!$F$3:$U$1107,16,0),"")</f>
        <v>1j</v>
      </c>
      <c r="AY59" s="363" t="str">
        <f>_xlfn.IFNA(VLOOKUP($AI59,Programma!$F$3:$V$1107,17,0),"")</f>
        <v>_</v>
      </c>
      <c r="AZ59" s="363" t="str">
        <f>_xlfn.IFNA(VLOOKUP($AI59,Programma!$F$3:$W$1107,18,0),"")</f>
        <v>_</v>
      </c>
      <c r="BA59" s="363" t="str">
        <f>_xlfn.IFNA(VLOOKUP($AI59,Programma!$F$3:$X$1107,19,0),"")</f>
        <v>_</v>
      </c>
      <c r="BB59" s="363" t="str">
        <f>_xlfn.IFNA(VLOOKUP($AI59,Programma!$F$3:$Y$1107,20,0),"")</f>
        <v>_</v>
      </c>
      <c r="BC59" s="257"/>
      <c r="BD59" s="256" t="str">
        <f>IF(Ruimtestaat[[#This Row],[Frequentie weekend]]="","",_xlfn.CONCAT(Ruimtestaat[[#This Row],[Ruimte code]],"-",Ruimtestaat[[#This Row],[Frequentie weekend]]," ",Ruimtestaat[[#This Row],[Vloer code]]))</f>
        <v/>
      </c>
      <c r="BE59" s="363" t="str">
        <f>_xlfn.IFNA(VLOOKUP($BD59,Programma!$F$3:$G$1107,2,0),"")</f>
        <v/>
      </c>
      <c r="BF59" s="363" t="str">
        <f>_xlfn.IFNA(VLOOKUP($BD59,Programma!$F$3:$H$1107,3,0),"")</f>
        <v/>
      </c>
      <c r="BG59" s="363" t="str">
        <f>_xlfn.IFNA(VLOOKUP($BD59,Programma!$F$3:$I$1107,4,0),"")</f>
        <v/>
      </c>
      <c r="BH59" s="363" t="str">
        <f>_xlfn.IFNA(VLOOKUP($BD59,Programma!$F$3:$J$1107,5,0),"")</f>
        <v/>
      </c>
      <c r="BI59" s="363" t="str">
        <f>_xlfn.IFNA(VLOOKUP($BD59,Programma!$F$3:$K$1107,6,0),"")</f>
        <v/>
      </c>
      <c r="BJ59" s="363" t="str">
        <f>_xlfn.IFNA(VLOOKUP($BD59,Programma!$F$3:$L$1107,7,0),"")</f>
        <v/>
      </c>
      <c r="BK59" s="363" t="str">
        <f>_xlfn.IFNA(VLOOKUP($BD59,Programma!$F$3:$M$1107,8,0),"")</f>
        <v/>
      </c>
      <c r="BL59" s="363" t="str">
        <f>_xlfn.IFNA(VLOOKUP($BD59,Programma!$F$3:$N$1107,9,0),"")</f>
        <v/>
      </c>
      <c r="BM59" s="363" t="str">
        <f>_xlfn.IFNA(VLOOKUP($BD59,Programma!$F$3:$O$1107,10,0),"")</f>
        <v/>
      </c>
      <c r="BN59" s="363" t="str">
        <f>_xlfn.IFNA(VLOOKUP($BD59,Programma!$F$3:$P$1107,11,0),"")</f>
        <v/>
      </c>
      <c r="BO59" s="363" t="str">
        <f>_xlfn.IFNA(VLOOKUP($BD59,Programma!$F$3:$Q$1107,12,0),"")</f>
        <v/>
      </c>
      <c r="BP59" s="363" t="str">
        <f>_xlfn.IFNA(VLOOKUP($BD59,Programma!$F$3:$R$1107,13,0),"")</f>
        <v/>
      </c>
      <c r="BQ59" s="363" t="str">
        <f>_xlfn.IFNA(VLOOKUP($BD59,Programma!$F$3:$S$1107,14,0),"")</f>
        <v/>
      </c>
      <c r="BR59" s="363" t="str">
        <f>_xlfn.IFNA(VLOOKUP($BD59,Programma!$F$3:$T$1107,15,0),"")</f>
        <v/>
      </c>
      <c r="BS59" s="363" t="str">
        <f>_xlfn.IFNA(VLOOKUP($BD59,Programma!$F$3:$U$1107,16,0),"")</f>
        <v/>
      </c>
      <c r="BT59" s="363" t="str">
        <f>_xlfn.IFNA(VLOOKUP($BD59,Programma!$F$3:$V$1107,17,0),"")</f>
        <v/>
      </c>
      <c r="BU59" s="363" t="str">
        <f>_xlfn.IFNA(VLOOKUP($BD59,Programma!$F$3:$W$1107,18,0),"")</f>
        <v/>
      </c>
      <c r="BV59" s="363" t="str">
        <f>_xlfn.IFNA(VLOOKUP($BD59,Programma!$F$3:$X$1107,19,0),"")</f>
        <v/>
      </c>
      <c r="BW59" s="363" t="str">
        <f>_xlfn.IFNA(VLOOKUP($BD59,Programma!$F$3:$Y$1107,20,0),"")</f>
        <v/>
      </c>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row>
    <row r="60" spans="1:220" ht="15" customHeight="1">
      <c r="A60" s="33">
        <v>2</v>
      </c>
      <c r="B60" s="157" t="str">
        <f>VLOOKUP(Ruimtestaat[[#This Row],[Code]],Locaties[[Code]:[Locatie]],2,FALSE)</f>
        <v>'s Gravendreef College</v>
      </c>
      <c r="C60" s="157" t="str">
        <f>VLOOKUP(Ruimtestaat[[#This Row],[Code]],Locaties[[#All],[Code]:[Adres]],4,FALSE)</f>
        <v>Klaas Voskuildreef 135</v>
      </c>
      <c r="D60" s="157" t="str">
        <f>VLOOKUP(Ruimtestaat[[#This Row],[Code]],Locaties[[#All],[Code]:[Postcode]],5,FALSE)</f>
        <v>2492 JJ</v>
      </c>
      <c r="E60" s="157" t="str">
        <f>VLOOKUP(Ruimtestaat[[#This Row],[Code]],Locaties[#All],6,FALSE)</f>
        <v>Den Haag</v>
      </c>
      <c r="F60" s="33"/>
      <c r="G60" s="33" t="s">
        <v>1624</v>
      </c>
      <c r="H60" s="368" t="s">
        <v>1697</v>
      </c>
      <c r="I60" s="367" t="s">
        <v>1698</v>
      </c>
      <c r="J60" s="33">
        <v>16</v>
      </c>
      <c r="K60" s="62" t="str">
        <f>VLOOKUP(Ruimtestaat[[#This Row],[Ruimte code]],Ruimtegroepen[[#All],[Code]:[Ruimte omschrijving]],2,FALSE)</f>
        <v>Leslokalen theorie</v>
      </c>
      <c r="L60" s="33" t="s">
        <v>101</v>
      </c>
      <c r="M60" s="367" t="s">
        <v>2495</v>
      </c>
      <c r="N60" s="140">
        <v>43</v>
      </c>
      <c r="O60" s="140"/>
      <c r="P60" s="125" t="str">
        <f>VLOOKUP(Ruimtestaat[[#This Row],[Ruimte code]],Ruimtegroepen[],4,FALSE)</f>
        <v>Le</v>
      </c>
      <c r="R60" s="33">
        <v>40</v>
      </c>
      <c r="S60" s="33" t="s">
        <v>2</v>
      </c>
      <c r="T60" s="33">
        <f>IF(R60&gt;0,IF(RIGHT(Ruimtestaat[[#This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0" s="33">
        <f>IF(T60&gt;0,VLOOKUP($J60,Ruimtegroepen[],3,FALSE)*VLOOKUP($L60,Vloersoorten[],3,FALSE)*VLOOKUP($S60,Frequenties[],3,FALSE)*VLOOKUP($A60,Locaties[],3,FALSE),0)</f>
        <v>0</v>
      </c>
      <c r="V60" s="33">
        <f>Ruimtestaat[[#This Row],[Uitvoeringen werkdagen]]*Ruimtestaat[[#This Row],[Oppervlak (netto)]]</f>
        <v>8600</v>
      </c>
      <c r="W60" s="154">
        <f>IF(U60&gt;0,Ruimtestaat[[#This Row],[Prest. (m2 /jaar) werkdagen]]/Ruimtestaat[[#This Row],[Norm (m2/uur) werkdagen]],0)</f>
        <v>0</v>
      </c>
      <c r="X60" s="155">
        <f>Ruimtestaat[[#This Row],[uren / jaar werkdagen]]*Tariefsopbouw!$E$35</f>
        <v>0</v>
      </c>
      <c r="Y60" s="33"/>
      <c r="Z60" s="33">
        <f>IF(Ruimtestaat[[#This Row],[Frequentie weekend]]&gt;0,VALUE(LEFT(Y60,1))*R60,0)</f>
        <v>0</v>
      </c>
      <c r="AA60" s="97">
        <f>IF($Z60&gt;0,VLOOKUP($J60,Ruimtegroepen[],3,FALSE)*VLOOKUP($L60,Vloersoorten[],3,FALSE)*VLOOKUP($Y60,Frequenties[],3,FALSE)*VLOOKUP(Ruimtestaat[[#This Row],[Code]],Locaties[],3,FALSE),0)</f>
        <v>0</v>
      </c>
      <c r="AB60" s="97">
        <f>Ruimtestaat[[#This Row],[Uitvoeringen weekend]]*Ruimtestaat[[#This Row],[Oppervlak (netto)]]</f>
        <v>0</v>
      </c>
      <c r="AC60" s="97">
        <f>IF(AA60&gt;0,Ruimtestaat[[#This Row],[Prest. (m2 /jaar) weekend]]/Ruimtestaat[[#This Row],[Norm (m2/uur) weekend]],0)</f>
        <v>0</v>
      </c>
      <c r="AD60" s="155">
        <f>Ruimtestaat[[#This Row],[uren / jaar weekend]]*Tariefsopbouw!$D$40</f>
        <v>0</v>
      </c>
      <c r="AE60" s="154">
        <f>Ruimtestaat[[#This Row],[Prest. (m2 /jaar) weekend]]+Ruimtestaat[[#This Row],[Prest. (m2 /jaar) werkdagen]]</f>
        <v>8600</v>
      </c>
      <c r="AF60" s="154">
        <f>Ruimtestaat[[#This Row],[uren / jaar weekend]]+Ruimtestaat[[#This Row],[uren / jaar werkdagen]]</f>
        <v>0</v>
      </c>
      <c r="AG60" s="69">
        <f>Ruimtestaat[[#This Row],[kosten / jaar weekend]]+Ruimtestaat[[#This Row],[kosten / jaar werkdagen]]</f>
        <v>0</v>
      </c>
      <c r="AH60" s="69"/>
      <c r="AI60" s="256" t="str">
        <f>IF(Ruimtestaat[[#This Row],[Frequentie werkdagen]]="","",_xlfn.CONCAT(Ruimtestaat[[#This Row],[Ruimte code]],"-",Ruimtestaat[[#This Row],[Frequentie werkdagen]]," ",Ruimtestaat[[#This Row],[Vloer code]]))</f>
        <v>16-5w L</v>
      </c>
      <c r="AJ60" s="363" t="str">
        <f>_xlfn.IFNA(VLOOKUP($AI60,Programma!$F$3:$G$1107,2,0),"")</f>
        <v>_</v>
      </c>
      <c r="AK60" s="363" t="str">
        <f>_xlfn.IFNA(VLOOKUP($AI60,Programma!$F$3:$H$1107,3,0),"")</f>
        <v>_</v>
      </c>
      <c r="AL60" s="363" t="str">
        <f>_xlfn.IFNA(VLOOKUP($AI60,Programma!$F$3:$I$1107,4,0),"")</f>
        <v>4w</v>
      </c>
      <c r="AM60" s="363" t="str">
        <f>_xlfn.IFNA(VLOOKUP($AI60,Programma!$F$3:$J$1107,5,0),"")</f>
        <v>1w</v>
      </c>
      <c r="AN60" s="363" t="str">
        <f>_xlfn.IFNA(VLOOKUP($AI60,Programma!$F$3:$K$1107,6,0),"")</f>
        <v>_</v>
      </c>
      <c r="AO60" s="363" t="str">
        <f>_xlfn.IFNA(VLOOKUP($AI60,Programma!$F$3:$L$1107,7,0),"")</f>
        <v>_</v>
      </c>
      <c r="AP60" s="363" t="str">
        <f>_xlfn.IFNA(VLOOKUP($AI60,Programma!$F$3:$M$1107,8,0),"")</f>
        <v>_</v>
      </c>
      <c r="AQ60" s="363" t="str">
        <f>_xlfn.IFNA(VLOOKUP($AI60,Programma!$F$3:$N$1107,9,0),"")</f>
        <v>_</v>
      </c>
      <c r="AR60" s="363" t="str">
        <f>_xlfn.IFNA(VLOOKUP($AI60,Programma!$F$3:$O$1107,10,0),"")</f>
        <v>5w</v>
      </c>
      <c r="AS60" s="363" t="str">
        <f>_xlfn.IFNA(VLOOKUP($AI60,Programma!$F$3:$P$1107,11,0),"")</f>
        <v>5w</v>
      </c>
      <c r="AT60" s="363" t="str">
        <f>_xlfn.IFNA(VLOOKUP($AI60,Programma!$F$3:$Q$1107,12,0),"")</f>
        <v>1w</v>
      </c>
      <c r="AU60" s="363" t="str">
        <f>_xlfn.IFNA(VLOOKUP($AI60,Programma!$F$3:$R$1107,13,0),"")</f>
        <v>1w</v>
      </c>
      <c r="AV60" s="363" t="str">
        <f>_xlfn.IFNA(VLOOKUP($AI60,Programma!$F$3:$S$1107,14,0),"")</f>
        <v>1m</v>
      </c>
      <c r="AW60" s="363" t="str">
        <f>_xlfn.IFNA(VLOOKUP($AI60,Programma!$F$3:$T$1107,15,0),"")</f>
        <v>2j</v>
      </c>
      <c r="AX60" s="363" t="str">
        <f>_xlfn.IFNA(VLOOKUP($AI60,Programma!$F$3:$U$1107,16,0),"")</f>
        <v>1j</v>
      </c>
      <c r="AY60" s="363" t="str">
        <f>_xlfn.IFNA(VLOOKUP($AI60,Programma!$F$3:$V$1107,17,0),"")</f>
        <v>_</v>
      </c>
      <c r="AZ60" s="363" t="str">
        <f>_xlfn.IFNA(VLOOKUP($AI60,Programma!$F$3:$W$1107,18,0),"")</f>
        <v>_</v>
      </c>
      <c r="BA60" s="363" t="str">
        <f>_xlfn.IFNA(VLOOKUP($AI60,Programma!$F$3:$X$1107,19,0),"")</f>
        <v>_</v>
      </c>
      <c r="BB60" s="363" t="str">
        <f>_xlfn.IFNA(VLOOKUP($AI60,Programma!$F$3:$Y$1107,20,0),"")</f>
        <v>_</v>
      </c>
      <c r="BC60" s="257"/>
      <c r="BD60" s="256" t="str">
        <f>IF(Ruimtestaat[[#This Row],[Frequentie weekend]]="","",_xlfn.CONCAT(Ruimtestaat[[#This Row],[Ruimte code]],"-",Ruimtestaat[[#This Row],[Frequentie weekend]]," ",Ruimtestaat[[#This Row],[Vloer code]]))</f>
        <v/>
      </c>
      <c r="BE60" s="363" t="str">
        <f>_xlfn.IFNA(VLOOKUP($BD60,Programma!$F$3:$G$1107,2,0),"")</f>
        <v/>
      </c>
      <c r="BF60" s="363" t="str">
        <f>_xlfn.IFNA(VLOOKUP($BD60,Programma!$F$3:$H$1107,3,0),"")</f>
        <v/>
      </c>
      <c r="BG60" s="363" t="str">
        <f>_xlfn.IFNA(VLOOKUP($BD60,Programma!$F$3:$I$1107,4,0),"")</f>
        <v/>
      </c>
      <c r="BH60" s="363" t="str">
        <f>_xlfn.IFNA(VLOOKUP($BD60,Programma!$F$3:$J$1107,5,0),"")</f>
        <v/>
      </c>
      <c r="BI60" s="363" t="str">
        <f>_xlfn.IFNA(VLOOKUP($BD60,Programma!$F$3:$K$1107,6,0),"")</f>
        <v/>
      </c>
      <c r="BJ60" s="363" t="str">
        <f>_xlfn.IFNA(VLOOKUP($BD60,Programma!$F$3:$L$1107,7,0),"")</f>
        <v/>
      </c>
      <c r="BK60" s="363" t="str">
        <f>_xlfn.IFNA(VLOOKUP($BD60,Programma!$F$3:$M$1107,8,0),"")</f>
        <v/>
      </c>
      <c r="BL60" s="363" t="str">
        <f>_xlfn.IFNA(VLOOKUP($BD60,Programma!$F$3:$N$1107,9,0),"")</f>
        <v/>
      </c>
      <c r="BM60" s="363" t="str">
        <f>_xlfn.IFNA(VLOOKUP($BD60,Programma!$F$3:$O$1107,10,0),"")</f>
        <v/>
      </c>
      <c r="BN60" s="363" t="str">
        <f>_xlfn.IFNA(VLOOKUP($BD60,Programma!$F$3:$P$1107,11,0),"")</f>
        <v/>
      </c>
      <c r="BO60" s="363" t="str">
        <f>_xlfn.IFNA(VLOOKUP($BD60,Programma!$F$3:$Q$1107,12,0),"")</f>
        <v/>
      </c>
      <c r="BP60" s="363" t="str">
        <f>_xlfn.IFNA(VLOOKUP($BD60,Programma!$F$3:$R$1107,13,0),"")</f>
        <v/>
      </c>
      <c r="BQ60" s="363" t="str">
        <f>_xlfn.IFNA(VLOOKUP($BD60,Programma!$F$3:$S$1107,14,0),"")</f>
        <v/>
      </c>
      <c r="BR60" s="363" t="str">
        <f>_xlfn.IFNA(VLOOKUP($BD60,Programma!$F$3:$T$1107,15,0),"")</f>
        <v/>
      </c>
      <c r="BS60" s="363" t="str">
        <f>_xlfn.IFNA(VLOOKUP($BD60,Programma!$F$3:$U$1107,16,0),"")</f>
        <v/>
      </c>
      <c r="BT60" s="363" t="str">
        <f>_xlfn.IFNA(VLOOKUP($BD60,Programma!$F$3:$V$1107,17,0),"")</f>
        <v/>
      </c>
      <c r="BU60" s="363" t="str">
        <f>_xlfn.IFNA(VLOOKUP($BD60,Programma!$F$3:$W$1107,18,0),"")</f>
        <v/>
      </c>
      <c r="BV60" s="363" t="str">
        <f>_xlfn.IFNA(VLOOKUP($BD60,Programma!$F$3:$X$1107,19,0),"")</f>
        <v/>
      </c>
      <c r="BW60" s="363" t="str">
        <f>_xlfn.IFNA(VLOOKUP($BD60,Programma!$F$3:$Y$1107,20,0),"")</f>
        <v/>
      </c>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row>
    <row r="61" spans="1:220" ht="15" customHeight="1">
      <c r="A61" s="33">
        <v>2</v>
      </c>
      <c r="B61" s="157" t="str">
        <f>VLOOKUP(Ruimtestaat[[#This Row],[Code]],Locaties[[Code]:[Locatie]],2,FALSE)</f>
        <v>'s Gravendreef College</v>
      </c>
      <c r="C61" s="157" t="str">
        <f>VLOOKUP(Ruimtestaat[[#This Row],[Code]],Locaties[[#All],[Code]:[Adres]],4,FALSE)</f>
        <v>Klaas Voskuildreef 135</v>
      </c>
      <c r="D61" s="157" t="str">
        <f>VLOOKUP(Ruimtestaat[[#This Row],[Code]],Locaties[[#All],[Code]:[Postcode]],5,FALSE)</f>
        <v>2492 JJ</v>
      </c>
      <c r="E61" s="157" t="str">
        <f>VLOOKUP(Ruimtestaat[[#This Row],[Code]],Locaties[#All],6,FALSE)</f>
        <v>Den Haag</v>
      </c>
      <c r="F61" s="33"/>
      <c r="G61" s="33" t="s">
        <v>1624</v>
      </c>
      <c r="H61" s="368" t="s">
        <v>1699</v>
      </c>
      <c r="I61" s="367" t="s">
        <v>1700</v>
      </c>
      <c r="J61" s="21">
        <v>6</v>
      </c>
      <c r="K61" s="62" t="str">
        <f>VLOOKUP(Ruimtestaat[[#This Row],[Ruimte code]],Ruimtegroepen[[#All],[Code]:[Ruimte omschrijving]],2,FALSE)</f>
        <v>Gangen/hallen</v>
      </c>
      <c r="L61" s="33" t="s">
        <v>101</v>
      </c>
      <c r="M61" s="367" t="s">
        <v>2495</v>
      </c>
      <c r="N61" s="140">
        <v>63</v>
      </c>
      <c r="O61" s="140"/>
      <c r="P61" s="125" t="str">
        <f>VLOOKUP(Ruimtestaat[[#This Row],[Ruimte code]],Ruimtegroepen[],4,FALSE)</f>
        <v>Ve</v>
      </c>
      <c r="Q61" s="125" t="s">
        <v>2533</v>
      </c>
      <c r="R61" s="33">
        <v>40</v>
      </c>
      <c r="S61" s="33" t="s">
        <v>2</v>
      </c>
      <c r="T61" s="33">
        <f>IF(R61&gt;0,IF(RIGHT(Ruimtestaat[[#This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1" s="33">
        <f>IF(T61&gt;0,VLOOKUP($J61,Ruimtegroepen[],3,FALSE)*VLOOKUP($L61,Vloersoorten[],3,FALSE)*VLOOKUP($S61,Frequenties[],3,FALSE)*VLOOKUP($A61,Locaties[],3,FALSE),0)</f>
        <v>0</v>
      </c>
      <c r="V61" s="33">
        <f>Ruimtestaat[[#This Row],[Uitvoeringen werkdagen]]*Ruimtestaat[[#This Row],[Oppervlak (netto)]]</f>
        <v>12600</v>
      </c>
      <c r="W61" s="154">
        <f>IF(U61&gt;0,Ruimtestaat[[#This Row],[Prest. (m2 /jaar) werkdagen]]/Ruimtestaat[[#This Row],[Norm (m2/uur) werkdagen]],0)</f>
        <v>0</v>
      </c>
      <c r="X61" s="155">
        <f>Ruimtestaat[[#This Row],[uren / jaar werkdagen]]*Tariefsopbouw!$E$35</f>
        <v>0</v>
      </c>
      <c r="Y61" s="33"/>
      <c r="Z61" s="33">
        <f>IF(Ruimtestaat[[#This Row],[Frequentie weekend]]&gt;0,VALUE(LEFT(Y61,1))*R61,0)</f>
        <v>0</v>
      </c>
      <c r="AA61" s="97">
        <f>IF($Z61&gt;0,VLOOKUP($J61,Ruimtegroepen[],3,FALSE)*VLOOKUP($L61,Vloersoorten[],3,FALSE)*VLOOKUP($Y61,Frequenties[],3,FALSE)*VLOOKUP(Ruimtestaat[[#This Row],[Code]],Locaties[],3,FALSE),0)</f>
        <v>0</v>
      </c>
      <c r="AB61" s="97">
        <f>Ruimtestaat[[#This Row],[Uitvoeringen weekend]]*Ruimtestaat[[#This Row],[Oppervlak (netto)]]</f>
        <v>0</v>
      </c>
      <c r="AC61" s="97">
        <f>IF(AA61&gt;0,Ruimtestaat[[#This Row],[Prest. (m2 /jaar) weekend]]/Ruimtestaat[[#This Row],[Norm (m2/uur) weekend]],0)</f>
        <v>0</v>
      </c>
      <c r="AD61" s="155">
        <f>Ruimtestaat[[#This Row],[uren / jaar weekend]]*Tariefsopbouw!$D$40</f>
        <v>0</v>
      </c>
      <c r="AE61" s="154">
        <f>Ruimtestaat[[#This Row],[Prest. (m2 /jaar) weekend]]+Ruimtestaat[[#This Row],[Prest. (m2 /jaar) werkdagen]]</f>
        <v>12600</v>
      </c>
      <c r="AF61" s="154">
        <f>Ruimtestaat[[#This Row],[uren / jaar weekend]]+Ruimtestaat[[#This Row],[uren / jaar werkdagen]]</f>
        <v>0</v>
      </c>
      <c r="AG61" s="69">
        <f>Ruimtestaat[[#This Row],[kosten / jaar weekend]]+Ruimtestaat[[#This Row],[kosten / jaar werkdagen]]</f>
        <v>0</v>
      </c>
      <c r="AH61" s="69"/>
      <c r="AI61" s="256" t="str">
        <f>IF(Ruimtestaat[[#This Row],[Frequentie werkdagen]]="","",_xlfn.CONCAT(Ruimtestaat[[#This Row],[Ruimte code]],"-",Ruimtestaat[[#This Row],[Frequentie werkdagen]]," ",Ruimtestaat[[#This Row],[Vloer code]]))</f>
        <v>6-5w L</v>
      </c>
      <c r="AJ61" s="363" t="str">
        <f>_xlfn.IFNA(VLOOKUP($AI61,Programma!$F$3:$G$1107,2,0),"")</f>
        <v>_</v>
      </c>
      <c r="AK61" s="363" t="str">
        <f>_xlfn.IFNA(VLOOKUP($AI61,Programma!$F$3:$H$1107,3,0),"")</f>
        <v>_</v>
      </c>
      <c r="AL61" s="363" t="str">
        <f>_xlfn.IFNA(VLOOKUP($AI61,Programma!$F$3:$I$1107,4,0),"")</f>
        <v>_</v>
      </c>
      <c r="AM61" s="363" t="str">
        <f>_xlfn.IFNA(VLOOKUP($AI61,Programma!$F$3:$J$1107,5,0),"")</f>
        <v>5w</v>
      </c>
      <c r="AN61" s="363" t="str">
        <f>_xlfn.IFNA(VLOOKUP($AI61,Programma!$F$3:$K$1107,6,0),"")</f>
        <v>_</v>
      </c>
      <c r="AO61" s="363" t="str">
        <f>_xlfn.IFNA(VLOOKUP($AI61,Programma!$F$3:$L$1107,7,0),"")</f>
        <v>_</v>
      </c>
      <c r="AP61" s="363" t="str">
        <f>_xlfn.IFNA(VLOOKUP($AI61,Programma!$F$3:$M$1107,8,0),"")</f>
        <v>_</v>
      </c>
      <c r="AQ61" s="363" t="str">
        <f>_xlfn.IFNA(VLOOKUP($AI61,Programma!$F$3:$N$1107,9,0),"")</f>
        <v>_</v>
      </c>
      <c r="AR61" s="363" t="str">
        <f>_xlfn.IFNA(VLOOKUP($AI61,Programma!$F$3:$O$1107,10,0),"")</f>
        <v>5w</v>
      </c>
      <c r="AS61" s="363" t="str">
        <f>_xlfn.IFNA(VLOOKUP($AI61,Programma!$F$3:$P$1107,11,0),"")</f>
        <v>5w</v>
      </c>
      <c r="AT61" s="363" t="str">
        <f>_xlfn.IFNA(VLOOKUP($AI61,Programma!$F$3:$Q$1107,12,0),"")</f>
        <v>1w</v>
      </c>
      <c r="AU61" s="363" t="str">
        <f>_xlfn.IFNA(VLOOKUP($AI61,Programma!$F$3:$R$1107,13,0),"")</f>
        <v>1w</v>
      </c>
      <c r="AV61" s="363" t="str">
        <f>_xlfn.IFNA(VLOOKUP($AI61,Programma!$F$3:$S$1107,14,0),"")</f>
        <v>1m</v>
      </c>
      <c r="AW61" s="363" t="str">
        <f>_xlfn.IFNA(VLOOKUP($AI61,Programma!$F$3:$T$1107,15,0),"")</f>
        <v>2j</v>
      </c>
      <c r="AX61" s="363" t="str">
        <f>_xlfn.IFNA(VLOOKUP($AI61,Programma!$F$3:$U$1107,16,0),"")</f>
        <v>1j</v>
      </c>
      <c r="AY61" s="363" t="str">
        <f>_xlfn.IFNA(VLOOKUP($AI61,Programma!$F$3:$V$1107,17,0),"")</f>
        <v>_</v>
      </c>
      <c r="AZ61" s="363" t="str">
        <f>_xlfn.IFNA(VLOOKUP($AI61,Programma!$F$3:$W$1107,18,0),"")</f>
        <v>_</v>
      </c>
      <c r="BA61" s="363" t="str">
        <f>_xlfn.IFNA(VLOOKUP($AI61,Programma!$F$3:$X$1107,19,0),"")</f>
        <v>_</v>
      </c>
      <c r="BB61" s="363" t="str">
        <f>_xlfn.IFNA(VLOOKUP($AI61,Programma!$F$3:$Y$1107,20,0),"")</f>
        <v>_</v>
      </c>
      <c r="BC61" s="257"/>
      <c r="BD61" s="256" t="str">
        <f>IF(Ruimtestaat[[#This Row],[Frequentie weekend]]="","",_xlfn.CONCAT(Ruimtestaat[[#This Row],[Ruimte code]],"-",Ruimtestaat[[#This Row],[Frequentie weekend]]," ",Ruimtestaat[[#This Row],[Vloer code]]))</f>
        <v/>
      </c>
      <c r="BE61" s="363" t="str">
        <f>_xlfn.IFNA(VLOOKUP($BD61,Programma!$F$3:$G$1107,2,0),"")</f>
        <v/>
      </c>
      <c r="BF61" s="363" t="str">
        <f>_xlfn.IFNA(VLOOKUP($BD61,Programma!$F$3:$H$1107,3,0),"")</f>
        <v/>
      </c>
      <c r="BG61" s="363" t="str">
        <f>_xlfn.IFNA(VLOOKUP($BD61,Programma!$F$3:$I$1107,4,0),"")</f>
        <v/>
      </c>
      <c r="BH61" s="363" t="str">
        <f>_xlfn.IFNA(VLOOKUP($BD61,Programma!$F$3:$J$1107,5,0),"")</f>
        <v/>
      </c>
      <c r="BI61" s="363" t="str">
        <f>_xlfn.IFNA(VLOOKUP($BD61,Programma!$F$3:$K$1107,6,0),"")</f>
        <v/>
      </c>
      <c r="BJ61" s="363" t="str">
        <f>_xlfn.IFNA(VLOOKUP($BD61,Programma!$F$3:$L$1107,7,0),"")</f>
        <v/>
      </c>
      <c r="BK61" s="363" t="str">
        <f>_xlfn.IFNA(VLOOKUP($BD61,Programma!$F$3:$M$1107,8,0),"")</f>
        <v/>
      </c>
      <c r="BL61" s="363" t="str">
        <f>_xlfn.IFNA(VLOOKUP($BD61,Programma!$F$3:$N$1107,9,0),"")</f>
        <v/>
      </c>
      <c r="BM61" s="363" t="str">
        <f>_xlfn.IFNA(VLOOKUP($BD61,Programma!$F$3:$O$1107,10,0),"")</f>
        <v/>
      </c>
      <c r="BN61" s="363" t="str">
        <f>_xlfn.IFNA(VLOOKUP($BD61,Programma!$F$3:$P$1107,11,0),"")</f>
        <v/>
      </c>
      <c r="BO61" s="363" t="str">
        <f>_xlfn.IFNA(VLOOKUP($BD61,Programma!$F$3:$Q$1107,12,0),"")</f>
        <v/>
      </c>
      <c r="BP61" s="363" t="str">
        <f>_xlfn.IFNA(VLOOKUP($BD61,Programma!$F$3:$R$1107,13,0),"")</f>
        <v/>
      </c>
      <c r="BQ61" s="363" t="str">
        <f>_xlfn.IFNA(VLOOKUP($BD61,Programma!$F$3:$S$1107,14,0),"")</f>
        <v/>
      </c>
      <c r="BR61" s="363" t="str">
        <f>_xlfn.IFNA(VLOOKUP($BD61,Programma!$F$3:$T$1107,15,0),"")</f>
        <v/>
      </c>
      <c r="BS61" s="363" t="str">
        <f>_xlfn.IFNA(VLOOKUP($BD61,Programma!$F$3:$U$1107,16,0),"")</f>
        <v/>
      </c>
      <c r="BT61" s="363" t="str">
        <f>_xlfn.IFNA(VLOOKUP($BD61,Programma!$F$3:$V$1107,17,0),"")</f>
        <v/>
      </c>
      <c r="BU61" s="363" t="str">
        <f>_xlfn.IFNA(VLOOKUP($BD61,Programma!$F$3:$W$1107,18,0),"")</f>
        <v/>
      </c>
      <c r="BV61" s="363" t="str">
        <f>_xlfn.IFNA(VLOOKUP($BD61,Programma!$F$3:$X$1107,19,0),"")</f>
        <v/>
      </c>
      <c r="BW61" s="363" t="str">
        <f>_xlfn.IFNA(VLOOKUP($BD61,Programma!$F$3:$Y$1107,20,0),"")</f>
        <v/>
      </c>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row>
    <row r="62" spans="1:220" ht="15" customHeight="1">
      <c r="A62" s="33">
        <v>2</v>
      </c>
      <c r="B62" s="157" t="str">
        <f>VLOOKUP(Ruimtestaat[[#This Row],[Code]],Locaties[[Code]:[Locatie]],2,FALSE)</f>
        <v>'s Gravendreef College</v>
      </c>
      <c r="C62" s="157" t="str">
        <f>VLOOKUP(Ruimtestaat[[#This Row],[Code]],Locaties[[#All],[Code]:[Adres]],4,FALSE)</f>
        <v>Klaas Voskuildreef 135</v>
      </c>
      <c r="D62" s="157" t="str">
        <f>VLOOKUP(Ruimtestaat[[#This Row],[Code]],Locaties[[#All],[Code]:[Postcode]],5,FALSE)</f>
        <v>2492 JJ</v>
      </c>
      <c r="E62" s="157" t="str">
        <f>VLOOKUP(Ruimtestaat[[#This Row],[Code]],Locaties[#All],6,FALSE)</f>
        <v>Den Haag</v>
      </c>
      <c r="F62" s="33"/>
      <c r="G62" s="33" t="s">
        <v>1624</v>
      </c>
      <c r="H62" s="368" t="s">
        <v>1701</v>
      </c>
      <c r="I62" s="367" t="s">
        <v>1702</v>
      </c>
      <c r="J62" s="21">
        <v>16</v>
      </c>
      <c r="K62" s="62" t="str">
        <f>VLOOKUP(Ruimtestaat[[#This Row],[Ruimte code]],Ruimtegroepen[[#All],[Code]:[Ruimte omschrijving]],2,FALSE)</f>
        <v>Leslokalen theorie</v>
      </c>
      <c r="L62" s="33" t="s">
        <v>101</v>
      </c>
      <c r="M62" s="367" t="s">
        <v>2495</v>
      </c>
      <c r="N62" s="140">
        <v>56</v>
      </c>
      <c r="O62" s="140"/>
      <c r="P62" s="125" t="str">
        <f>VLOOKUP(Ruimtestaat[[#This Row],[Ruimte code]],Ruimtegroepen[],4,FALSE)</f>
        <v>Le</v>
      </c>
      <c r="Q62" s="125" t="s">
        <v>2533</v>
      </c>
      <c r="R62" s="33">
        <v>40</v>
      </c>
      <c r="S62" s="33" t="s">
        <v>2</v>
      </c>
      <c r="T62" s="33">
        <f>IF(R62&gt;0,IF(RIGHT(Ruimtestaat[[#This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2" s="33">
        <f>IF(T62&gt;0,VLOOKUP($J62,Ruimtegroepen[],3,FALSE)*VLOOKUP($L62,Vloersoorten[],3,FALSE)*VLOOKUP($S62,Frequenties[],3,FALSE)*VLOOKUP($A62,Locaties[],3,FALSE),0)</f>
        <v>0</v>
      </c>
      <c r="V62" s="33">
        <f>Ruimtestaat[[#This Row],[Uitvoeringen werkdagen]]*Ruimtestaat[[#This Row],[Oppervlak (netto)]]</f>
        <v>11200</v>
      </c>
      <c r="W62" s="154">
        <f>IF(U62&gt;0,Ruimtestaat[[#This Row],[Prest. (m2 /jaar) werkdagen]]/Ruimtestaat[[#This Row],[Norm (m2/uur) werkdagen]],0)</f>
        <v>0</v>
      </c>
      <c r="X62" s="155">
        <f>Ruimtestaat[[#This Row],[uren / jaar werkdagen]]*Tariefsopbouw!$E$35</f>
        <v>0</v>
      </c>
      <c r="Y62" s="33"/>
      <c r="Z62" s="33">
        <f>IF(Ruimtestaat[[#This Row],[Frequentie weekend]]&gt;0,VALUE(LEFT(Y62,1))*R62,0)</f>
        <v>0</v>
      </c>
      <c r="AA62" s="97">
        <f>IF($Z62&gt;0,VLOOKUP($J62,Ruimtegroepen[],3,FALSE)*VLOOKUP($L62,Vloersoorten[],3,FALSE)*VLOOKUP($Y62,Frequenties[],3,FALSE)*VLOOKUP(Ruimtestaat[[#This Row],[Code]],Locaties[],3,FALSE),0)</f>
        <v>0</v>
      </c>
      <c r="AB62" s="97">
        <f>Ruimtestaat[[#This Row],[Uitvoeringen weekend]]*Ruimtestaat[[#This Row],[Oppervlak (netto)]]</f>
        <v>0</v>
      </c>
      <c r="AC62" s="97">
        <f>IF(AA62&gt;0,Ruimtestaat[[#This Row],[Prest. (m2 /jaar) weekend]]/Ruimtestaat[[#This Row],[Norm (m2/uur) weekend]],0)</f>
        <v>0</v>
      </c>
      <c r="AD62" s="155">
        <f>Ruimtestaat[[#This Row],[uren / jaar weekend]]*Tariefsopbouw!$D$40</f>
        <v>0</v>
      </c>
      <c r="AE62" s="154">
        <f>Ruimtestaat[[#This Row],[Prest. (m2 /jaar) weekend]]+Ruimtestaat[[#This Row],[Prest. (m2 /jaar) werkdagen]]</f>
        <v>11200</v>
      </c>
      <c r="AF62" s="154">
        <f>Ruimtestaat[[#This Row],[uren / jaar weekend]]+Ruimtestaat[[#This Row],[uren / jaar werkdagen]]</f>
        <v>0</v>
      </c>
      <c r="AG62" s="69">
        <f>Ruimtestaat[[#This Row],[kosten / jaar weekend]]+Ruimtestaat[[#This Row],[kosten / jaar werkdagen]]</f>
        <v>0</v>
      </c>
      <c r="AH62" s="69"/>
      <c r="AI62" s="256" t="str">
        <f>IF(Ruimtestaat[[#This Row],[Frequentie werkdagen]]="","",_xlfn.CONCAT(Ruimtestaat[[#This Row],[Ruimte code]],"-",Ruimtestaat[[#This Row],[Frequentie werkdagen]]," ",Ruimtestaat[[#This Row],[Vloer code]]))</f>
        <v>16-5w L</v>
      </c>
      <c r="AJ62" s="363" t="str">
        <f>_xlfn.IFNA(VLOOKUP($AI62,Programma!$F$3:$G$1107,2,0),"")</f>
        <v>_</v>
      </c>
      <c r="AK62" s="363" t="str">
        <f>_xlfn.IFNA(VLOOKUP($AI62,Programma!$F$3:$H$1107,3,0),"")</f>
        <v>_</v>
      </c>
      <c r="AL62" s="363" t="str">
        <f>_xlfn.IFNA(VLOOKUP($AI62,Programma!$F$3:$I$1107,4,0),"")</f>
        <v>4w</v>
      </c>
      <c r="AM62" s="363" t="str">
        <f>_xlfn.IFNA(VLOOKUP($AI62,Programma!$F$3:$J$1107,5,0),"")</f>
        <v>1w</v>
      </c>
      <c r="AN62" s="363" t="str">
        <f>_xlfn.IFNA(VLOOKUP($AI62,Programma!$F$3:$K$1107,6,0),"")</f>
        <v>_</v>
      </c>
      <c r="AO62" s="363" t="str">
        <f>_xlfn.IFNA(VLOOKUP($AI62,Programma!$F$3:$L$1107,7,0),"")</f>
        <v>_</v>
      </c>
      <c r="AP62" s="363" t="str">
        <f>_xlfn.IFNA(VLOOKUP($AI62,Programma!$F$3:$M$1107,8,0),"")</f>
        <v>_</v>
      </c>
      <c r="AQ62" s="363" t="str">
        <f>_xlfn.IFNA(VLOOKUP($AI62,Programma!$F$3:$N$1107,9,0),"")</f>
        <v>_</v>
      </c>
      <c r="AR62" s="363" t="str">
        <f>_xlfn.IFNA(VLOOKUP($AI62,Programma!$F$3:$O$1107,10,0),"")</f>
        <v>5w</v>
      </c>
      <c r="AS62" s="363" t="str">
        <f>_xlfn.IFNA(VLOOKUP($AI62,Programma!$F$3:$P$1107,11,0),"")</f>
        <v>5w</v>
      </c>
      <c r="AT62" s="363" t="str">
        <f>_xlfn.IFNA(VLOOKUP($AI62,Programma!$F$3:$Q$1107,12,0),"")</f>
        <v>1w</v>
      </c>
      <c r="AU62" s="363" t="str">
        <f>_xlfn.IFNA(VLOOKUP($AI62,Programma!$F$3:$R$1107,13,0),"")</f>
        <v>1w</v>
      </c>
      <c r="AV62" s="363" t="str">
        <f>_xlfn.IFNA(VLOOKUP($AI62,Programma!$F$3:$S$1107,14,0),"")</f>
        <v>1m</v>
      </c>
      <c r="AW62" s="363" t="str">
        <f>_xlfn.IFNA(VLOOKUP($AI62,Programma!$F$3:$T$1107,15,0),"")</f>
        <v>2j</v>
      </c>
      <c r="AX62" s="363" t="str">
        <f>_xlfn.IFNA(VLOOKUP($AI62,Programma!$F$3:$U$1107,16,0),"")</f>
        <v>1j</v>
      </c>
      <c r="AY62" s="363" t="str">
        <f>_xlfn.IFNA(VLOOKUP($AI62,Programma!$F$3:$V$1107,17,0),"")</f>
        <v>_</v>
      </c>
      <c r="AZ62" s="363" t="str">
        <f>_xlfn.IFNA(VLOOKUP($AI62,Programma!$F$3:$W$1107,18,0),"")</f>
        <v>_</v>
      </c>
      <c r="BA62" s="363" t="str">
        <f>_xlfn.IFNA(VLOOKUP($AI62,Programma!$F$3:$X$1107,19,0),"")</f>
        <v>_</v>
      </c>
      <c r="BB62" s="363" t="str">
        <f>_xlfn.IFNA(VLOOKUP($AI62,Programma!$F$3:$Y$1107,20,0),"")</f>
        <v>_</v>
      </c>
      <c r="BC62" s="257"/>
      <c r="BD62" s="256" t="str">
        <f>IF(Ruimtestaat[[#This Row],[Frequentie weekend]]="","",_xlfn.CONCAT(Ruimtestaat[[#This Row],[Ruimte code]],"-",Ruimtestaat[[#This Row],[Frequentie weekend]]," ",Ruimtestaat[[#This Row],[Vloer code]]))</f>
        <v/>
      </c>
      <c r="BE62" s="363" t="str">
        <f>_xlfn.IFNA(VLOOKUP($BD62,Programma!$F$3:$G$1107,2,0),"")</f>
        <v/>
      </c>
      <c r="BF62" s="363" t="str">
        <f>_xlfn.IFNA(VLOOKUP($BD62,Programma!$F$3:$H$1107,3,0),"")</f>
        <v/>
      </c>
      <c r="BG62" s="363" t="str">
        <f>_xlfn.IFNA(VLOOKUP($BD62,Programma!$F$3:$I$1107,4,0),"")</f>
        <v/>
      </c>
      <c r="BH62" s="363" t="str">
        <f>_xlfn.IFNA(VLOOKUP($BD62,Programma!$F$3:$J$1107,5,0),"")</f>
        <v/>
      </c>
      <c r="BI62" s="363" t="str">
        <f>_xlfn.IFNA(VLOOKUP($BD62,Programma!$F$3:$K$1107,6,0),"")</f>
        <v/>
      </c>
      <c r="BJ62" s="363" t="str">
        <f>_xlfn.IFNA(VLOOKUP($BD62,Programma!$F$3:$L$1107,7,0),"")</f>
        <v/>
      </c>
      <c r="BK62" s="363" t="str">
        <f>_xlfn.IFNA(VLOOKUP($BD62,Programma!$F$3:$M$1107,8,0),"")</f>
        <v/>
      </c>
      <c r="BL62" s="363" t="str">
        <f>_xlfn.IFNA(VLOOKUP($BD62,Programma!$F$3:$N$1107,9,0),"")</f>
        <v/>
      </c>
      <c r="BM62" s="363" t="str">
        <f>_xlfn.IFNA(VLOOKUP($BD62,Programma!$F$3:$O$1107,10,0),"")</f>
        <v/>
      </c>
      <c r="BN62" s="363" t="str">
        <f>_xlfn.IFNA(VLOOKUP($BD62,Programma!$F$3:$P$1107,11,0),"")</f>
        <v/>
      </c>
      <c r="BO62" s="363" t="str">
        <f>_xlfn.IFNA(VLOOKUP($BD62,Programma!$F$3:$Q$1107,12,0),"")</f>
        <v/>
      </c>
      <c r="BP62" s="363" t="str">
        <f>_xlfn.IFNA(VLOOKUP($BD62,Programma!$F$3:$R$1107,13,0),"")</f>
        <v/>
      </c>
      <c r="BQ62" s="363" t="str">
        <f>_xlfn.IFNA(VLOOKUP($BD62,Programma!$F$3:$S$1107,14,0),"")</f>
        <v/>
      </c>
      <c r="BR62" s="363" t="str">
        <f>_xlfn.IFNA(VLOOKUP($BD62,Programma!$F$3:$T$1107,15,0),"")</f>
        <v/>
      </c>
      <c r="BS62" s="363" t="str">
        <f>_xlfn.IFNA(VLOOKUP($BD62,Programma!$F$3:$U$1107,16,0),"")</f>
        <v/>
      </c>
      <c r="BT62" s="363" t="str">
        <f>_xlfn.IFNA(VLOOKUP($BD62,Programma!$F$3:$V$1107,17,0),"")</f>
        <v/>
      </c>
      <c r="BU62" s="363" t="str">
        <f>_xlfn.IFNA(VLOOKUP($BD62,Programma!$F$3:$W$1107,18,0),"")</f>
        <v/>
      </c>
      <c r="BV62" s="363" t="str">
        <f>_xlfn.IFNA(VLOOKUP($BD62,Programma!$F$3:$X$1107,19,0),"")</f>
        <v/>
      </c>
      <c r="BW62" s="363" t="str">
        <f>_xlfn.IFNA(VLOOKUP($BD62,Programma!$F$3:$Y$1107,20,0),"")</f>
        <v/>
      </c>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row>
    <row r="63" spans="1:220" ht="15" customHeight="1">
      <c r="A63" s="33">
        <v>2</v>
      </c>
      <c r="B63" s="157" t="str">
        <f>VLOOKUP(Ruimtestaat[[#This Row],[Code]],Locaties[[Code]:[Locatie]],2,FALSE)</f>
        <v>'s Gravendreef College</v>
      </c>
      <c r="C63" s="157" t="str">
        <f>VLOOKUP(Ruimtestaat[[#This Row],[Code]],Locaties[[#All],[Code]:[Adres]],4,FALSE)</f>
        <v>Klaas Voskuildreef 135</v>
      </c>
      <c r="D63" s="157" t="str">
        <f>VLOOKUP(Ruimtestaat[[#This Row],[Code]],Locaties[[#All],[Code]:[Postcode]],5,FALSE)</f>
        <v>2492 JJ</v>
      </c>
      <c r="E63" s="157" t="str">
        <f>VLOOKUP(Ruimtestaat[[#This Row],[Code]],Locaties[#All],6,FALSE)</f>
        <v>Den Haag</v>
      </c>
      <c r="F63" s="33"/>
      <c r="G63" s="33" t="s">
        <v>1624</v>
      </c>
      <c r="H63" s="368" t="s">
        <v>1703</v>
      </c>
      <c r="I63" s="367" t="s">
        <v>1702</v>
      </c>
      <c r="J63" s="21">
        <v>16</v>
      </c>
      <c r="K63" s="62" t="str">
        <f>VLOOKUP(Ruimtestaat[[#This Row],[Ruimte code]],Ruimtegroepen[[#All],[Code]:[Ruimte omschrijving]],2,FALSE)</f>
        <v>Leslokalen theorie</v>
      </c>
      <c r="L63" s="33" t="s">
        <v>101</v>
      </c>
      <c r="M63" s="367" t="s">
        <v>2495</v>
      </c>
      <c r="N63" s="140">
        <v>90</v>
      </c>
      <c r="O63" s="140"/>
      <c r="P63" s="125" t="str">
        <f>VLOOKUP(Ruimtestaat[[#This Row],[Ruimte code]],Ruimtegroepen[],4,FALSE)</f>
        <v>Le</v>
      </c>
      <c r="Q63" s="125" t="s">
        <v>2533</v>
      </c>
      <c r="R63" s="33">
        <v>40</v>
      </c>
      <c r="S63" s="33" t="s">
        <v>2</v>
      </c>
      <c r="T63" s="33">
        <f>IF(R63&gt;0,IF(RIGHT(Ruimtestaat[[#This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3" s="33">
        <f>IF(T63&gt;0,VLOOKUP($J63,Ruimtegroepen[],3,FALSE)*VLOOKUP($L63,Vloersoorten[],3,FALSE)*VLOOKUP($S63,Frequenties[],3,FALSE)*VLOOKUP($A63,Locaties[],3,FALSE),0)</f>
        <v>0</v>
      </c>
      <c r="V63" s="33">
        <f>Ruimtestaat[[#This Row],[Uitvoeringen werkdagen]]*Ruimtestaat[[#This Row],[Oppervlak (netto)]]</f>
        <v>18000</v>
      </c>
      <c r="W63" s="154">
        <f>IF(U63&gt;0,Ruimtestaat[[#This Row],[Prest. (m2 /jaar) werkdagen]]/Ruimtestaat[[#This Row],[Norm (m2/uur) werkdagen]],0)</f>
        <v>0</v>
      </c>
      <c r="X63" s="155">
        <f>Ruimtestaat[[#This Row],[uren / jaar werkdagen]]*Tariefsopbouw!$E$35</f>
        <v>0</v>
      </c>
      <c r="Y63" s="33"/>
      <c r="Z63" s="33">
        <f>IF(Ruimtestaat[[#This Row],[Frequentie weekend]]&gt;0,VALUE(LEFT(Y63,1))*R63,0)</f>
        <v>0</v>
      </c>
      <c r="AA63" s="97">
        <f>IF($Z63&gt;0,VLOOKUP($J63,Ruimtegroepen[],3,FALSE)*VLOOKUP($L63,Vloersoorten[],3,FALSE)*VLOOKUP($Y63,Frequenties[],3,FALSE)*VLOOKUP(Ruimtestaat[[#This Row],[Code]],Locaties[],3,FALSE),0)</f>
        <v>0</v>
      </c>
      <c r="AB63" s="97">
        <f>Ruimtestaat[[#This Row],[Uitvoeringen weekend]]*Ruimtestaat[[#This Row],[Oppervlak (netto)]]</f>
        <v>0</v>
      </c>
      <c r="AC63" s="97">
        <f>IF(AA63&gt;0,Ruimtestaat[[#This Row],[Prest. (m2 /jaar) weekend]]/Ruimtestaat[[#This Row],[Norm (m2/uur) weekend]],0)</f>
        <v>0</v>
      </c>
      <c r="AD63" s="155">
        <f>Ruimtestaat[[#This Row],[uren / jaar weekend]]*Tariefsopbouw!$D$40</f>
        <v>0</v>
      </c>
      <c r="AE63" s="154">
        <f>Ruimtestaat[[#This Row],[Prest. (m2 /jaar) weekend]]+Ruimtestaat[[#This Row],[Prest. (m2 /jaar) werkdagen]]</f>
        <v>18000</v>
      </c>
      <c r="AF63" s="154">
        <f>Ruimtestaat[[#This Row],[uren / jaar weekend]]+Ruimtestaat[[#This Row],[uren / jaar werkdagen]]</f>
        <v>0</v>
      </c>
      <c r="AG63" s="69">
        <f>Ruimtestaat[[#This Row],[kosten / jaar weekend]]+Ruimtestaat[[#This Row],[kosten / jaar werkdagen]]</f>
        <v>0</v>
      </c>
      <c r="AH63" s="69"/>
      <c r="AI63" s="256" t="str">
        <f>IF(Ruimtestaat[[#This Row],[Frequentie werkdagen]]="","",_xlfn.CONCAT(Ruimtestaat[[#This Row],[Ruimte code]],"-",Ruimtestaat[[#This Row],[Frequentie werkdagen]]," ",Ruimtestaat[[#This Row],[Vloer code]]))</f>
        <v>16-5w L</v>
      </c>
      <c r="AJ63" s="363" t="str">
        <f>_xlfn.IFNA(VLOOKUP($AI63,Programma!$F$3:$G$1107,2,0),"")</f>
        <v>_</v>
      </c>
      <c r="AK63" s="363" t="str">
        <f>_xlfn.IFNA(VLOOKUP($AI63,Programma!$F$3:$H$1107,3,0),"")</f>
        <v>_</v>
      </c>
      <c r="AL63" s="363" t="str">
        <f>_xlfn.IFNA(VLOOKUP($AI63,Programma!$F$3:$I$1107,4,0),"")</f>
        <v>4w</v>
      </c>
      <c r="AM63" s="363" t="str">
        <f>_xlfn.IFNA(VLOOKUP($AI63,Programma!$F$3:$J$1107,5,0),"")</f>
        <v>1w</v>
      </c>
      <c r="AN63" s="363" t="str">
        <f>_xlfn.IFNA(VLOOKUP($AI63,Programma!$F$3:$K$1107,6,0),"")</f>
        <v>_</v>
      </c>
      <c r="AO63" s="363" t="str">
        <f>_xlfn.IFNA(VLOOKUP($AI63,Programma!$F$3:$L$1107,7,0),"")</f>
        <v>_</v>
      </c>
      <c r="AP63" s="363" t="str">
        <f>_xlfn.IFNA(VLOOKUP($AI63,Programma!$F$3:$M$1107,8,0),"")</f>
        <v>_</v>
      </c>
      <c r="AQ63" s="363" t="str">
        <f>_xlfn.IFNA(VLOOKUP($AI63,Programma!$F$3:$N$1107,9,0),"")</f>
        <v>_</v>
      </c>
      <c r="AR63" s="363" t="str">
        <f>_xlfn.IFNA(VLOOKUP($AI63,Programma!$F$3:$O$1107,10,0),"")</f>
        <v>5w</v>
      </c>
      <c r="AS63" s="363" t="str">
        <f>_xlfn.IFNA(VLOOKUP($AI63,Programma!$F$3:$P$1107,11,0),"")</f>
        <v>5w</v>
      </c>
      <c r="AT63" s="363" t="str">
        <f>_xlfn.IFNA(VLOOKUP($AI63,Programma!$F$3:$Q$1107,12,0),"")</f>
        <v>1w</v>
      </c>
      <c r="AU63" s="363" t="str">
        <f>_xlfn.IFNA(VLOOKUP($AI63,Programma!$F$3:$R$1107,13,0),"")</f>
        <v>1w</v>
      </c>
      <c r="AV63" s="363" t="str">
        <f>_xlfn.IFNA(VLOOKUP($AI63,Programma!$F$3:$S$1107,14,0),"")</f>
        <v>1m</v>
      </c>
      <c r="AW63" s="363" t="str">
        <f>_xlfn.IFNA(VLOOKUP($AI63,Programma!$F$3:$T$1107,15,0),"")</f>
        <v>2j</v>
      </c>
      <c r="AX63" s="363" t="str">
        <f>_xlfn.IFNA(VLOOKUP($AI63,Programma!$F$3:$U$1107,16,0),"")</f>
        <v>1j</v>
      </c>
      <c r="AY63" s="363" t="str">
        <f>_xlfn.IFNA(VLOOKUP($AI63,Programma!$F$3:$V$1107,17,0),"")</f>
        <v>_</v>
      </c>
      <c r="AZ63" s="363" t="str">
        <f>_xlfn.IFNA(VLOOKUP($AI63,Programma!$F$3:$W$1107,18,0),"")</f>
        <v>_</v>
      </c>
      <c r="BA63" s="363" t="str">
        <f>_xlfn.IFNA(VLOOKUP($AI63,Programma!$F$3:$X$1107,19,0),"")</f>
        <v>_</v>
      </c>
      <c r="BB63" s="363" t="str">
        <f>_xlfn.IFNA(VLOOKUP($AI63,Programma!$F$3:$Y$1107,20,0),"")</f>
        <v>_</v>
      </c>
      <c r="BC63" s="257"/>
      <c r="BD63" s="256" t="str">
        <f>IF(Ruimtestaat[[#This Row],[Frequentie weekend]]="","",_xlfn.CONCAT(Ruimtestaat[[#This Row],[Ruimte code]],"-",Ruimtestaat[[#This Row],[Frequentie weekend]]," ",Ruimtestaat[[#This Row],[Vloer code]]))</f>
        <v/>
      </c>
      <c r="BE63" s="363" t="str">
        <f>_xlfn.IFNA(VLOOKUP($BD63,Programma!$F$3:$G$1107,2,0),"")</f>
        <v/>
      </c>
      <c r="BF63" s="363" t="str">
        <f>_xlfn.IFNA(VLOOKUP($BD63,Programma!$F$3:$H$1107,3,0),"")</f>
        <v/>
      </c>
      <c r="BG63" s="363" t="str">
        <f>_xlfn.IFNA(VLOOKUP($BD63,Programma!$F$3:$I$1107,4,0),"")</f>
        <v/>
      </c>
      <c r="BH63" s="363" t="str">
        <f>_xlfn.IFNA(VLOOKUP($BD63,Programma!$F$3:$J$1107,5,0),"")</f>
        <v/>
      </c>
      <c r="BI63" s="363" t="str">
        <f>_xlfn.IFNA(VLOOKUP($BD63,Programma!$F$3:$K$1107,6,0),"")</f>
        <v/>
      </c>
      <c r="BJ63" s="363" t="str">
        <f>_xlfn.IFNA(VLOOKUP($BD63,Programma!$F$3:$L$1107,7,0),"")</f>
        <v/>
      </c>
      <c r="BK63" s="363" t="str">
        <f>_xlfn.IFNA(VLOOKUP($BD63,Programma!$F$3:$M$1107,8,0),"")</f>
        <v/>
      </c>
      <c r="BL63" s="363" t="str">
        <f>_xlfn.IFNA(VLOOKUP($BD63,Programma!$F$3:$N$1107,9,0),"")</f>
        <v/>
      </c>
      <c r="BM63" s="363" t="str">
        <f>_xlfn.IFNA(VLOOKUP($BD63,Programma!$F$3:$O$1107,10,0),"")</f>
        <v/>
      </c>
      <c r="BN63" s="363" t="str">
        <f>_xlfn.IFNA(VLOOKUP($BD63,Programma!$F$3:$P$1107,11,0),"")</f>
        <v/>
      </c>
      <c r="BO63" s="363" t="str">
        <f>_xlfn.IFNA(VLOOKUP($BD63,Programma!$F$3:$Q$1107,12,0),"")</f>
        <v/>
      </c>
      <c r="BP63" s="363" t="str">
        <f>_xlfn.IFNA(VLOOKUP($BD63,Programma!$F$3:$R$1107,13,0),"")</f>
        <v/>
      </c>
      <c r="BQ63" s="363" t="str">
        <f>_xlfn.IFNA(VLOOKUP($BD63,Programma!$F$3:$S$1107,14,0),"")</f>
        <v/>
      </c>
      <c r="BR63" s="363" t="str">
        <f>_xlfn.IFNA(VLOOKUP($BD63,Programma!$F$3:$T$1107,15,0),"")</f>
        <v/>
      </c>
      <c r="BS63" s="363" t="str">
        <f>_xlfn.IFNA(VLOOKUP($BD63,Programma!$F$3:$U$1107,16,0),"")</f>
        <v/>
      </c>
      <c r="BT63" s="363" t="str">
        <f>_xlfn.IFNA(VLOOKUP($BD63,Programma!$F$3:$V$1107,17,0),"")</f>
        <v/>
      </c>
      <c r="BU63" s="363" t="str">
        <f>_xlfn.IFNA(VLOOKUP($BD63,Programma!$F$3:$W$1107,18,0),"")</f>
        <v/>
      </c>
      <c r="BV63" s="363" t="str">
        <f>_xlfn.IFNA(VLOOKUP($BD63,Programma!$F$3:$X$1107,19,0),"")</f>
        <v/>
      </c>
      <c r="BW63" s="363" t="str">
        <f>_xlfn.IFNA(VLOOKUP($BD63,Programma!$F$3:$Y$1107,20,0),"")</f>
        <v/>
      </c>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row>
    <row r="64" spans="1:220" ht="15" customHeight="1">
      <c r="A64" s="33">
        <v>2</v>
      </c>
      <c r="B64" s="157" t="str">
        <f>VLOOKUP(Ruimtestaat[[#This Row],[Code]],Locaties[[Code]:[Locatie]],2,FALSE)</f>
        <v>'s Gravendreef College</v>
      </c>
      <c r="C64" s="157" t="str">
        <f>VLOOKUP(Ruimtestaat[[#This Row],[Code]],Locaties[[#All],[Code]:[Adres]],4,FALSE)</f>
        <v>Klaas Voskuildreef 135</v>
      </c>
      <c r="D64" s="157" t="str">
        <f>VLOOKUP(Ruimtestaat[[#This Row],[Code]],Locaties[[#All],[Code]:[Postcode]],5,FALSE)</f>
        <v>2492 JJ</v>
      </c>
      <c r="E64" s="157" t="str">
        <f>VLOOKUP(Ruimtestaat[[#This Row],[Code]],Locaties[#All],6,FALSE)</f>
        <v>Den Haag</v>
      </c>
      <c r="F64" s="33"/>
      <c r="G64" s="33" t="s">
        <v>1624</v>
      </c>
      <c r="H64" s="368" t="s">
        <v>1704</v>
      </c>
      <c r="I64" s="367" t="s">
        <v>1702</v>
      </c>
      <c r="J64" s="21">
        <v>16</v>
      </c>
      <c r="K64" s="62" t="str">
        <f>VLOOKUP(Ruimtestaat[[#This Row],[Ruimte code]],Ruimtegroepen[[#All],[Code]:[Ruimte omschrijving]],2,FALSE)</f>
        <v>Leslokalen theorie</v>
      </c>
      <c r="L64" s="33" t="s">
        <v>101</v>
      </c>
      <c r="M64" s="367" t="s">
        <v>2495</v>
      </c>
      <c r="N64" s="140">
        <v>85</v>
      </c>
      <c r="O64" s="140"/>
      <c r="P64" s="125" t="str">
        <f>VLOOKUP(Ruimtestaat[[#This Row],[Ruimte code]],Ruimtegroepen[],4,FALSE)</f>
        <v>Le</v>
      </c>
      <c r="Q64" s="125" t="s">
        <v>2533</v>
      </c>
      <c r="R64" s="33">
        <v>40</v>
      </c>
      <c r="S64" s="33" t="s">
        <v>2</v>
      </c>
      <c r="T64" s="33">
        <f>IF(R64&gt;0,IF(RIGHT(Ruimtestaat[[#This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4" s="33">
        <f>IF(T64&gt;0,VLOOKUP($J64,Ruimtegroepen[],3,FALSE)*VLOOKUP($L64,Vloersoorten[],3,FALSE)*VLOOKUP($S64,Frequenties[],3,FALSE)*VLOOKUP($A64,Locaties[],3,FALSE),0)</f>
        <v>0</v>
      </c>
      <c r="V64" s="33">
        <f>Ruimtestaat[[#This Row],[Uitvoeringen werkdagen]]*Ruimtestaat[[#This Row],[Oppervlak (netto)]]</f>
        <v>17000</v>
      </c>
      <c r="W64" s="154">
        <f>IF(U64&gt;0,Ruimtestaat[[#This Row],[Prest. (m2 /jaar) werkdagen]]/Ruimtestaat[[#This Row],[Norm (m2/uur) werkdagen]],0)</f>
        <v>0</v>
      </c>
      <c r="X64" s="155">
        <f>Ruimtestaat[[#This Row],[uren / jaar werkdagen]]*Tariefsopbouw!$E$35</f>
        <v>0</v>
      </c>
      <c r="Y64" s="33"/>
      <c r="Z64" s="33">
        <f>IF(Ruimtestaat[[#This Row],[Frequentie weekend]]&gt;0,VALUE(LEFT(Y64,1))*R64,0)</f>
        <v>0</v>
      </c>
      <c r="AA64" s="97">
        <f>IF($Z64&gt;0,VLOOKUP($J64,Ruimtegroepen[],3,FALSE)*VLOOKUP($L64,Vloersoorten[],3,FALSE)*VLOOKUP($Y64,Frequenties[],3,FALSE)*VLOOKUP(Ruimtestaat[[#This Row],[Code]],Locaties[],3,FALSE),0)</f>
        <v>0</v>
      </c>
      <c r="AB64" s="97">
        <f>Ruimtestaat[[#This Row],[Uitvoeringen weekend]]*Ruimtestaat[[#This Row],[Oppervlak (netto)]]</f>
        <v>0</v>
      </c>
      <c r="AC64" s="97">
        <f>IF(AA64&gt;0,Ruimtestaat[[#This Row],[Prest. (m2 /jaar) weekend]]/Ruimtestaat[[#This Row],[Norm (m2/uur) weekend]],0)</f>
        <v>0</v>
      </c>
      <c r="AD64" s="155">
        <f>Ruimtestaat[[#This Row],[uren / jaar weekend]]*Tariefsopbouw!$D$40</f>
        <v>0</v>
      </c>
      <c r="AE64" s="154">
        <f>Ruimtestaat[[#This Row],[Prest. (m2 /jaar) weekend]]+Ruimtestaat[[#This Row],[Prest. (m2 /jaar) werkdagen]]</f>
        <v>17000</v>
      </c>
      <c r="AF64" s="154">
        <f>Ruimtestaat[[#This Row],[uren / jaar weekend]]+Ruimtestaat[[#This Row],[uren / jaar werkdagen]]</f>
        <v>0</v>
      </c>
      <c r="AG64" s="69">
        <f>Ruimtestaat[[#This Row],[kosten / jaar weekend]]+Ruimtestaat[[#This Row],[kosten / jaar werkdagen]]</f>
        <v>0</v>
      </c>
      <c r="AH64" s="69"/>
      <c r="AI64" s="256" t="str">
        <f>IF(Ruimtestaat[[#This Row],[Frequentie werkdagen]]="","",_xlfn.CONCAT(Ruimtestaat[[#This Row],[Ruimte code]],"-",Ruimtestaat[[#This Row],[Frequentie werkdagen]]," ",Ruimtestaat[[#This Row],[Vloer code]]))</f>
        <v>16-5w L</v>
      </c>
      <c r="AJ64" s="363" t="str">
        <f>_xlfn.IFNA(VLOOKUP($AI64,Programma!$F$3:$G$1107,2,0),"")</f>
        <v>_</v>
      </c>
      <c r="AK64" s="363" t="str">
        <f>_xlfn.IFNA(VLOOKUP($AI64,Programma!$F$3:$H$1107,3,0),"")</f>
        <v>_</v>
      </c>
      <c r="AL64" s="363" t="str">
        <f>_xlfn.IFNA(VLOOKUP($AI64,Programma!$F$3:$I$1107,4,0),"")</f>
        <v>4w</v>
      </c>
      <c r="AM64" s="363" t="str">
        <f>_xlfn.IFNA(VLOOKUP($AI64,Programma!$F$3:$J$1107,5,0),"")</f>
        <v>1w</v>
      </c>
      <c r="AN64" s="363" t="str">
        <f>_xlfn.IFNA(VLOOKUP($AI64,Programma!$F$3:$K$1107,6,0),"")</f>
        <v>_</v>
      </c>
      <c r="AO64" s="363" t="str">
        <f>_xlfn.IFNA(VLOOKUP($AI64,Programma!$F$3:$L$1107,7,0),"")</f>
        <v>_</v>
      </c>
      <c r="AP64" s="363" t="str">
        <f>_xlfn.IFNA(VLOOKUP($AI64,Programma!$F$3:$M$1107,8,0),"")</f>
        <v>_</v>
      </c>
      <c r="AQ64" s="363" t="str">
        <f>_xlfn.IFNA(VLOOKUP($AI64,Programma!$F$3:$N$1107,9,0),"")</f>
        <v>_</v>
      </c>
      <c r="AR64" s="363" t="str">
        <f>_xlfn.IFNA(VLOOKUP($AI64,Programma!$F$3:$O$1107,10,0),"")</f>
        <v>5w</v>
      </c>
      <c r="AS64" s="363" t="str">
        <f>_xlfn.IFNA(VLOOKUP($AI64,Programma!$F$3:$P$1107,11,0),"")</f>
        <v>5w</v>
      </c>
      <c r="AT64" s="363" t="str">
        <f>_xlfn.IFNA(VLOOKUP($AI64,Programma!$F$3:$Q$1107,12,0),"")</f>
        <v>1w</v>
      </c>
      <c r="AU64" s="363" t="str">
        <f>_xlfn.IFNA(VLOOKUP($AI64,Programma!$F$3:$R$1107,13,0),"")</f>
        <v>1w</v>
      </c>
      <c r="AV64" s="363" t="str">
        <f>_xlfn.IFNA(VLOOKUP($AI64,Programma!$F$3:$S$1107,14,0),"")</f>
        <v>1m</v>
      </c>
      <c r="AW64" s="363" t="str">
        <f>_xlfn.IFNA(VLOOKUP($AI64,Programma!$F$3:$T$1107,15,0),"")</f>
        <v>2j</v>
      </c>
      <c r="AX64" s="363" t="str">
        <f>_xlfn.IFNA(VLOOKUP($AI64,Programma!$F$3:$U$1107,16,0),"")</f>
        <v>1j</v>
      </c>
      <c r="AY64" s="363" t="str">
        <f>_xlfn.IFNA(VLOOKUP($AI64,Programma!$F$3:$V$1107,17,0),"")</f>
        <v>_</v>
      </c>
      <c r="AZ64" s="363" t="str">
        <f>_xlfn.IFNA(VLOOKUP($AI64,Programma!$F$3:$W$1107,18,0),"")</f>
        <v>_</v>
      </c>
      <c r="BA64" s="363" t="str">
        <f>_xlfn.IFNA(VLOOKUP($AI64,Programma!$F$3:$X$1107,19,0),"")</f>
        <v>_</v>
      </c>
      <c r="BB64" s="363" t="str">
        <f>_xlfn.IFNA(VLOOKUP($AI64,Programma!$F$3:$Y$1107,20,0),"")</f>
        <v>_</v>
      </c>
      <c r="BC64" s="257"/>
      <c r="BD64" s="256" t="str">
        <f>IF(Ruimtestaat[[#This Row],[Frequentie weekend]]="","",_xlfn.CONCAT(Ruimtestaat[[#This Row],[Ruimte code]],"-",Ruimtestaat[[#This Row],[Frequentie weekend]]," ",Ruimtestaat[[#This Row],[Vloer code]]))</f>
        <v/>
      </c>
      <c r="BE64" s="363" t="str">
        <f>_xlfn.IFNA(VLOOKUP($BD64,Programma!$F$3:$G$1107,2,0),"")</f>
        <v/>
      </c>
      <c r="BF64" s="363" t="str">
        <f>_xlfn.IFNA(VLOOKUP($BD64,Programma!$F$3:$H$1107,3,0),"")</f>
        <v/>
      </c>
      <c r="BG64" s="363" t="str">
        <f>_xlfn.IFNA(VLOOKUP($BD64,Programma!$F$3:$I$1107,4,0),"")</f>
        <v/>
      </c>
      <c r="BH64" s="363" t="str">
        <f>_xlfn.IFNA(VLOOKUP($BD64,Programma!$F$3:$J$1107,5,0),"")</f>
        <v/>
      </c>
      <c r="BI64" s="363" t="str">
        <f>_xlfn.IFNA(VLOOKUP($BD64,Programma!$F$3:$K$1107,6,0),"")</f>
        <v/>
      </c>
      <c r="BJ64" s="363" t="str">
        <f>_xlfn.IFNA(VLOOKUP($BD64,Programma!$F$3:$L$1107,7,0),"")</f>
        <v/>
      </c>
      <c r="BK64" s="363" t="str">
        <f>_xlfn.IFNA(VLOOKUP($BD64,Programma!$F$3:$M$1107,8,0),"")</f>
        <v/>
      </c>
      <c r="BL64" s="363" t="str">
        <f>_xlfn.IFNA(VLOOKUP($BD64,Programma!$F$3:$N$1107,9,0),"")</f>
        <v/>
      </c>
      <c r="BM64" s="363" t="str">
        <f>_xlfn.IFNA(VLOOKUP($BD64,Programma!$F$3:$O$1107,10,0),"")</f>
        <v/>
      </c>
      <c r="BN64" s="363" t="str">
        <f>_xlfn.IFNA(VLOOKUP($BD64,Programma!$F$3:$P$1107,11,0),"")</f>
        <v/>
      </c>
      <c r="BO64" s="363" t="str">
        <f>_xlfn.IFNA(VLOOKUP($BD64,Programma!$F$3:$Q$1107,12,0),"")</f>
        <v/>
      </c>
      <c r="BP64" s="363" t="str">
        <f>_xlfn.IFNA(VLOOKUP($BD64,Programma!$F$3:$R$1107,13,0),"")</f>
        <v/>
      </c>
      <c r="BQ64" s="363" t="str">
        <f>_xlfn.IFNA(VLOOKUP($BD64,Programma!$F$3:$S$1107,14,0),"")</f>
        <v/>
      </c>
      <c r="BR64" s="363" t="str">
        <f>_xlfn.IFNA(VLOOKUP($BD64,Programma!$F$3:$T$1107,15,0),"")</f>
        <v/>
      </c>
      <c r="BS64" s="363" t="str">
        <f>_xlfn.IFNA(VLOOKUP($BD64,Programma!$F$3:$U$1107,16,0),"")</f>
        <v/>
      </c>
      <c r="BT64" s="363" t="str">
        <f>_xlfn.IFNA(VLOOKUP($BD64,Programma!$F$3:$V$1107,17,0),"")</f>
        <v/>
      </c>
      <c r="BU64" s="363" t="str">
        <f>_xlfn.IFNA(VLOOKUP($BD64,Programma!$F$3:$W$1107,18,0),"")</f>
        <v/>
      </c>
      <c r="BV64" s="363" t="str">
        <f>_xlfn.IFNA(VLOOKUP($BD64,Programma!$F$3:$X$1107,19,0),"")</f>
        <v/>
      </c>
      <c r="BW64" s="363" t="str">
        <f>_xlfn.IFNA(VLOOKUP($BD64,Programma!$F$3:$Y$1107,20,0),"")</f>
        <v/>
      </c>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row>
    <row r="65" spans="1:220" ht="15" customHeight="1">
      <c r="A65" s="33">
        <v>2</v>
      </c>
      <c r="B65" s="157" t="str">
        <f>VLOOKUP(Ruimtestaat[[#This Row],[Code]],Locaties[[Code]:[Locatie]],2,FALSE)</f>
        <v>'s Gravendreef College</v>
      </c>
      <c r="C65" s="157" t="str">
        <f>VLOOKUP(Ruimtestaat[[#This Row],[Code]],Locaties[[#All],[Code]:[Adres]],4,FALSE)</f>
        <v>Klaas Voskuildreef 135</v>
      </c>
      <c r="D65" s="157" t="str">
        <f>VLOOKUP(Ruimtestaat[[#This Row],[Code]],Locaties[[#All],[Code]:[Postcode]],5,FALSE)</f>
        <v>2492 JJ</v>
      </c>
      <c r="E65" s="157" t="str">
        <f>VLOOKUP(Ruimtestaat[[#This Row],[Code]],Locaties[#All],6,FALSE)</f>
        <v>Den Haag</v>
      </c>
      <c r="F65" s="33"/>
      <c r="G65" s="33" t="s">
        <v>1624</v>
      </c>
      <c r="H65" s="368" t="s">
        <v>1705</v>
      </c>
      <c r="I65" s="367" t="s">
        <v>1702</v>
      </c>
      <c r="J65" s="21">
        <v>16</v>
      </c>
      <c r="K65" s="62" t="str">
        <f>VLOOKUP(Ruimtestaat[[#This Row],[Ruimte code]],Ruimtegroepen[[#All],[Code]:[Ruimte omschrijving]],2,FALSE)</f>
        <v>Leslokalen theorie</v>
      </c>
      <c r="L65" s="33" t="s">
        <v>101</v>
      </c>
      <c r="M65" s="367" t="s">
        <v>2495</v>
      </c>
      <c r="N65" s="140">
        <v>52</v>
      </c>
      <c r="O65" s="140"/>
      <c r="P65" s="125" t="str">
        <f>VLOOKUP(Ruimtestaat[[#This Row],[Ruimte code]],Ruimtegroepen[],4,FALSE)</f>
        <v>Le</v>
      </c>
      <c r="Q65" s="125" t="s">
        <v>2533</v>
      </c>
      <c r="R65" s="33">
        <v>40</v>
      </c>
      <c r="S65" s="33" t="s">
        <v>2</v>
      </c>
      <c r="T65" s="33">
        <f>IF(R65&gt;0,IF(RIGHT(Ruimtestaat[[#This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5" s="33">
        <f>IF(T65&gt;0,VLOOKUP($J65,Ruimtegroepen[],3,FALSE)*VLOOKUP($L65,Vloersoorten[],3,FALSE)*VLOOKUP($S65,Frequenties[],3,FALSE)*VLOOKUP($A65,Locaties[],3,FALSE),0)</f>
        <v>0</v>
      </c>
      <c r="V65" s="33">
        <f>Ruimtestaat[[#This Row],[Uitvoeringen werkdagen]]*Ruimtestaat[[#This Row],[Oppervlak (netto)]]</f>
        <v>10400</v>
      </c>
      <c r="W65" s="154">
        <f>IF(U65&gt;0,Ruimtestaat[[#This Row],[Prest. (m2 /jaar) werkdagen]]/Ruimtestaat[[#This Row],[Norm (m2/uur) werkdagen]],0)</f>
        <v>0</v>
      </c>
      <c r="X65" s="155">
        <f>Ruimtestaat[[#This Row],[uren / jaar werkdagen]]*Tariefsopbouw!$E$35</f>
        <v>0</v>
      </c>
      <c r="Y65" s="33"/>
      <c r="Z65" s="33">
        <f>IF(Ruimtestaat[[#This Row],[Frequentie weekend]]&gt;0,VALUE(LEFT(Y65,1))*R65,0)</f>
        <v>0</v>
      </c>
      <c r="AA65" s="97">
        <f>IF($Z65&gt;0,VLOOKUP($J65,Ruimtegroepen[],3,FALSE)*VLOOKUP($L65,Vloersoorten[],3,FALSE)*VLOOKUP($Y65,Frequenties[],3,FALSE)*VLOOKUP(Ruimtestaat[[#This Row],[Code]],Locaties[],3,FALSE),0)</f>
        <v>0</v>
      </c>
      <c r="AB65" s="97">
        <f>Ruimtestaat[[#This Row],[Uitvoeringen weekend]]*Ruimtestaat[[#This Row],[Oppervlak (netto)]]</f>
        <v>0</v>
      </c>
      <c r="AC65" s="97">
        <f>IF(AA65&gt;0,Ruimtestaat[[#This Row],[Prest. (m2 /jaar) weekend]]/Ruimtestaat[[#This Row],[Norm (m2/uur) weekend]],0)</f>
        <v>0</v>
      </c>
      <c r="AD65" s="155">
        <f>Ruimtestaat[[#This Row],[uren / jaar weekend]]*Tariefsopbouw!$D$40</f>
        <v>0</v>
      </c>
      <c r="AE65" s="154">
        <f>Ruimtestaat[[#This Row],[Prest. (m2 /jaar) weekend]]+Ruimtestaat[[#This Row],[Prest. (m2 /jaar) werkdagen]]</f>
        <v>10400</v>
      </c>
      <c r="AF65" s="154">
        <f>Ruimtestaat[[#This Row],[uren / jaar weekend]]+Ruimtestaat[[#This Row],[uren / jaar werkdagen]]</f>
        <v>0</v>
      </c>
      <c r="AG65" s="69">
        <f>Ruimtestaat[[#This Row],[kosten / jaar weekend]]+Ruimtestaat[[#This Row],[kosten / jaar werkdagen]]</f>
        <v>0</v>
      </c>
      <c r="AH65" s="69"/>
      <c r="AI65" s="256" t="str">
        <f>IF(Ruimtestaat[[#This Row],[Frequentie werkdagen]]="","",_xlfn.CONCAT(Ruimtestaat[[#This Row],[Ruimte code]],"-",Ruimtestaat[[#This Row],[Frequentie werkdagen]]," ",Ruimtestaat[[#This Row],[Vloer code]]))</f>
        <v>16-5w L</v>
      </c>
      <c r="AJ65" s="363" t="str">
        <f>_xlfn.IFNA(VLOOKUP($AI65,Programma!$F$3:$G$1107,2,0),"")</f>
        <v>_</v>
      </c>
      <c r="AK65" s="363" t="str">
        <f>_xlfn.IFNA(VLOOKUP($AI65,Programma!$F$3:$H$1107,3,0),"")</f>
        <v>_</v>
      </c>
      <c r="AL65" s="363" t="str">
        <f>_xlfn.IFNA(VLOOKUP($AI65,Programma!$F$3:$I$1107,4,0),"")</f>
        <v>4w</v>
      </c>
      <c r="AM65" s="363" t="str">
        <f>_xlfn.IFNA(VLOOKUP($AI65,Programma!$F$3:$J$1107,5,0),"")</f>
        <v>1w</v>
      </c>
      <c r="AN65" s="363" t="str">
        <f>_xlfn.IFNA(VLOOKUP($AI65,Programma!$F$3:$K$1107,6,0),"")</f>
        <v>_</v>
      </c>
      <c r="AO65" s="363" t="str">
        <f>_xlfn.IFNA(VLOOKUP($AI65,Programma!$F$3:$L$1107,7,0),"")</f>
        <v>_</v>
      </c>
      <c r="AP65" s="363" t="str">
        <f>_xlfn.IFNA(VLOOKUP($AI65,Programma!$F$3:$M$1107,8,0),"")</f>
        <v>_</v>
      </c>
      <c r="AQ65" s="363" t="str">
        <f>_xlfn.IFNA(VLOOKUP($AI65,Programma!$F$3:$N$1107,9,0),"")</f>
        <v>_</v>
      </c>
      <c r="AR65" s="363" t="str">
        <f>_xlfn.IFNA(VLOOKUP($AI65,Programma!$F$3:$O$1107,10,0),"")</f>
        <v>5w</v>
      </c>
      <c r="AS65" s="363" t="str">
        <f>_xlfn.IFNA(VLOOKUP($AI65,Programma!$F$3:$P$1107,11,0),"")</f>
        <v>5w</v>
      </c>
      <c r="AT65" s="363" t="str">
        <f>_xlfn.IFNA(VLOOKUP($AI65,Programma!$F$3:$Q$1107,12,0),"")</f>
        <v>1w</v>
      </c>
      <c r="AU65" s="363" t="str">
        <f>_xlfn.IFNA(VLOOKUP($AI65,Programma!$F$3:$R$1107,13,0),"")</f>
        <v>1w</v>
      </c>
      <c r="AV65" s="363" t="str">
        <f>_xlfn.IFNA(VLOOKUP($AI65,Programma!$F$3:$S$1107,14,0),"")</f>
        <v>1m</v>
      </c>
      <c r="AW65" s="363" t="str">
        <f>_xlfn.IFNA(VLOOKUP($AI65,Programma!$F$3:$T$1107,15,0),"")</f>
        <v>2j</v>
      </c>
      <c r="AX65" s="363" t="str">
        <f>_xlfn.IFNA(VLOOKUP($AI65,Programma!$F$3:$U$1107,16,0),"")</f>
        <v>1j</v>
      </c>
      <c r="AY65" s="363" t="str">
        <f>_xlfn.IFNA(VLOOKUP($AI65,Programma!$F$3:$V$1107,17,0),"")</f>
        <v>_</v>
      </c>
      <c r="AZ65" s="363" t="str">
        <f>_xlfn.IFNA(VLOOKUP($AI65,Programma!$F$3:$W$1107,18,0),"")</f>
        <v>_</v>
      </c>
      <c r="BA65" s="363" t="str">
        <f>_xlfn.IFNA(VLOOKUP($AI65,Programma!$F$3:$X$1107,19,0),"")</f>
        <v>_</v>
      </c>
      <c r="BB65" s="363" t="str">
        <f>_xlfn.IFNA(VLOOKUP($AI65,Programma!$F$3:$Y$1107,20,0),"")</f>
        <v>_</v>
      </c>
      <c r="BC65" s="257"/>
      <c r="BD65" s="256" t="str">
        <f>IF(Ruimtestaat[[#This Row],[Frequentie weekend]]="","",_xlfn.CONCAT(Ruimtestaat[[#This Row],[Ruimte code]],"-",Ruimtestaat[[#This Row],[Frequentie weekend]]," ",Ruimtestaat[[#This Row],[Vloer code]]))</f>
        <v/>
      </c>
      <c r="BE65" s="363" t="str">
        <f>_xlfn.IFNA(VLOOKUP($BD65,Programma!$F$3:$G$1107,2,0),"")</f>
        <v/>
      </c>
      <c r="BF65" s="363" t="str">
        <f>_xlfn.IFNA(VLOOKUP($BD65,Programma!$F$3:$H$1107,3,0),"")</f>
        <v/>
      </c>
      <c r="BG65" s="363" t="str">
        <f>_xlfn.IFNA(VLOOKUP($BD65,Programma!$F$3:$I$1107,4,0),"")</f>
        <v/>
      </c>
      <c r="BH65" s="363" t="str">
        <f>_xlfn.IFNA(VLOOKUP($BD65,Programma!$F$3:$J$1107,5,0),"")</f>
        <v/>
      </c>
      <c r="BI65" s="363" t="str">
        <f>_xlfn.IFNA(VLOOKUP($BD65,Programma!$F$3:$K$1107,6,0),"")</f>
        <v/>
      </c>
      <c r="BJ65" s="363" t="str">
        <f>_xlfn.IFNA(VLOOKUP($BD65,Programma!$F$3:$L$1107,7,0),"")</f>
        <v/>
      </c>
      <c r="BK65" s="363" t="str">
        <f>_xlfn.IFNA(VLOOKUP($BD65,Programma!$F$3:$M$1107,8,0),"")</f>
        <v/>
      </c>
      <c r="BL65" s="363" t="str">
        <f>_xlfn.IFNA(VLOOKUP($BD65,Programma!$F$3:$N$1107,9,0),"")</f>
        <v/>
      </c>
      <c r="BM65" s="363" t="str">
        <f>_xlfn.IFNA(VLOOKUP($BD65,Programma!$F$3:$O$1107,10,0),"")</f>
        <v/>
      </c>
      <c r="BN65" s="363" t="str">
        <f>_xlfn.IFNA(VLOOKUP($BD65,Programma!$F$3:$P$1107,11,0),"")</f>
        <v/>
      </c>
      <c r="BO65" s="363" t="str">
        <f>_xlfn.IFNA(VLOOKUP($BD65,Programma!$F$3:$Q$1107,12,0),"")</f>
        <v/>
      </c>
      <c r="BP65" s="363" t="str">
        <f>_xlfn.IFNA(VLOOKUP($BD65,Programma!$F$3:$R$1107,13,0),"")</f>
        <v/>
      </c>
      <c r="BQ65" s="363" t="str">
        <f>_xlfn.IFNA(VLOOKUP($BD65,Programma!$F$3:$S$1107,14,0),"")</f>
        <v/>
      </c>
      <c r="BR65" s="363" t="str">
        <f>_xlfn.IFNA(VLOOKUP($BD65,Programma!$F$3:$T$1107,15,0),"")</f>
        <v/>
      </c>
      <c r="BS65" s="363" t="str">
        <f>_xlfn.IFNA(VLOOKUP($BD65,Programma!$F$3:$U$1107,16,0),"")</f>
        <v/>
      </c>
      <c r="BT65" s="363" t="str">
        <f>_xlfn.IFNA(VLOOKUP($BD65,Programma!$F$3:$V$1107,17,0),"")</f>
        <v/>
      </c>
      <c r="BU65" s="363" t="str">
        <f>_xlfn.IFNA(VLOOKUP($BD65,Programma!$F$3:$W$1107,18,0),"")</f>
        <v/>
      </c>
      <c r="BV65" s="363" t="str">
        <f>_xlfn.IFNA(VLOOKUP($BD65,Programma!$F$3:$X$1107,19,0),"")</f>
        <v/>
      </c>
      <c r="BW65" s="363" t="str">
        <f>_xlfn.IFNA(VLOOKUP($BD65,Programma!$F$3:$Y$1107,20,0),"")</f>
        <v/>
      </c>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row>
    <row r="66" spans="1:220" ht="15" customHeight="1">
      <c r="A66" s="21">
        <v>2</v>
      </c>
      <c r="B66" s="157" t="str">
        <f>VLOOKUP(Ruimtestaat[[#This Row],[Code]],Locaties[[Code]:[Locatie]],2,FALSE)</f>
        <v>'s Gravendreef College</v>
      </c>
      <c r="C66" s="157" t="str">
        <f>VLOOKUP(Ruimtestaat[[#This Row],[Code]],Locaties[[#All],[Code]:[Adres]],4,FALSE)</f>
        <v>Klaas Voskuildreef 135</v>
      </c>
      <c r="D66" s="157" t="str">
        <f>VLOOKUP(Ruimtestaat[[#This Row],[Code]],Locaties[[#All],[Code]:[Postcode]],5,FALSE)</f>
        <v>2492 JJ</v>
      </c>
      <c r="E66" s="157" t="str">
        <f>VLOOKUP(Ruimtestaat[[#This Row],[Code]],Locaties[#All],6,FALSE)</f>
        <v>Den Haag</v>
      </c>
      <c r="F66" s="33"/>
      <c r="G66" s="33" t="s">
        <v>1706</v>
      </c>
      <c r="H66" s="368" t="s">
        <v>1707</v>
      </c>
      <c r="I66" s="367" t="s">
        <v>1655</v>
      </c>
      <c r="J66" s="21">
        <v>10</v>
      </c>
      <c r="K66" s="62" t="str">
        <f>VLOOKUP(Ruimtestaat[[#This Row],[Ruimte code]],Ruimtegroepen[[#All],[Code]:[Ruimte omschrijving]],2,FALSE)</f>
        <v>Trappenhuizen/lift</v>
      </c>
      <c r="L66" s="33" t="s">
        <v>103</v>
      </c>
      <c r="M66" s="367" t="s">
        <v>2498</v>
      </c>
      <c r="N66" s="140">
        <v>23</v>
      </c>
      <c r="O66" s="140"/>
      <c r="P66" s="125" t="str">
        <f>VLOOKUP(Ruimtestaat[[#This Row],[Ruimte code]],Ruimtegroepen[],4,FALSE)</f>
        <v>Ve</v>
      </c>
      <c r="R66" s="33">
        <v>40</v>
      </c>
      <c r="S66" s="33" t="s">
        <v>2</v>
      </c>
      <c r="T66" s="33">
        <f>IF(R66&gt;0,IF(RIGHT(Ruimtestaat[[#This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6" s="33">
        <f>IF(T66&gt;0,VLOOKUP($J66,Ruimtegroepen[],3,FALSE)*VLOOKUP($L66,Vloersoorten[],3,FALSE)*VLOOKUP($S66,Frequenties[],3,FALSE)*VLOOKUP($A66,Locaties[],3,FALSE),0)</f>
        <v>0</v>
      </c>
      <c r="V66" s="33">
        <f>Ruimtestaat[[#This Row],[Uitvoeringen werkdagen]]*Ruimtestaat[[#This Row],[Oppervlak (netto)]]</f>
        <v>4600</v>
      </c>
      <c r="W66" s="154">
        <f>IF(U66&gt;0,Ruimtestaat[[#This Row],[Prest. (m2 /jaar) werkdagen]]/Ruimtestaat[[#This Row],[Norm (m2/uur) werkdagen]],0)</f>
        <v>0</v>
      </c>
      <c r="X66" s="155">
        <f>Ruimtestaat[[#This Row],[uren / jaar werkdagen]]*Tariefsopbouw!$E$35</f>
        <v>0</v>
      </c>
      <c r="Y66" s="33"/>
      <c r="Z66" s="33">
        <f>IF(Ruimtestaat[[#This Row],[Frequentie weekend]]&gt;0,VALUE(LEFT(Y66,1))*R66,0)</f>
        <v>0</v>
      </c>
      <c r="AA66" s="97">
        <f>IF($Z66&gt;0,VLOOKUP($J66,Ruimtegroepen[],3,FALSE)*VLOOKUP($L66,Vloersoorten[],3,FALSE)*VLOOKUP($Y66,Frequenties[],3,FALSE)*VLOOKUP(Ruimtestaat[[#This Row],[Code]],Locaties[],3,FALSE),0)</f>
        <v>0</v>
      </c>
      <c r="AB66" s="97">
        <f>Ruimtestaat[[#This Row],[Uitvoeringen weekend]]*Ruimtestaat[[#This Row],[Oppervlak (netto)]]</f>
        <v>0</v>
      </c>
      <c r="AC66" s="97">
        <f>IF(AA66&gt;0,Ruimtestaat[[#This Row],[Prest. (m2 /jaar) weekend]]/Ruimtestaat[[#This Row],[Norm (m2/uur) weekend]],0)</f>
        <v>0</v>
      </c>
      <c r="AD66" s="155">
        <f>Ruimtestaat[[#This Row],[uren / jaar weekend]]*Tariefsopbouw!$D$40</f>
        <v>0</v>
      </c>
      <c r="AE66" s="154">
        <f>Ruimtestaat[[#This Row],[Prest. (m2 /jaar) weekend]]+Ruimtestaat[[#This Row],[Prest. (m2 /jaar) werkdagen]]</f>
        <v>4600</v>
      </c>
      <c r="AF66" s="154">
        <f>Ruimtestaat[[#This Row],[uren / jaar weekend]]+Ruimtestaat[[#This Row],[uren / jaar werkdagen]]</f>
        <v>0</v>
      </c>
      <c r="AG66" s="69">
        <f>Ruimtestaat[[#This Row],[kosten / jaar weekend]]+Ruimtestaat[[#This Row],[kosten / jaar werkdagen]]</f>
        <v>0</v>
      </c>
      <c r="AH66" s="69"/>
      <c r="AI66" s="256" t="str">
        <f>IF(Ruimtestaat[[#This Row],[Frequentie werkdagen]]="","",_xlfn.CONCAT(Ruimtestaat[[#This Row],[Ruimte code]],"-",Ruimtestaat[[#This Row],[Frequentie werkdagen]]," ",Ruimtestaat[[#This Row],[Vloer code]]))</f>
        <v>10-5w P</v>
      </c>
      <c r="AJ66" s="363" t="str">
        <f>_xlfn.IFNA(VLOOKUP($AI66,Programma!$F$3:$G$1107,2,0),"")</f>
        <v>_</v>
      </c>
      <c r="AK66" s="363" t="str">
        <f>_xlfn.IFNA(VLOOKUP($AI66,Programma!$F$3:$H$1107,3,0),"")</f>
        <v>_</v>
      </c>
      <c r="AL66" s="363" t="str">
        <f>_xlfn.IFNA(VLOOKUP($AI66,Programma!$F$3:$I$1107,4,0),"")</f>
        <v>5w</v>
      </c>
      <c r="AM66" s="363" t="str">
        <f>_xlfn.IFNA(VLOOKUP($AI66,Programma!$F$3:$J$1107,5,0),"")</f>
        <v>_</v>
      </c>
      <c r="AN66" s="363" t="str">
        <f>_xlfn.IFNA(VLOOKUP($AI66,Programma!$F$3:$K$1107,6,0),"")</f>
        <v>4j</v>
      </c>
      <c r="AO66" s="363" t="str">
        <f>_xlfn.IFNA(VLOOKUP($AI66,Programma!$F$3:$L$1107,7,0),"")</f>
        <v>_</v>
      </c>
      <c r="AP66" s="363" t="str">
        <f>_xlfn.IFNA(VLOOKUP($AI66,Programma!$F$3:$M$1107,8,0),"")</f>
        <v>_</v>
      </c>
      <c r="AQ66" s="363" t="str">
        <f>_xlfn.IFNA(VLOOKUP($AI66,Programma!$F$3:$N$1107,9,0),"")</f>
        <v>_</v>
      </c>
      <c r="AR66" s="363" t="str">
        <f>_xlfn.IFNA(VLOOKUP($AI66,Programma!$F$3:$O$1107,10,0),"")</f>
        <v>5w</v>
      </c>
      <c r="AS66" s="363" t="str">
        <f>_xlfn.IFNA(VLOOKUP($AI66,Programma!$F$3:$P$1107,11,0),"")</f>
        <v>5w</v>
      </c>
      <c r="AT66" s="363" t="str">
        <f>_xlfn.IFNA(VLOOKUP($AI66,Programma!$F$3:$Q$1107,12,0),"")</f>
        <v>1w</v>
      </c>
      <c r="AU66" s="363" t="str">
        <f>_xlfn.IFNA(VLOOKUP($AI66,Programma!$F$3:$R$1107,13,0),"")</f>
        <v>1w</v>
      </c>
      <c r="AV66" s="363" t="str">
        <f>_xlfn.IFNA(VLOOKUP($AI66,Programma!$F$3:$S$1107,14,0),"")</f>
        <v>1m</v>
      </c>
      <c r="AW66" s="363" t="str">
        <f>_xlfn.IFNA(VLOOKUP($AI66,Programma!$F$3:$T$1107,15,0),"")</f>
        <v>2j</v>
      </c>
      <c r="AX66" s="363" t="str">
        <f>_xlfn.IFNA(VLOOKUP($AI66,Programma!$F$3:$U$1107,16,0),"")</f>
        <v>1j</v>
      </c>
      <c r="AY66" s="363" t="str">
        <f>_xlfn.IFNA(VLOOKUP($AI66,Programma!$F$3:$V$1107,17,0),"")</f>
        <v>_</v>
      </c>
      <c r="AZ66" s="363" t="str">
        <f>_xlfn.IFNA(VLOOKUP($AI66,Programma!$F$3:$W$1107,18,0),"")</f>
        <v>_</v>
      </c>
      <c r="BA66" s="363" t="str">
        <f>_xlfn.IFNA(VLOOKUP($AI66,Programma!$F$3:$X$1107,19,0),"")</f>
        <v>_</v>
      </c>
      <c r="BB66" s="363" t="str">
        <f>_xlfn.IFNA(VLOOKUP($AI66,Programma!$F$3:$Y$1107,20,0),"")</f>
        <v>_</v>
      </c>
      <c r="BC66" s="257"/>
      <c r="BD66" s="256" t="str">
        <f>IF(Ruimtestaat[[#This Row],[Frequentie weekend]]="","",_xlfn.CONCAT(Ruimtestaat[[#This Row],[Ruimte code]],"-",Ruimtestaat[[#This Row],[Frequentie weekend]]," ",Ruimtestaat[[#This Row],[Vloer code]]))</f>
        <v/>
      </c>
      <c r="BE66" s="363" t="str">
        <f>_xlfn.IFNA(VLOOKUP($BD66,Programma!$F$3:$G$1107,2,0),"")</f>
        <v/>
      </c>
      <c r="BF66" s="363" t="str">
        <f>_xlfn.IFNA(VLOOKUP($BD66,Programma!$F$3:$H$1107,3,0),"")</f>
        <v/>
      </c>
      <c r="BG66" s="363" t="str">
        <f>_xlfn.IFNA(VLOOKUP($BD66,Programma!$F$3:$I$1107,4,0),"")</f>
        <v/>
      </c>
      <c r="BH66" s="363" t="str">
        <f>_xlfn.IFNA(VLOOKUP($BD66,Programma!$F$3:$J$1107,5,0),"")</f>
        <v/>
      </c>
      <c r="BI66" s="363" t="str">
        <f>_xlfn.IFNA(VLOOKUP($BD66,Programma!$F$3:$K$1107,6,0),"")</f>
        <v/>
      </c>
      <c r="BJ66" s="363" t="str">
        <f>_xlfn.IFNA(VLOOKUP($BD66,Programma!$F$3:$L$1107,7,0),"")</f>
        <v/>
      </c>
      <c r="BK66" s="363" t="str">
        <f>_xlfn.IFNA(VLOOKUP($BD66,Programma!$F$3:$M$1107,8,0),"")</f>
        <v/>
      </c>
      <c r="BL66" s="363" t="str">
        <f>_xlfn.IFNA(VLOOKUP($BD66,Programma!$F$3:$N$1107,9,0),"")</f>
        <v/>
      </c>
      <c r="BM66" s="363" t="str">
        <f>_xlfn.IFNA(VLOOKUP($BD66,Programma!$F$3:$O$1107,10,0),"")</f>
        <v/>
      </c>
      <c r="BN66" s="363" t="str">
        <f>_xlfn.IFNA(VLOOKUP($BD66,Programma!$F$3:$P$1107,11,0),"")</f>
        <v/>
      </c>
      <c r="BO66" s="363" t="str">
        <f>_xlfn.IFNA(VLOOKUP($BD66,Programma!$F$3:$Q$1107,12,0),"")</f>
        <v/>
      </c>
      <c r="BP66" s="363" t="str">
        <f>_xlfn.IFNA(VLOOKUP($BD66,Programma!$F$3:$R$1107,13,0),"")</f>
        <v/>
      </c>
      <c r="BQ66" s="363" t="str">
        <f>_xlfn.IFNA(VLOOKUP($BD66,Programma!$F$3:$S$1107,14,0),"")</f>
        <v/>
      </c>
      <c r="BR66" s="363" t="str">
        <f>_xlfn.IFNA(VLOOKUP($BD66,Programma!$F$3:$T$1107,15,0),"")</f>
        <v/>
      </c>
      <c r="BS66" s="363" t="str">
        <f>_xlfn.IFNA(VLOOKUP($BD66,Programma!$F$3:$U$1107,16,0),"")</f>
        <v/>
      </c>
      <c r="BT66" s="363" t="str">
        <f>_xlfn.IFNA(VLOOKUP($BD66,Programma!$F$3:$V$1107,17,0),"")</f>
        <v/>
      </c>
      <c r="BU66" s="363" t="str">
        <f>_xlfn.IFNA(VLOOKUP($BD66,Programma!$F$3:$W$1107,18,0),"")</f>
        <v/>
      </c>
      <c r="BV66" s="363" t="str">
        <f>_xlfn.IFNA(VLOOKUP($BD66,Programma!$F$3:$X$1107,19,0),"")</f>
        <v/>
      </c>
      <c r="BW66" s="363" t="str">
        <f>_xlfn.IFNA(VLOOKUP($BD66,Programma!$F$3:$Y$1107,20,0),"")</f>
        <v/>
      </c>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row>
    <row r="67" spans="1:220" ht="15" customHeight="1">
      <c r="A67" s="21">
        <v>2</v>
      </c>
      <c r="B67" s="157" t="str">
        <f>VLOOKUP(Ruimtestaat[[#This Row],[Code]],Locaties[[Code]:[Locatie]],2,FALSE)</f>
        <v>'s Gravendreef College</v>
      </c>
      <c r="C67" s="157" t="str">
        <f>VLOOKUP(Ruimtestaat[[#This Row],[Code]],Locaties[[#All],[Code]:[Adres]],4,FALSE)</f>
        <v>Klaas Voskuildreef 135</v>
      </c>
      <c r="D67" s="157" t="str">
        <f>VLOOKUP(Ruimtestaat[[#This Row],[Code]],Locaties[[#All],[Code]:[Postcode]],5,FALSE)</f>
        <v>2492 JJ</v>
      </c>
      <c r="E67" s="157" t="str">
        <f>VLOOKUP(Ruimtestaat[[#This Row],[Code]],Locaties[#All],6,FALSE)</f>
        <v>Den Haag</v>
      </c>
      <c r="F67" s="33"/>
      <c r="G67" s="33" t="s">
        <v>1706</v>
      </c>
      <c r="H67" s="368" t="s">
        <v>1708</v>
      </c>
      <c r="I67" s="367" t="s">
        <v>1657</v>
      </c>
      <c r="J67" s="21">
        <v>10</v>
      </c>
      <c r="K67" s="62" t="str">
        <f>VLOOKUP(Ruimtestaat[[#This Row],[Ruimte code]],Ruimtegroepen[[#All],[Code]:[Ruimte omschrijving]],2,FALSE)</f>
        <v>Trappenhuizen/lift</v>
      </c>
      <c r="L67" s="33" t="s">
        <v>102</v>
      </c>
      <c r="M67" s="367" t="s">
        <v>2499</v>
      </c>
      <c r="N67" s="140">
        <v>38</v>
      </c>
      <c r="O67" s="140"/>
      <c r="P67" s="125" t="str">
        <f>VLOOKUP(Ruimtestaat[[#This Row],[Ruimte code]],Ruimtegroepen[],4,FALSE)</f>
        <v>Ve</v>
      </c>
      <c r="R67" s="33">
        <v>40</v>
      </c>
      <c r="S67" s="33" t="s">
        <v>2</v>
      </c>
      <c r="T67" s="33">
        <f>IF(R67&gt;0,IF(RIGHT(Ruimtestaat[[#This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7" s="33">
        <f>IF(T67&gt;0,VLOOKUP($J67,Ruimtegroepen[],3,FALSE)*VLOOKUP($L67,Vloersoorten[],3,FALSE)*VLOOKUP($S67,Frequenties[],3,FALSE)*VLOOKUP($A67,Locaties[],3,FALSE),0)</f>
        <v>0</v>
      </c>
      <c r="V67" s="33">
        <f>Ruimtestaat[[#This Row],[Uitvoeringen werkdagen]]*Ruimtestaat[[#This Row],[Oppervlak (netto)]]</f>
        <v>7600</v>
      </c>
      <c r="W67" s="154">
        <f>IF(U67&gt;0,Ruimtestaat[[#This Row],[Prest. (m2 /jaar) werkdagen]]/Ruimtestaat[[#This Row],[Norm (m2/uur) werkdagen]],0)</f>
        <v>0</v>
      </c>
      <c r="X67" s="155">
        <f>Ruimtestaat[[#This Row],[uren / jaar werkdagen]]*Tariefsopbouw!$E$35</f>
        <v>0</v>
      </c>
      <c r="Y67" s="33"/>
      <c r="Z67" s="33">
        <f>IF(Ruimtestaat[[#This Row],[Frequentie weekend]]&gt;0,VALUE(LEFT(Y67,1))*R67,0)</f>
        <v>0</v>
      </c>
      <c r="AA67" s="97">
        <f>IF($Z67&gt;0,VLOOKUP($J67,Ruimtegroepen[],3,FALSE)*VLOOKUP($L67,Vloersoorten[],3,FALSE)*VLOOKUP($Y67,Frequenties[],3,FALSE)*VLOOKUP(Ruimtestaat[[#This Row],[Code]],Locaties[],3,FALSE),0)</f>
        <v>0</v>
      </c>
      <c r="AB67" s="97">
        <f>Ruimtestaat[[#This Row],[Uitvoeringen weekend]]*Ruimtestaat[[#This Row],[Oppervlak (netto)]]</f>
        <v>0</v>
      </c>
      <c r="AC67" s="97">
        <f>IF(AA67&gt;0,Ruimtestaat[[#This Row],[Prest. (m2 /jaar) weekend]]/Ruimtestaat[[#This Row],[Norm (m2/uur) weekend]],0)</f>
        <v>0</v>
      </c>
      <c r="AD67" s="155">
        <f>Ruimtestaat[[#This Row],[uren / jaar weekend]]*Tariefsopbouw!$D$40</f>
        <v>0</v>
      </c>
      <c r="AE67" s="154">
        <f>Ruimtestaat[[#This Row],[Prest. (m2 /jaar) weekend]]+Ruimtestaat[[#This Row],[Prest. (m2 /jaar) werkdagen]]</f>
        <v>7600</v>
      </c>
      <c r="AF67" s="154">
        <f>Ruimtestaat[[#This Row],[uren / jaar weekend]]+Ruimtestaat[[#This Row],[uren / jaar werkdagen]]</f>
        <v>0</v>
      </c>
      <c r="AG67" s="69">
        <f>Ruimtestaat[[#This Row],[kosten / jaar weekend]]+Ruimtestaat[[#This Row],[kosten / jaar werkdagen]]</f>
        <v>0</v>
      </c>
      <c r="AH67" s="69"/>
      <c r="AI67" s="256" t="str">
        <f>IF(Ruimtestaat[[#This Row],[Frequentie werkdagen]]="","",_xlfn.CONCAT(Ruimtestaat[[#This Row],[Ruimte code]],"-",Ruimtestaat[[#This Row],[Frequentie werkdagen]]," ",Ruimtestaat[[#This Row],[Vloer code]]))</f>
        <v>10-5w S</v>
      </c>
      <c r="AJ67" s="363" t="str">
        <f>_xlfn.IFNA(VLOOKUP($AI67,Programma!$F$3:$G$1107,2,0),"")</f>
        <v>_</v>
      </c>
      <c r="AK67" s="363" t="str">
        <f>_xlfn.IFNA(VLOOKUP($AI67,Programma!$F$3:$H$1107,3,0),"")</f>
        <v>_</v>
      </c>
      <c r="AL67" s="363" t="str">
        <f>_xlfn.IFNA(VLOOKUP($AI67,Programma!$F$3:$I$1107,4,0),"")</f>
        <v>4w</v>
      </c>
      <c r="AM67" s="363" t="str">
        <f>_xlfn.IFNA(VLOOKUP($AI67,Programma!$F$3:$J$1107,5,0),"")</f>
        <v>1w</v>
      </c>
      <c r="AN67" s="363" t="str">
        <f>_xlfn.IFNA(VLOOKUP($AI67,Programma!$F$3:$K$1107,6,0),"")</f>
        <v>4j</v>
      </c>
      <c r="AO67" s="363" t="str">
        <f>_xlfn.IFNA(VLOOKUP($AI67,Programma!$F$3:$L$1107,7,0),"")</f>
        <v>_</v>
      </c>
      <c r="AP67" s="363" t="str">
        <f>_xlfn.IFNA(VLOOKUP($AI67,Programma!$F$3:$M$1107,8,0),"")</f>
        <v>_</v>
      </c>
      <c r="AQ67" s="363" t="str">
        <f>_xlfn.IFNA(VLOOKUP($AI67,Programma!$F$3:$N$1107,9,0),"")</f>
        <v>_</v>
      </c>
      <c r="AR67" s="363" t="str">
        <f>_xlfn.IFNA(VLOOKUP($AI67,Programma!$F$3:$O$1107,10,0),"")</f>
        <v>5w</v>
      </c>
      <c r="AS67" s="363" t="str">
        <f>_xlfn.IFNA(VLOOKUP($AI67,Programma!$F$3:$P$1107,11,0),"")</f>
        <v>5w</v>
      </c>
      <c r="AT67" s="363" t="str">
        <f>_xlfn.IFNA(VLOOKUP($AI67,Programma!$F$3:$Q$1107,12,0),"")</f>
        <v>1w</v>
      </c>
      <c r="AU67" s="363" t="str">
        <f>_xlfn.IFNA(VLOOKUP($AI67,Programma!$F$3:$R$1107,13,0),"")</f>
        <v>1w</v>
      </c>
      <c r="AV67" s="363" t="str">
        <f>_xlfn.IFNA(VLOOKUP($AI67,Programma!$F$3:$S$1107,14,0),"")</f>
        <v>1m</v>
      </c>
      <c r="AW67" s="363" t="str">
        <f>_xlfn.IFNA(VLOOKUP($AI67,Programma!$F$3:$T$1107,15,0),"")</f>
        <v>2j</v>
      </c>
      <c r="AX67" s="363" t="str">
        <f>_xlfn.IFNA(VLOOKUP($AI67,Programma!$F$3:$U$1107,16,0),"")</f>
        <v>1j</v>
      </c>
      <c r="AY67" s="363" t="str">
        <f>_xlfn.IFNA(VLOOKUP($AI67,Programma!$F$3:$V$1107,17,0),"")</f>
        <v>_</v>
      </c>
      <c r="AZ67" s="363" t="str">
        <f>_xlfn.IFNA(VLOOKUP($AI67,Programma!$F$3:$W$1107,18,0),"")</f>
        <v>_</v>
      </c>
      <c r="BA67" s="363" t="str">
        <f>_xlfn.IFNA(VLOOKUP($AI67,Programma!$F$3:$X$1107,19,0),"")</f>
        <v>_</v>
      </c>
      <c r="BB67" s="363" t="str">
        <f>_xlfn.IFNA(VLOOKUP($AI67,Programma!$F$3:$Y$1107,20,0),"")</f>
        <v>_</v>
      </c>
      <c r="BC67" s="257"/>
      <c r="BD67" s="256" t="str">
        <f>IF(Ruimtestaat[[#This Row],[Frequentie weekend]]="","",_xlfn.CONCAT(Ruimtestaat[[#This Row],[Ruimte code]],"-",Ruimtestaat[[#This Row],[Frequentie weekend]]," ",Ruimtestaat[[#This Row],[Vloer code]]))</f>
        <v/>
      </c>
      <c r="BE67" s="363" t="str">
        <f>_xlfn.IFNA(VLOOKUP($BD67,Programma!$F$3:$G$1107,2,0),"")</f>
        <v/>
      </c>
      <c r="BF67" s="363" t="str">
        <f>_xlfn.IFNA(VLOOKUP($BD67,Programma!$F$3:$H$1107,3,0),"")</f>
        <v/>
      </c>
      <c r="BG67" s="363" t="str">
        <f>_xlfn.IFNA(VLOOKUP($BD67,Programma!$F$3:$I$1107,4,0),"")</f>
        <v/>
      </c>
      <c r="BH67" s="363" t="str">
        <f>_xlfn.IFNA(VLOOKUP($BD67,Programma!$F$3:$J$1107,5,0),"")</f>
        <v/>
      </c>
      <c r="BI67" s="363" t="str">
        <f>_xlfn.IFNA(VLOOKUP($BD67,Programma!$F$3:$K$1107,6,0),"")</f>
        <v/>
      </c>
      <c r="BJ67" s="363" t="str">
        <f>_xlfn.IFNA(VLOOKUP($BD67,Programma!$F$3:$L$1107,7,0),"")</f>
        <v/>
      </c>
      <c r="BK67" s="363" t="str">
        <f>_xlfn.IFNA(VLOOKUP($BD67,Programma!$F$3:$M$1107,8,0),"")</f>
        <v/>
      </c>
      <c r="BL67" s="363" t="str">
        <f>_xlfn.IFNA(VLOOKUP($BD67,Programma!$F$3:$N$1107,9,0),"")</f>
        <v/>
      </c>
      <c r="BM67" s="363" t="str">
        <f>_xlfn.IFNA(VLOOKUP($BD67,Programma!$F$3:$O$1107,10,0),"")</f>
        <v/>
      </c>
      <c r="BN67" s="363" t="str">
        <f>_xlfn.IFNA(VLOOKUP($BD67,Programma!$F$3:$P$1107,11,0),"")</f>
        <v/>
      </c>
      <c r="BO67" s="363" t="str">
        <f>_xlfn.IFNA(VLOOKUP($BD67,Programma!$F$3:$Q$1107,12,0),"")</f>
        <v/>
      </c>
      <c r="BP67" s="363" t="str">
        <f>_xlfn.IFNA(VLOOKUP($BD67,Programma!$F$3:$R$1107,13,0),"")</f>
        <v/>
      </c>
      <c r="BQ67" s="363" t="str">
        <f>_xlfn.IFNA(VLOOKUP($BD67,Programma!$F$3:$S$1107,14,0),"")</f>
        <v/>
      </c>
      <c r="BR67" s="363" t="str">
        <f>_xlfn.IFNA(VLOOKUP($BD67,Programma!$F$3:$T$1107,15,0),"")</f>
        <v/>
      </c>
      <c r="BS67" s="363" t="str">
        <f>_xlfn.IFNA(VLOOKUP($BD67,Programma!$F$3:$U$1107,16,0),"")</f>
        <v/>
      </c>
      <c r="BT67" s="363" t="str">
        <f>_xlfn.IFNA(VLOOKUP($BD67,Programma!$F$3:$V$1107,17,0),"")</f>
        <v/>
      </c>
      <c r="BU67" s="363" t="str">
        <f>_xlfn.IFNA(VLOOKUP($BD67,Programma!$F$3:$W$1107,18,0),"")</f>
        <v/>
      </c>
      <c r="BV67" s="363" t="str">
        <f>_xlfn.IFNA(VLOOKUP($BD67,Programma!$F$3:$X$1107,19,0),"")</f>
        <v/>
      </c>
      <c r="BW67" s="363" t="str">
        <f>_xlfn.IFNA(VLOOKUP($BD67,Programma!$F$3:$Y$1107,20,0),"")</f>
        <v/>
      </c>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row>
    <row r="68" spans="1:220" ht="15" customHeight="1">
      <c r="A68" s="21">
        <v>2</v>
      </c>
      <c r="B68" s="157" t="str">
        <f>VLOOKUP(Ruimtestaat[[#This Row],[Code]],Locaties[[Code]:[Locatie]],2,FALSE)</f>
        <v>'s Gravendreef College</v>
      </c>
      <c r="C68" s="157" t="str">
        <f>VLOOKUP(Ruimtestaat[[#This Row],[Code]],Locaties[[#All],[Code]:[Adres]],4,FALSE)</f>
        <v>Klaas Voskuildreef 135</v>
      </c>
      <c r="D68" s="157" t="str">
        <f>VLOOKUP(Ruimtestaat[[#This Row],[Code]],Locaties[[#All],[Code]:[Postcode]],5,FALSE)</f>
        <v>2492 JJ</v>
      </c>
      <c r="E68" s="157" t="str">
        <f>VLOOKUP(Ruimtestaat[[#This Row],[Code]],Locaties[#All],6,FALSE)</f>
        <v>Den Haag</v>
      </c>
      <c r="F68" s="33"/>
      <c r="G68" s="33" t="s">
        <v>1706</v>
      </c>
      <c r="H68" s="368" t="s">
        <v>1709</v>
      </c>
      <c r="I68" s="367" t="s">
        <v>1657</v>
      </c>
      <c r="J68" s="21">
        <v>10</v>
      </c>
      <c r="K68" s="62" t="str">
        <f>VLOOKUP(Ruimtestaat[[#This Row],[Ruimte code]],Ruimtegroepen[[#All],[Code]:[Ruimte omschrijving]],2,FALSE)</f>
        <v>Trappenhuizen/lift</v>
      </c>
      <c r="L68" s="33" t="s">
        <v>102</v>
      </c>
      <c r="M68" s="367" t="s">
        <v>2499</v>
      </c>
      <c r="N68" s="140">
        <v>38</v>
      </c>
      <c r="O68" s="140"/>
      <c r="P68" s="125" t="str">
        <f>VLOOKUP(Ruimtestaat[[#This Row],[Ruimte code]],Ruimtegroepen[],4,FALSE)</f>
        <v>Ve</v>
      </c>
      <c r="R68" s="33">
        <v>40</v>
      </c>
      <c r="S68" s="33" t="s">
        <v>2</v>
      </c>
      <c r="T68" s="33">
        <f>IF(R68&gt;0,IF(RIGHT(Ruimtestaat[[#This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8" s="33">
        <f>IF(T68&gt;0,VLOOKUP($J68,Ruimtegroepen[],3,FALSE)*VLOOKUP($L68,Vloersoorten[],3,FALSE)*VLOOKUP($S68,Frequenties[],3,FALSE)*VLOOKUP($A68,Locaties[],3,FALSE),0)</f>
        <v>0</v>
      </c>
      <c r="V68" s="33">
        <f>Ruimtestaat[[#This Row],[Uitvoeringen werkdagen]]*Ruimtestaat[[#This Row],[Oppervlak (netto)]]</f>
        <v>7600</v>
      </c>
      <c r="W68" s="154">
        <f>IF(U68&gt;0,Ruimtestaat[[#This Row],[Prest. (m2 /jaar) werkdagen]]/Ruimtestaat[[#This Row],[Norm (m2/uur) werkdagen]],0)</f>
        <v>0</v>
      </c>
      <c r="X68" s="155">
        <f>Ruimtestaat[[#This Row],[uren / jaar werkdagen]]*Tariefsopbouw!$E$35</f>
        <v>0</v>
      </c>
      <c r="Y68" s="33"/>
      <c r="Z68" s="33">
        <f>IF(Ruimtestaat[[#This Row],[Frequentie weekend]]&gt;0,VALUE(LEFT(Y68,1))*R68,0)</f>
        <v>0</v>
      </c>
      <c r="AA68" s="97">
        <f>IF($Z68&gt;0,VLOOKUP($J68,Ruimtegroepen[],3,FALSE)*VLOOKUP($L68,Vloersoorten[],3,FALSE)*VLOOKUP($Y68,Frequenties[],3,FALSE)*VLOOKUP(Ruimtestaat[[#This Row],[Code]],Locaties[],3,FALSE),0)</f>
        <v>0</v>
      </c>
      <c r="AB68" s="97">
        <f>Ruimtestaat[[#This Row],[Uitvoeringen weekend]]*Ruimtestaat[[#This Row],[Oppervlak (netto)]]</f>
        <v>0</v>
      </c>
      <c r="AC68" s="97">
        <f>IF(AA68&gt;0,Ruimtestaat[[#This Row],[Prest. (m2 /jaar) weekend]]/Ruimtestaat[[#This Row],[Norm (m2/uur) weekend]],0)</f>
        <v>0</v>
      </c>
      <c r="AD68" s="155">
        <f>Ruimtestaat[[#This Row],[uren / jaar weekend]]*Tariefsopbouw!$D$40</f>
        <v>0</v>
      </c>
      <c r="AE68" s="154">
        <f>Ruimtestaat[[#This Row],[Prest. (m2 /jaar) weekend]]+Ruimtestaat[[#This Row],[Prest. (m2 /jaar) werkdagen]]</f>
        <v>7600</v>
      </c>
      <c r="AF68" s="154">
        <f>Ruimtestaat[[#This Row],[uren / jaar weekend]]+Ruimtestaat[[#This Row],[uren / jaar werkdagen]]</f>
        <v>0</v>
      </c>
      <c r="AG68" s="69">
        <f>Ruimtestaat[[#This Row],[kosten / jaar weekend]]+Ruimtestaat[[#This Row],[kosten / jaar werkdagen]]</f>
        <v>0</v>
      </c>
      <c r="AH68" s="69"/>
      <c r="AI68" s="256" t="str">
        <f>IF(Ruimtestaat[[#This Row],[Frequentie werkdagen]]="","",_xlfn.CONCAT(Ruimtestaat[[#This Row],[Ruimte code]],"-",Ruimtestaat[[#This Row],[Frequentie werkdagen]]," ",Ruimtestaat[[#This Row],[Vloer code]]))</f>
        <v>10-5w S</v>
      </c>
      <c r="AJ68" s="363" t="str">
        <f>_xlfn.IFNA(VLOOKUP($AI68,Programma!$F$3:$G$1107,2,0),"")</f>
        <v>_</v>
      </c>
      <c r="AK68" s="363" t="str">
        <f>_xlfn.IFNA(VLOOKUP($AI68,Programma!$F$3:$H$1107,3,0),"")</f>
        <v>_</v>
      </c>
      <c r="AL68" s="363" t="str">
        <f>_xlfn.IFNA(VLOOKUP($AI68,Programma!$F$3:$I$1107,4,0),"")</f>
        <v>4w</v>
      </c>
      <c r="AM68" s="363" t="str">
        <f>_xlfn.IFNA(VLOOKUP($AI68,Programma!$F$3:$J$1107,5,0),"")</f>
        <v>1w</v>
      </c>
      <c r="AN68" s="363" t="str">
        <f>_xlfn.IFNA(VLOOKUP($AI68,Programma!$F$3:$K$1107,6,0),"")</f>
        <v>4j</v>
      </c>
      <c r="AO68" s="363" t="str">
        <f>_xlfn.IFNA(VLOOKUP($AI68,Programma!$F$3:$L$1107,7,0),"")</f>
        <v>_</v>
      </c>
      <c r="AP68" s="363" t="str">
        <f>_xlfn.IFNA(VLOOKUP($AI68,Programma!$F$3:$M$1107,8,0),"")</f>
        <v>_</v>
      </c>
      <c r="AQ68" s="363" t="str">
        <f>_xlfn.IFNA(VLOOKUP($AI68,Programma!$F$3:$N$1107,9,0),"")</f>
        <v>_</v>
      </c>
      <c r="AR68" s="363" t="str">
        <f>_xlfn.IFNA(VLOOKUP($AI68,Programma!$F$3:$O$1107,10,0),"")</f>
        <v>5w</v>
      </c>
      <c r="AS68" s="363" t="str">
        <f>_xlfn.IFNA(VLOOKUP($AI68,Programma!$F$3:$P$1107,11,0),"")</f>
        <v>5w</v>
      </c>
      <c r="AT68" s="363" t="str">
        <f>_xlfn.IFNA(VLOOKUP($AI68,Programma!$F$3:$Q$1107,12,0),"")</f>
        <v>1w</v>
      </c>
      <c r="AU68" s="363" t="str">
        <f>_xlfn.IFNA(VLOOKUP($AI68,Programma!$F$3:$R$1107,13,0),"")</f>
        <v>1w</v>
      </c>
      <c r="AV68" s="363" t="str">
        <f>_xlfn.IFNA(VLOOKUP($AI68,Programma!$F$3:$S$1107,14,0),"")</f>
        <v>1m</v>
      </c>
      <c r="AW68" s="363" t="str">
        <f>_xlfn.IFNA(VLOOKUP($AI68,Programma!$F$3:$T$1107,15,0),"")</f>
        <v>2j</v>
      </c>
      <c r="AX68" s="363" t="str">
        <f>_xlfn.IFNA(VLOOKUP($AI68,Programma!$F$3:$U$1107,16,0),"")</f>
        <v>1j</v>
      </c>
      <c r="AY68" s="363" t="str">
        <f>_xlfn.IFNA(VLOOKUP($AI68,Programma!$F$3:$V$1107,17,0),"")</f>
        <v>_</v>
      </c>
      <c r="AZ68" s="363" t="str">
        <f>_xlfn.IFNA(VLOOKUP($AI68,Programma!$F$3:$W$1107,18,0),"")</f>
        <v>_</v>
      </c>
      <c r="BA68" s="363" t="str">
        <f>_xlfn.IFNA(VLOOKUP($AI68,Programma!$F$3:$X$1107,19,0),"")</f>
        <v>_</v>
      </c>
      <c r="BB68" s="363" t="str">
        <f>_xlfn.IFNA(VLOOKUP($AI68,Programma!$F$3:$Y$1107,20,0),"")</f>
        <v>_</v>
      </c>
      <c r="BC68" s="257"/>
      <c r="BD68" s="256" t="str">
        <f>IF(Ruimtestaat[[#This Row],[Frequentie weekend]]="","",_xlfn.CONCAT(Ruimtestaat[[#This Row],[Ruimte code]],"-",Ruimtestaat[[#This Row],[Frequentie weekend]]," ",Ruimtestaat[[#This Row],[Vloer code]]))</f>
        <v/>
      </c>
      <c r="BE68" s="363" t="str">
        <f>_xlfn.IFNA(VLOOKUP($BD68,Programma!$F$3:$G$1107,2,0),"")</f>
        <v/>
      </c>
      <c r="BF68" s="363" t="str">
        <f>_xlfn.IFNA(VLOOKUP($BD68,Programma!$F$3:$H$1107,3,0),"")</f>
        <v/>
      </c>
      <c r="BG68" s="363" t="str">
        <f>_xlfn.IFNA(VLOOKUP($BD68,Programma!$F$3:$I$1107,4,0),"")</f>
        <v/>
      </c>
      <c r="BH68" s="363" t="str">
        <f>_xlfn.IFNA(VLOOKUP($BD68,Programma!$F$3:$J$1107,5,0),"")</f>
        <v/>
      </c>
      <c r="BI68" s="363" t="str">
        <f>_xlfn.IFNA(VLOOKUP($BD68,Programma!$F$3:$K$1107,6,0),"")</f>
        <v/>
      </c>
      <c r="BJ68" s="363" t="str">
        <f>_xlfn.IFNA(VLOOKUP($BD68,Programma!$F$3:$L$1107,7,0),"")</f>
        <v/>
      </c>
      <c r="BK68" s="363" t="str">
        <f>_xlfn.IFNA(VLOOKUP($BD68,Programma!$F$3:$M$1107,8,0),"")</f>
        <v/>
      </c>
      <c r="BL68" s="363" t="str">
        <f>_xlfn.IFNA(VLOOKUP($BD68,Programma!$F$3:$N$1107,9,0),"")</f>
        <v/>
      </c>
      <c r="BM68" s="363" t="str">
        <f>_xlfn.IFNA(VLOOKUP($BD68,Programma!$F$3:$O$1107,10,0),"")</f>
        <v/>
      </c>
      <c r="BN68" s="363" t="str">
        <f>_xlfn.IFNA(VLOOKUP($BD68,Programma!$F$3:$P$1107,11,0),"")</f>
        <v/>
      </c>
      <c r="BO68" s="363" t="str">
        <f>_xlfn.IFNA(VLOOKUP($BD68,Programma!$F$3:$Q$1107,12,0),"")</f>
        <v/>
      </c>
      <c r="BP68" s="363" t="str">
        <f>_xlfn.IFNA(VLOOKUP($BD68,Programma!$F$3:$R$1107,13,0),"")</f>
        <v/>
      </c>
      <c r="BQ68" s="363" t="str">
        <f>_xlfn.IFNA(VLOOKUP($BD68,Programma!$F$3:$S$1107,14,0),"")</f>
        <v/>
      </c>
      <c r="BR68" s="363" t="str">
        <f>_xlfn.IFNA(VLOOKUP($BD68,Programma!$F$3:$T$1107,15,0),"")</f>
        <v/>
      </c>
      <c r="BS68" s="363" t="str">
        <f>_xlfn.IFNA(VLOOKUP($BD68,Programma!$F$3:$U$1107,16,0),"")</f>
        <v/>
      </c>
      <c r="BT68" s="363" t="str">
        <f>_xlfn.IFNA(VLOOKUP($BD68,Programma!$F$3:$V$1107,17,0),"")</f>
        <v/>
      </c>
      <c r="BU68" s="363" t="str">
        <f>_xlfn.IFNA(VLOOKUP($BD68,Programma!$F$3:$W$1107,18,0),"")</f>
        <v/>
      </c>
      <c r="BV68" s="363" t="str">
        <f>_xlfn.IFNA(VLOOKUP($BD68,Programma!$F$3:$X$1107,19,0),"")</f>
        <v/>
      </c>
      <c r="BW68" s="363" t="str">
        <f>_xlfn.IFNA(VLOOKUP($BD68,Programma!$F$3:$Y$1107,20,0),"")</f>
        <v/>
      </c>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row>
    <row r="69" spans="1:220" ht="15" customHeight="1">
      <c r="A69" s="21">
        <v>2</v>
      </c>
      <c r="B69" s="157" t="str">
        <f>VLOOKUP(Ruimtestaat[[#This Row],[Code]],Locaties[[Code]:[Locatie]],2,FALSE)</f>
        <v>'s Gravendreef College</v>
      </c>
      <c r="C69" s="157" t="str">
        <f>VLOOKUP(Ruimtestaat[[#This Row],[Code]],Locaties[[#All],[Code]:[Adres]],4,FALSE)</f>
        <v>Klaas Voskuildreef 135</v>
      </c>
      <c r="D69" s="157" t="str">
        <f>VLOOKUP(Ruimtestaat[[#This Row],[Code]],Locaties[[#All],[Code]:[Postcode]],5,FALSE)</f>
        <v>2492 JJ</v>
      </c>
      <c r="E69" s="157" t="str">
        <f>VLOOKUP(Ruimtestaat[[#This Row],[Code]],Locaties[#All],6,FALSE)</f>
        <v>Den Haag</v>
      </c>
      <c r="F69" s="33"/>
      <c r="G69" s="33" t="s">
        <v>1706</v>
      </c>
      <c r="H69" s="368" t="s">
        <v>1710</v>
      </c>
      <c r="I69" s="367" t="s">
        <v>1660</v>
      </c>
      <c r="J69" s="21">
        <v>8</v>
      </c>
      <c r="K69" s="62" t="str">
        <f>VLOOKUP(Ruimtestaat[[#This Row],[Ruimte code]],Ruimtegroepen[[#All],[Code]:[Ruimte omschrijving]],2,FALSE)</f>
        <v>Mediatheek / OLC</v>
      </c>
      <c r="L69" s="33" t="s">
        <v>101</v>
      </c>
      <c r="M69" s="367" t="s">
        <v>2495</v>
      </c>
      <c r="N69" s="140">
        <v>121</v>
      </c>
      <c r="O69" s="140"/>
      <c r="P69" s="125" t="str">
        <f>VLOOKUP(Ruimtestaat[[#This Row],[Ruimte code]],Ruimtegroepen[],4,FALSE)</f>
        <v>Le</v>
      </c>
      <c r="R69" s="33">
        <v>40</v>
      </c>
      <c r="S69" s="33" t="s">
        <v>2</v>
      </c>
      <c r="T69" s="33">
        <f>IF(R69&gt;0,IF(RIGHT(Ruimtestaat[[#This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9" s="33">
        <f>IF(T69&gt;0,VLOOKUP($J69,Ruimtegroepen[],3,FALSE)*VLOOKUP($L69,Vloersoorten[],3,FALSE)*VLOOKUP($S69,Frequenties[],3,FALSE)*VLOOKUP($A69,Locaties[],3,FALSE),0)</f>
        <v>0</v>
      </c>
      <c r="V69" s="33">
        <f>Ruimtestaat[[#This Row],[Uitvoeringen werkdagen]]*Ruimtestaat[[#This Row],[Oppervlak (netto)]]</f>
        <v>24200</v>
      </c>
      <c r="W69" s="154">
        <f>IF(U69&gt;0,Ruimtestaat[[#This Row],[Prest. (m2 /jaar) werkdagen]]/Ruimtestaat[[#This Row],[Norm (m2/uur) werkdagen]],0)</f>
        <v>0</v>
      </c>
      <c r="X69" s="155">
        <f>Ruimtestaat[[#This Row],[uren / jaar werkdagen]]*Tariefsopbouw!$E$35</f>
        <v>0</v>
      </c>
      <c r="Y69" s="33"/>
      <c r="Z69" s="33">
        <f>IF(Ruimtestaat[[#This Row],[Frequentie weekend]]&gt;0,VALUE(LEFT(Y69,1))*R69,0)</f>
        <v>0</v>
      </c>
      <c r="AA69" s="97">
        <f>IF($Z69&gt;0,VLOOKUP($J69,Ruimtegroepen[],3,FALSE)*VLOOKUP($L69,Vloersoorten[],3,FALSE)*VLOOKUP($Y69,Frequenties[],3,FALSE)*VLOOKUP(Ruimtestaat[[#This Row],[Code]],Locaties[],3,FALSE),0)</f>
        <v>0</v>
      </c>
      <c r="AB69" s="97">
        <f>Ruimtestaat[[#This Row],[Uitvoeringen weekend]]*Ruimtestaat[[#This Row],[Oppervlak (netto)]]</f>
        <v>0</v>
      </c>
      <c r="AC69" s="97">
        <f>IF(AA69&gt;0,Ruimtestaat[[#This Row],[Prest. (m2 /jaar) weekend]]/Ruimtestaat[[#This Row],[Norm (m2/uur) weekend]],0)</f>
        <v>0</v>
      </c>
      <c r="AD69" s="155">
        <f>Ruimtestaat[[#This Row],[uren / jaar weekend]]*Tariefsopbouw!$D$40</f>
        <v>0</v>
      </c>
      <c r="AE69" s="154">
        <f>Ruimtestaat[[#This Row],[Prest. (m2 /jaar) weekend]]+Ruimtestaat[[#This Row],[Prest. (m2 /jaar) werkdagen]]</f>
        <v>24200</v>
      </c>
      <c r="AF69" s="154">
        <f>Ruimtestaat[[#This Row],[uren / jaar weekend]]+Ruimtestaat[[#This Row],[uren / jaar werkdagen]]</f>
        <v>0</v>
      </c>
      <c r="AG69" s="69">
        <f>Ruimtestaat[[#This Row],[kosten / jaar weekend]]+Ruimtestaat[[#This Row],[kosten / jaar werkdagen]]</f>
        <v>0</v>
      </c>
      <c r="AH69" s="69"/>
      <c r="AI69" s="256" t="str">
        <f>IF(Ruimtestaat[[#This Row],[Frequentie werkdagen]]="","",_xlfn.CONCAT(Ruimtestaat[[#This Row],[Ruimte code]],"-",Ruimtestaat[[#This Row],[Frequentie werkdagen]]," ",Ruimtestaat[[#This Row],[Vloer code]]))</f>
        <v>8-5w L</v>
      </c>
      <c r="AJ69" s="363" t="str">
        <f>_xlfn.IFNA(VLOOKUP($AI69,Programma!$F$3:$G$1107,2,0),"")</f>
        <v>_</v>
      </c>
      <c r="AK69" s="363" t="str">
        <f>_xlfn.IFNA(VLOOKUP($AI69,Programma!$F$3:$H$1107,3,0),"")</f>
        <v>_</v>
      </c>
      <c r="AL69" s="363" t="str">
        <f>_xlfn.IFNA(VLOOKUP($AI69,Programma!$F$3:$I$1107,4,0),"")</f>
        <v>4w</v>
      </c>
      <c r="AM69" s="363" t="str">
        <f>_xlfn.IFNA(VLOOKUP($AI69,Programma!$F$3:$J$1107,5,0),"")</f>
        <v>1w</v>
      </c>
      <c r="AN69" s="363" t="str">
        <f>_xlfn.IFNA(VLOOKUP($AI69,Programma!$F$3:$K$1107,6,0),"")</f>
        <v>_</v>
      </c>
      <c r="AO69" s="363" t="str">
        <f>_xlfn.IFNA(VLOOKUP($AI69,Programma!$F$3:$L$1107,7,0),"")</f>
        <v>_</v>
      </c>
      <c r="AP69" s="363" t="str">
        <f>_xlfn.IFNA(VLOOKUP($AI69,Programma!$F$3:$M$1107,8,0),"")</f>
        <v>_</v>
      </c>
      <c r="AQ69" s="363" t="str">
        <f>_xlfn.IFNA(VLOOKUP($AI69,Programma!$F$3:$N$1107,9,0),"")</f>
        <v>_</v>
      </c>
      <c r="AR69" s="363" t="str">
        <f>_xlfn.IFNA(VLOOKUP($AI69,Programma!$F$3:$O$1107,10,0),"")</f>
        <v>5w</v>
      </c>
      <c r="AS69" s="363" t="str">
        <f>_xlfn.IFNA(VLOOKUP($AI69,Programma!$F$3:$P$1107,11,0),"")</f>
        <v>5w</v>
      </c>
      <c r="AT69" s="363" t="str">
        <f>_xlfn.IFNA(VLOOKUP($AI69,Programma!$F$3:$Q$1107,12,0),"")</f>
        <v>1w</v>
      </c>
      <c r="AU69" s="363" t="str">
        <f>_xlfn.IFNA(VLOOKUP($AI69,Programma!$F$3:$R$1107,13,0),"")</f>
        <v>1w</v>
      </c>
      <c r="AV69" s="363" t="str">
        <f>_xlfn.IFNA(VLOOKUP($AI69,Programma!$F$3:$S$1107,14,0),"")</f>
        <v>1m</v>
      </c>
      <c r="AW69" s="363" t="str">
        <f>_xlfn.IFNA(VLOOKUP($AI69,Programma!$F$3:$T$1107,15,0),"")</f>
        <v>2j</v>
      </c>
      <c r="AX69" s="363" t="str">
        <f>_xlfn.IFNA(VLOOKUP($AI69,Programma!$F$3:$U$1107,16,0),"")</f>
        <v>1j</v>
      </c>
      <c r="AY69" s="363" t="str">
        <f>_xlfn.IFNA(VLOOKUP($AI69,Programma!$F$3:$V$1107,17,0),"")</f>
        <v>_</v>
      </c>
      <c r="AZ69" s="363" t="str">
        <f>_xlfn.IFNA(VLOOKUP($AI69,Programma!$F$3:$W$1107,18,0),"")</f>
        <v>_</v>
      </c>
      <c r="BA69" s="363" t="str">
        <f>_xlfn.IFNA(VLOOKUP($AI69,Programma!$F$3:$X$1107,19,0),"")</f>
        <v>_</v>
      </c>
      <c r="BB69" s="363" t="str">
        <f>_xlfn.IFNA(VLOOKUP($AI69,Programma!$F$3:$Y$1107,20,0),"")</f>
        <v>_</v>
      </c>
      <c r="BC69" s="257"/>
      <c r="BD69" s="256" t="str">
        <f>IF(Ruimtestaat[[#This Row],[Frequentie weekend]]="","",_xlfn.CONCAT(Ruimtestaat[[#This Row],[Ruimte code]],"-",Ruimtestaat[[#This Row],[Frequentie weekend]]," ",Ruimtestaat[[#This Row],[Vloer code]]))</f>
        <v/>
      </c>
      <c r="BE69" s="363" t="str">
        <f>_xlfn.IFNA(VLOOKUP($BD69,Programma!$F$3:$G$1107,2,0),"")</f>
        <v/>
      </c>
      <c r="BF69" s="363" t="str">
        <f>_xlfn.IFNA(VLOOKUP($BD69,Programma!$F$3:$H$1107,3,0),"")</f>
        <v/>
      </c>
      <c r="BG69" s="363" t="str">
        <f>_xlfn.IFNA(VLOOKUP($BD69,Programma!$F$3:$I$1107,4,0),"")</f>
        <v/>
      </c>
      <c r="BH69" s="363" t="str">
        <f>_xlfn.IFNA(VLOOKUP($BD69,Programma!$F$3:$J$1107,5,0),"")</f>
        <v/>
      </c>
      <c r="BI69" s="363" t="str">
        <f>_xlfn.IFNA(VLOOKUP($BD69,Programma!$F$3:$K$1107,6,0),"")</f>
        <v/>
      </c>
      <c r="BJ69" s="363" t="str">
        <f>_xlfn.IFNA(VLOOKUP($BD69,Programma!$F$3:$L$1107,7,0),"")</f>
        <v/>
      </c>
      <c r="BK69" s="363" t="str">
        <f>_xlfn.IFNA(VLOOKUP($BD69,Programma!$F$3:$M$1107,8,0),"")</f>
        <v/>
      </c>
      <c r="BL69" s="363" t="str">
        <f>_xlfn.IFNA(VLOOKUP($BD69,Programma!$F$3:$N$1107,9,0),"")</f>
        <v/>
      </c>
      <c r="BM69" s="363" t="str">
        <f>_xlfn.IFNA(VLOOKUP($BD69,Programma!$F$3:$O$1107,10,0),"")</f>
        <v/>
      </c>
      <c r="BN69" s="363" t="str">
        <f>_xlfn.IFNA(VLOOKUP($BD69,Programma!$F$3:$P$1107,11,0),"")</f>
        <v/>
      </c>
      <c r="BO69" s="363" t="str">
        <f>_xlfn.IFNA(VLOOKUP($BD69,Programma!$F$3:$Q$1107,12,0),"")</f>
        <v/>
      </c>
      <c r="BP69" s="363" t="str">
        <f>_xlfn.IFNA(VLOOKUP($BD69,Programma!$F$3:$R$1107,13,0),"")</f>
        <v/>
      </c>
      <c r="BQ69" s="363" t="str">
        <f>_xlfn.IFNA(VLOOKUP($BD69,Programma!$F$3:$S$1107,14,0),"")</f>
        <v/>
      </c>
      <c r="BR69" s="363" t="str">
        <f>_xlfn.IFNA(VLOOKUP($BD69,Programma!$F$3:$T$1107,15,0),"")</f>
        <v/>
      </c>
      <c r="BS69" s="363" t="str">
        <f>_xlfn.IFNA(VLOOKUP($BD69,Programma!$F$3:$U$1107,16,0),"")</f>
        <v/>
      </c>
      <c r="BT69" s="363" t="str">
        <f>_xlfn.IFNA(VLOOKUP($BD69,Programma!$F$3:$V$1107,17,0),"")</f>
        <v/>
      </c>
      <c r="BU69" s="363" t="str">
        <f>_xlfn.IFNA(VLOOKUP($BD69,Programma!$F$3:$W$1107,18,0),"")</f>
        <v/>
      </c>
      <c r="BV69" s="363" t="str">
        <f>_xlfn.IFNA(VLOOKUP($BD69,Programma!$F$3:$X$1107,19,0),"")</f>
        <v/>
      </c>
      <c r="BW69" s="363" t="str">
        <f>_xlfn.IFNA(VLOOKUP($BD69,Programma!$F$3:$Y$1107,20,0),"")</f>
        <v/>
      </c>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row>
    <row r="70" spans="1:220" ht="15" customHeight="1">
      <c r="A70" s="21">
        <v>2</v>
      </c>
      <c r="B70" s="157" t="str">
        <f>VLOOKUP(Ruimtestaat[[#This Row],[Code]],Locaties[[Code]:[Locatie]],2,FALSE)</f>
        <v>'s Gravendreef College</v>
      </c>
      <c r="C70" s="157" t="str">
        <f>VLOOKUP(Ruimtestaat[[#This Row],[Code]],Locaties[[#All],[Code]:[Adres]],4,FALSE)</f>
        <v>Klaas Voskuildreef 135</v>
      </c>
      <c r="D70" s="157" t="str">
        <f>VLOOKUP(Ruimtestaat[[#This Row],[Code]],Locaties[[#All],[Code]:[Postcode]],5,FALSE)</f>
        <v>2492 JJ</v>
      </c>
      <c r="E70" s="157" t="str">
        <f>VLOOKUP(Ruimtestaat[[#This Row],[Code]],Locaties[#All],6,FALSE)</f>
        <v>Den Haag</v>
      </c>
      <c r="F70" s="33"/>
      <c r="G70" s="33" t="s">
        <v>1706</v>
      </c>
      <c r="H70" s="368" t="s">
        <v>1711</v>
      </c>
      <c r="I70" s="367" t="s">
        <v>1712</v>
      </c>
      <c r="J70" s="33">
        <v>4</v>
      </c>
      <c r="K70" s="62" t="str">
        <f>VLOOKUP(Ruimtestaat[[#This Row],[Ruimte code]],Ruimtegroepen[[#All],[Code]:[Ruimte omschrijving]],2,FALSE)</f>
        <v>Vergader/spreekkamers</v>
      </c>
      <c r="L70" s="33" t="s">
        <v>101</v>
      </c>
      <c r="M70" s="367" t="s">
        <v>2495</v>
      </c>
      <c r="N70" s="140">
        <v>27</v>
      </c>
      <c r="O70" s="140"/>
      <c r="P70" s="125" t="str">
        <f>VLOOKUP(Ruimtestaat[[#This Row],[Ruimte code]],Ruimtegroepen[],4,FALSE)</f>
        <v>Bu</v>
      </c>
      <c r="R70" s="33">
        <v>40</v>
      </c>
      <c r="S70" s="33" t="s">
        <v>18</v>
      </c>
      <c r="T70" s="33">
        <f>IF(R70&gt;0,IF(RIGHT(Ruimtestaat[[#This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70" s="33">
        <f>IF(T70&gt;0,VLOOKUP($J70,Ruimtegroepen[],3,FALSE)*VLOOKUP($L70,Vloersoorten[],3,FALSE)*VLOOKUP($S70,Frequenties[],3,FALSE)*VLOOKUP($A70,Locaties[],3,FALSE),0)</f>
        <v>0</v>
      </c>
      <c r="V70" s="33">
        <f>Ruimtestaat[[#This Row],[Uitvoeringen werkdagen]]*Ruimtestaat[[#This Row],[Oppervlak (netto)]]</f>
        <v>3240</v>
      </c>
      <c r="W70" s="154">
        <f>IF(U70&gt;0,Ruimtestaat[[#This Row],[Prest. (m2 /jaar) werkdagen]]/Ruimtestaat[[#This Row],[Norm (m2/uur) werkdagen]],0)</f>
        <v>0</v>
      </c>
      <c r="X70" s="155">
        <f>Ruimtestaat[[#This Row],[uren / jaar werkdagen]]*Tariefsopbouw!$E$35</f>
        <v>0</v>
      </c>
      <c r="Y70" s="33"/>
      <c r="Z70" s="33">
        <f>IF(Ruimtestaat[[#This Row],[Frequentie weekend]]&gt;0,VALUE(LEFT(Y70,1))*R70,0)</f>
        <v>0</v>
      </c>
      <c r="AA70" s="97">
        <f>IF($Z70&gt;0,VLOOKUP($J70,Ruimtegroepen[],3,FALSE)*VLOOKUP($L70,Vloersoorten[],3,FALSE)*VLOOKUP($Y70,Frequenties[],3,FALSE)*VLOOKUP(Ruimtestaat[[#This Row],[Code]],Locaties[],3,FALSE),0)</f>
        <v>0</v>
      </c>
      <c r="AB70" s="97">
        <f>Ruimtestaat[[#This Row],[Uitvoeringen weekend]]*Ruimtestaat[[#This Row],[Oppervlak (netto)]]</f>
        <v>0</v>
      </c>
      <c r="AC70" s="97">
        <f>IF(AA70&gt;0,Ruimtestaat[[#This Row],[Prest. (m2 /jaar) weekend]]/Ruimtestaat[[#This Row],[Norm (m2/uur) weekend]],0)</f>
        <v>0</v>
      </c>
      <c r="AD70" s="155">
        <f>Ruimtestaat[[#This Row],[uren / jaar weekend]]*Tariefsopbouw!$D$40</f>
        <v>0</v>
      </c>
      <c r="AE70" s="154">
        <f>Ruimtestaat[[#This Row],[Prest. (m2 /jaar) weekend]]+Ruimtestaat[[#This Row],[Prest. (m2 /jaar) werkdagen]]</f>
        <v>3240</v>
      </c>
      <c r="AF70" s="154">
        <f>Ruimtestaat[[#This Row],[uren / jaar weekend]]+Ruimtestaat[[#This Row],[uren / jaar werkdagen]]</f>
        <v>0</v>
      </c>
      <c r="AG70" s="69">
        <f>Ruimtestaat[[#This Row],[kosten / jaar weekend]]+Ruimtestaat[[#This Row],[kosten / jaar werkdagen]]</f>
        <v>0</v>
      </c>
      <c r="AH70" s="69"/>
      <c r="AI70" s="256" t="str">
        <f>IF(Ruimtestaat[[#This Row],[Frequentie werkdagen]]="","",_xlfn.CONCAT(Ruimtestaat[[#This Row],[Ruimte code]],"-",Ruimtestaat[[#This Row],[Frequentie werkdagen]]," ",Ruimtestaat[[#This Row],[Vloer code]]))</f>
        <v>4-3w L</v>
      </c>
      <c r="AJ70" s="363" t="str">
        <f>_xlfn.IFNA(VLOOKUP($AI70,Programma!$F$3:$G$1107,2,0),"")</f>
        <v>_</v>
      </c>
      <c r="AK70" s="363" t="str">
        <f>_xlfn.IFNA(VLOOKUP($AI70,Programma!$F$3:$H$1107,3,0),"")</f>
        <v>_</v>
      </c>
      <c r="AL70" s="363" t="str">
        <f>_xlfn.IFNA(VLOOKUP($AI70,Programma!$F$3:$I$1107,4,0),"")</f>
        <v>2w</v>
      </c>
      <c r="AM70" s="363" t="str">
        <f>_xlfn.IFNA(VLOOKUP($AI70,Programma!$F$3:$J$1107,5,0),"")</f>
        <v>1w</v>
      </c>
      <c r="AN70" s="363" t="str">
        <f>_xlfn.IFNA(VLOOKUP($AI70,Programma!$F$3:$K$1107,6,0),"")</f>
        <v>_</v>
      </c>
      <c r="AO70" s="363" t="str">
        <f>_xlfn.IFNA(VLOOKUP($AI70,Programma!$F$3:$L$1107,7,0),"")</f>
        <v>_</v>
      </c>
      <c r="AP70" s="363" t="str">
        <f>_xlfn.IFNA(VLOOKUP($AI70,Programma!$F$3:$M$1107,8,0),"")</f>
        <v>_</v>
      </c>
      <c r="AQ70" s="363" t="str">
        <f>_xlfn.IFNA(VLOOKUP($AI70,Programma!$F$3:$N$1107,9,0),"")</f>
        <v>_</v>
      </c>
      <c r="AR70" s="363" t="str">
        <f>_xlfn.IFNA(VLOOKUP($AI70,Programma!$F$3:$O$1107,10,0),"")</f>
        <v>3w</v>
      </c>
      <c r="AS70" s="363" t="str">
        <f>_xlfn.IFNA(VLOOKUP($AI70,Programma!$F$3:$P$1107,11,0),"")</f>
        <v>3w</v>
      </c>
      <c r="AT70" s="363" t="str">
        <f>_xlfn.IFNA(VLOOKUP($AI70,Programma!$F$3:$Q$1107,12,0),"")</f>
        <v>1w</v>
      </c>
      <c r="AU70" s="363" t="str">
        <f>_xlfn.IFNA(VLOOKUP($AI70,Programma!$F$3:$R$1107,13,0),"")</f>
        <v>1w</v>
      </c>
      <c r="AV70" s="363" t="str">
        <f>_xlfn.IFNA(VLOOKUP($AI70,Programma!$F$3:$S$1107,14,0),"")</f>
        <v>1m</v>
      </c>
      <c r="AW70" s="363" t="str">
        <f>_xlfn.IFNA(VLOOKUP($AI70,Programma!$F$3:$T$1107,15,0),"")</f>
        <v>2j</v>
      </c>
      <c r="AX70" s="363" t="str">
        <f>_xlfn.IFNA(VLOOKUP($AI70,Programma!$F$3:$U$1107,16,0),"")</f>
        <v>1j</v>
      </c>
      <c r="AY70" s="363" t="str">
        <f>_xlfn.IFNA(VLOOKUP($AI70,Programma!$F$3:$V$1107,17,0),"")</f>
        <v>_</v>
      </c>
      <c r="AZ70" s="363" t="str">
        <f>_xlfn.IFNA(VLOOKUP($AI70,Programma!$F$3:$W$1107,18,0),"")</f>
        <v>_</v>
      </c>
      <c r="BA70" s="363" t="str">
        <f>_xlfn.IFNA(VLOOKUP($AI70,Programma!$F$3:$X$1107,19,0),"")</f>
        <v>_</v>
      </c>
      <c r="BB70" s="363" t="str">
        <f>_xlfn.IFNA(VLOOKUP($AI70,Programma!$F$3:$Y$1107,20,0),"")</f>
        <v>_</v>
      </c>
      <c r="BC70" s="257"/>
      <c r="BD70" s="256" t="str">
        <f>IF(Ruimtestaat[[#This Row],[Frequentie weekend]]="","",_xlfn.CONCAT(Ruimtestaat[[#This Row],[Ruimte code]],"-",Ruimtestaat[[#This Row],[Frequentie weekend]]," ",Ruimtestaat[[#This Row],[Vloer code]]))</f>
        <v/>
      </c>
      <c r="BE70" s="363" t="str">
        <f>_xlfn.IFNA(VLOOKUP($BD70,Programma!$F$3:$G$1107,2,0),"")</f>
        <v/>
      </c>
      <c r="BF70" s="363" t="str">
        <f>_xlfn.IFNA(VLOOKUP($BD70,Programma!$F$3:$H$1107,3,0),"")</f>
        <v/>
      </c>
      <c r="BG70" s="363" t="str">
        <f>_xlfn.IFNA(VLOOKUP($BD70,Programma!$F$3:$I$1107,4,0),"")</f>
        <v/>
      </c>
      <c r="BH70" s="363" t="str">
        <f>_xlfn.IFNA(VLOOKUP($BD70,Programma!$F$3:$J$1107,5,0),"")</f>
        <v/>
      </c>
      <c r="BI70" s="363" t="str">
        <f>_xlfn.IFNA(VLOOKUP($BD70,Programma!$F$3:$K$1107,6,0),"")</f>
        <v/>
      </c>
      <c r="BJ70" s="363" t="str">
        <f>_xlfn.IFNA(VLOOKUP($BD70,Programma!$F$3:$L$1107,7,0),"")</f>
        <v/>
      </c>
      <c r="BK70" s="363" t="str">
        <f>_xlfn.IFNA(VLOOKUP($BD70,Programma!$F$3:$M$1107,8,0),"")</f>
        <v/>
      </c>
      <c r="BL70" s="363" t="str">
        <f>_xlfn.IFNA(VLOOKUP($BD70,Programma!$F$3:$N$1107,9,0),"")</f>
        <v/>
      </c>
      <c r="BM70" s="363" t="str">
        <f>_xlfn.IFNA(VLOOKUP($BD70,Programma!$F$3:$O$1107,10,0),"")</f>
        <v/>
      </c>
      <c r="BN70" s="363" t="str">
        <f>_xlfn.IFNA(VLOOKUP($BD70,Programma!$F$3:$P$1107,11,0),"")</f>
        <v/>
      </c>
      <c r="BO70" s="363" t="str">
        <f>_xlfn.IFNA(VLOOKUP($BD70,Programma!$F$3:$Q$1107,12,0),"")</f>
        <v/>
      </c>
      <c r="BP70" s="363" t="str">
        <f>_xlfn.IFNA(VLOOKUP($BD70,Programma!$F$3:$R$1107,13,0),"")</f>
        <v/>
      </c>
      <c r="BQ70" s="363" t="str">
        <f>_xlfn.IFNA(VLOOKUP($BD70,Programma!$F$3:$S$1107,14,0),"")</f>
        <v/>
      </c>
      <c r="BR70" s="363" t="str">
        <f>_xlfn.IFNA(VLOOKUP($BD70,Programma!$F$3:$T$1107,15,0),"")</f>
        <v/>
      </c>
      <c r="BS70" s="363" t="str">
        <f>_xlfn.IFNA(VLOOKUP($BD70,Programma!$F$3:$U$1107,16,0),"")</f>
        <v/>
      </c>
      <c r="BT70" s="363" t="str">
        <f>_xlfn.IFNA(VLOOKUP($BD70,Programma!$F$3:$V$1107,17,0),"")</f>
        <v/>
      </c>
      <c r="BU70" s="363" t="str">
        <f>_xlfn.IFNA(VLOOKUP($BD70,Programma!$F$3:$W$1107,18,0),"")</f>
        <v/>
      </c>
      <c r="BV70" s="363" t="str">
        <f>_xlfn.IFNA(VLOOKUP($BD70,Programma!$F$3:$X$1107,19,0),"")</f>
        <v/>
      </c>
      <c r="BW70" s="363" t="str">
        <f>_xlfn.IFNA(VLOOKUP($BD70,Programma!$F$3:$Y$1107,20,0),"")</f>
        <v/>
      </c>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row>
    <row r="71" spans="1:220" ht="15" customHeight="1">
      <c r="A71" s="21">
        <v>2</v>
      </c>
      <c r="B71" s="157" t="str">
        <f>VLOOKUP(Ruimtestaat[[#This Row],[Code]],Locaties[[Code]:[Locatie]],2,FALSE)</f>
        <v>'s Gravendreef College</v>
      </c>
      <c r="C71" s="157" t="str">
        <f>VLOOKUP(Ruimtestaat[[#This Row],[Code]],Locaties[[#All],[Code]:[Adres]],4,FALSE)</f>
        <v>Klaas Voskuildreef 135</v>
      </c>
      <c r="D71" s="157" t="str">
        <f>VLOOKUP(Ruimtestaat[[#This Row],[Code]],Locaties[[#All],[Code]:[Postcode]],5,FALSE)</f>
        <v>2492 JJ</v>
      </c>
      <c r="E71" s="157" t="str">
        <f>VLOOKUP(Ruimtestaat[[#This Row],[Code]],Locaties[#All],6,FALSE)</f>
        <v>Den Haag</v>
      </c>
      <c r="F71" s="33"/>
      <c r="G71" s="33" t="s">
        <v>1706</v>
      </c>
      <c r="H71" s="368" t="s">
        <v>1713</v>
      </c>
      <c r="I71" s="367" t="s">
        <v>1625</v>
      </c>
      <c r="J71" s="21">
        <v>6</v>
      </c>
      <c r="K71" s="62" t="str">
        <f>VLOOKUP(Ruimtestaat[[#This Row],[Ruimte code]],Ruimtegroepen[[#All],[Code]:[Ruimte omschrijving]],2,FALSE)</f>
        <v>Gangen/hallen</v>
      </c>
      <c r="L71" s="33" t="s">
        <v>101</v>
      </c>
      <c r="M71" s="367" t="s">
        <v>2495</v>
      </c>
      <c r="N71" s="140">
        <v>166</v>
      </c>
      <c r="O71" s="140"/>
      <c r="P71" s="125" t="str">
        <f>VLOOKUP(Ruimtestaat[[#This Row],[Ruimte code]],Ruimtegroepen[],4,FALSE)</f>
        <v>Ve</v>
      </c>
      <c r="R71" s="33">
        <v>40</v>
      </c>
      <c r="S71" s="33" t="s">
        <v>2</v>
      </c>
      <c r="T71" s="33">
        <f>IF(R71&gt;0,IF(RIGHT(Ruimtestaat[[#This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1" s="33">
        <f>IF(T71&gt;0,VLOOKUP($J71,Ruimtegroepen[],3,FALSE)*VLOOKUP($L71,Vloersoorten[],3,FALSE)*VLOOKUP($S71,Frequenties[],3,FALSE)*VLOOKUP($A71,Locaties[],3,FALSE),0)</f>
        <v>0</v>
      </c>
      <c r="V71" s="33">
        <f>Ruimtestaat[[#This Row],[Uitvoeringen werkdagen]]*Ruimtestaat[[#This Row],[Oppervlak (netto)]]</f>
        <v>33200</v>
      </c>
      <c r="W71" s="154">
        <f>IF(U71&gt;0,Ruimtestaat[[#This Row],[Prest. (m2 /jaar) werkdagen]]/Ruimtestaat[[#This Row],[Norm (m2/uur) werkdagen]],0)</f>
        <v>0</v>
      </c>
      <c r="X71" s="155">
        <f>Ruimtestaat[[#This Row],[uren / jaar werkdagen]]*Tariefsopbouw!$E$35</f>
        <v>0</v>
      </c>
      <c r="Y71" s="33"/>
      <c r="Z71" s="33">
        <f>IF(Ruimtestaat[[#This Row],[Frequentie weekend]]&gt;0,VALUE(LEFT(Y71,1))*R71,0)</f>
        <v>0</v>
      </c>
      <c r="AA71" s="97">
        <f>IF($Z71&gt;0,VLOOKUP($J71,Ruimtegroepen[],3,FALSE)*VLOOKUP($L71,Vloersoorten[],3,FALSE)*VLOOKUP($Y71,Frequenties[],3,FALSE)*VLOOKUP(Ruimtestaat[[#This Row],[Code]],Locaties[],3,FALSE),0)</f>
        <v>0</v>
      </c>
      <c r="AB71" s="97">
        <f>Ruimtestaat[[#This Row],[Uitvoeringen weekend]]*Ruimtestaat[[#This Row],[Oppervlak (netto)]]</f>
        <v>0</v>
      </c>
      <c r="AC71" s="97">
        <f>IF(AA71&gt;0,Ruimtestaat[[#This Row],[Prest. (m2 /jaar) weekend]]/Ruimtestaat[[#This Row],[Norm (m2/uur) weekend]],0)</f>
        <v>0</v>
      </c>
      <c r="AD71" s="155">
        <f>Ruimtestaat[[#This Row],[uren / jaar weekend]]*Tariefsopbouw!$D$40</f>
        <v>0</v>
      </c>
      <c r="AE71" s="154">
        <f>Ruimtestaat[[#This Row],[Prest. (m2 /jaar) weekend]]+Ruimtestaat[[#This Row],[Prest. (m2 /jaar) werkdagen]]</f>
        <v>33200</v>
      </c>
      <c r="AF71" s="154">
        <f>Ruimtestaat[[#This Row],[uren / jaar weekend]]+Ruimtestaat[[#This Row],[uren / jaar werkdagen]]</f>
        <v>0</v>
      </c>
      <c r="AG71" s="69">
        <f>Ruimtestaat[[#This Row],[kosten / jaar weekend]]+Ruimtestaat[[#This Row],[kosten / jaar werkdagen]]</f>
        <v>0</v>
      </c>
      <c r="AH71" s="69"/>
      <c r="AI71" s="256" t="str">
        <f>IF(Ruimtestaat[[#This Row],[Frequentie werkdagen]]="","",_xlfn.CONCAT(Ruimtestaat[[#This Row],[Ruimte code]],"-",Ruimtestaat[[#This Row],[Frequentie werkdagen]]," ",Ruimtestaat[[#This Row],[Vloer code]]))</f>
        <v>6-5w L</v>
      </c>
      <c r="AJ71" s="363" t="str">
        <f>_xlfn.IFNA(VLOOKUP($AI71,Programma!$F$3:$G$1107,2,0),"")</f>
        <v>_</v>
      </c>
      <c r="AK71" s="363" t="str">
        <f>_xlfn.IFNA(VLOOKUP($AI71,Programma!$F$3:$H$1107,3,0),"")</f>
        <v>_</v>
      </c>
      <c r="AL71" s="363" t="str">
        <f>_xlfn.IFNA(VLOOKUP($AI71,Programma!$F$3:$I$1107,4,0),"")</f>
        <v>_</v>
      </c>
      <c r="AM71" s="363" t="str">
        <f>_xlfn.IFNA(VLOOKUP($AI71,Programma!$F$3:$J$1107,5,0),"")</f>
        <v>5w</v>
      </c>
      <c r="AN71" s="363" t="str">
        <f>_xlfn.IFNA(VLOOKUP($AI71,Programma!$F$3:$K$1107,6,0),"")</f>
        <v>_</v>
      </c>
      <c r="AO71" s="363" t="str">
        <f>_xlfn.IFNA(VLOOKUP($AI71,Programma!$F$3:$L$1107,7,0),"")</f>
        <v>_</v>
      </c>
      <c r="AP71" s="363" t="str">
        <f>_xlfn.IFNA(VLOOKUP($AI71,Programma!$F$3:$M$1107,8,0),"")</f>
        <v>_</v>
      </c>
      <c r="AQ71" s="363" t="str">
        <f>_xlfn.IFNA(VLOOKUP($AI71,Programma!$F$3:$N$1107,9,0),"")</f>
        <v>_</v>
      </c>
      <c r="AR71" s="363" t="str">
        <f>_xlfn.IFNA(VLOOKUP($AI71,Programma!$F$3:$O$1107,10,0),"")</f>
        <v>5w</v>
      </c>
      <c r="AS71" s="363" t="str">
        <f>_xlfn.IFNA(VLOOKUP($AI71,Programma!$F$3:$P$1107,11,0),"")</f>
        <v>5w</v>
      </c>
      <c r="AT71" s="363" t="str">
        <f>_xlfn.IFNA(VLOOKUP($AI71,Programma!$F$3:$Q$1107,12,0),"")</f>
        <v>1w</v>
      </c>
      <c r="AU71" s="363" t="str">
        <f>_xlfn.IFNA(VLOOKUP($AI71,Programma!$F$3:$R$1107,13,0),"")</f>
        <v>1w</v>
      </c>
      <c r="AV71" s="363" t="str">
        <f>_xlfn.IFNA(VLOOKUP($AI71,Programma!$F$3:$S$1107,14,0),"")</f>
        <v>1m</v>
      </c>
      <c r="AW71" s="363" t="str">
        <f>_xlfn.IFNA(VLOOKUP($AI71,Programma!$F$3:$T$1107,15,0),"")</f>
        <v>2j</v>
      </c>
      <c r="AX71" s="363" t="str">
        <f>_xlfn.IFNA(VLOOKUP($AI71,Programma!$F$3:$U$1107,16,0),"")</f>
        <v>1j</v>
      </c>
      <c r="AY71" s="363" t="str">
        <f>_xlfn.IFNA(VLOOKUP($AI71,Programma!$F$3:$V$1107,17,0),"")</f>
        <v>_</v>
      </c>
      <c r="AZ71" s="363" t="str">
        <f>_xlfn.IFNA(VLOOKUP($AI71,Programma!$F$3:$W$1107,18,0),"")</f>
        <v>_</v>
      </c>
      <c r="BA71" s="363" t="str">
        <f>_xlfn.IFNA(VLOOKUP($AI71,Programma!$F$3:$X$1107,19,0),"")</f>
        <v>_</v>
      </c>
      <c r="BB71" s="363" t="str">
        <f>_xlfn.IFNA(VLOOKUP($AI71,Programma!$F$3:$Y$1107,20,0),"")</f>
        <v>_</v>
      </c>
      <c r="BC71" s="257"/>
      <c r="BD71" s="256" t="str">
        <f>IF(Ruimtestaat[[#This Row],[Frequentie weekend]]="","",_xlfn.CONCAT(Ruimtestaat[[#This Row],[Ruimte code]],"-",Ruimtestaat[[#This Row],[Frequentie weekend]]," ",Ruimtestaat[[#This Row],[Vloer code]]))</f>
        <v/>
      </c>
      <c r="BE71" s="363" t="str">
        <f>_xlfn.IFNA(VLOOKUP($BD71,Programma!$F$3:$G$1107,2,0),"")</f>
        <v/>
      </c>
      <c r="BF71" s="363" t="str">
        <f>_xlfn.IFNA(VLOOKUP($BD71,Programma!$F$3:$H$1107,3,0),"")</f>
        <v/>
      </c>
      <c r="BG71" s="363" t="str">
        <f>_xlfn.IFNA(VLOOKUP($BD71,Programma!$F$3:$I$1107,4,0),"")</f>
        <v/>
      </c>
      <c r="BH71" s="363" t="str">
        <f>_xlfn.IFNA(VLOOKUP($BD71,Programma!$F$3:$J$1107,5,0),"")</f>
        <v/>
      </c>
      <c r="BI71" s="363" t="str">
        <f>_xlfn.IFNA(VLOOKUP($BD71,Programma!$F$3:$K$1107,6,0),"")</f>
        <v/>
      </c>
      <c r="BJ71" s="363" t="str">
        <f>_xlfn.IFNA(VLOOKUP($BD71,Programma!$F$3:$L$1107,7,0),"")</f>
        <v/>
      </c>
      <c r="BK71" s="363" t="str">
        <f>_xlfn.IFNA(VLOOKUP($BD71,Programma!$F$3:$M$1107,8,0),"")</f>
        <v/>
      </c>
      <c r="BL71" s="363" t="str">
        <f>_xlfn.IFNA(VLOOKUP($BD71,Programma!$F$3:$N$1107,9,0),"")</f>
        <v/>
      </c>
      <c r="BM71" s="363" t="str">
        <f>_xlfn.IFNA(VLOOKUP($BD71,Programma!$F$3:$O$1107,10,0),"")</f>
        <v/>
      </c>
      <c r="BN71" s="363" t="str">
        <f>_xlfn.IFNA(VLOOKUP($BD71,Programma!$F$3:$P$1107,11,0),"")</f>
        <v/>
      </c>
      <c r="BO71" s="363" t="str">
        <f>_xlfn.IFNA(VLOOKUP($BD71,Programma!$F$3:$Q$1107,12,0),"")</f>
        <v/>
      </c>
      <c r="BP71" s="363" t="str">
        <f>_xlfn.IFNA(VLOOKUP($BD71,Programma!$F$3:$R$1107,13,0),"")</f>
        <v/>
      </c>
      <c r="BQ71" s="363" t="str">
        <f>_xlfn.IFNA(VLOOKUP($BD71,Programma!$F$3:$S$1107,14,0),"")</f>
        <v/>
      </c>
      <c r="BR71" s="363" t="str">
        <f>_xlfn.IFNA(VLOOKUP($BD71,Programma!$F$3:$T$1107,15,0),"")</f>
        <v/>
      </c>
      <c r="BS71" s="363" t="str">
        <f>_xlfn.IFNA(VLOOKUP($BD71,Programma!$F$3:$U$1107,16,0),"")</f>
        <v/>
      </c>
      <c r="BT71" s="363" t="str">
        <f>_xlfn.IFNA(VLOOKUP($BD71,Programma!$F$3:$V$1107,17,0),"")</f>
        <v/>
      </c>
      <c r="BU71" s="363" t="str">
        <f>_xlfn.IFNA(VLOOKUP($BD71,Programma!$F$3:$W$1107,18,0),"")</f>
        <v/>
      </c>
      <c r="BV71" s="363" t="str">
        <f>_xlfn.IFNA(VLOOKUP($BD71,Programma!$F$3:$X$1107,19,0),"")</f>
        <v/>
      </c>
      <c r="BW71" s="363" t="str">
        <f>_xlfn.IFNA(VLOOKUP($BD71,Programma!$F$3:$Y$1107,20,0),"")</f>
        <v/>
      </c>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row>
    <row r="72" spans="1:220" ht="15" customHeight="1">
      <c r="A72" s="21">
        <v>2</v>
      </c>
      <c r="B72" s="157" t="str">
        <f>VLOOKUP(Ruimtestaat[[#This Row],[Code]],Locaties[[Code]:[Locatie]],2,FALSE)</f>
        <v>'s Gravendreef College</v>
      </c>
      <c r="C72" s="157" t="str">
        <f>VLOOKUP(Ruimtestaat[[#This Row],[Code]],Locaties[[#All],[Code]:[Adres]],4,FALSE)</f>
        <v>Klaas Voskuildreef 135</v>
      </c>
      <c r="D72" s="157" t="str">
        <f>VLOOKUP(Ruimtestaat[[#This Row],[Code]],Locaties[[#All],[Code]:[Postcode]],5,FALSE)</f>
        <v>2492 JJ</v>
      </c>
      <c r="E72" s="157" t="str">
        <f>VLOOKUP(Ruimtestaat[[#This Row],[Code]],Locaties[#All],6,FALSE)</f>
        <v>Den Haag</v>
      </c>
      <c r="F72" s="33"/>
      <c r="G72" s="33" t="s">
        <v>1706</v>
      </c>
      <c r="H72" s="368" t="s">
        <v>1714</v>
      </c>
      <c r="I72" s="367" t="s">
        <v>1625</v>
      </c>
      <c r="J72" s="21">
        <v>6</v>
      </c>
      <c r="K72" s="62" t="str">
        <f>VLOOKUP(Ruimtestaat[[#This Row],[Ruimte code]],Ruimtegroepen[[#All],[Code]:[Ruimte omschrijving]],2,FALSE)</f>
        <v>Gangen/hallen</v>
      </c>
      <c r="L72" s="33" t="s">
        <v>101</v>
      </c>
      <c r="M72" s="367" t="s">
        <v>2495</v>
      </c>
      <c r="N72" s="140">
        <v>189</v>
      </c>
      <c r="O72" s="140"/>
      <c r="P72" s="125" t="str">
        <f>VLOOKUP(Ruimtestaat[[#This Row],[Ruimte code]],Ruimtegroepen[],4,FALSE)</f>
        <v>Ve</v>
      </c>
      <c r="R72" s="33">
        <v>40</v>
      </c>
      <c r="S72" s="33" t="s">
        <v>2</v>
      </c>
      <c r="T72" s="33">
        <f>IF(R72&gt;0,IF(RIGHT(Ruimtestaat[[#This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2" s="33">
        <f>IF(T72&gt;0,VLOOKUP($J72,Ruimtegroepen[],3,FALSE)*VLOOKUP($L72,Vloersoorten[],3,FALSE)*VLOOKUP($S72,Frequenties[],3,FALSE)*VLOOKUP($A72,Locaties[],3,FALSE),0)</f>
        <v>0</v>
      </c>
      <c r="V72" s="33">
        <f>Ruimtestaat[[#This Row],[Uitvoeringen werkdagen]]*Ruimtestaat[[#This Row],[Oppervlak (netto)]]</f>
        <v>37800</v>
      </c>
      <c r="W72" s="154">
        <f>IF(U72&gt;0,Ruimtestaat[[#This Row],[Prest. (m2 /jaar) werkdagen]]/Ruimtestaat[[#This Row],[Norm (m2/uur) werkdagen]],0)</f>
        <v>0</v>
      </c>
      <c r="X72" s="155">
        <f>Ruimtestaat[[#This Row],[uren / jaar werkdagen]]*Tariefsopbouw!$E$35</f>
        <v>0</v>
      </c>
      <c r="Y72" s="33"/>
      <c r="Z72" s="33">
        <f>IF(Ruimtestaat[[#This Row],[Frequentie weekend]]&gt;0,VALUE(LEFT(Y72,1))*R72,0)</f>
        <v>0</v>
      </c>
      <c r="AA72" s="97">
        <f>IF($Z72&gt;0,VLOOKUP($J72,Ruimtegroepen[],3,FALSE)*VLOOKUP($L72,Vloersoorten[],3,FALSE)*VLOOKUP($Y72,Frequenties[],3,FALSE)*VLOOKUP(Ruimtestaat[[#This Row],[Code]],Locaties[],3,FALSE),0)</f>
        <v>0</v>
      </c>
      <c r="AB72" s="97">
        <f>Ruimtestaat[[#This Row],[Uitvoeringen weekend]]*Ruimtestaat[[#This Row],[Oppervlak (netto)]]</f>
        <v>0</v>
      </c>
      <c r="AC72" s="97">
        <f>IF(AA72&gt;0,Ruimtestaat[[#This Row],[Prest. (m2 /jaar) weekend]]/Ruimtestaat[[#This Row],[Norm (m2/uur) weekend]],0)</f>
        <v>0</v>
      </c>
      <c r="AD72" s="155">
        <f>Ruimtestaat[[#This Row],[uren / jaar weekend]]*Tariefsopbouw!$D$40</f>
        <v>0</v>
      </c>
      <c r="AE72" s="154">
        <f>Ruimtestaat[[#This Row],[Prest. (m2 /jaar) weekend]]+Ruimtestaat[[#This Row],[Prest. (m2 /jaar) werkdagen]]</f>
        <v>37800</v>
      </c>
      <c r="AF72" s="154">
        <f>Ruimtestaat[[#This Row],[uren / jaar weekend]]+Ruimtestaat[[#This Row],[uren / jaar werkdagen]]</f>
        <v>0</v>
      </c>
      <c r="AG72" s="69">
        <f>Ruimtestaat[[#This Row],[kosten / jaar weekend]]+Ruimtestaat[[#This Row],[kosten / jaar werkdagen]]</f>
        <v>0</v>
      </c>
      <c r="AH72" s="69"/>
      <c r="AI72" s="256" t="str">
        <f>IF(Ruimtestaat[[#This Row],[Frequentie werkdagen]]="","",_xlfn.CONCAT(Ruimtestaat[[#This Row],[Ruimte code]],"-",Ruimtestaat[[#This Row],[Frequentie werkdagen]]," ",Ruimtestaat[[#This Row],[Vloer code]]))</f>
        <v>6-5w L</v>
      </c>
      <c r="AJ72" s="363" t="str">
        <f>_xlfn.IFNA(VLOOKUP($AI72,Programma!$F$3:$G$1107,2,0),"")</f>
        <v>_</v>
      </c>
      <c r="AK72" s="363" t="str">
        <f>_xlfn.IFNA(VLOOKUP($AI72,Programma!$F$3:$H$1107,3,0),"")</f>
        <v>_</v>
      </c>
      <c r="AL72" s="363" t="str">
        <f>_xlfn.IFNA(VLOOKUP($AI72,Programma!$F$3:$I$1107,4,0),"")</f>
        <v>_</v>
      </c>
      <c r="AM72" s="363" t="str">
        <f>_xlfn.IFNA(VLOOKUP($AI72,Programma!$F$3:$J$1107,5,0),"")</f>
        <v>5w</v>
      </c>
      <c r="AN72" s="363" t="str">
        <f>_xlfn.IFNA(VLOOKUP($AI72,Programma!$F$3:$K$1107,6,0),"")</f>
        <v>_</v>
      </c>
      <c r="AO72" s="363" t="str">
        <f>_xlfn.IFNA(VLOOKUP($AI72,Programma!$F$3:$L$1107,7,0),"")</f>
        <v>_</v>
      </c>
      <c r="AP72" s="363" t="str">
        <f>_xlfn.IFNA(VLOOKUP($AI72,Programma!$F$3:$M$1107,8,0),"")</f>
        <v>_</v>
      </c>
      <c r="AQ72" s="363" t="str">
        <f>_xlfn.IFNA(VLOOKUP($AI72,Programma!$F$3:$N$1107,9,0),"")</f>
        <v>_</v>
      </c>
      <c r="AR72" s="363" t="str">
        <f>_xlfn.IFNA(VLOOKUP($AI72,Programma!$F$3:$O$1107,10,0),"")</f>
        <v>5w</v>
      </c>
      <c r="AS72" s="363" t="str">
        <f>_xlfn.IFNA(VLOOKUP($AI72,Programma!$F$3:$P$1107,11,0),"")</f>
        <v>5w</v>
      </c>
      <c r="AT72" s="363" t="str">
        <f>_xlfn.IFNA(VLOOKUP($AI72,Programma!$F$3:$Q$1107,12,0),"")</f>
        <v>1w</v>
      </c>
      <c r="AU72" s="363" t="str">
        <f>_xlfn.IFNA(VLOOKUP($AI72,Programma!$F$3:$R$1107,13,0),"")</f>
        <v>1w</v>
      </c>
      <c r="AV72" s="363" t="str">
        <f>_xlfn.IFNA(VLOOKUP($AI72,Programma!$F$3:$S$1107,14,0),"")</f>
        <v>1m</v>
      </c>
      <c r="AW72" s="363" t="str">
        <f>_xlfn.IFNA(VLOOKUP($AI72,Programma!$F$3:$T$1107,15,0),"")</f>
        <v>2j</v>
      </c>
      <c r="AX72" s="363" t="str">
        <f>_xlfn.IFNA(VLOOKUP($AI72,Programma!$F$3:$U$1107,16,0),"")</f>
        <v>1j</v>
      </c>
      <c r="AY72" s="363" t="str">
        <f>_xlfn.IFNA(VLOOKUP($AI72,Programma!$F$3:$V$1107,17,0),"")</f>
        <v>_</v>
      </c>
      <c r="AZ72" s="363" t="str">
        <f>_xlfn.IFNA(VLOOKUP($AI72,Programma!$F$3:$W$1107,18,0),"")</f>
        <v>_</v>
      </c>
      <c r="BA72" s="363" t="str">
        <f>_xlfn.IFNA(VLOOKUP($AI72,Programma!$F$3:$X$1107,19,0),"")</f>
        <v>_</v>
      </c>
      <c r="BB72" s="363" t="str">
        <f>_xlfn.IFNA(VLOOKUP($AI72,Programma!$F$3:$Y$1107,20,0),"")</f>
        <v>_</v>
      </c>
      <c r="BC72" s="257"/>
      <c r="BD72" s="256" t="str">
        <f>IF(Ruimtestaat[[#This Row],[Frequentie weekend]]="","",_xlfn.CONCAT(Ruimtestaat[[#This Row],[Ruimte code]],"-",Ruimtestaat[[#This Row],[Frequentie weekend]]," ",Ruimtestaat[[#This Row],[Vloer code]]))</f>
        <v/>
      </c>
      <c r="BE72" s="363" t="str">
        <f>_xlfn.IFNA(VLOOKUP($BD72,Programma!$F$3:$G$1107,2,0),"")</f>
        <v/>
      </c>
      <c r="BF72" s="363" t="str">
        <f>_xlfn.IFNA(VLOOKUP($BD72,Programma!$F$3:$H$1107,3,0),"")</f>
        <v/>
      </c>
      <c r="BG72" s="363" t="str">
        <f>_xlfn.IFNA(VLOOKUP($BD72,Programma!$F$3:$I$1107,4,0),"")</f>
        <v/>
      </c>
      <c r="BH72" s="363" t="str">
        <f>_xlfn.IFNA(VLOOKUP($BD72,Programma!$F$3:$J$1107,5,0),"")</f>
        <v/>
      </c>
      <c r="BI72" s="363" t="str">
        <f>_xlfn.IFNA(VLOOKUP($BD72,Programma!$F$3:$K$1107,6,0),"")</f>
        <v/>
      </c>
      <c r="BJ72" s="363" t="str">
        <f>_xlfn.IFNA(VLOOKUP($BD72,Programma!$F$3:$L$1107,7,0),"")</f>
        <v/>
      </c>
      <c r="BK72" s="363" t="str">
        <f>_xlfn.IFNA(VLOOKUP($BD72,Programma!$F$3:$M$1107,8,0),"")</f>
        <v/>
      </c>
      <c r="BL72" s="363" t="str">
        <f>_xlfn.IFNA(VLOOKUP($BD72,Programma!$F$3:$N$1107,9,0),"")</f>
        <v/>
      </c>
      <c r="BM72" s="363" t="str">
        <f>_xlfn.IFNA(VLOOKUP($BD72,Programma!$F$3:$O$1107,10,0),"")</f>
        <v/>
      </c>
      <c r="BN72" s="363" t="str">
        <f>_xlfn.IFNA(VLOOKUP($BD72,Programma!$F$3:$P$1107,11,0),"")</f>
        <v/>
      </c>
      <c r="BO72" s="363" t="str">
        <f>_xlfn.IFNA(VLOOKUP($BD72,Programma!$F$3:$Q$1107,12,0),"")</f>
        <v/>
      </c>
      <c r="BP72" s="363" t="str">
        <f>_xlfn.IFNA(VLOOKUP($BD72,Programma!$F$3:$R$1107,13,0),"")</f>
        <v/>
      </c>
      <c r="BQ72" s="363" t="str">
        <f>_xlfn.IFNA(VLOOKUP($BD72,Programma!$F$3:$S$1107,14,0),"")</f>
        <v/>
      </c>
      <c r="BR72" s="363" t="str">
        <f>_xlfn.IFNA(VLOOKUP($BD72,Programma!$F$3:$T$1107,15,0),"")</f>
        <v/>
      </c>
      <c r="BS72" s="363" t="str">
        <f>_xlfn.IFNA(VLOOKUP($BD72,Programma!$F$3:$U$1107,16,0),"")</f>
        <v/>
      </c>
      <c r="BT72" s="363" t="str">
        <f>_xlfn.IFNA(VLOOKUP($BD72,Programma!$F$3:$V$1107,17,0),"")</f>
        <v/>
      </c>
      <c r="BU72" s="363" t="str">
        <f>_xlfn.IFNA(VLOOKUP($BD72,Programma!$F$3:$W$1107,18,0),"")</f>
        <v/>
      </c>
      <c r="BV72" s="363" t="str">
        <f>_xlfn.IFNA(VLOOKUP($BD72,Programma!$F$3:$X$1107,19,0),"")</f>
        <v/>
      </c>
      <c r="BW72" s="363" t="str">
        <f>_xlfn.IFNA(VLOOKUP($BD72,Programma!$F$3:$Y$1107,20,0),"")</f>
        <v/>
      </c>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row>
    <row r="73" spans="1:220" ht="15" customHeight="1">
      <c r="A73" s="21">
        <v>2</v>
      </c>
      <c r="B73" s="157" t="str">
        <f>VLOOKUP(Ruimtestaat[[#This Row],[Code]],Locaties[[Code]:[Locatie]],2,FALSE)</f>
        <v>'s Gravendreef College</v>
      </c>
      <c r="C73" s="157" t="str">
        <f>VLOOKUP(Ruimtestaat[[#This Row],[Code]],Locaties[[#All],[Code]:[Adres]],4,FALSE)</f>
        <v>Klaas Voskuildreef 135</v>
      </c>
      <c r="D73" s="157" t="str">
        <f>VLOOKUP(Ruimtestaat[[#This Row],[Code]],Locaties[[#All],[Code]:[Postcode]],5,FALSE)</f>
        <v>2492 JJ</v>
      </c>
      <c r="E73" s="157" t="str">
        <f>VLOOKUP(Ruimtestaat[[#This Row],[Code]],Locaties[#All],6,FALSE)</f>
        <v>Den Haag</v>
      </c>
      <c r="F73" s="33"/>
      <c r="G73" s="33" t="s">
        <v>1706</v>
      </c>
      <c r="H73" s="368" t="s">
        <v>1715</v>
      </c>
      <c r="I73" s="367" t="s">
        <v>1625</v>
      </c>
      <c r="J73" s="21">
        <v>6</v>
      </c>
      <c r="K73" s="62" t="str">
        <f>VLOOKUP(Ruimtestaat[[#This Row],[Ruimte code]],Ruimtegroepen[[#All],[Code]:[Ruimte omschrijving]],2,FALSE)</f>
        <v>Gangen/hallen</v>
      </c>
      <c r="L73" s="33" t="s">
        <v>101</v>
      </c>
      <c r="M73" s="367" t="s">
        <v>2495</v>
      </c>
      <c r="N73" s="140">
        <v>13</v>
      </c>
      <c r="O73" s="140"/>
      <c r="P73" s="125" t="str">
        <f>VLOOKUP(Ruimtestaat[[#This Row],[Ruimte code]],Ruimtegroepen[],4,FALSE)</f>
        <v>Ve</v>
      </c>
      <c r="R73" s="33">
        <v>40</v>
      </c>
      <c r="S73" s="33" t="s">
        <v>2</v>
      </c>
      <c r="T73" s="33">
        <f>IF(R73&gt;0,IF(RIGHT(Ruimtestaat[[#This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 s="33">
        <f>IF(T73&gt;0,VLOOKUP($J73,Ruimtegroepen[],3,FALSE)*VLOOKUP($L73,Vloersoorten[],3,FALSE)*VLOOKUP($S73,Frequenties[],3,FALSE)*VLOOKUP($A73,Locaties[],3,FALSE),0)</f>
        <v>0</v>
      </c>
      <c r="V73" s="33">
        <f>Ruimtestaat[[#This Row],[Uitvoeringen werkdagen]]*Ruimtestaat[[#This Row],[Oppervlak (netto)]]</f>
        <v>2600</v>
      </c>
      <c r="W73" s="154">
        <f>IF(U73&gt;0,Ruimtestaat[[#This Row],[Prest. (m2 /jaar) werkdagen]]/Ruimtestaat[[#This Row],[Norm (m2/uur) werkdagen]],0)</f>
        <v>0</v>
      </c>
      <c r="X73" s="155">
        <f>Ruimtestaat[[#This Row],[uren / jaar werkdagen]]*Tariefsopbouw!$E$35</f>
        <v>0</v>
      </c>
      <c r="Y73" s="33"/>
      <c r="Z73" s="33">
        <f>IF(Ruimtestaat[[#This Row],[Frequentie weekend]]&gt;0,VALUE(LEFT(Y73,1))*R73,0)</f>
        <v>0</v>
      </c>
      <c r="AA73" s="97">
        <f>IF($Z73&gt;0,VLOOKUP($J73,Ruimtegroepen[],3,FALSE)*VLOOKUP($L73,Vloersoorten[],3,FALSE)*VLOOKUP($Y73,Frequenties[],3,FALSE)*VLOOKUP(Ruimtestaat[[#This Row],[Code]],Locaties[],3,FALSE),0)</f>
        <v>0</v>
      </c>
      <c r="AB73" s="97">
        <f>Ruimtestaat[[#This Row],[Uitvoeringen weekend]]*Ruimtestaat[[#This Row],[Oppervlak (netto)]]</f>
        <v>0</v>
      </c>
      <c r="AC73" s="97">
        <f>IF(AA73&gt;0,Ruimtestaat[[#This Row],[Prest. (m2 /jaar) weekend]]/Ruimtestaat[[#This Row],[Norm (m2/uur) weekend]],0)</f>
        <v>0</v>
      </c>
      <c r="AD73" s="155">
        <f>Ruimtestaat[[#This Row],[uren / jaar weekend]]*Tariefsopbouw!$D$40</f>
        <v>0</v>
      </c>
      <c r="AE73" s="154">
        <f>Ruimtestaat[[#This Row],[Prest. (m2 /jaar) weekend]]+Ruimtestaat[[#This Row],[Prest. (m2 /jaar) werkdagen]]</f>
        <v>2600</v>
      </c>
      <c r="AF73" s="154">
        <f>Ruimtestaat[[#This Row],[uren / jaar weekend]]+Ruimtestaat[[#This Row],[uren / jaar werkdagen]]</f>
        <v>0</v>
      </c>
      <c r="AG73" s="69">
        <f>Ruimtestaat[[#This Row],[kosten / jaar weekend]]+Ruimtestaat[[#This Row],[kosten / jaar werkdagen]]</f>
        <v>0</v>
      </c>
      <c r="AH73" s="69"/>
      <c r="AI73" s="256" t="str">
        <f>IF(Ruimtestaat[[#This Row],[Frequentie werkdagen]]="","",_xlfn.CONCAT(Ruimtestaat[[#This Row],[Ruimte code]],"-",Ruimtestaat[[#This Row],[Frequentie werkdagen]]," ",Ruimtestaat[[#This Row],[Vloer code]]))</f>
        <v>6-5w L</v>
      </c>
      <c r="AJ73" s="363" t="str">
        <f>_xlfn.IFNA(VLOOKUP($AI73,Programma!$F$3:$G$1107,2,0),"")</f>
        <v>_</v>
      </c>
      <c r="AK73" s="363" t="str">
        <f>_xlfn.IFNA(VLOOKUP($AI73,Programma!$F$3:$H$1107,3,0),"")</f>
        <v>_</v>
      </c>
      <c r="AL73" s="363" t="str">
        <f>_xlfn.IFNA(VLOOKUP($AI73,Programma!$F$3:$I$1107,4,0),"")</f>
        <v>_</v>
      </c>
      <c r="AM73" s="363" t="str">
        <f>_xlfn.IFNA(VLOOKUP($AI73,Programma!$F$3:$J$1107,5,0),"")</f>
        <v>5w</v>
      </c>
      <c r="AN73" s="363" t="str">
        <f>_xlfn.IFNA(VLOOKUP($AI73,Programma!$F$3:$K$1107,6,0),"")</f>
        <v>_</v>
      </c>
      <c r="AO73" s="363" t="str">
        <f>_xlfn.IFNA(VLOOKUP($AI73,Programma!$F$3:$L$1107,7,0),"")</f>
        <v>_</v>
      </c>
      <c r="AP73" s="363" t="str">
        <f>_xlfn.IFNA(VLOOKUP($AI73,Programma!$F$3:$M$1107,8,0),"")</f>
        <v>_</v>
      </c>
      <c r="AQ73" s="363" t="str">
        <f>_xlfn.IFNA(VLOOKUP($AI73,Programma!$F$3:$N$1107,9,0),"")</f>
        <v>_</v>
      </c>
      <c r="AR73" s="363" t="str">
        <f>_xlfn.IFNA(VLOOKUP($AI73,Programma!$F$3:$O$1107,10,0),"")</f>
        <v>5w</v>
      </c>
      <c r="AS73" s="363" t="str">
        <f>_xlfn.IFNA(VLOOKUP($AI73,Programma!$F$3:$P$1107,11,0),"")</f>
        <v>5w</v>
      </c>
      <c r="AT73" s="363" t="str">
        <f>_xlfn.IFNA(VLOOKUP($AI73,Programma!$F$3:$Q$1107,12,0),"")</f>
        <v>1w</v>
      </c>
      <c r="AU73" s="363" t="str">
        <f>_xlfn.IFNA(VLOOKUP($AI73,Programma!$F$3:$R$1107,13,0),"")</f>
        <v>1w</v>
      </c>
      <c r="AV73" s="363" t="str">
        <f>_xlfn.IFNA(VLOOKUP($AI73,Programma!$F$3:$S$1107,14,0),"")</f>
        <v>1m</v>
      </c>
      <c r="AW73" s="363" t="str">
        <f>_xlfn.IFNA(VLOOKUP($AI73,Programma!$F$3:$T$1107,15,0),"")</f>
        <v>2j</v>
      </c>
      <c r="AX73" s="363" t="str">
        <f>_xlfn.IFNA(VLOOKUP($AI73,Programma!$F$3:$U$1107,16,0),"")</f>
        <v>1j</v>
      </c>
      <c r="AY73" s="363" t="str">
        <f>_xlfn.IFNA(VLOOKUP($AI73,Programma!$F$3:$V$1107,17,0),"")</f>
        <v>_</v>
      </c>
      <c r="AZ73" s="363" t="str">
        <f>_xlfn.IFNA(VLOOKUP($AI73,Programma!$F$3:$W$1107,18,0),"")</f>
        <v>_</v>
      </c>
      <c r="BA73" s="363" t="str">
        <f>_xlfn.IFNA(VLOOKUP($AI73,Programma!$F$3:$X$1107,19,0),"")</f>
        <v>_</v>
      </c>
      <c r="BB73" s="363" t="str">
        <f>_xlfn.IFNA(VLOOKUP($AI73,Programma!$F$3:$Y$1107,20,0),"")</f>
        <v>_</v>
      </c>
      <c r="BC73" s="257"/>
      <c r="BD73" s="256" t="str">
        <f>IF(Ruimtestaat[[#This Row],[Frequentie weekend]]="","",_xlfn.CONCAT(Ruimtestaat[[#This Row],[Ruimte code]],"-",Ruimtestaat[[#This Row],[Frequentie weekend]]," ",Ruimtestaat[[#This Row],[Vloer code]]))</f>
        <v/>
      </c>
      <c r="BE73" s="363" t="str">
        <f>_xlfn.IFNA(VLOOKUP($BD73,Programma!$F$3:$G$1107,2,0),"")</f>
        <v/>
      </c>
      <c r="BF73" s="363" t="str">
        <f>_xlfn.IFNA(VLOOKUP($BD73,Programma!$F$3:$H$1107,3,0),"")</f>
        <v/>
      </c>
      <c r="BG73" s="363" t="str">
        <f>_xlfn.IFNA(VLOOKUP($BD73,Programma!$F$3:$I$1107,4,0),"")</f>
        <v/>
      </c>
      <c r="BH73" s="363" t="str">
        <f>_xlfn.IFNA(VLOOKUP($BD73,Programma!$F$3:$J$1107,5,0),"")</f>
        <v/>
      </c>
      <c r="BI73" s="363" t="str">
        <f>_xlfn.IFNA(VLOOKUP($BD73,Programma!$F$3:$K$1107,6,0),"")</f>
        <v/>
      </c>
      <c r="BJ73" s="363" t="str">
        <f>_xlfn.IFNA(VLOOKUP($BD73,Programma!$F$3:$L$1107,7,0),"")</f>
        <v/>
      </c>
      <c r="BK73" s="363" t="str">
        <f>_xlfn.IFNA(VLOOKUP($BD73,Programma!$F$3:$M$1107,8,0),"")</f>
        <v/>
      </c>
      <c r="BL73" s="363" t="str">
        <f>_xlfn.IFNA(VLOOKUP($BD73,Programma!$F$3:$N$1107,9,0),"")</f>
        <v/>
      </c>
      <c r="BM73" s="363" t="str">
        <f>_xlfn.IFNA(VLOOKUP($BD73,Programma!$F$3:$O$1107,10,0),"")</f>
        <v/>
      </c>
      <c r="BN73" s="363" t="str">
        <f>_xlfn.IFNA(VLOOKUP($BD73,Programma!$F$3:$P$1107,11,0),"")</f>
        <v/>
      </c>
      <c r="BO73" s="363" t="str">
        <f>_xlfn.IFNA(VLOOKUP($BD73,Programma!$F$3:$Q$1107,12,0),"")</f>
        <v/>
      </c>
      <c r="BP73" s="363" t="str">
        <f>_xlfn.IFNA(VLOOKUP($BD73,Programma!$F$3:$R$1107,13,0),"")</f>
        <v/>
      </c>
      <c r="BQ73" s="363" t="str">
        <f>_xlfn.IFNA(VLOOKUP($BD73,Programma!$F$3:$S$1107,14,0),"")</f>
        <v/>
      </c>
      <c r="BR73" s="363" t="str">
        <f>_xlfn.IFNA(VLOOKUP($BD73,Programma!$F$3:$T$1107,15,0),"")</f>
        <v/>
      </c>
      <c r="BS73" s="363" t="str">
        <f>_xlfn.IFNA(VLOOKUP($BD73,Programma!$F$3:$U$1107,16,0),"")</f>
        <v/>
      </c>
      <c r="BT73" s="363" t="str">
        <f>_xlfn.IFNA(VLOOKUP($BD73,Programma!$F$3:$V$1107,17,0),"")</f>
        <v/>
      </c>
      <c r="BU73" s="363" t="str">
        <f>_xlfn.IFNA(VLOOKUP($BD73,Programma!$F$3:$W$1107,18,0),"")</f>
        <v/>
      </c>
      <c r="BV73" s="363" t="str">
        <f>_xlfn.IFNA(VLOOKUP($BD73,Programma!$F$3:$X$1107,19,0),"")</f>
        <v/>
      </c>
      <c r="BW73" s="363" t="str">
        <f>_xlfn.IFNA(VLOOKUP($BD73,Programma!$F$3:$Y$1107,20,0),"")</f>
        <v/>
      </c>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row>
    <row r="74" spans="1:220" ht="15" customHeight="1">
      <c r="A74" s="21">
        <v>2</v>
      </c>
      <c r="B74" s="157" t="str">
        <f>VLOOKUP(Ruimtestaat[[#This Row],[Code]],Locaties[[Code]:[Locatie]],2,FALSE)</f>
        <v>'s Gravendreef College</v>
      </c>
      <c r="C74" s="157" t="str">
        <f>VLOOKUP(Ruimtestaat[[#This Row],[Code]],Locaties[[#All],[Code]:[Adres]],4,FALSE)</f>
        <v>Klaas Voskuildreef 135</v>
      </c>
      <c r="D74" s="157" t="str">
        <f>VLOOKUP(Ruimtestaat[[#This Row],[Code]],Locaties[[#All],[Code]:[Postcode]],5,FALSE)</f>
        <v>2492 JJ</v>
      </c>
      <c r="E74" s="157" t="str">
        <f>VLOOKUP(Ruimtestaat[[#This Row],[Code]],Locaties[#All],6,FALSE)</f>
        <v>Den Haag</v>
      </c>
      <c r="F74" s="33"/>
      <c r="G74" s="33" t="s">
        <v>1706</v>
      </c>
      <c r="H74" s="368" t="s">
        <v>1716</v>
      </c>
      <c r="I74" s="367" t="s">
        <v>1639</v>
      </c>
      <c r="J74" s="21">
        <v>5</v>
      </c>
      <c r="K74" s="62" t="str">
        <f>VLOOKUP(Ruimtestaat[[#This Row],[Ruimte code]],Ruimtegroepen[[#All],[Code]:[Ruimte omschrijving]],2,FALSE)</f>
        <v>Sanitair</v>
      </c>
      <c r="L74" s="33" t="s">
        <v>102</v>
      </c>
      <c r="M74" s="367" t="s">
        <v>2496</v>
      </c>
      <c r="N74" s="140">
        <v>18</v>
      </c>
      <c r="O74" s="140"/>
      <c r="P74" s="125" t="str">
        <f>VLOOKUP(Ruimtestaat[[#This Row],[Ruimte code]],Ruimtegroepen[],4,FALSE)</f>
        <v>Sa</v>
      </c>
      <c r="R74" s="33">
        <v>40</v>
      </c>
      <c r="S74" s="33" t="s">
        <v>2</v>
      </c>
      <c r="T74" s="33">
        <f>IF(R74&gt;0,IF(RIGHT(Ruimtestaat[[#This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4" s="33">
        <f>IF(T74&gt;0,VLOOKUP($J74,Ruimtegroepen[],3,FALSE)*VLOOKUP($L74,Vloersoorten[],3,FALSE)*VLOOKUP($S74,Frequenties[],3,FALSE)*VLOOKUP($A74,Locaties[],3,FALSE),0)</f>
        <v>0</v>
      </c>
      <c r="V74" s="33">
        <f>Ruimtestaat[[#This Row],[Uitvoeringen werkdagen]]*Ruimtestaat[[#This Row],[Oppervlak (netto)]]</f>
        <v>3600</v>
      </c>
      <c r="W74" s="154">
        <f>IF(U74&gt;0,Ruimtestaat[[#This Row],[Prest. (m2 /jaar) werkdagen]]/Ruimtestaat[[#This Row],[Norm (m2/uur) werkdagen]],0)</f>
        <v>0</v>
      </c>
      <c r="X74" s="155">
        <f>Ruimtestaat[[#This Row],[uren / jaar werkdagen]]*Tariefsopbouw!$E$35</f>
        <v>0</v>
      </c>
      <c r="Y74" s="33"/>
      <c r="Z74" s="33">
        <f>IF(Ruimtestaat[[#This Row],[Frequentie weekend]]&gt;0,VALUE(LEFT(Y74,1))*R74,0)</f>
        <v>0</v>
      </c>
      <c r="AA74" s="97">
        <f>IF($Z74&gt;0,VLOOKUP($J74,Ruimtegroepen[],3,FALSE)*VLOOKUP($L74,Vloersoorten[],3,FALSE)*VLOOKUP($Y74,Frequenties[],3,FALSE)*VLOOKUP(Ruimtestaat[[#This Row],[Code]],Locaties[],3,FALSE),0)</f>
        <v>0</v>
      </c>
      <c r="AB74" s="97">
        <f>Ruimtestaat[[#This Row],[Uitvoeringen weekend]]*Ruimtestaat[[#This Row],[Oppervlak (netto)]]</f>
        <v>0</v>
      </c>
      <c r="AC74" s="97">
        <f>IF(AA74&gt;0,Ruimtestaat[[#This Row],[Prest. (m2 /jaar) weekend]]/Ruimtestaat[[#This Row],[Norm (m2/uur) weekend]],0)</f>
        <v>0</v>
      </c>
      <c r="AD74" s="155">
        <f>Ruimtestaat[[#This Row],[uren / jaar weekend]]*Tariefsopbouw!$D$40</f>
        <v>0</v>
      </c>
      <c r="AE74" s="154">
        <f>Ruimtestaat[[#This Row],[Prest. (m2 /jaar) weekend]]+Ruimtestaat[[#This Row],[Prest. (m2 /jaar) werkdagen]]</f>
        <v>3600</v>
      </c>
      <c r="AF74" s="154">
        <f>Ruimtestaat[[#This Row],[uren / jaar weekend]]+Ruimtestaat[[#This Row],[uren / jaar werkdagen]]</f>
        <v>0</v>
      </c>
      <c r="AG74" s="69">
        <f>Ruimtestaat[[#This Row],[kosten / jaar weekend]]+Ruimtestaat[[#This Row],[kosten / jaar werkdagen]]</f>
        <v>0</v>
      </c>
      <c r="AH74" s="69"/>
      <c r="AI74" s="256" t="str">
        <f>IF(Ruimtestaat[[#This Row],[Frequentie werkdagen]]="","",_xlfn.CONCAT(Ruimtestaat[[#This Row],[Ruimte code]],"-",Ruimtestaat[[#This Row],[Frequentie werkdagen]]," ",Ruimtestaat[[#This Row],[Vloer code]]))</f>
        <v>5-5w S</v>
      </c>
      <c r="AJ74" s="363" t="str">
        <f>_xlfn.IFNA(VLOOKUP($AI74,Programma!$F$3:$G$1107,2,0),"")</f>
        <v>_</v>
      </c>
      <c r="AK74" s="363" t="str">
        <f>_xlfn.IFNA(VLOOKUP($AI74,Programma!$F$3:$H$1107,3,0),"")</f>
        <v>_</v>
      </c>
      <c r="AL74" s="363" t="str">
        <f>_xlfn.IFNA(VLOOKUP($AI74,Programma!$F$3:$I$1107,4,0),"")</f>
        <v>_</v>
      </c>
      <c r="AM74" s="363" t="str">
        <f>_xlfn.IFNA(VLOOKUP($AI74,Programma!$F$3:$J$1107,5,0),"")</f>
        <v>4w</v>
      </c>
      <c r="AN74" s="363" t="str">
        <f>_xlfn.IFNA(VLOOKUP($AI74,Programma!$F$3:$K$1107,6,0),"")</f>
        <v>1w</v>
      </c>
      <c r="AO74" s="363" t="str">
        <f>_xlfn.IFNA(VLOOKUP($AI74,Programma!$F$3:$L$1107,7,0),"")</f>
        <v>_</v>
      </c>
      <c r="AP74" s="363" t="str">
        <f>_xlfn.IFNA(VLOOKUP($AI74,Programma!$F$3:$M$1107,8,0),"")</f>
        <v>_</v>
      </c>
      <c r="AQ74" s="363" t="str">
        <f>_xlfn.IFNA(VLOOKUP($AI74,Programma!$F$3:$N$1107,9,0),"")</f>
        <v>_</v>
      </c>
      <c r="AR74" s="363" t="str">
        <f>_xlfn.IFNA(VLOOKUP($AI74,Programma!$F$3:$O$1107,10,0),"")</f>
        <v>_</v>
      </c>
      <c r="AS74" s="363" t="str">
        <f>_xlfn.IFNA(VLOOKUP($AI74,Programma!$F$3:$P$1107,11,0),"")</f>
        <v>_</v>
      </c>
      <c r="AT74" s="363" t="str">
        <f>_xlfn.IFNA(VLOOKUP($AI74,Programma!$F$3:$Q$1107,12,0),"")</f>
        <v>_</v>
      </c>
      <c r="AU74" s="363" t="str">
        <f>_xlfn.IFNA(VLOOKUP($AI74,Programma!$F$3:$R$1107,13,0),"")</f>
        <v>_</v>
      </c>
      <c r="AV74" s="363" t="str">
        <f>_xlfn.IFNA(VLOOKUP($AI74,Programma!$F$3:$S$1107,14,0),"")</f>
        <v>_</v>
      </c>
      <c r="AW74" s="363" t="str">
        <f>_xlfn.IFNA(VLOOKUP($AI74,Programma!$F$3:$T$1107,15,0),"")</f>
        <v>_</v>
      </c>
      <c r="AX74" s="363" t="str">
        <f>_xlfn.IFNA(VLOOKUP($AI74,Programma!$F$3:$U$1107,16,0),"")</f>
        <v>_</v>
      </c>
      <c r="AY74" s="363" t="str">
        <f>_xlfn.IFNA(VLOOKUP($AI74,Programma!$F$3:$V$1107,17,0),"")</f>
        <v>_</v>
      </c>
      <c r="AZ74" s="363" t="str">
        <f>_xlfn.IFNA(VLOOKUP($AI74,Programma!$F$3:$W$1107,18,0),"")</f>
        <v>4w</v>
      </c>
      <c r="BA74" s="363" t="str">
        <f>_xlfn.IFNA(VLOOKUP($AI74,Programma!$F$3:$X$1107,19,0),"")</f>
        <v>1w</v>
      </c>
      <c r="BB74" s="363" t="str">
        <f>_xlfn.IFNA(VLOOKUP($AI74,Programma!$F$3:$Y$1107,20,0),"")</f>
        <v>_</v>
      </c>
      <c r="BC74" s="257"/>
      <c r="BD74" s="256" t="str">
        <f>IF(Ruimtestaat[[#This Row],[Frequentie weekend]]="","",_xlfn.CONCAT(Ruimtestaat[[#This Row],[Ruimte code]],"-",Ruimtestaat[[#This Row],[Frequentie weekend]]," ",Ruimtestaat[[#This Row],[Vloer code]]))</f>
        <v/>
      </c>
      <c r="BE74" s="363" t="str">
        <f>_xlfn.IFNA(VLOOKUP($BD74,Programma!$F$3:$G$1107,2,0),"")</f>
        <v/>
      </c>
      <c r="BF74" s="363" t="str">
        <f>_xlfn.IFNA(VLOOKUP($BD74,Programma!$F$3:$H$1107,3,0),"")</f>
        <v/>
      </c>
      <c r="BG74" s="363" t="str">
        <f>_xlfn.IFNA(VLOOKUP($BD74,Programma!$F$3:$I$1107,4,0),"")</f>
        <v/>
      </c>
      <c r="BH74" s="363" t="str">
        <f>_xlfn.IFNA(VLOOKUP($BD74,Programma!$F$3:$J$1107,5,0),"")</f>
        <v/>
      </c>
      <c r="BI74" s="363" t="str">
        <f>_xlfn.IFNA(VLOOKUP($BD74,Programma!$F$3:$K$1107,6,0),"")</f>
        <v/>
      </c>
      <c r="BJ74" s="363" t="str">
        <f>_xlfn.IFNA(VLOOKUP($BD74,Programma!$F$3:$L$1107,7,0),"")</f>
        <v/>
      </c>
      <c r="BK74" s="363" t="str">
        <f>_xlfn.IFNA(VLOOKUP($BD74,Programma!$F$3:$M$1107,8,0),"")</f>
        <v/>
      </c>
      <c r="BL74" s="363" t="str">
        <f>_xlfn.IFNA(VLOOKUP($BD74,Programma!$F$3:$N$1107,9,0),"")</f>
        <v/>
      </c>
      <c r="BM74" s="363" t="str">
        <f>_xlfn.IFNA(VLOOKUP($BD74,Programma!$F$3:$O$1107,10,0),"")</f>
        <v/>
      </c>
      <c r="BN74" s="363" t="str">
        <f>_xlfn.IFNA(VLOOKUP($BD74,Programma!$F$3:$P$1107,11,0),"")</f>
        <v/>
      </c>
      <c r="BO74" s="363" t="str">
        <f>_xlfn.IFNA(VLOOKUP($BD74,Programma!$F$3:$Q$1107,12,0),"")</f>
        <v/>
      </c>
      <c r="BP74" s="363" t="str">
        <f>_xlfn.IFNA(VLOOKUP($BD74,Programma!$F$3:$R$1107,13,0),"")</f>
        <v/>
      </c>
      <c r="BQ74" s="363" t="str">
        <f>_xlfn.IFNA(VLOOKUP($BD74,Programma!$F$3:$S$1107,14,0),"")</f>
        <v/>
      </c>
      <c r="BR74" s="363" t="str">
        <f>_xlfn.IFNA(VLOOKUP($BD74,Programma!$F$3:$T$1107,15,0),"")</f>
        <v/>
      </c>
      <c r="BS74" s="363" t="str">
        <f>_xlfn.IFNA(VLOOKUP($BD74,Programma!$F$3:$U$1107,16,0),"")</f>
        <v/>
      </c>
      <c r="BT74" s="363" t="str">
        <f>_xlfn.IFNA(VLOOKUP($BD74,Programma!$F$3:$V$1107,17,0),"")</f>
        <v/>
      </c>
      <c r="BU74" s="363" t="str">
        <f>_xlfn.IFNA(VLOOKUP($BD74,Programma!$F$3:$W$1107,18,0),"")</f>
        <v/>
      </c>
      <c r="BV74" s="363" t="str">
        <f>_xlfn.IFNA(VLOOKUP($BD74,Programma!$F$3:$X$1107,19,0),"")</f>
        <v/>
      </c>
      <c r="BW74" s="363" t="str">
        <f>_xlfn.IFNA(VLOOKUP($BD74,Programma!$F$3:$Y$1107,20,0),"")</f>
        <v/>
      </c>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row>
    <row r="75" spans="1:220" ht="15" customHeight="1">
      <c r="A75" s="21">
        <v>2</v>
      </c>
      <c r="B75" s="157" t="str">
        <f>VLOOKUP(Ruimtestaat[[#This Row],[Code]],Locaties[[Code]:[Locatie]],2,FALSE)</f>
        <v>'s Gravendreef College</v>
      </c>
      <c r="C75" s="157" t="str">
        <f>VLOOKUP(Ruimtestaat[[#This Row],[Code]],Locaties[[#All],[Code]:[Adres]],4,FALSE)</f>
        <v>Klaas Voskuildreef 135</v>
      </c>
      <c r="D75" s="157" t="str">
        <f>VLOOKUP(Ruimtestaat[[#This Row],[Code]],Locaties[[#All],[Code]:[Postcode]],5,FALSE)</f>
        <v>2492 JJ</v>
      </c>
      <c r="E75" s="157" t="str">
        <f>VLOOKUP(Ruimtestaat[[#This Row],[Code]],Locaties[#All],6,FALSE)</f>
        <v>Den Haag</v>
      </c>
      <c r="F75" s="33"/>
      <c r="G75" s="33" t="s">
        <v>1706</v>
      </c>
      <c r="H75" s="368" t="s">
        <v>1717</v>
      </c>
      <c r="I75" s="367" t="s">
        <v>1640</v>
      </c>
      <c r="J75" s="21">
        <v>5</v>
      </c>
      <c r="K75" s="62" t="str">
        <f>VLOOKUP(Ruimtestaat[[#This Row],[Ruimte code]],Ruimtegroepen[[#All],[Code]:[Ruimte omschrijving]],2,FALSE)</f>
        <v>Sanitair</v>
      </c>
      <c r="L75" s="33" t="s">
        <v>102</v>
      </c>
      <c r="M75" s="367" t="s">
        <v>2496</v>
      </c>
      <c r="N75" s="140">
        <v>18</v>
      </c>
      <c r="O75" s="140"/>
      <c r="P75" s="125" t="str">
        <f>VLOOKUP(Ruimtestaat[[#This Row],[Ruimte code]],Ruimtegroepen[],4,FALSE)</f>
        <v>Sa</v>
      </c>
      <c r="R75" s="33">
        <v>40</v>
      </c>
      <c r="S75" s="33" t="s">
        <v>2</v>
      </c>
      <c r="T75" s="33">
        <f>IF(R75&gt;0,IF(RIGHT(Ruimtestaat[[#This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5" s="33">
        <f>IF(T75&gt;0,VLOOKUP($J75,Ruimtegroepen[],3,FALSE)*VLOOKUP($L75,Vloersoorten[],3,FALSE)*VLOOKUP($S75,Frequenties[],3,FALSE)*VLOOKUP($A75,Locaties[],3,FALSE),0)</f>
        <v>0</v>
      </c>
      <c r="V75" s="33">
        <f>Ruimtestaat[[#This Row],[Uitvoeringen werkdagen]]*Ruimtestaat[[#This Row],[Oppervlak (netto)]]</f>
        <v>3600</v>
      </c>
      <c r="W75" s="154">
        <f>IF(U75&gt;0,Ruimtestaat[[#This Row],[Prest. (m2 /jaar) werkdagen]]/Ruimtestaat[[#This Row],[Norm (m2/uur) werkdagen]],0)</f>
        <v>0</v>
      </c>
      <c r="X75" s="155">
        <f>Ruimtestaat[[#This Row],[uren / jaar werkdagen]]*Tariefsopbouw!$E$35</f>
        <v>0</v>
      </c>
      <c r="Y75" s="33"/>
      <c r="Z75" s="33">
        <f>IF(Ruimtestaat[[#This Row],[Frequentie weekend]]&gt;0,VALUE(LEFT(Y75,1))*R75,0)</f>
        <v>0</v>
      </c>
      <c r="AA75" s="97">
        <f>IF($Z75&gt;0,VLOOKUP($J75,Ruimtegroepen[],3,FALSE)*VLOOKUP($L75,Vloersoorten[],3,FALSE)*VLOOKUP($Y75,Frequenties[],3,FALSE)*VLOOKUP(Ruimtestaat[[#This Row],[Code]],Locaties[],3,FALSE),0)</f>
        <v>0</v>
      </c>
      <c r="AB75" s="97">
        <f>Ruimtestaat[[#This Row],[Uitvoeringen weekend]]*Ruimtestaat[[#This Row],[Oppervlak (netto)]]</f>
        <v>0</v>
      </c>
      <c r="AC75" s="97">
        <f>IF(AA75&gt;0,Ruimtestaat[[#This Row],[Prest. (m2 /jaar) weekend]]/Ruimtestaat[[#This Row],[Norm (m2/uur) weekend]],0)</f>
        <v>0</v>
      </c>
      <c r="AD75" s="155">
        <f>Ruimtestaat[[#This Row],[uren / jaar weekend]]*Tariefsopbouw!$D$40</f>
        <v>0</v>
      </c>
      <c r="AE75" s="154">
        <f>Ruimtestaat[[#This Row],[Prest. (m2 /jaar) weekend]]+Ruimtestaat[[#This Row],[Prest. (m2 /jaar) werkdagen]]</f>
        <v>3600</v>
      </c>
      <c r="AF75" s="154">
        <f>Ruimtestaat[[#This Row],[uren / jaar weekend]]+Ruimtestaat[[#This Row],[uren / jaar werkdagen]]</f>
        <v>0</v>
      </c>
      <c r="AG75" s="69">
        <f>Ruimtestaat[[#This Row],[kosten / jaar weekend]]+Ruimtestaat[[#This Row],[kosten / jaar werkdagen]]</f>
        <v>0</v>
      </c>
      <c r="AH75" s="69"/>
      <c r="AI75" s="256" t="str">
        <f>IF(Ruimtestaat[[#This Row],[Frequentie werkdagen]]="","",_xlfn.CONCAT(Ruimtestaat[[#This Row],[Ruimte code]],"-",Ruimtestaat[[#This Row],[Frequentie werkdagen]]," ",Ruimtestaat[[#This Row],[Vloer code]]))</f>
        <v>5-5w S</v>
      </c>
      <c r="AJ75" s="363" t="str">
        <f>_xlfn.IFNA(VLOOKUP($AI75,Programma!$F$3:$G$1107,2,0),"")</f>
        <v>_</v>
      </c>
      <c r="AK75" s="363" t="str">
        <f>_xlfn.IFNA(VLOOKUP($AI75,Programma!$F$3:$H$1107,3,0),"")</f>
        <v>_</v>
      </c>
      <c r="AL75" s="363" t="str">
        <f>_xlfn.IFNA(VLOOKUP($AI75,Programma!$F$3:$I$1107,4,0),"")</f>
        <v>_</v>
      </c>
      <c r="AM75" s="363" t="str">
        <f>_xlfn.IFNA(VLOOKUP($AI75,Programma!$F$3:$J$1107,5,0),"")</f>
        <v>4w</v>
      </c>
      <c r="AN75" s="363" t="str">
        <f>_xlfn.IFNA(VLOOKUP($AI75,Programma!$F$3:$K$1107,6,0),"")</f>
        <v>1w</v>
      </c>
      <c r="AO75" s="363" t="str">
        <f>_xlfn.IFNA(VLOOKUP($AI75,Programma!$F$3:$L$1107,7,0),"")</f>
        <v>_</v>
      </c>
      <c r="AP75" s="363" t="str">
        <f>_xlfn.IFNA(VLOOKUP($AI75,Programma!$F$3:$M$1107,8,0),"")</f>
        <v>_</v>
      </c>
      <c r="AQ75" s="363" t="str">
        <f>_xlfn.IFNA(VLOOKUP($AI75,Programma!$F$3:$N$1107,9,0),"")</f>
        <v>_</v>
      </c>
      <c r="AR75" s="363" t="str">
        <f>_xlfn.IFNA(VLOOKUP($AI75,Programma!$F$3:$O$1107,10,0),"")</f>
        <v>_</v>
      </c>
      <c r="AS75" s="363" t="str">
        <f>_xlfn.IFNA(VLOOKUP($AI75,Programma!$F$3:$P$1107,11,0),"")</f>
        <v>_</v>
      </c>
      <c r="AT75" s="363" t="str">
        <f>_xlfn.IFNA(VLOOKUP($AI75,Programma!$F$3:$Q$1107,12,0),"")</f>
        <v>_</v>
      </c>
      <c r="AU75" s="363" t="str">
        <f>_xlfn.IFNA(VLOOKUP($AI75,Programma!$F$3:$R$1107,13,0),"")</f>
        <v>_</v>
      </c>
      <c r="AV75" s="363" t="str">
        <f>_xlfn.IFNA(VLOOKUP($AI75,Programma!$F$3:$S$1107,14,0),"")</f>
        <v>_</v>
      </c>
      <c r="AW75" s="363" t="str">
        <f>_xlfn.IFNA(VLOOKUP($AI75,Programma!$F$3:$T$1107,15,0),"")</f>
        <v>_</v>
      </c>
      <c r="AX75" s="363" t="str">
        <f>_xlfn.IFNA(VLOOKUP($AI75,Programma!$F$3:$U$1107,16,0),"")</f>
        <v>_</v>
      </c>
      <c r="AY75" s="363" t="str">
        <f>_xlfn.IFNA(VLOOKUP($AI75,Programma!$F$3:$V$1107,17,0),"")</f>
        <v>_</v>
      </c>
      <c r="AZ75" s="363" t="str">
        <f>_xlfn.IFNA(VLOOKUP($AI75,Programma!$F$3:$W$1107,18,0),"")</f>
        <v>4w</v>
      </c>
      <c r="BA75" s="363" t="str">
        <f>_xlfn.IFNA(VLOOKUP($AI75,Programma!$F$3:$X$1107,19,0),"")</f>
        <v>1w</v>
      </c>
      <c r="BB75" s="363" t="str">
        <f>_xlfn.IFNA(VLOOKUP($AI75,Programma!$F$3:$Y$1107,20,0),"")</f>
        <v>_</v>
      </c>
      <c r="BC75" s="257"/>
      <c r="BD75" s="256" t="str">
        <f>IF(Ruimtestaat[[#This Row],[Frequentie weekend]]="","",_xlfn.CONCAT(Ruimtestaat[[#This Row],[Ruimte code]],"-",Ruimtestaat[[#This Row],[Frequentie weekend]]," ",Ruimtestaat[[#This Row],[Vloer code]]))</f>
        <v/>
      </c>
      <c r="BE75" s="363" t="str">
        <f>_xlfn.IFNA(VLOOKUP($BD75,Programma!$F$3:$G$1107,2,0),"")</f>
        <v/>
      </c>
      <c r="BF75" s="363" t="str">
        <f>_xlfn.IFNA(VLOOKUP($BD75,Programma!$F$3:$H$1107,3,0),"")</f>
        <v/>
      </c>
      <c r="BG75" s="363" t="str">
        <f>_xlfn.IFNA(VLOOKUP($BD75,Programma!$F$3:$I$1107,4,0),"")</f>
        <v/>
      </c>
      <c r="BH75" s="363" t="str">
        <f>_xlfn.IFNA(VLOOKUP($BD75,Programma!$F$3:$J$1107,5,0),"")</f>
        <v/>
      </c>
      <c r="BI75" s="363" t="str">
        <f>_xlfn.IFNA(VLOOKUP($BD75,Programma!$F$3:$K$1107,6,0),"")</f>
        <v/>
      </c>
      <c r="BJ75" s="363" t="str">
        <f>_xlfn.IFNA(VLOOKUP($BD75,Programma!$F$3:$L$1107,7,0),"")</f>
        <v/>
      </c>
      <c r="BK75" s="363" t="str">
        <f>_xlfn.IFNA(VLOOKUP($BD75,Programma!$F$3:$M$1107,8,0),"")</f>
        <v/>
      </c>
      <c r="BL75" s="363" t="str">
        <f>_xlfn.IFNA(VLOOKUP($BD75,Programma!$F$3:$N$1107,9,0),"")</f>
        <v/>
      </c>
      <c r="BM75" s="363" t="str">
        <f>_xlfn.IFNA(VLOOKUP($BD75,Programma!$F$3:$O$1107,10,0),"")</f>
        <v/>
      </c>
      <c r="BN75" s="363" t="str">
        <f>_xlfn.IFNA(VLOOKUP($BD75,Programma!$F$3:$P$1107,11,0),"")</f>
        <v/>
      </c>
      <c r="BO75" s="363" t="str">
        <f>_xlfn.IFNA(VLOOKUP($BD75,Programma!$F$3:$Q$1107,12,0),"")</f>
        <v/>
      </c>
      <c r="BP75" s="363" t="str">
        <f>_xlfn.IFNA(VLOOKUP($BD75,Programma!$F$3:$R$1107,13,0),"")</f>
        <v/>
      </c>
      <c r="BQ75" s="363" t="str">
        <f>_xlfn.IFNA(VLOOKUP($BD75,Programma!$F$3:$S$1107,14,0),"")</f>
        <v/>
      </c>
      <c r="BR75" s="363" t="str">
        <f>_xlfn.IFNA(VLOOKUP($BD75,Programma!$F$3:$T$1107,15,0),"")</f>
        <v/>
      </c>
      <c r="BS75" s="363" t="str">
        <f>_xlfn.IFNA(VLOOKUP($BD75,Programma!$F$3:$U$1107,16,0),"")</f>
        <v/>
      </c>
      <c r="BT75" s="363" t="str">
        <f>_xlfn.IFNA(VLOOKUP($BD75,Programma!$F$3:$V$1107,17,0),"")</f>
        <v/>
      </c>
      <c r="BU75" s="363" t="str">
        <f>_xlfn.IFNA(VLOOKUP($BD75,Programma!$F$3:$W$1107,18,0),"")</f>
        <v/>
      </c>
      <c r="BV75" s="363" t="str">
        <f>_xlfn.IFNA(VLOOKUP($BD75,Programma!$F$3:$X$1107,19,0),"")</f>
        <v/>
      </c>
      <c r="BW75" s="363" t="str">
        <f>_xlfn.IFNA(VLOOKUP($BD75,Programma!$F$3:$Y$1107,20,0),"")</f>
        <v/>
      </c>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row>
    <row r="76" spans="1:220" ht="15" customHeight="1">
      <c r="A76" s="21">
        <v>2</v>
      </c>
      <c r="B76" s="157" t="str">
        <f>VLOOKUP(Ruimtestaat[[#This Row],[Code]],Locaties[[Code]:[Locatie]],2,FALSE)</f>
        <v>'s Gravendreef College</v>
      </c>
      <c r="C76" s="157" t="str">
        <f>VLOOKUP(Ruimtestaat[[#This Row],[Code]],Locaties[[#All],[Code]:[Adres]],4,FALSE)</f>
        <v>Klaas Voskuildreef 135</v>
      </c>
      <c r="D76" s="157" t="str">
        <f>VLOOKUP(Ruimtestaat[[#This Row],[Code]],Locaties[[#All],[Code]:[Postcode]],5,FALSE)</f>
        <v>2492 JJ</v>
      </c>
      <c r="E76" s="157" t="str">
        <f>VLOOKUP(Ruimtestaat[[#This Row],[Code]],Locaties[#All],6,FALSE)</f>
        <v>Den Haag</v>
      </c>
      <c r="F76" s="33"/>
      <c r="G76" s="33" t="s">
        <v>1706</v>
      </c>
      <c r="H76" s="368" t="s">
        <v>1718</v>
      </c>
      <c r="I76" s="367" t="s">
        <v>1719</v>
      </c>
      <c r="J76" s="21">
        <v>16</v>
      </c>
      <c r="K76" s="62" t="str">
        <f>VLOOKUP(Ruimtestaat[[#This Row],[Ruimte code]],Ruimtegroepen[[#All],[Code]:[Ruimte omschrijving]],2,FALSE)</f>
        <v>Leslokalen theorie</v>
      </c>
      <c r="L76" s="33" t="s">
        <v>101</v>
      </c>
      <c r="M76" s="367" t="s">
        <v>2495</v>
      </c>
      <c r="N76" s="140">
        <v>60</v>
      </c>
      <c r="O76" s="140"/>
      <c r="P76" s="125" t="str">
        <f>VLOOKUP(Ruimtestaat[[#This Row],[Ruimte code]],Ruimtegroepen[],4,FALSE)</f>
        <v>Le</v>
      </c>
      <c r="R76" s="33">
        <v>40</v>
      </c>
      <c r="S76" s="33" t="s">
        <v>2</v>
      </c>
      <c r="T76" s="33">
        <f>IF(R76&gt;0,IF(RIGHT(Ruimtestaat[[#This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6" s="33">
        <f>IF(T76&gt;0,VLOOKUP($J76,Ruimtegroepen[],3,FALSE)*VLOOKUP($L76,Vloersoorten[],3,FALSE)*VLOOKUP($S76,Frequenties[],3,FALSE)*VLOOKUP($A76,Locaties[],3,FALSE),0)</f>
        <v>0</v>
      </c>
      <c r="V76" s="33">
        <f>Ruimtestaat[[#This Row],[Uitvoeringen werkdagen]]*Ruimtestaat[[#This Row],[Oppervlak (netto)]]</f>
        <v>12000</v>
      </c>
      <c r="W76" s="154">
        <f>IF(U76&gt;0,Ruimtestaat[[#This Row],[Prest. (m2 /jaar) werkdagen]]/Ruimtestaat[[#This Row],[Norm (m2/uur) werkdagen]],0)</f>
        <v>0</v>
      </c>
      <c r="X76" s="155">
        <f>Ruimtestaat[[#This Row],[uren / jaar werkdagen]]*Tariefsopbouw!$E$35</f>
        <v>0</v>
      </c>
      <c r="Y76" s="33"/>
      <c r="Z76" s="33">
        <f>IF(Ruimtestaat[[#This Row],[Frequentie weekend]]&gt;0,VALUE(LEFT(Y76,1))*R76,0)</f>
        <v>0</v>
      </c>
      <c r="AA76" s="97">
        <f>IF($Z76&gt;0,VLOOKUP($J76,Ruimtegroepen[],3,FALSE)*VLOOKUP($L76,Vloersoorten[],3,FALSE)*VLOOKUP($Y76,Frequenties[],3,FALSE)*VLOOKUP(Ruimtestaat[[#This Row],[Code]],Locaties[],3,FALSE),0)</f>
        <v>0</v>
      </c>
      <c r="AB76" s="97">
        <f>Ruimtestaat[[#This Row],[Uitvoeringen weekend]]*Ruimtestaat[[#This Row],[Oppervlak (netto)]]</f>
        <v>0</v>
      </c>
      <c r="AC76" s="97">
        <f>IF(AA76&gt;0,Ruimtestaat[[#This Row],[Prest. (m2 /jaar) weekend]]/Ruimtestaat[[#This Row],[Norm (m2/uur) weekend]],0)</f>
        <v>0</v>
      </c>
      <c r="AD76" s="155">
        <f>Ruimtestaat[[#This Row],[uren / jaar weekend]]*Tariefsopbouw!$D$40</f>
        <v>0</v>
      </c>
      <c r="AE76" s="154">
        <f>Ruimtestaat[[#This Row],[Prest. (m2 /jaar) weekend]]+Ruimtestaat[[#This Row],[Prest. (m2 /jaar) werkdagen]]</f>
        <v>12000</v>
      </c>
      <c r="AF76" s="154">
        <f>Ruimtestaat[[#This Row],[uren / jaar weekend]]+Ruimtestaat[[#This Row],[uren / jaar werkdagen]]</f>
        <v>0</v>
      </c>
      <c r="AG76" s="69">
        <f>Ruimtestaat[[#This Row],[kosten / jaar weekend]]+Ruimtestaat[[#This Row],[kosten / jaar werkdagen]]</f>
        <v>0</v>
      </c>
      <c r="AH76" s="69"/>
      <c r="AI76" s="256" t="str">
        <f>IF(Ruimtestaat[[#This Row],[Frequentie werkdagen]]="","",_xlfn.CONCAT(Ruimtestaat[[#This Row],[Ruimte code]],"-",Ruimtestaat[[#This Row],[Frequentie werkdagen]]," ",Ruimtestaat[[#This Row],[Vloer code]]))</f>
        <v>16-5w L</v>
      </c>
      <c r="AJ76" s="363" t="str">
        <f>_xlfn.IFNA(VLOOKUP($AI76,Programma!$F$3:$G$1107,2,0),"")</f>
        <v>_</v>
      </c>
      <c r="AK76" s="363" t="str">
        <f>_xlfn.IFNA(VLOOKUP($AI76,Programma!$F$3:$H$1107,3,0),"")</f>
        <v>_</v>
      </c>
      <c r="AL76" s="363" t="str">
        <f>_xlfn.IFNA(VLOOKUP($AI76,Programma!$F$3:$I$1107,4,0),"")</f>
        <v>4w</v>
      </c>
      <c r="AM76" s="363" t="str">
        <f>_xlfn.IFNA(VLOOKUP($AI76,Programma!$F$3:$J$1107,5,0),"")</f>
        <v>1w</v>
      </c>
      <c r="AN76" s="363" t="str">
        <f>_xlfn.IFNA(VLOOKUP($AI76,Programma!$F$3:$K$1107,6,0),"")</f>
        <v>_</v>
      </c>
      <c r="AO76" s="363" t="str">
        <f>_xlfn.IFNA(VLOOKUP($AI76,Programma!$F$3:$L$1107,7,0),"")</f>
        <v>_</v>
      </c>
      <c r="AP76" s="363" t="str">
        <f>_xlfn.IFNA(VLOOKUP($AI76,Programma!$F$3:$M$1107,8,0),"")</f>
        <v>_</v>
      </c>
      <c r="AQ76" s="363" t="str">
        <f>_xlfn.IFNA(VLOOKUP($AI76,Programma!$F$3:$N$1107,9,0),"")</f>
        <v>_</v>
      </c>
      <c r="AR76" s="363" t="str">
        <f>_xlfn.IFNA(VLOOKUP($AI76,Programma!$F$3:$O$1107,10,0),"")</f>
        <v>5w</v>
      </c>
      <c r="AS76" s="363" t="str">
        <f>_xlfn.IFNA(VLOOKUP($AI76,Programma!$F$3:$P$1107,11,0),"")</f>
        <v>5w</v>
      </c>
      <c r="AT76" s="363" t="str">
        <f>_xlfn.IFNA(VLOOKUP($AI76,Programma!$F$3:$Q$1107,12,0),"")</f>
        <v>1w</v>
      </c>
      <c r="AU76" s="363" t="str">
        <f>_xlfn.IFNA(VLOOKUP($AI76,Programma!$F$3:$R$1107,13,0),"")</f>
        <v>1w</v>
      </c>
      <c r="AV76" s="363" t="str">
        <f>_xlfn.IFNA(VLOOKUP($AI76,Programma!$F$3:$S$1107,14,0),"")</f>
        <v>1m</v>
      </c>
      <c r="AW76" s="363" t="str">
        <f>_xlfn.IFNA(VLOOKUP($AI76,Programma!$F$3:$T$1107,15,0),"")</f>
        <v>2j</v>
      </c>
      <c r="AX76" s="363" t="str">
        <f>_xlfn.IFNA(VLOOKUP($AI76,Programma!$F$3:$U$1107,16,0),"")</f>
        <v>1j</v>
      </c>
      <c r="AY76" s="363" t="str">
        <f>_xlfn.IFNA(VLOOKUP($AI76,Programma!$F$3:$V$1107,17,0),"")</f>
        <v>_</v>
      </c>
      <c r="AZ76" s="363" t="str">
        <f>_xlfn.IFNA(VLOOKUP($AI76,Programma!$F$3:$W$1107,18,0),"")</f>
        <v>_</v>
      </c>
      <c r="BA76" s="363" t="str">
        <f>_xlfn.IFNA(VLOOKUP($AI76,Programma!$F$3:$X$1107,19,0),"")</f>
        <v>_</v>
      </c>
      <c r="BB76" s="363" t="str">
        <f>_xlfn.IFNA(VLOOKUP($AI76,Programma!$F$3:$Y$1107,20,0),"")</f>
        <v>_</v>
      </c>
      <c r="BC76" s="257"/>
      <c r="BD76" s="256" t="str">
        <f>IF(Ruimtestaat[[#This Row],[Frequentie weekend]]="","",_xlfn.CONCAT(Ruimtestaat[[#This Row],[Ruimte code]],"-",Ruimtestaat[[#This Row],[Frequentie weekend]]," ",Ruimtestaat[[#This Row],[Vloer code]]))</f>
        <v/>
      </c>
      <c r="BE76" s="363" t="str">
        <f>_xlfn.IFNA(VLOOKUP($BD76,Programma!$F$3:$G$1107,2,0),"")</f>
        <v/>
      </c>
      <c r="BF76" s="363" t="str">
        <f>_xlfn.IFNA(VLOOKUP($BD76,Programma!$F$3:$H$1107,3,0),"")</f>
        <v/>
      </c>
      <c r="BG76" s="363" t="str">
        <f>_xlfn.IFNA(VLOOKUP($BD76,Programma!$F$3:$I$1107,4,0),"")</f>
        <v/>
      </c>
      <c r="BH76" s="363" t="str">
        <f>_xlfn.IFNA(VLOOKUP($BD76,Programma!$F$3:$J$1107,5,0),"")</f>
        <v/>
      </c>
      <c r="BI76" s="363" t="str">
        <f>_xlfn.IFNA(VLOOKUP($BD76,Programma!$F$3:$K$1107,6,0),"")</f>
        <v/>
      </c>
      <c r="BJ76" s="363" t="str">
        <f>_xlfn.IFNA(VLOOKUP($BD76,Programma!$F$3:$L$1107,7,0),"")</f>
        <v/>
      </c>
      <c r="BK76" s="363" t="str">
        <f>_xlfn.IFNA(VLOOKUP($BD76,Programma!$F$3:$M$1107,8,0),"")</f>
        <v/>
      </c>
      <c r="BL76" s="363" t="str">
        <f>_xlfn.IFNA(VLOOKUP($BD76,Programma!$F$3:$N$1107,9,0),"")</f>
        <v/>
      </c>
      <c r="BM76" s="363" t="str">
        <f>_xlfn.IFNA(VLOOKUP($BD76,Programma!$F$3:$O$1107,10,0),"")</f>
        <v/>
      </c>
      <c r="BN76" s="363" t="str">
        <f>_xlfn.IFNA(VLOOKUP($BD76,Programma!$F$3:$P$1107,11,0),"")</f>
        <v/>
      </c>
      <c r="BO76" s="363" t="str">
        <f>_xlfn.IFNA(VLOOKUP($BD76,Programma!$F$3:$Q$1107,12,0),"")</f>
        <v/>
      </c>
      <c r="BP76" s="363" t="str">
        <f>_xlfn.IFNA(VLOOKUP($BD76,Programma!$F$3:$R$1107,13,0),"")</f>
        <v/>
      </c>
      <c r="BQ76" s="363" t="str">
        <f>_xlfn.IFNA(VLOOKUP($BD76,Programma!$F$3:$S$1107,14,0),"")</f>
        <v/>
      </c>
      <c r="BR76" s="363" t="str">
        <f>_xlfn.IFNA(VLOOKUP($BD76,Programma!$F$3:$T$1107,15,0),"")</f>
        <v/>
      </c>
      <c r="BS76" s="363" t="str">
        <f>_xlfn.IFNA(VLOOKUP($BD76,Programma!$F$3:$U$1107,16,0),"")</f>
        <v/>
      </c>
      <c r="BT76" s="363" t="str">
        <f>_xlfn.IFNA(VLOOKUP($BD76,Programma!$F$3:$V$1107,17,0),"")</f>
        <v/>
      </c>
      <c r="BU76" s="363" t="str">
        <f>_xlfn.IFNA(VLOOKUP($BD76,Programma!$F$3:$W$1107,18,0),"")</f>
        <v/>
      </c>
      <c r="BV76" s="363" t="str">
        <f>_xlfn.IFNA(VLOOKUP($BD76,Programma!$F$3:$X$1107,19,0),"")</f>
        <v/>
      </c>
      <c r="BW76" s="363" t="str">
        <f>_xlfn.IFNA(VLOOKUP($BD76,Programma!$F$3:$Y$1107,20,0),"")</f>
        <v/>
      </c>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row>
    <row r="77" spans="1:220" ht="15" customHeight="1">
      <c r="A77" s="21">
        <v>2</v>
      </c>
      <c r="B77" s="157" t="str">
        <f>VLOOKUP(Ruimtestaat[[#This Row],[Code]],Locaties[[Code]:[Locatie]],2,FALSE)</f>
        <v>'s Gravendreef College</v>
      </c>
      <c r="C77" s="157" t="str">
        <f>VLOOKUP(Ruimtestaat[[#This Row],[Code]],Locaties[[#All],[Code]:[Adres]],4,FALSE)</f>
        <v>Klaas Voskuildreef 135</v>
      </c>
      <c r="D77" s="157" t="str">
        <f>VLOOKUP(Ruimtestaat[[#This Row],[Code]],Locaties[[#All],[Code]:[Postcode]],5,FALSE)</f>
        <v>2492 JJ</v>
      </c>
      <c r="E77" s="157" t="str">
        <f>VLOOKUP(Ruimtestaat[[#This Row],[Code]],Locaties[#All],6,FALSE)</f>
        <v>Den Haag</v>
      </c>
      <c r="F77" s="33"/>
      <c r="G77" s="33" t="s">
        <v>1706</v>
      </c>
      <c r="H77" s="368" t="s">
        <v>1720</v>
      </c>
      <c r="I77" s="367" t="s">
        <v>1721</v>
      </c>
      <c r="J77" s="21">
        <v>16</v>
      </c>
      <c r="K77" s="62" t="str">
        <f>VLOOKUP(Ruimtestaat[[#This Row],[Ruimte code]],Ruimtegroepen[[#All],[Code]:[Ruimte omschrijving]],2,FALSE)</f>
        <v>Leslokalen theorie</v>
      </c>
      <c r="L77" s="33" t="s">
        <v>101</v>
      </c>
      <c r="M77" s="367" t="s">
        <v>2495</v>
      </c>
      <c r="N77" s="140">
        <v>60</v>
      </c>
      <c r="O77" s="140"/>
      <c r="P77" s="125" t="str">
        <f>VLOOKUP(Ruimtestaat[[#This Row],[Ruimte code]],Ruimtegroepen[],4,FALSE)</f>
        <v>Le</v>
      </c>
      <c r="R77" s="33">
        <v>40</v>
      </c>
      <c r="S77" s="33" t="s">
        <v>2</v>
      </c>
      <c r="T77" s="33">
        <f>IF(R77&gt;0,IF(RIGHT(Ruimtestaat[[#This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 s="33">
        <f>IF(T77&gt;0,VLOOKUP($J77,Ruimtegroepen[],3,FALSE)*VLOOKUP($L77,Vloersoorten[],3,FALSE)*VLOOKUP($S77,Frequenties[],3,FALSE)*VLOOKUP($A77,Locaties[],3,FALSE),0)</f>
        <v>0</v>
      </c>
      <c r="V77" s="33">
        <f>Ruimtestaat[[#This Row],[Uitvoeringen werkdagen]]*Ruimtestaat[[#This Row],[Oppervlak (netto)]]</f>
        <v>12000</v>
      </c>
      <c r="W77" s="154">
        <f>IF(U77&gt;0,Ruimtestaat[[#This Row],[Prest. (m2 /jaar) werkdagen]]/Ruimtestaat[[#This Row],[Norm (m2/uur) werkdagen]],0)</f>
        <v>0</v>
      </c>
      <c r="X77" s="155">
        <f>Ruimtestaat[[#This Row],[uren / jaar werkdagen]]*Tariefsopbouw!$E$35</f>
        <v>0</v>
      </c>
      <c r="Y77" s="33"/>
      <c r="Z77" s="33">
        <f>IF(Ruimtestaat[[#This Row],[Frequentie weekend]]&gt;0,VALUE(LEFT(Y77,1))*R77,0)</f>
        <v>0</v>
      </c>
      <c r="AA77" s="97">
        <f>IF($Z77&gt;0,VLOOKUP($J77,Ruimtegroepen[],3,FALSE)*VLOOKUP($L77,Vloersoorten[],3,FALSE)*VLOOKUP($Y77,Frequenties[],3,FALSE)*VLOOKUP(Ruimtestaat[[#This Row],[Code]],Locaties[],3,FALSE),0)</f>
        <v>0</v>
      </c>
      <c r="AB77" s="97">
        <f>Ruimtestaat[[#This Row],[Uitvoeringen weekend]]*Ruimtestaat[[#This Row],[Oppervlak (netto)]]</f>
        <v>0</v>
      </c>
      <c r="AC77" s="97">
        <f>IF(AA77&gt;0,Ruimtestaat[[#This Row],[Prest. (m2 /jaar) weekend]]/Ruimtestaat[[#This Row],[Norm (m2/uur) weekend]],0)</f>
        <v>0</v>
      </c>
      <c r="AD77" s="155">
        <f>Ruimtestaat[[#This Row],[uren / jaar weekend]]*Tariefsopbouw!$D$40</f>
        <v>0</v>
      </c>
      <c r="AE77" s="154">
        <f>Ruimtestaat[[#This Row],[Prest. (m2 /jaar) weekend]]+Ruimtestaat[[#This Row],[Prest. (m2 /jaar) werkdagen]]</f>
        <v>12000</v>
      </c>
      <c r="AF77" s="154">
        <f>Ruimtestaat[[#This Row],[uren / jaar weekend]]+Ruimtestaat[[#This Row],[uren / jaar werkdagen]]</f>
        <v>0</v>
      </c>
      <c r="AG77" s="69">
        <f>Ruimtestaat[[#This Row],[kosten / jaar weekend]]+Ruimtestaat[[#This Row],[kosten / jaar werkdagen]]</f>
        <v>0</v>
      </c>
      <c r="AH77" s="69"/>
      <c r="AI77" s="256" t="str">
        <f>IF(Ruimtestaat[[#This Row],[Frequentie werkdagen]]="","",_xlfn.CONCAT(Ruimtestaat[[#This Row],[Ruimte code]],"-",Ruimtestaat[[#This Row],[Frequentie werkdagen]]," ",Ruimtestaat[[#This Row],[Vloer code]]))</f>
        <v>16-5w L</v>
      </c>
      <c r="AJ77" s="363" t="str">
        <f>_xlfn.IFNA(VLOOKUP($AI77,Programma!$F$3:$G$1107,2,0),"")</f>
        <v>_</v>
      </c>
      <c r="AK77" s="363" t="str">
        <f>_xlfn.IFNA(VLOOKUP($AI77,Programma!$F$3:$H$1107,3,0),"")</f>
        <v>_</v>
      </c>
      <c r="AL77" s="363" t="str">
        <f>_xlfn.IFNA(VLOOKUP($AI77,Programma!$F$3:$I$1107,4,0),"")</f>
        <v>4w</v>
      </c>
      <c r="AM77" s="363" t="str">
        <f>_xlfn.IFNA(VLOOKUP($AI77,Programma!$F$3:$J$1107,5,0),"")</f>
        <v>1w</v>
      </c>
      <c r="AN77" s="363" t="str">
        <f>_xlfn.IFNA(VLOOKUP($AI77,Programma!$F$3:$K$1107,6,0),"")</f>
        <v>_</v>
      </c>
      <c r="AO77" s="363" t="str">
        <f>_xlfn.IFNA(VLOOKUP($AI77,Programma!$F$3:$L$1107,7,0),"")</f>
        <v>_</v>
      </c>
      <c r="AP77" s="363" t="str">
        <f>_xlfn.IFNA(VLOOKUP($AI77,Programma!$F$3:$M$1107,8,0),"")</f>
        <v>_</v>
      </c>
      <c r="AQ77" s="363" t="str">
        <f>_xlfn.IFNA(VLOOKUP($AI77,Programma!$F$3:$N$1107,9,0),"")</f>
        <v>_</v>
      </c>
      <c r="AR77" s="363" t="str">
        <f>_xlfn.IFNA(VLOOKUP($AI77,Programma!$F$3:$O$1107,10,0),"")</f>
        <v>5w</v>
      </c>
      <c r="AS77" s="363" t="str">
        <f>_xlfn.IFNA(VLOOKUP($AI77,Programma!$F$3:$P$1107,11,0),"")</f>
        <v>5w</v>
      </c>
      <c r="AT77" s="363" t="str">
        <f>_xlfn.IFNA(VLOOKUP($AI77,Programma!$F$3:$Q$1107,12,0),"")</f>
        <v>1w</v>
      </c>
      <c r="AU77" s="363" t="str">
        <f>_xlfn.IFNA(VLOOKUP($AI77,Programma!$F$3:$R$1107,13,0),"")</f>
        <v>1w</v>
      </c>
      <c r="AV77" s="363" t="str">
        <f>_xlfn.IFNA(VLOOKUP($AI77,Programma!$F$3:$S$1107,14,0),"")</f>
        <v>1m</v>
      </c>
      <c r="AW77" s="363" t="str">
        <f>_xlfn.IFNA(VLOOKUP($AI77,Programma!$F$3:$T$1107,15,0),"")</f>
        <v>2j</v>
      </c>
      <c r="AX77" s="363" t="str">
        <f>_xlfn.IFNA(VLOOKUP($AI77,Programma!$F$3:$U$1107,16,0),"")</f>
        <v>1j</v>
      </c>
      <c r="AY77" s="363" t="str">
        <f>_xlfn.IFNA(VLOOKUP($AI77,Programma!$F$3:$V$1107,17,0),"")</f>
        <v>_</v>
      </c>
      <c r="AZ77" s="363" t="str">
        <f>_xlfn.IFNA(VLOOKUP($AI77,Programma!$F$3:$W$1107,18,0),"")</f>
        <v>_</v>
      </c>
      <c r="BA77" s="363" t="str">
        <f>_xlfn.IFNA(VLOOKUP($AI77,Programma!$F$3:$X$1107,19,0),"")</f>
        <v>_</v>
      </c>
      <c r="BB77" s="363" t="str">
        <f>_xlfn.IFNA(VLOOKUP($AI77,Programma!$F$3:$Y$1107,20,0),"")</f>
        <v>_</v>
      </c>
      <c r="BC77" s="257"/>
      <c r="BD77" s="256" t="str">
        <f>IF(Ruimtestaat[[#This Row],[Frequentie weekend]]="","",_xlfn.CONCAT(Ruimtestaat[[#This Row],[Ruimte code]],"-",Ruimtestaat[[#This Row],[Frequentie weekend]]," ",Ruimtestaat[[#This Row],[Vloer code]]))</f>
        <v/>
      </c>
      <c r="BE77" s="363" t="str">
        <f>_xlfn.IFNA(VLOOKUP($BD77,Programma!$F$3:$G$1107,2,0),"")</f>
        <v/>
      </c>
      <c r="BF77" s="363" t="str">
        <f>_xlfn.IFNA(VLOOKUP($BD77,Programma!$F$3:$H$1107,3,0),"")</f>
        <v/>
      </c>
      <c r="BG77" s="363" t="str">
        <f>_xlfn.IFNA(VLOOKUP($BD77,Programma!$F$3:$I$1107,4,0),"")</f>
        <v/>
      </c>
      <c r="BH77" s="363" t="str">
        <f>_xlfn.IFNA(VLOOKUP($BD77,Programma!$F$3:$J$1107,5,0),"")</f>
        <v/>
      </c>
      <c r="BI77" s="363" t="str">
        <f>_xlfn.IFNA(VLOOKUP($BD77,Programma!$F$3:$K$1107,6,0),"")</f>
        <v/>
      </c>
      <c r="BJ77" s="363" t="str">
        <f>_xlfn.IFNA(VLOOKUP($BD77,Programma!$F$3:$L$1107,7,0),"")</f>
        <v/>
      </c>
      <c r="BK77" s="363" t="str">
        <f>_xlfn.IFNA(VLOOKUP($BD77,Programma!$F$3:$M$1107,8,0),"")</f>
        <v/>
      </c>
      <c r="BL77" s="363" t="str">
        <f>_xlfn.IFNA(VLOOKUP($BD77,Programma!$F$3:$N$1107,9,0),"")</f>
        <v/>
      </c>
      <c r="BM77" s="363" t="str">
        <f>_xlfn.IFNA(VLOOKUP($BD77,Programma!$F$3:$O$1107,10,0),"")</f>
        <v/>
      </c>
      <c r="BN77" s="363" t="str">
        <f>_xlfn.IFNA(VLOOKUP($BD77,Programma!$F$3:$P$1107,11,0),"")</f>
        <v/>
      </c>
      <c r="BO77" s="363" t="str">
        <f>_xlfn.IFNA(VLOOKUP($BD77,Programma!$F$3:$Q$1107,12,0),"")</f>
        <v/>
      </c>
      <c r="BP77" s="363" t="str">
        <f>_xlfn.IFNA(VLOOKUP($BD77,Programma!$F$3:$R$1107,13,0),"")</f>
        <v/>
      </c>
      <c r="BQ77" s="363" t="str">
        <f>_xlfn.IFNA(VLOOKUP($BD77,Programma!$F$3:$S$1107,14,0),"")</f>
        <v/>
      </c>
      <c r="BR77" s="363" t="str">
        <f>_xlfn.IFNA(VLOOKUP($BD77,Programma!$F$3:$T$1107,15,0),"")</f>
        <v/>
      </c>
      <c r="BS77" s="363" t="str">
        <f>_xlfn.IFNA(VLOOKUP($BD77,Programma!$F$3:$U$1107,16,0),"")</f>
        <v/>
      </c>
      <c r="BT77" s="363" t="str">
        <f>_xlfn.IFNA(VLOOKUP($BD77,Programma!$F$3:$V$1107,17,0),"")</f>
        <v/>
      </c>
      <c r="BU77" s="363" t="str">
        <f>_xlfn.IFNA(VLOOKUP($BD77,Programma!$F$3:$W$1107,18,0),"")</f>
        <v/>
      </c>
      <c r="BV77" s="363" t="str">
        <f>_xlfn.IFNA(VLOOKUP($BD77,Programma!$F$3:$X$1107,19,0),"")</f>
        <v/>
      </c>
      <c r="BW77" s="363" t="str">
        <f>_xlfn.IFNA(VLOOKUP($BD77,Programma!$F$3:$Y$1107,20,0),"")</f>
        <v/>
      </c>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row>
    <row r="78" spans="1:220" ht="15" customHeight="1">
      <c r="A78" s="21">
        <v>2</v>
      </c>
      <c r="B78" s="157" t="str">
        <f>VLOOKUP(Ruimtestaat[[#This Row],[Code]],Locaties[[Code]:[Locatie]],2,FALSE)</f>
        <v>'s Gravendreef College</v>
      </c>
      <c r="C78" s="157" t="str">
        <f>VLOOKUP(Ruimtestaat[[#This Row],[Code]],Locaties[[#All],[Code]:[Adres]],4,FALSE)</f>
        <v>Klaas Voskuildreef 135</v>
      </c>
      <c r="D78" s="157" t="str">
        <f>VLOOKUP(Ruimtestaat[[#This Row],[Code]],Locaties[[#All],[Code]:[Postcode]],5,FALSE)</f>
        <v>2492 JJ</v>
      </c>
      <c r="E78" s="157" t="str">
        <f>VLOOKUP(Ruimtestaat[[#This Row],[Code]],Locaties[#All],6,FALSE)</f>
        <v>Den Haag</v>
      </c>
      <c r="F78" s="33"/>
      <c r="G78" s="33" t="s">
        <v>1706</v>
      </c>
      <c r="H78" s="368" t="s">
        <v>1722</v>
      </c>
      <c r="I78" s="367" t="s">
        <v>1723</v>
      </c>
      <c r="J78" s="21">
        <v>16</v>
      </c>
      <c r="K78" s="62" t="str">
        <f>VLOOKUP(Ruimtestaat[[#This Row],[Ruimte code]],Ruimtegroepen[[#All],[Code]:[Ruimte omschrijving]],2,FALSE)</f>
        <v>Leslokalen theorie</v>
      </c>
      <c r="L78" s="33" t="s">
        <v>101</v>
      </c>
      <c r="M78" s="367" t="s">
        <v>2495</v>
      </c>
      <c r="N78" s="140">
        <v>60</v>
      </c>
      <c r="O78" s="140"/>
      <c r="P78" s="125" t="str">
        <f>VLOOKUP(Ruimtestaat[[#This Row],[Ruimte code]],Ruimtegroepen[],4,FALSE)</f>
        <v>Le</v>
      </c>
      <c r="R78" s="33">
        <v>40</v>
      </c>
      <c r="S78" s="33" t="s">
        <v>2</v>
      </c>
      <c r="T78" s="33">
        <f>IF(R78&gt;0,IF(RIGHT(Ruimtestaat[[#This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8" s="33">
        <f>IF(T78&gt;0,VLOOKUP($J78,Ruimtegroepen[],3,FALSE)*VLOOKUP($L78,Vloersoorten[],3,FALSE)*VLOOKUP($S78,Frequenties[],3,FALSE)*VLOOKUP($A78,Locaties[],3,FALSE),0)</f>
        <v>0</v>
      </c>
      <c r="V78" s="33">
        <f>Ruimtestaat[[#This Row],[Uitvoeringen werkdagen]]*Ruimtestaat[[#This Row],[Oppervlak (netto)]]</f>
        <v>12000</v>
      </c>
      <c r="W78" s="154">
        <f>IF(U78&gt;0,Ruimtestaat[[#This Row],[Prest. (m2 /jaar) werkdagen]]/Ruimtestaat[[#This Row],[Norm (m2/uur) werkdagen]],0)</f>
        <v>0</v>
      </c>
      <c r="X78" s="155">
        <f>Ruimtestaat[[#This Row],[uren / jaar werkdagen]]*Tariefsopbouw!$E$35</f>
        <v>0</v>
      </c>
      <c r="Y78" s="33"/>
      <c r="Z78" s="33">
        <f>IF(Ruimtestaat[[#This Row],[Frequentie weekend]]&gt;0,VALUE(LEFT(Y78,1))*R78,0)</f>
        <v>0</v>
      </c>
      <c r="AA78" s="97">
        <f>IF($Z78&gt;0,VLOOKUP($J78,Ruimtegroepen[],3,FALSE)*VLOOKUP($L78,Vloersoorten[],3,FALSE)*VLOOKUP($Y78,Frequenties[],3,FALSE)*VLOOKUP(Ruimtestaat[[#This Row],[Code]],Locaties[],3,FALSE),0)</f>
        <v>0</v>
      </c>
      <c r="AB78" s="97">
        <f>Ruimtestaat[[#This Row],[Uitvoeringen weekend]]*Ruimtestaat[[#This Row],[Oppervlak (netto)]]</f>
        <v>0</v>
      </c>
      <c r="AC78" s="97">
        <f>IF(AA78&gt;0,Ruimtestaat[[#This Row],[Prest. (m2 /jaar) weekend]]/Ruimtestaat[[#This Row],[Norm (m2/uur) weekend]],0)</f>
        <v>0</v>
      </c>
      <c r="AD78" s="155">
        <f>Ruimtestaat[[#This Row],[uren / jaar weekend]]*Tariefsopbouw!$D$40</f>
        <v>0</v>
      </c>
      <c r="AE78" s="154">
        <f>Ruimtestaat[[#This Row],[Prest. (m2 /jaar) weekend]]+Ruimtestaat[[#This Row],[Prest. (m2 /jaar) werkdagen]]</f>
        <v>12000</v>
      </c>
      <c r="AF78" s="154">
        <f>Ruimtestaat[[#This Row],[uren / jaar weekend]]+Ruimtestaat[[#This Row],[uren / jaar werkdagen]]</f>
        <v>0</v>
      </c>
      <c r="AG78" s="69">
        <f>Ruimtestaat[[#This Row],[kosten / jaar weekend]]+Ruimtestaat[[#This Row],[kosten / jaar werkdagen]]</f>
        <v>0</v>
      </c>
      <c r="AH78" s="69"/>
      <c r="AI78" s="256" t="str">
        <f>IF(Ruimtestaat[[#This Row],[Frequentie werkdagen]]="","",_xlfn.CONCAT(Ruimtestaat[[#This Row],[Ruimte code]],"-",Ruimtestaat[[#This Row],[Frequentie werkdagen]]," ",Ruimtestaat[[#This Row],[Vloer code]]))</f>
        <v>16-5w L</v>
      </c>
      <c r="AJ78" s="363" t="str">
        <f>_xlfn.IFNA(VLOOKUP($AI78,Programma!$F$3:$G$1107,2,0),"")</f>
        <v>_</v>
      </c>
      <c r="AK78" s="363" t="str">
        <f>_xlfn.IFNA(VLOOKUP($AI78,Programma!$F$3:$H$1107,3,0),"")</f>
        <v>_</v>
      </c>
      <c r="AL78" s="363" t="str">
        <f>_xlfn.IFNA(VLOOKUP($AI78,Programma!$F$3:$I$1107,4,0),"")</f>
        <v>4w</v>
      </c>
      <c r="AM78" s="363" t="str">
        <f>_xlfn.IFNA(VLOOKUP($AI78,Programma!$F$3:$J$1107,5,0),"")</f>
        <v>1w</v>
      </c>
      <c r="AN78" s="363" t="str">
        <f>_xlfn.IFNA(VLOOKUP($AI78,Programma!$F$3:$K$1107,6,0),"")</f>
        <v>_</v>
      </c>
      <c r="AO78" s="363" t="str">
        <f>_xlfn.IFNA(VLOOKUP($AI78,Programma!$F$3:$L$1107,7,0),"")</f>
        <v>_</v>
      </c>
      <c r="AP78" s="363" t="str">
        <f>_xlfn.IFNA(VLOOKUP($AI78,Programma!$F$3:$M$1107,8,0),"")</f>
        <v>_</v>
      </c>
      <c r="AQ78" s="363" t="str">
        <f>_xlfn.IFNA(VLOOKUP($AI78,Programma!$F$3:$N$1107,9,0),"")</f>
        <v>_</v>
      </c>
      <c r="AR78" s="363" t="str">
        <f>_xlfn.IFNA(VLOOKUP($AI78,Programma!$F$3:$O$1107,10,0),"")</f>
        <v>5w</v>
      </c>
      <c r="AS78" s="363" t="str">
        <f>_xlfn.IFNA(VLOOKUP($AI78,Programma!$F$3:$P$1107,11,0),"")</f>
        <v>5w</v>
      </c>
      <c r="AT78" s="363" t="str">
        <f>_xlfn.IFNA(VLOOKUP($AI78,Programma!$F$3:$Q$1107,12,0),"")</f>
        <v>1w</v>
      </c>
      <c r="AU78" s="363" t="str">
        <f>_xlfn.IFNA(VLOOKUP($AI78,Programma!$F$3:$R$1107,13,0),"")</f>
        <v>1w</v>
      </c>
      <c r="AV78" s="363" t="str">
        <f>_xlfn.IFNA(VLOOKUP($AI78,Programma!$F$3:$S$1107,14,0),"")</f>
        <v>1m</v>
      </c>
      <c r="AW78" s="363" t="str">
        <f>_xlfn.IFNA(VLOOKUP($AI78,Programma!$F$3:$T$1107,15,0),"")</f>
        <v>2j</v>
      </c>
      <c r="AX78" s="363" t="str">
        <f>_xlfn.IFNA(VLOOKUP($AI78,Programma!$F$3:$U$1107,16,0),"")</f>
        <v>1j</v>
      </c>
      <c r="AY78" s="363" t="str">
        <f>_xlfn.IFNA(VLOOKUP($AI78,Programma!$F$3:$V$1107,17,0),"")</f>
        <v>_</v>
      </c>
      <c r="AZ78" s="363" t="str">
        <f>_xlfn.IFNA(VLOOKUP($AI78,Programma!$F$3:$W$1107,18,0),"")</f>
        <v>_</v>
      </c>
      <c r="BA78" s="363" t="str">
        <f>_xlfn.IFNA(VLOOKUP($AI78,Programma!$F$3:$X$1107,19,0),"")</f>
        <v>_</v>
      </c>
      <c r="BB78" s="363" t="str">
        <f>_xlfn.IFNA(VLOOKUP($AI78,Programma!$F$3:$Y$1107,20,0),"")</f>
        <v>_</v>
      </c>
      <c r="BC78" s="257"/>
      <c r="BD78" s="256" t="str">
        <f>IF(Ruimtestaat[[#This Row],[Frequentie weekend]]="","",_xlfn.CONCAT(Ruimtestaat[[#This Row],[Ruimte code]],"-",Ruimtestaat[[#This Row],[Frequentie weekend]]," ",Ruimtestaat[[#This Row],[Vloer code]]))</f>
        <v/>
      </c>
      <c r="BE78" s="363" t="str">
        <f>_xlfn.IFNA(VLOOKUP($BD78,Programma!$F$3:$G$1107,2,0),"")</f>
        <v/>
      </c>
      <c r="BF78" s="363" t="str">
        <f>_xlfn.IFNA(VLOOKUP($BD78,Programma!$F$3:$H$1107,3,0),"")</f>
        <v/>
      </c>
      <c r="BG78" s="363" t="str">
        <f>_xlfn.IFNA(VLOOKUP($BD78,Programma!$F$3:$I$1107,4,0),"")</f>
        <v/>
      </c>
      <c r="BH78" s="363" t="str">
        <f>_xlfn.IFNA(VLOOKUP($BD78,Programma!$F$3:$J$1107,5,0),"")</f>
        <v/>
      </c>
      <c r="BI78" s="363" t="str">
        <f>_xlfn.IFNA(VLOOKUP($BD78,Programma!$F$3:$K$1107,6,0),"")</f>
        <v/>
      </c>
      <c r="BJ78" s="363" t="str">
        <f>_xlfn.IFNA(VLOOKUP($BD78,Programma!$F$3:$L$1107,7,0),"")</f>
        <v/>
      </c>
      <c r="BK78" s="363" t="str">
        <f>_xlfn.IFNA(VLOOKUP($BD78,Programma!$F$3:$M$1107,8,0),"")</f>
        <v/>
      </c>
      <c r="BL78" s="363" t="str">
        <f>_xlfn.IFNA(VLOOKUP($BD78,Programma!$F$3:$N$1107,9,0),"")</f>
        <v/>
      </c>
      <c r="BM78" s="363" t="str">
        <f>_xlfn.IFNA(VLOOKUP($BD78,Programma!$F$3:$O$1107,10,0),"")</f>
        <v/>
      </c>
      <c r="BN78" s="363" t="str">
        <f>_xlfn.IFNA(VLOOKUP($BD78,Programma!$F$3:$P$1107,11,0),"")</f>
        <v/>
      </c>
      <c r="BO78" s="363" t="str">
        <f>_xlfn.IFNA(VLOOKUP($BD78,Programma!$F$3:$Q$1107,12,0),"")</f>
        <v/>
      </c>
      <c r="BP78" s="363" t="str">
        <f>_xlfn.IFNA(VLOOKUP($BD78,Programma!$F$3:$R$1107,13,0),"")</f>
        <v/>
      </c>
      <c r="BQ78" s="363" t="str">
        <f>_xlfn.IFNA(VLOOKUP($BD78,Programma!$F$3:$S$1107,14,0),"")</f>
        <v/>
      </c>
      <c r="BR78" s="363" t="str">
        <f>_xlfn.IFNA(VLOOKUP($BD78,Programma!$F$3:$T$1107,15,0),"")</f>
        <v/>
      </c>
      <c r="BS78" s="363" t="str">
        <f>_xlfn.IFNA(VLOOKUP($BD78,Programma!$F$3:$U$1107,16,0),"")</f>
        <v/>
      </c>
      <c r="BT78" s="363" t="str">
        <f>_xlfn.IFNA(VLOOKUP($BD78,Programma!$F$3:$V$1107,17,0),"")</f>
        <v/>
      </c>
      <c r="BU78" s="363" t="str">
        <f>_xlfn.IFNA(VLOOKUP($BD78,Programma!$F$3:$W$1107,18,0),"")</f>
        <v/>
      </c>
      <c r="BV78" s="363" t="str">
        <f>_xlfn.IFNA(VLOOKUP($BD78,Programma!$F$3:$X$1107,19,0),"")</f>
        <v/>
      </c>
      <c r="BW78" s="363" t="str">
        <f>_xlfn.IFNA(VLOOKUP($BD78,Programma!$F$3:$Y$1107,20,0),"")</f>
        <v/>
      </c>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row>
    <row r="79" spans="1:220" ht="15" customHeight="1">
      <c r="A79" s="21">
        <v>2</v>
      </c>
      <c r="B79" s="157" t="str">
        <f>VLOOKUP(Ruimtestaat[[#This Row],[Code]],Locaties[[Code]:[Locatie]],2,FALSE)</f>
        <v>'s Gravendreef College</v>
      </c>
      <c r="C79" s="157" t="str">
        <f>VLOOKUP(Ruimtestaat[[#This Row],[Code]],Locaties[[#All],[Code]:[Adres]],4,FALSE)</f>
        <v>Klaas Voskuildreef 135</v>
      </c>
      <c r="D79" s="157" t="str">
        <f>VLOOKUP(Ruimtestaat[[#This Row],[Code]],Locaties[[#All],[Code]:[Postcode]],5,FALSE)</f>
        <v>2492 JJ</v>
      </c>
      <c r="E79" s="157" t="str">
        <f>VLOOKUP(Ruimtestaat[[#This Row],[Code]],Locaties[#All],6,FALSE)</f>
        <v>Den Haag</v>
      </c>
      <c r="F79" s="33"/>
      <c r="G79" s="33" t="s">
        <v>1706</v>
      </c>
      <c r="H79" s="368" t="s">
        <v>1724</v>
      </c>
      <c r="I79" s="367" t="s">
        <v>1725</v>
      </c>
      <c r="J79" s="21">
        <v>16</v>
      </c>
      <c r="K79" s="62" t="str">
        <f>VLOOKUP(Ruimtestaat[[#This Row],[Ruimte code]],Ruimtegroepen[[#All],[Code]:[Ruimte omschrijving]],2,FALSE)</f>
        <v>Leslokalen theorie</v>
      </c>
      <c r="L79" s="33" t="s">
        <v>101</v>
      </c>
      <c r="M79" s="367" t="s">
        <v>2495</v>
      </c>
      <c r="N79" s="140">
        <v>60</v>
      </c>
      <c r="O79" s="140"/>
      <c r="P79" s="125" t="str">
        <f>VLOOKUP(Ruimtestaat[[#This Row],[Ruimte code]],Ruimtegroepen[],4,FALSE)</f>
        <v>Le</v>
      </c>
      <c r="R79" s="33">
        <v>40</v>
      </c>
      <c r="S79" s="33" t="s">
        <v>2</v>
      </c>
      <c r="T79" s="33">
        <f>IF(R79&gt;0,IF(RIGHT(Ruimtestaat[[#This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 s="33">
        <f>IF(T79&gt;0,VLOOKUP($J79,Ruimtegroepen[],3,FALSE)*VLOOKUP($L79,Vloersoorten[],3,FALSE)*VLOOKUP($S79,Frequenties[],3,FALSE)*VLOOKUP($A79,Locaties[],3,FALSE),0)</f>
        <v>0</v>
      </c>
      <c r="V79" s="33">
        <f>Ruimtestaat[[#This Row],[Uitvoeringen werkdagen]]*Ruimtestaat[[#This Row],[Oppervlak (netto)]]</f>
        <v>12000</v>
      </c>
      <c r="W79" s="154">
        <f>IF(U79&gt;0,Ruimtestaat[[#This Row],[Prest. (m2 /jaar) werkdagen]]/Ruimtestaat[[#This Row],[Norm (m2/uur) werkdagen]],0)</f>
        <v>0</v>
      </c>
      <c r="X79" s="155">
        <f>Ruimtestaat[[#This Row],[uren / jaar werkdagen]]*Tariefsopbouw!$E$35</f>
        <v>0</v>
      </c>
      <c r="Y79" s="33"/>
      <c r="Z79" s="33">
        <f>IF(Ruimtestaat[[#This Row],[Frequentie weekend]]&gt;0,VALUE(LEFT(Y79,1))*R79,0)</f>
        <v>0</v>
      </c>
      <c r="AA79" s="97">
        <f>IF($Z79&gt;0,VLOOKUP($J79,Ruimtegroepen[],3,FALSE)*VLOOKUP($L79,Vloersoorten[],3,FALSE)*VLOOKUP($Y79,Frequenties[],3,FALSE)*VLOOKUP(Ruimtestaat[[#This Row],[Code]],Locaties[],3,FALSE),0)</f>
        <v>0</v>
      </c>
      <c r="AB79" s="97">
        <f>Ruimtestaat[[#This Row],[Uitvoeringen weekend]]*Ruimtestaat[[#This Row],[Oppervlak (netto)]]</f>
        <v>0</v>
      </c>
      <c r="AC79" s="97">
        <f>IF(AA79&gt;0,Ruimtestaat[[#This Row],[Prest. (m2 /jaar) weekend]]/Ruimtestaat[[#This Row],[Norm (m2/uur) weekend]],0)</f>
        <v>0</v>
      </c>
      <c r="AD79" s="155">
        <f>Ruimtestaat[[#This Row],[uren / jaar weekend]]*Tariefsopbouw!$D$40</f>
        <v>0</v>
      </c>
      <c r="AE79" s="154">
        <f>Ruimtestaat[[#This Row],[Prest. (m2 /jaar) weekend]]+Ruimtestaat[[#This Row],[Prest. (m2 /jaar) werkdagen]]</f>
        <v>12000</v>
      </c>
      <c r="AF79" s="154">
        <f>Ruimtestaat[[#This Row],[uren / jaar weekend]]+Ruimtestaat[[#This Row],[uren / jaar werkdagen]]</f>
        <v>0</v>
      </c>
      <c r="AG79" s="69">
        <f>Ruimtestaat[[#This Row],[kosten / jaar weekend]]+Ruimtestaat[[#This Row],[kosten / jaar werkdagen]]</f>
        <v>0</v>
      </c>
      <c r="AH79" s="69"/>
      <c r="AI79" s="256" t="str">
        <f>IF(Ruimtestaat[[#This Row],[Frequentie werkdagen]]="","",_xlfn.CONCAT(Ruimtestaat[[#This Row],[Ruimte code]],"-",Ruimtestaat[[#This Row],[Frequentie werkdagen]]," ",Ruimtestaat[[#This Row],[Vloer code]]))</f>
        <v>16-5w L</v>
      </c>
      <c r="AJ79" s="363" t="str">
        <f>_xlfn.IFNA(VLOOKUP($AI79,Programma!$F$3:$G$1107,2,0),"")</f>
        <v>_</v>
      </c>
      <c r="AK79" s="363" t="str">
        <f>_xlfn.IFNA(VLOOKUP($AI79,Programma!$F$3:$H$1107,3,0),"")</f>
        <v>_</v>
      </c>
      <c r="AL79" s="363" t="str">
        <f>_xlfn.IFNA(VLOOKUP($AI79,Programma!$F$3:$I$1107,4,0),"")</f>
        <v>4w</v>
      </c>
      <c r="AM79" s="363" t="str">
        <f>_xlfn.IFNA(VLOOKUP($AI79,Programma!$F$3:$J$1107,5,0),"")</f>
        <v>1w</v>
      </c>
      <c r="AN79" s="363" t="str">
        <f>_xlfn.IFNA(VLOOKUP($AI79,Programma!$F$3:$K$1107,6,0),"")</f>
        <v>_</v>
      </c>
      <c r="AO79" s="363" t="str">
        <f>_xlfn.IFNA(VLOOKUP($AI79,Programma!$F$3:$L$1107,7,0),"")</f>
        <v>_</v>
      </c>
      <c r="AP79" s="363" t="str">
        <f>_xlfn.IFNA(VLOOKUP($AI79,Programma!$F$3:$M$1107,8,0),"")</f>
        <v>_</v>
      </c>
      <c r="AQ79" s="363" t="str">
        <f>_xlfn.IFNA(VLOOKUP($AI79,Programma!$F$3:$N$1107,9,0),"")</f>
        <v>_</v>
      </c>
      <c r="AR79" s="363" t="str">
        <f>_xlfn.IFNA(VLOOKUP($AI79,Programma!$F$3:$O$1107,10,0),"")</f>
        <v>5w</v>
      </c>
      <c r="AS79" s="363" t="str">
        <f>_xlfn.IFNA(VLOOKUP($AI79,Programma!$F$3:$P$1107,11,0),"")</f>
        <v>5w</v>
      </c>
      <c r="AT79" s="363" t="str">
        <f>_xlfn.IFNA(VLOOKUP($AI79,Programma!$F$3:$Q$1107,12,0),"")</f>
        <v>1w</v>
      </c>
      <c r="AU79" s="363" t="str">
        <f>_xlfn.IFNA(VLOOKUP($AI79,Programma!$F$3:$R$1107,13,0),"")</f>
        <v>1w</v>
      </c>
      <c r="AV79" s="363" t="str">
        <f>_xlfn.IFNA(VLOOKUP($AI79,Programma!$F$3:$S$1107,14,0),"")</f>
        <v>1m</v>
      </c>
      <c r="AW79" s="363" t="str">
        <f>_xlfn.IFNA(VLOOKUP($AI79,Programma!$F$3:$T$1107,15,0),"")</f>
        <v>2j</v>
      </c>
      <c r="AX79" s="363" t="str">
        <f>_xlfn.IFNA(VLOOKUP($AI79,Programma!$F$3:$U$1107,16,0),"")</f>
        <v>1j</v>
      </c>
      <c r="AY79" s="363" t="str">
        <f>_xlfn.IFNA(VLOOKUP($AI79,Programma!$F$3:$V$1107,17,0),"")</f>
        <v>_</v>
      </c>
      <c r="AZ79" s="363" t="str">
        <f>_xlfn.IFNA(VLOOKUP($AI79,Programma!$F$3:$W$1107,18,0),"")</f>
        <v>_</v>
      </c>
      <c r="BA79" s="363" t="str">
        <f>_xlfn.IFNA(VLOOKUP($AI79,Programma!$F$3:$X$1107,19,0),"")</f>
        <v>_</v>
      </c>
      <c r="BB79" s="363" t="str">
        <f>_xlfn.IFNA(VLOOKUP($AI79,Programma!$F$3:$Y$1107,20,0),"")</f>
        <v>_</v>
      </c>
      <c r="BC79" s="257"/>
      <c r="BD79" s="256" t="str">
        <f>IF(Ruimtestaat[[#This Row],[Frequentie weekend]]="","",_xlfn.CONCAT(Ruimtestaat[[#This Row],[Ruimte code]],"-",Ruimtestaat[[#This Row],[Frequentie weekend]]," ",Ruimtestaat[[#This Row],[Vloer code]]))</f>
        <v/>
      </c>
      <c r="BE79" s="363" t="str">
        <f>_xlfn.IFNA(VLOOKUP($BD79,Programma!$F$3:$G$1107,2,0),"")</f>
        <v/>
      </c>
      <c r="BF79" s="363" t="str">
        <f>_xlfn.IFNA(VLOOKUP($BD79,Programma!$F$3:$H$1107,3,0),"")</f>
        <v/>
      </c>
      <c r="BG79" s="363" t="str">
        <f>_xlfn.IFNA(VLOOKUP($BD79,Programma!$F$3:$I$1107,4,0),"")</f>
        <v/>
      </c>
      <c r="BH79" s="363" t="str">
        <f>_xlfn.IFNA(VLOOKUP($BD79,Programma!$F$3:$J$1107,5,0),"")</f>
        <v/>
      </c>
      <c r="BI79" s="363" t="str">
        <f>_xlfn.IFNA(VLOOKUP($BD79,Programma!$F$3:$K$1107,6,0),"")</f>
        <v/>
      </c>
      <c r="BJ79" s="363" t="str">
        <f>_xlfn.IFNA(VLOOKUP($BD79,Programma!$F$3:$L$1107,7,0),"")</f>
        <v/>
      </c>
      <c r="BK79" s="363" t="str">
        <f>_xlfn.IFNA(VLOOKUP($BD79,Programma!$F$3:$M$1107,8,0),"")</f>
        <v/>
      </c>
      <c r="BL79" s="363" t="str">
        <f>_xlfn.IFNA(VLOOKUP($BD79,Programma!$F$3:$N$1107,9,0),"")</f>
        <v/>
      </c>
      <c r="BM79" s="363" t="str">
        <f>_xlfn.IFNA(VLOOKUP($BD79,Programma!$F$3:$O$1107,10,0),"")</f>
        <v/>
      </c>
      <c r="BN79" s="363" t="str">
        <f>_xlfn.IFNA(VLOOKUP($BD79,Programma!$F$3:$P$1107,11,0),"")</f>
        <v/>
      </c>
      <c r="BO79" s="363" t="str">
        <f>_xlfn.IFNA(VLOOKUP($BD79,Programma!$F$3:$Q$1107,12,0),"")</f>
        <v/>
      </c>
      <c r="BP79" s="363" t="str">
        <f>_xlfn.IFNA(VLOOKUP($BD79,Programma!$F$3:$R$1107,13,0),"")</f>
        <v/>
      </c>
      <c r="BQ79" s="363" t="str">
        <f>_xlfn.IFNA(VLOOKUP($BD79,Programma!$F$3:$S$1107,14,0),"")</f>
        <v/>
      </c>
      <c r="BR79" s="363" t="str">
        <f>_xlfn.IFNA(VLOOKUP($BD79,Programma!$F$3:$T$1107,15,0),"")</f>
        <v/>
      </c>
      <c r="BS79" s="363" t="str">
        <f>_xlfn.IFNA(VLOOKUP($BD79,Programma!$F$3:$U$1107,16,0),"")</f>
        <v/>
      </c>
      <c r="BT79" s="363" t="str">
        <f>_xlfn.IFNA(VLOOKUP($BD79,Programma!$F$3:$V$1107,17,0),"")</f>
        <v/>
      </c>
      <c r="BU79" s="363" t="str">
        <f>_xlfn.IFNA(VLOOKUP($BD79,Programma!$F$3:$W$1107,18,0),"")</f>
        <v/>
      </c>
      <c r="BV79" s="363" t="str">
        <f>_xlfn.IFNA(VLOOKUP($BD79,Programma!$F$3:$X$1107,19,0),"")</f>
        <v/>
      </c>
      <c r="BW79" s="363" t="str">
        <f>_xlfn.IFNA(VLOOKUP($BD79,Programma!$F$3:$Y$1107,20,0),"")</f>
        <v/>
      </c>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row>
    <row r="80" spans="1:220" ht="15" customHeight="1">
      <c r="A80" s="21">
        <v>2</v>
      </c>
      <c r="B80" s="157" t="str">
        <f>VLOOKUP(Ruimtestaat[[#This Row],[Code]],Locaties[[Code]:[Locatie]],2,FALSE)</f>
        <v>'s Gravendreef College</v>
      </c>
      <c r="C80" s="157" t="str">
        <f>VLOOKUP(Ruimtestaat[[#This Row],[Code]],Locaties[[#All],[Code]:[Adres]],4,FALSE)</f>
        <v>Klaas Voskuildreef 135</v>
      </c>
      <c r="D80" s="157" t="str">
        <f>VLOOKUP(Ruimtestaat[[#This Row],[Code]],Locaties[[#All],[Code]:[Postcode]],5,FALSE)</f>
        <v>2492 JJ</v>
      </c>
      <c r="E80" s="157" t="str">
        <f>VLOOKUP(Ruimtestaat[[#This Row],[Code]],Locaties[#All],6,FALSE)</f>
        <v>Den Haag</v>
      </c>
      <c r="F80" s="33"/>
      <c r="G80" s="33" t="s">
        <v>1706</v>
      </c>
      <c r="H80" s="368" t="s">
        <v>1726</v>
      </c>
      <c r="I80" s="367" t="s">
        <v>1727</v>
      </c>
      <c r="J80" s="33">
        <v>16</v>
      </c>
      <c r="K80" s="62" t="str">
        <f>VLOOKUP(Ruimtestaat[[#This Row],[Ruimte code]],Ruimtegroepen[[#All],[Code]:[Ruimte omschrijving]],2,FALSE)</f>
        <v>Leslokalen theorie</v>
      </c>
      <c r="L80" s="33" t="s">
        <v>101</v>
      </c>
      <c r="M80" s="367" t="s">
        <v>2495</v>
      </c>
      <c r="N80" s="140">
        <v>60</v>
      </c>
      <c r="O80" s="140"/>
      <c r="P80" s="125" t="str">
        <f>VLOOKUP(Ruimtestaat[[#This Row],[Ruimte code]],Ruimtegroepen[],4,FALSE)</f>
        <v>Le</v>
      </c>
      <c r="R80" s="33">
        <v>40</v>
      </c>
      <c r="S80" s="33" t="s">
        <v>2</v>
      </c>
      <c r="T80" s="33">
        <f>IF(R80&gt;0,IF(RIGHT(Ruimtestaat[[#This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 s="33">
        <f>IF(T80&gt;0,VLOOKUP($J80,Ruimtegroepen[],3,FALSE)*VLOOKUP($L80,Vloersoorten[],3,FALSE)*VLOOKUP($S80,Frequenties[],3,FALSE)*VLOOKUP($A80,Locaties[],3,FALSE),0)</f>
        <v>0</v>
      </c>
      <c r="V80" s="33">
        <f>Ruimtestaat[[#This Row],[Uitvoeringen werkdagen]]*Ruimtestaat[[#This Row],[Oppervlak (netto)]]</f>
        <v>12000</v>
      </c>
      <c r="W80" s="154">
        <f>IF(U80&gt;0,Ruimtestaat[[#This Row],[Prest. (m2 /jaar) werkdagen]]/Ruimtestaat[[#This Row],[Norm (m2/uur) werkdagen]],0)</f>
        <v>0</v>
      </c>
      <c r="X80" s="155">
        <f>Ruimtestaat[[#This Row],[uren / jaar werkdagen]]*Tariefsopbouw!$E$35</f>
        <v>0</v>
      </c>
      <c r="Y80" s="33"/>
      <c r="Z80" s="33">
        <f>IF(Ruimtestaat[[#This Row],[Frequentie weekend]]&gt;0,VALUE(LEFT(Y80,1))*R80,0)</f>
        <v>0</v>
      </c>
      <c r="AA80" s="97">
        <f>IF($Z80&gt;0,VLOOKUP($J80,Ruimtegroepen[],3,FALSE)*VLOOKUP($L80,Vloersoorten[],3,FALSE)*VLOOKUP($Y80,Frequenties[],3,FALSE)*VLOOKUP(Ruimtestaat[[#This Row],[Code]],Locaties[],3,FALSE),0)</f>
        <v>0</v>
      </c>
      <c r="AB80" s="97">
        <f>Ruimtestaat[[#This Row],[Uitvoeringen weekend]]*Ruimtestaat[[#This Row],[Oppervlak (netto)]]</f>
        <v>0</v>
      </c>
      <c r="AC80" s="97">
        <f>IF(AA80&gt;0,Ruimtestaat[[#This Row],[Prest. (m2 /jaar) weekend]]/Ruimtestaat[[#This Row],[Norm (m2/uur) weekend]],0)</f>
        <v>0</v>
      </c>
      <c r="AD80" s="155">
        <f>Ruimtestaat[[#This Row],[uren / jaar weekend]]*Tariefsopbouw!$D$40</f>
        <v>0</v>
      </c>
      <c r="AE80" s="154">
        <f>Ruimtestaat[[#This Row],[Prest. (m2 /jaar) weekend]]+Ruimtestaat[[#This Row],[Prest. (m2 /jaar) werkdagen]]</f>
        <v>12000</v>
      </c>
      <c r="AF80" s="154">
        <f>Ruimtestaat[[#This Row],[uren / jaar weekend]]+Ruimtestaat[[#This Row],[uren / jaar werkdagen]]</f>
        <v>0</v>
      </c>
      <c r="AG80" s="69">
        <f>Ruimtestaat[[#This Row],[kosten / jaar weekend]]+Ruimtestaat[[#This Row],[kosten / jaar werkdagen]]</f>
        <v>0</v>
      </c>
      <c r="AH80" s="69"/>
      <c r="AI80" s="256" t="str">
        <f>IF(Ruimtestaat[[#This Row],[Frequentie werkdagen]]="","",_xlfn.CONCAT(Ruimtestaat[[#This Row],[Ruimte code]],"-",Ruimtestaat[[#This Row],[Frequentie werkdagen]]," ",Ruimtestaat[[#This Row],[Vloer code]]))</f>
        <v>16-5w L</v>
      </c>
      <c r="AJ80" s="363" t="str">
        <f>_xlfn.IFNA(VLOOKUP($AI80,Programma!$F$3:$G$1107,2,0),"")</f>
        <v>_</v>
      </c>
      <c r="AK80" s="363" t="str">
        <f>_xlfn.IFNA(VLOOKUP($AI80,Programma!$F$3:$H$1107,3,0),"")</f>
        <v>_</v>
      </c>
      <c r="AL80" s="363" t="str">
        <f>_xlfn.IFNA(VLOOKUP($AI80,Programma!$F$3:$I$1107,4,0),"")</f>
        <v>4w</v>
      </c>
      <c r="AM80" s="363" t="str">
        <f>_xlfn.IFNA(VLOOKUP($AI80,Programma!$F$3:$J$1107,5,0),"")</f>
        <v>1w</v>
      </c>
      <c r="AN80" s="363" t="str">
        <f>_xlfn.IFNA(VLOOKUP($AI80,Programma!$F$3:$K$1107,6,0),"")</f>
        <v>_</v>
      </c>
      <c r="AO80" s="363" t="str">
        <f>_xlfn.IFNA(VLOOKUP($AI80,Programma!$F$3:$L$1107,7,0),"")</f>
        <v>_</v>
      </c>
      <c r="AP80" s="363" t="str">
        <f>_xlfn.IFNA(VLOOKUP($AI80,Programma!$F$3:$M$1107,8,0),"")</f>
        <v>_</v>
      </c>
      <c r="AQ80" s="363" t="str">
        <f>_xlfn.IFNA(VLOOKUP($AI80,Programma!$F$3:$N$1107,9,0),"")</f>
        <v>_</v>
      </c>
      <c r="AR80" s="363" t="str">
        <f>_xlfn.IFNA(VLOOKUP($AI80,Programma!$F$3:$O$1107,10,0),"")</f>
        <v>5w</v>
      </c>
      <c r="AS80" s="363" t="str">
        <f>_xlfn.IFNA(VLOOKUP($AI80,Programma!$F$3:$P$1107,11,0),"")</f>
        <v>5w</v>
      </c>
      <c r="AT80" s="363" t="str">
        <f>_xlfn.IFNA(VLOOKUP($AI80,Programma!$F$3:$Q$1107,12,0),"")</f>
        <v>1w</v>
      </c>
      <c r="AU80" s="363" t="str">
        <f>_xlfn.IFNA(VLOOKUP($AI80,Programma!$F$3:$R$1107,13,0),"")</f>
        <v>1w</v>
      </c>
      <c r="AV80" s="363" t="str">
        <f>_xlfn.IFNA(VLOOKUP($AI80,Programma!$F$3:$S$1107,14,0),"")</f>
        <v>1m</v>
      </c>
      <c r="AW80" s="363" t="str">
        <f>_xlfn.IFNA(VLOOKUP($AI80,Programma!$F$3:$T$1107,15,0),"")</f>
        <v>2j</v>
      </c>
      <c r="AX80" s="363" t="str">
        <f>_xlfn.IFNA(VLOOKUP($AI80,Programma!$F$3:$U$1107,16,0),"")</f>
        <v>1j</v>
      </c>
      <c r="AY80" s="363" t="str">
        <f>_xlfn.IFNA(VLOOKUP($AI80,Programma!$F$3:$V$1107,17,0),"")</f>
        <v>_</v>
      </c>
      <c r="AZ80" s="363" t="str">
        <f>_xlfn.IFNA(VLOOKUP($AI80,Programma!$F$3:$W$1107,18,0),"")</f>
        <v>_</v>
      </c>
      <c r="BA80" s="363" t="str">
        <f>_xlfn.IFNA(VLOOKUP($AI80,Programma!$F$3:$X$1107,19,0),"")</f>
        <v>_</v>
      </c>
      <c r="BB80" s="363" t="str">
        <f>_xlfn.IFNA(VLOOKUP($AI80,Programma!$F$3:$Y$1107,20,0),"")</f>
        <v>_</v>
      </c>
      <c r="BC80" s="257"/>
      <c r="BD80" s="256" t="str">
        <f>IF(Ruimtestaat[[#This Row],[Frequentie weekend]]="","",_xlfn.CONCAT(Ruimtestaat[[#This Row],[Ruimte code]],"-",Ruimtestaat[[#This Row],[Frequentie weekend]]," ",Ruimtestaat[[#This Row],[Vloer code]]))</f>
        <v/>
      </c>
      <c r="BE80" s="363" t="str">
        <f>_xlfn.IFNA(VLOOKUP($BD80,Programma!$F$3:$G$1107,2,0),"")</f>
        <v/>
      </c>
      <c r="BF80" s="363" t="str">
        <f>_xlfn.IFNA(VLOOKUP($BD80,Programma!$F$3:$H$1107,3,0),"")</f>
        <v/>
      </c>
      <c r="BG80" s="363" t="str">
        <f>_xlfn.IFNA(VLOOKUP($BD80,Programma!$F$3:$I$1107,4,0),"")</f>
        <v/>
      </c>
      <c r="BH80" s="363" t="str">
        <f>_xlfn.IFNA(VLOOKUP($BD80,Programma!$F$3:$J$1107,5,0),"")</f>
        <v/>
      </c>
      <c r="BI80" s="363" t="str">
        <f>_xlfn.IFNA(VLOOKUP($BD80,Programma!$F$3:$K$1107,6,0),"")</f>
        <v/>
      </c>
      <c r="BJ80" s="363" t="str">
        <f>_xlfn.IFNA(VLOOKUP($BD80,Programma!$F$3:$L$1107,7,0),"")</f>
        <v/>
      </c>
      <c r="BK80" s="363" t="str">
        <f>_xlfn.IFNA(VLOOKUP($BD80,Programma!$F$3:$M$1107,8,0),"")</f>
        <v/>
      </c>
      <c r="BL80" s="363" t="str">
        <f>_xlfn.IFNA(VLOOKUP($BD80,Programma!$F$3:$N$1107,9,0),"")</f>
        <v/>
      </c>
      <c r="BM80" s="363" t="str">
        <f>_xlfn.IFNA(VLOOKUP($BD80,Programma!$F$3:$O$1107,10,0),"")</f>
        <v/>
      </c>
      <c r="BN80" s="363" t="str">
        <f>_xlfn.IFNA(VLOOKUP($BD80,Programma!$F$3:$P$1107,11,0),"")</f>
        <v/>
      </c>
      <c r="BO80" s="363" t="str">
        <f>_xlfn.IFNA(VLOOKUP($BD80,Programma!$F$3:$Q$1107,12,0),"")</f>
        <v/>
      </c>
      <c r="BP80" s="363" t="str">
        <f>_xlfn.IFNA(VLOOKUP($BD80,Programma!$F$3:$R$1107,13,0),"")</f>
        <v/>
      </c>
      <c r="BQ80" s="363" t="str">
        <f>_xlfn.IFNA(VLOOKUP($BD80,Programma!$F$3:$S$1107,14,0),"")</f>
        <v/>
      </c>
      <c r="BR80" s="363" t="str">
        <f>_xlfn.IFNA(VLOOKUP($BD80,Programma!$F$3:$T$1107,15,0),"")</f>
        <v/>
      </c>
      <c r="BS80" s="363" t="str">
        <f>_xlfn.IFNA(VLOOKUP($BD80,Programma!$F$3:$U$1107,16,0),"")</f>
        <v/>
      </c>
      <c r="BT80" s="363" t="str">
        <f>_xlfn.IFNA(VLOOKUP($BD80,Programma!$F$3:$V$1107,17,0),"")</f>
        <v/>
      </c>
      <c r="BU80" s="363" t="str">
        <f>_xlfn.IFNA(VLOOKUP($BD80,Programma!$F$3:$W$1107,18,0),"")</f>
        <v/>
      </c>
      <c r="BV80" s="363" t="str">
        <f>_xlfn.IFNA(VLOOKUP($BD80,Programma!$F$3:$X$1107,19,0),"")</f>
        <v/>
      </c>
      <c r="BW80" s="363" t="str">
        <f>_xlfn.IFNA(VLOOKUP($BD80,Programma!$F$3:$Y$1107,20,0),"")</f>
        <v/>
      </c>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row>
    <row r="81" spans="1:220" ht="15" customHeight="1">
      <c r="A81" s="21">
        <v>2</v>
      </c>
      <c r="B81" s="157" t="str">
        <f>VLOOKUP(Ruimtestaat[[#This Row],[Code]],Locaties[[Code]:[Locatie]],2,FALSE)</f>
        <v>'s Gravendreef College</v>
      </c>
      <c r="C81" s="157" t="str">
        <f>VLOOKUP(Ruimtestaat[[#This Row],[Code]],Locaties[[#All],[Code]:[Adres]],4,FALSE)</f>
        <v>Klaas Voskuildreef 135</v>
      </c>
      <c r="D81" s="157" t="str">
        <f>VLOOKUP(Ruimtestaat[[#This Row],[Code]],Locaties[[#All],[Code]:[Postcode]],5,FALSE)</f>
        <v>2492 JJ</v>
      </c>
      <c r="E81" s="157" t="str">
        <f>VLOOKUP(Ruimtestaat[[#This Row],[Code]],Locaties[#All],6,FALSE)</f>
        <v>Den Haag</v>
      </c>
      <c r="F81" s="33"/>
      <c r="G81" s="33" t="s">
        <v>1706</v>
      </c>
      <c r="H81" s="368" t="s">
        <v>1728</v>
      </c>
      <c r="I81" s="367" t="s">
        <v>1729</v>
      </c>
      <c r="J81" s="21">
        <v>16</v>
      </c>
      <c r="K81" s="62" t="str">
        <f>VLOOKUP(Ruimtestaat[[#This Row],[Ruimte code]],Ruimtegroepen[[#All],[Code]:[Ruimte omschrijving]],2,FALSE)</f>
        <v>Leslokalen theorie</v>
      </c>
      <c r="L81" s="33" t="s">
        <v>101</v>
      </c>
      <c r="M81" s="367" t="s">
        <v>2495</v>
      </c>
      <c r="N81" s="140">
        <v>83</v>
      </c>
      <c r="O81" s="140"/>
      <c r="P81" s="125" t="str">
        <f>VLOOKUP(Ruimtestaat[[#This Row],[Ruimte code]],Ruimtegroepen[],4,FALSE)</f>
        <v>Le</v>
      </c>
      <c r="R81" s="33">
        <v>40</v>
      </c>
      <c r="S81" s="33" t="s">
        <v>2</v>
      </c>
      <c r="T81" s="33">
        <f>IF(R81&gt;0,IF(RIGHT(Ruimtestaat[[#This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 s="33">
        <f>IF(T81&gt;0,VLOOKUP($J81,Ruimtegroepen[],3,FALSE)*VLOOKUP($L81,Vloersoorten[],3,FALSE)*VLOOKUP($S81,Frequenties[],3,FALSE)*VLOOKUP($A81,Locaties[],3,FALSE),0)</f>
        <v>0</v>
      </c>
      <c r="V81" s="33">
        <f>Ruimtestaat[[#This Row],[Uitvoeringen werkdagen]]*Ruimtestaat[[#This Row],[Oppervlak (netto)]]</f>
        <v>16600</v>
      </c>
      <c r="W81" s="154">
        <f>IF(U81&gt;0,Ruimtestaat[[#This Row],[Prest. (m2 /jaar) werkdagen]]/Ruimtestaat[[#This Row],[Norm (m2/uur) werkdagen]],0)</f>
        <v>0</v>
      </c>
      <c r="X81" s="155">
        <f>Ruimtestaat[[#This Row],[uren / jaar werkdagen]]*Tariefsopbouw!$E$35</f>
        <v>0</v>
      </c>
      <c r="Y81" s="33"/>
      <c r="Z81" s="33">
        <f>IF(Ruimtestaat[[#This Row],[Frequentie weekend]]&gt;0,VALUE(LEFT(Y81,1))*R81,0)</f>
        <v>0</v>
      </c>
      <c r="AA81" s="97">
        <f>IF($Z81&gt;0,VLOOKUP($J81,Ruimtegroepen[],3,FALSE)*VLOOKUP($L81,Vloersoorten[],3,FALSE)*VLOOKUP($Y81,Frequenties[],3,FALSE)*VLOOKUP(Ruimtestaat[[#This Row],[Code]],Locaties[],3,FALSE),0)</f>
        <v>0</v>
      </c>
      <c r="AB81" s="97">
        <f>Ruimtestaat[[#This Row],[Uitvoeringen weekend]]*Ruimtestaat[[#This Row],[Oppervlak (netto)]]</f>
        <v>0</v>
      </c>
      <c r="AC81" s="97">
        <f>IF(AA81&gt;0,Ruimtestaat[[#This Row],[Prest. (m2 /jaar) weekend]]/Ruimtestaat[[#This Row],[Norm (m2/uur) weekend]],0)</f>
        <v>0</v>
      </c>
      <c r="AD81" s="155">
        <f>Ruimtestaat[[#This Row],[uren / jaar weekend]]*Tariefsopbouw!$D$40</f>
        <v>0</v>
      </c>
      <c r="AE81" s="154">
        <f>Ruimtestaat[[#This Row],[Prest. (m2 /jaar) weekend]]+Ruimtestaat[[#This Row],[Prest. (m2 /jaar) werkdagen]]</f>
        <v>16600</v>
      </c>
      <c r="AF81" s="154">
        <f>Ruimtestaat[[#This Row],[uren / jaar weekend]]+Ruimtestaat[[#This Row],[uren / jaar werkdagen]]</f>
        <v>0</v>
      </c>
      <c r="AG81" s="69">
        <f>Ruimtestaat[[#This Row],[kosten / jaar weekend]]+Ruimtestaat[[#This Row],[kosten / jaar werkdagen]]</f>
        <v>0</v>
      </c>
      <c r="AH81" s="69"/>
      <c r="AI81" s="256" t="str">
        <f>IF(Ruimtestaat[[#This Row],[Frequentie werkdagen]]="","",_xlfn.CONCAT(Ruimtestaat[[#This Row],[Ruimte code]],"-",Ruimtestaat[[#This Row],[Frequentie werkdagen]]," ",Ruimtestaat[[#This Row],[Vloer code]]))</f>
        <v>16-5w L</v>
      </c>
      <c r="AJ81" s="363" t="str">
        <f>_xlfn.IFNA(VLOOKUP($AI81,Programma!$F$3:$G$1107,2,0),"")</f>
        <v>_</v>
      </c>
      <c r="AK81" s="363" t="str">
        <f>_xlfn.IFNA(VLOOKUP($AI81,Programma!$F$3:$H$1107,3,0),"")</f>
        <v>_</v>
      </c>
      <c r="AL81" s="363" t="str">
        <f>_xlfn.IFNA(VLOOKUP($AI81,Programma!$F$3:$I$1107,4,0),"")</f>
        <v>4w</v>
      </c>
      <c r="AM81" s="363" t="str">
        <f>_xlfn.IFNA(VLOOKUP($AI81,Programma!$F$3:$J$1107,5,0),"")</f>
        <v>1w</v>
      </c>
      <c r="AN81" s="363" t="str">
        <f>_xlfn.IFNA(VLOOKUP($AI81,Programma!$F$3:$K$1107,6,0),"")</f>
        <v>_</v>
      </c>
      <c r="AO81" s="363" t="str">
        <f>_xlfn.IFNA(VLOOKUP($AI81,Programma!$F$3:$L$1107,7,0),"")</f>
        <v>_</v>
      </c>
      <c r="AP81" s="363" t="str">
        <f>_xlfn.IFNA(VLOOKUP($AI81,Programma!$F$3:$M$1107,8,0),"")</f>
        <v>_</v>
      </c>
      <c r="AQ81" s="363" t="str">
        <f>_xlfn.IFNA(VLOOKUP($AI81,Programma!$F$3:$N$1107,9,0),"")</f>
        <v>_</v>
      </c>
      <c r="AR81" s="363" t="str">
        <f>_xlfn.IFNA(VLOOKUP($AI81,Programma!$F$3:$O$1107,10,0),"")</f>
        <v>5w</v>
      </c>
      <c r="AS81" s="363" t="str">
        <f>_xlfn.IFNA(VLOOKUP($AI81,Programma!$F$3:$P$1107,11,0),"")</f>
        <v>5w</v>
      </c>
      <c r="AT81" s="363" t="str">
        <f>_xlfn.IFNA(VLOOKUP($AI81,Programma!$F$3:$Q$1107,12,0),"")</f>
        <v>1w</v>
      </c>
      <c r="AU81" s="363" t="str">
        <f>_xlfn.IFNA(VLOOKUP($AI81,Programma!$F$3:$R$1107,13,0),"")</f>
        <v>1w</v>
      </c>
      <c r="AV81" s="363" t="str">
        <f>_xlfn.IFNA(VLOOKUP($AI81,Programma!$F$3:$S$1107,14,0),"")</f>
        <v>1m</v>
      </c>
      <c r="AW81" s="363" t="str">
        <f>_xlfn.IFNA(VLOOKUP($AI81,Programma!$F$3:$T$1107,15,0),"")</f>
        <v>2j</v>
      </c>
      <c r="AX81" s="363" t="str">
        <f>_xlfn.IFNA(VLOOKUP($AI81,Programma!$F$3:$U$1107,16,0),"")</f>
        <v>1j</v>
      </c>
      <c r="AY81" s="363" t="str">
        <f>_xlfn.IFNA(VLOOKUP($AI81,Programma!$F$3:$V$1107,17,0),"")</f>
        <v>_</v>
      </c>
      <c r="AZ81" s="363" t="str">
        <f>_xlfn.IFNA(VLOOKUP($AI81,Programma!$F$3:$W$1107,18,0),"")</f>
        <v>_</v>
      </c>
      <c r="BA81" s="363" t="str">
        <f>_xlfn.IFNA(VLOOKUP($AI81,Programma!$F$3:$X$1107,19,0),"")</f>
        <v>_</v>
      </c>
      <c r="BB81" s="363" t="str">
        <f>_xlfn.IFNA(VLOOKUP($AI81,Programma!$F$3:$Y$1107,20,0),"")</f>
        <v>_</v>
      </c>
      <c r="BC81" s="257"/>
      <c r="BD81" s="256" t="str">
        <f>IF(Ruimtestaat[[#This Row],[Frequentie weekend]]="","",_xlfn.CONCAT(Ruimtestaat[[#This Row],[Ruimte code]],"-",Ruimtestaat[[#This Row],[Frequentie weekend]]," ",Ruimtestaat[[#This Row],[Vloer code]]))</f>
        <v/>
      </c>
      <c r="BE81" s="363" t="str">
        <f>_xlfn.IFNA(VLOOKUP($BD81,Programma!$F$3:$G$1107,2,0),"")</f>
        <v/>
      </c>
      <c r="BF81" s="363" t="str">
        <f>_xlfn.IFNA(VLOOKUP($BD81,Programma!$F$3:$H$1107,3,0),"")</f>
        <v/>
      </c>
      <c r="BG81" s="363" t="str">
        <f>_xlfn.IFNA(VLOOKUP($BD81,Programma!$F$3:$I$1107,4,0),"")</f>
        <v/>
      </c>
      <c r="BH81" s="363" t="str">
        <f>_xlfn.IFNA(VLOOKUP($BD81,Programma!$F$3:$J$1107,5,0),"")</f>
        <v/>
      </c>
      <c r="BI81" s="363" t="str">
        <f>_xlfn.IFNA(VLOOKUP($BD81,Programma!$F$3:$K$1107,6,0),"")</f>
        <v/>
      </c>
      <c r="BJ81" s="363" t="str">
        <f>_xlfn.IFNA(VLOOKUP($BD81,Programma!$F$3:$L$1107,7,0),"")</f>
        <v/>
      </c>
      <c r="BK81" s="363" t="str">
        <f>_xlfn.IFNA(VLOOKUP($BD81,Programma!$F$3:$M$1107,8,0),"")</f>
        <v/>
      </c>
      <c r="BL81" s="363" t="str">
        <f>_xlfn.IFNA(VLOOKUP($BD81,Programma!$F$3:$N$1107,9,0),"")</f>
        <v/>
      </c>
      <c r="BM81" s="363" t="str">
        <f>_xlfn.IFNA(VLOOKUP($BD81,Programma!$F$3:$O$1107,10,0),"")</f>
        <v/>
      </c>
      <c r="BN81" s="363" t="str">
        <f>_xlfn.IFNA(VLOOKUP($BD81,Programma!$F$3:$P$1107,11,0),"")</f>
        <v/>
      </c>
      <c r="BO81" s="363" t="str">
        <f>_xlfn.IFNA(VLOOKUP($BD81,Programma!$F$3:$Q$1107,12,0),"")</f>
        <v/>
      </c>
      <c r="BP81" s="363" t="str">
        <f>_xlfn.IFNA(VLOOKUP($BD81,Programma!$F$3:$R$1107,13,0),"")</f>
        <v/>
      </c>
      <c r="BQ81" s="363" t="str">
        <f>_xlfn.IFNA(VLOOKUP($BD81,Programma!$F$3:$S$1107,14,0),"")</f>
        <v/>
      </c>
      <c r="BR81" s="363" t="str">
        <f>_xlfn.IFNA(VLOOKUP($BD81,Programma!$F$3:$T$1107,15,0),"")</f>
        <v/>
      </c>
      <c r="BS81" s="363" t="str">
        <f>_xlfn.IFNA(VLOOKUP($BD81,Programma!$F$3:$U$1107,16,0),"")</f>
        <v/>
      </c>
      <c r="BT81" s="363" t="str">
        <f>_xlfn.IFNA(VLOOKUP($BD81,Programma!$F$3:$V$1107,17,0),"")</f>
        <v/>
      </c>
      <c r="BU81" s="363" t="str">
        <f>_xlfn.IFNA(VLOOKUP($BD81,Programma!$F$3:$W$1107,18,0),"")</f>
        <v/>
      </c>
      <c r="BV81" s="363" t="str">
        <f>_xlfn.IFNA(VLOOKUP($BD81,Programma!$F$3:$X$1107,19,0),"")</f>
        <v/>
      </c>
      <c r="BW81" s="363" t="str">
        <f>_xlfn.IFNA(VLOOKUP($BD81,Programma!$F$3:$Y$1107,20,0),"")</f>
        <v/>
      </c>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row>
    <row r="82" spans="1:220" ht="15" customHeight="1">
      <c r="A82" s="21">
        <v>2</v>
      </c>
      <c r="B82" s="157" t="str">
        <f>VLOOKUP(Ruimtestaat[[#This Row],[Code]],Locaties[[Code]:[Locatie]],2,FALSE)</f>
        <v>'s Gravendreef College</v>
      </c>
      <c r="C82" s="157" t="str">
        <f>VLOOKUP(Ruimtestaat[[#This Row],[Code]],Locaties[[#All],[Code]:[Adres]],4,FALSE)</f>
        <v>Klaas Voskuildreef 135</v>
      </c>
      <c r="D82" s="157" t="str">
        <f>VLOOKUP(Ruimtestaat[[#This Row],[Code]],Locaties[[#All],[Code]:[Postcode]],5,FALSE)</f>
        <v>2492 JJ</v>
      </c>
      <c r="E82" s="157" t="str">
        <f>VLOOKUP(Ruimtestaat[[#This Row],[Code]],Locaties[#All],6,FALSE)</f>
        <v>Den Haag</v>
      </c>
      <c r="F82" s="33"/>
      <c r="G82" s="33" t="s">
        <v>1706</v>
      </c>
      <c r="H82" s="368" t="s">
        <v>1730</v>
      </c>
      <c r="I82" s="367" t="s">
        <v>1731</v>
      </c>
      <c r="J82" s="21">
        <v>16</v>
      </c>
      <c r="K82" s="62" t="str">
        <f>VLOOKUP(Ruimtestaat[[#This Row],[Ruimte code]],Ruimtegroepen[[#All],[Code]:[Ruimte omschrijving]],2,FALSE)</f>
        <v>Leslokalen theorie</v>
      </c>
      <c r="L82" s="33" t="s">
        <v>101</v>
      </c>
      <c r="M82" s="367" t="s">
        <v>2495</v>
      </c>
      <c r="N82" s="140">
        <v>186</v>
      </c>
      <c r="O82" s="140"/>
      <c r="P82" s="125" t="str">
        <f>VLOOKUP(Ruimtestaat[[#This Row],[Ruimte code]],Ruimtegroepen[],4,FALSE)</f>
        <v>Le</v>
      </c>
      <c r="R82" s="33">
        <v>40</v>
      </c>
      <c r="S82" s="33" t="s">
        <v>2</v>
      </c>
      <c r="T82" s="33">
        <f>IF(R82&gt;0,IF(RIGHT(Ruimtestaat[[#This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 s="33">
        <f>IF(T82&gt;0,VLOOKUP($J82,Ruimtegroepen[],3,FALSE)*VLOOKUP($L82,Vloersoorten[],3,FALSE)*VLOOKUP($S82,Frequenties[],3,FALSE)*VLOOKUP($A82,Locaties[],3,FALSE),0)</f>
        <v>0</v>
      </c>
      <c r="V82" s="33">
        <f>Ruimtestaat[[#This Row],[Uitvoeringen werkdagen]]*Ruimtestaat[[#This Row],[Oppervlak (netto)]]</f>
        <v>37200</v>
      </c>
      <c r="W82" s="154">
        <f>IF(U82&gt;0,Ruimtestaat[[#This Row],[Prest. (m2 /jaar) werkdagen]]/Ruimtestaat[[#This Row],[Norm (m2/uur) werkdagen]],0)</f>
        <v>0</v>
      </c>
      <c r="X82" s="155">
        <f>Ruimtestaat[[#This Row],[uren / jaar werkdagen]]*Tariefsopbouw!$E$35</f>
        <v>0</v>
      </c>
      <c r="Y82" s="33"/>
      <c r="Z82" s="33">
        <f>IF(Ruimtestaat[[#This Row],[Frequentie weekend]]&gt;0,VALUE(LEFT(Y82,1))*R82,0)</f>
        <v>0</v>
      </c>
      <c r="AA82" s="97">
        <f>IF($Z82&gt;0,VLOOKUP($J82,Ruimtegroepen[],3,FALSE)*VLOOKUP($L82,Vloersoorten[],3,FALSE)*VLOOKUP($Y82,Frequenties[],3,FALSE)*VLOOKUP(Ruimtestaat[[#This Row],[Code]],Locaties[],3,FALSE),0)</f>
        <v>0</v>
      </c>
      <c r="AB82" s="97">
        <f>Ruimtestaat[[#This Row],[Uitvoeringen weekend]]*Ruimtestaat[[#This Row],[Oppervlak (netto)]]</f>
        <v>0</v>
      </c>
      <c r="AC82" s="97">
        <f>IF(AA82&gt;0,Ruimtestaat[[#This Row],[Prest. (m2 /jaar) weekend]]/Ruimtestaat[[#This Row],[Norm (m2/uur) weekend]],0)</f>
        <v>0</v>
      </c>
      <c r="AD82" s="155">
        <f>Ruimtestaat[[#This Row],[uren / jaar weekend]]*Tariefsopbouw!$D$40</f>
        <v>0</v>
      </c>
      <c r="AE82" s="154">
        <f>Ruimtestaat[[#This Row],[Prest. (m2 /jaar) weekend]]+Ruimtestaat[[#This Row],[Prest. (m2 /jaar) werkdagen]]</f>
        <v>37200</v>
      </c>
      <c r="AF82" s="154">
        <f>Ruimtestaat[[#This Row],[uren / jaar weekend]]+Ruimtestaat[[#This Row],[uren / jaar werkdagen]]</f>
        <v>0</v>
      </c>
      <c r="AG82" s="69">
        <f>Ruimtestaat[[#This Row],[kosten / jaar weekend]]+Ruimtestaat[[#This Row],[kosten / jaar werkdagen]]</f>
        <v>0</v>
      </c>
      <c r="AH82" s="69"/>
      <c r="AI82" s="256" t="str">
        <f>IF(Ruimtestaat[[#This Row],[Frequentie werkdagen]]="","",_xlfn.CONCAT(Ruimtestaat[[#This Row],[Ruimte code]],"-",Ruimtestaat[[#This Row],[Frequentie werkdagen]]," ",Ruimtestaat[[#This Row],[Vloer code]]))</f>
        <v>16-5w L</v>
      </c>
      <c r="AJ82" s="363" t="str">
        <f>_xlfn.IFNA(VLOOKUP($AI82,Programma!$F$3:$G$1107,2,0),"")</f>
        <v>_</v>
      </c>
      <c r="AK82" s="363" t="str">
        <f>_xlfn.IFNA(VLOOKUP($AI82,Programma!$F$3:$H$1107,3,0),"")</f>
        <v>_</v>
      </c>
      <c r="AL82" s="363" t="str">
        <f>_xlfn.IFNA(VLOOKUP($AI82,Programma!$F$3:$I$1107,4,0),"")</f>
        <v>4w</v>
      </c>
      <c r="AM82" s="363" t="str">
        <f>_xlfn.IFNA(VLOOKUP($AI82,Programma!$F$3:$J$1107,5,0),"")</f>
        <v>1w</v>
      </c>
      <c r="AN82" s="363" t="str">
        <f>_xlfn.IFNA(VLOOKUP($AI82,Programma!$F$3:$K$1107,6,0),"")</f>
        <v>_</v>
      </c>
      <c r="AO82" s="363" t="str">
        <f>_xlfn.IFNA(VLOOKUP($AI82,Programma!$F$3:$L$1107,7,0),"")</f>
        <v>_</v>
      </c>
      <c r="AP82" s="363" t="str">
        <f>_xlfn.IFNA(VLOOKUP($AI82,Programma!$F$3:$M$1107,8,0),"")</f>
        <v>_</v>
      </c>
      <c r="AQ82" s="363" t="str">
        <f>_xlfn.IFNA(VLOOKUP($AI82,Programma!$F$3:$N$1107,9,0),"")</f>
        <v>_</v>
      </c>
      <c r="AR82" s="363" t="str">
        <f>_xlfn.IFNA(VLOOKUP($AI82,Programma!$F$3:$O$1107,10,0),"")</f>
        <v>5w</v>
      </c>
      <c r="AS82" s="363" t="str">
        <f>_xlfn.IFNA(VLOOKUP($AI82,Programma!$F$3:$P$1107,11,0),"")</f>
        <v>5w</v>
      </c>
      <c r="AT82" s="363" t="str">
        <f>_xlfn.IFNA(VLOOKUP($AI82,Programma!$F$3:$Q$1107,12,0),"")</f>
        <v>1w</v>
      </c>
      <c r="AU82" s="363" t="str">
        <f>_xlfn.IFNA(VLOOKUP($AI82,Programma!$F$3:$R$1107,13,0),"")</f>
        <v>1w</v>
      </c>
      <c r="AV82" s="363" t="str">
        <f>_xlfn.IFNA(VLOOKUP($AI82,Programma!$F$3:$S$1107,14,0),"")</f>
        <v>1m</v>
      </c>
      <c r="AW82" s="363" t="str">
        <f>_xlfn.IFNA(VLOOKUP($AI82,Programma!$F$3:$T$1107,15,0),"")</f>
        <v>2j</v>
      </c>
      <c r="AX82" s="363" t="str">
        <f>_xlfn.IFNA(VLOOKUP($AI82,Programma!$F$3:$U$1107,16,0),"")</f>
        <v>1j</v>
      </c>
      <c r="AY82" s="363" t="str">
        <f>_xlfn.IFNA(VLOOKUP($AI82,Programma!$F$3:$V$1107,17,0),"")</f>
        <v>_</v>
      </c>
      <c r="AZ82" s="363" t="str">
        <f>_xlfn.IFNA(VLOOKUP($AI82,Programma!$F$3:$W$1107,18,0),"")</f>
        <v>_</v>
      </c>
      <c r="BA82" s="363" t="str">
        <f>_xlfn.IFNA(VLOOKUP($AI82,Programma!$F$3:$X$1107,19,0),"")</f>
        <v>_</v>
      </c>
      <c r="BB82" s="363" t="str">
        <f>_xlfn.IFNA(VLOOKUP($AI82,Programma!$F$3:$Y$1107,20,0),"")</f>
        <v>_</v>
      </c>
      <c r="BC82" s="257"/>
      <c r="BD82" s="256" t="str">
        <f>IF(Ruimtestaat[[#This Row],[Frequentie weekend]]="","",_xlfn.CONCAT(Ruimtestaat[[#This Row],[Ruimte code]],"-",Ruimtestaat[[#This Row],[Frequentie weekend]]," ",Ruimtestaat[[#This Row],[Vloer code]]))</f>
        <v/>
      </c>
      <c r="BE82" s="363" t="str">
        <f>_xlfn.IFNA(VLOOKUP($BD82,Programma!$F$3:$G$1107,2,0),"")</f>
        <v/>
      </c>
      <c r="BF82" s="363" t="str">
        <f>_xlfn.IFNA(VLOOKUP($BD82,Programma!$F$3:$H$1107,3,0),"")</f>
        <v/>
      </c>
      <c r="BG82" s="363" t="str">
        <f>_xlfn.IFNA(VLOOKUP($BD82,Programma!$F$3:$I$1107,4,0),"")</f>
        <v/>
      </c>
      <c r="BH82" s="363" t="str">
        <f>_xlfn.IFNA(VLOOKUP($BD82,Programma!$F$3:$J$1107,5,0),"")</f>
        <v/>
      </c>
      <c r="BI82" s="363" t="str">
        <f>_xlfn.IFNA(VLOOKUP($BD82,Programma!$F$3:$K$1107,6,0),"")</f>
        <v/>
      </c>
      <c r="BJ82" s="363" t="str">
        <f>_xlfn.IFNA(VLOOKUP($BD82,Programma!$F$3:$L$1107,7,0),"")</f>
        <v/>
      </c>
      <c r="BK82" s="363" t="str">
        <f>_xlfn.IFNA(VLOOKUP($BD82,Programma!$F$3:$M$1107,8,0),"")</f>
        <v/>
      </c>
      <c r="BL82" s="363" t="str">
        <f>_xlfn.IFNA(VLOOKUP($BD82,Programma!$F$3:$N$1107,9,0),"")</f>
        <v/>
      </c>
      <c r="BM82" s="363" t="str">
        <f>_xlfn.IFNA(VLOOKUP($BD82,Programma!$F$3:$O$1107,10,0),"")</f>
        <v/>
      </c>
      <c r="BN82" s="363" t="str">
        <f>_xlfn.IFNA(VLOOKUP($BD82,Programma!$F$3:$P$1107,11,0),"")</f>
        <v/>
      </c>
      <c r="BO82" s="363" t="str">
        <f>_xlfn.IFNA(VLOOKUP($BD82,Programma!$F$3:$Q$1107,12,0),"")</f>
        <v/>
      </c>
      <c r="BP82" s="363" t="str">
        <f>_xlfn.IFNA(VLOOKUP($BD82,Programma!$F$3:$R$1107,13,0),"")</f>
        <v/>
      </c>
      <c r="BQ82" s="363" t="str">
        <f>_xlfn.IFNA(VLOOKUP($BD82,Programma!$F$3:$S$1107,14,0),"")</f>
        <v/>
      </c>
      <c r="BR82" s="363" t="str">
        <f>_xlfn.IFNA(VLOOKUP($BD82,Programma!$F$3:$T$1107,15,0),"")</f>
        <v/>
      </c>
      <c r="BS82" s="363" t="str">
        <f>_xlfn.IFNA(VLOOKUP($BD82,Programma!$F$3:$U$1107,16,0),"")</f>
        <v/>
      </c>
      <c r="BT82" s="363" t="str">
        <f>_xlfn.IFNA(VLOOKUP($BD82,Programma!$F$3:$V$1107,17,0),"")</f>
        <v/>
      </c>
      <c r="BU82" s="363" t="str">
        <f>_xlfn.IFNA(VLOOKUP($BD82,Programma!$F$3:$W$1107,18,0),"")</f>
        <v/>
      </c>
      <c r="BV82" s="363" t="str">
        <f>_xlfn.IFNA(VLOOKUP($BD82,Programma!$F$3:$X$1107,19,0),"")</f>
        <v/>
      </c>
      <c r="BW82" s="363" t="str">
        <f>_xlfn.IFNA(VLOOKUP($BD82,Programma!$F$3:$Y$1107,20,0),"")</f>
        <v/>
      </c>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row>
    <row r="83" spans="1:220" ht="15" customHeight="1">
      <c r="A83" s="21">
        <v>2</v>
      </c>
      <c r="B83" s="157" t="str">
        <f>VLOOKUP(Ruimtestaat[[#This Row],[Code]],Locaties[[Code]:[Locatie]],2,FALSE)</f>
        <v>'s Gravendreef College</v>
      </c>
      <c r="C83" s="157" t="str">
        <f>VLOOKUP(Ruimtestaat[[#This Row],[Code]],Locaties[[#All],[Code]:[Adres]],4,FALSE)</f>
        <v>Klaas Voskuildreef 135</v>
      </c>
      <c r="D83" s="157" t="str">
        <f>VLOOKUP(Ruimtestaat[[#This Row],[Code]],Locaties[[#All],[Code]:[Postcode]],5,FALSE)</f>
        <v>2492 JJ</v>
      </c>
      <c r="E83" s="157" t="str">
        <f>VLOOKUP(Ruimtestaat[[#This Row],[Code]],Locaties[#All],6,FALSE)</f>
        <v>Den Haag</v>
      </c>
      <c r="F83" s="33"/>
      <c r="G83" s="33" t="s">
        <v>1706</v>
      </c>
      <c r="H83" s="368" t="s">
        <v>1732</v>
      </c>
      <c r="I83" s="367" t="s">
        <v>1733</v>
      </c>
      <c r="J83" s="21">
        <v>16</v>
      </c>
      <c r="K83" s="62" t="str">
        <f>VLOOKUP(Ruimtestaat[[#This Row],[Ruimte code]],Ruimtegroepen[[#All],[Code]:[Ruimte omschrijving]],2,FALSE)</f>
        <v>Leslokalen theorie</v>
      </c>
      <c r="L83" s="33" t="s">
        <v>101</v>
      </c>
      <c r="M83" s="367" t="s">
        <v>2495</v>
      </c>
      <c r="N83" s="140">
        <v>56</v>
      </c>
      <c r="O83" s="140"/>
      <c r="P83" s="125" t="str">
        <f>VLOOKUP(Ruimtestaat[[#This Row],[Ruimte code]],Ruimtegroepen[],4,FALSE)</f>
        <v>Le</v>
      </c>
      <c r="R83" s="33">
        <v>40</v>
      </c>
      <c r="S83" s="33" t="s">
        <v>2</v>
      </c>
      <c r="T83" s="33">
        <f>IF(R83&gt;0,IF(RIGHT(Ruimtestaat[[#This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 s="33">
        <f>IF(T83&gt;0,VLOOKUP($J83,Ruimtegroepen[],3,FALSE)*VLOOKUP($L83,Vloersoorten[],3,FALSE)*VLOOKUP($S83,Frequenties[],3,FALSE)*VLOOKUP($A83,Locaties[],3,FALSE),0)</f>
        <v>0</v>
      </c>
      <c r="V83" s="33">
        <f>Ruimtestaat[[#This Row],[Uitvoeringen werkdagen]]*Ruimtestaat[[#This Row],[Oppervlak (netto)]]</f>
        <v>11200</v>
      </c>
      <c r="W83" s="154">
        <f>IF(U83&gt;0,Ruimtestaat[[#This Row],[Prest. (m2 /jaar) werkdagen]]/Ruimtestaat[[#This Row],[Norm (m2/uur) werkdagen]],0)</f>
        <v>0</v>
      </c>
      <c r="X83" s="155">
        <f>Ruimtestaat[[#This Row],[uren / jaar werkdagen]]*Tariefsopbouw!$E$35</f>
        <v>0</v>
      </c>
      <c r="Y83" s="33"/>
      <c r="Z83" s="33">
        <f>IF(Ruimtestaat[[#This Row],[Frequentie weekend]]&gt;0,VALUE(LEFT(Y83,1))*R83,0)</f>
        <v>0</v>
      </c>
      <c r="AA83" s="97">
        <f>IF($Z83&gt;0,VLOOKUP($J83,Ruimtegroepen[],3,FALSE)*VLOOKUP($L83,Vloersoorten[],3,FALSE)*VLOOKUP($Y83,Frequenties[],3,FALSE)*VLOOKUP(Ruimtestaat[[#This Row],[Code]],Locaties[],3,FALSE),0)</f>
        <v>0</v>
      </c>
      <c r="AB83" s="97">
        <f>Ruimtestaat[[#This Row],[Uitvoeringen weekend]]*Ruimtestaat[[#This Row],[Oppervlak (netto)]]</f>
        <v>0</v>
      </c>
      <c r="AC83" s="97">
        <f>IF(AA83&gt;0,Ruimtestaat[[#This Row],[Prest. (m2 /jaar) weekend]]/Ruimtestaat[[#This Row],[Norm (m2/uur) weekend]],0)</f>
        <v>0</v>
      </c>
      <c r="AD83" s="155">
        <f>Ruimtestaat[[#This Row],[uren / jaar weekend]]*Tariefsopbouw!$D$40</f>
        <v>0</v>
      </c>
      <c r="AE83" s="154">
        <f>Ruimtestaat[[#This Row],[Prest. (m2 /jaar) weekend]]+Ruimtestaat[[#This Row],[Prest. (m2 /jaar) werkdagen]]</f>
        <v>11200</v>
      </c>
      <c r="AF83" s="154">
        <f>Ruimtestaat[[#This Row],[uren / jaar weekend]]+Ruimtestaat[[#This Row],[uren / jaar werkdagen]]</f>
        <v>0</v>
      </c>
      <c r="AG83" s="69">
        <f>Ruimtestaat[[#This Row],[kosten / jaar weekend]]+Ruimtestaat[[#This Row],[kosten / jaar werkdagen]]</f>
        <v>0</v>
      </c>
      <c r="AH83" s="69"/>
      <c r="AI83" s="256" t="str">
        <f>IF(Ruimtestaat[[#This Row],[Frequentie werkdagen]]="","",_xlfn.CONCAT(Ruimtestaat[[#This Row],[Ruimte code]],"-",Ruimtestaat[[#This Row],[Frequentie werkdagen]]," ",Ruimtestaat[[#This Row],[Vloer code]]))</f>
        <v>16-5w L</v>
      </c>
      <c r="AJ83" s="363" t="str">
        <f>_xlfn.IFNA(VLOOKUP($AI83,Programma!$F$3:$G$1107,2,0),"")</f>
        <v>_</v>
      </c>
      <c r="AK83" s="363" t="str">
        <f>_xlfn.IFNA(VLOOKUP($AI83,Programma!$F$3:$H$1107,3,0),"")</f>
        <v>_</v>
      </c>
      <c r="AL83" s="363" t="str">
        <f>_xlfn.IFNA(VLOOKUP($AI83,Programma!$F$3:$I$1107,4,0),"")</f>
        <v>4w</v>
      </c>
      <c r="AM83" s="363" t="str">
        <f>_xlfn.IFNA(VLOOKUP($AI83,Programma!$F$3:$J$1107,5,0),"")</f>
        <v>1w</v>
      </c>
      <c r="AN83" s="363" t="str">
        <f>_xlfn.IFNA(VLOOKUP($AI83,Programma!$F$3:$K$1107,6,0),"")</f>
        <v>_</v>
      </c>
      <c r="AO83" s="363" t="str">
        <f>_xlfn.IFNA(VLOOKUP($AI83,Programma!$F$3:$L$1107,7,0),"")</f>
        <v>_</v>
      </c>
      <c r="AP83" s="363" t="str">
        <f>_xlfn.IFNA(VLOOKUP($AI83,Programma!$F$3:$M$1107,8,0),"")</f>
        <v>_</v>
      </c>
      <c r="AQ83" s="363" t="str">
        <f>_xlfn.IFNA(VLOOKUP($AI83,Programma!$F$3:$N$1107,9,0),"")</f>
        <v>_</v>
      </c>
      <c r="AR83" s="363" t="str">
        <f>_xlfn.IFNA(VLOOKUP($AI83,Programma!$F$3:$O$1107,10,0),"")</f>
        <v>5w</v>
      </c>
      <c r="AS83" s="363" t="str">
        <f>_xlfn.IFNA(VLOOKUP($AI83,Programma!$F$3:$P$1107,11,0),"")</f>
        <v>5w</v>
      </c>
      <c r="AT83" s="363" t="str">
        <f>_xlfn.IFNA(VLOOKUP($AI83,Programma!$F$3:$Q$1107,12,0),"")</f>
        <v>1w</v>
      </c>
      <c r="AU83" s="363" t="str">
        <f>_xlfn.IFNA(VLOOKUP($AI83,Programma!$F$3:$R$1107,13,0),"")</f>
        <v>1w</v>
      </c>
      <c r="AV83" s="363" t="str">
        <f>_xlfn.IFNA(VLOOKUP($AI83,Programma!$F$3:$S$1107,14,0),"")</f>
        <v>1m</v>
      </c>
      <c r="AW83" s="363" t="str">
        <f>_xlfn.IFNA(VLOOKUP($AI83,Programma!$F$3:$T$1107,15,0),"")</f>
        <v>2j</v>
      </c>
      <c r="AX83" s="363" t="str">
        <f>_xlfn.IFNA(VLOOKUP($AI83,Programma!$F$3:$U$1107,16,0),"")</f>
        <v>1j</v>
      </c>
      <c r="AY83" s="363" t="str">
        <f>_xlfn.IFNA(VLOOKUP($AI83,Programma!$F$3:$V$1107,17,0),"")</f>
        <v>_</v>
      </c>
      <c r="AZ83" s="363" t="str">
        <f>_xlfn.IFNA(VLOOKUP($AI83,Programma!$F$3:$W$1107,18,0),"")</f>
        <v>_</v>
      </c>
      <c r="BA83" s="363" t="str">
        <f>_xlfn.IFNA(VLOOKUP($AI83,Programma!$F$3:$X$1107,19,0),"")</f>
        <v>_</v>
      </c>
      <c r="BB83" s="363" t="str">
        <f>_xlfn.IFNA(VLOOKUP($AI83,Programma!$F$3:$Y$1107,20,0),"")</f>
        <v>_</v>
      </c>
      <c r="BC83" s="257"/>
      <c r="BD83" s="256" t="str">
        <f>IF(Ruimtestaat[[#This Row],[Frequentie weekend]]="","",_xlfn.CONCAT(Ruimtestaat[[#This Row],[Ruimte code]],"-",Ruimtestaat[[#This Row],[Frequentie weekend]]," ",Ruimtestaat[[#This Row],[Vloer code]]))</f>
        <v/>
      </c>
      <c r="BE83" s="363" t="str">
        <f>_xlfn.IFNA(VLOOKUP($BD83,Programma!$F$3:$G$1107,2,0),"")</f>
        <v/>
      </c>
      <c r="BF83" s="363" t="str">
        <f>_xlfn.IFNA(VLOOKUP($BD83,Programma!$F$3:$H$1107,3,0),"")</f>
        <v/>
      </c>
      <c r="BG83" s="363" t="str">
        <f>_xlfn.IFNA(VLOOKUP($BD83,Programma!$F$3:$I$1107,4,0),"")</f>
        <v/>
      </c>
      <c r="BH83" s="363" t="str">
        <f>_xlfn.IFNA(VLOOKUP($BD83,Programma!$F$3:$J$1107,5,0),"")</f>
        <v/>
      </c>
      <c r="BI83" s="363" t="str">
        <f>_xlfn.IFNA(VLOOKUP($BD83,Programma!$F$3:$K$1107,6,0),"")</f>
        <v/>
      </c>
      <c r="BJ83" s="363" t="str">
        <f>_xlfn.IFNA(VLOOKUP($BD83,Programma!$F$3:$L$1107,7,0),"")</f>
        <v/>
      </c>
      <c r="BK83" s="363" t="str">
        <f>_xlfn.IFNA(VLOOKUP($BD83,Programma!$F$3:$M$1107,8,0),"")</f>
        <v/>
      </c>
      <c r="BL83" s="363" t="str">
        <f>_xlfn.IFNA(VLOOKUP($BD83,Programma!$F$3:$N$1107,9,0),"")</f>
        <v/>
      </c>
      <c r="BM83" s="363" t="str">
        <f>_xlfn.IFNA(VLOOKUP($BD83,Programma!$F$3:$O$1107,10,0),"")</f>
        <v/>
      </c>
      <c r="BN83" s="363" t="str">
        <f>_xlfn.IFNA(VLOOKUP($BD83,Programma!$F$3:$P$1107,11,0),"")</f>
        <v/>
      </c>
      <c r="BO83" s="363" t="str">
        <f>_xlfn.IFNA(VLOOKUP($BD83,Programma!$F$3:$Q$1107,12,0),"")</f>
        <v/>
      </c>
      <c r="BP83" s="363" t="str">
        <f>_xlfn.IFNA(VLOOKUP($BD83,Programma!$F$3:$R$1107,13,0),"")</f>
        <v/>
      </c>
      <c r="BQ83" s="363" t="str">
        <f>_xlfn.IFNA(VLOOKUP($BD83,Programma!$F$3:$S$1107,14,0),"")</f>
        <v/>
      </c>
      <c r="BR83" s="363" t="str">
        <f>_xlfn.IFNA(VLOOKUP($BD83,Programma!$F$3:$T$1107,15,0),"")</f>
        <v/>
      </c>
      <c r="BS83" s="363" t="str">
        <f>_xlfn.IFNA(VLOOKUP($BD83,Programma!$F$3:$U$1107,16,0),"")</f>
        <v/>
      </c>
      <c r="BT83" s="363" t="str">
        <f>_xlfn.IFNA(VLOOKUP($BD83,Programma!$F$3:$V$1107,17,0),"")</f>
        <v/>
      </c>
      <c r="BU83" s="363" t="str">
        <f>_xlfn.IFNA(VLOOKUP($BD83,Programma!$F$3:$W$1107,18,0),"")</f>
        <v/>
      </c>
      <c r="BV83" s="363" t="str">
        <f>_xlfn.IFNA(VLOOKUP($BD83,Programma!$F$3:$X$1107,19,0),"")</f>
        <v/>
      </c>
      <c r="BW83" s="363" t="str">
        <f>_xlfn.IFNA(VLOOKUP($BD83,Programma!$F$3:$Y$1107,20,0),"")</f>
        <v/>
      </c>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row>
    <row r="84" spans="1:220" ht="15" customHeight="1">
      <c r="A84" s="21">
        <v>2</v>
      </c>
      <c r="B84" s="157" t="str">
        <f>VLOOKUP(Ruimtestaat[[#This Row],[Code]],Locaties[[Code]:[Locatie]],2,FALSE)</f>
        <v>'s Gravendreef College</v>
      </c>
      <c r="C84" s="157" t="str">
        <f>VLOOKUP(Ruimtestaat[[#This Row],[Code]],Locaties[[#All],[Code]:[Adres]],4,FALSE)</f>
        <v>Klaas Voskuildreef 135</v>
      </c>
      <c r="D84" s="157" t="str">
        <f>VLOOKUP(Ruimtestaat[[#This Row],[Code]],Locaties[[#All],[Code]:[Postcode]],5,FALSE)</f>
        <v>2492 JJ</v>
      </c>
      <c r="E84" s="157" t="str">
        <f>VLOOKUP(Ruimtestaat[[#This Row],[Code]],Locaties[#All],6,FALSE)</f>
        <v>Den Haag</v>
      </c>
      <c r="F84" s="33"/>
      <c r="G84" s="33" t="s">
        <v>1706</v>
      </c>
      <c r="H84" s="368" t="s">
        <v>1734</v>
      </c>
      <c r="I84" s="367" t="s">
        <v>1735</v>
      </c>
      <c r="J84" s="21">
        <v>2</v>
      </c>
      <c r="K84" s="62" t="str">
        <f>VLOOKUP(Ruimtestaat[[#This Row],[Ruimte code]],Ruimtegroepen[[#All],[Code]:[Ruimte omschrijving]],2,FALSE)</f>
        <v>Kantoren</v>
      </c>
      <c r="L84" s="33" t="s">
        <v>101</v>
      </c>
      <c r="M84" s="367" t="s">
        <v>2495</v>
      </c>
      <c r="N84" s="140">
        <v>21</v>
      </c>
      <c r="O84" s="140"/>
      <c r="P84" s="125" t="str">
        <f>VLOOKUP(Ruimtestaat[[#This Row],[Ruimte code]],Ruimtegroepen[],4,FALSE)</f>
        <v>Bu</v>
      </c>
      <c r="R84" s="33">
        <v>42</v>
      </c>
      <c r="S84" s="33" t="s">
        <v>18</v>
      </c>
      <c r="T84" s="33">
        <f>IF(R84&gt;0,IF(RIGHT(Ruimtestaat[[#This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4" s="33">
        <f>IF(T84&gt;0,VLOOKUP($J84,Ruimtegroepen[],3,FALSE)*VLOOKUP($L84,Vloersoorten[],3,FALSE)*VLOOKUP($S84,Frequenties[],3,FALSE)*VLOOKUP($A84,Locaties[],3,FALSE),0)</f>
        <v>0</v>
      </c>
      <c r="V84" s="33">
        <f>Ruimtestaat[[#This Row],[Uitvoeringen werkdagen]]*Ruimtestaat[[#This Row],[Oppervlak (netto)]]</f>
        <v>2646</v>
      </c>
      <c r="W84" s="154">
        <f>IF(U84&gt;0,Ruimtestaat[[#This Row],[Prest. (m2 /jaar) werkdagen]]/Ruimtestaat[[#This Row],[Norm (m2/uur) werkdagen]],0)</f>
        <v>0</v>
      </c>
      <c r="X84" s="155">
        <f>Ruimtestaat[[#This Row],[uren / jaar werkdagen]]*Tariefsopbouw!$E$35</f>
        <v>0</v>
      </c>
      <c r="Y84" s="33"/>
      <c r="Z84" s="33">
        <f>IF(Ruimtestaat[[#This Row],[Frequentie weekend]]&gt;0,VALUE(LEFT(Y84,1))*R84,0)</f>
        <v>0</v>
      </c>
      <c r="AA84" s="97">
        <f>IF($Z84&gt;0,VLOOKUP($J84,Ruimtegroepen[],3,FALSE)*VLOOKUP($L84,Vloersoorten[],3,FALSE)*VLOOKUP($Y84,Frequenties[],3,FALSE)*VLOOKUP(Ruimtestaat[[#This Row],[Code]],Locaties[],3,FALSE),0)</f>
        <v>0</v>
      </c>
      <c r="AB84" s="97">
        <f>Ruimtestaat[[#This Row],[Uitvoeringen weekend]]*Ruimtestaat[[#This Row],[Oppervlak (netto)]]</f>
        <v>0</v>
      </c>
      <c r="AC84" s="97">
        <f>IF(AA84&gt;0,Ruimtestaat[[#This Row],[Prest. (m2 /jaar) weekend]]/Ruimtestaat[[#This Row],[Norm (m2/uur) weekend]],0)</f>
        <v>0</v>
      </c>
      <c r="AD84" s="155">
        <f>Ruimtestaat[[#This Row],[uren / jaar weekend]]*Tariefsopbouw!$D$40</f>
        <v>0</v>
      </c>
      <c r="AE84" s="154">
        <f>Ruimtestaat[[#This Row],[Prest. (m2 /jaar) weekend]]+Ruimtestaat[[#This Row],[Prest. (m2 /jaar) werkdagen]]</f>
        <v>2646</v>
      </c>
      <c r="AF84" s="154">
        <f>Ruimtestaat[[#This Row],[uren / jaar weekend]]+Ruimtestaat[[#This Row],[uren / jaar werkdagen]]</f>
        <v>0</v>
      </c>
      <c r="AG84" s="69">
        <f>Ruimtestaat[[#This Row],[kosten / jaar weekend]]+Ruimtestaat[[#This Row],[kosten / jaar werkdagen]]</f>
        <v>0</v>
      </c>
      <c r="AH84" s="69"/>
      <c r="AI84" s="256" t="str">
        <f>IF(Ruimtestaat[[#This Row],[Frequentie werkdagen]]="","",_xlfn.CONCAT(Ruimtestaat[[#This Row],[Ruimte code]],"-",Ruimtestaat[[#This Row],[Frequentie werkdagen]]," ",Ruimtestaat[[#This Row],[Vloer code]]))</f>
        <v>2-3w L</v>
      </c>
      <c r="AJ84" s="363" t="str">
        <f>_xlfn.IFNA(VLOOKUP($AI84,Programma!$F$3:$G$1107,2,0),"")</f>
        <v>_</v>
      </c>
      <c r="AK84" s="363" t="str">
        <f>_xlfn.IFNA(VLOOKUP($AI84,Programma!$F$3:$H$1107,3,0),"")</f>
        <v>_</v>
      </c>
      <c r="AL84" s="363" t="str">
        <f>_xlfn.IFNA(VLOOKUP($AI84,Programma!$F$3:$I$1107,4,0),"")</f>
        <v>2w</v>
      </c>
      <c r="AM84" s="363" t="str">
        <f>_xlfn.IFNA(VLOOKUP($AI84,Programma!$F$3:$J$1107,5,0),"")</f>
        <v>1w</v>
      </c>
      <c r="AN84" s="363" t="str">
        <f>_xlfn.IFNA(VLOOKUP($AI84,Programma!$F$3:$K$1107,6,0),"")</f>
        <v>_</v>
      </c>
      <c r="AO84" s="363" t="str">
        <f>_xlfn.IFNA(VLOOKUP($AI84,Programma!$F$3:$L$1107,7,0),"")</f>
        <v>_</v>
      </c>
      <c r="AP84" s="363" t="str">
        <f>_xlfn.IFNA(VLOOKUP($AI84,Programma!$F$3:$M$1107,8,0),"")</f>
        <v>_</v>
      </c>
      <c r="AQ84" s="363" t="str">
        <f>_xlfn.IFNA(VLOOKUP($AI84,Programma!$F$3:$N$1107,9,0),"")</f>
        <v>_</v>
      </c>
      <c r="AR84" s="363" t="str">
        <f>_xlfn.IFNA(VLOOKUP($AI84,Programma!$F$3:$O$1107,10,0),"")</f>
        <v>3w</v>
      </c>
      <c r="AS84" s="363" t="str">
        <f>_xlfn.IFNA(VLOOKUP($AI84,Programma!$F$3:$P$1107,11,0),"")</f>
        <v>3w</v>
      </c>
      <c r="AT84" s="363" t="str">
        <f>_xlfn.IFNA(VLOOKUP($AI84,Programma!$F$3:$Q$1107,12,0),"")</f>
        <v>1w</v>
      </c>
      <c r="AU84" s="363" t="str">
        <f>_xlfn.IFNA(VLOOKUP($AI84,Programma!$F$3:$R$1107,13,0),"")</f>
        <v>1w</v>
      </c>
      <c r="AV84" s="363" t="str">
        <f>_xlfn.IFNA(VLOOKUP($AI84,Programma!$F$3:$S$1107,14,0),"")</f>
        <v>1m</v>
      </c>
      <c r="AW84" s="363" t="str">
        <f>_xlfn.IFNA(VLOOKUP($AI84,Programma!$F$3:$T$1107,15,0),"")</f>
        <v>2j</v>
      </c>
      <c r="AX84" s="363" t="str">
        <f>_xlfn.IFNA(VLOOKUP($AI84,Programma!$F$3:$U$1107,16,0),"")</f>
        <v>1j</v>
      </c>
      <c r="AY84" s="363" t="str">
        <f>_xlfn.IFNA(VLOOKUP($AI84,Programma!$F$3:$V$1107,17,0),"")</f>
        <v>_</v>
      </c>
      <c r="AZ84" s="363" t="str">
        <f>_xlfn.IFNA(VLOOKUP($AI84,Programma!$F$3:$W$1107,18,0),"")</f>
        <v>_</v>
      </c>
      <c r="BA84" s="363" t="str">
        <f>_xlfn.IFNA(VLOOKUP($AI84,Programma!$F$3:$X$1107,19,0),"")</f>
        <v>_</v>
      </c>
      <c r="BB84" s="363" t="str">
        <f>_xlfn.IFNA(VLOOKUP($AI84,Programma!$F$3:$Y$1107,20,0),"")</f>
        <v>_</v>
      </c>
      <c r="BC84" s="257"/>
      <c r="BD84" s="256" t="str">
        <f>IF(Ruimtestaat[[#This Row],[Frequentie weekend]]="","",_xlfn.CONCAT(Ruimtestaat[[#This Row],[Ruimte code]],"-",Ruimtestaat[[#This Row],[Frequentie weekend]]," ",Ruimtestaat[[#This Row],[Vloer code]]))</f>
        <v/>
      </c>
      <c r="BE84" s="363" t="str">
        <f>_xlfn.IFNA(VLOOKUP($BD84,Programma!$F$3:$G$1107,2,0),"")</f>
        <v/>
      </c>
      <c r="BF84" s="363" t="str">
        <f>_xlfn.IFNA(VLOOKUP($BD84,Programma!$F$3:$H$1107,3,0),"")</f>
        <v/>
      </c>
      <c r="BG84" s="363" t="str">
        <f>_xlfn.IFNA(VLOOKUP($BD84,Programma!$F$3:$I$1107,4,0),"")</f>
        <v/>
      </c>
      <c r="BH84" s="363" t="str">
        <f>_xlfn.IFNA(VLOOKUP($BD84,Programma!$F$3:$J$1107,5,0),"")</f>
        <v/>
      </c>
      <c r="BI84" s="363" t="str">
        <f>_xlfn.IFNA(VLOOKUP($BD84,Programma!$F$3:$K$1107,6,0),"")</f>
        <v/>
      </c>
      <c r="BJ84" s="363" t="str">
        <f>_xlfn.IFNA(VLOOKUP($BD84,Programma!$F$3:$L$1107,7,0),"")</f>
        <v/>
      </c>
      <c r="BK84" s="363" t="str">
        <f>_xlfn.IFNA(VLOOKUP($BD84,Programma!$F$3:$M$1107,8,0),"")</f>
        <v/>
      </c>
      <c r="BL84" s="363" t="str">
        <f>_xlfn.IFNA(VLOOKUP($BD84,Programma!$F$3:$N$1107,9,0),"")</f>
        <v/>
      </c>
      <c r="BM84" s="363" t="str">
        <f>_xlfn.IFNA(VLOOKUP($BD84,Programma!$F$3:$O$1107,10,0),"")</f>
        <v/>
      </c>
      <c r="BN84" s="363" t="str">
        <f>_xlfn.IFNA(VLOOKUP($BD84,Programma!$F$3:$P$1107,11,0),"")</f>
        <v/>
      </c>
      <c r="BO84" s="363" t="str">
        <f>_xlfn.IFNA(VLOOKUP($BD84,Programma!$F$3:$Q$1107,12,0),"")</f>
        <v/>
      </c>
      <c r="BP84" s="363" t="str">
        <f>_xlfn.IFNA(VLOOKUP($BD84,Programma!$F$3:$R$1107,13,0),"")</f>
        <v/>
      </c>
      <c r="BQ84" s="363" t="str">
        <f>_xlfn.IFNA(VLOOKUP($BD84,Programma!$F$3:$S$1107,14,0),"")</f>
        <v/>
      </c>
      <c r="BR84" s="363" t="str">
        <f>_xlfn.IFNA(VLOOKUP($BD84,Programma!$F$3:$T$1107,15,0),"")</f>
        <v/>
      </c>
      <c r="BS84" s="363" t="str">
        <f>_xlfn.IFNA(VLOOKUP($BD84,Programma!$F$3:$U$1107,16,0),"")</f>
        <v/>
      </c>
      <c r="BT84" s="363" t="str">
        <f>_xlfn.IFNA(VLOOKUP($BD84,Programma!$F$3:$V$1107,17,0),"")</f>
        <v/>
      </c>
      <c r="BU84" s="363" t="str">
        <f>_xlfn.IFNA(VLOOKUP($BD84,Programma!$F$3:$W$1107,18,0),"")</f>
        <v/>
      </c>
      <c r="BV84" s="363" t="str">
        <f>_xlfn.IFNA(VLOOKUP($BD84,Programma!$F$3:$X$1107,19,0),"")</f>
        <v/>
      </c>
      <c r="BW84" s="363" t="str">
        <f>_xlfn.IFNA(VLOOKUP($BD84,Programma!$F$3:$Y$1107,20,0),"")</f>
        <v/>
      </c>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row>
    <row r="85" spans="1:220" ht="15" customHeight="1">
      <c r="A85" s="21">
        <v>2</v>
      </c>
      <c r="B85" s="157" t="str">
        <f>VLOOKUP(Ruimtestaat[[#This Row],[Code]],Locaties[[Code]:[Locatie]],2,FALSE)</f>
        <v>'s Gravendreef College</v>
      </c>
      <c r="C85" s="157" t="str">
        <f>VLOOKUP(Ruimtestaat[[#This Row],[Code]],Locaties[[#All],[Code]:[Adres]],4,FALSE)</f>
        <v>Klaas Voskuildreef 135</v>
      </c>
      <c r="D85" s="157" t="str">
        <f>VLOOKUP(Ruimtestaat[[#This Row],[Code]],Locaties[[#All],[Code]:[Postcode]],5,FALSE)</f>
        <v>2492 JJ</v>
      </c>
      <c r="E85" s="157" t="str">
        <f>VLOOKUP(Ruimtestaat[[#This Row],[Code]],Locaties[#All],6,FALSE)</f>
        <v>Den Haag</v>
      </c>
      <c r="F85" s="33"/>
      <c r="G85" s="33" t="s">
        <v>1706</v>
      </c>
      <c r="H85" s="368" t="s">
        <v>1736</v>
      </c>
      <c r="I85" s="367" t="s">
        <v>1737</v>
      </c>
      <c r="J85" s="21">
        <v>2</v>
      </c>
      <c r="K85" s="62" t="str">
        <f>VLOOKUP(Ruimtestaat[[#This Row],[Ruimte code]],Ruimtegroepen[[#All],[Code]:[Ruimte omschrijving]],2,FALSE)</f>
        <v>Kantoren</v>
      </c>
      <c r="L85" s="33" t="s">
        <v>101</v>
      </c>
      <c r="M85" s="367" t="s">
        <v>2495</v>
      </c>
      <c r="N85" s="140">
        <v>21</v>
      </c>
      <c r="O85" s="140"/>
      <c r="P85" s="125" t="str">
        <f>VLOOKUP(Ruimtestaat[[#This Row],[Ruimte code]],Ruimtegroepen[],4,FALSE)</f>
        <v>Bu</v>
      </c>
      <c r="R85" s="33">
        <v>42</v>
      </c>
      <c r="S85" s="33" t="s">
        <v>18</v>
      </c>
      <c r="T85" s="33">
        <f>IF(R85&gt;0,IF(RIGHT(Ruimtestaat[[#This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5" s="33">
        <f>IF(T85&gt;0,VLOOKUP($J85,Ruimtegroepen[],3,FALSE)*VLOOKUP($L85,Vloersoorten[],3,FALSE)*VLOOKUP($S85,Frequenties[],3,FALSE)*VLOOKUP($A85,Locaties[],3,FALSE),0)</f>
        <v>0</v>
      </c>
      <c r="V85" s="33">
        <f>Ruimtestaat[[#This Row],[Uitvoeringen werkdagen]]*Ruimtestaat[[#This Row],[Oppervlak (netto)]]</f>
        <v>2646</v>
      </c>
      <c r="W85" s="154">
        <f>IF(U85&gt;0,Ruimtestaat[[#This Row],[Prest. (m2 /jaar) werkdagen]]/Ruimtestaat[[#This Row],[Norm (m2/uur) werkdagen]],0)</f>
        <v>0</v>
      </c>
      <c r="X85" s="155">
        <f>Ruimtestaat[[#This Row],[uren / jaar werkdagen]]*Tariefsopbouw!$E$35</f>
        <v>0</v>
      </c>
      <c r="Y85" s="33"/>
      <c r="Z85" s="33">
        <f>IF(Ruimtestaat[[#This Row],[Frequentie weekend]]&gt;0,VALUE(LEFT(Y85,1))*R85,0)</f>
        <v>0</v>
      </c>
      <c r="AA85" s="97">
        <f>IF($Z85&gt;0,VLOOKUP($J85,Ruimtegroepen[],3,FALSE)*VLOOKUP($L85,Vloersoorten[],3,FALSE)*VLOOKUP($Y85,Frequenties[],3,FALSE)*VLOOKUP(Ruimtestaat[[#This Row],[Code]],Locaties[],3,FALSE),0)</f>
        <v>0</v>
      </c>
      <c r="AB85" s="97">
        <f>Ruimtestaat[[#This Row],[Uitvoeringen weekend]]*Ruimtestaat[[#This Row],[Oppervlak (netto)]]</f>
        <v>0</v>
      </c>
      <c r="AC85" s="97">
        <f>IF(AA85&gt;0,Ruimtestaat[[#This Row],[Prest. (m2 /jaar) weekend]]/Ruimtestaat[[#This Row],[Norm (m2/uur) weekend]],0)</f>
        <v>0</v>
      </c>
      <c r="AD85" s="155">
        <f>Ruimtestaat[[#This Row],[uren / jaar weekend]]*Tariefsopbouw!$D$40</f>
        <v>0</v>
      </c>
      <c r="AE85" s="154">
        <f>Ruimtestaat[[#This Row],[Prest. (m2 /jaar) weekend]]+Ruimtestaat[[#This Row],[Prest. (m2 /jaar) werkdagen]]</f>
        <v>2646</v>
      </c>
      <c r="AF85" s="154">
        <f>Ruimtestaat[[#This Row],[uren / jaar weekend]]+Ruimtestaat[[#This Row],[uren / jaar werkdagen]]</f>
        <v>0</v>
      </c>
      <c r="AG85" s="69">
        <f>Ruimtestaat[[#This Row],[kosten / jaar weekend]]+Ruimtestaat[[#This Row],[kosten / jaar werkdagen]]</f>
        <v>0</v>
      </c>
      <c r="AH85" s="69"/>
      <c r="AI85" s="256" t="str">
        <f>IF(Ruimtestaat[[#This Row],[Frequentie werkdagen]]="","",_xlfn.CONCAT(Ruimtestaat[[#This Row],[Ruimte code]],"-",Ruimtestaat[[#This Row],[Frequentie werkdagen]]," ",Ruimtestaat[[#This Row],[Vloer code]]))</f>
        <v>2-3w L</v>
      </c>
      <c r="AJ85" s="363" t="str">
        <f>_xlfn.IFNA(VLOOKUP($AI85,Programma!$F$3:$G$1107,2,0),"")</f>
        <v>_</v>
      </c>
      <c r="AK85" s="363" t="str">
        <f>_xlfn.IFNA(VLOOKUP($AI85,Programma!$F$3:$H$1107,3,0),"")</f>
        <v>_</v>
      </c>
      <c r="AL85" s="363" t="str">
        <f>_xlfn.IFNA(VLOOKUP($AI85,Programma!$F$3:$I$1107,4,0),"")</f>
        <v>2w</v>
      </c>
      <c r="AM85" s="363" t="str">
        <f>_xlfn.IFNA(VLOOKUP($AI85,Programma!$F$3:$J$1107,5,0),"")</f>
        <v>1w</v>
      </c>
      <c r="AN85" s="363" t="str">
        <f>_xlfn.IFNA(VLOOKUP($AI85,Programma!$F$3:$K$1107,6,0),"")</f>
        <v>_</v>
      </c>
      <c r="AO85" s="363" t="str">
        <f>_xlfn.IFNA(VLOOKUP($AI85,Programma!$F$3:$L$1107,7,0),"")</f>
        <v>_</v>
      </c>
      <c r="AP85" s="363" t="str">
        <f>_xlfn.IFNA(VLOOKUP($AI85,Programma!$F$3:$M$1107,8,0),"")</f>
        <v>_</v>
      </c>
      <c r="AQ85" s="363" t="str">
        <f>_xlfn.IFNA(VLOOKUP($AI85,Programma!$F$3:$N$1107,9,0),"")</f>
        <v>_</v>
      </c>
      <c r="AR85" s="363" t="str">
        <f>_xlfn.IFNA(VLOOKUP($AI85,Programma!$F$3:$O$1107,10,0),"")</f>
        <v>3w</v>
      </c>
      <c r="AS85" s="363" t="str">
        <f>_xlfn.IFNA(VLOOKUP($AI85,Programma!$F$3:$P$1107,11,0),"")</f>
        <v>3w</v>
      </c>
      <c r="AT85" s="363" t="str">
        <f>_xlfn.IFNA(VLOOKUP($AI85,Programma!$F$3:$Q$1107,12,0),"")</f>
        <v>1w</v>
      </c>
      <c r="AU85" s="363" t="str">
        <f>_xlfn.IFNA(VLOOKUP($AI85,Programma!$F$3:$R$1107,13,0),"")</f>
        <v>1w</v>
      </c>
      <c r="AV85" s="363" t="str">
        <f>_xlfn.IFNA(VLOOKUP($AI85,Programma!$F$3:$S$1107,14,0),"")</f>
        <v>1m</v>
      </c>
      <c r="AW85" s="363" t="str">
        <f>_xlfn.IFNA(VLOOKUP($AI85,Programma!$F$3:$T$1107,15,0),"")</f>
        <v>2j</v>
      </c>
      <c r="AX85" s="363" t="str">
        <f>_xlfn.IFNA(VLOOKUP($AI85,Programma!$F$3:$U$1107,16,0),"")</f>
        <v>1j</v>
      </c>
      <c r="AY85" s="363" t="str">
        <f>_xlfn.IFNA(VLOOKUP($AI85,Programma!$F$3:$V$1107,17,0),"")</f>
        <v>_</v>
      </c>
      <c r="AZ85" s="363" t="str">
        <f>_xlfn.IFNA(VLOOKUP($AI85,Programma!$F$3:$W$1107,18,0),"")</f>
        <v>_</v>
      </c>
      <c r="BA85" s="363" t="str">
        <f>_xlfn.IFNA(VLOOKUP($AI85,Programma!$F$3:$X$1107,19,0),"")</f>
        <v>_</v>
      </c>
      <c r="BB85" s="363" t="str">
        <f>_xlfn.IFNA(VLOOKUP($AI85,Programma!$F$3:$Y$1107,20,0),"")</f>
        <v>_</v>
      </c>
      <c r="BC85" s="257"/>
      <c r="BD85" s="256" t="str">
        <f>IF(Ruimtestaat[[#This Row],[Frequentie weekend]]="","",_xlfn.CONCAT(Ruimtestaat[[#This Row],[Ruimte code]],"-",Ruimtestaat[[#This Row],[Frequentie weekend]]," ",Ruimtestaat[[#This Row],[Vloer code]]))</f>
        <v/>
      </c>
      <c r="BE85" s="363" t="str">
        <f>_xlfn.IFNA(VLOOKUP($BD85,Programma!$F$3:$G$1107,2,0),"")</f>
        <v/>
      </c>
      <c r="BF85" s="363" t="str">
        <f>_xlfn.IFNA(VLOOKUP($BD85,Programma!$F$3:$H$1107,3,0),"")</f>
        <v/>
      </c>
      <c r="BG85" s="363" t="str">
        <f>_xlfn.IFNA(VLOOKUP($BD85,Programma!$F$3:$I$1107,4,0),"")</f>
        <v/>
      </c>
      <c r="BH85" s="363" t="str">
        <f>_xlfn.IFNA(VLOOKUP($BD85,Programma!$F$3:$J$1107,5,0),"")</f>
        <v/>
      </c>
      <c r="BI85" s="363" t="str">
        <f>_xlfn.IFNA(VLOOKUP($BD85,Programma!$F$3:$K$1107,6,0),"")</f>
        <v/>
      </c>
      <c r="BJ85" s="363" t="str">
        <f>_xlfn.IFNA(VLOOKUP($BD85,Programma!$F$3:$L$1107,7,0),"")</f>
        <v/>
      </c>
      <c r="BK85" s="363" t="str">
        <f>_xlfn.IFNA(VLOOKUP($BD85,Programma!$F$3:$M$1107,8,0),"")</f>
        <v/>
      </c>
      <c r="BL85" s="363" t="str">
        <f>_xlfn.IFNA(VLOOKUP($BD85,Programma!$F$3:$N$1107,9,0),"")</f>
        <v/>
      </c>
      <c r="BM85" s="363" t="str">
        <f>_xlfn.IFNA(VLOOKUP($BD85,Programma!$F$3:$O$1107,10,0),"")</f>
        <v/>
      </c>
      <c r="BN85" s="363" t="str">
        <f>_xlfn.IFNA(VLOOKUP($BD85,Programma!$F$3:$P$1107,11,0),"")</f>
        <v/>
      </c>
      <c r="BO85" s="363" t="str">
        <f>_xlfn.IFNA(VLOOKUP($BD85,Programma!$F$3:$Q$1107,12,0),"")</f>
        <v/>
      </c>
      <c r="BP85" s="363" t="str">
        <f>_xlfn.IFNA(VLOOKUP($BD85,Programma!$F$3:$R$1107,13,0),"")</f>
        <v/>
      </c>
      <c r="BQ85" s="363" t="str">
        <f>_xlfn.IFNA(VLOOKUP($BD85,Programma!$F$3:$S$1107,14,0),"")</f>
        <v/>
      </c>
      <c r="BR85" s="363" t="str">
        <f>_xlfn.IFNA(VLOOKUP($BD85,Programma!$F$3:$T$1107,15,0),"")</f>
        <v/>
      </c>
      <c r="BS85" s="363" t="str">
        <f>_xlfn.IFNA(VLOOKUP($BD85,Programma!$F$3:$U$1107,16,0),"")</f>
        <v/>
      </c>
      <c r="BT85" s="363" t="str">
        <f>_xlfn.IFNA(VLOOKUP($BD85,Programma!$F$3:$V$1107,17,0),"")</f>
        <v/>
      </c>
      <c r="BU85" s="363" t="str">
        <f>_xlfn.IFNA(VLOOKUP($BD85,Programma!$F$3:$W$1107,18,0),"")</f>
        <v/>
      </c>
      <c r="BV85" s="363" t="str">
        <f>_xlfn.IFNA(VLOOKUP($BD85,Programma!$F$3:$X$1107,19,0),"")</f>
        <v/>
      </c>
      <c r="BW85" s="363" t="str">
        <f>_xlfn.IFNA(VLOOKUP($BD85,Programma!$F$3:$Y$1107,20,0),"")</f>
        <v/>
      </c>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row>
    <row r="86" spans="1:220" ht="15" customHeight="1">
      <c r="A86" s="21">
        <v>2</v>
      </c>
      <c r="B86" s="157" t="str">
        <f>VLOOKUP(Ruimtestaat[[#This Row],[Code]],Locaties[[Code]:[Locatie]],2,FALSE)</f>
        <v>'s Gravendreef College</v>
      </c>
      <c r="C86" s="157" t="str">
        <f>VLOOKUP(Ruimtestaat[[#This Row],[Code]],Locaties[[#All],[Code]:[Adres]],4,FALSE)</f>
        <v>Klaas Voskuildreef 135</v>
      </c>
      <c r="D86" s="157" t="str">
        <f>VLOOKUP(Ruimtestaat[[#This Row],[Code]],Locaties[[#All],[Code]:[Postcode]],5,FALSE)</f>
        <v>2492 JJ</v>
      </c>
      <c r="E86" s="157" t="str">
        <f>VLOOKUP(Ruimtestaat[[#This Row],[Code]],Locaties[#All],6,FALSE)</f>
        <v>Den Haag</v>
      </c>
      <c r="F86" s="33"/>
      <c r="G86" s="33" t="s">
        <v>1706</v>
      </c>
      <c r="H86" s="368" t="s">
        <v>1738</v>
      </c>
      <c r="I86" s="367" t="s">
        <v>1739</v>
      </c>
      <c r="J86" s="21">
        <v>2</v>
      </c>
      <c r="K86" s="62" t="str">
        <f>VLOOKUP(Ruimtestaat[[#This Row],[Ruimte code]],Ruimtegroepen[[#All],[Code]:[Ruimte omschrijving]],2,FALSE)</f>
        <v>Kantoren</v>
      </c>
      <c r="L86" s="33" t="s">
        <v>101</v>
      </c>
      <c r="M86" s="367" t="s">
        <v>2495</v>
      </c>
      <c r="N86" s="140">
        <v>21</v>
      </c>
      <c r="O86" s="140"/>
      <c r="P86" s="125" t="str">
        <f>VLOOKUP(Ruimtestaat[[#This Row],[Ruimte code]],Ruimtegroepen[],4,FALSE)</f>
        <v>Bu</v>
      </c>
      <c r="R86" s="33">
        <v>42</v>
      </c>
      <c r="S86" s="33" t="s">
        <v>18</v>
      </c>
      <c r="T86" s="33">
        <f>IF(R86&gt;0,IF(RIGHT(Ruimtestaat[[#This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6" s="33">
        <f>IF(T86&gt;0,VLOOKUP($J86,Ruimtegroepen[],3,FALSE)*VLOOKUP($L86,Vloersoorten[],3,FALSE)*VLOOKUP($S86,Frequenties[],3,FALSE)*VLOOKUP($A86,Locaties[],3,FALSE),0)</f>
        <v>0</v>
      </c>
      <c r="V86" s="33">
        <f>Ruimtestaat[[#This Row],[Uitvoeringen werkdagen]]*Ruimtestaat[[#This Row],[Oppervlak (netto)]]</f>
        <v>2646</v>
      </c>
      <c r="W86" s="154">
        <f>IF(U86&gt;0,Ruimtestaat[[#This Row],[Prest. (m2 /jaar) werkdagen]]/Ruimtestaat[[#This Row],[Norm (m2/uur) werkdagen]],0)</f>
        <v>0</v>
      </c>
      <c r="X86" s="155">
        <f>Ruimtestaat[[#This Row],[uren / jaar werkdagen]]*Tariefsopbouw!$E$35</f>
        <v>0</v>
      </c>
      <c r="Y86" s="33"/>
      <c r="Z86" s="33">
        <f>IF(Ruimtestaat[[#This Row],[Frequentie weekend]]&gt;0,VALUE(LEFT(Y86,1))*R86,0)</f>
        <v>0</v>
      </c>
      <c r="AA86" s="97">
        <f>IF($Z86&gt;0,VLOOKUP($J86,Ruimtegroepen[],3,FALSE)*VLOOKUP($L86,Vloersoorten[],3,FALSE)*VLOOKUP($Y86,Frequenties[],3,FALSE)*VLOOKUP(Ruimtestaat[[#This Row],[Code]],Locaties[],3,FALSE),0)</f>
        <v>0</v>
      </c>
      <c r="AB86" s="97">
        <f>Ruimtestaat[[#This Row],[Uitvoeringen weekend]]*Ruimtestaat[[#This Row],[Oppervlak (netto)]]</f>
        <v>0</v>
      </c>
      <c r="AC86" s="97">
        <f>IF(AA86&gt;0,Ruimtestaat[[#This Row],[Prest. (m2 /jaar) weekend]]/Ruimtestaat[[#This Row],[Norm (m2/uur) weekend]],0)</f>
        <v>0</v>
      </c>
      <c r="AD86" s="155">
        <f>Ruimtestaat[[#This Row],[uren / jaar weekend]]*Tariefsopbouw!$D$40</f>
        <v>0</v>
      </c>
      <c r="AE86" s="154">
        <f>Ruimtestaat[[#This Row],[Prest. (m2 /jaar) weekend]]+Ruimtestaat[[#This Row],[Prest. (m2 /jaar) werkdagen]]</f>
        <v>2646</v>
      </c>
      <c r="AF86" s="154">
        <f>Ruimtestaat[[#This Row],[uren / jaar weekend]]+Ruimtestaat[[#This Row],[uren / jaar werkdagen]]</f>
        <v>0</v>
      </c>
      <c r="AG86" s="69">
        <f>Ruimtestaat[[#This Row],[kosten / jaar weekend]]+Ruimtestaat[[#This Row],[kosten / jaar werkdagen]]</f>
        <v>0</v>
      </c>
      <c r="AH86" s="69"/>
      <c r="AI86" s="256" t="str">
        <f>IF(Ruimtestaat[[#This Row],[Frequentie werkdagen]]="","",_xlfn.CONCAT(Ruimtestaat[[#This Row],[Ruimte code]],"-",Ruimtestaat[[#This Row],[Frequentie werkdagen]]," ",Ruimtestaat[[#This Row],[Vloer code]]))</f>
        <v>2-3w L</v>
      </c>
      <c r="AJ86" s="363" t="str">
        <f>_xlfn.IFNA(VLOOKUP($AI86,Programma!$F$3:$G$1107,2,0),"")</f>
        <v>_</v>
      </c>
      <c r="AK86" s="363" t="str">
        <f>_xlfn.IFNA(VLOOKUP($AI86,Programma!$F$3:$H$1107,3,0),"")</f>
        <v>_</v>
      </c>
      <c r="AL86" s="363" t="str">
        <f>_xlfn.IFNA(VLOOKUP($AI86,Programma!$F$3:$I$1107,4,0),"")</f>
        <v>2w</v>
      </c>
      <c r="AM86" s="363" t="str">
        <f>_xlfn.IFNA(VLOOKUP($AI86,Programma!$F$3:$J$1107,5,0),"")</f>
        <v>1w</v>
      </c>
      <c r="AN86" s="363" t="str">
        <f>_xlfn.IFNA(VLOOKUP($AI86,Programma!$F$3:$K$1107,6,0),"")</f>
        <v>_</v>
      </c>
      <c r="AO86" s="363" t="str">
        <f>_xlfn.IFNA(VLOOKUP($AI86,Programma!$F$3:$L$1107,7,0),"")</f>
        <v>_</v>
      </c>
      <c r="AP86" s="363" t="str">
        <f>_xlfn.IFNA(VLOOKUP($AI86,Programma!$F$3:$M$1107,8,0),"")</f>
        <v>_</v>
      </c>
      <c r="AQ86" s="363" t="str">
        <f>_xlfn.IFNA(VLOOKUP($AI86,Programma!$F$3:$N$1107,9,0),"")</f>
        <v>_</v>
      </c>
      <c r="AR86" s="363" t="str">
        <f>_xlfn.IFNA(VLOOKUP($AI86,Programma!$F$3:$O$1107,10,0),"")</f>
        <v>3w</v>
      </c>
      <c r="AS86" s="363" t="str">
        <f>_xlfn.IFNA(VLOOKUP($AI86,Programma!$F$3:$P$1107,11,0),"")</f>
        <v>3w</v>
      </c>
      <c r="AT86" s="363" t="str">
        <f>_xlfn.IFNA(VLOOKUP($AI86,Programma!$F$3:$Q$1107,12,0),"")</f>
        <v>1w</v>
      </c>
      <c r="AU86" s="363" t="str">
        <f>_xlfn.IFNA(VLOOKUP($AI86,Programma!$F$3:$R$1107,13,0),"")</f>
        <v>1w</v>
      </c>
      <c r="AV86" s="363" t="str">
        <f>_xlfn.IFNA(VLOOKUP($AI86,Programma!$F$3:$S$1107,14,0),"")</f>
        <v>1m</v>
      </c>
      <c r="AW86" s="363" t="str">
        <f>_xlfn.IFNA(VLOOKUP($AI86,Programma!$F$3:$T$1107,15,0),"")</f>
        <v>2j</v>
      </c>
      <c r="AX86" s="363" t="str">
        <f>_xlfn.IFNA(VLOOKUP($AI86,Programma!$F$3:$U$1107,16,0),"")</f>
        <v>1j</v>
      </c>
      <c r="AY86" s="363" t="str">
        <f>_xlfn.IFNA(VLOOKUP($AI86,Programma!$F$3:$V$1107,17,0),"")</f>
        <v>_</v>
      </c>
      <c r="AZ86" s="363" t="str">
        <f>_xlfn.IFNA(VLOOKUP($AI86,Programma!$F$3:$W$1107,18,0),"")</f>
        <v>_</v>
      </c>
      <c r="BA86" s="363" t="str">
        <f>_xlfn.IFNA(VLOOKUP($AI86,Programma!$F$3:$X$1107,19,0),"")</f>
        <v>_</v>
      </c>
      <c r="BB86" s="363" t="str">
        <f>_xlfn.IFNA(VLOOKUP($AI86,Programma!$F$3:$Y$1107,20,0),"")</f>
        <v>_</v>
      </c>
      <c r="BC86" s="257"/>
      <c r="BD86" s="256" t="str">
        <f>IF(Ruimtestaat[[#This Row],[Frequentie weekend]]="","",_xlfn.CONCAT(Ruimtestaat[[#This Row],[Ruimte code]],"-",Ruimtestaat[[#This Row],[Frequentie weekend]]," ",Ruimtestaat[[#This Row],[Vloer code]]))</f>
        <v/>
      </c>
      <c r="BE86" s="363" t="str">
        <f>_xlfn.IFNA(VLOOKUP($BD86,Programma!$F$3:$G$1107,2,0),"")</f>
        <v/>
      </c>
      <c r="BF86" s="363" t="str">
        <f>_xlfn.IFNA(VLOOKUP($BD86,Programma!$F$3:$H$1107,3,0),"")</f>
        <v/>
      </c>
      <c r="BG86" s="363" t="str">
        <f>_xlfn.IFNA(VLOOKUP($BD86,Programma!$F$3:$I$1107,4,0),"")</f>
        <v/>
      </c>
      <c r="BH86" s="363" t="str">
        <f>_xlfn.IFNA(VLOOKUP($BD86,Programma!$F$3:$J$1107,5,0),"")</f>
        <v/>
      </c>
      <c r="BI86" s="363" t="str">
        <f>_xlfn.IFNA(VLOOKUP($BD86,Programma!$F$3:$K$1107,6,0),"")</f>
        <v/>
      </c>
      <c r="BJ86" s="363" t="str">
        <f>_xlfn.IFNA(VLOOKUP($BD86,Programma!$F$3:$L$1107,7,0),"")</f>
        <v/>
      </c>
      <c r="BK86" s="363" t="str">
        <f>_xlfn.IFNA(VLOOKUP($BD86,Programma!$F$3:$M$1107,8,0),"")</f>
        <v/>
      </c>
      <c r="BL86" s="363" t="str">
        <f>_xlfn.IFNA(VLOOKUP($BD86,Programma!$F$3:$N$1107,9,0),"")</f>
        <v/>
      </c>
      <c r="BM86" s="363" t="str">
        <f>_xlfn.IFNA(VLOOKUP($BD86,Programma!$F$3:$O$1107,10,0),"")</f>
        <v/>
      </c>
      <c r="BN86" s="363" t="str">
        <f>_xlfn.IFNA(VLOOKUP($BD86,Programma!$F$3:$P$1107,11,0),"")</f>
        <v/>
      </c>
      <c r="BO86" s="363" t="str">
        <f>_xlfn.IFNA(VLOOKUP($BD86,Programma!$F$3:$Q$1107,12,0),"")</f>
        <v/>
      </c>
      <c r="BP86" s="363" t="str">
        <f>_xlfn.IFNA(VLOOKUP($BD86,Programma!$F$3:$R$1107,13,0),"")</f>
        <v/>
      </c>
      <c r="BQ86" s="363" t="str">
        <f>_xlfn.IFNA(VLOOKUP($BD86,Programma!$F$3:$S$1107,14,0),"")</f>
        <v/>
      </c>
      <c r="BR86" s="363" t="str">
        <f>_xlfn.IFNA(VLOOKUP($BD86,Programma!$F$3:$T$1107,15,0),"")</f>
        <v/>
      </c>
      <c r="BS86" s="363" t="str">
        <f>_xlfn.IFNA(VLOOKUP($BD86,Programma!$F$3:$U$1107,16,0),"")</f>
        <v/>
      </c>
      <c r="BT86" s="363" t="str">
        <f>_xlfn.IFNA(VLOOKUP($BD86,Programma!$F$3:$V$1107,17,0),"")</f>
        <v/>
      </c>
      <c r="BU86" s="363" t="str">
        <f>_xlfn.IFNA(VLOOKUP($BD86,Programma!$F$3:$W$1107,18,0),"")</f>
        <v/>
      </c>
      <c r="BV86" s="363" t="str">
        <f>_xlfn.IFNA(VLOOKUP($BD86,Programma!$F$3:$X$1107,19,0),"")</f>
        <v/>
      </c>
      <c r="BW86" s="363" t="str">
        <f>_xlfn.IFNA(VLOOKUP($BD86,Programma!$F$3:$Y$1107,20,0),"")</f>
        <v/>
      </c>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row>
    <row r="87" spans="1:220" ht="15" customHeight="1">
      <c r="A87" s="21">
        <v>2</v>
      </c>
      <c r="B87" s="157" t="str">
        <f>VLOOKUP(Ruimtestaat[[#This Row],[Code]],Locaties[[Code]:[Locatie]],2,FALSE)</f>
        <v>'s Gravendreef College</v>
      </c>
      <c r="C87" s="157" t="str">
        <f>VLOOKUP(Ruimtestaat[[#This Row],[Code]],Locaties[[#All],[Code]:[Adres]],4,FALSE)</f>
        <v>Klaas Voskuildreef 135</v>
      </c>
      <c r="D87" s="157" t="str">
        <f>VLOOKUP(Ruimtestaat[[#This Row],[Code]],Locaties[[#All],[Code]:[Postcode]],5,FALSE)</f>
        <v>2492 JJ</v>
      </c>
      <c r="E87" s="157" t="str">
        <f>VLOOKUP(Ruimtestaat[[#This Row],[Code]],Locaties[#All],6,FALSE)</f>
        <v>Den Haag</v>
      </c>
      <c r="F87" s="33"/>
      <c r="G87" s="33" t="s">
        <v>1706</v>
      </c>
      <c r="H87" s="368" t="s">
        <v>1740</v>
      </c>
      <c r="I87" s="367" t="s">
        <v>1741</v>
      </c>
      <c r="J87" s="21">
        <v>2</v>
      </c>
      <c r="K87" s="62" t="str">
        <f>VLOOKUP(Ruimtestaat[[#This Row],[Ruimte code]],Ruimtegroepen[[#All],[Code]:[Ruimte omschrijving]],2,FALSE)</f>
        <v>Kantoren</v>
      </c>
      <c r="L87" s="33" t="s">
        <v>101</v>
      </c>
      <c r="M87" s="367" t="s">
        <v>2495</v>
      </c>
      <c r="N87" s="140">
        <v>17</v>
      </c>
      <c r="O87" s="140"/>
      <c r="P87" s="125" t="str">
        <f>VLOOKUP(Ruimtestaat[[#This Row],[Ruimte code]],Ruimtegroepen[],4,FALSE)</f>
        <v>Bu</v>
      </c>
      <c r="R87" s="33">
        <v>42</v>
      </c>
      <c r="S87" s="33" t="s">
        <v>18</v>
      </c>
      <c r="T87" s="33">
        <f>IF(R87&gt;0,IF(RIGHT(Ruimtestaat[[#This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7" s="33">
        <f>IF(T87&gt;0,VLOOKUP($J87,Ruimtegroepen[],3,FALSE)*VLOOKUP($L87,Vloersoorten[],3,FALSE)*VLOOKUP($S87,Frequenties[],3,FALSE)*VLOOKUP($A87,Locaties[],3,FALSE),0)</f>
        <v>0</v>
      </c>
      <c r="V87" s="33">
        <f>Ruimtestaat[[#This Row],[Uitvoeringen werkdagen]]*Ruimtestaat[[#This Row],[Oppervlak (netto)]]</f>
        <v>2142</v>
      </c>
      <c r="W87" s="154">
        <f>IF(U87&gt;0,Ruimtestaat[[#This Row],[Prest. (m2 /jaar) werkdagen]]/Ruimtestaat[[#This Row],[Norm (m2/uur) werkdagen]],0)</f>
        <v>0</v>
      </c>
      <c r="X87" s="155">
        <f>Ruimtestaat[[#This Row],[uren / jaar werkdagen]]*Tariefsopbouw!$E$35</f>
        <v>0</v>
      </c>
      <c r="Y87" s="33"/>
      <c r="Z87" s="33">
        <f>IF(Ruimtestaat[[#This Row],[Frequentie weekend]]&gt;0,VALUE(LEFT(Y87,1))*R87,0)</f>
        <v>0</v>
      </c>
      <c r="AA87" s="97">
        <f>IF($Z87&gt;0,VLOOKUP($J87,Ruimtegroepen[],3,FALSE)*VLOOKUP($L87,Vloersoorten[],3,FALSE)*VLOOKUP($Y87,Frequenties[],3,FALSE)*VLOOKUP(Ruimtestaat[[#This Row],[Code]],Locaties[],3,FALSE),0)</f>
        <v>0</v>
      </c>
      <c r="AB87" s="97">
        <f>Ruimtestaat[[#This Row],[Uitvoeringen weekend]]*Ruimtestaat[[#This Row],[Oppervlak (netto)]]</f>
        <v>0</v>
      </c>
      <c r="AC87" s="97">
        <f>IF(AA87&gt;0,Ruimtestaat[[#This Row],[Prest. (m2 /jaar) weekend]]/Ruimtestaat[[#This Row],[Norm (m2/uur) weekend]],0)</f>
        <v>0</v>
      </c>
      <c r="AD87" s="155">
        <f>Ruimtestaat[[#This Row],[uren / jaar weekend]]*Tariefsopbouw!$D$40</f>
        <v>0</v>
      </c>
      <c r="AE87" s="154">
        <f>Ruimtestaat[[#This Row],[Prest. (m2 /jaar) weekend]]+Ruimtestaat[[#This Row],[Prest. (m2 /jaar) werkdagen]]</f>
        <v>2142</v>
      </c>
      <c r="AF87" s="154">
        <f>Ruimtestaat[[#This Row],[uren / jaar weekend]]+Ruimtestaat[[#This Row],[uren / jaar werkdagen]]</f>
        <v>0</v>
      </c>
      <c r="AG87" s="69">
        <f>Ruimtestaat[[#This Row],[kosten / jaar weekend]]+Ruimtestaat[[#This Row],[kosten / jaar werkdagen]]</f>
        <v>0</v>
      </c>
      <c r="AH87" s="69"/>
      <c r="AI87" s="256" t="str">
        <f>IF(Ruimtestaat[[#This Row],[Frequentie werkdagen]]="","",_xlfn.CONCAT(Ruimtestaat[[#This Row],[Ruimte code]],"-",Ruimtestaat[[#This Row],[Frequentie werkdagen]]," ",Ruimtestaat[[#This Row],[Vloer code]]))</f>
        <v>2-3w L</v>
      </c>
      <c r="AJ87" s="363" t="str">
        <f>_xlfn.IFNA(VLOOKUP($AI87,Programma!$F$3:$G$1107,2,0),"")</f>
        <v>_</v>
      </c>
      <c r="AK87" s="363" t="str">
        <f>_xlfn.IFNA(VLOOKUP($AI87,Programma!$F$3:$H$1107,3,0),"")</f>
        <v>_</v>
      </c>
      <c r="AL87" s="363" t="str">
        <f>_xlfn.IFNA(VLOOKUP($AI87,Programma!$F$3:$I$1107,4,0),"")</f>
        <v>2w</v>
      </c>
      <c r="AM87" s="363" t="str">
        <f>_xlfn.IFNA(VLOOKUP($AI87,Programma!$F$3:$J$1107,5,0),"")</f>
        <v>1w</v>
      </c>
      <c r="AN87" s="363" t="str">
        <f>_xlfn.IFNA(VLOOKUP($AI87,Programma!$F$3:$K$1107,6,0),"")</f>
        <v>_</v>
      </c>
      <c r="AO87" s="363" t="str">
        <f>_xlfn.IFNA(VLOOKUP($AI87,Programma!$F$3:$L$1107,7,0),"")</f>
        <v>_</v>
      </c>
      <c r="AP87" s="363" t="str">
        <f>_xlfn.IFNA(VLOOKUP($AI87,Programma!$F$3:$M$1107,8,0),"")</f>
        <v>_</v>
      </c>
      <c r="AQ87" s="363" t="str">
        <f>_xlfn.IFNA(VLOOKUP($AI87,Programma!$F$3:$N$1107,9,0),"")</f>
        <v>_</v>
      </c>
      <c r="AR87" s="363" t="str">
        <f>_xlfn.IFNA(VLOOKUP($AI87,Programma!$F$3:$O$1107,10,0),"")</f>
        <v>3w</v>
      </c>
      <c r="AS87" s="363" t="str">
        <f>_xlfn.IFNA(VLOOKUP($AI87,Programma!$F$3:$P$1107,11,0),"")</f>
        <v>3w</v>
      </c>
      <c r="AT87" s="363" t="str">
        <f>_xlfn.IFNA(VLOOKUP($AI87,Programma!$F$3:$Q$1107,12,0),"")</f>
        <v>1w</v>
      </c>
      <c r="AU87" s="363" t="str">
        <f>_xlfn.IFNA(VLOOKUP($AI87,Programma!$F$3:$R$1107,13,0),"")</f>
        <v>1w</v>
      </c>
      <c r="AV87" s="363" t="str">
        <f>_xlfn.IFNA(VLOOKUP($AI87,Programma!$F$3:$S$1107,14,0),"")</f>
        <v>1m</v>
      </c>
      <c r="AW87" s="363" t="str">
        <f>_xlfn.IFNA(VLOOKUP($AI87,Programma!$F$3:$T$1107,15,0),"")</f>
        <v>2j</v>
      </c>
      <c r="AX87" s="363" t="str">
        <f>_xlfn.IFNA(VLOOKUP($AI87,Programma!$F$3:$U$1107,16,0),"")</f>
        <v>1j</v>
      </c>
      <c r="AY87" s="363" t="str">
        <f>_xlfn.IFNA(VLOOKUP($AI87,Programma!$F$3:$V$1107,17,0),"")</f>
        <v>_</v>
      </c>
      <c r="AZ87" s="363" t="str">
        <f>_xlfn.IFNA(VLOOKUP($AI87,Programma!$F$3:$W$1107,18,0),"")</f>
        <v>_</v>
      </c>
      <c r="BA87" s="363" t="str">
        <f>_xlfn.IFNA(VLOOKUP($AI87,Programma!$F$3:$X$1107,19,0),"")</f>
        <v>_</v>
      </c>
      <c r="BB87" s="363" t="str">
        <f>_xlfn.IFNA(VLOOKUP($AI87,Programma!$F$3:$Y$1107,20,0),"")</f>
        <v>_</v>
      </c>
      <c r="BC87" s="257"/>
      <c r="BD87" s="256" t="str">
        <f>IF(Ruimtestaat[[#This Row],[Frequentie weekend]]="","",_xlfn.CONCAT(Ruimtestaat[[#This Row],[Ruimte code]],"-",Ruimtestaat[[#This Row],[Frequentie weekend]]," ",Ruimtestaat[[#This Row],[Vloer code]]))</f>
        <v/>
      </c>
      <c r="BE87" s="363" t="str">
        <f>_xlfn.IFNA(VLOOKUP($BD87,Programma!$F$3:$G$1107,2,0),"")</f>
        <v/>
      </c>
      <c r="BF87" s="363" t="str">
        <f>_xlfn.IFNA(VLOOKUP($BD87,Programma!$F$3:$H$1107,3,0),"")</f>
        <v/>
      </c>
      <c r="BG87" s="363" t="str">
        <f>_xlfn.IFNA(VLOOKUP($BD87,Programma!$F$3:$I$1107,4,0),"")</f>
        <v/>
      </c>
      <c r="BH87" s="363" t="str">
        <f>_xlfn.IFNA(VLOOKUP($BD87,Programma!$F$3:$J$1107,5,0),"")</f>
        <v/>
      </c>
      <c r="BI87" s="363" t="str">
        <f>_xlfn.IFNA(VLOOKUP($BD87,Programma!$F$3:$K$1107,6,0),"")</f>
        <v/>
      </c>
      <c r="BJ87" s="363" t="str">
        <f>_xlfn.IFNA(VLOOKUP($BD87,Programma!$F$3:$L$1107,7,0),"")</f>
        <v/>
      </c>
      <c r="BK87" s="363" t="str">
        <f>_xlfn.IFNA(VLOOKUP($BD87,Programma!$F$3:$M$1107,8,0),"")</f>
        <v/>
      </c>
      <c r="BL87" s="363" t="str">
        <f>_xlfn.IFNA(VLOOKUP($BD87,Programma!$F$3:$N$1107,9,0),"")</f>
        <v/>
      </c>
      <c r="BM87" s="363" t="str">
        <f>_xlfn.IFNA(VLOOKUP($BD87,Programma!$F$3:$O$1107,10,0),"")</f>
        <v/>
      </c>
      <c r="BN87" s="363" t="str">
        <f>_xlfn.IFNA(VLOOKUP($BD87,Programma!$F$3:$P$1107,11,0),"")</f>
        <v/>
      </c>
      <c r="BO87" s="363" t="str">
        <f>_xlfn.IFNA(VLOOKUP($BD87,Programma!$F$3:$Q$1107,12,0),"")</f>
        <v/>
      </c>
      <c r="BP87" s="363" t="str">
        <f>_xlfn.IFNA(VLOOKUP($BD87,Programma!$F$3:$R$1107,13,0),"")</f>
        <v/>
      </c>
      <c r="BQ87" s="363" t="str">
        <f>_xlfn.IFNA(VLOOKUP($BD87,Programma!$F$3:$S$1107,14,0),"")</f>
        <v/>
      </c>
      <c r="BR87" s="363" t="str">
        <f>_xlfn.IFNA(VLOOKUP($BD87,Programma!$F$3:$T$1107,15,0),"")</f>
        <v/>
      </c>
      <c r="BS87" s="363" t="str">
        <f>_xlfn.IFNA(VLOOKUP($BD87,Programma!$F$3:$U$1107,16,0),"")</f>
        <v/>
      </c>
      <c r="BT87" s="363" t="str">
        <f>_xlfn.IFNA(VLOOKUP($BD87,Programma!$F$3:$V$1107,17,0),"")</f>
        <v/>
      </c>
      <c r="BU87" s="363" t="str">
        <f>_xlfn.IFNA(VLOOKUP($BD87,Programma!$F$3:$W$1107,18,0),"")</f>
        <v/>
      </c>
      <c r="BV87" s="363" t="str">
        <f>_xlfn.IFNA(VLOOKUP($BD87,Programma!$F$3:$X$1107,19,0),"")</f>
        <v/>
      </c>
      <c r="BW87" s="363" t="str">
        <f>_xlfn.IFNA(VLOOKUP($BD87,Programma!$F$3:$Y$1107,20,0),"")</f>
        <v/>
      </c>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row>
    <row r="88" spans="1:220" ht="15" customHeight="1">
      <c r="A88" s="21">
        <v>2</v>
      </c>
      <c r="B88" s="157" t="str">
        <f>VLOOKUP(Ruimtestaat[[#This Row],[Code]],Locaties[[Code]:[Locatie]],2,FALSE)</f>
        <v>'s Gravendreef College</v>
      </c>
      <c r="C88" s="157" t="str">
        <f>VLOOKUP(Ruimtestaat[[#This Row],[Code]],Locaties[[#All],[Code]:[Adres]],4,FALSE)</f>
        <v>Klaas Voskuildreef 135</v>
      </c>
      <c r="D88" s="157" t="str">
        <f>VLOOKUP(Ruimtestaat[[#This Row],[Code]],Locaties[[#All],[Code]:[Postcode]],5,FALSE)</f>
        <v>2492 JJ</v>
      </c>
      <c r="E88" s="157" t="str">
        <f>VLOOKUP(Ruimtestaat[[#This Row],[Code]],Locaties[#All],6,FALSE)</f>
        <v>Den Haag</v>
      </c>
      <c r="F88" s="33"/>
      <c r="G88" s="33" t="s">
        <v>1706</v>
      </c>
      <c r="H88" s="368" t="s">
        <v>1742</v>
      </c>
      <c r="I88" s="367" t="s">
        <v>1743</v>
      </c>
      <c r="J88" s="21">
        <v>16</v>
      </c>
      <c r="K88" s="62" t="str">
        <f>VLOOKUP(Ruimtestaat[[#This Row],[Ruimte code]],Ruimtegroepen[[#All],[Code]:[Ruimte omschrijving]],2,FALSE)</f>
        <v>Leslokalen theorie</v>
      </c>
      <c r="L88" s="33" t="s">
        <v>101</v>
      </c>
      <c r="M88" s="367" t="s">
        <v>2495</v>
      </c>
      <c r="N88" s="140">
        <v>43</v>
      </c>
      <c r="O88" s="140"/>
      <c r="P88" s="125" t="str">
        <f>VLOOKUP(Ruimtestaat[[#This Row],[Ruimte code]],Ruimtegroepen[],4,FALSE)</f>
        <v>Le</v>
      </c>
      <c r="R88" s="33">
        <v>40</v>
      </c>
      <c r="S88" s="33" t="s">
        <v>2</v>
      </c>
      <c r="T88" s="33">
        <f>IF(R88&gt;0,IF(RIGHT(Ruimtestaat[[#This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 s="33">
        <f>IF(T88&gt;0,VLOOKUP($J88,Ruimtegroepen[],3,FALSE)*VLOOKUP($L88,Vloersoorten[],3,FALSE)*VLOOKUP($S88,Frequenties[],3,FALSE)*VLOOKUP($A88,Locaties[],3,FALSE),0)</f>
        <v>0</v>
      </c>
      <c r="V88" s="33">
        <f>Ruimtestaat[[#This Row],[Uitvoeringen werkdagen]]*Ruimtestaat[[#This Row],[Oppervlak (netto)]]</f>
        <v>8600</v>
      </c>
      <c r="W88" s="154">
        <f>IF(U88&gt;0,Ruimtestaat[[#This Row],[Prest. (m2 /jaar) werkdagen]]/Ruimtestaat[[#This Row],[Norm (m2/uur) werkdagen]],0)</f>
        <v>0</v>
      </c>
      <c r="X88" s="155">
        <f>Ruimtestaat[[#This Row],[uren / jaar werkdagen]]*Tariefsopbouw!$E$35</f>
        <v>0</v>
      </c>
      <c r="Y88" s="33"/>
      <c r="Z88" s="33">
        <f>IF(Ruimtestaat[[#This Row],[Frequentie weekend]]&gt;0,VALUE(LEFT(Y88,1))*R88,0)</f>
        <v>0</v>
      </c>
      <c r="AA88" s="97">
        <f>IF($Z88&gt;0,VLOOKUP($J88,Ruimtegroepen[],3,FALSE)*VLOOKUP($L88,Vloersoorten[],3,FALSE)*VLOOKUP($Y88,Frequenties[],3,FALSE)*VLOOKUP(Ruimtestaat[[#This Row],[Code]],Locaties[],3,FALSE),0)</f>
        <v>0</v>
      </c>
      <c r="AB88" s="97">
        <f>Ruimtestaat[[#This Row],[Uitvoeringen weekend]]*Ruimtestaat[[#This Row],[Oppervlak (netto)]]</f>
        <v>0</v>
      </c>
      <c r="AC88" s="97">
        <f>IF(AA88&gt;0,Ruimtestaat[[#This Row],[Prest. (m2 /jaar) weekend]]/Ruimtestaat[[#This Row],[Norm (m2/uur) weekend]],0)</f>
        <v>0</v>
      </c>
      <c r="AD88" s="155">
        <f>Ruimtestaat[[#This Row],[uren / jaar weekend]]*Tariefsopbouw!$D$40</f>
        <v>0</v>
      </c>
      <c r="AE88" s="154">
        <f>Ruimtestaat[[#This Row],[Prest. (m2 /jaar) weekend]]+Ruimtestaat[[#This Row],[Prest. (m2 /jaar) werkdagen]]</f>
        <v>8600</v>
      </c>
      <c r="AF88" s="154">
        <f>Ruimtestaat[[#This Row],[uren / jaar weekend]]+Ruimtestaat[[#This Row],[uren / jaar werkdagen]]</f>
        <v>0</v>
      </c>
      <c r="AG88" s="69">
        <f>Ruimtestaat[[#This Row],[kosten / jaar weekend]]+Ruimtestaat[[#This Row],[kosten / jaar werkdagen]]</f>
        <v>0</v>
      </c>
      <c r="AH88" s="69"/>
      <c r="AI88" s="256" t="str">
        <f>IF(Ruimtestaat[[#This Row],[Frequentie werkdagen]]="","",_xlfn.CONCAT(Ruimtestaat[[#This Row],[Ruimte code]],"-",Ruimtestaat[[#This Row],[Frequentie werkdagen]]," ",Ruimtestaat[[#This Row],[Vloer code]]))</f>
        <v>16-5w L</v>
      </c>
      <c r="AJ88" s="363" t="str">
        <f>_xlfn.IFNA(VLOOKUP($AI88,Programma!$F$3:$G$1107,2,0),"")</f>
        <v>_</v>
      </c>
      <c r="AK88" s="363" t="str">
        <f>_xlfn.IFNA(VLOOKUP($AI88,Programma!$F$3:$H$1107,3,0),"")</f>
        <v>_</v>
      </c>
      <c r="AL88" s="363" t="str">
        <f>_xlfn.IFNA(VLOOKUP($AI88,Programma!$F$3:$I$1107,4,0),"")</f>
        <v>4w</v>
      </c>
      <c r="AM88" s="363" t="str">
        <f>_xlfn.IFNA(VLOOKUP($AI88,Programma!$F$3:$J$1107,5,0),"")</f>
        <v>1w</v>
      </c>
      <c r="AN88" s="363" t="str">
        <f>_xlfn.IFNA(VLOOKUP($AI88,Programma!$F$3:$K$1107,6,0),"")</f>
        <v>_</v>
      </c>
      <c r="AO88" s="363" t="str">
        <f>_xlfn.IFNA(VLOOKUP($AI88,Programma!$F$3:$L$1107,7,0),"")</f>
        <v>_</v>
      </c>
      <c r="AP88" s="363" t="str">
        <f>_xlfn.IFNA(VLOOKUP($AI88,Programma!$F$3:$M$1107,8,0),"")</f>
        <v>_</v>
      </c>
      <c r="AQ88" s="363" t="str">
        <f>_xlfn.IFNA(VLOOKUP($AI88,Programma!$F$3:$N$1107,9,0),"")</f>
        <v>_</v>
      </c>
      <c r="AR88" s="363" t="str">
        <f>_xlfn.IFNA(VLOOKUP($AI88,Programma!$F$3:$O$1107,10,0),"")</f>
        <v>5w</v>
      </c>
      <c r="AS88" s="363" t="str">
        <f>_xlfn.IFNA(VLOOKUP($AI88,Programma!$F$3:$P$1107,11,0),"")</f>
        <v>5w</v>
      </c>
      <c r="AT88" s="363" t="str">
        <f>_xlfn.IFNA(VLOOKUP($AI88,Programma!$F$3:$Q$1107,12,0),"")</f>
        <v>1w</v>
      </c>
      <c r="AU88" s="363" t="str">
        <f>_xlfn.IFNA(VLOOKUP($AI88,Programma!$F$3:$R$1107,13,0),"")</f>
        <v>1w</v>
      </c>
      <c r="AV88" s="363" t="str">
        <f>_xlfn.IFNA(VLOOKUP($AI88,Programma!$F$3:$S$1107,14,0),"")</f>
        <v>1m</v>
      </c>
      <c r="AW88" s="363" t="str">
        <f>_xlfn.IFNA(VLOOKUP($AI88,Programma!$F$3:$T$1107,15,0),"")</f>
        <v>2j</v>
      </c>
      <c r="AX88" s="363" t="str">
        <f>_xlfn.IFNA(VLOOKUP($AI88,Programma!$F$3:$U$1107,16,0),"")</f>
        <v>1j</v>
      </c>
      <c r="AY88" s="363" t="str">
        <f>_xlfn.IFNA(VLOOKUP($AI88,Programma!$F$3:$V$1107,17,0),"")</f>
        <v>_</v>
      </c>
      <c r="AZ88" s="363" t="str">
        <f>_xlfn.IFNA(VLOOKUP($AI88,Programma!$F$3:$W$1107,18,0),"")</f>
        <v>_</v>
      </c>
      <c r="BA88" s="363" t="str">
        <f>_xlfn.IFNA(VLOOKUP($AI88,Programma!$F$3:$X$1107,19,0),"")</f>
        <v>_</v>
      </c>
      <c r="BB88" s="363" t="str">
        <f>_xlfn.IFNA(VLOOKUP($AI88,Programma!$F$3:$Y$1107,20,0),"")</f>
        <v>_</v>
      </c>
      <c r="BC88" s="257"/>
      <c r="BD88" s="256" t="str">
        <f>IF(Ruimtestaat[[#This Row],[Frequentie weekend]]="","",_xlfn.CONCAT(Ruimtestaat[[#This Row],[Ruimte code]],"-",Ruimtestaat[[#This Row],[Frequentie weekend]]," ",Ruimtestaat[[#This Row],[Vloer code]]))</f>
        <v/>
      </c>
      <c r="BE88" s="363" t="str">
        <f>_xlfn.IFNA(VLOOKUP($BD88,Programma!$F$3:$G$1107,2,0),"")</f>
        <v/>
      </c>
      <c r="BF88" s="363" t="str">
        <f>_xlfn.IFNA(VLOOKUP($BD88,Programma!$F$3:$H$1107,3,0),"")</f>
        <v/>
      </c>
      <c r="BG88" s="363" t="str">
        <f>_xlfn.IFNA(VLOOKUP($BD88,Programma!$F$3:$I$1107,4,0),"")</f>
        <v/>
      </c>
      <c r="BH88" s="363" t="str">
        <f>_xlfn.IFNA(VLOOKUP($BD88,Programma!$F$3:$J$1107,5,0),"")</f>
        <v/>
      </c>
      <c r="BI88" s="363" t="str">
        <f>_xlfn.IFNA(VLOOKUP($BD88,Programma!$F$3:$K$1107,6,0),"")</f>
        <v/>
      </c>
      <c r="BJ88" s="363" t="str">
        <f>_xlfn.IFNA(VLOOKUP($BD88,Programma!$F$3:$L$1107,7,0),"")</f>
        <v/>
      </c>
      <c r="BK88" s="363" t="str">
        <f>_xlfn.IFNA(VLOOKUP($BD88,Programma!$F$3:$M$1107,8,0),"")</f>
        <v/>
      </c>
      <c r="BL88" s="363" t="str">
        <f>_xlfn.IFNA(VLOOKUP($BD88,Programma!$F$3:$N$1107,9,0),"")</f>
        <v/>
      </c>
      <c r="BM88" s="363" t="str">
        <f>_xlfn.IFNA(VLOOKUP($BD88,Programma!$F$3:$O$1107,10,0),"")</f>
        <v/>
      </c>
      <c r="BN88" s="363" t="str">
        <f>_xlfn.IFNA(VLOOKUP($BD88,Programma!$F$3:$P$1107,11,0),"")</f>
        <v/>
      </c>
      <c r="BO88" s="363" t="str">
        <f>_xlfn.IFNA(VLOOKUP($BD88,Programma!$F$3:$Q$1107,12,0),"")</f>
        <v/>
      </c>
      <c r="BP88" s="363" t="str">
        <f>_xlfn.IFNA(VLOOKUP($BD88,Programma!$F$3:$R$1107,13,0),"")</f>
        <v/>
      </c>
      <c r="BQ88" s="363" t="str">
        <f>_xlfn.IFNA(VLOOKUP($BD88,Programma!$F$3:$S$1107,14,0),"")</f>
        <v/>
      </c>
      <c r="BR88" s="363" t="str">
        <f>_xlfn.IFNA(VLOOKUP($BD88,Programma!$F$3:$T$1107,15,0),"")</f>
        <v/>
      </c>
      <c r="BS88" s="363" t="str">
        <f>_xlfn.IFNA(VLOOKUP($BD88,Programma!$F$3:$U$1107,16,0),"")</f>
        <v/>
      </c>
      <c r="BT88" s="363" t="str">
        <f>_xlfn.IFNA(VLOOKUP($BD88,Programma!$F$3:$V$1107,17,0),"")</f>
        <v/>
      </c>
      <c r="BU88" s="363" t="str">
        <f>_xlfn.IFNA(VLOOKUP($BD88,Programma!$F$3:$W$1107,18,0),"")</f>
        <v/>
      </c>
      <c r="BV88" s="363" t="str">
        <f>_xlfn.IFNA(VLOOKUP($BD88,Programma!$F$3:$X$1107,19,0),"")</f>
        <v/>
      </c>
      <c r="BW88" s="363" t="str">
        <f>_xlfn.IFNA(VLOOKUP($BD88,Programma!$F$3:$Y$1107,20,0),"")</f>
        <v/>
      </c>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row>
    <row r="89" spans="1:220" ht="15" customHeight="1">
      <c r="A89" s="21">
        <v>2</v>
      </c>
      <c r="B89" s="157" t="str">
        <f>VLOOKUP(Ruimtestaat[[#This Row],[Code]],Locaties[[Code]:[Locatie]],2,FALSE)</f>
        <v>'s Gravendreef College</v>
      </c>
      <c r="C89" s="157" t="str">
        <f>VLOOKUP(Ruimtestaat[[#This Row],[Code]],Locaties[[#All],[Code]:[Adres]],4,FALSE)</f>
        <v>Klaas Voskuildreef 135</v>
      </c>
      <c r="D89" s="157" t="str">
        <f>VLOOKUP(Ruimtestaat[[#This Row],[Code]],Locaties[[#All],[Code]:[Postcode]],5,FALSE)</f>
        <v>2492 JJ</v>
      </c>
      <c r="E89" s="157" t="str">
        <f>VLOOKUP(Ruimtestaat[[#This Row],[Code]],Locaties[#All],6,FALSE)</f>
        <v>Den Haag</v>
      </c>
      <c r="F89" s="33"/>
      <c r="G89" s="33" t="s">
        <v>1706</v>
      </c>
      <c r="H89" s="368" t="s">
        <v>1744</v>
      </c>
      <c r="I89" s="367" t="s">
        <v>1745</v>
      </c>
      <c r="J89" s="21">
        <v>2</v>
      </c>
      <c r="K89" s="62" t="str">
        <f>VLOOKUP(Ruimtestaat[[#This Row],[Ruimte code]],Ruimtegroepen[[#All],[Code]:[Ruimte omschrijving]],2,FALSE)</f>
        <v>Kantoren</v>
      </c>
      <c r="L89" s="33" t="s">
        <v>101</v>
      </c>
      <c r="M89" s="367" t="s">
        <v>2495</v>
      </c>
      <c r="N89" s="140">
        <v>20</v>
      </c>
      <c r="O89" s="140"/>
      <c r="P89" s="125" t="str">
        <f>VLOOKUP(Ruimtestaat[[#This Row],[Ruimte code]],Ruimtegroepen[],4,FALSE)</f>
        <v>Bu</v>
      </c>
      <c r="R89" s="33">
        <v>42</v>
      </c>
      <c r="S89" s="33" t="s">
        <v>18</v>
      </c>
      <c r="T89" s="33">
        <f>IF(R89&gt;0,IF(RIGHT(Ruimtestaat[[#This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9" s="33">
        <f>IF(T89&gt;0,VLOOKUP($J89,Ruimtegroepen[],3,FALSE)*VLOOKUP($L89,Vloersoorten[],3,FALSE)*VLOOKUP($S89,Frequenties[],3,FALSE)*VLOOKUP($A89,Locaties[],3,FALSE),0)</f>
        <v>0</v>
      </c>
      <c r="V89" s="33">
        <f>Ruimtestaat[[#This Row],[Uitvoeringen werkdagen]]*Ruimtestaat[[#This Row],[Oppervlak (netto)]]</f>
        <v>2520</v>
      </c>
      <c r="W89" s="154">
        <f>IF(U89&gt;0,Ruimtestaat[[#This Row],[Prest. (m2 /jaar) werkdagen]]/Ruimtestaat[[#This Row],[Norm (m2/uur) werkdagen]],0)</f>
        <v>0</v>
      </c>
      <c r="X89" s="155">
        <f>Ruimtestaat[[#This Row],[uren / jaar werkdagen]]*Tariefsopbouw!$E$35</f>
        <v>0</v>
      </c>
      <c r="Y89" s="33"/>
      <c r="Z89" s="33">
        <f>IF(Ruimtestaat[[#This Row],[Frequentie weekend]]&gt;0,VALUE(LEFT(Y89,1))*R89,0)</f>
        <v>0</v>
      </c>
      <c r="AA89" s="97">
        <f>IF($Z89&gt;0,VLOOKUP($J89,Ruimtegroepen[],3,FALSE)*VLOOKUP($L89,Vloersoorten[],3,FALSE)*VLOOKUP($Y89,Frequenties[],3,FALSE)*VLOOKUP(Ruimtestaat[[#This Row],[Code]],Locaties[],3,FALSE),0)</f>
        <v>0</v>
      </c>
      <c r="AB89" s="97">
        <f>Ruimtestaat[[#This Row],[Uitvoeringen weekend]]*Ruimtestaat[[#This Row],[Oppervlak (netto)]]</f>
        <v>0</v>
      </c>
      <c r="AC89" s="97">
        <f>IF(AA89&gt;0,Ruimtestaat[[#This Row],[Prest. (m2 /jaar) weekend]]/Ruimtestaat[[#This Row],[Norm (m2/uur) weekend]],0)</f>
        <v>0</v>
      </c>
      <c r="AD89" s="155">
        <f>Ruimtestaat[[#This Row],[uren / jaar weekend]]*Tariefsopbouw!$D$40</f>
        <v>0</v>
      </c>
      <c r="AE89" s="154">
        <f>Ruimtestaat[[#This Row],[Prest. (m2 /jaar) weekend]]+Ruimtestaat[[#This Row],[Prest. (m2 /jaar) werkdagen]]</f>
        <v>2520</v>
      </c>
      <c r="AF89" s="154">
        <f>Ruimtestaat[[#This Row],[uren / jaar weekend]]+Ruimtestaat[[#This Row],[uren / jaar werkdagen]]</f>
        <v>0</v>
      </c>
      <c r="AG89" s="69">
        <f>Ruimtestaat[[#This Row],[kosten / jaar weekend]]+Ruimtestaat[[#This Row],[kosten / jaar werkdagen]]</f>
        <v>0</v>
      </c>
      <c r="AH89" s="69"/>
      <c r="AI89" s="256" t="str">
        <f>IF(Ruimtestaat[[#This Row],[Frequentie werkdagen]]="","",_xlfn.CONCAT(Ruimtestaat[[#This Row],[Ruimte code]],"-",Ruimtestaat[[#This Row],[Frequentie werkdagen]]," ",Ruimtestaat[[#This Row],[Vloer code]]))</f>
        <v>2-3w L</v>
      </c>
      <c r="AJ89" s="363" t="str">
        <f>_xlfn.IFNA(VLOOKUP($AI89,Programma!$F$3:$G$1107,2,0),"")</f>
        <v>_</v>
      </c>
      <c r="AK89" s="363" t="str">
        <f>_xlfn.IFNA(VLOOKUP($AI89,Programma!$F$3:$H$1107,3,0),"")</f>
        <v>_</v>
      </c>
      <c r="AL89" s="363" t="str">
        <f>_xlfn.IFNA(VLOOKUP($AI89,Programma!$F$3:$I$1107,4,0),"")</f>
        <v>2w</v>
      </c>
      <c r="AM89" s="363" t="str">
        <f>_xlfn.IFNA(VLOOKUP($AI89,Programma!$F$3:$J$1107,5,0),"")</f>
        <v>1w</v>
      </c>
      <c r="AN89" s="363" t="str">
        <f>_xlfn.IFNA(VLOOKUP($AI89,Programma!$F$3:$K$1107,6,0),"")</f>
        <v>_</v>
      </c>
      <c r="AO89" s="363" t="str">
        <f>_xlfn.IFNA(VLOOKUP($AI89,Programma!$F$3:$L$1107,7,0),"")</f>
        <v>_</v>
      </c>
      <c r="AP89" s="363" t="str">
        <f>_xlfn.IFNA(VLOOKUP($AI89,Programma!$F$3:$M$1107,8,0),"")</f>
        <v>_</v>
      </c>
      <c r="AQ89" s="363" t="str">
        <f>_xlfn.IFNA(VLOOKUP($AI89,Programma!$F$3:$N$1107,9,0),"")</f>
        <v>_</v>
      </c>
      <c r="AR89" s="363" t="str">
        <f>_xlfn.IFNA(VLOOKUP($AI89,Programma!$F$3:$O$1107,10,0),"")</f>
        <v>3w</v>
      </c>
      <c r="AS89" s="363" t="str">
        <f>_xlfn.IFNA(VLOOKUP($AI89,Programma!$F$3:$P$1107,11,0),"")</f>
        <v>3w</v>
      </c>
      <c r="AT89" s="363" t="str">
        <f>_xlfn.IFNA(VLOOKUP($AI89,Programma!$F$3:$Q$1107,12,0),"")</f>
        <v>1w</v>
      </c>
      <c r="AU89" s="363" t="str">
        <f>_xlfn.IFNA(VLOOKUP($AI89,Programma!$F$3:$R$1107,13,0),"")</f>
        <v>1w</v>
      </c>
      <c r="AV89" s="363" t="str">
        <f>_xlfn.IFNA(VLOOKUP($AI89,Programma!$F$3:$S$1107,14,0),"")</f>
        <v>1m</v>
      </c>
      <c r="AW89" s="363" t="str">
        <f>_xlfn.IFNA(VLOOKUP($AI89,Programma!$F$3:$T$1107,15,0),"")</f>
        <v>2j</v>
      </c>
      <c r="AX89" s="363" t="str">
        <f>_xlfn.IFNA(VLOOKUP($AI89,Programma!$F$3:$U$1107,16,0),"")</f>
        <v>1j</v>
      </c>
      <c r="AY89" s="363" t="str">
        <f>_xlfn.IFNA(VLOOKUP($AI89,Programma!$F$3:$V$1107,17,0),"")</f>
        <v>_</v>
      </c>
      <c r="AZ89" s="363" t="str">
        <f>_xlfn.IFNA(VLOOKUP($AI89,Programma!$F$3:$W$1107,18,0),"")</f>
        <v>_</v>
      </c>
      <c r="BA89" s="363" t="str">
        <f>_xlfn.IFNA(VLOOKUP($AI89,Programma!$F$3:$X$1107,19,0),"")</f>
        <v>_</v>
      </c>
      <c r="BB89" s="363" t="str">
        <f>_xlfn.IFNA(VLOOKUP($AI89,Programma!$F$3:$Y$1107,20,0),"")</f>
        <v>_</v>
      </c>
      <c r="BC89" s="257"/>
      <c r="BD89" s="256" t="str">
        <f>IF(Ruimtestaat[[#This Row],[Frequentie weekend]]="","",_xlfn.CONCAT(Ruimtestaat[[#This Row],[Ruimte code]],"-",Ruimtestaat[[#This Row],[Frequentie weekend]]," ",Ruimtestaat[[#This Row],[Vloer code]]))</f>
        <v/>
      </c>
      <c r="BE89" s="363" t="str">
        <f>_xlfn.IFNA(VLOOKUP($BD89,Programma!$F$3:$G$1107,2,0),"")</f>
        <v/>
      </c>
      <c r="BF89" s="363" t="str">
        <f>_xlfn.IFNA(VLOOKUP($BD89,Programma!$F$3:$H$1107,3,0),"")</f>
        <v/>
      </c>
      <c r="BG89" s="363" t="str">
        <f>_xlfn.IFNA(VLOOKUP($BD89,Programma!$F$3:$I$1107,4,0),"")</f>
        <v/>
      </c>
      <c r="BH89" s="363" t="str">
        <f>_xlfn.IFNA(VLOOKUP($BD89,Programma!$F$3:$J$1107,5,0),"")</f>
        <v/>
      </c>
      <c r="BI89" s="363" t="str">
        <f>_xlfn.IFNA(VLOOKUP($BD89,Programma!$F$3:$K$1107,6,0),"")</f>
        <v/>
      </c>
      <c r="BJ89" s="363" t="str">
        <f>_xlfn.IFNA(VLOOKUP($BD89,Programma!$F$3:$L$1107,7,0),"")</f>
        <v/>
      </c>
      <c r="BK89" s="363" t="str">
        <f>_xlfn.IFNA(VLOOKUP($BD89,Programma!$F$3:$M$1107,8,0),"")</f>
        <v/>
      </c>
      <c r="BL89" s="363" t="str">
        <f>_xlfn.IFNA(VLOOKUP($BD89,Programma!$F$3:$N$1107,9,0),"")</f>
        <v/>
      </c>
      <c r="BM89" s="363" t="str">
        <f>_xlfn.IFNA(VLOOKUP($BD89,Programma!$F$3:$O$1107,10,0),"")</f>
        <v/>
      </c>
      <c r="BN89" s="363" t="str">
        <f>_xlfn.IFNA(VLOOKUP($BD89,Programma!$F$3:$P$1107,11,0),"")</f>
        <v/>
      </c>
      <c r="BO89" s="363" t="str">
        <f>_xlfn.IFNA(VLOOKUP($BD89,Programma!$F$3:$Q$1107,12,0),"")</f>
        <v/>
      </c>
      <c r="BP89" s="363" t="str">
        <f>_xlfn.IFNA(VLOOKUP($BD89,Programma!$F$3:$R$1107,13,0),"")</f>
        <v/>
      </c>
      <c r="BQ89" s="363" t="str">
        <f>_xlfn.IFNA(VLOOKUP($BD89,Programma!$F$3:$S$1107,14,0),"")</f>
        <v/>
      </c>
      <c r="BR89" s="363" t="str">
        <f>_xlfn.IFNA(VLOOKUP($BD89,Programma!$F$3:$T$1107,15,0),"")</f>
        <v/>
      </c>
      <c r="BS89" s="363" t="str">
        <f>_xlfn.IFNA(VLOOKUP($BD89,Programma!$F$3:$U$1107,16,0),"")</f>
        <v/>
      </c>
      <c r="BT89" s="363" t="str">
        <f>_xlfn.IFNA(VLOOKUP($BD89,Programma!$F$3:$V$1107,17,0),"")</f>
        <v/>
      </c>
      <c r="BU89" s="363" t="str">
        <f>_xlfn.IFNA(VLOOKUP($BD89,Programma!$F$3:$W$1107,18,0),"")</f>
        <v/>
      </c>
      <c r="BV89" s="363" t="str">
        <f>_xlfn.IFNA(VLOOKUP($BD89,Programma!$F$3:$X$1107,19,0),"")</f>
        <v/>
      </c>
      <c r="BW89" s="363" t="str">
        <f>_xlfn.IFNA(VLOOKUP($BD89,Programma!$F$3:$Y$1107,20,0),"")</f>
        <v/>
      </c>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row>
    <row r="90" spans="1:220" ht="15" customHeight="1">
      <c r="A90" s="21">
        <v>2</v>
      </c>
      <c r="B90" s="157" t="str">
        <f>VLOOKUP(Ruimtestaat[[#This Row],[Code]],Locaties[[Code]:[Locatie]],2,FALSE)</f>
        <v>'s Gravendreef College</v>
      </c>
      <c r="C90" s="157" t="str">
        <f>VLOOKUP(Ruimtestaat[[#This Row],[Code]],Locaties[[#All],[Code]:[Adres]],4,FALSE)</f>
        <v>Klaas Voskuildreef 135</v>
      </c>
      <c r="D90" s="157" t="str">
        <f>VLOOKUP(Ruimtestaat[[#This Row],[Code]],Locaties[[#All],[Code]:[Postcode]],5,FALSE)</f>
        <v>2492 JJ</v>
      </c>
      <c r="E90" s="157" t="str">
        <f>VLOOKUP(Ruimtestaat[[#This Row],[Code]],Locaties[#All],6,FALSE)</f>
        <v>Den Haag</v>
      </c>
      <c r="F90" s="33"/>
      <c r="G90" s="33" t="s">
        <v>1706</v>
      </c>
      <c r="H90" s="368" t="s">
        <v>1746</v>
      </c>
      <c r="I90" s="367" t="s">
        <v>1747</v>
      </c>
      <c r="J90" s="33">
        <v>20</v>
      </c>
      <c r="K90" s="62" t="str">
        <f>VLOOKUP(Ruimtestaat[[#This Row],[Ruimte code]],Ruimtegroepen[[#All],[Code]:[Ruimte omschrijving]],2,FALSE)</f>
        <v>Niet in Onderhoud</v>
      </c>
      <c r="L90" s="33" t="s">
        <v>101</v>
      </c>
      <c r="M90" s="367" t="s">
        <v>2495</v>
      </c>
      <c r="N90" s="140"/>
      <c r="O90" s="140">
        <v>20</v>
      </c>
      <c r="P90" s="125">
        <f>VLOOKUP(Ruimtestaat[[#This Row],[Ruimte code]],Ruimtegroepen[],4,FALSE)</f>
        <v>0</v>
      </c>
      <c r="Q90" s="125" t="s">
        <v>2532</v>
      </c>
      <c r="R90" s="33"/>
      <c r="S90" s="33"/>
      <c r="T90" s="33">
        <f>IF(R90&gt;0,IF(RIGHT(Ruimtestaat[[#This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0" s="33">
        <f>IF(T90&gt;0,VLOOKUP($J90,Ruimtegroepen[],3,FALSE)*VLOOKUP($L90,Vloersoorten[],3,FALSE)*VLOOKUP($S90,Frequenties[],3,FALSE)*VLOOKUP($A90,Locaties[],3,FALSE),0)</f>
        <v>0</v>
      </c>
      <c r="V90" s="33">
        <f>Ruimtestaat[[#This Row],[Uitvoeringen werkdagen]]*Ruimtestaat[[#This Row],[Oppervlak (netto)]]</f>
        <v>0</v>
      </c>
      <c r="W90" s="154">
        <f>IF(U90&gt;0,Ruimtestaat[[#This Row],[Prest. (m2 /jaar) werkdagen]]/Ruimtestaat[[#This Row],[Norm (m2/uur) werkdagen]],0)</f>
        <v>0</v>
      </c>
      <c r="X90" s="155">
        <f>Ruimtestaat[[#This Row],[uren / jaar werkdagen]]*Tariefsopbouw!$E$35</f>
        <v>0</v>
      </c>
      <c r="Y90" s="33"/>
      <c r="Z90" s="33">
        <f>IF(Ruimtestaat[[#This Row],[Frequentie weekend]]&gt;0,VALUE(LEFT(Y90,1))*R90,0)</f>
        <v>0</v>
      </c>
      <c r="AA90" s="97">
        <f>IF($Z90&gt;0,VLOOKUP($J90,Ruimtegroepen[],3,FALSE)*VLOOKUP($L90,Vloersoorten[],3,FALSE)*VLOOKUP($Y90,Frequenties[],3,FALSE)*VLOOKUP(Ruimtestaat[[#This Row],[Code]],Locaties[],3,FALSE),0)</f>
        <v>0</v>
      </c>
      <c r="AB90" s="97">
        <f>Ruimtestaat[[#This Row],[Uitvoeringen weekend]]*Ruimtestaat[[#This Row],[Oppervlak (netto)]]</f>
        <v>0</v>
      </c>
      <c r="AC90" s="97">
        <f>IF(AA90&gt;0,Ruimtestaat[[#This Row],[Prest. (m2 /jaar) weekend]]/Ruimtestaat[[#This Row],[Norm (m2/uur) weekend]],0)</f>
        <v>0</v>
      </c>
      <c r="AD90" s="155">
        <f>Ruimtestaat[[#This Row],[uren / jaar weekend]]*Tariefsopbouw!$D$40</f>
        <v>0</v>
      </c>
      <c r="AE90" s="154">
        <f>Ruimtestaat[[#This Row],[Prest. (m2 /jaar) weekend]]+Ruimtestaat[[#This Row],[Prest. (m2 /jaar) werkdagen]]</f>
        <v>0</v>
      </c>
      <c r="AF90" s="154">
        <f>Ruimtestaat[[#This Row],[uren / jaar weekend]]+Ruimtestaat[[#This Row],[uren / jaar werkdagen]]</f>
        <v>0</v>
      </c>
      <c r="AG90" s="69">
        <f>Ruimtestaat[[#This Row],[kosten / jaar weekend]]+Ruimtestaat[[#This Row],[kosten / jaar werkdagen]]</f>
        <v>0</v>
      </c>
      <c r="AH90" s="69"/>
      <c r="AI90" s="256" t="str">
        <f>IF(Ruimtestaat[[#This Row],[Frequentie werkdagen]]="","",_xlfn.CONCAT(Ruimtestaat[[#This Row],[Ruimte code]],"-",Ruimtestaat[[#This Row],[Frequentie werkdagen]]," ",Ruimtestaat[[#This Row],[Vloer code]]))</f>
        <v/>
      </c>
      <c r="AJ90" s="363" t="str">
        <f>_xlfn.IFNA(VLOOKUP($AI90,Programma!$F$3:$G$1107,2,0),"")</f>
        <v/>
      </c>
      <c r="AK90" s="363" t="str">
        <f>_xlfn.IFNA(VLOOKUP($AI90,Programma!$F$3:$H$1107,3,0),"")</f>
        <v/>
      </c>
      <c r="AL90" s="363" t="str">
        <f>_xlfn.IFNA(VLOOKUP($AI90,Programma!$F$3:$I$1107,4,0),"")</f>
        <v/>
      </c>
      <c r="AM90" s="363" t="str">
        <f>_xlfn.IFNA(VLOOKUP($AI90,Programma!$F$3:$J$1107,5,0),"")</f>
        <v/>
      </c>
      <c r="AN90" s="363" t="str">
        <f>_xlfn.IFNA(VLOOKUP($AI90,Programma!$F$3:$K$1107,6,0),"")</f>
        <v/>
      </c>
      <c r="AO90" s="363" t="str">
        <f>_xlfn.IFNA(VLOOKUP($AI90,Programma!$F$3:$L$1107,7,0),"")</f>
        <v/>
      </c>
      <c r="AP90" s="363" t="str">
        <f>_xlfn.IFNA(VLOOKUP($AI90,Programma!$F$3:$M$1107,8,0),"")</f>
        <v/>
      </c>
      <c r="AQ90" s="363" t="str">
        <f>_xlfn.IFNA(VLOOKUP($AI90,Programma!$F$3:$N$1107,9,0),"")</f>
        <v/>
      </c>
      <c r="AR90" s="363" t="str">
        <f>_xlfn.IFNA(VLOOKUP($AI90,Programma!$F$3:$O$1107,10,0),"")</f>
        <v/>
      </c>
      <c r="AS90" s="363" t="str">
        <f>_xlfn.IFNA(VLOOKUP($AI90,Programma!$F$3:$P$1107,11,0),"")</f>
        <v/>
      </c>
      <c r="AT90" s="363" t="str">
        <f>_xlfn.IFNA(VLOOKUP($AI90,Programma!$F$3:$Q$1107,12,0),"")</f>
        <v/>
      </c>
      <c r="AU90" s="363" t="str">
        <f>_xlfn.IFNA(VLOOKUP($AI90,Programma!$F$3:$R$1107,13,0),"")</f>
        <v/>
      </c>
      <c r="AV90" s="363" t="str">
        <f>_xlfn.IFNA(VLOOKUP($AI90,Programma!$F$3:$S$1107,14,0),"")</f>
        <v/>
      </c>
      <c r="AW90" s="363" t="str">
        <f>_xlfn.IFNA(VLOOKUP($AI90,Programma!$F$3:$T$1107,15,0),"")</f>
        <v/>
      </c>
      <c r="AX90" s="363" t="str">
        <f>_xlfn.IFNA(VLOOKUP($AI90,Programma!$F$3:$U$1107,16,0),"")</f>
        <v/>
      </c>
      <c r="AY90" s="363" t="str">
        <f>_xlfn.IFNA(VLOOKUP($AI90,Programma!$F$3:$V$1107,17,0),"")</f>
        <v/>
      </c>
      <c r="AZ90" s="363" t="str">
        <f>_xlfn.IFNA(VLOOKUP($AI90,Programma!$F$3:$W$1107,18,0),"")</f>
        <v/>
      </c>
      <c r="BA90" s="363" t="str">
        <f>_xlfn.IFNA(VLOOKUP($AI90,Programma!$F$3:$X$1107,19,0),"")</f>
        <v/>
      </c>
      <c r="BB90" s="363" t="str">
        <f>_xlfn.IFNA(VLOOKUP($AI90,Programma!$F$3:$Y$1107,20,0),"")</f>
        <v/>
      </c>
      <c r="BC90" s="257"/>
      <c r="BD90" s="256" t="str">
        <f>IF(Ruimtestaat[[#This Row],[Frequentie weekend]]="","",_xlfn.CONCAT(Ruimtestaat[[#This Row],[Ruimte code]],"-",Ruimtestaat[[#This Row],[Frequentie weekend]]," ",Ruimtestaat[[#This Row],[Vloer code]]))</f>
        <v/>
      </c>
      <c r="BE90" s="363" t="str">
        <f>_xlfn.IFNA(VLOOKUP($BD90,Programma!$F$3:$G$1107,2,0),"")</f>
        <v/>
      </c>
      <c r="BF90" s="363" t="str">
        <f>_xlfn.IFNA(VLOOKUP($BD90,Programma!$F$3:$H$1107,3,0),"")</f>
        <v/>
      </c>
      <c r="BG90" s="363" t="str">
        <f>_xlfn.IFNA(VLOOKUP($BD90,Programma!$F$3:$I$1107,4,0),"")</f>
        <v/>
      </c>
      <c r="BH90" s="363" t="str">
        <f>_xlfn.IFNA(VLOOKUP($BD90,Programma!$F$3:$J$1107,5,0),"")</f>
        <v/>
      </c>
      <c r="BI90" s="363" t="str">
        <f>_xlfn.IFNA(VLOOKUP($BD90,Programma!$F$3:$K$1107,6,0),"")</f>
        <v/>
      </c>
      <c r="BJ90" s="363" t="str">
        <f>_xlfn.IFNA(VLOOKUP($BD90,Programma!$F$3:$L$1107,7,0),"")</f>
        <v/>
      </c>
      <c r="BK90" s="363" t="str">
        <f>_xlfn.IFNA(VLOOKUP($BD90,Programma!$F$3:$M$1107,8,0),"")</f>
        <v/>
      </c>
      <c r="BL90" s="363" t="str">
        <f>_xlfn.IFNA(VLOOKUP($BD90,Programma!$F$3:$N$1107,9,0),"")</f>
        <v/>
      </c>
      <c r="BM90" s="363" t="str">
        <f>_xlfn.IFNA(VLOOKUP($BD90,Programma!$F$3:$O$1107,10,0),"")</f>
        <v/>
      </c>
      <c r="BN90" s="363" t="str">
        <f>_xlfn.IFNA(VLOOKUP($BD90,Programma!$F$3:$P$1107,11,0),"")</f>
        <v/>
      </c>
      <c r="BO90" s="363" t="str">
        <f>_xlfn.IFNA(VLOOKUP($BD90,Programma!$F$3:$Q$1107,12,0),"")</f>
        <v/>
      </c>
      <c r="BP90" s="363" t="str">
        <f>_xlfn.IFNA(VLOOKUP($BD90,Programma!$F$3:$R$1107,13,0),"")</f>
        <v/>
      </c>
      <c r="BQ90" s="363" t="str">
        <f>_xlfn.IFNA(VLOOKUP($BD90,Programma!$F$3:$S$1107,14,0),"")</f>
        <v/>
      </c>
      <c r="BR90" s="363" t="str">
        <f>_xlfn.IFNA(VLOOKUP($BD90,Programma!$F$3:$T$1107,15,0),"")</f>
        <v/>
      </c>
      <c r="BS90" s="363" t="str">
        <f>_xlfn.IFNA(VLOOKUP($BD90,Programma!$F$3:$U$1107,16,0),"")</f>
        <v/>
      </c>
      <c r="BT90" s="363" t="str">
        <f>_xlfn.IFNA(VLOOKUP($BD90,Programma!$F$3:$V$1107,17,0),"")</f>
        <v/>
      </c>
      <c r="BU90" s="363" t="str">
        <f>_xlfn.IFNA(VLOOKUP($BD90,Programma!$F$3:$W$1107,18,0),"")</f>
        <v/>
      </c>
      <c r="BV90" s="363" t="str">
        <f>_xlfn.IFNA(VLOOKUP($BD90,Programma!$F$3:$X$1107,19,0),"")</f>
        <v/>
      </c>
      <c r="BW90" s="363" t="str">
        <f>_xlfn.IFNA(VLOOKUP($BD90,Programma!$F$3:$Y$1107,20,0),"")</f>
        <v/>
      </c>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row>
    <row r="91" spans="1:220" ht="15" customHeight="1">
      <c r="A91" s="21">
        <v>2</v>
      </c>
      <c r="B91" s="157" t="str">
        <f>VLOOKUP(Ruimtestaat[[#This Row],[Code]],Locaties[[Code]:[Locatie]],2,FALSE)</f>
        <v>'s Gravendreef College</v>
      </c>
      <c r="C91" s="157" t="str">
        <f>VLOOKUP(Ruimtestaat[[#This Row],[Code]],Locaties[[#All],[Code]:[Adres]],4,FALSE)</f>
        <v>Klaas Voskuildreef 135</v>
      </c>
      <c r="D91" s="157" t="str">
        <f>VLOOKUP(Ruimtestaat[[#This Row],[Code]],Locaties[[#All],[Code]:[Postcode]],5,FALSE)</f>
        <v>2492 JJ</v>
      </c>
      <c r="E91" s="157" t="str">
        <f>VLOOKUP(Ruimtestaat[[#This Row],[Code]],Locaties[#All],6,FALSE)</f>
        <v>Den Haag</v>
      </c>
      <c r="F91" s="33" t="s">
        <v>1748</v>
      </c>
      <c r="G91" s="33" t="s">
        <v>1749</v>
      </c>
      <c r="H91" s="368" t="s">
        <v>1750</v>
      </c>
      <c r="I91" s="367" t="s">
        <v>38</v>
      </c>
      <c r="J91" s="21">
        <v>7</v>
      </c>
      <c r="K91" s="62" t="str">
        <f>VLOOKUP(Ruimtestaat[[#This Row],[Ruimte code]],Ruimtegroepen[[#All],[Code]:[Ruimte omschrijving]],2,FALSE)</f>
        <v>Entree</v>
      </c>
      <c r="L91" s="33" t="s">
        <v>100</v>
      </c>
      <c r="M91" s="367" t="s">
        <v>2500</v>
      </c>
      <c r="N91" s="140">
        <v>21.53</v>
      </c>
      <c r="O91" s="140"/>
      <c r="P91" s="125" t="str">
        <f>VLOOKUP(Ruimtestaat[[#This Row],[Ruimte code]],Ruimtegroepen[],4,FALSE)</f>
        <v>Ve</v>
      </c>
      <c r="R91" s="33">
        <v>40</v>
      </c>
      <c r="S91" s="33" t="s">
        <v>2</v>
      </c>
      <c r="T91" s="33">
        <f>IF(R91&gt;0,IF(RIGHT(Ruimtestaat[[#This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1" s="33">
        <f>IF(T91&gt;0,VLOOKUP($J91,Ruimtegroepen[],3,FALSE)*VLOOKUP($L91,Vloersoorten[],3,FALSE)*VLOOKUP($S91,Frequenties[],3,FALSE)*VLOOKUP($A91,Locaties[],3,FALSE),0)</f>
        <v>0</v>
      </c>
      <c r="V91" s="33">
        <f>Ruimtestaat[[#This Row],[Uitvoeringen werkdagen]]*Ruimtestaat[[#This Row],[Oppervlak (netto)]]</f>
        <v>4306</v>
      </c>
      <c r="W91" s="154">
        <f>IF(U91&gt;0,Ruimtestaat[[#This Row],[Prest. (m2 /jaar) werkdagen]]/Ruimtestaat[[#This Row],[Norm (m2/uur) werkdagen]],0)</f>
        <v>0</v>
      </c>
      <c r="X91" s="155">
        <f>Ruimtestaat[[#This Row],[uren / jaar werkdagen]]*Tariefsopbouw!$E$35</f>
        <v>0</v>
      </c>
      <c r="Y91" s="33"/>
      <c r="Z91" s="33">
        <f>IF(Ruimtestaat[[#This Row],[Frequentie weekend]]&gt;0,VALUE(LEFT(Y91,1))*R91,0)</f>
        <v>0</v>
      </c>
      <c r="AA91" s="97">
        <f>IF($Z91&gt;0,VLOOKUP($J91,Ruimtegroepen[],3,FALSE)*VLOOKUP($L91,Vloersoorten[],3,FALSE)*VLOOKUP($Y91,Frequenties[],3,FALSE)*VLOOKUP(Ruimtestaat[[#This Row],[Code]],Locaties[],3,FALSE),0)</f>
        <v>0</v>
      </c>
      <c r="AB91" s="97">
        <f>Ruimtestaat[[#This Row],[Uitvoeringen weekend]]*Ruimtestaat[[#This Row],[Oppervlak (netto)]]</f>
        <v>0</v>
      </c>
      <c r="AC91" s="97">
        <f>IF(AA91&gt;0,Ruimtestaat[[#This Row],[Prest. (m2 /jaar) weekend]]/Ruimtestaat[[#This Row],[Norm (m2/uur) weekend]],0)</f>
        <v>0</v>
      </c>
      <c r="AD91" s="155">
        <f>Ruimtestaat[[#This Row],[uren / jaar weekend]]*Tariefsopbouw!$D$40</f>
        <v>0</v>
      </c>
      <c r="AE91" s="154">
        <f>Ruimtestaat[[#This Row],[Prest. (m2 /jaar) weekend]]+Ruimtestaat[[#This Row],[Prest. (m2 /jaar) werkdagen]]</f>
        <v>4306</v>
      </c>
      <c r="AF91" s="154">
        <f>Ruimtestaat[[#This Row],[uren / jaar weekend]]+Ruimtestaat[[#This Row],[uren / jaar werkdagen]]</f>
        <v>0</v>
      </c>
      <c r="AG91" s="69">
        <f>Ruimtestaat[[#This Row],[kosten / jaar weekend]]+Ruimtestaat[[#This Row],[kosten / jaar werkdagen]]</f>
        <v>0</v>
      </c>
      <c r="AH91" s="69"/>
      <c r="AI91" s="256" t="str">
        <f>IF(Ruimtestaat[[#This Row],[Frequentie werkdagen]]="","",_xlfn.CONCAT(Ruimtestaat[[#This Row],[Ruimte code]],"-",Ruimtestaat[[#This Row],[Frequentie werkdagen]]," ",Ruimtestaat[[#This Row],[Vloer code]]))</f>
        <v>7-5w T</v>
      </c>
      <c r="AJ91" s="363" t="str">
        <f>_xlfn.IFNA(VLOOKUP($AI91,Programma!$F$3:$G$1107,2,0),"")</f>
        <v>_</v>
      </c>
      <c r="AK91" s="363" t="str">
        <f>_xlfn.IFNA(VLOOKUP($AI91,Programma!$F$3:$H$1107,3,0),"")</f>
        <v>5w</v>
      </c>
      <c r="AL91" s="363" t="str">
        <f>_xlfn.IFNA(VLOOKUP($AI91,Programma!$F$3:$I$1107,4,0),"")</f>
        <v>_</v>
      </c>
      <c r="AM91" s="363" t="str">
        <f>_xlfn.IFNA(VLOOKUP($AI91,Programma!$F$3:$J$1107,5,0),"")</f>
        <v>_</v>
      </c>
      <c r="AN91" s="363" t="str">
        <f>_xlfn.IFNA(VLOOKUP($AI91,Programma!$F$3:$K$1107,6,0),"")</f>
        <v>_</v>
      </c>
      <c r="AO91" s="363" t="str">
        <f>_xlfn.IFNA(VLOOKUP($AI91,Programma!$F$3:$L$1107,7,0),"")</f>
        <v>_</v>
      </c>
      <c r="AP91" s="363" t="str">
        <f>_xlfn.IFNA(VLOOKUP($AI91,Programma!$F$3:$M$1107,8,0),"")</f>
        <v>_</v>
      </c>
      <c r="AQ91" s="363" t="str">
        <f>_xlfn.IFNA(VLOOKUP($AI91,Programma!$F$3:$N$1107,9,0),"")</f>
        <v>_</v>
      </c>
      <c r="AR91" s="363" t="str">
        <f>_xlfn.IFNA(VLOOKUP($AI91,Programma!$F$3:$O$1107,10,0),"")</f>
        <v>5w</v>
      </c>
      <c r="AS91" s="363" t="str">
        <f>_xlfn.IFNA(VLOOKUP($AI91,Programma!$F$3:$P$1107,11,0),"")</f>
        <v>5w</v>
      </c>
      <c r="AT91" s="363" t="str">
        <f>_xlfn.IFNA(VLOOKUP($AI91,Programma!$F$3:$Q$1107,12,0),"")</f>
        <v>1w</v>
      </c>
      <c r="AU91" s="363" t="str">
        <f>_xlfn.IFNA(VLOOKUP($AI91,Programma!$F$3:$R$1107,13,0),"")</f>
        <v>1w</v>
      </c>
      <c r="AV91" s="363" t="str">
        <f>_xlfn.IFNA(VLOOKUP($AI91,Programma!$F$3:$S$1107,14,0),"")</f>
        <v>1m</v>
      </c>
      <c r="AW91" s="363" t="str">
        <f>_xlfn.IFNA(VLOOKUP($AI91,Programma!$F$3:$T$1107,15,0),"")</f>
        <v>2j</v>
      </c>
      <c r="AX91" s="363" t="str">
        <f>_xlfn.IFNA(VLOOKUP($AI91,Programma!$F$3:$U$1107,16,0),"")</f>
        <v>1j</v>
      </c>
      <c r="AY91" s="363" t="str">
        <f>_xlfn.IFNA(VLOOKUP($AI91,Programma!$F$3:$V$1107,17,0),"")</f>
        <v>_</v>
      </c>
      <c r="AZ91" s="363" t="str">
        <f>_xlfn.IFNA(VLOOKUP($AI91,Programma!$F$3:$W$1107,18,0),"")</f>
        <v>_</v>
      </c>
      <c r="BA91" s="363" t="str">
        <f>_xlfn.IFNA(VLOOKUP($AI91,Programma!$F$3:$X$1107,19,0),"")</f>
        <v>_</v>
      </c>
      <c r="BB91" s="363" t="str">
        <f>_xlfn.IFNA(VLOOKUP($AI91,Programma!$F$3:$Y$1107,20,0),"")</f>
        <v>_</v>
      </c>
      <c r="BC91" s="257"/>
      <c r="BD91" s="256" t="str">
        <f>IF(Ruimtestaat[[#This Row],[Frequentie weekend]]="","",_xlfn.CONCAT(Ruimtestaat[[#This Row],[Ruimte code]],"-",Ruimtestaat[[#This Row],[Frequentie weekend]]," ",Ruimtestaat[[#This Row],[Vloer code]]))</f>
        <v/>
      </c>
      <c r="BE91" s="363" t="str">
        <f>_xlfn.IFNA(VLOOKUP($BD91,Programma!$F$3:$G$1107,2,0),"")</f>
        <v/>
      </c>
      <c r="BF91" s="363" t="str">
        <f>_xlfn.IFNA(VLOOKUP($BD91,Programma!$F$3:$H$1107,3,0),"")</f>
        <v/>
      </c>
      <c r="BG91" s="363" t="str">
        <f>_xlfn.IFNA(VLOOKUP($BD91,Programma!$F$3:$I$1107,4,0),"")</f>
        <v/>
      </c>
      <c r="BH91" s="363" t="str">
        <f>_xlfn.IFNA(VLOOKUP($BD91,Programma!$F$3:$J$1107,5,0),"")</f>
        <v/>
      </c>
      <c r="BI91" s="363" t="str">
        <f>_xlfn.IFNA(VLOOKUP($BD91,Programma!$F$3:$K$1107,6,0),"")</f>
        <v/>
      </c>
      <c r="BJ91" s="363" t="str">
        <f>_xlfn.IFNA(VLOOKUP($BD91,Programma!$F$3:$L$1107,7,0),"")</f>
        <v/>
      </c>
      <c r="BK91" s="363" t="str">
        <f>_xlfn.IFNA(VLOOKUP($BD91,Programma!$F$3:$M$1107,8,0),"")</f>
        <v/>
      </c>
      <c r="BL91" s="363" t="str">
        <f>_xlfn.IFNA(VLOOKUP($BD91,Programma!$F$3:$N$1107,9,0),"")</f>
        <v/>
      </c>
      <c r="BM91" s="363" t="str">
        <f>_xlfn.IFNA(VLOOKUP($BD91,Programma!$F$3:$O$1107,10,0),"")</f>
        <v/>
      </c>
      <c r="BN91" s="363" t="str">
        <f>_xlfn.IFNA(VLOOKUP($BD91,Programma!$F$3:$P$1107,11,0),"")</f>
        <v/>
      </c>
      <c r="BO91" s="363" t="str">
        <f>_xlfn.IFNA(VLOOKUP($BD91,Programma!$F$3:$Q$1107,12,0),"")</f>
        <v/>
      </c>
      <c r="BP91" s="363" t="str">
        <f>_xlfn.IFNA(VLOOKUP($BD91,Programma!$F$3:$R$1107,13,0),"")</f>
        <v/>
      </c>
      <c r="BQ91" s="363" t="str">
        <f>_xlfn.IFNA(VLOOKUP($BD91,Programma!$F$3:$S$1107,14,0),"")</f>
        <v/>
      </c>
      <c r="BR91" s="363" t="str">
        <f>_xlfn.IFNA(VLOOKUP($BD91,Programma!$F$3:$T$1107,15,0),"")</f>
        <v/>
      </c>
      <c r="BS91" s="363" t="str">
        <f>_xlfn.IFNA(VLOOKUP($BD91,Programma!$F$3:$U$1107,16,0),"")</f>
        <v/>
      </c>
      <c r="BT91" s="363" t="str">
        <f>_xlfn.IFNA(VLOOKUP($BD91,Programma!$F$3:$V$1107,17,0),"")</f>
        <v/>
      </c>
      <c r="BU91" s="363" t="str">
        <f>_xlfn.IFNA(VLOOKUP($BD91,Programma!$F$3:$W$1107,18,0),"")</f>
        <v/>
      </c>
      <c r="BV91" s="363" t="str">
        <f>_xlfn.IFNA(VLOOKUP($BD91,Programma!$F$3:$X$1107,19,0),"")</f>
        <v/>
      </c>
      <c r="BW91" s="363" t="str">
        <f>_xlfn.IFNA(VLOOKUP($BD91,Programma!$F$3:$Y$1107,20,0),"")</f>
        <v/>
      </c>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row>
    <row r="92" spans="1:220" ht="15" customHeight="1">
      <c r="A92" s="21">
        <v>2</v>
      </c>
      <c r="B92" s="157" t="str">
        <f>VLOOKUP(Ruimtestaat[[#This Row],[Code]],Locaties[[Code]:[Locatie]],2,FALSE)</f>
        <v>'s Gravendreef College</v>
      </c>
      <c r="C92" s="157" t="str">
        <f>VLOOKUP(Ruimtestaat[[#This Row],[Code]],Locaties[[#All],[Code]:[Adres]],4,FALSE)</f>
        <v>Klaas Voskuildreef 135</v>
      </c>
      <c r="D92" s="157" t="str">
        <f>VLOOKUP(Ruimtestaat[[#This Row],[Code]],Locaties[[#All],[Code]:[Postcode]],5,FALSE)</f>
        <v>2492 JJ</v>
      </c>
      <c r="E92" s="157" t="str">
        <f>VLOOKUP(Ruimtestaat[[#This Row],[Code]],Locaties[#All],6,FALSE)</f>
        <v>Den Haag</v>
      </c>
      <c r="F92" s="33" t="s">
        <v>1748</v>
      </c>
      <c r="G92" s="33" t="s">
        <v>1749</v>
      </c>
      <c r="H92" s="368" t="s">
        <v>1751</v>
      </c>
      <c r="I92" s="367" t="s">
        <v>1752</v>
      </c>
      <c r="J92" s="21">
        <v>6</v>
      </c>
      <c r="K92" s="62" t="str">
        <f>VLOOKUP(Ruimtestaat[[#This Row],[Ruimte code]],Ruimtegroepen[[#All],[Code]:[Ruimte omschrijving]],2,FALSE)</f>
        <v>Gangen/hallen</v>
      </c>
      <c r="L92" s="33" t="s">
        <v>101</v>
      </c>
      <c r="M92" s="367" t="s">
        <v>2495</v>
      </c>
      <c r="N92" s="140">
        <v>44.54</v>
      </c>
      <c r="O92" s="140"/>
      <c r="P92" s="125" t="str">
        <f>VLOOKUP(Ruimtestaat[[#This Row],[Ruimte code]],Ruimtegroepen[],4,FALSE)</f>
        <v>Ve</v>
      </c>
      <c r="R92" s="33">
        <v>40</v>
      </c>
      <c r="S92" s="33" t="s">
        <v>2</v>
      </c>
      <c r="T92" s="33">
        <f>IF(R92&gt;0,IF(RIGHT(Ruimtestaat[[#This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2" s="33">
        <f>IF(T92&gt;0,VLOOKUP($J92,Ruimtegroepen[],3,FALSE)*VLOOKUP($L92,Vloersoorten[],3,FALSE)*VLOOKUP($S92,Frequenties[],3,FALSE)*VLOOKUP($A92,Locaties[],3,FALSE),0)</f>
        <v>0</v>
      </c>
      <c r="V92" s="33">
        <f>Ruimtestaat[[#This Row],[Uitvoeringen werkdagen]]*Ruimtestaat[[#This Row],[Oppervlak (netto)]]</f>
        <v>8908</v>
      </c>
      <c r="W92" s="154">
        <f>IF(U92&gt;0,Ruimtestaat[[#This Row],[Prest. (m2 /jaar) werkdagen]]/Ruimtestaat[[#This Row],[Norm (m2/uur) werkdagen]],0)</f>
        <v>0</v>
      </c>
      <c r="X92" s="155">
        <f>Ruimtestaat[[#This Row],[uren / jaar werkdagen]]*Tariefsopbouw!$E$35</f>
        <v>0</v>
      </c>
      <c r="Y92" s="33"/>
      <c r="Z92" s="33">
        <f>IF(Ruimtestaat[[#This Row],[Frequentie weekend]]&gt;0,VALUE(LEFT(Y92,1))*R92,0)</f>
        <v>0</v>
      </c>
      <c r="AA92" s="97">
        <f>IF($Z92&gt;0,VLOOKUP($J92,Ruimtegroepen[],3,FALSE)*VLOOKUP($L92,Vloersoorten[],3,FALSE)*VLOOKUP($Y92,Frequenties[],3,FALSE)*VLOOKUP(Ruimtestaat[[#This Row],[Code]],Locaties[],3,FALSE),0)</f>
        <v>0</v>
      </c>
      <c r="AB92" s="97">
        <f>Ruimtestaat[[#This Row],[Uitvoeringen weekend]]*Ruimtestaat[[#This Row],[Oppervlak (netto)]]</f>
        <v>0</v>
      </c>
      <c r="AC92" s="97">
        <f>IF(AA92&gt;0,Ruimtestaat[[#This Row],[Prest. (m2 /jaar) weekend]]/Ruimtestaat[[#This Row],[Norm (m2/uur) weekend]],0)</f>
        <v>0</v>
      </c>
      <c r="AD92" s="155">
        <f>Ruimtestaat[[#This Row],[uren / jaar weekend]]*Tariefsopbouw!$D$40</f>
        <v>0</v>
      </c>
      <c r="AE92" s="154">
        <f>Ruimtestaat[[#This Row],[Prest. (m2 /jaar) weekend]]+Ruimtestaat[[#This Row],[Prest. (m2 /jaar) werkdagen]]</f>
        <v>8908</v>
      </c>
      <c r="AF92" s="154">
        <f>Ruimtestaat[[#This Row],[uren / jaar weekend]]+Ruimtestaat[[#This Row],[uren / jaar werkdagen]]</f>
        <v>0</v>
      </c>
      <c r="AG92" s="69">
        <f>Ruimtestaat[[#This Row],[kosten / jaar weekend]]+Ruimtestaat[[#This Row],[kosten / jaar werkdagen]]</f>
        <v>0</v>
      </c>
      <c r="AH92" s="69"/>
      <c r="AI92" s="256" t="str">
        <f>IF(Ruimtestaat[[#This Row],[Frequentie werkdagen]]="","",_xlfn.CONCAT(Ruimtestaat[[#This Row],[Ruimte code]],"-",Ruimtestaat[[#This Row],[Frequentie werkdagen]]," ",Ruimtestaat[[#This Row],[Vloer code]]))</f>
        <v>6-5w L</v>
      </c>
      <c r="AJ92" s="363" t="str">
        <f>_xlfn.IFNA(VLOOKUP($AI92,Programma!$F$3:$G$1107,2,0),"")</f>
        <v>_</v>
      </c>
      <c r="AK92" s="363" t="str">
        <f>_xlfn.IFNA(VLOOKUP($AI92,Programma!$F$3:$H$1107,3,0),"")</f>
        <v>_</v>
      </c>
      <c r="AL92" s="363" t="str">
        <f>_xlfn.IFNA(VLOOKUP($AI92,Programma!$F$3:$I$1107,4,0),"")</f>
        <v>_</v>
      </c>
      <c r="AM92" s="363" t="str">
        <f>_xlfn.IFNA(VLOOKUP($AI92,Programma!$F$3:$J$1107,5,0),"")</f>
        <v>5w</v>
      </c>
      <c r="AN92" s="363" t="str">
        <f>_xlfn.IFNA(VLOOKUP($AI92,Programma!$F$3:$K$1107,6,0),"")</f>
        <v>_</v>
      </c>
      <c r="AO92" s="363" t="str">
        <f>_xlfn.IFNA(VLOOKUP($AI92,Programma!$F$3:$L$1107,7,0),"")</f>
        <v>_</v>
      </c>
      <c r="AP92" s="363" t="str">
        <f>_xlfn.IFNA(VLOOKUP($AI92,Programma!$F$3:$M$1107,8,0),"")</f>
        <v>_</v>
      </c>
      <c r="AQ92" s="363" t="str">
        <f>_xlfn.IFNA(VLOOKUP($AI92,Programma!$F$3:$N$1107,9,0),"")</f>
        <v>_</v>
      </c>
      <c r="AR92" s="363" t="str">
        <f>_xlfn.IFNA(VLOOKUP($AI92,Programma!$F$3:$O$1107,10,0),"")</f>
        <v>5w</v>
      </c>
      <c r="AS92" s="363" t="str">
        <f>_xlfn.IFNA(VLOOKUP($AI92,Programma!$F$3:$P$1107,11,0),"")</f>
        <v>5w</v>
      </c>
      <c r="AT92" s="363" t="str">
        <f>_xlfn.IFNA(VLOOKUP($AI92,Programma!$F$3:$Q$1107,12,0),"")</f>
        <v>1w</v>
      </c>
      <c r="AU92" s="363" t="str">
        <f>_xlfn.IFNA(VLOOKUP($AI92,Programma!$F$3:$R$1107,13,0),"")</f>
        <v>1w</v>
      </c>
      <c r="AV92" s="363" t="str">
        <f>_xlfn.IFNA(VLOOKUP($AI92,Programma!$F$3:$S$1107,14,0),"")</f>
        <v>1m</v>
      </c>
      <c r="AW92" s="363" t="str">
        <f>_xlfn.IFNA(VLOOKUP($AI92,Programma!$F$3:$T$1107,15,0),"")</f>
        <v>2j</v>
      </c>
      <c r="AX92" s="363" t="str">
        <f>_xlfn.IFNA(VLOOKUP($AI92,Programma!$F$3:$U$1107,16,0),"")</f>
        <v>1j</v>
      </c>
      <c r="AY92" s="363" t="str">
        <f>_xlfn.IFNA(VLOOKUP($AI92,Programma!$F$3:$V$1107,17,0),"")</f>
        <v>_</v>
      </c>
      <c r="AZ92" s="363" t="str">
        <f>_xlfn.IFNA(VLOOKUP($AI92,Programma!$F$3:$W$1107,18,0),"")</f>
        <v>_</v>
      </c>
      <c r="BA92" s="363" t="str">
        <f>_xlfn.IFNA(VLOOKUP($AI92,Programma!$F$3:$X$1107,19,0),"")</f>
        <v>_</v>
      </c>
      <c r="BB92" s="363" t="str">
        <f>_xlfn.IFNA(VLOOKUP($AI92,Programma!$F$3:$Y$1107,20,0),"")</f>
        <v>_</v>
      </c>
      <c r="BC92" s="257"/>
      <c r="BD92" s="256" t="str">
        <f>IF(Ruimtestaat[[#This Row],[Frequentie weekend]]="","",_xlfn.CONCAT(Ruimtestaat[[#This Row],[Ruimte code]],"-",Ruimtestaat[[#This Row],[Frequentie weekend]]," ",Ruimtestaat[[#This Row],[Vloer code]]))</f>
        <v/>
      </c>
      <c r="BE92" s="363" t="str">
        <f>_xlfn.IFNA(VLOOKUP($BD92,Programma!$F$3:$G$1107,2,0),"")</f>
        <v/>
      </c>
      <c r="BF92" s="363" t="str">
        <f>_xlfn.IFNA(VLOOKUP($BD92,Programma!$F$3:$H$1107,3,0),"")</f>
        <v/>
      </c>
      <c r="BG92" s="363" t="str">
        <f>_xlfn.IFNA(VLOOKUP($BD92,Programma!$F$3:$I$1107,4,0),"")</f>
        <v/>
      </c>
      <c r="BH92" s="363" t="str">
        <f>_xlfn.IFNA(VLOOKUP($BD92,Programma!$F$3:$J$1107,5,0),"")</f>
        <v/>
      </c>
      <c r="BI92" s="363" t="str">
        <f>_xlfn.IFNA(VLOOKUP($BD92,Programma!$F$3:$K$1107,6,0),"")</f>
        <v/>
      </c>
      <c r="BJ92" s="363" t="str">
        <f>_xlfn.IFNA(VLOOKUP($BD92,Programma!$F$3:$L$1107,7,0),"")</f>
        <v/>
      </c>
      <c r="BK92" s="363" t="str">
        <f>_xlfn.IFNA(VLOOKUP($BD92,Programma!$F$3:$M$1107,8,0),"")</f>
        <v/>
      </c>
      <c r="BL92" s="363" t="str">
        <f>_xlfn.IFNA(VLOOKUP($BD92,Programma!$F$3:$N$1107,9,0),"")</f>
        <v/>
      </c>
      <c r="BM92" s="363" t="str">
        <f>_xlfn.IFNA(VLOOKUP($BD92,Programma!$F$3:$O$1107,10,0),"")</f>
        <v/>
      </c>
      <c r="BN92" s="363" t="str">
        <f>_xlfn.IFNA(VLOOKUP($BD92,Programma!$F$3:$P$1107,11,0),"")</f>
        <v/>
      </c>
      <c r="BO92" s="363" t="str">
        <f>_xlfn.IFNA(VLOOKUP($BD92,Programma!$F$3:$Q$1107,12,0),"")</f>
        <v/>
      </c>
      <c r="BP92" s="363" t="str">
        <f>_xlfn.IFNA(VLOOKUP($BD92,Programma!$F$3:$R$1107,13,0),"")</f>
        <v/>
      </c>
      <c r="BQ92" s="363" t="str">
        <f>_xlfn.IFNA(VLOOKUP($BD92,Programma!$F$3:$S$1107,14,0),"")</f>
        <v/>
      </c>
      <c r="BR92" s="363" t="str">
        <f>_xlfn.IFNA(VLOOKUP($BD92,Programma!$F$3:$T$1107,15,0),"")</f>
        <v/>
      </c>
      <c r="BS92" s="363" t="str">
        <f>_xlfn.IFNA(VLOOKUP($BD92,Programma!$F$3:$U$1107,16,0),"")</f>
        <v/>
      </c>
      <c r="BT92" s="363" t="str">
        <f>_xlfn.IFNA(VLOOKUP($BD92,Programma!$F$3:$V$1107,17,0),"")</f>
        <v/>
      </c>
      <c r="BU92" s="363" t="str">
        <f>_xlfn.IFNA(VLOOKUP($BD92,Programma!$F$3:$W$1107,18,0),"")</f>
        <v/>
      </c>
      <c r="BV92" s="363" t="str">
        <f>_xlfn.IFNA(VLOOKUP($BD92,Programma!$F$3:$X$1107,19,0),"")</f>
        <v/>
      </c>
      <c r="BW92" s="363" t="str">
        <f>_xlfn.IFNA(VLOOKUP($BD92,Programma!$F$3:$Y$1107,20,0),"")</f>
        <v/>
      </c>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row>
    <row r="93" spans="1:220" ht="15" customHeight="1">
      <c r="A93" s="21">
        <v>2</v>
      </c>
      <c r="B93" s="157" t="str">
        <f>VLOOKUP(Ruimtestaat[[#This Row],[Code]],Locaties[[Code]:[Locatie]],2,FALSE)</f>
        <v>'s Gravendreef College</v>
      </c>
      <c r="C93" s="157" t="str">
        <f>VLOOKUP(Ruimtestaat[[#This Row],[Code]],Locaties[[#All],[Code]:[Adres]],4,FALSE)</f>
        <v>Klaas Voskuildreef 135</v>
      </c>
      <c r="D93" s="157" t="str">
        <f>VLOOKUP(Ruimtestaat[[#This Row],[Code]],Locaties[[#All],[Code]:[Postcode]],5,FALSE)</f>
        <v>2492 JJ</v>
      </c>
      <c r="E93" s="157" t="str">
        <f>VLOOKUP(Ruimtestaat[[#This Row],[Code]],Locaties[#All],6,FALSE)</f>
        <v>Den Haag</v>
      </c>
      <c r="F93" s="33" t="s">
        <v>1748</v>
      </c>
      <c r="G93" s="33" t="s">
        <v>1749</v>
      </c>
      <c r="H93" s="368" t="s">
        <v>1753</v>
      </c>
      <c r="I93" s="367" t="s">
        <v>1754</v>
      </c>
      <c r="J93" s="21">
        <v>2</v>
      </c>
      <c r="K93" s="62" t="str">
        <f>VLOOKUP(Ruimtestaat[[#This Row],[Ruimte code]],Ruimtegroepen[[#All],[Code]:[Ruimte omschrijving]],2,FALSE)</f>
        <v>Kantoren</v>
      </c>
      <c r="L93" s="33" t="s">
        <v>101</v>
      </c>
      <c r="M93" s="367" t="s">
        <v>2495</v>
      </c>
      <c r="N93" s="140">
        <v>14.09</v>
      </c>
      <c r="O93" s="140"/>
      <c r="P93" s="125" t="str">
        <f>VLOOKUP(Ruimtestaat[[#This Row],[Ruimte code]],Ruimtegroepen[],4,FALSE)</f>
        <v>Bu</v>
      </c>
      <c r="R93" s="33">
        <v>42</v>
      </c>
      <c r="S93" s="33" t="s">
        <v>18</v>
      </c>
      <c r="T93" s="33">
        <f>IF(R93&gt;0,IF(RIGHT(Ruimtestaat[[#This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3" s="33">
        <f>IF(T93&gt;0,VLOOKUP($J93,Ruimtegroepen[],3,FALSE)*VLOOKUP($L93,Vloersoorten[],3,FALSE)*VLOOKUP($S93,Frequenties[],3,FALSE)*VLOOKUP($A93,Locaties[],3,FALSE),0)</f>
        <v>0</v>
      </c>
      <c r="V93" s="33">
        <f>Ruimtestaat[[#This Row],[Uitvoeringen werkdagen]]*Ruimtestaat[[#This Row],[Oppervlak (netto)]]</f>
        <v>1775.34</v>
      </c>
      <c r="W93" s="154">
        <f>IF(U93&gt;0,Ruimtestaat[[#This Row],[Prest. (m2 /jaar) werkdagen]]/Ruimtestaat[[#This Row],[Norm (m2/uur) werkdagen]],0)</f>
        <v>0</v>
      </c>
      <c r="X93" s="155">
        <f>Ruimtestaat[[#This Row],[uren / jaar werkdagen]]*Tariefsopbouw!$E$35</f>
        <v>0</v>
      </c>
      <c r="Y93" s="33"/>
      <c r="Z93" s="33">
        <f>IF(Ruimtestaat[[#This Row],[Frequentie weekend]]&gt;0,VALUE(LEFT(Y93,1))*R93,0)</f>
        <v>0</v>
      </c>
      <c r="AA93" s="97">
        <f>IF($Z93&gt;0,VLOOKUP($J93,Ruimtegroepen[],3,FALSE)*VLOOKUP($L93,Vloersoorten[],3,FALSE)*VLOOKUP($Y93,Frequenties[],3,FALSE)*VLOOKUP(Ruimtestaat[[#This Row],[Code]],Locaties[],3,FALSE),0)</f>
        <v>0</v>
      </c>
      <c r="AB93" s="97">
        <f>Ruimtestaat[[#This Row],[Uitvoeringen weekend]]*Ruimtestaat[[#This Row],[Oppervlak (netto)]]</f>
        <v>0</v>
      </c>
      <c r="AC93" s="97">
        <f>IF(AA93&gt;0,Ruimtestaat[[#This Row],[Prest. (m2 /jaar) weekend]]/Ruimtestaat[[#This Row],[Norm (m2/uur) weekend]],0)</f>
        <v>0</v>
      </c>
      <c r="AD93" s="155">
        <f>Ruimtestaat[[#This Row],[uren / jaar weekend]]*Tariefsopbouw!$D$40</f>
        <v>0</v>
      </c>
      <c r="AE93" s="154">
        <f>Ruimtestaat[[#This Row],[Prest. (m2 /jaar) weekend]]+Ruimtestaat[[#This Row],[Prest. (m2 /jaar) werkdagen]]</f>
        <v>1775.34</v>
      </c>
      <c r="AF93" s="154">
        <f>Ruimtestaat[[#This Row],[uren / jaar weekend]]+Ruimtestaat[[#This Row],[uren / jaar werkdagen]]</f>
        <v>0</v>
      </c>
      <c r="AG93" s="69">
        <f>Ruimtestaat[[#This Row],[kosten / jaar weekend]]+Ruimtestaat[[#This Row],[kosten / jaar werkdagen]]</f>
        <v>0</v>
      </c>
      <c r="AH93" s="69"/>
      <c r="AI93" s="256" t="str">
        <f>IF(Ruimtestaat[[#This Row],[Frequentie werkdagen]]="","",_xlfn.CONCAT(Ruimtestaat[[#This Row],[Ruimte code]],"-",Ruimtestaat[[#This Row],[Frequentie werkdagen]]," ",Ruimtestaat[[#This Row],[Vloer code]]))</f>
        <v>2-3w L</v>
      </c>
      <c r="AJ93" s="363" t="str">
        <f>_xlfn.IFNA(VLOOKUP($AI93,Programma!$F$3:$G$1107,2,0),"")</f>
        <v>_</v>
      </c>
      <c r="AK93" s="363" t="str">
        <f>_xlfn.IFNA(VLOOKUP($AI93,Programma!$F$3:$H$1107,3,0),"")</f>
        <v>_</v>
      </c>
      <c r="AL93" s="363" t="str">
        <f>_xlfn.IFNA(VLOOKUP($AI93,Programma!$F$3:$I$1107,4,0),"")</f>
        <v>2w</v>
      </c>
      <c r="AM93" s="363" t="str">
        <f>_xlfn.IFNA(VLOOKUP($AI93,Programma!$F$3:$J$1107,5,0),"")</f>
        <v>1w</v>
      </c>
      <c r="AN93" s="363" t="str">
        <f>_xlfn.IFNA(VLOOKUP($AI93,Programma!$F$3:$K$1107,6,0),"")</f>
        <v>_</v>
      </c>
      <c r="AO93" s="363" t="str">
        <f>_xlfn.IFNA(VLOOKUP($AI93,Programma!$F$3:$L$1107,7,0),"")</f>
        <v>_</v>
      </c>
      <c r="AP93" s="363" t="str">
        <f>_xlfn.IFNA(VLOOKUP($AI93,Programma!$F$3:$M$1107,8,0),"")</f>
        <v>_</v>
      </c>
      <c r="AQ93" s="363" t="str">
        <f>_xlfn.IFNA(VLOOKUP($AI93,Programma!$F$3:$N$1107,9,0),"")</f>
        <v>_</v>
      </c>
      <c r="AR93" s="363" t="str">
        <f>_xlfn.IFNA(VLOOKUP($AI93,Programma!$F$3:$O$1107,10,0),"")</f>
        <v>3w</v>
      </c>
      <c r="AS93" s="363" t="str">
        <f>_xlfn.IFNA(VLOOKUP($AI93,Programma!$F$3:$P$1107,11,0),"")</f>
        <v>3w</v>
      </c>
      <c r="AT93" s="363" t="str">
        <f>_xlfn.IFNA(VLOOKUP($AI93,Programma!$F$3:$Q$1107,12,0),"")</f>
        <v>1w</v>
      </c>
      <c r="AU93" s="363" t="str">
        <f>_xlfn.IFNA(VLOOKUP($AI93,Programma!$F$3:$R$1107,13,0),"")</f>
        <v>1w</v>
      </c>
      <c r="AV93" s="363" t="str">
        <f>_xlfn.IFNA(VLOOKUP($AI93,Programma!$F$3:$S$1107,14,0),"")</f>
        <v>1m</v>
      </c>
      <c r="AW93" s="363" t="str">
        <f>_xlfn.IFNA(VLOOKUP($AI93,Programma!$F$3:$T$1107,15,0),"")</f>
        <v>2j</v>
      </c>
      <c r="AX93" s="363" t="str">
        <f>_xlfn.IFNA(VLOOKUP($AI93,Programma!$F$3:$U$1107,16,0),"")</f>
        <v>1j</v>
      </c>
      <c r="AY93" s="363" t="str">
        <f>_xlfn.IFNA(VLOOKUP($AI93,Programma!$F$3:$V$1107,17,0),"")</f>
        <v>_</v>
      </c>
      <c r="AZ93" s="363" t="str">
        <f>_xlfn.IFNA(VLOOKUP($AI93,Programma!$F$3:$W$1107,18,0),"")</f>
        <v>_</v>
      </c>
      <c r="BA93" s="363" t="str">
        <f>_xlfn.IFNA(VLOOKUP($AI93,Programma!$F$3:$X$1107,19,0),"")</f>
        <v>_</v>
      </c>
      <c r="BB93" s="363" t="str">
        <f>_xlfn.IFNA(VLOOKUP($AI93,Programma!$F$3:$Y$1107,20,0),"")</f>
        <v>_</v>
      </c>
      <c r="BC93" s="257"/>
      <c r="BD93" s="256" t="str">
        <f>IF(Ruimtestaat[[#This Row],[Frequentie weekend]]="","",_xlfn.CONCAT(Ruimtestaat[[#This Row],[Ruimte code]],"-",Ruimtestaat[[#This Row],[Frequentie weekend]]," ",Ruimtestaat[[#This Row],[Vloer code]]))</f>
        <v/>
      </c>
      <c r="BE93" s="363" t="str">
        <f>_xlfn.IFNA(VLOOKUP($BD93,Programma!$F$3:$G$1107,2,0),"")</f>
        <v/>
      </c>
      <c r="BF93" s="363" t="str">
        <f>_xlfn.IFNA(VLOOKUP($BD93,Programma!$F$3:$H$1107,3,0),"")</f>
        <v/>
      </c>
      <c r="BG93" s="363" t="str">
        <f>_xlfn.IFNA(VLOOKUP($BD93,Programma!$F$3:$I$1107,4,0),"")</f>
        <v/>
      </c>
      <c r="BH93" s="363" t="str">
        <f>_xlfn.IFNA(VLOOKUP($BD93,Programma!$F$3:$J$1107,5,0),"")</f>
        <v/>
      </c>
      <c r="BI93" s="363" t="str">
        <f>_xlfn.IFNA(VLOOKUP($BD93,Programma!$F$3:$K$1107,6,0),"")</f>
        <v/>
      </c>
      <c r="BJ93" s="363" t="str">
        <f>_xlfn.IFNA(VLOOKUP($BD93,Programma!$F$3:$L$1107,7,0),"")</f>
        <v/>
      </c>
      <c r="BK93" s="363" t="str">
        <f>_xlfn.IFNA(VLOOKUP($BD93,Programma!$F$3:$M$1107,8,0),"")</f>
        <v/>
      </c>
      <c r="BL93" s="363" t="str">
        <f>_xlfn.IFNA(VLOOKUP($BD93,Programma!$F$3:$N$1107,9,0),"")</f>
        <v/>
      </c>
      <c r="BM93" s="363" t="str">
        <f>_xlfn.IFNA(VLOOKUP($BD93,Programma!$F$3:$O$1107,10,0),"")</f>
        <v/>
      </c>
      <c r="BN93" s="363" t="str">
        <f>_xlfn.IFNA(VLOOKUP($BD93,Programma!$F$3:$P$1107,11,0),"")</f>
        <v/>
      </c>
      <c r="BO93" s="363" t="str">
        <f>_xlfn.IFNA(VLOOKUP($BD93,Programma!$F$3:$Q$1107,12,0),"")</f>
        <v/>
      </c>
      <c r="BP93" s="363" t="str">
        <f>_xlfn.IFNA(VLOOKUP($BD93,Programma!$F$3:$R$1107,13,0),"")</f>
        <v/>
      </c>
      <c r="BQ93" s="363" t="str">
        <f>_xlfn.IFNA(VLOOKUP($BD93,Programma!$F$3:$S$1107,14,0),"")</f>
        <v/>
      </c>
      <c r="BR93" s="363" t="str">
        <f>_xlfn.IFNA(VLOOKUP($BD93,Programma!$F$3:$T$1107,15,0),"")</f>
        <v/>
      </c>
      <c r="BS93" s="363" t="str">
        <f>_xlfn.IFNA(VLOOKUP($BD93,Programma!$F$3:$U$1107,16,0),"")</f>
        <v/>
      </c>
      <c r="BT93" s="363" t="str">
        <f>_xlfn.IFNA(VLOOKUP($BD93,Programma!$F$3:$V$1107,17,0),"")</f>
        <v/>
      </c>
      <c r="BU93" s="363" t="str">
        <f>_xlfn.IFNA(VLOOKUP($BD93,Programma!$F$3:$W$1107,18,0),"")</f>
        <v/>
      </c>
      <c r="BV93" s="363" t="str">
        <f>_xlfn.IFNA(VLOOKUP($BD93,Programma!$F$3:$X$1107,19,0),"")</f>
        <v/>
      </c>
      <c r="BW93" s="363" t="str">
        <f>_xlfn.IFNA(VLOOKUP($BD93,Programma!$F$3:$Y$1107,20,0),"")</f>
        <v/>
      </c>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row>
    <row r="94" spans="1:220" ht="15" customHeight="1">
      <c r="A94" s="21">
        <v>2</v>
      </c>
      <c r="B94" s="157" t="str">
        <f>VLOOKUP(Ruimtestaat[[#This Row],[Code]],Locaties[[Code]:[Locatie]],2,FALSE)</f>
        <v>'s Gravendreef College</v>
      </c>
      <c r="C94" s="157" t="str">
        <f>VLOOKUP(Ruimtestaat[[#This Row],[Code]],Locaties[[#All],[Code]:[Adres]],4,FALSE)</f>
        <v>Klaas Voskuildreef 135</v>
      </c>
      <c r="D94" s="157" t="str">
        <f>VLOOKUP(Ruimtestaat[[#This Row],[Code]],Locaties[[#All],[Code]:[Postcode]],5,FALSE)</f>
        <v>2492 JJ</v>
      </c>
      <c r="E94" s="157" t="str">
        <f>VLOOKUP(Ruimtestaat[[#This Row],[Code]],Locaties[#All],6,FALSE)</f>
        <v>Den Haag</v>
      </c>
      <c r="F94" s="33" t="s">
        <v>1748</v>
      </c>
      <c r="G94" s="33" t="s">
        <v>1749</v>
      </c>
      <c r="H94" s="298" t="s">
        <v>1755</v>
      </c>
      <c r="I94" s="62" t="s">
        <v>1756</v>
      </c>
      <c r="J94" s="21">
        <v>10</v>
      </c>
      <c r="K94" s="62" t="str">
        <f>VLOOKUP(Ruimtestaat[[#This Row],[Ruimte code]],Ruimtegroepen[[#All],[Code]:[Ruimte omschrijving]],2,FALSE)</f>
        <v>Trappenhuizen/lift</v>
      </c>
      <c r="L94" s="33" t="s">
        <v>101</v>
      </c>
      <c r="M94" s="367" t="s">
        <v>2495</v>
      </c>
      <c r="N94" s="140">
        <v>17.62</v>
      </c>
      <c r="O94" s="140"/>
      <c r="P94" s="125" t="str">
        <f>VLOOKUP(Ruimtestaat[[#This Row],[Ruimte code]],Ruimtegroepen[],4,FALSE)</f>
        <v>Ve</v>
      </c>
      <c r="R94" s="33">
        <v>40</v>
      </c>
      <c r="S94" s="33" t="s">
        <v>2</v>
      </c>
      <c r="T94" s="33">
        <f>IF(R94&gt;0,IF(RIGHT(Ruimtestaat[[#This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4" s="33">
        <f>IF(T94&gt;0,VLOOKUP($J94,Ruimtegroepen[],3,FALSE)*VLOOKUP($L94,Vloersoorten[],3,FALSE)*VLOOKUP($S94,Frequenties[],3,FALSE)*VLOOKUP($A94,Locaties[],3,FALSE),0)</f>
        <v>0</v>
      </c>
      <c r="V94" s="33">
        <f>Ruimtestaat[[#This Row],[Uitvoeringen werkdagen]]*Ruimtestaat[[#This Row],[Oppervlak (netto)]]</f>
        <v>3524</v>
      </c>
      <c r="W94" s="154">
        <f>IF(U94&gt;0,Ruimtestaat[[#This Row],[Prest. (m2 /jaar) werkdagen]]/Ruimtestaat[[#This Row],[Norm (m2/uur) werkdagen]],0)</f>
        <v>0</v>
      </c>
      <c r="X94" s="155">
        <f>Ruimtestaat[[#This Row],[uren / jaar werkdagen]]*Tariefsopbouw!$E$35</f>
        <v>0</v>
      </c>
      <c r="Y94" s="33"/>
      <c r="Z94" s="33">
        <f>IF(Ruimtestaat[[#This Row],[Frequentie weekend]]&gt;0,VALUE(LEFT(Y94,1))*R94,0)</f>
        <v>0</v>
      </c>
      <c r="AA94" s="97">
        <f>IF($Z94&gt;0,VLOOKUP($J94,Ruimtegroepen[],3,FALSE)*VLOOKUP($L94,Vloersoorten[],3,FALSE)*VLOOKUP($Y94,Frequenties[],3,FALSE)*VLOOKUP(Ruimtestaat[[#This Row],[Code]],Locaties[],3,FALSE),0)</f>
        <v>0</v>
      </c>
      <c r="AB94" s="97">
        <f>Ruimtestaat[[#This Row],[Uitvoeringen weekend]]*Ruimtestaat[[#This Row],[Oppervlak (netto)]]</f>
        <v>0</v>
      </c>
      <c r="AC94" s="97">
        <f>IF(AA94&gt;0,Ruimtestaat[[#This Row],[Prest. (m2 /jaar) weekend]]/Ruimtestaat[[#This Row],[Norm (m2/uur) weekend]],0)</f>
        <v>0</v>
      </c>
      <c r="AD94" s="155">
        <f>Ruimtestaat[[#This Row],[uren / jaar weekend]]*Tariefsopbouw!$D$40</f>
        <v>0</v>
      </c>
      <c r="AE94" s="154">
        <f>Ruimtestaat[[#This Row],[Prest. (m2 /jaar) weekend]]+Ruimtestaat[[#This Row],[Prest. (m2 /jaar) werkdagen]]</f>
        <v>3524</v>
      </c>
      <c r="AF94" s="154">
        <f>Ruimtestaat[[#This Row],[uren / jaar weekend]]+Ruimtestaat[[#This Row],[uren / jaar werkdagen]]</f>
        <v>0</v>
      </c>
      <c r="AG94" s="69">
        <f>Ruimtestaat[[#This Row],[kosten / jaar weekend]]+Ruimtestaat[[#This Row],[kosten / jaar werkdagen]]</f>
        <v>0</v>
      </c>
      <c r="AH94" s="69"/>
      <c r="AI94" s="256" t="str">
        <f>IF(Ruimtestaat[[#This Row],[Frequentie werkdagen]]="","",_xlfn.CONCAT(Ruimtestaat[[#This Row],[Ruimte code]],"-",Ruimtestaat[[#This Row],[Frequentie werkdagen]]," ",Ruimtestaat[[#This Row],[Vloer code]]))</f>
        <v>10-5w L</v>
      </c>
      <c r="AJ94" s="363" t="str">
        <f>_xlfn.IFNA(VLOOKUP($AI94,Programma!$F$3:$G$1107,2,0),"")</f>
        <v>_</v>
      </c>
      <c r="AK94" s="363" t="str">
        <f>_xlfn.IFNA(VLOOKUP($AI94,Programma!$F$3:$H$1107,3,0),"")</f>
        <v>_</v>
      </c>
      <c r="AL94" s="363" t="str">
        <f>_xlfn.IFNA(VLOOKUP($AI94,Programma!$F$3:$I$1107,4,0),"")</f>
        <v>4w</v>
      </c>
      <c r="AM94" s="363" t="str">
        <f>_xlfn.IFNA(VLOOKUP($AI94,Programma!$F$3:$J$1107,5,0),"")</f>
        <v>1w</v>
      </c>
      <c r="AN94" s="363" t="str">
        <f>_xlfn.IFNA(VLOOKUP($AI94,Programma!$F$3:$K$1107,6,0),"")</f>
        <v>_</v>
      </c>
      <c r="AO94" s="363" t="str">
        <f>_xlfn.IFNA(VLOOKUP($AI94,Programma!$F$3:$L$1107,7,0),"")</f>
        <v>_</v>
      </c>
      <c r="AP94" s="363" t="str">
        <f>_xlfn.IFNA(VLOOKUP($AI94,Programma!$F$3:$M$1107,8,0),"")</f>
        <v>_</v>
      </c>
      <c r="AQ94" s="363" t="str">
        <f>_xlfn.IFNA(VLOOKUP($AI94,Programma!$F$3:$N$1107,9,0),"")</f>
        <v>_</v>
      </c>
      <c r="AR94" s="363" t="str">
        <f>_xlfn.IFNA(VLOOKUP($AI94,Programma!$F$3:$O$1107,10,0),"")</f>
        <v>5w</v>
      </c>
      <c r="AS94" s="363" t="str">
        <f>_xlfn.IFNA(VLOOKUP($AI94,Programma!$F$3:$P$1107,11,0),"")</f>
        <v>5w</v>
      </c>
      <c r="AT94" s="363" t="str">
        <f>_xlfn.IFNA(VLOOKUP($AI94,Programma!$F$3:$Q$1107,12,0),"")</f>
        <v>1w</v>
      </c>
      <c r="AU94" s="363" t="str">
        <f>_xlfn.IFNA(VLOOKUP($AI94,Programma!$F$3:$R$1107,13,0),"")</f>
        <v>1w</v>
      </c>
      <c r="AV94" s="363" t="str">
        <f>_xlfn.IFNA(VLOOKUP($AI94,Programma!$F$3:$S$1107,14,0),"")</f>
        <v>1m</v>
      </c>
      <c r="AW94" s="363" t="str">
        <f>_xlfn.IFNA(VLOOKUP($AI94,Programma!$F$3:$T$1107,15,0),"")</f>
        <v>2j</v>
      </c>
      <c r="AX94" s="363" t="str">
        <f>_xlfn.IFNA(VLOOKUP($AI94,Programma!$F$3:$U$1107,16,0),"")</f>
        <v>1j</v>
      </c>
      <c r="AY94" s="363" t="str">
        <f>_xlfn.IFNA(VLOOKUP($AI94,Programma!$F$3:$V$1107,17,0),"")</f>
        <v>_</v>
      </c>
      <c r="AZ94" s="363" t="str">
        <f>_xlfn.IFNA(VLOOKUP($AI94,Programma!$F$3:$W$1107,18,0),"")</f>
        <v>_</v>
      </c>
      <c r="BA94" s="363" t="str">
        <f>_xlfn.IFNA(VLOOKUP($AI94,Programma!$F$3:$X$1107,19,0),"")</f>
        <v>_</v>
      </c>
      <c r="BB94" s="363" t="str">
        <f>_xlfn.IFNA(VLOOKUP($AI94,Programma!$F$3:$Y$1107,20,0),"")</f>
        <v>_</v>
      </c>
      <c r="BC94" s="257"/>
      <c r="BD94" s="256" t="str">
        <f>IF(Ruimtestaat[[#This Row],[Frequentie weekend]]="","",_xlfn.CONCAT(Ruimtestaat[[#This Row],[Ruimte code]],"-",Ruimtestaat[[#This Row],[Frequentie weekend]]," ",Ruimtestaat[[#This Row],[Vloer code]]))</f>
        <v/>
      </c>
      <c r="BE94" s="363" t="str">
        <f>_xlfn.IFNA(VLOOKUP($BD94,Programma!$F$3:$G$1107,2,0),"")</f>
        <v/>
      </c>
      <c r="BF94" s="363" t="str">
        <f>_xlfn.IFNA(VLOOKUP($BD94,Programma!$F$3:$H$1107,3,0),"")</f>
        <v/>
      </c>
      <c r="BG94" s="363" t="str">
        <f>_xlfn.IFNA(VLOOKUP($BD94,Programma!$F$3:$I$1107,4,0),"")</f>
        <v/>
      </c>
      <c r="BH94" s="363" t="str">
        <f>_xlfn.IFNA(VLOOKUP($BD94,Programma!$F$3:$J$1107,5,0),"")</f>
        <v/>
      </c>
      <c r="BI94" s="363" t="str">
        <f>_xlfn.IFNA(VLOOKUP($BD94,Programma!$F$3:$K$1107,6,0),"")</f>
        <v/>
      </c>
      <c r="BJ94" s="363" t="str">
        <f>_xlfn.IFNA(VLOOKUP($BD94,Programma!$F$3:$L$1107,7,0),"")</f>
        <v/>
      </c>
      <c r="BK94" s="363" t="str">
        <f>_xlfn.IFNA(VLOOKUP($BD94,Programma!$F$3:$M$1107,8,0),"")</f>
        <v/>
      </c>
      <c r="BL94" s="363" t="str">
        <f>_xlfn.IFNA(VLOOKUP($BD94,Programma!$F$3:$N$1107,9,0),"")</f>
        <v/>
      </c>
      <c r="BM94" s="363" t="str">
        <f>_xlfn.IFNA(VLOOKUP($BD94,Programma!$F$3:$O$1107,10,0),"")</f>
        <v/>
      </c>
      <c r="BN94" s="363" t="str">
        <f>_xlfn.IFNA(VLOOKUP($BD94,Programma!$F$3:$P$1107,11,0),"")</f>
        <v/>
      </c>
      <c r="BO94" s="363" t="str">
        <f>_xlfn.IFNA(VLOOKUP($BD94,Programma!$F$3:$Q$1107,12,0),"")</f>
        <v/>
      </c>
      <c r="BP94" s="363" t="str">
        <f>_xlfn.IFNA(VLOOKUP($BD94,Programma!$F$3:$R$1107,13,0),"")</f>
        <v/>
      </c>
      <c r="BQ94" s="363" t="str">
        <f>_xlfn.IFNA(VLOOKUP($BD94,Programma!$F$3:$S$1107,14,0),"")</f>
        <v/>
      </c>
      <c r="BR94" s="363" t="str">
        <f>_xlfn.IFNA(VLOOKUP($BD94,Programma!$F$3:$T$1107,15,0),"")</f>
        <v/>
      </c>
      <c r="BS94" s="363" t="str">
        <f>_xlfn.IFNA(VLOOKUP($BD94,Programma!$F$3:$U$1107,16,0),"")</f>
        <v/>
      </c>
      <c r="BT94" s="363" t="str">
        <f>_xlfn.IFNA(VLOOKUP($BD94,Programma!$F$3:$V$1107,17,0),"")</f>
        <v/>
      </c>
      <c r="BU94" s="363" t="str">
        <f>_xlfn.IFNA(VLOOKUP($BD94,Programma!$F$3:$W$1107,18,0),"")</f>
        <v/>
      </c>
      <c r="BV94" s="363" t="str">
        <f>_xlfn.IFNA(VLOOKUP($BD94,Programma!$F$3:$X$1107,19,0),"")</f>
        <v/>
      </c>
      <c r="BW94" s="363" t="str">
        <f>_xlfn.IFNA(VLOOKUP($BD94,Programma!$F$3:$Y$1107,20,0),"")</f>
        <v/>
      </c>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row>
    <row r="95" spans="1:220" ht="15" customHeight="1">
      <c r="A95" s="21">
        <v>2</v>
      </c>
      <c r="B95" s="157" t="str">
        <f>VLOOKUP(Ruimtestaat[[#This Row],[Code]],Locaties[[Code]:[Locatie]],2,FALSE)</f>
        <v>'s Gravendreef College</v>
      </c>
      <c r="C95" s="157" t="str">
        <f>VLOOKUP(Ruimtestaat[[#This Row],[Code]],Locaties[[#All],[Code]:[Adres]],4,FALSE)</f>
        <v>Klaas Voskuildreef 135</v>
      </c>
      <c r="D95" s="157" t="str">
        <f>VLOOKUP(Ruimtestaat[[#This Row],[Code]],Locaties[[#All],[Code]:[Postcode]],5,FALSE)</f>
        <v>2492 JJ</v>
      </c>
      <c r="E95" s="157" t="str">
        <f>VLOOKUP(Ruimtestaat[[#This Row],[Code]],Locaties[#All],6,FALSE)</f>
        <v>Den Haag</v>
      </c>
      <c r="F95" s="33" t="s">
        <v>1748</v>
      </c>
      <c r="G95" s="33" t="s">
        <v>1749</v>
      </c>
      <c r="H95" s="21" t="s">
        <v>1757</v>
      </c>
      <c r="I95" s="62" t="s">
        <v>1657</v>
      </c>
      <c r="J95" s="21">
        <v>10</v>
      </c>
      <c r="K95" s="62" t="str">
        <f>VLOOKUP(Ruimtestaat[[#This Row],[Ruimte code]],Ruimtegroepen[[#All],[Code]:[Ruimte omschrijving]],2,FALSE)</f>
        <v>Trappenhuizen/lift</v>
      </c>
      <c r="L95" s="33" t="s">
        <v>102</v>
      </c>
      <c r="M95" s="367" t="s">
        <v>2499</v>
      </c>
      <c r="N95" s="140">
        <v>15</v>
      </c>
      <c r="O95" s="140"/>
      <c r="P95" s="125" t="str">
        <f>VLOOKUP(Ruimtestaat[[#This Row],[Ruimte code]],Ruimtegroepen[],4,FALSE)</f>
        <v>Ve</v>
      </c>
      <c r="R95" s="33">
        <v>40</v>
      </c>
      <c r="S95" s="33" t="s">
        <v>2</v>
      </c>
      <c r="T95" s="33">
        <f>IF(R95&gt;0,IF(RIGHT(Ruimtestaat[[#This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 s="33">
        <f>IF(T95&gt;0,VLOOKUP($J95,Ruimtegroepen[],3,FALSE)*VLOOKUP($L95,Vloersoorten[],3,FALSE)*VLOOKUP($S95,Frequenties[],3,FALSE)*VLOOKUP($A95,Locaties[],3,FALSE),0)</f>
        <v>0</v>
      </c>
      <c r="V95" s="33">
        <f>Ruimtestaat[[#This Row],[Uitvoeringen werkdagen]]*Ruimtestaat[[#This Row],[Oppervlak (netto)]]</f>
        <v>3000</v>
      </c>
      <c r="W95" s="154">
        <f>IF(U95&gt;0,Ruimtestaat[[#This Row],[Prest. (m2 /jaar) werkdagen]]/Ruimtestaat[[#This Row],[Norm (m2/uur) werkdagen]],0)</f>
        <v>0</v>
      </c>
      <c r="X95" s="155">
        <f>Ruimtestaat[[#This Row],[uren / jaar werkdagen]]*Tariefsopbouw!$E$35</f>
        <v>0</v>
      </c>
      <c r="Y95" s="33"/>
      <c r="Z95" s="33">
        <f>IF(Ruimtestaat[[#This Row],[Frequentie weekend]]&gt;0,VALUE(LEFT(Y95,1))*R95,0)</f>
        <v>0</v>
      </c>
      <c r="AA95" s="97">
        <f>IF($Z95&gt;0,VLOOKUP($J95,Ruimtegroepen[],3,FALSE)*VLOOKUP($L95,Vloersoorten[],3,FALSE)*VLOOKUP($Y95,Frequenties[],3,FALSE)*VLOOKUP(Ruimtestaat[[#This Row],[Code]],Locaties[],3,FALSE),0)</f>
        <v>0</v>
      </c>
      <c r="AB95" s="97">
        <f>Ruimtestaat[[#This Row],[Uitvoeringen weekend]]*Ruimtestaat[[#This Row],[Oppervlak (netto)]]</f>
        <v>0</v>
      </c>
      <c r="AC95" s="97">
        <f>IF(AA95&gt;0,Ruimtestaat[[#This Row],[Prest. (m2 /jaar) weekend]]/Ruimtestaat[[#This Row],[Norm (m2/uur) weekend]],0)</f>
        <v>0</v>
      </c>
      <c r="AD95" s="155">
        <f>Ruimtestaat[[#This Row],[uren / jaar weekend]]*Tariefsopbouw!$D$40</f>
        <v>0</v>
      </c>
      <c r="AE95" s="154">
        <f>Ruimtestaat[[#This Row],[Prest. (m2 /jaar) weekend]]+Ruimtestaat[[#This Row],[Prest. (m2 /jaar) werkdagen]]</f>
        <v>3000</v>
      </c>
      <c r="AF95" s="154">
        <f>Ruimtestaat[[#This Row],[uren / jaar weekend]]+Ruimtestaat[[#This Row],[uren / jaar werkdagen]]</f>
        <v>0</v>
      </c>
      <c r="AG95" s="69">
        <f>Ruimtestaat[[#This Row],[kosten / jaar weekend]]+Ruimtestaat[[#This Row],[kosten / jaar werkdagen]]</f>
        <v>0</v>
      </c>
      <c r="AH95" s="69"/>
      <c r="AI95" s="256" t="str">
        <f>IF(Ruimtestaat[[#This Row],[Frequentie werkdagen]]="","",_xlfn.CONCAT(Ruimtestaat[[#This Row],[Ruimte code]],"-",Ruimtestaat[[#This Row],[Frequentie werkdagen]]," ",Ruimtestaat[[#This Row],[Vloer code]]))</f>
        <v>10-5w S</v>
      </c>
      <c r="AJ95" s="363" t="str">
        <f>_xlfn.IFNA(VLOOKUP($AI95,Programma!$F$3:$G$1107,2,0),"")</f>
        <v>_</v>
      </c>
      <c r="AK95" s="363" t="str">
        <f>_xlfn.IFNA(VLOOKUP($AI95,Programma!$F$3:$H$1107,3,0),"")</f>
        <v>_</v>
      </c>
      <c r="AL95" s="363" t="str">
        <f>_xlfn.IFNA(VLOOKUP($AI95,Programma!$F$3:$I$1107,4,0),"")</f>
        <v>4w</v>
      </c>
      <c r="AM95" s="363" t="str">
        <f>_xlfn.IFNA(VLOOKUP($AI95,Programma!$F$3:$J$1107,5,0),"")</f>
        <v>1w</v>
      </c>
      <c r="AN95" s="363" t="str">
        <f>_xlfn.IFNA(VLOOKUP($AI95,Programma!$F$3:$K$1107,6,0),"")</f>
        <v>4j</v>
      </c>
      <c r="AO95" s="363" t="str">
        <f>_xlfn.IFNA(VLOOKUP($AI95,Programma!$F$3:$L$1107,7,0),"")</f>
        <v>_</v>
      </c>
      <c r="AP95" s="363" t="str">
        <f>_xlfn.IFNA(VLOOKUP($AI95,Programma!$F$3:$M$1107,8,0),"")</f>
        <v>_</v>
      </c>
      <c r="AQ95" s="363" t="str">
        <f>_xlfn.IFNA(VLOOKUP($AI95,Programma!$F$3:$N$1107,9,0),"")</f>
        <v>_</v>
      </c>
      <c r="AR95" s="363" t="str">
        <f>_xlfn.IFNA(VLOOKUP($AI95,Programma!$F$3:$O$1107,10,0),"")</f>
        <v>5w</v>
      </c>
      <c r="AS95" s="363" t="str">
        <f>_xlfn.IFNA(VLOOKUP($AI95,Programma!$F$3:$P$1107,11,0),"")</f>
        <v>5w</v>
      </c>
      <c r="AT95" s="363" t="str">
        <f>_xlfn.IFNA(VLOOKUP($AI95,Programma!$F$3:$Q$1107,12,0),"")</f>
        <v>1w</v>
      </c>
      <c r="AU95" s="363" t="str">
        <f>_xlfn.IFNA(VLOOKUP($AI95,Programma!$F$3:$R$1107,13,0),"")</f>
        <v>1w</v>
      </c>
      <c r="AV95" s="363" t="str">
        <f>_xlfn.IFNA(VLOOKUP($AI95,Programma!$F$3:$S$1107,14,0),"")</f>
        <v>1m</v>
      </c>
      <c r="AW95" s="363" t="str">
        <f>_xlfn.IFNA(VLOOKUP($AI95,Programma!$F$3:$T$1107,15,0),"")</f>
        <v>2j</v>
      </c>
      <c r="AX95" s="363" t="str">
        <f>_xlfn.IFNA(VLOOKUP($AI95,Programma!$F$3:$U$1107,16,0),"")</f>
        <v>1j</v>
      </c>
      <c r="AY95" s="363" t="str">
        <f>_xlfn.IFNA(VLOOKUP($AI95,Programma!$F$3:$V$1107,17,0),"")</f>
        <v>_</v>
      </c>
      <c r="AZ95" s="363" t="str">
        <f>_xlfn.IFNA(VLOOKUP($AI95,Programma!$F$3:$W$1107,18,0),"")</f>
        <v>_</v>
      </c>
      <c r="BA95" s="363" t="str">
        <f>_xlfn.IFNA(VLOOKUP($AI95,Programma!$F$3:$X$1107,19,0),"")</f>
        <v>_</v>
      </c>
      <c r="BB95" s="363" t="str">
        <f>_xlfn.IFNA(VLOOKUP($AI95,Programma!$F$3:$Y$1107,20,0),"")</f>
        <v>_</v>
      </c>
      <c r="BC95" s="257"/>
      <c r="BD95" s="256" t="str">
        <f>IF(Ruimtestaat[[#This Row],[Frequentie weekend]]="","",_xlfn.CONCAT(Ruimtestaat[[#This Row],[Ruimte code]],"-",Ruimtestaat[[#This Row],[Frequentie weekend]]," ",Ruimtestaat[[#This Row],[Vloer code]]))</f>
        <v/>
      </c>
      <c r="BE95" s="363" t="str">
        <f>_xlfn.IFNA(VLOOKUP($BD95,Programma!$F$3:$G$1107,2,0),"")</f>
        <v/>
      </c>
      <c r="BF95" s="363" t="str">
        <f>_xlfn.IFNA(VLOOKUP($BD95,Programma!$F$3:$H$1107,3,0),"")</f>
        <v/>
      </c>
      <c r="BG95" s="363" t="str">
        <f>_xlfn.IFNA(VLOOKUP($BD95,Programma!$F$3:$I$1107,4,0),"")</f>
        <v/>
      </c>
      <c r="BH95" s="363" t="str">
        <f>_xlfn.IFNA(VLOOKUP($BD95,Programma!$F$3:$J$1107,5,0),"")</f>
        <v/>
      </c>
      <c r="BI95" s="363" t="str">
        <f>_xlfn.IFNA(VLOOKUP($BD95,Programma!$F$3:$K$1107,6,0),"")</f>
        <v/>
      </c>
      <c r="BJ95" s="363" t="str">
        <f>_xlfn.IFNA(VLOOKUP($BD95,Programma!$F$3:$L$1107,7,0),"")</f>
        <v/>
      </c>
      <c r="BK95" s="363" t="str">
        <f>_xlfn.IFNA(VLOOKUP($BD95,Programma!$F$3:$M$1107,8,0),"")</f>
        <v/>
      </c>
      <c r="BL95" s="363" t="str">
        <f>_xlfn.IFNA(VLOOKUP($BD95,Programma!$F$3:$N$1107,9,0),"")</f>
        <v/>
      </c>
      <c r="BM95" s="363" t="str">
        <f>_xlfn.IFNA(VLOOKUP($BD95,Programma!$F$3:$O$1107,10,0),"")</f>
        <v/>
      </c>
      <c r="BN95" s="363" t="str">
        <f>_xlfn.IFNA(VLOOKUP($BD95,Programma!$F$3:$P$1107,11,0),"")</f>
        <v/>
      </c>
      <c r="BO95" s="363" t="str">
        <f>_xlfn.IFNA(VLOOKUP($BD95,Programma!$F$3:$Q$1107,12,0),"")</f>
        <v/>
      </c>
      <c r="BP95" s="363" t="str">
        <f>_xlfn.IFNA(VLOOKUP($BD95,Programma!$F$3:$R$1107,13,0),"")</f>
        <v/>
      </c>
      <c r="BQ95" s="363" t="str">
        <f>_xlfn.IFNA(VLOOKUP($BD95,Programma!$F$3:$S$1107,14,0),"")</f>
        <v/>
      </c>
      <c r="BR95" s="363" t="str">
        <f>_xlfn.IFNA(VLOOKUP($BD95,Programma!$F$3:$T$1107,15,0),"")</f>
        <v/>
      </c>
      <c r="BS95" s="363" t="str">
        <f>_xlfn.IFNA(VLOOKUP($BD95,Programma!$F$3:$U$1107,16,0),"")</f>
        <v/>
      </c>
      <c r="BT95" s="363" t="str">
        <f>_xlfn.IFNA(VLOOKUP($BD95,Programma!$F$3:$V$1107,17,0),"")</f>
        <v/>
      </c>
      <c r="BU95" s="363" t="str">
        <f>_xlfn.IFNA(VLOOKUP($BD95,Programma!$F$3:$W$1107,18,0),"")</f>
        <v/>
      </c>
      <c r="BV95" s="363" t="str">
        <f>_xlfn.IFNA(VLOOKUP($BD95,Programma!$F$3:$X$1107,19,0),"")</f>
        <v/>
      </c>
      <c r="BW95" s="363" t="str">
        <f>_xlfn.IFNA(VLOOKUP($BD95,Programma!$F$3:$Y$1107,20,0),"")</f>
        <v/>
      </c>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row>
    <row r="96" spans="1:220" ht="15" customHeight="1">
      <c r="A96" s="21">
        <v>2</v>
      </c>
      <c r="B96" s="157" t="str">
        <f>VLOOKUP(Ruimtestaat[[#This Row],[Code]],Locaties[[Code]:[Locatie]],2,FALSE)</f>
        <v>'s Gravendreef College</v>
      </c>
      <c r="C96" s="157" t="str">
        <f>VLOOKUP(Ruimtestaat[[#This Row],[Code]],Locaties[[#All],[Code]:[Adres]],4,FALSE)</f>
        <v>Klaas Voskuildreef 135</v>
      </c>
      <c r="D96" s="157" t="str">
        <f>VLOOKUP(Ruimtestaat[[#This Row],[Code]],Locaties[[#All],[Code]:[Postcode]],5,FALSE)</f>
        <v>2492 JJ</v>
      </c>
      <c r="E96" s="157" t="str">
        <f>VLOOKUP(Ruimtestaat[[#This Row],[Code]],Locaties[#All],6,FALSE)</f>
        <v>Den Haag</v>
      </c>
      <c r="F96" s="33" t="s">
        <v>1748</v>
      </c>
      <c r="G96" s="33" t="s">
        <v>1706</v>
      </c>
      <c r="H96" s="21" t="s">
        <v>1758</v>
      </c>
      <c r="I96" s="62" t="s">
        <v>1657</v>
      </c>
      <c r="J96" s="21">
        <v>10</v>
      </c>
      <c r="K96" s="62" t="str">
        <f>VLOOKUP(Ruimtestaat[[#This Row],[Ruimte code]],Ruimtegroepen[[#All],[Code]:[Ruimte omschrijving]],2,FALSE)</f>
        <v>Trappenhuizen/lift</v>
      </c>
      <c r="L96" s="33" t="s">
        <v>102</v>
      </c>
      <c r="M96" s="367" t="s">
        <v>2499</v>
      </c>
      <c r="N96" s="140">
        <v>15</v>
      </c>
      <c r="O96" s="140"/>
      <c r="P96" s="125" t="str">
        <f>VLOOKUP(Ruimtestaat[[#This Row],[Ruimte code]],Ruimtegroepen[],4,FALSE)</f>
        <v>Ve</v>
      </c>
      <c r="R96" s="33">
        <v>40</v>
      </c>
      <c r="S96" s="33" t="s">
        <v>2</v>
      </c>
      <c r="T96" s="33">
        <f>IF(R96&gt;0,IF(RIGHT(Ruimtestaat[[#This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 s="33">
        <f>IF(T96&gt;0,VLOOKUP($J96,Ruimtegroepen[],3,FALSE)*VLOOKUP($L96,Vloersoorten[],3,FALSE)*VLOOKUP($S96,Frequenties[],3,FALSE)*VLOOKUP($A96,Locaties[],3,FALSE),0)</f>
        <v>0</v>
      </c>
      <c r="V96" s="33">
        <f>Ruimtestaat[[#This Row],[Uitvoeringen werkdagen]]*Ruimtestaat[[#This Row],[Oppervlak (netto)]]</f>
        <v>3000</v>
      </c>
      <c r="W96" s="154">
        <f>IF(U96&gt;0,Ruimtestaat[[#This Row],[Prest. (m2 /jaar) werkdagen]]/Ruimtestaat[[#This Row],[Norm (m2/uur) werkdagen]],0)</f>
        <v>0</v>
      </c>
      <c r="X96" s="155">
        <f>Ruimtestaat[[#This Row],[uren / jaar werkdagen]]*Tariefsopbouw!$E$35</f>
        <v>0</v>
      </c>
      <c r="Y96" s="33"/>
      <c r="Z96" s="33">
        <f>IF(Ruimtestaat[[#This Row],[Frequentie weekend]]&gt;0,VALUE(LEFT(Y96,1))*R96,0)</f>
        <v>0</v>
      </c>
      <c r="AA96" s="97">
        <f>IF($Z96&gt;0,VLOOKUP($J96,Ruimtegroepen[],3,FALSE)*VLOOKUP($L96,Vloersoorten[],3,FALSE)*VLOOKUP($Y96,Frequenties[],3,FALSE)*VLOOKUP(Ruimtestaat[[#This Row],[Code]],Locaties[],3,FALSE),0)</f>
        <v>0</v>
      </c>
      <c r="AB96" s="97">
        <f>Ruimtestaat[[#This Row],[Uitvoeringen weekend]]*Ruimtestaat[[#This Row],[Oppervlak (netto)]]</f>
        <v>0</v>
      </c>
      <c r="AC96" s="97">
        <f>IF(AA96&gt;0,Ruimtestaat[[#This Row],[Prest. (m2 /jaar) weekend]]/Ruimtestaat[[#This Row],[Norm (m2/uur) weekend]],0)</f>
        <v>0</v>
      </c>
      <c r="AD96" s="155">
        <f>Ruimtestaat[[#This Row],[uren / jaar weekend]]*Tariefsopbouw!$D$40</f>
        <v>0</v>
      </c>
      <c r="AE96" s="154">
        <f>Ruimtestaat[[#This Row],[Prest. (m2 /jaar) weekend]]+Ruimtestaat[[#This Row],[Prest. (m2 /jaar) werkdagen]]</f>
        <v>3000</v>
      </c>
      <c r="AF96" s="154">
        <f>Ruimtestaat[[#This Row],[uren / jaar weekend]]+Ruimtestaat[[#This Row],[uren / jaar werkdagen]]</f>
        <v>0</v>
      </c>
      <c r="AG96" s="69">
        <f>Ruimtestaat[[#This Row],[kosten / jaar weekend]]+Ruimtestaat[[#This Row],[kosten / jaar werkdagen]]</f>
        <v>0</v>
      </c>
      <c r="AH96" s="69"/>
      <c r="AI96" s="256" t="str">
        <f>IF(Ruimtestaat[[#This Row],[Frequentie werkdagen]]="","",_xlfn.CONCAT(Ruimtestaat[[#This Row],[Ruimte code]],"-",Ruimtestaat[[#This Row],[Frequentie werkdagen]]," ",Ruimtestaat[[#This Row],[Vloer code]]))</f>
        <v>10-5w S</v>
      </c>
      <c r="AJ96" s="363" t="str">
        <f>_xlfn.IFNA(VLOOKUP($AI96,Programma!$F$3:$G$1107,2,0),"")</f>
        <v>_</v>
      </c>
      <c r="AK96" s="363" t="str">
        <f>_xlfn.IFNA(VLOOKUP($AI96,Programma!$F$3:$H$1107,3,0),"")</f>
        <v>_</v>
      </c>
      <c r="AL96" s="363" t="str">
        <f>_xlfn.IFNA(VLOOKUP($AI96,Programma!$F$3:$I$1107,4,0),"")</f>
        <v>4w</v>
      </c>
      <c r="AM96" s="363" t="str">
        <f>_xlfn.IFNA(VLOOKUP($AI96,Programma!$F$3:$J$1107,5,0),"")</f>
        <v>1w</v>
      </c>
      <c r="AN96" s="363" t="str">
        <f>_xlfn.IFNA(VLOOKUP($AI96,Programma!$F$3:$K$1107,6,0),"")</f>
        <v>4j</v>
      </c>
      <c r="AO96" s="363" t="str">
        <f>_xlfn.IFNA(VLOOKUP($AI96,Programma!$F$3:$L$1107,7,0),"")</f>
        <v>_</v>
      </c>
      <c r="AP96" s="363" t="str">
        <f>_xlfn.IFNA(VLOOKUP($AI96,Programma!$F$3:$M$1107,8,0),"")</f>
        <v>_</v>
      </c>
      <c r="AQ96" s="363" t="str">
        <f>_xlfn.IFNA(VLOOKUP($AI96,Programma!$F$3:$N$1107,9,0),"")</f>
        <v>_</v>
      </c>
      <c r="AR96" s="363" t="str">
        <f>_xlfn.IFNA(VLOOKUP($AI96,Programma!$F$3:$O$1107,10,0),"")</f>
        <v>5w</v>
      </c>
      <c r="AS96" s="363" t="str">
        <f>_xlfn.IFNA(VLOOKUP($AI96,Programma!$F$3:$P$1107,11,0),"")</f>
        <v>5w</v>
      </c>
      <c r="AT96" s="363" t="str">
        <f>_xlfn.IFNA(VLOOKUP($AI96,Programma!$F$3:$Q$1107,12,0),"")</f>
        <v>1w</v>
      </c>
      <c r="AU96" s="363" t="str">
        <f>_xlfn.IFNA(VLOOKUP($AI96,Programma!$F$3:$R$1107,13,0),"")</f>
        <v>1w</v>
      </c>
      <c r="AV96" s="363" t="str">
        <f>_xlfn.IFNA(VLOOKUP($AI96,Programma!$F$3:$S$1107,14,0),"")</f>
        <v>1m</v>
      </c>
      <c r="AW96" s="363" t="str">
        <f>_xlfn.IFNA(VLOOKUP($AI96,Programma!$F$3:$T$1107,15,0),"")</f>
        <v>2j</v>
      </c>
      <c r="AX96" s="363" t="str">
        <f>_xlfn.IFNA(VLOOKUP($AI96,Programma!$F$3:$U$1107,16,0),"")</f>
        <v>1j</v>
      </c>
      <c r="AY96" s="363" t="str">
        <f>_xlfn.IFNA(VLOOKUP($AI96,Programma!$F$3:$V$1107,17,0),"")</f>
        <v>_</v>
      </c>
      <c r="AZ96" s="363" t="str">
        <f>_xlfn.IFNA(VLOOKUP($AI96,Programma!$F$3:$W$1107,18,0),"")</f>
        <v>_</v>
      </c>
      <c r="BA96" s="363" t="str">
        <f>_xlfn.IFNA(VLOOKUP($AI96,Programma!$F$3:$X$1107,19,0),"")</f>
        <v>_</v>
      </c>
      <c r="BB96" s="363" t="str">
        <f>_xlfn.IFNA(VLOOKUP($AI96,Programma!$F$3:$Y$1107,20,0),"")</f>
        <v>_</v>
      </c>
      <c r="BC96" s="257"/>
      <c r="BD96" s="256" t="str">
        <f>IF(Ruimtestaat[[#This Row],[Frequentie weekend]]="","",_xlfn.CONCAT(Ruimtestaat[[#This Row],[Ruimte code]],"-",Ruimtestaat[[#This Row],[Frequentie weekend]]," ",Ruimtestaat[[#This Row],[Vloer code]]))</f>
        <v/>
      </c>
      <c r="BE96" s="363" t="str">
        <f>_xlfn.IFNA(VLOOKUP($BD96,Programma!$F$3:$G$1107,2,0),"")</f>
        <v/>
      </c>
      <c r="BF96" s="363" t="str">
        <f>_xlfn.IFNA(VLOOKUP($BD96,Programma!$F$3:$H$1107,3,0),"")</f>
        <v/>
      </c>
      <c r="BG96" s="363" t="str">
        <f>_xlfn.IFNA(VLOOKUP($BD96,Programma!$F$3:$I$1107,4,0),"")</f>
        <v/>
      </c>
      <c r="BH96" s="363" t="str">
        <f>_xlfn.IFNA(VLOOKUP($BD96,Programma!$F$3:$J$1107,5,0),"")</f>
        <v/>
      </c>
      <c r="BI96" s="363" t="str">
        <f>_xlfn.IFNA(VLOOKUP($BD96,Programma!$F$3:$K$1107,6,0),"")</f>
        <v/>
      </c>
      <c r="BJ96" s="363" t="str">
        <f>_xlfn.IFNA(VLOOKUP($BD96,Programma!$F$3:$L$1107,7,0),"")</f>
        <v/>
      </c>
      <c r="BK96" s="363" t="str">
        <f>_xlfn.IFNA(VLOOKUP($BD96,Programma!$F$3:$M$1107,8,0),"")</f>
        <v/>
      </c>
      <c r="BL96" s="363" t="str">
        <f>_xlfn.IFNA(VLOOKUP($BD96,Programma!$F$3:$N$1107,9,0),"")</f>
        <v/>
      </c>
      <c r="BM96" s="363" t="str">
        <f>_xlfn.IFNA(VLOOKUP($BD96,Programma!$F$3:$O$1107,10,0),"")</f>
        <v/>
      </c>
      <c r="BN96" s="363" t="str">
        <f>_xlfn.IFNA(VLOOKUP($BD96,Programma!$F$3:$P$1107,11,0),"")</f>
        <v/>
      </c>
      <c r="BO96" s="363" t="str">
        <f>_xlfn.IFNA(VLOOKUP($BD96,Programma!$F$3:$Q$1107,12,0),"")</f>
        <v/>
      </c>
      <c r="BP96" s="363" t="str">
        <f>_xlfn.IFNA(VLOOKUP($BD96,Programma!$F$3:$R$1107,13,0),"")</f>
        <v/>
      </c>
      <c r="BQ96" s="363" t="str">
        <f>_xlfn.IFNA(VLOOKUP($BD96,Programma!$F$3:$S$1107,14,0),"")</f>
        <v/>
      </c>
      <c r="BR96" s="363" t="str">
        <f>_xlfn.IFNA(VLOOKUP($BD96,Programma!$F$3:$T$1107,15,0),"")</f>
        <v/>
      </c>
      <c r="BS96" s="363" t="str">
        <f>_xlfn.IFNA(VLOOKUP($BD96,Programma!$F$3:$U$1107,16,0),"")</f>
        <v/>
      </c>
      <c r="BT96" s="363" t="str">
        <f>_xlfn.IFNA(VLOOKUP($BD96,Programma!$F$3:$V$1107,17,0),"")</f>
        <v/>
      </c>
      <c r="BU96" s="363" t="str">
        <f>_xlfn.IFNA(VLOOKUP($BD96,Programma!$F$3:$W$1107,18,0),"")</f>
        <v/>
      </c>
      <c r="BV96" s="363" t="str">
        <f>_xlfn.IFNA(VLOOKUP($BD96,Programma!$F$3:$X$1107,19,0),"")</f>
        <v/>
      </c>
      <c r="BW96" s="363" t="str">
        <f>_xlfn.IFNA(VLOOKUP($BD96,Programma!$F$3:$Y$1107,20,0),"")</f>
        <v/>
      </c>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row>
    <row r="97" spans="1:220" ht="15" customHeight="1">
      <c r="A97" s="21">
        <v>2</v>
      </c>
      <c r="B97" s="157" t="str">
        <f>VLOOKUP(Ruimtestaat[[#This Row],[Code]],Locaties[[Code]:[Locatie]],2,FALSE)</f>
        <v>'s Gravendreef College</v>
      </c>
      <c r="C97" s="157" t="str">
        <f>VLOOKUP(Ruimtestaat[[#This Row],[Code]],Locaties[[#All],[Code]:[Adres]],4,FALSE)</f>
        <v>Klaas Voskuildreef 135</v>
      </c>
      <c r="D97" s="157" t="str">
        <f>VLOOKUP(Ruimtestaat[[#This Row],[Code]],Locaties[[#All],[Code]:[Postcode]],5,FALSE)</f>
        <v>2492 JJ</v>
      </c>
      <c r="E97" s="157" t="str">
        <f>VLOOKUP(Ruimtestaat[[#This Row],[Code]],Locaties[#All],6,FALSE)</f>
        <v>Den Haag</v>
      </c>
      <c r="F97" s="33" t="s">
        <v>1748</v>
      </c>
      <c r="G97" s="33" t="s">
        <v>1706</v>
      </c>
      <c r="H97" s="21" t="s">
        <v>1759</v>
      </c>
      <c r="I97" s="62" t="s">
        <v>1756</v>
      </c>
      <c r="J97" s="21">
        <v>10</v>
      </c>
      <c r="K97" s="62" t="str">
        <f>VLOOKUP(Ruimtestaat[[#This Row],[Ruimte code]],Ruimtegroepen[[#All],[Code]:[Ruimte omschrijving]],2,FALSE)</f>
        <v>Trappenhuizen/lift</v>
      </c>
      <c r="L97" s="33" t="s">
        <v>101</v>
      </c>
      <c r="M97" s="367" t="s">
        <v>2495</v>
      </c>
      <c r="N97" s="140">
        <v>10.68</v>
      </c>
      <c r="O97" s="140"/>
      <c r="P97" s="125" t="str">
        <f>VLOOKUP(Ruimtestaat[[#This Row],[Ruimte code]],Ruimtegroepen[],4,FALSE)</f>
        <v>Ve</v>
      </c>
      <c r="R97" s="33">
        <v>40</v>
      </c>
      <c r="S97" s="33" t="s">
        <v>2</v>
      </c>
      <c r="T97" s="33">
        <f>IF(R97&gt;0,IF(RIGHT(Ruimtestaat[[#This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 s="33">
        <f>IF(T97&gt;0,VLOOKUP($J97,Ruimtegroepen[],3,FALSE)*VLOOKUP($L97,Vloersoorten[],3,FALSE)*VLOOKUP($S97,Frequenties[],3,FALSE)*VLOOKUP($A97,Locaties[],3,FALSE),0)</f>
        <v>0</v>
      </c>
      <c r="V97" s="33">
        <f>Ruimtestaat[[#This Row],[Uitvoeringen werkdagen]]*Ruimtestaat[[#This Row],[Oppervlak (netto)]]</f>
        <v>2136</v>
      </c>
      <c r="W97" s="154">
        <f>IF(U97&gt;0,Ruimtestaat[[#This Row],[Prest. (m2 /jaar) werkdagen]]/Ruimtestaat[[#This Row],[Norm (m2/uur) werkdagen]],0)</f>
        <v>0</v>
      </c>
      <c r="X97" s="155">
        <f>Ruimtestaat[[#This Row],[uren / jaar werkdagen]]*Tariefsopbouw!$E$35</f>
        <v>0</v>
      </c>
      <c r="Y97" s="33"/>
      <c r="Z97" s="33">
        <f>IF(Ruimtestaat[[#This Row],[Frequentie weekend]]&gt;0,VALUE(LEFT(Y97,1))*R97,0)</f>
        <v>0</v>
      </c>
      <c r="AA97" s="97">
        <f>IF($Z97&gt;0,VLOOKUP($J97,Ruimtegroepen[],3,FALSE)*VLOOKUP($L97,Vloersoorten[],3,FALSE)*VLOOKUP($Y97,Frequenties[],3,FALSE)*VLOOKUP(Ruimtestaat[[#This Row],[Code]],Locaties[],3,FALSE),0)</f>
        <v>0</v>
      </c>
      <c r="AB97" s="97">
        <f>Ruimtestaat[[#This Row],[Uitvoeringen weekend]]*Ruimtestaat[[#This Row],[Oppervlak (netto)]]</f>
        <v>0</v>
      </c>
      <c r="AC97" s="97">
        <f>IF(AA97&gt;0,Ruimtestaat[[#This Row],[Prest. (m2 /jaar) weekend]]/Ruimtestaat[[#This Row],[Norm (m2/uur) weekend]],0)</f>
        <v>0</v>
      </c>
      <c r="AD97" s="155">
        <f>Ruimtestaat[[#This Row],[uren / jaar weekend]]*Tariefsopbouw!$D$40</f>
        <v>0</v>
      </c>
      <c r="AE97" s="154">
        <f>Ruimtestaat[[#This Row],[Prest. (m2 /jaar) weekend]]+Ruimtestaat[[#This Row],[Prest. (m2 /jaar) werkdagen]]</f>
        <v>2136</v>
      </c>
      <c r="AF97" s="154">
        <f>Ruimtestaat[[#This Row],[uren / jaar weekend]]+Ruimtestaat[[#This Row],[uren / jaar werkdagen]]</f>
        <v>0</v>
      </c>
      <c r="AG97" s="69">
        <f>Ruimtestaat[[#This Row],[kosten / jaar weekend]]+Ruimtestaat[[#This Row],[kosten / jaar werkdagen]]</f>
        <v>0</v>
      </c>
      <c r="AH97" s="69"/>
      <c r="AI97" s="256" t="str">
        <f>IF(Ruimtestaat[[#This Row],[Frequentie werkdagen]]="","",_xlfn.CONCAT(Ruimtestaat[[#This Row],[Ruimte code]],"-",Ruimtestaat[[#This Row],[Frequentie werkdagen]]," ",Ruimtestaat[[#This Row],[Vloer code]]))</f>
        <v>10-5w L</v>
      </c>
      <c r="AJ97" s="363" t="str">
        <f>_xlfn.IFNA(VLOOKUP($AI97,Programma!$F$3:$G$1107,2,0),"")</f>
        <v>_</v>
      </c>
      <c r="AK97" s="363" t="str">
        <f>_xlfn.IFNA(VLOOKUP($AI97,Programma!$F$3:$H$1107,3,0),"")</f>
        <v>_</v>
      </c>
      <c r="AL97" s="363" t="str">
        <f>_xlfn.IFNA(VLOOKUP($AI97,Programma!$F$3:$I$1107,4,0),"")</f>
        <v>4w</v>
      </c>
      <c r="AM97" s="363" t="str">
        <f>_xlfn.IFNA(VLOOKUP($AI97,Programma!$F$3:$J$1107,5,0),"")</f>
        <v>1w</v>
      </c>
      <c r="AN97" s="363" t="str">
        <f>_xlfn.IFNA(VLOOKUP($AI97,Programma!$F$3:$K$1107,6,0),"")</f>
        <v>_</v>
      </c>
      <c r="AO97" s="363" t="str">
        <f>_xlfn.IFNA(VLOOKUP($AI97,Programma!$F$3:$L$1107,7,0),"")</f>
        <v>_</v>
      </c>
      <c r="AP97" s="363" t="str">
        <f>_xlfn.IFNA(VLOOKUP($AI97,Programma!$F$3:$M$1107,8,0),"")</f>
        <v>_</v>
      </c>
      <c r="AQ97" s="363" t="str">
        <f>_xlfn.IFNA(VLOOKUP($AI97,Programma!$F$3:$N$1107,9,0),"")</f>
        <v>_</v>
      </c>
      <c r="AR97" s="363" t="str">
        <f>_xlfn.IFNA(VLOOKUP($AI97,Programma!$F$3:$O$1107,10,0),"")</f>
        <v>5w</v>
      </c>
      <c r="AS97" s="363" t="str">
        <f>_xlfn.IFNA(VLOOKUP($AI97,Programma!$F$3:$P$1107,11,0),"")</f>
        <v>5w</v>
      </c>
      <c r="AT97" s="363" t="str">
        <f>_xlfn.IFNA(VLOOKUP($AI97,Programma!$F$3:$Q$1107,12,0),"")</f>
        <v>1w</v>
      </c>
      <c r="AU97" s="363" t="str">
        <f>_xlfn.IFNA(VLOOKUP($AI97,Programma!$F$3:$R$1107,13,0),"")</f>
        <v>1w</v>
      </c>
      <c r="AV97" s="363" t="str">
        <f>_xlfn.IFNA(VLOOKUP($AI97,Programma!$F$3:$S$1107,14,0),"")</f>
        <v>1m</v>
      </c>
      <c r="AW97" s="363" t="str">
        <f>_xlfn.IFNA(VLOOKUP($AI97,Programma!$F$3:$T$1107,15,0),"")</f>
        <v>2j</v>
      </c>
      <c r="AX97" s="363" t="str">
        <f>_xlfn.IFNA(VLOOKUP($AI97,Programma!$F$3:$U$1107,16,0),"")</f>
        <v>1j</v>
      </c>
      <c r="AY97" s="363" t="str">
        <f>_xlfn.IFNA(VLOOKUP($AI97,Programma!$F$3:$V$1107,17,0),"")</f>
        <v>_</v>
      </c>
      <c r="AZ97" s="363" t="str">
        <f>_xlfn.IFNA(VLOOKUP($AI97,Programma!$F$3:$W$1107,18,0),"")</f>
        <v>_</v>
      </c>
      <c r="BA97" s="363" t="str">
        <f>_xlfn.IFNA(VLOOKUP($AI97,Programma!$F$3:$X$1107,19,0),"")</f>
        <v>_</v>
      </c>
      <c r="BB97" s="363" t="str">
        <f>_xlfn.IFNA(VLOOKUP($AI97,Programma!$F$3:$Y$1107,20,0),"")</f>
        <v>_</v>
      </c>
      <c r="BC97" s="257"/>
      <c r="BD97" s="256" t="str">
        <f>IF(Ruimtestaat[[#This Row],[Frequentie weekend]]="","",_xlfn.CONCAT(Ruimtestaat[[#This Row],[Ruimte code]],"-",Ruimtestaat[[#This Row],[Frequentie weekend]]," ",Ruimtestaat[[#This Row],[Vloer code]]))</f>
        <v/>
      </c>
      <c r="BE97" s="363" t="str">
        <f>_xlfn.IFNA(VLOOKUP($BD97,Programma!$F$3:$G$1107,2,0),"")</f>
        <v/>
      </c>
      <c r="BF97" s="363" t="str">
        <f>_xlfn.IFNA(VLOOKUP($BD97,Programma!$F$3:$H$1107,3,0),"")</f>
        <v/>
      </c>
      <c r="BG97" s="363" t="str">
        <f>_xlfn.IFNA(VLOOKUP($BD97,Programma!$F$3:$I$1107,4,0),"")</f>
        <v/>
      </c>
      <c r="BH97" s="363" t="str">
        <f>_xlfn.IFNA(VLOOKUP($BD97,Programma!$F$3:$J$1107,5,0),"")</f>
        <v/>
      </c>
      <c r="BI97" s="363" t="str">
        <f>_xlfn.IFNA(VLOOKUP($BD97,Programma!$F$3:$K$1107,6,0),"")</f>
        <v/>
      </c>
      <c r="BJ97" s="363" t="str">
        <f>_xlfn.IFNA(VLOOKUP($BD97,Programma!$F$3:$L$1107,7,0),"")</f>
        <v/>
      </c>
      <c r="BK97" s="363" t="str">
        <f>_xlfn.IFNA(VLOOKUP($BD97,Programma!$F$3:$M$1107,8,0),"")</f>
        <v/>
      </c>
      <c r="BL97" s="363" t="str">
        <f>_xlfn.IFNA(VLOOKUP($BD97,Programma!$F$3:$N$1107,9,0),"")</f>
        <v/>
      </c>
      <c r="BM97" s="363" t="str">
        <f>_xlfn.IFNA(VLOOKUP($BD97,Programma!$F$3:$O$1107,10,0),"")</f>
        <v/>
      </c>
      <c r="BN97" s="363" t="str">
        <f>_xlfn.IFNA(VLOOKUP($BD97,Programma!$F$3:$P$1107,11,0),"")</f>
        <v/>
      </c>
      <c r="BO97" s="363" t="str">
        <f>_xlfn.IFNA(VLOOKUP($BD97,Programma!$F$3:$Q$1107,12,0),"")</f>
        <v/>
      </c>
      <c r="BP97" s="363" t="str">
        <f>_xlfn.IFNA(VLOOKUP($BD97,Programma!$F$3:$R$1107,13,0),"")</f>
        <v/>
      </c>
      <c r="BQ97" s="363" t="str">
        <f>_xlfn.IFNA(VLOOKUP($BD97,Programma!$F$3:$S$1107,14,0),"")</f>
        <v/>
      </c>
      <c r="BR97" s="363" t="str">
        <f>_xlfn.IFNA(VLOOKUP($BD97,Programma!$F$3:$T$1107,15,0),"")</f>
        <v/>
      </c>
      <c r="BS97" s="363" t="str">
        <f>_xlfn.IFNA(VLOOKUP($BD97,Programma!$F$3:$U$1107,16,0),"")</f>
        <v/>
      </c>
      <c r="BT97" s="363" t="str">
        <f>_xlfn.IFNA(VLOOKUP($BD97,Programma!$F$3:$V$1107,17,0),"")</f>
        <v/>
      </c>
      <c r="BU97" s="363" t="str">
        <f>_xlfn.IFNA(VLOOKUP($BD97,Programma!$F$3:$W$1107,18,0),"")</f>
        <v/>
      </c>
      <c r="BV97" s="363" t="str">
        <f>_xlfn.IFNA(VLOOKUP($BD97,Programma!$F$3:$X$1107,19,0),"")</f>
        <v/>
      </c>
      <c r="BW97" s="363" t="str">
        <f>_xlfn.IFNA(VLOOKUP($BD97,Programma!$F$3:$Y$1107,20,0),"")</f>
        <v/>
      </c>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row>
    <row r="98" spans="1:220" ht="15" customHeight="1">
      <c r="A98" s="21">
        <v>2</v>
      </c>
      <c r="B98" s="157" t="str">
        <f>VLOOKUP(Ruimtestaat[[#This Row],[Code]],Locaties[[Code]:[Locatie]],2,FALSE)</f>
        <v>'s Gravendreef College</v>
      </c>
      <c r="C98" s="157" t="str">
        <f>VLOOKUP(Ruimtestaat[[#This Row],[Code]],Locaties[[#All],[Code]:[Adres]],4,FALSE)</f>
        <v>Klaas Voskuildreef 135</v>
      </c>
      <c r="D98" s="157" t="str">
        <f>VLOOKUP(Ruimtestaat[[#This Row],[Code]],Locaties[[#All],[Code]:[Postcode]],5,FALSE)</f>
        <v>2492 JJ</v>
      </c>
      <c r="E98" s="157" t="str">
        <f>VLOOKUP(Ruimtestaat[[#This Row],[Code]],Locaties[#All],6,FALSE)</f>
        <v>Den Haag</v>
      </c>
      <c r="F98" s="33" t="s">
        <v>1748</v>
      </c>
      <c r="G98" s="33" t="s">
        <v>1706</v>
      </c>
      <c r="H98" s="21" t="s">
        <v>1760</v>
      </c>
      <c r="I98" s="62" t="s">
        <v>1761</v>
      </c>
      <c r="J98" s="21">
        <v>6</v>
      </c>
      <c r="K98" s="62" t="str">
        <f>VLOOKUP(Ruimtestaat[[#This Row],[Ruimte code]],Ruimtegroepen[[#All],[Code]:[Ruimte omschrijving]],2,FALSE)</f>
        <v>Gangen/hallen</v>
      </c>
      <c r="L98" s="33" t="s">
        <v>101</v>
      </c>
      <c r="M98" s="367" t="s">
        <v>2495</v>
      </c>
      <c r="N98" s="140">
        <v>106.78</v>
      </c>
      <c r="O98" s="140"/>
      <c r="P98" s="125" t="str">
        <f>VLOOKUP(Ruimtestaat[[#This Row],[Ruimte code]],Ruimtegroepen[],4,FALSE)</f>
        <v>Ve</v>
      </c>
      <c r="R98" s="33">
        <v>40</v>
      </c>
      <c r="S98" s="33" t="s">
        <v>2</v>
      </c>
      <c r="T98" s="33">
        <f>IF(R98&gt;0,IF(RIGHT(Ruimtestaat[[#This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8" s="33">
        <f>IF(T98&gt;0,VLOOKUP($J98,Ruimtegroepen[],3,FALSE)*VLOOKUP($L98,Vloersoorten[],3,FALSE)*VLOOKUP($S98,Frequenties[],3,FALSE)*VLOOKUP($A98,Locaties[],3,FALSE),0)</f>
        <v>0</v>
      </c>
      <c r="V98" s="33">
        <f>Ruimtestaat[[#This Row],[Uitvoeringen werkdagen]]*Ruimtestaat[[#This Row],[Oppervlak (netto)]]</f>
        <v>21356</v>
      </c>
      <c r="W98" s="154">
        <f>IF(U98&gt;0,Ruimtestaat[[#This Row],[Prest. (m2 /jaar) werkdagen]]/Ruimtestaat[[#This Row],[Norm (m2/uur) werkdagen]],0)</f>
        <v>0</v>
      </c>
      <c r="X98" s="155">
        <f>Ruimtestaat[[#This Row],[uren / jaar werkdagen]]*Tariefsopbouw!$E$35</f>
        <v>0</v>
      </c>
      <c r="Y98" s="33"/>
      <c r="Z98" s="33">
        <f>IF(Ruimtestaat[[#This Row],[Frequentie weekend]]&gt;0,VALUE(LEFT(Y98,1))*R98,0)</f>
        <v>0</v>
      </c>
      <c r="AA98" s="97">
        <f>IF($Z98&gt;0,VLOOKUP($J98,Ruimtegroepen[],3,FALSE)*VLOOKUP($L98,Vloersoorten[],3,FALSE)*VLOOKUP($Y98,Frequenties[],3,FALSE)*VLOOKUP(Ruimtestaat[[#This Row],[Code]],Locaties[],3,FALSE),0)</f>
        <v>0</v>
      </c>
      <c r="AB98" s="97">
        <f>Ruimtestaat[[#This Row],[Uitvoeringen weekend]]*Ruimtestaat[[#This Row],[Oppervlak (netto)]]</f>
        <v>0</v>
      </c>
      <c r="AC98" s="97">
        <f>IF(AA98&gt;0,Ruimtestaat[[#This Row],[Prest. (m2 /jaar) weekend]]/Ruimtestaat[[#This Row],[Norm (m2/uur) weekend]],0)</f>
        <v>0</v>
      </c>
      <c r="AD98" s="155">
        <f>Ruimtestaat[[#This Row],[uren / jaar weekend]]*Tariefsopbouw!$D$40</f>
        <v>0</v>
      </c>
      <c r="AE98" s="154">
        <f>Ruimtestaat[[#This Row],[Prest. (m2 /jaar) weekend]]+Ruimtestaat[[#This Row],[Prest. (m2 /jaar) werkdagen]]</f>
        <v>21356</v>
      </c>
      <c r="AF98" s="154">
        <f>Ruimtestaat[[#This Row],[uren / jaar weekend]]+Ruimtestaat[[#This Row],[uren / jaar werkdagen]]</f>
        <v>0</v>
      </c>
      <c r="AG98" s="69">
        <f>Ruimtestaat[[#This Row],[kosten / jaar weekend]]+Ruimtestaat[[#This Row],[kosten / jaar werkdagen]]</f>
        <v>0</v>
      </c>
      <c r="AH98" s="69"/>
      <c r="AI98" s="256" t="str">
        <f>IF(Ruimtestaat[[#This Row],[Frequentie werkdagen]]="","",_xlfn.CONCAT(Ruimtestaat[[#This Row],[Ruimte code]],"-",Ruimtestaat[[#This Row],[Frequentie werkdagen]]," ",Ruimtestaat[[#This Row],[Vloer code]]))</f>
        <v>6-5w L</v>
      </c>
      <c r="AJ98" s="363" t="str">
        <f>_xlfn.IFNA(VLOOKUP($AI98,Programma!$F$3:$G$1107,2,0),"")</f>
        <v>_</v>
      </c>
      <c r="AK98" s="363" t="str">
        <f>_xlfn.IFNA(VLOOKUP($AI98,Programma!$F$3:$H$1107,3,0),"")</f>
        <v>_</v>
      </c>
      <c r="AL98" s="363" t="str">
        <f>_xlfn.IFNA(VLOOKUP($AI98,Programma!$F$3:$I$1107,4,0),"")</f>
        <v>_</v>
      </c>
      <c r="AM98" s="363" t="str">
        <f>_xlfn.IFNA(VLOOKUP($AI98,Programma!$F$3:$J$1107,5,0),"")</f>
        <v>5w</v>
      </c>
      <c r="AN98" s="363" t="str">
        <f>_xlfn.IFNA(VLOOKUP($AI98,Programma!$F$3:$K$1107,6,0),"")</f>
        <v>_</v>
      </c>
      <c r="AO98" s="363" t="str">
        <f>_xlfn.IFNA(VLOOKUP($AI98,Programma!$F$3:$L$1107,7,0),"")</f>
        <v>_</v>
      </c>
      <c r="AP98" s="363" t="str">
        <f>_xlfn.IFNA(VLOOKUP($AI98,Programma!$F$3:$M$1107,8,0),"")</f>
        <v>_</v>
      </c>
      <c r="AQ98" s="363" t="str">
        <f>_xlfn.IFNA(VLOOKUP($AI98,Programma!$F$3:$N$1107,9,0),"")</f>
        <v>_</v>
      </c>
      <c r="AR98" s="363" t="str">
        <f>_xlfn.IFNA(VLOOKUP($AI98,Programma!$F$3:$O$1107,10,0),"")</f>
        <v>5w</v>
      </c>
      <c r="AS98" s="363" t="str">
        <f>_xlfn.IFNA(VLOOKUP($AI98,Programma!$F$3:$P$1107,11,0),"")</f>
        <v>5w</v>
      </c>
      <c r="AT98" s="363" t="str">
        <f>_xlfn.IFNA(VLOOKUP($AI98,Programma!$F$3:$Q$1107,12,0),"")</f>
        <v>1w</v>
      </c>
      <c r="AU98" s="363" t="str">
        <f>_xlfn.IFNA(VLOOKUP($AI98,Programma!$F$3:$R$1107,13,0),"")</f>
        <v>1w</v>
      </c>
      <c r="AV98" s="363" t="str">
        <f>_xlfn.IFNA(VLOOKUP($AI98,Programma!$F$3:$S$1107,14,0),"")</f>
        <v>1m</v>
      </c>
      <c r="AW98" s="363" t="str">
        <f>_xlfn.IFNA(VLOOKUP($AI98,Programma!$F$3:$T$1107,15,0),"")</f>
        <v>2j</v>
      </c>
      <c r="AX98" s="363" t="str">
        <f>_xlfn.IFNA(VLOOKUP($AI98,Programma!$F$3:$U$1107,16,0),"")</f>
        <v>1j</v>
      </c>
      <c r="AY98" s="363" t="str">
        <f>_xlfn.IFNA(VLOOKUP($AI98,Programma!$F$3:$V$1107,17,0),"")</f>
        <v>_</v>
      </c>
      <c r="AZ98" s="363" t="str">
        <f>_xlfn.IFNA(VLOOKUP($AI98,Programma!$F$3:$W$1107,18,0),"")</f>
        <v>_</v>
      </c>
      <c r="BA98" s="363" t="str">
        <f>_xlfn.IFNA(VLOOKUP($AI98,Programma!$F$3:$X$1107,19,0),"")</f>
        <v>_</v>
      </c>
      <c r="BB98" s="363" t="str">
        <f>_xlfn.IFNA(VLOOKUP($AI98,Programma!$F$3:$Y$1107,20,0),"")</f>
        <v>_</v>
      </c>
      <c r="BC98" s="257"/>
      <c r="BD98" s="256" t="str">
        <f>IF(Ruimtestaat[[#This Row],[Frequentie weekend]]="","",_xlfn.CONCAT(Ruimtestaat[[#This Row],[Ruimte code]],"-",Ruimtestaat[[#This Row],[Frequentie weekend]]," ",Ruimtestaat[[#This Row],[Vloer code]]))</f>
        <v/>
      </c>
      <c r="BE98" s="363" t="str">
        <f>_xlfn.IFNA(VLOOKUP($BD98,Programma!$F$3:$G$1107,2,0),"")</f>
        <v/>
      </c>
      <c r="BF98" s="363" t="str">
        <f>_xlfn.IFNA(VLOOKUP($BD98,Programma!$F$3:$H$1107,3,0),"")</f>
        <v/>
      </c>
      <c r="BG98" s="363" t="str">
        <f>_xlfn.IFNA(VLOOKUP($BD98,Programma!$F$3:$I$1107,4,0),"")</f>
        <v/>
      </c>
      <c r="BH98" s="363" t="str">
        <f>_xlfn.IFNA(VLOOKUP($BD98,Programma!$F$3:$J$1107,5,0),"")</f>
        <v/>
      </c>
      <c r="BI98" s="363" t="str">
        <f>_xlfn.IFNA(VLOOKUP($BD98,Programma!$F$3:$K$1107,6,0),"")</f>
        <v/>
      </c>
      <c r="BJ98" s="363" t="str">
        <f>_xlfn.IFNA(VLOOKUP($BD98,Programma!$F$3:$L$1107,7,0),"")</f>
        <v/>
      </c>
      <c r="BK98" s="363" t="str">
        <f>_xlfn.IFNA(VLOOKUP($BD98,Programma!$F$3:$M$1107,8,0),"")</f>
        <v/>
      </c>
      <c r="BL98" s="363" t="str">
        <f>_xlfn.IFNA(VLOOKUP($BD98,Programma!$F$3:$N$1107,9,0),"")</f>
        <v/>
      </c>
      <c r="BM98" s="363" t="str">
        <f>_xlfn.IFNA(VLOOKUP($BD98,Programma!$F$3:$O$1107,10,0),"")</f>
        <v/>
      </c>
      <c r="BN98" s="363" t="str">
        <f>_xlfn.IFNA(VLOOKUP($BD98,Programma!$F$3:$P$1107,11,0),"")</f>
        <v/>
      </c>
      <c r="BO98" s="363" t="str">
        <f>_xlfn.IFNA(VLOOKUP($BD98,Programma!$F$3:$Q$1107,12,0),"")</f>
        <v/>
      </c>
      <c r="BP98" s="363" t="str">
        <f>_xlfn.IFNA(VLOOKUP($BD98,Programma!$F$3:$R$1107,13,0),"")</f>
        <v/>
      </c>
      <c r="BQ98" s="363" t="str">
        <f>_xlfn.IFNA(VLOOKUP($BD98,Programma!$F$3:$S$1107,14,0),"")</f>
        <v/>
      </c>
      <c r="BR98" s="363" t="str">
        <f>_xlfn.IFNA(VLOOKUP($BD98,Programma!$F$3:$T$1107,15,0),"")</f>
        <v/>
      </c>
      <c r="BS98" s="363" t="str">
        <f>_xlfn.IFNA(VLOOKUP($BD98,Programma!$F$3:$U$1107,16,0),"")</f>
        <v/>
      </c>
      <c r="BT98" s="363" t="str">
        <f>_xlfn.IFNA(VLOOKUP($BD98,Programma!$F$3:$V$1107,17,0),"")</f>
        <v/>
      </c>
      <c r="BU98" s="363" t="str">
        <f>_xlfn.IFNA(VLOOKUP($BD98,Programma!$F$3:$W$1107,18,0),"")</f>
        <v/>
      </c>
      <c r="BV98" s="363" t="str">
        <f>_xlfn.IFNA(VLOOKUP($BD98,Programma!$F$3:$X$1107,19,0),"")</f>
        <v/>
      </c>
      <c r="BW98" s="363" t="str">
        <f>_xlfn.IFNA(VLOOKUP($BD98,Programma!$F$3:$Y$1107,20,0),"")</f>
        <v/>
      </c>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row>
    <row r="99" spans="1:220" ht="15" customHeight="1">
      <c r="A99" s="21">
        <v>2</v>
      </c>
      <c r="B99" s="157" t="str">
        <f>VLOOKUP(Ruimtestaat[[#This Row],[Code]],Locaties[[Code]:[Locatie]],2,FALSE)</f>
        <v>'s Gravendreef College</v>
      </c>
      <c r="C99" s="157" t="str">
        <f>VLOOKUP(Ruimtestaat[[#This Row],[Code]],Locaties[[#All],[Code]:[Adres]],4,FALSE)</f>
        <v>Klaas Voskuildreef 135</v>
      </c>
      <c r="D99" s="157" t="str">
        <f>VLOOKUP(Ruimtestaat[[#This Row],[Code]],Locaties[[#All],[Code]:[Postcode]],5,FALSE)</f>
        <v>2492 JJ</v>
      </c>
      <c r="E99" s="157" t="str">
        <f>VLOOKUP(Ruimtestaat[[#This Row],[Code]],Locaties[#All],6,FALSE)</f>
        <v>Den Haag</v>
      </c>
      <c r="F99" s="33" t="s">
        <v>1748</v>
      </c>
      <c r="G99" s="33" t="s">
        <v>1706</v>
      </c>
      <c r="H99" s="21" t="s">
        <v>1762</v>
      </c>
      <c r="I99" s="62" t="s">
        <v>1763</v>
      </c>
      <c r="J99" s="21">
        <v>20</v>
      </c>
      <c r="K99" s="62" t="str">
        <f>VLOOKUP(Ruimtestaat[[#This Row],[Ruimte code]],Ruimtegroepen[[#All],[Code]:[Ruimte omschrijving]],2,FALSE)</f>
        <v>Niet in Onderhoud</v>
      </c>
      <c r="L99" s="33" t="s">
        <v>101</v>
      </c>
      <c r="M99" s="367" t="s">
        <v>2495</v>
      </c>
      <c r="N99" s="140"/>
      <c r="O99" s="140">
        <v>2.4</v>
      </c>
      <c r="P99" s="125">
        <f>VLOOKUP(Ruimtestaat[[#This Row],[Ruimte code]],Ruimtegroepen[],4,FALSE)</f>
        <v>0</v>
      </c>
      <c r="R99" s="33"/>
      <c r="S99" s="33"/>
      <c r="T99" s="33">
        <f>IF(R99&gt;0,IF(RIGHT(Ruimtestaat[[#This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9" s="33">
        <f>IF(T99&gt;0,VLOOKUP($J99,Ruimtegroepen[],3,FALSE)*VLOOKUP($L99,Vloersoorten[],3,FALSE)*VLOOKUP($S99,Frequenties[],3,FALSE)*VLOOKUP($A99,Locaties[],3,FALSE),0)</f>
        <v>0</v>
      </c>
      <c r="V99" s="33">
        <f>Ruimtestaat[[#This Row],[Uitvoeringen werkdagen]]*Ruimtestaat[[#This Row],[Oppervlak (netto)]]</f>
        <v>0</v>
      </c>
      <c r="W99" s="154">
        <f>IF(U99&gt;0,Ruimtestaat[[#This Row],[Prest. (m2 /jaar) werkdagen]]/Ruimtestaat[[#This Row],[Norm (m2/uur) werkdagen]],0)</f>
        <v>0</v>
      </c>
      <c r="X99" s="155">
        <f>Ruimtestaat[[#This Row],[uren / jaar werkdagen]]*Tariefsopbouw!$E$35</f>
        <v>0</v>
      </c>
      <c r="Y99" s="33"/>
      <c r="Z99" s="33">
        <f>IF(Ruimtestaat[[#This Row],[Frequentie weekend]]&gt;0,VALUE(LEFT(Y99,1))*R99,0)</f>
        <v>0</v>
      </c>
      <c r="AA99" s="97">
        <f>IF($Z99&gt;0,VLOOKUP($J99,Ruimtegroepen[],3,FALSE)*VLOOKUP($L99,Vloersoorten[],3,FALSE)*VLOOKUP($Y99,Frequenties[],3,FALSE)*VLOOKUP(Ruimtestaat[[#This Row],[Code]],Locaties[],3,FALSE),0)</f>
        <v>0</v>
      </c>
      <c r="AB99" s="97">
        <f>Ruimtestaat[[#This Row],[Uitvoeringen weekend]]*Ruimtestaat[[#This Row],[Oppervlak (netto)]]</f>
        <v>0</v>
      </c>
      <c r="AC99" s="97">
        <f>IF(AA99&gt;0,Ruimtestaat[[#This Row],[Prest. (m2 /jaar) weekend]]/Ruimtestaat[[#This Row],[Norm (m2/uur) weekend]],0)</f>
        <v>0</v>
      </c>
      <c r="AD99" s="155">
        <f>Ruimtestaat[[#This Row],[uren / jaar weekend]]*Tariefsopbouw!$D$40</f>
        <v>0</v>
      </c>
      <c r="AE99" s="154">
        <f>Ruimtestaat[[#This Row],[Prest. (m2 /jaar) weekend]]+Ruimtestaat[[#This Row],[Prest. (m2 /jaar) werkdagen]]</f>
        <v>0</v>
      </c>
      <c r="AF99" s="154">
        <f>Ruimtestaat[[#This Row],[uren / jaar weekend]]+Ruimtestaat[[#This Row],[uren / jaar werkdagen]]</f>
        <v>0</v>
      </c>
      <c r="AG99" s="69">
        <f>Ruimtestaat[[#This Row],[kosten / jaar weekend]]+Ruimtestaat[[#This Row],[kosten / jaar werkdagen]]</f>
        <v>0</v>
      </c>
      <c r="AH99" s="69"/>
      <c r="AI99" s="256" t="str">
        <f>IF(Ruimtestaat[[#This Row],[Frequentie werkdagen]]="","",_xlfn.CONCAT(Ruimtestaat[[#This Row],[Ruimte code]],"-",Ruimtestaat[[#This Row],[Frequentie werkdagen]]," ",Ruimtestaat[[#This Row],[Vloer code]]))</f>
        <v/>
      </c>
      <c r="AJ99" s="300" t="str">
        <f>_xlfn.IFNA(VLOOKUP($AI99,Programma!$F$3:$G$1107,2,0),"")</f>
        <v/>
      </c>
      <c r="AK99" s="300" t="str">
        <f>_xlfn.IFNA(VLOOKUP($AI99,Programma!$F$3:$H$1107,3,0),"")</f>
        <v/>
      </c>
      <c r="AL99" s="300" t="str">
        <f>_xlfn.IFNA(VLOOKUP($AI99,Programma!$F$3:$I$1107,4,0),"")</f>
        <v/>
      </c>
      <c r="AM99" s="300" t="str">
        <f>_xlfn.IFNA(VLOOKUP($AI99,Programma!$F$3:$J$1107,5,0),"")</f>
        <v/>
      </c>
      <c r="AN99" s="300" t="str">
        <f>_xlfn.IFNA(VLOOKUP($AI99,Programma!$F$3:$K$1107,6,0),"")</f>
        <v/>
      </c>
      <c r="AO99" s="300" t="str">
        <f>_xlfn.IFNA(VLOOKUP($AI99,Programma!$F$3:$L$1107,7,0),"")</f>
        <v/>
      </c>
      <c r="AP99" s="300" t="str">
        <f>_xlfn.IFNA(VLOOKUP($AI99,Programma!$F$3:$M$1107,8,0),"")</f>
        <v/>
      </c>
      <c r="AQ99" s="300" t="str">
        <f>_xlfn.IFNA(VLOOKUP($AI99,Programma!$F$3:$N$1107,9,0),"")</f>
        <v/>
      </c>
      <c r="AR99" s="300" t="str">
        <f>_xlfn.IFNA(VLOOKUP($AI99,Programma!$F$3:$O$1107,10,0),"")</f>
        <v/>
      </c>
      <c r="AS99" s="300" t="str">
        <f>_xlfn.IFNA(VLOOKUP($AI99,Programma!$F$3:$P$1107,11,0),"")</f>
        <v/>
      </c>
      <c r="AT99" s="300" t="str">
        <f>_xlfn.IFNA(VLOOKUP($AI99,Programma!$F$3:$Q$1107,12,0),"")</f>
        <v/>
      </c>
      <c r="AU99" s="300" t="str">
        <f>_xlfn.IFNA(VLOOKUP($AI99,Programma!$F$3:$R$1107,13,0),"")</f>
        <v/>
      </c>
      <c r="AV99" s="300" t="str">
        <f>_xlfn.IFNA(VLOOKUP($AI99,Programma!$F$3:$S$1107,14,0),"")</f>
        <v/>
      </c>
      <c r="AW99" s="300" t="str">
        <f>_xlfn.IFNA(VLOOKUP($AI99,Programma!$F$3:$T$1107,15,0),"")</f>
        <v/>
      </c>
      <c r="AX99" s="300" t="str">
        <f>_xlfn.IFNA(VLOOKUP($AI99,Programma!$F$3:$U$1107,16,0),"")</f>
        <v/>
      </c>
      <c r="AY99" s="300" t="str">
        <f>_xlfn.IFNA(VLOOKUP($AI99,Programma!$F$3:$V$1107,17,0),"")</f>
        <v/>
      </c>
      <c r="AZ99" s="300" t="str">
        <f>_xlfn.IFNA(VLOOKUP($AI99,Programma!$F$3:$W$1107,18,0),"")</f>
        <v/>
      </c>
      <c r="BA99" s="300" t="str">
        <f>_xlfn.IFNA(VLOOKUP($AI99,Programma!$F$3:$X$1107,19,0),"")</f>
        <v/>
      </c>
      <c r="BB99" s="300" t="str">
        <f>_xlfn.IFNA(VLOOKUP($AI99,Programma!$F$3:$Y$1107,20,0),"")</f>
        <v/>
      </c>
      <c r="BC99" s="257"/>
      <c r="BD99" s="256" t="str">
        <f>IF(Ruimtestaat[[#This Row],[Frequentie weekend]]="","",_xlfn.CONCAT(Ruimtestaat[[#This Row],[Ruimte code]],"-",Ruimtestaat[[#This Row],[Frequentie weekend]]," ",Ruimtestaat[[#This Row],[Vloer code]]))</f>
        <v/>
      </c>
      <c r="BE99" s="300" t="str">
        <f>_xlfn.IFNA(VLOOKUP($BD99,Programma!$F$3:$G$1107,2,0),"")</f>
        <v/>
      </c>
      <c r="BF99" s="300" t="str">
        <f>_xlfn.IFNA(VLOOKUP($BD99,Programma!$F$3:$H$1107,3,0),"")</f>
        <v/>
      </c>
      <c r="BG99" s="300" t="str">
        <f>_xlfn.IFNA(VLOOKUP($BD99,Programma!$F$3:$I$1107,4,0),"")</f>
        <v/>
      </c>
      <c r="BH99" s="300" t="str">
        <f>_xlfn.IFNA(VLOOKUP($BD99,Programma!$F$3:$J$1107,5,0),"")</f>
        <v/>
      </c>
      <c r="BI99" s="300" t="str">
        <f>_xlfn.IFNA(VLOOKUP($BD99,Programma!$F$3:$K$1107,6,0),"")</f>
        <v/>
      </c>
      <c r="BJ99" s="300" t="str">
        <f>_xlfn.IFNA(VLOOKUP($BD99,Programma!$F$3:$L$1107,7,0),"")</f>
        <v/>
      </c>
      <c r="BK99" s="300" t="str">
        <f>_xlfn.IFNA(VLOOKUP($BD99,Programma!$F$3:$M$1107,8,0),"")</f>
        <v/>
      </c>
      <c r="BL99" s="300" t="str">
        <f>_xlfn.IFNA(VLOOKUP($BD99,Programma!$F$3:$N$1107,9,0),"")</f>
        <v/>
      </c>
      <c r="BM99" s="300" t="str">
        <f>_xlfn.IFNA(VLOOKUP($BD99,Programma!$F$3:$O$1107,10,0),"")</f>
        <v/>
      </c>
      <c r="BN99" s="300" t="str">
        <f>_xlfn.IFNA(VLOOKUP($BD99,Programma!$F$3:$P$1107,11,0),"")</f>
        <v/>
      </c>
      <c r="BO99" s="300" t="str">
        <f>_xlfn.IFNA(VLOOKUP($BD99,Programma!$F$3:$Q$1107,12,0),"")</f>
        <v/>
      </c>
      <c r="BP99" s="300" t="str">
        <f>_xlfn.IFNA(VLOOKUP($BD99,Programma!$F$3:$R$1107,13,0),"")</f>
        <v/>
      </c>
      <c r="BQ99" s="300" t="str">
        <f>_xlfn.IFNA(VLOOKUP($BD99,Programma!$F$3:$S$1107,14,0),"")</f>
        <v/>
      </c>
      <c r="BR99" s="300" t="str">
        <f>_xlfn.IFNA(VLOOKUP($BD99,Programma!$F$3:$T$1107,15,0),"")</f>
        <v/>
      </c>
      <c r="BS99" s="300" t="str">
        <f>_xlfn.IFNA(VLOOKUP($BD99,Programma!$F$3:$U$1107,16,0),"")</f>
        <v/>
      </c>
      <c r="BT99" s="300" t="str">
        <f>_xlfn.IFNA(VLOOKUP($BD99,Programma!$F$3:$V$1107,17,0),"")</f>
        <v/>
      </c>
      <c r="BU99" s="300" t="str">
        <f>_xlfn.IFNA(VLOOKUP($BD99,Programma!$F$3:$W$1107,18,0),"")</f>
        <v/>
      </c>
      <c r="BV99" s="300" t="str">
        <f>_xlfn.IFNA(VLOOKUP($BD99,Programma!$F$3:$X$1107,19,0),"")</f>
        <v/>
      </c>
      <c r="BW99" s="300" t="str">
        <f>_xlfn.IFNA(VLOOKUP($BD99,Programma!$F$3:$Y$1107,20,0),"")</f>
        <v/>
      </c>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row>
    <row r="100" spans="1:220" ht="15" customHeight="1">
      <c r="A100" s="21">
        <v>2</v>
      </c>
      <c r="B100" s="157" t="str">
        <f>VLOOKUP(Ruimtestaat[[#This Row],[Code]],Locaties[[Code]:[Locatie]],2,FALSE)</f>
        <v>'s Gravendreef College</v>
      </c>
      <c r="C100" s="157" t="str">
        <f>VLOOKUP(Ruimtestaat[[#This Row],[Code]],Locaties[[#All],[Code]:[Adres]],4,FALSE)</f>
        <v>Klaas Voskuildreef 135</v>
      </c>
      <c r="D100" s="157" t="str">
        <f>VLOOKUP(Ruimtestaat[[#This Row],[Code]],Locaties[[#All],[Code]:[Postcode]],5,FALSE)</f>
        <v>2492 JJ</v>
      </c>
      <c r="E100" s="157" t="str">
        <f>VLOOKUP(Ruimtestaat[[#This Row],[Code]],Locaties[#All],6,FALSE)</f>
        <v>Den Haag</v>
      </c>
      <c r="F100" s="33" t="s">
        <v>1748</v>
      </c>
      <c r="G100" s="33" t="s">
        <v>1706</v>
      </c>
      <c r="H100" s="21" t="s">
        <v>1764</v>
      </c>
      <c r="I100" s="62" t="s">
        <v>1765</v>
      </c>
      <c r="J100" s="21">
        <v>5</v>
      </c>
      <c r="K100" s="62" t="str">
        <f>VLOOKUP(Ruimtestaat[[#This Row],[Ruimte code]],Ruimtegroepen[[#All],[Code]:[Ruimte omschrijving]],2,FALSE)</f>
        <v>Sanitair</v>
      </c>
      <c r="L100" s="33" t="s">
        <v>102</v>
      </c>
      <c r="M100" s="367" t="s">
        <v>120</v>
      </c>
      <c r="N100" s="140">
        <v>7.99</v>
      </c>
      <c r="O100" s="140"/>
      <c r="P100" s="125" t="str">
        <f>VLOOKUP(Ruimtestaat[[#This Row],[Ruimte code]],Ruimtegroepen[],4,FALSE)</f>
        <v>Sa</v>
      </c>
      <c r="R100" s="33">
        <v>40</v>
      </c>
      <c r="S100" s="33" t="s">
        <v>2</v>
      </c>
      <c r="T100" s="33">
        <f>IF(R100&gt;0,IF(RIGHT(Ruimtestaat[[#This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 s="33">
        <f>IF(T100&gt;0,VLOOKUP($J100,Ruimtegroepen[],3,FALSE)*VLOOKUP($L100,Vloersoorten[],3,FALSE)*VLOOKUP($S100,Frequenties[],3,FALSE)*VLOOKUP($A100,Locaties[],3,FALSE),0)</f>
        <v>0</v>
      </c>
      <c r="V100" s="33">
        <f>Ruimtestaat[[#This Row],[Uitvoeringen werkdagen]]*Ruimtestaat[[#This Row],[Oppervlak (netto)]]</f>
        <v>1598</v>
      </c>
      <c r="W100" s="154">
        <f>IF(U100&gt;0,Ruimtestaat[[#This Row],[Prest. (m2 /jaar) werkdagen]]/Ruimtestaat[[#This Row],[Norm (m2/uur) werkdagen]],0)</f>
        <v>0</v>
      </c>
      <c r="X100" s="155">
        <f>Ruimtestaat[[#This Row],[uren / jaar werkdagen]]*Tariefsopbouw!$E$35</f>
        <v>0</v>
      </c>
      <c r="Y100" s="33"/>
      <c r="Z100" s="33">
        <f>IF(Ruimtestaat[[#This Row],[Frequentie weekend]]&gt;0,VALUE(LEFT(Y100,1))*R100,0)</f>
        <v>0</v>
      </c>
      <c r="AA100" s="97">
        <f>IF($Z100&gt;0,VLOOKUP($J100,Ruimtegroepen[],3,FALSE)*VLOOKUP($L100,Vloersoorten[],3,FALSE)*VLOOKUP($Y100,Frequenties[],3,FALSE)*VLOOKUP(Ruimtestaat[[#This Row],[Code]],Locaties[],3,FALSE),0)</f>
        <v>0</v>
      </c>
      <c r="AB100" s="97">
        <f>Ruimtestaat[[#This Row],[Uitvoeringen weekend]]*Ruimtestaat[[#This Row],[Oppervlak (netto)]]</f>
        <v>0</v>
      </c>
      <c r="AC100" s="97">
        <f>IF(AA100&gt;0,Ruimtestaat[[#This Row],[Prest. (m2 /jaar) weekend]]/Ruimtestaat[[#This Row],[Norm (m2/uur) weekend]],0)</f>
        <v>0</v>
      </c>
      <c r="AD100" s="155">
        <f>Ruimtestaat[[#This Row],[uren / jaar weekend]]*Tariefsopbouw!$D$40</f>
        <v>0</v>
      </c>
      <c r="AE100" s="154">
        <f>Ruimtestaat[[#This Row],[Prest. (m2 /jaar) weekend]]+Ruimtestaat[[#This Row],[Prest. (m2 /jaar) werkdagen]]</f>
        <v>1598</v>
      </c>
      <c r="AF100" s="154">
        <f>Ruimtestaat[[#This Row],[uren / jaar weekend]]+Ruimtestaat[[#This Row],[uren / jaar werkdagen]]</f>
        <v>0</v>
      </c>
      <c r="AG100" s="69">
        <f>Ruimtestaat[[#This Row],[kosten / jaar weekend]]+Ruimtestaat[[#This Row],[kosten / jaar werkdagen]]</f>
        <v>0</v>
      </c>
      <c r="AH100" s="69"/>
      <c r="AI100" s="256" t="str">
        <f>IF(Ruimtestaat[[#This Row],[Frequentie werkdagen]]="","",_xlfn.CONCAT(Ruimtestaat[[#This Row],[Ruimte code]],"-",Ruimtestaat[[#This Row],[Frequentie werkdagen]]," ",Ruimtestaat[[#This Row],[Vloer code]]))</f>
        <v>5-5w S</v>
      </c>
      <c r="AJ100" s="300" t="str">
        <f>_xlfn.IFNA(VLOOKUP($AI100,Programma!$F$3:$G$1107,2,0),"")</f>
        <v>_</v>
      </c>
      <c r="AK100" s="300" t="str">
        <f>_xlfn.IFNA(VLOOKUP($AI100,Programma!$F$3:$H$1107,3,0),"")</f>
        <v>_</v>
      </c>
      <c r="AL100" s="300" t="str">
        <f>_xlfn.IFNA(VLOOKUP($AI100,Programma!$F$3:$I$1107,4,0),"")</f>
        <v>_</v>
      </c>
      <c r="AM100" s="300" t="str">
        <f>_xlfn.IFNA(VLOOKUP($AI100,Programma!$F$3:$J$1107,5,0),"")</f>
        <v>4w</v>
      </c>
      <c r="AN100" s="300" t="str">
        <f>_xlfn.IFNA(VLOOKUP($AI100,Programma!$F$3:$K$1107,6,0),"")</f>
        <v>1w</v>
      </c>
      <c r="AO100" s="300" t="str">
        <f>_xlfn.IFNA(VLOOKUP($AI100,Programma!$F$3:$L$1107,7,0),"")</f>
        <v>_</v>
      </c>
      <c r="AP100" s="300" t="str">
        <f>_xlfn.IFNA(VLOOKUP($AI100,Programma!$F$3:$M$1107,8,0),"")</f>
        <v>_</v>
      </c>
      <c r="AQ100" s="300" t="str">
        <f>_xlfn.IFNA(VLOOKUP($AI100,Programma!$F$3:$N$1107,9,0),"")</f>
        <v>_</v>
      </c>
      <c r="AR100" s="300" t="str">
        <f>_xlfn.IFNA(VLOOKUP($AI100,Programma!$F$3:$O$1107,10,0),"")</f>
        <v>_</v>
      </c>
      <c r="AS100" s="300" t="str">
        <f>_xlfn.IFNA(VLOOKUP($AI100,Programma!$F$3:$P$1107,11,0),"")</f>
        <v>_</v>
      </c>
      <c r="AT100" s="300" t="str">
        <f>_xlfn.IFNA(VLOOKUP($AI100,Programma!$F$3:$Q$1107,12,0),"")</f>
        <v>_</v>
      </c>
      <c r="AU100" s="300" t="str">
        <f>_xlfn.IFNA(VLOOKUP($AI100,Programma!$F$3:$R$1107,13,0),"")</f>
        <v>_</v>
      </c>
      <c r="AV100" s="300" t="str">
        <f>_xlfn.IFNA(VLOOKUP($AI100,Programma!$F$3:$S$1107,14,0),"")</f>
        <v>_</v>
      </c>
      <c r="AW100" s="300" t="str">
        <f>_xlfn.IFNA(VLOOKUP($AI100,Programma!$F$3:$T$1107,15,0),"")</f>
        <v>_</v>
      </c>
      <c r="AX100" s="300" t="str">
        <f>_xlfn.IFNA(VLOOKUP($AI100,Programma!$F$3:$U$1107,16,0),"")</f>
        <v>_</v>
      </c>
      <c r="AY100" s="300" t="str">
        <f>_xlfn.IFNA(VLOOKUP($AI100,Programma!$F$3:$V$1107,17,0),"")</f>
        <v>_</v>
      </c>
      <c r="AZ100" s="300" t="str">
        <f>_xlfn.IFNA(VLOOKUP($AI100,Programma!$F$3:$W$1107,18,0),"")</f>
        <v>4w</v>
      </c>
      <c r="BA100" s="300" t="str">
        <f>_xlfn.IFNA(VLOOKUP($AI100,Programma!$F$3:$X$1107,19,0),"")</f>
        <v>1w</v>
      </c>
      <c r="BB100" s="300" t="str">
        <f>_xlfn.IFNA(VLOOKUP($AI100,Programma!$F$3:$Y$1107,20,0),"")</f>
        <v>_</v>
      </c>
      <c r="BC100" s="257"/>
      <c r="BD100" s="256" t="str">
        <f>IF(Ruimtestaat[[#This Row],[Frequentie weekend]]="","",_xlfn.CONCAT(Ruimtestaat[[#This Row],[Ruimte code]],"-",Ruimtestaat[[#This Row],[Frequentie weekend]]," ",Ruimtestaat[[#This Row],[Vloer code]]))</f>
        <v/>
      </c>
      <c r="BE100" s="300" t="str">
        <f>_xlfn.IFNA(VLOOKUP($BD100,Programma!$F$3:$G$1107,2,0),"")</f>
        <v/>
      </c>
      <c r="BF100" s="300" t="str">
        <f>_xlfn.IFNA(VLOOKUP($BD100,Programma!$F$3:$H$1107,3,0),"")</f>
        <v/>
      </c>
      <c r="BG100" s="300" t="str">
        <f>_xlfn.IFNA(VLOOKUP($BD100,Programma!$F$3:$I$1107,4,0),"")</f>
        <v/>
      </c>
      <c r="BH100" s="300" t="str">
        <f>_xlfn.IFNA(VLOOKUP($BD100,Programma!$F$3:$J$1107,5,0),"")</f>
        <v/>
      </c>
      <c r="BI100" s="300" t="str">
        <f>_xlfn.IFNA(VLOOKUP($BD100,Programma!$F$3:$K$1107,6,0),"")</f>
        <v/>
      </c>
      <c r="BJ100" s="300" t="str">
        <f>_xlfn.IFNA(VLOOKUP($BD100,Programma!$F$3:$L$1107,7,0),"")</f>
        <v/>
      </c>
      <c r="BK100" s="300" t="str">
        <f>_xlfn.IFNA(VLOOKUP($BD100,Programma!$F$3:$M$1107,8,0),"")</f>
        <v/>
      </c>
      <c r="BL100" s="300" t="str">
        <f>_xlfn.IFNA(VLOOKUP($BD100,Programma!$F$3:$N$1107,9,0),"")</f>
        <v/>
      </c>
      <c r="BM100" s="300" t="str">
        <f>_xlfn.IFNA(VLOOKUP($BD100,Programma!$F$3:$O$1107,10,0),"")</f>
        <v/>
      </c>
      <c r="BN100" s="300" t="str">
        <f>_xlfn.IFNA(VLOOKUP($BD100,Programma!$F$3:$P$1107,11,0),"")</f>
        <v/>
      </c>
      <c r="BO100" s="300" t="str">
        <f>_xlfn.IFNA(VLOOKUP($BD100,Programma!$F$3:$Q$1107,12,0),"")</f>
        <v/>
      </c>
      <c r="BP100" s="300" t="str">
        <f>_xlfn.IFNA(VLOOKUP($BD100,Programma!$F$3:$R$1107,13,0),"")</f>
        <v/>
      </c>
      <c r="BQ100" s="300" t="str">
        <f>_xlfn.IFNA(VLOOKUP($BD100,Programma!$F$3:$S$1107,14,0),"")</f>
        <v/>
      </c>
      <c r="BR100" s="300" t="str">
        <f>_xlfn.IFNA(VLOOKUP($BD100,Programma!$F$3:$T$1107,15,0),"")</f>
        <v/>
      </c>
      <c r="BS100" s="300" t="str">
        <f>_xlfn.IFNA(VLOOKUP($BD100,Programma!$F$3:$U$1107,16,0),"")</f>
        <v/>
      </c>
      <c r="BT100" s="300" t="str">
        <f>_xlfn.IFNA(VLOOKUP($BD100,Programma!$F$3:$V$1107,17,0),"")</f>
        <v/>
      </c>
      <c r="BU100" s="300" t="str">
        <f>_xlfn.IFNA(VLOOKUP($BD100,Programma!$F$3:$W$1107,18,0),"")</f>
        <v/>
      </c>
      <c r="BV100" s="300" t="str">
        <f>_xlfn.IFNA(VLOOKUP($BD100,Programma!$F$3:$X$1107,19,0),"")</f>
        <v/>
      </c>
      <c r="BW100" s="300" t="str">
        <f>_xlfn.IFNA(VLOOKUP($BD100,Programma!$F$3:$Y$1107,20,0),"")</f>
        <v/>
      </c>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row>
    <row r="101" spans="1:220" ht="15" customHeight="1">
      <c r="A101" s="21">
        <v>2</v>
      </c>
      <c r="B101" s="157" t="str">
        <f>VLOOKUP(Ruimtestaat[[#This Row],[Code]],Locaties[[Code]:[Locatie]],2,FALSE)</f>
        <v>'s Gravendreef College</v>
      </c>
      <c r="C101" s="157" t="str">
        <f>VLOOKUP(Ruimtestaat[[#This Row],[Code]],Locaties[[#All],[Code]:[Adres]],4,FALSE)</f>
        <v>Klaas Voskuildreef 135</v>
      </c>
      <c r="D101" s="157" t="str">
        <f>VLOOKUP(Ruimtestaat[[#This Row],[Code]],Locaties[[#All],[Code]:[Postcode]],5,FALSE)</f>
        <v>2492 JJ</v>
      </c>
      <c r="E101" s="157" t="str">
        <f>VLOOKUP(Ruimtestaat[[#This Row],[Code]],Locaties[#All],6,FALSE)</f>
        <v>Den Haag</v>
      </c>
      <c r="F101" s="33" t="s">
        <v>1748</v>
      </c>
      <c r="G101" s="33" t="s">
        <v>1706</v>
      </c>
      <c r="H101" s="21" t="s">
        <v>1758</v>
      </c>
      <c r="I101" s="62" t="s">
        <v>1766</v>
      </c>
      <c r="J101" s="21">
        <v>5</v>
      </c>
      <c r="K101" s="62" t="str">
        <f>VLOOKUP(Ruimtestaat[[#This Row],[Ruimte code]],Ruimtegroepen[[#All],[Code]:[Ruimte omschrijving]],2,FALSE)</f>
        <v>Sanitair</v>
      </c>
      <c r="L101" s="33" t="s">
        <v>102</v>
      </c>
      <c r="M101" s="367" t="s">
        <v>120</v>
      </c>
      <c r="N101" s="140">
        <v>8.4600000000000009</v>
      </c>
      <c r="O101" s="140"/>
      <c r="P101" s="125" t="str">
        <f>VLOOKUP(Ruimtestaat[[#This Row],[Ruimte code]],Ruimtegroepen[],4,FALSE)</f>
        <v>Sa</v>
      </c>
      <c r="R101" s="33">
        <v>40</v>
      </c>
      <c r="S101" s="33" t="s">
        <v>2</v>
      </c>
      <c r="T101" s="33">
        <f>IF(R101&gt;0,IF(RIGHT(Ruimtestaat[[#This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1" s="33">
        <f>IF(T101&gt;0,VLOOKUP($J101,Ruimtegroepen[],3,FALSE)*VLOOKUP($L101,Vloersoorten[],3,FALSE)*VLOOKUP($S101,Frequenties[],3,FALSE)*VLOOKUP($A101,Locaties[],3,FALSE),0)</f>
        <v>0</v>
      </c>
      <c r="V101" s="33">
        <f>Ruimtestaat[[#This Row],[Uitvoeringen werkdagen]]*Ruimtestaat[[#This Row],[Oppervlak (netto)]]</f>
        <v>1692.0000000000002</v>
      </c>
      <c r="W101" s="154">
        <f>IF(U101&gt;0,Ruimtestaat[[#This Row],[Prest. (m2 /jaar) werkdagen]]/Ruimtestaat[[#This Row],[Norm (m2/uur) werkdagen]],0)</f>
        <v>0</v>
      </c>
      <c r="X101" s="155">
        <f>Ruimtestaat[[#This Row],[uren / jaar werkdagen]]*Tariefsopbouw!$E$35</f>
        <v>0</v>
      </c>
      <c r="Y101" s="33"/>
      <c r="Z101" s="33">
        <f>IF(Ruimtestaat[[#This Row],[Frequentie weekend]]&gt;0,VALUE(LEFT(Y101,1))*R101,0)</f>
        <v>0</v>
      </c>
      <c r="AA101" s="97">
        <f>IF($Z101&gt;0,VLOOKUP($J101,Ruimtegroepen[],3,FALSE)*VLOOKUP($L101,Vloersoorten[],3,FALSE)*VLOOKUP($Y101,Frequenties[],3,FALSE)*VLOOKUP(Ruimtestaat[[#This Row],[Code]],Locaties[],3,FALSE),0)</f>
        <v>0</v>
      </c>
      <c r="AB101" s="97">
        <f>Ruimtestaat[[#This Row],[Uitvoeringen weekend]]*Ruimtestaat[[#This Row],[Oppervlak (netto)]]</f>
        <v>0</v>
      </c>
      <c r="AC101" s="97">
        <f>IF(AA101&gt;0,Ruimtestaat[[#This Row],[Prest. (m2 /jaar) weekend]]/Ruimtestaat[[#This Row],[Norm (m2/uur) weekend]],0)</f>
        <v>0</v>
      </c>
      <c r="AD101" s="155">
        <f>Ruimtestaat[[#This Row],[uren / jaar weekend]]*Tariefsopbouw!$D$40</f>
        <v>0</v>
      </c>
      <c r="AE101" s="154">
        <f>Ruimtestaat[[#This Row],[Prest. (m2 /jaar) weekend]]+Ruimtestaat[[#This Row],[Prest. (m2 /jaar) werkdagen]]</f>
        <v>1692.0000000000002</v>
      </c>
      <c r="AF101" s="154">
        <f>Ruimtestaat[[#This Row],[uren / jaar weekend]]+Ruimtestaat[[#This Row],[uren / jaar werkdagen]]</f>
        <v>0</v>
      </c>
      <c r="AG101" s="69">
        <f>Ruimtestaat[[#This Row],[kosten / jaar weekend]]+Ruimtestaat[[#This Row],[kosten / jaar werkdagen]]</f>
        <v>0</v>
      </c>
      <c r="AH101" s="69"/>
      <c r="AI101" s="256" t="str">
        <f>IF(Ruimtestaat[[#This Row],[Frequentie werkdagen]]="","",_xlfn.CONCAT(Ruimtestaat[[#This Row],[Ruimte code]],"-",Ruimtestaat[[#This Row],[Frequentie werkdagen]]," ",Ruimtestaat[[#This Row],[Vloer code]]))</f>
        <v>5-5w S</v>
      </c>
      <c r="AJ101" s="300" t="str">
        <f>_xlfn.IFNA(VLOOKUP($AI101,Programma!$F$3:$G$1107,2,0),"")</f>
        <v>_</v>
      </c>
      <c r="AK101" s="300" t="str">
        <f>_xlfn.IFNA(VLOOKUP($AI101,Programma!$F$3:$H$1107,3,0),"")</f>
        <v>_</v>
      </c>
      <c r="AL101" s="300" t="str">
        <f>_xlfn.IFNA(VLOOKUP($AI101,Programma!$F$3:$I$1107,4,0),"")</f>
        <v>_</v>
      </c>
      <c r="AM101" s="300" t="str">
        <f>_xlfn.IFNA(VLOOKUP($AI101,Programma!$F$3:$J$1107,5,0),"")</f>
        <v>4w</v>
      </c>
      <c r="AN101" s="300" t="str">
        <f>_xlfn.IFNA(VLOOKUP($AI101,Programma!$F$3:$K$1107,6,0),"")</f>
        <v>1w</v>
      </c>
      <c r="AO101" s="300" t="str">
        <f>_xlfn.IFNA(VLOOKUP($AI101,Programma!$F$3:$L$1107,7,0),"")</f>
        <v>_</v>
      </c>
      <c r="AP101" s="300" t="str">
        <f>_xlfn.IFNA(VLOOKUP($AI101,Programma!$F$3:$M$1107,8,0),"")</f>
        <v>_</v>
      </c>
      <c r="AQ101" s="300" t="str">
        <f>_xlfn.IFNA(VLOOKUP($AI101,Programma!$F$3:$N$1107,9,0),"")</f>
        <v>_</v>
      </c>
      <c r="AR101" s="300" t="str">
        <f>_xlfn.IFNA(VLOOKUP($AI101,Programma!$F$3:$O$1107,10,0),"")</f>
        <v>_</v>
      </c>
      <c r="AS101" s="300" t="str">
        <f>_xlfn.IFNA(VLOOKUP($AI101,Programma!$F$3:$P$1107,11,0),"")</f>
        <v>_</v>
      </c>
      <c r="AT101" s="300" t="str">
        <f>_xlfn.IFNA(VLOOKUP($AI101,Programma!$F$3:$Q$1107,12,0),"")</f>
        <v>_</v>
      </c>
      <c r="AU101" s="300" t="str">
        <f>_xlfn.IFNA(VLOOKUP($AI101,Programma!$F$3:$R$1107,13,0),"")</f>
        <v>_</v>
      </c>
      <c r="AV101" s="300" t="str">
        <f>_xlfn.IFNA(VLOOKUP($AI101,Programma!$F$3:$S$1107,14,0),"")</f>
        <v>_</v>
      </c>
      <c r="AW101" s="300" t="str">
        <f>_xlfn.IFNA(VLOOKUP($AI101,Programma!$F$3:$T$1107,15,0),"")</f>
        <v>_</v>
      </c>
      <c r="AX101" s="300" t="str">
        <f>_xlfn.IFNA(VLOOKUP($AI101,Programma!$F$3:$U$1107,16,0),"")</f>
        <v>_</v>
      </c>
      <c r="AY101" s="300" t="str">
        <f>_xlfn.IFNA(VLOOKUP($AI101,Programma!$F$3:$V$1107,17,0),"")</f>
        <v>_</v>
      </c>
      <c r="AZ101" s="300" t="str">
        <f>_xlfn.IFNA(VLOOKUP($AI101,Programma!$F$3:$W$1107,18,0),"")</f>
        <v>4w</v>
      </c>
      <c r="BA101" s="300" t="str">
        <f>_xlfn.IFNA(VLOOKUP($AI101,Programma!$F$3:$X$1107,19,0),"")</f>
        <v>1w</v>
      </c>
      <c r="BB101" s="300" t="str">
        <f>_xlfn.IFNA(VLOOKUP($AI101,Programma!$F$3:$Y$1107,20,0),"")</f>
        <v>_</v>
      </c>
      <c r="BC101" s="257"/>
      <c r="BD101" s="256" t="str">
        <f>IF(Ruimtestaat[[#This Row],[Frequentie weekend]]="","",_xlfn.CONCAT(Ruimtestaat[[#This Row],[Ruimte code]],"-",Ruimtestaat[[#This Row],[Frequentie weekend]]," ",Ruimtestaat[[#This Row],[Vloer code]]))</f>
        <v/>
      </c>
      <c r="BE101" s="300" t="str">
        <f>_xlfn.IFNA(VLOOKUP($BD101,Programma!$F$3:$G$1107,2,0),"")</f>
        <v/>
      </c>
      <c r="BF101" s="300" t="str">
        <f>_xlfn.IFNA(VLOOKUP($BD101,Programma!$F$3:$H$1107,3,0),"")</f>
        <v/>
      </c>
      <c r="BG101" s="300" t="str">
        <f>_xlfn.IFNA(VLOOKUP($BD101,Programma!$F$3:$I$1107,4,0),"")</f>
        <v/>
      </c>
      <c r="BH101" s="300" t="str">
        <f>_xlfn.IFNA(VLOOKUP($BD101,Programma!$F$3:$J$1107,5,0),"")</f>
        <v/>
      </c>
      <c r="BI101" s="300" t="str">
        <f>_xlfn.IFNA(VLOOKUP($BD101,Programma!$F$3:$K$1107,6,0),"")</f>
        <v/>
      </c>
      <c r="BJ101" s="300" t="str">
        <f>_xlfn.IFNA(VLOOKUP($BD101,Programma!$F$3:$L$1107,7,0),"")</f>
        <v/>
      </c>
      <c r="BK101" s="300" t="str">
        <f>_xlfn.IFNA(VLOOKUP($BD101,Programma!$F$3:$M$1107,8,0),"")</f>
        <v/>
      </c>
      <c r="BL101" s="300" t="str">
        <f>_xlfn.IFNA(VLOOKUP($BD101,Programma!$F$3:$N$1107,9,0),"")</f>
        <v/>
      </c>
      <c r="BM101" s="300" t="str">
        <f>_xlfn.IFNA(VLOOKUP($BD101,Programma!$F$3:$O$1107,10,0),"")</f>
        <v/>
      </c>
      <c r="BN101" s="300" t="str">
        <f>_xlfn.IFNA(VLOOKUP($BD101,Programma!$F$3:$P$1107,11,0),"")</f>
        <v/>
      </c>
      <c r="BO101" s="300" t="str">
        <f>_xlfn.IFNA(VLOOKUP($BD101,Programma!$F$3:$Q$1107,12,0),"")</f>
        <v/>
      </c>
      <c r="BP101" s="300" t="str">
        <f>_xlfn.IFNA(VLOOKUP($BD101,Programma!$F$3:$R$1107,13,0),"")</f>
        <v/>
      </c>
      <c r="BQ101" s="300" t="str">
        <f>_xlfn.IFNA(VLOOKUP($BD101,Programma!$F$3:$S$1107,14,0),"")</f>
        <v/>
      </c>
      <c r="BR101" s="300" t="str">
        <f>_xlfn.IFNA(VLOOKUP($BD101,Programma!$F$3:$T$1107,15,0),"")</f>
        <v/>
      </c>
      <c r="BS101" s="300" t="str">
        <f>_xlfn.IFNA(VLOOKUP($BD101,Programma!$F$3:$U$1107,16,0),"")</f>
        <v/>
      </c>
      <c r="BT101" s="300" t="str">
        <f>_xlfn.IFNA(VLOOKUP($BD101,Programma!$F$3:$V$1107,17,0),"")</f>
        <v/>
      </c>
      <c r="BU101" s="300" t="str">
        <f>_xlfn.IFNA(VLOOKUP($BD101,Programma!$F$3:$W$1107,18,0),"")</f>
        <v/>
      </c>
      <c r="BV101" s="300" t="str">
        <f>_xlfn.IFNA(VLOOKUP($BD101,Programma!$F$3:$X$1107,19,0),"")</f>
        <v/>
      </c>
      <c r="BW101" s="300" t="str">
        <f>_xlfn.IFNA(VLOOKUP($BD101,Programma!$F$3:$Y$1107,20,0),"")</f>
        <v/>
      </c>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row>
    <row r="102" spans="1:220" ht="15" customHeight="1">
      <c r="A102" s="21">
        <v>2</v>
      </c>
      <c r="B102" s="157" t="str">
        <f>VLOOKUP(Ruimtestaat[[#This Row],[Code]],Locaties[[Code]:[Locatie]],2,FALSE)</f>
        <v>'s Gravendreef College</v>
      </c>
      <c r="C102" s="157" t="str">
        <f>VLOOKUP(Ruimtestaat[[#This Row],[Code]],Locaties[[#All],[Code]:[Adres]],4,FALSE)</f>
        <v>Klaas Voskuildreef 135</v>
      </c>
      <c r="D102" s="157" t="str">
        <f>VLOOKUP(Ruimtestaat[[#This Row],[Code]],Locaties[[#All],[Code]:[Postcode]],5,FALSE)</f>
        <v>2492 JJ</v>
      </c>
      <c r="E102" s="157" t="str">
        <f>VLOOKUP(Ruimtestaat[[#This Row],[Code]],Locaties[#All],6,FALSE)</f>
        <v>Den Haag</v>
      </c>
      <c r="F102" s="33" t="s">
        <v>1748</v>
      </c>
      <c r="G102" s="33" t="s">
        <v>1706</v>
      </c>
      <c r="H102" s="21" t="s">
        <v>1767</v>
      </c>
      <c r="I102" s="62" t="s">
        <v>1768</v>
      </c>
      <c r="J102" s="21">
        <v>4</v>
      </c>
      <c r="K102" s="62" t="str">
        <f>VLOOKUP(Ruimtestaat[[#This Row],[Ruimte code]],Ruimtegroepen[[#All],[Code]:[Ruimte omschrijving]],2,FALSE)</f>
        <v>Vergader/spreekkamers</v>
      </c>
      <c r="L102" s="33" t="s">
        <v>101</v>
      </c>
      <c r="M102" s="367" t="s">
        <v>2495</v>
      </c>
      <c r="N102" s="140">
        <v>20.329999999999998</v>
      </c>
      <c r="O102" s="140"/>
      <c r="P102" s="125" t="str">
        <f>VLOOKUP(Ruimtestaat[[#This Row],[Ruimte code]],Ruimtegroepen[],4,FALSE)</f>
        <v>Bu</v>
      </c>
      <c r="R102" s="33">
        <v>40</v>
      </c>
      <c r="S102" s="33" t="s">
        <v>18</v>
      </c>
      <c r="T102" s="33">
        <f>IF(R102&gt;0,IF(RIGHT(Ruimtestaat[[#This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102" s="33">
        <f>IF(T102&gt;0,VLOOKUP($J102,Ruimtegroepen[],3,FALSE)*VLOOKUP($L102,Vloersoorten[],3,FALSE)*VLOOKUP($S102,Frequenties[],3,FALSE)*VLOOKUP($A102,Locaties[],3,FALSE),0)</f>
        <v>0</v>
      </c>
      <c r="V102" s="33">
        <f>Ruimtestaat[[#This Row],[Uitvoeringen werkdagen]]*Ruimtestaat[[#This Row],[Oppervlak (netto)]]</f>
        <v>2439.6</v>
      </c>
      <c r="W102" s="154">
        <f>IF(U102&gt;0,Ruimtestaat[[#This Row],[Prest. (m2 /jaar) werkdagen]]/Ruimtestaat[[#This Row],[Norm (m2/uur) werkdagen]],0)</f>
        <v>0</v>
      </c>
      <c r="X102" s="155">
        <f>Ruimtestaat[[#This Row],[uren / jaar werkdagen]]*Tariefsopbouw!$E$35</f>
        <v>0</v>
      </c>
      <c r="Y102" s="33"/>
      <c r="Z102" s="33">
        <f>IF(Ruimtestaat[[#This Row],[Frequentie weekend]]&gt;0,VALUE(LEFT(Y102,1))*R102,0)</f>
        <v>0</v>
      </c>
      <c r="AA102" s="97">
        <f>IF($Z102&gt;0,VLOOKUP($J102,Ruimtegroepen[],3,FALSE)*VLOOKUP($L102,Vloersoorten[],3,FALSE)*VLOOKUP($Y102,Frequenties[],3,FALSE)*VLOOKUP(Ruimtestaat[[#This Row],[Code]],Locaties[],3,FALSE),0)</f>
        <v>0</v>
      </c>
      <c r="AB102" s="97">
        <f>Ruimtestaat[[#This Row],[Uitvoeringen weekend]]*Ruimtestaat[[#This Row],[Oppervlak (netto)]]</f>
        <v>0</v>
      </c>
      <c r="AC102" s="97">
        <f>IF(AA102&gt;0,Ruimtestaat[[#This Row],[Prest. (m2 /jaar) weekend]]/Ruimtestaat[[#This Row],[Norm (m2/uur) weekend]],0)</f>
        <v>0</v>
      </c>
      <c r="AD102" s="155">
        <f>Ruimtestaat[[#This Row],[uren / jaar weekend]]*Tariefsopbouw!$D$40</f>
        <v>0</v>
      </c>
      <c r="AE102" s="154">
        <f>Ruimtestaat[[#This Row],[Prest. (m2 /jaar) weekend]]+Ruimtestaat[[#This Row],[Prest. (m2 /jaar) werkdagen]]</f>
        <v>2439.6</v>
      </c>
      <c r="AF102" s="154">
        <f>Ruimtestaat[[#This Row],[uren / jaar weekend]]+Ruimtestaat[[#This Row],[uren / jaar werkdagen]]</f>
        <v>0</v>
      </c>
      <c r="AG102" s="69">
        <f>Ruimtestaat[[#This Row],[kosten / jaar weekend]]+Ruimtestaat[[#This Row],[kosten / jaar werkdagen]]</f>
        <v>0</v>
      </c>
      <c r="AH102" s="69"/>
      <c r="AI102" s="256" t="str">
        <f>IF(Ruimtestaat[[#This Row],[Frequentie werkdagen]]="","",_xlfn.CONCAT(Ruimtestaat[[#This Row],[Ruimte code]],"-",Ruimtestaat[[#This Row],[Frequentie werkdagen]]," ",Ruimtestaat[[#This Row],[Vloer code]]))</f>
        <v>4-3w L</v>
      </c>
      <c r="AJ102" s="300" t="str">
        <f>_xlfn.IFNA(VLOOKUP($AI102,Programma!$F$3:$G$1107,2,0),"")</f>
        <v>_</v>
      </c>
      <c r="AK102" s="300" t="str">
        <f>_xlfn.IFNA(VLOOKUP($AI102,Programma!$F$3:$H$1107,3,0),"")</f>
        <v>_</v>
      </c>
      <c r="AL102" s="300" t="str">
        <f>_xlfn.IFNA(VLOOKUP($AI102,Programma!$F$3:$I$1107,4,0),"")</f>
        <v>2w</v>
      </c>
      <c r="AM102" s="300" t="str">
        <f>_xlfn.IFNA(VLOOKUP($AI102,Programma!$F$3:$J$1107,5,0),"")</f>
        <v>1w</v>
      </c>
      <c r="AN102" s="300" t="str">
        <f>_xlfn.IFNA(VLOOKUP($AI102,Programma!$F$3:$K$1107,6,0),"")</f>
        <v>_</v>
      </c>
      <c r="AO102" s="300" t="str">
        <f>_xlfn.IFNA(VLOOKUP($AI102,Programma!$F$3:$L$1107,7,0),"")</f>
        <v>_</v>
      </c>
      <c r="AP102" s="300" t="str">
        <f>_xlfn.IFNA(VLOOKUP($AI102,Programma!$F$3:$M$1107,8,0),"")</f>
        <v>_</v>
      </c>
      <c r="AQ102" s="300" t="str">
        <f>_xlfn.IFNA(VLOOKUP($AI102,Programma!$F$3:$N$1107,9,0),"")</f>
        <v>_</v>
      </c>
      <c r="AR102" s="300" t="str">
        <f>_xlfn.IFNA(VLOOKUP($AI102,Programma!$F$3:$O$1107,10,0),"")</f>
        <v>3w</v>
      </c>
      <c r="AS102" s="300" t="str">
        <f>_xlfn.IFNA(VLOOKUP($AI102,Programma!$F$3:$P$1107,11,0),"")</f>
        <v>3w</v>
      </c>
      <c r="AT102" s="300" t="str">
        <f>_xlfn.IFNA(VLOOKUP($AI102,Programma!$F$3:$Q$1107,12,0),"")</f>
        <v>1w</v>
      </c>
      <c r="AU102" s="300" t="str">
        <f>_xlfn.IFNA(VLOOKUP($AI102,Programma!$F$3:$R$1107,13,0),"")</f>
        <v>1w</v>
      </c>
      <c r="AV102" s="300" t="str">
        <f>_xlfn.IFNA(VLOOKUP($AI102,Programma!$F$3:$S$1107,14,0),"")</f>
        <v>1m</v>
      </c>
      <c r="AW102" s="300" t="str">
        <f>_xlfn.IFNA(VLOOKUP($AI102,Programma!$F$3:$T$1107,15,0),"")</f>
        <v>2j</v>
      </c>
      <c r="AX102" s="300" t="str">
        <f>_xlfn.IFNA(VLOOKUP($AI102,Programma!$F$3:$U$1107,16,0),"")</f>
        <v>1j</v>
      </c>
      <c r="AY102" s="300" t="str">
        <f>_xlfn.IFNA(VLOOKUP($AI102,Programma!$F$3:$V$1107,17,0),"")</f>
        <v>_</v>
      </c>
      <c r="AZ102" s="300" t="str">
        <f>_xlfn.IFNA(VLOOKUP($AI102,Programma!$F$3:$W$1107,18,0),"")</f>
        <v>_</v>
      </c>
      <c r="BA102" s="300" t="str">
        <f>_xlfn.IFNA(VLOOKUP($AI102,Programma!$F$3:$X$1107,19,0),"")</f>
        <v>_</v>
      </c>
      <c r="BB102" s="300" t="str">
        <f>_xlfn.IFNA(VLOOKUP($AI102,Programma!$F$3:$Y$1107,20,0),"")</f>
        <v>_</v>
      </c>
      <c r="BC102" s="257"/>
      <c r="BD102" s="256" t="str">
        <f>IF(Ruimtestaat[[#This Row],[Frequentie weekend]]="","",_xlfn.CONCAT(Ruimtestaat[[#This Row],[Ruimte code]],"-",Ruimtestaat[[#This Row],[Frequentie weekend]]," ",Ruimtestaat[[#This Row],[Vloer code]]))</f>
        <v/>
      </c>
      <c r="BE102" s="300" t="str">
        <f>_xlfn.IFNA(VLOOKUP($BD102,Programma!$F$3:$G$1107,2,0),"")</f>
        <v/>
      </c>
      <c r="BF102" s="300" t="str">
        <f>_xlfn.IFNA(VLOOKUP($BD102,Programma!$F$3:$H$1107,3,0),"")</f>
        <v/>
      </c>
      <c r="BG102" s="300" t="str">
        <f>_xlfn.IFNA(VLOOKUP($BD102,Programma!$F$3:$I$1107,4,0),"")</f>
        <v/>
      </c>
      <c r="BH102" s="300" t="str">
        <f>_xlfn.IFNA(VLOOKUP($BD102,Programma!$F$3:$J$1107,5,0),"")</f>
        <v/>
      </c>
      <c r="BI102" s="300" t="str">
        <f>_xlfn.IFNA(VLOOKUP($BD102,Programma!$F$3:$K$1107,6,0),"")</f>
        <v/>
      </c>
      <c r="BJ102" s="300" t="str">
        <f>_xlfn.IFNA(VLOOKUP($BD102,Programma!$F$3:$L$1107,7,0),"")</f>
        <v/>
      </c>
      <c r="BK102" s="300" t="str">
        <f>_xlfn.IFNA(VLOOKUP($BD102,Programma!$F$3:$M$1107,8,0),"")</f>
        <v/>
      </c>
      <c r="BL102" s="300" t="str">
        <f>_xlfn.IFNA(VLOOKUP($BD102,Programma!$F$3:$N$1107,9,0),"")</f>
        <v/>
      </c>
      <c r="BM102" s="300" t="str">
        <f>_xlfn.IFNA(VLOOKUP($BD102,Programma!$F$3:$O$1107,10,0),"")</f>
        <v/>
      </c>
      <c r="BN102" s="300" t="str">
        <f>_xlfn.IFNA(VLOOKUP($BD102,Programma!$F$3:$P$1107,11,0),"")</f>
        <v/>
      </c>
      <c r="BO102" s="300" t="str">
        <f>_xlfn.IFNA(VLOOKUP($BD102,Programma!$F$3:$Q$1107,12,0),"")</f>
        <v/>
      </c>
      <c r="BP102" s="300" t="str">
        <f>_xlfn.IFNA(VLOOKUP($BD102,Programma!$F$3:$R$1107,13,0),"")</f>
        <v/>
      </c>
      <c r="BQ102" s="300" t="str">
        <f>_xlfn.IFNA(VLOOKUP($BD102,Programma!$F$3:$S$1107,14,0),"")</f>
        <v/>
      </c>
      <c r="BR102" s="300" t="str">
        <f>_xlfn.IFNA(VLOOKUP($BD102,Programma!$F$3:$T$1107,15,0),"")</f>
        <v/>
      </c>
      <c r="BS102" s="300" t="str">
        <f>_xlfn.IFNA(VLOOKUP($BD102,Programma!$F$3:$U$1107,16,0),"")</f>
        <v/>
      </c>
      <c r="BT102" s="300" t="str">
        <f>_xlfn.IFNA(VLOOKUP($BD102,Programma!$F$3:$V$1107,17,0),"")</f>
        <v/>
      </c>
      <c r="BU102" s="300" t="str">
        <f>_xlfn.IFNA(VLOOKUP($BD102,Programma!$F$3:$W$1107,18,0),"")</f>
        <v/>
      </c>
      <c r="BV102" s="300" t="str">
        <f>_xlfn.IFNA(VLOOKUP($BD102,Programma!$F$3:$X$1107,19,0),"")</f>
        <v/>
      </c>
      <c r="BW102" s="300" t="str">
        <f>_xlfn.IFNA(VLOOKUP($BD102,Programma!$F$3:$Y$1107,20,0),"")</f>
        <v/>
      </c>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row>
    <row r="103" spans="1:220" ht="15" customHeight="1">
      <c r="A103" s="21">
        <v>2</v>
      </c>
      <c r="B103" s="157" t="str">
        <f>VLOOKUP(Ruimtestaat[[#This Row],[Code]],Locaties[[Code]:[Locatie]],2,FALSE)</f>
        <v>'s Gravendreef College</v>
      </c>
      <c r="C103" s="157" t="str">
        <f>VLOOKUP(Ruimtestaat[[#This Row],[Code]],Locaties[[#All],[Code]:[Adres]],4,FALSE)</f>
        <v>Klaas Voskuildreef 135</v>
      </c>
      <c r="D103" s="157" t="str">
        <f>VLOOKUP(Ruimtestaat[[#This Row],[Code]],Locaties[[#All],[Code]:[Postcode]],5,FALSE)</f>
        <v>2492 JJ</v>
      </c>
      <c r="E103" s="157" t="str">
        <f>VLOOKUP(Ruimtestaat[[#This Row],[Code]],Locaties[#All],6,FALSE)</f>
        <v>Den Haag</v>
      </c>
      <c r="F103" s="33" t="s">
        <v>1748</v>
      </c>
      <c r="G103" s="33" t="s">
        <v>1706</v>
      </c>
      <c r="H103" s="21" t="s">
        <v>1769</v>
      </c>
      <c r="I103" s="62" t="s">
        <v>1770</v>
      </c>
      <c r="J103" s="21">
        <v>20</v>
      </c>
      <c r="K103" s="62" t="str">
        <f>VLOOKUP(Ruimtestaat[[#This Row],[Ruimte code]],Ruimtegroepen[[#All],[Code]:[Ruimte omschrijving]],2,FALSE)</f>
        <v>Niet in Onderhoud</v>
      </c>
      <c r="L103" s="33" t="s">
        <v>101</v>
      </c>
      <c r="M103" s="367" t="s">
        <v>2495</v>
      </c>
      <c r="N103" s="140"/>
      <c r="O103" s="140">
        <v>12.77</v>
      </c>
      <c r="P103" s="125">
        <f>VLOOKUP(Ruimtestaat[[#This Row],[Ruimte code]],Ruimtegroepen[],4,FALSE)</f>
        <v>0</v>
      </c>
      <c r="R103" s="33"/>
      <c r="S103" s="33"/>
      <c r="T103" s="33">
        <f>IF(R103&gt;0,IF(RIGHT(Ruimtestaat[[#This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3" s="33">
        <f>IF(T103&gt;0,VLOOKUP($J103,Ruimtegroepen[],3,FALSE)*VLOOKUP($L103,Vloersoorten[],3,FALSE)*VLOOKUP($S103,Frequenties[],3,FALSE)*VLOOKUP($A103,Locaties[],3,FALSE),0)</f>
        <v>0</v>
      </c>
      <c r="V103" s="33">
        <f>Ruimtestaat[[#This Row],[Uitvoeringen werkdagen]]*Ruimtestaat[[#This Row],[Oppervlak (netto)]]</f>
        <v>0</v>
      </c>
      <c r="W103" s="154">
        <f>IF(U103&gt;0,Ruimtestaat[[#This Row],[Prest. (m2 /jaar) werkdagen]]/Ruimtestaat[[#This Row],[Norm (m2/uur) werkdagen]],0)</f>
        <v>0</v>
      </c>
      <c r="X103" s="155">
        <f>Ruimtestaat[[#This Row],[uren / jaar werkdagen]]*Tariefsopbouw!$E$35</f>
        <v>0</v>
      </c>
      <c r="Y103" s="33"/>
      <c r="Z103" s="33">
        <f>IF(Ruimtestaat[[#This Row],[Frequentie weekend]]&gt;0,VALUE(LEFT(Y103,1))*R103,0)</f>
        <v>0</v>
      </c>
      <c r="AA103" s="97">
        <f>IF($Z103&gt;0,VLOOKUP($J103,Ruimtegroepen[],3,FALSE)*VLOOKUP($L103,Vloersoorten[],3,FALSE)*VLOOKUP($Y103,Frequenties[],3,FALSE)*VLOOKUP(Ruimtestaat[[#This Row],[Code]],Locaties[],3,FALSE),0)</f>
        <v>0</v>
      </c>
      <c r="AB103" s="97">
        <f>Ruimtestaat[[#This Row],[Uitvoeringen weekend]]*Ruimtestaat[[#This Row],[Oppervlak (netto)]]</f>
        <v>0</v>
      </c>
      <c r="AC103" s="97">
        <f>IF(AA103&gt;0,Ruimtestaat[[#This Row],[Prest. (m2 /jaar) weekend]]/Ruimtestaat[[#This Row],[Norm (m2/uur) weekend]],0)</f>
        <v>0</v>
      </c>
      <c r="AD103" s="155">
        <f>Ruimtestaat[[#This Row],[uren / jaar weekend]]*Tariefsopbouw!$D$40</f>
        <v>0</v>
      </c>
      <c r="AE103" s="154">
        <f>Ruimtestaat[[#This Row],[Prest. (m2 /jaar) weekend]]+Ruimtestaat[[#This Row],[Prest. (m2 /jaar) werkdagen]]</f>
        <v>0</v>
      </c>
      <c r="AF103" s="154">
        <f>Ruimtestaat[[#This Row],[uren / jaar weekend]]+Ruimtestaat[[#This Row],[uren / jaar werkdagen]]</f>
        <v>0</v>
      </c>
      <c r="AG103" s="69">
        <f>Ruimtestaat[[#This Row],[kosten / jaar weekend]]+Ruimtestaat[[#This Row],[kosten / jaar werkdagen]]</f>
        <v>0</v>
      </c>
      <c r="AH103" s="69"/>
      <c r="AI103" s="256" t="str">
        <f>IF(Ruimtestaat[[#This Row],[Frequentie werkdagen]]="","",_xlfn.CONCAT(Ruimtestaat[[#This Row],[Ruimte code]],"-",Ruimtestaat[[#This Row],[Frequentie werkdagen]]," ",Ruimtestaat[[#This Row],[Vloer code]]))</f>
        <v/>
      </c>
      <c r="AJ103" s="300" t="str">
        <f>_xlfn.IFNA(VLOOKUP($AI103,Programma!$F$3:$G$1107,2,0),"")</f>
        <v/>
      </c>
      <c r="AK103" s="300" t="str">
        <f>_xlfn.IFNA(VLOOKUP($AI103,Programma!$F$3:$H$1107,3,0),"")</f>
        <v/>
      </c>
      <c r="AL103" s="300" t="str">
        <f>_xlfn.IFNA(VLOOKUP($AI103,Programma!$F$3:$I$1107,4,0),"")</f>
        <v/>
      </c>
      <c r="AM103" s="300" t="str">
        <f>_xlfn.IFNA(VLOOKUP($AI103,Programma!$F$3:$J$1107,5,0),"")</f>
        <v/>
      </c>
      <c r="AN103" s="300" t="str">
        <f>_xlfn.IFNA(VLOOKUP($AI103,Programma!$F$3:$K$1107,6,0),"")</f>
        <v/>
      </c>
      <c r="AO103" s="300" t="str">
        <f>_xlfn.IFNA(VLOOKUP($AI103,Programma!$F$3:$L$1107,7,0),"")</f>
        <v/>
      </c>
      <c r="AP103" s="300" t="str">
        <f>_xlfn.IFNA(VLOOKUP($AI103,Programma!$F$3:$M$1107,8,0),"")</f>
        <v/>
      </c>
      <c r="AQ103" s="300" t="str">
        <f>_xlfn.IFNA(VLOOKUP($AI103,Programma!$F$3:$N$1107,9,0),"")</f>
        <v/>
      </c>
      <c r="AR103" s="300" t="str">
        <f>_xlfn.IFNA(VLOOKUP($AI103,Programma!$F$3:$O$1107,10,0),"")</f>
        <v/>
      </c>
      <c r="AS103" s="300" t="str">
        <f>_xlfn.IFNA(VLOOKUP($AI103,Programma!$F$3:$P$1107,11,0),"")</f>
        <v/>
      </c>
      <c r="AT103" s="300" t="str">
        <f>_xlfn.IFNA(VLOOKUP($AI103,Programma!$F$3:$Q$1107,12,0),"")</f>
        <v/>
      </c>
      <c r="AU103" s="300" t="str">
        <f>_xlfn.IFNA(VLOOKUP($AI103,Programma!$F$3:$R$1107,13,0),"")</f>
        <v/>
      </c>
      <c r="AV103" s="300" t="str">
        <f>_xlfn.IFNA(VLOOKUP($AI103,Programma!$F$3:$S$1107,14,0),"")</f>
        <v/>
      </c>
      <c r="AW103" s="300" t="str">
        <f>_xlfn.IFNA(VLOOKUP($AI103,Programma!$F$3:$T$1107,15,0),"")</f>
        <v/>
      </c>
      <c r="AX103" s="300" t="str">
        <f>_xlfn.IFNA(VLOOKUP($AI103,Programma!$F$3:$U$1107,16,0),"")</f>
        <v/>
      </c>
      <c r="AY103" s="300" t="str">
        <f>_xlfn.IFNA(VLOOKUP($AI103,Programma!$F$3:$V$1107,17,0),"")</f>
        <v/>
      </c>
      <c r="AZ103" s="300" t="str">
        <f>_xlfn.IFNA(VLOOKUP($AI103,Programma!$F$3:$W$1107,18,0),"")</f>
        <v/>
      </c>
      <c r="BA103" s="300" t="str">
        <f>_xlfn.IFNA(VLOOKUP($AI103,Programma!$F$3:$X$1107,19,0),"")</f>
        <v/>
      </c>
      <c r="BB103" s="300" t="str">
        <f>_xlfn.IFNA(VLOOKUP($AI103,Programma!$F$3:$Y$1107,20,0),"")</f>
        <v/>
      </c>
      <c r="BC103" s="257"/>
      <c r="BD103" s="256" t="str">
        <f>IF(Ruimtestaat[[#This Row],[Frequentie weekend]]="","",_xlfn.CONCAT(Ruimtestaat[[#This Row],[Ruimte code]],"-",Ruimtestaat[[#This Row],[Frequentie weekend]]," ",Ruimtestaat[[#This Row],[Vloer code]]))</f>
        <v/>
      </c>
      <c r="BE103" s="300" t="str">
        <f>_xlfn.IFNA(VLOOKUP($BD103,Programma!$F$3:$G$1107,2,0),"")</f>
        <v/>
      </c>
      <c r="BF103" s="300" t="str">
        <f>_xlfn.IFNA(VLOOKUP($BD103,Programma!$F$3:$H$1107,3,0),"")</f>
        <v/>
      </c>
      <c r="BG103" s="300" t="str">
        <f>_xlfn.IFNA(VLOOKUP($BD103,Programma!$F$3:$I$1107,4,0),"")</f>
        <v/>
      </c>
      <c r="BH103" s="300" t="str">
        <f>_xlfn.IFNA(VLOOKUP($BD103,Programma!$F$3:$J$1107,5,0),"")</f>
        <v/>
      </c>
      <c r="BI103" s="300" t="str">
        <f>_xlfn.IFNA(VLOOKUP($BD103,Programma!$F$3:$K$1107,6,0),"")</f>
        <v/>
      </c>
      <c r="BJ103" s="300" t="str">
        <f>_xlfn.IFNA(VLOOKUP($BD103,Programma!$F$3:$L$1107,7,0),"")</f>
        <v/>
      </c>
      <c r="BK103" s="300" t="str">
        <f>_xlfn.IFNA(VLOOKUP($BD103,Programma!$F$3:$M$1107,8,0),"")</f>
        <v/>
      </c>
      <c r="BL103" s="300" t="str">
        <f>_xlfn.IFNA(VLOOKUP($BD103,Programma!$F$3:$N$1107,9,0),"")</f>
        <v/>
      </c>
      <c r="BM103" s="300" t="str">
        <f>_xlfn.IFNA(VLOOKUP($BD103,Programma!$F$3:$O$1107,10,0),"")</f>
        <v/>
      </c>
      <c r="BN103" s="300" t="str">
        <f>_xlfn.IFNA(VLOOKUP($BD103,Programma!$F$3:$P$1107,11,0),"")</f>
        <v/>
      </c>
      <c r="BO103" s="300" t="str">
        <f>_xlfn.IFNA(VLOOKUP($BD103,Programma!$F$3:$Q$1107,12,0),"")</f>
        <v/>
      </c>
      <c r="BP103" s="300" t="str">
        <f>_xlfn.IFNA(VLOOKUP($BD103,Programma!$F$3:$R$1107,13,0),"")</f>
        <v/>
      </c>
      <c r="BQ103" s="300" t="str">
        <f>_xlfn.IFNA(VLOOKUP($BD103,Programma!$F$3:$S$1107,14,0),"")</f>
        <v/>
      </c>
      <c r="BR103" s="300" t="str">
        <f>_xlfn.IFNA(VLOOKUP($BD103,Programma!$F$3:$T$1107,15,0),"")</f>
        <v/>
      </c>
      <c r="BS103" s="300" t="str">
        <f>_xlfn.IFNA(VLOOKUP($BD103,Programma!$F$3:$U$1107,16,0),"")</f>
        <v/>
      </c>
      <c r="BT103" s="300" t="str">
        <f>_xlfn.IFNA(VLOOKUP($BD103,Programma!$F$3:$V$1107,17,0),"")</f>
        <v/>
      </c>
      <c r="BU103" s="300" t="str">
        <f>_xlfn.IFNA(VLOOKUP($BD103,Programma!$F$3:$W$1107,18,0),"")</f>
        <v/>
      </c>
      <c r="BV103" s="300" t="str">
        <f>_xlfn.IFNA(VLOOKUP($BD103,Programma!$F$3:$X$1107,19,0),"")</f>
        <v/>
      </c>
      <c r="BW103" s="300" t="str">
        <f>_xlfn.IFNA(VLOOKUP($BD103,Programma!$F$3:$Y$1107,20,0),"")</f>
        <v/>
      </c>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row>
    <row r="104" spans="1:220" ht="15" customHeight="1">
      <c r="A104" s="21">
        <v>2</v>
      </c>
      <c r="B104" s="157" t="str">
        <f>VLOOKUP(Ruimtestaat[[#This Row],[Code]],Locaties[[Code]:[Locatie]],2,FALSE)</f>
        <v>'s Gravendreef College</v>
      </c>
      <c r="C104" s="157" t="str">
        <f>VLOOKUP(Ruimtestaat[[#This Row],[Code]],Locaties[[#All],[Code]:[Adres]],4,FALSE)</f>
        <v>Klaas Voskuildreef 135</v>
      </c>
      <c r="D104" s="157" t="str">
        <f>VLOOKUP(Ruimtestaat[[#This Row],[Code]],Locaties[[#All],[Code]:[Postcode]],5,FALSE)</f>
        <v>2492 JJ</v>
      </c>
      <c r="E104" s="157" t="str">
        <f>VLOOKUP(Ruimtestaat[[#This Row],[Code]],Locaties[#All],6,FALSE)</f>
        <v>Den Haag</v>
      </c>
      <c r="F104" s="33" t="s">
        <v>1748</v>
      </c>
      <c r="G104" s="33" t="s">
        <v>1706</v>
      </c>
      <c r="H104" s="21" t="s">
        <v>1771</v>
      </c>
      <c r="I104" s="62" t="s">
        <v>1805</v>
      </c>
      <c r="J104" s="21">
        <v>10</v>
      </c>
      <c r="K104" s="62" t="str">
        <f>VLOOKUP(Ruimtestaat[[#This Row],[Ruimte code]],Ruimtegroepen[[#All],[Code]:[Ruimte omschrijving]],2,FALSE)</f>
        <v>Trappenhuizen/lift</v>
      </c>
      <c r="L104" s="33" t="s">
        <v>101</v>
      </c>
      <c r="M104" s="367" t="s">
        <v>2495</v>
      </c>
      <c r="N104" s="140">
        <v>19.63</v>
      </c>
      <c r="O104" s="140"/>
      <c r="P104" s="125" t="str">
        <f>VLOOKUP(Ruimtestaat[[#This Row],[Ruimte code]],Ruimtegroepen[],4,FALSE)</f>
        <v>Ve</v>
      </c>
      <c r="R104" s="33">
        <v>40</v>
      </c>
      <c r="S104" s="33" t="s">
        <v>2</v>
      </c>
      <c r="T104" s="33">
        <f>IF(R104&gt;0,IF(RIGHT(Ruimtestaat[[#This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4" s="33">
        <f>IF(T104&gt;0,VLOOKUP($J104,Ruimtegroepen[],3,FALSE)*VLOOKUP($L104,Vloersoorten[],3,FALSE)*VLOOKUP($S104,Frequenties[],3,FALSE)*VLOOKUP($A104,Locaties[],3,FALSE),0)</f>
        <v>0</v>
      </c>
      <c r="V104" s="33">
        <f>Ruimtestaat[[#This Row],[Uitvoeringen werkdagen]]*Ruimtestaat[[#This Row],[Oppervlak (netto)]]</f>
        <v>3926</v>
      </c>
      <c r="W104" s="154">
        <f>IF(U104&gt;0,Ruimtestaat[[#This Row],[Prest. (m2 /jaar) werkdagen]]/Ruimtestaat[[#This Row],[Norm (m2/uur) werkdagen]],0)</f>
        <v>0</v>
      </c>
      <c r="X104" s="155">
        <f>Ruimtestaat[[#This Row],[uren / jaar werkdagen]]*Tariefsopbouw!$E$35</f>
        <v>0</v>
      </c>
      <c r="Y104" s="33"/>
      <c r="Z104" s="33">
        <f>IF(Ruimtestaat[[#This Row],[Frequentie weekend]]&gt;0,VALUE(LEFT(Y104,1))*R104,0)</f>
        <v>0</v>
      </c>
      <c r="AA104" s="97">
        <f>IF($Z104&gt;0,VLOOKUP($J104,Ruimtegroepen[],3,FALSE)*VLOOKUP($L104,Vloersoorten[],3,FALSE)*VLOOKUP($Y104,Frequenties[],3,FALSE)*VLOOKUP(Ruimtestaat[[#This Row],[Code]],Locaties[],3,FALSE),0)</f>
        <v>0</v>
      </c>
      <c r="AB104" s="97">
        <f>Ruimtestaat[[#This Row],[Uitvoeringen weekend]]*Ruimtestaat[[#This Row],[Oppervlak (netto)]]</f>
        <v>0</v>
      </c>
      <c r="AC104" s="97">
        <f>IF(AA104&gt;0,Ruimtestaat[[#This Row],[Prest. (m2 /jaar) weekend]]/Ruimtestaat[[#This Row],[Norm (m2/uur) weekend]],0)</f>
        <v>0</v>
      </c>
      <c r="AD104" s="155">
        <f>Ruimtestaat[[#This Row],[uren / jaar weekend]]*Tariefsopbouw!$D$40</f>
        <v>0</v>
      </c>
      <c r="AE104" s="154">
        <f>Ruimtestaat[[#This Row],[Prest. (m2 /jaar) weekend]]+Ruimtestaat[[#This Row],[Prest. (m2 /jaar) werkdagen]]</f>
        <v>3926</v>
      </c>
      <c r="AF104" s="154">
        <f>Ruimtestaat[[#This Row],[uren / jaar weekend]]+Ruimtestaat[[#This Row],[uren / jaar werkdagen]]</f>
        <v>0</v>
      </c>
      <c r="AG104" s="69">
        <f>Ruimtestaat[[#This Row],[kosten / jaar weekend]]+Ruimtestaat[[#This Row],[kosten / jaar werkdagen]]</f>
        <v>0</v>
      </c>
      <c r="AH104" s="69"/>
      <c r="AI104" s="256" t="str">
        <f>IF(Ruimtestaat[[#This Row],[Frequentie werkdagen]]="","",_xlfn.CONCAT(Ruimtestaat[[#This Row],[Ruimte code]],"-",Ruimtestaat[[#This Row],[Frequentie werkdagen]]," ",Ruimtestaat[[#This Row],[Vloer code]]))</f>
        <v>10-5w L</v>
      </c>
      <c r="AJ104" s="300" t="str">
        <f>_xlfn.IFNA(VLOOKUP($AI104,Programma!$F$3:$G$1107,2,0),"")</f>
        <v>_</v>
      </c>
      <c r="AK104" s="300" t="str">
        <f>_xlfn.IFNA(VLOOKUP($AI104,Programma!$F$3:$H$1107,3,0),"")</f>
        <v>_</v>
      </c>
      <c r="AL104" s="300" t="str">
        <f>_xlfn.IFNA(VLOOKUP($AI104,Programma!$F$3:$I$1107,4,0),"")</f>
        <v>4w</v>
      </c>
      <c r="AM104" s="300" t="str">
        <f>_xlfn.IFNA(VLOOKUP($AI104,Programma!$F$3:$J$1107,5,0),"")</f>
        <v>1w</v>
      </c>
      <c r="AN104" s="300" t="str">
        <f>_xlfn.IFNA(VLOOKUP($AI104,Programma!$F$3:$K$1107,6,0),"")</f>
        <v>_</v>
      </c>
      <c r="AO104" s="300" t="str">
        <f>_xlfn.IFNA(VLOOKUP($AI104,Programma!$F$3:$L$1107,7,0),"")</f>
        <v>_</v>
      </c>
      <c r="AP104" s="300" t="str">
        <f>_xlfn.IFNA(VLOOKUP($AI104,Programma!$F$3:$M$1107,8,0),"")</f>
        <v>_</v>
      </c>
      <c r="AQ104" s="300" t="str">
        <f>_xlfn.IFNA(VLOOKUP($AI104,Programma!$F$3:$N$1107,9,0),"")</f>
        <v>_</v>
      </c>
      <c r="AR104" s="300" t="str">
        <f>_xlfn.IFNA(VLOOKUP($AI104,Programma!$F$3:$O$1107,10,0),"")</f>
        <v>5w</v>
      </c>
      <c r="AS104" s="300" t="str">
        <f>_xlfn.IFNA(VLOOKUP($AI104,Programma!$F$3:$P$1107,11,0),"")</f>
        <v>5w</v>
      </c>
      <c r="AT104" s="300" t="str">
        <f>_xlfn.IFNA(VLOOKUP($AI104,Programma!$F$3:$Q$1107,12,0),"")</f>
        <v>1w</v>
      </c>
      <c r="AU104" s="300" t="str">
        <f>_xlfn.IFNA(VLOOKUP($AI104,Programma!$F$3:$R$1107,13,0),"")</f>
        <v>1w</v>
      </c>
      <c r="AV104" s="300" t="str">
        <f>_xlfn.IFNA(VLOOKUP($AI104,Programma!$F$3:$S$1107,14,0),"")</f>
        <v>1m</v>
      </c>
      <c r="AW104" s="300" t="str">
        <f>_xlfn.IFNA(VLOOKUP($AI104,Programma!$F$3:$T$1107,15,0),"")</f>
        <v>2j</v>
      </c>
      <c r="AX104" s="300" t="str">
        <f>_xlfn.IFNA(VLOOKUP($AI104,Programma!$F$3:$U$1107,16,0),"")</f>
        <v>1j</v>
      </c>
      <c r="AY104" s="300" t="str">
        <f>_xlfn.IFNA(VLOOKUP($AI104,Programma!$F$3:$V$1107,17,0),"")</f>
        <v>_</v>
      </c>
      <c r="AZ104" s="300" t="str">
        <f>_xlfn.IFNA(VLOOKUP($AI104,Programma!$F$3:$W$1107,18,0),"")</f>
        <v>_</v>
      </c>
      <c r="BA104" s="300" t="str">
        <f>_xlfn.IFNA(VLOOKUP($AI104,Programma!$F$3:$X$1107,19,0),"")</f>
        <v>_</v>
      </c>
      <c r="BB104" s="300" t="str">
        <f>_xlfn.IFNA(VLOOKUP($AI104,Programma!$F$3:$Y$1107,20,0),"")</f>
        <v>_</v>
      </c>
      <c r="BC104" s="257"/>
      <c r="BD104" s="256" t="str">
        <f>IF(Ruimtestaat[[#This Row],[Frequentie weekend]]="","",_xlfn.CONCAT(Ruimtestaat[[#This Row],[Ruimte code]],"-",Ruimtestaat[[#This Row],[Frequentie weekend]]," ",Ruimtestaat[[#This Row],[Vloer code]]))</f>
        <v/>
      </c>
      <c r="BE104" s="300" t="str">
        <f>_xlfn.IFNA(VLOOKUP($BD104,Programma!$F$3:$G$1107,2,0),"")</f>
        <v/>
      </c>
      <c r="BF104" s="300" t="str">
        <f>_xlfn.IFNA(VLOOKUP($BD104,Programma!$F$3:$H$1107,3,0),"")</f>
        <v/>
      </c>
      <c r="BG104" s="300" t="str">
        <f>_xlfn.IFNA(VLOOKUP($BD104,Programma!$F$3:$I$1107,4,0),"")</f>
        <v/>
      </c>
      <c r="BH104" s="300" t="str">
        <f>_xlfn.IFNA(VLOOKUP($BD104,Programma!$F$3:$J$1107,5,0),"")</f>
        <v/>
      </c>
      <c r="BI104" s="300" t="str">
        <f>_xlfn.IFNA(VLOOKUP($BD104,Programma!$F$3:$K$1107,6,0),"")</f>
        <v/>
      </c>
      <c r="BJ104" s="300" t="str">
        <f>_xlfn.IFNA(VLOOKUP($BD104,Programma!$F$3:$L$1107,7,0),"")</f>
        <v/>
      </c>
      <c r="BK104" s="300" t="str">
        <f>_xlfn.IFNA(VLOOKUP($BD104,Programma!$F$3:$M$1107,8,0),"")</f>
        <v/>
      </c>
      <c r="BL104" s="300" t="str">
        <f>_xlfn.IFNA(VLOOKUP($BD104,Programma!$F$3:$N$1107,9,0),"")</f>
        <v/>
      </c>
      <c r="BM104" s="300" t="str">
        <f>_xlfn.IFNA(VLOOKUP($BD104,Programma!$F$3:$O$1107,10,0),"")</f>
        <v/>
      </c>
      <c r="BN104" s="300" t="str">
        <f>_xlfn.IFNA(VLOOKUP($BD104,Programma!$F$3:$P$1107,11,0),"")</f>
        <v/>
      </c>
      <c r="BO104" s="300" t="str">
        <f>_xlfn.IFNA(VLOOKUP($BD104,Programma!$F$3:$Q$1107,12,0),"")</f>
        <v/>
      </c>
      <c r="BP104" s="300" t="str">
        <f>_xlfn.IFNA(VLOOKUP($BD104,Programma!$F$3:$R$1107,13,0),"")</f>
        <v/>
      </c>
      <c r="BQ104" s="300" t="str">
        <f>_xlfn.IFNA(VLOOKUP($BD104,Programma!$F$3:$S$1107,14,0),"")</f>
        <v/>
      </c>
      <c r="BR104" s="300" t="str">
        <f>_xlfn.IFNA(VLOOKUP($BD104,Programma!$F$3:$T$1107,15,0),"")</f>
        <v/>
      </c>
      <c r="BS104" s="300" t="str">
        <f>_xlfn.IFNA(VLOOKUP($BD104,Programma!$F$3:$U$1107,16,0),"")</f>
        <v/>
      </c>
      <c r="BT104" s="300" t="str">
        <f>_xlfn.IFNA(VLOOKUP($BD104,Programma!$F$3:$V$1107,17,0),"")</f>
        <v/>
      </c>
      <c r="BU104" s="300" t="str">
        <f>_xlfn.IFNA(VLOOKUP($BD104,Programma!$F$3:$W$1107,18,0),"")</f>
        <v/>
      </c>
      <c r="BV104" s="300" t="str">
        <f>_xlfn.IFNA(VLOOKUP($BD104,Programma!$F$3:$X$1107,19,0),"")</f>
        <v/>
      </c>
      <c r="BW104" s="300" t="str">
        <f>_xlfn.IFNA(VLOOKUP($BD104,Programma!$F$3:$Y$1107,20,0),"")</f>
        <v/>
      </c>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row>
    <row r="105" spans="1:220" ht="15" customHeight="1">
      <c r="A105" s="21">
        <v>2</v>
      </c>
      <c r="B105" s="157" t="str">
        <f>VLOOKUP(Ruimtestaat[[#This Row],[Code]],Locaties[[Code]:[Locatie]],2,FALSE)</f>
        <v>'s Gravendreef College</v>
      </c>
      <c r="C105" s="157" t="str">
        <f>VLOOKUP(Ruimtestaat[[#This Row],[Code]],Locaties[[#All],[Code]:[Adres]],4,FALSE)</f>
        <v>Klaas Voskuildreef 135</v>
      </c>
      <c r="D105" s="157" t="str">
        <f>VLOOKUP(Ruimtestaat[[#This Row],[Code]],Locaties[[#All],[Code]:[Postcode]],5,FALSE)</f>
        <v>2492 JJ</v>
      </c>
      <c r="E105" s="157" t="str">
        <f>VLOOKUP(Ruimtestaat[[#This Row],[Code]],Locaties[#All],6,FALSE)</f>
        <v>Den Haag</v>
      </c>
      <c r="F105" s="33" t="s">
        <v>1748</v>
      </c>
      <c r="G105" s="33" t="s">
        <v>1706</v>
      </c>
      <c r="H105" s="21" t="s">
        <v>1772</v>
      </c>
      <c r="I105" s="62" t="s">
        <v>1644</v>
      </c>
      <c r="J105" s="21">
        <v>1</v>
      </c>
      <c r="K105" s="62" t="str">
        <f>VLOOKUP(Ruimtestaat[[#This Row],[Ruimte code]],Ruimtegroepen[[#All],[Code]:[Ruimte omschrijving]],2,FALSE)</f>
        <v>Magazijnen/bergingen</v>
      </c>
      <c r="L105" s="33" t="s">
        <v>101</v>
      </c>
      <c r="M105" s="367" t="s">
        <v>2495</v>
      </c>
      <c r="N105" s="140">
        <v>8.48</v>
      </c>
      <c r="O105" s="140"/>
      <c r="P105" s="125" t="str">
        <f>VLOOKUP(Ruimtestaat[[#This Row],[Ruimte code]],Ruimtegroepen[],4,FALSE)</f>
        <v>Ve</v>
      </c>
      <c r="R105" s="33">
        <v>40</v>
      </c>
      <c r="S105" s="33" t="s">
        <v>16</v>
      </c>
      <c r="T105" s="33">
        <f>IF(R105&gt;0,IF(RIGHT(Ruimtestaat[[#This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05" s="33">
        <f>IF(T105&gt;0,VLOOKUP($J105,Ruimtegroepen[],3,FALSE)*VLOOKUP($L105,Vloersoorten[],3,FALSE)*VLOOKUP($S105,Frequenties[],3,FALSE)*VLOOKUP($A105,Locaties[],3,FALSE),0)</f>
        <v>0</v>
      </c>
      <c r="V105" s="33">
        <f>Ruimtestaat[[#This Row],[Uitvoeringen werkdagen]]*Ruimtestaat[[#This Row],[Oppervlak (netto)]]</f>
        <v>101.76</v>
      </c>
      <c r="W105" s="154">
        <f>IF(U105&gt;0,Ruimtestaat[[#This Row],[Prest. (m2 /jaar) werkdagen]]/Ruimtestaat[[#This Row],[Norm (m2/uur) werkdagen]],0)</f>
        <v>0</v>
      </c>
      <c r="X105" s="155">
        <f>Ruimtestaat[[#This Row],[uren / jaar werkdagen]]*Tariefsopbouw!$E$35</f>
        <v>0</v>
      </c>
      <c r="Y105" s="33"/>
      <c r="Z105" s="33">
        <f>IF(Ruimtestaat[[#This Row],[Frequentie weekend]]&gt;0,VALUE(LEFT(Y105,1))*R105,0)</f>
        <v>0</v>
      </c>
      <c r="AA105" s="97">
        <f>IF($Z105&gt;0,VLOOKUP($J105,Ruimtegroepen[],3,FALSE)*VLOOKUP($L105,Vloersoorten[],3,FALSE)*VLOOKUP($Y105,Frequenties[],3,FALSE)*VLOOKUP(Ruimtestaat[[#This Row],[Code]],Locaties[],3,FALSE),0)</f>
        <v>0</v>
      </c>
      <c r="AB105" s="97">
        <f>Ruimtestaat[[#This Row],[Uitvoeringen weekend]]*Ruimtestaat[[#This Row],[Oppervlak (netto)]]</f>
        <v>0</v>
      </c>
      <c r="AC105" s="97">
        <f>IF(AA105&gt;0,Ruimtestaat[[#This Row],[Prest. (m2 /jaar) weekend]]/Ruimtestaat[[#This Row],[Norm (m2/uur) weekend]],0)</f>
        <v>0</v>
      </c>
      <c r="AD105" s="155">
        <f>Ruimtestaat[[#This Row],[uren / jaar weekend]]*Tariefsopbouw!$D$40</f>
        <v>0</v>
      </c>
      <c r="AE105" s="154">
        <f>Ruimtestaat[[#This Row],[Prest. (m2 /jaar) weekend]]+Ruimtestaat[[#This Row],[Prest. (m2 /jaar) werkdagen]]</f>
        <v>101.76</v>
      </c>
      <c r="AF105" s="154">
        <f>Ruimtestaat[[#This Row],[uren / jaar weekend]]+Ruimtestaat[[#This Row],[uren / jaar werkdagen]]</f>
        <v>0</v>
      </c>
      <c r="AG105" s="69">
        <f>Ruimtestaat[[#This Row],[kosten / jaar weekend]]+Ruimtestaat[[#This Row],[kosten / jaar werkdagen]]</f>
        <v>0</v>
      </c>
      <c r="AH105" s="69"/>
      <c r="AI105" s="256" t="str">
        <f>IF(Ruimtestaat[[#This Row],[Frequentie werkdagen]]="","",_xlfn.CONCAT(Ruimtestaat[[#This Row],[Ruimte code]],"-",Ruimtestaat[[#This Row],[Frequentie werkdagen]]," ",Ruimtestaat[[#This Row],[Vloer code]]))</f>
        <v>1-1m L</v>
      </c>
      <c r="AJ105" s="300" t="str">
        <f>_xlfn.IFNA(VLOOKUP($AI105,Programma!$F$3:$G$1107,2,0),"")</f>
        <v>_</v>
      </c>
      <c r="AK105" s="300" t="str">
        <f>_xlfn.IFNA(VLOOKUP($AI105,Programma!$F$3:$H$1107,3,0),"")</f>
        <v>_</v>
      </c>
      <c r="AL105" s="300" t="str">
        <f>_xlfn.IFNA(VLOOKUP($AI105,Programma!$F$3:$I$1107,4,0),"")</f>
        <v>1m</v>
      </c>
      <c r="AM105" s="300" t="str">
        <f>_xlfn.IFNA(VLOOKUP($AI105,Programma!$F$3:$J$1107,5,0),"")</f>
        <v>1m</v>
      </c>
      <c r="AN105" s="300" t="str">
        <f>_xlfn.IFNA(VLOOKUP($AI105,Programma!$F$3:$K$1107,6,0),"")</f>
        <v>_</v>
      </c>
      <c r="AO105" s="300" t="str">
        <f>_xlfn.IFNA(VLOOKUP($AI105,Programma!$F$3:$L$1107,7,0),"")</f>
        <v>_</v>
      </c>
      <c r="AP105" s="300" t="str">
        <f>_xlfn.IFNA(VLOOKUP($AI105,Programma!$F$3:$M$1107,8,0),"")</f>
        <v>_</v>
      </c>
      <c r="AQ105" s="300" t="str">
        <f>_xlfn.IFNA(VLOOKUP($AI105,Programma!$F$3:$N$1107,9,0),"")</f>
        <v>_</v>
      </c>
      <c r="AR105" s="300" t="str">
        <f>_xlfn.IFNA(VLOOKUP($AI105,Programma!$F$3:$O$1107,10,0),"")</f>
        <v>_</v>
      </c>
      <c r="AS105" s="300" t="str">
        <f>_xlfn.IFNA(VLOOKUP($AI105,Programma!$F$3:$P$1107,11,0),"")</f>
        <v>_</v>
      </c>
      <c r="AT105" s="300" t="str">
        <f>_xlfn.IFNA(VLOOKUP($AI105,Programma!$F$3:$Q$1107,12,0),"")</f>
        <v>_</v>
      </c>
      <c r="AU105" s="300" t="str">
        <f>_xlfn.IFNA(VLOOKUP($AI105,Programma!$F$3:$R$1107,13,0),"")</f>
        <v>_</v>
      </c>
      <c r="AV105" s="300" t="str">
        <f>_xlfn.IFNA(VLOOKUP($AI105,Programma!$F$3:$S$1107,14,0),"")</f>
        <v>1m</v>
      </c>
      <c r="AW105" s="300" t="str">
        <f>_xlfn.IFNA(VLOOKUP($AI105,Programma!$F$3:$T$1107,15,0),"")</f>
        <v>4j</v>
      </c>
      <c r="AX105" s="300" t="str">
        <f>_xlfn.IFNA(VLOOKUP($AI105,Programma!$F$3:$U$1107,16,0),"")</f>
        <v>4j</v>
      </c>
      <c r="AY105" s="300" t="str">
        <f>_xlfn.IFNA(VLOOKUP($AI105,Programma!$F$3:$V$1107,17,0),"")</f>
        <v>_</v>
      </c>
      <c r="AZ105" s="300" t="str">
        <f>_xlfn.IFNA(VLOOKUP($AI105,Programma!$F$3:$W$1107,18,0),"")</f>
        <v>_</v>
      </c>
      <c r="BA105" s="300" t="str">
        <f>_xlfn.IFNA(VLOOKUP($AI105,Programma!$F$3:$X$1107,19,0),"")</f>
        <v>_</v>
      </c>
      <c r="BB105" s="300" t="str">
        <f>_xlfn.IFNA(VLOOKUP($AI105,Programma!$F$3:$Y$1107,20,0),"")</f>
        <v>_</v>
      </c>
      <c r="BC105" s="257"/>
      <c r="BD105" s="256" t="str">
        <f>IF(Ruimtestaat[[#This Row],[Frequentie weekend]]="","",_xlfn.CONCAT(Ruimtestaat[[#This Row],[Ruimte code]],"-",Ruimtestaat[[#This Row],[Frequentie weekend]]," ",Ruimtestaat[[#This Row],[Vloer code]]))</f>
        <v/>
      </c>
      <c r="BE105" s="300" t="str">
        <f>_xlfn.IFNA(VLOOKUP($BD105,Programma!$F$3:$G$1107,2,0),"")</f>
        <v/>
      </c>
      <c r="BF105" s="300" t="str">
        <f>_xlfn.IFNA(VLOOKUP($BD105,Programma!$F$3:$H$1107,3,0),"")</f>
        <v/>
      </c>
      <c r="BG105" s="300" t="str">
        <f>_xlfn.IFNA(VLOOKUP($BD105,Programma!$F$3:$I$1107,4,0),"")</f>
        <v/>
      </c>
      <c r="BH105" s="300" t="str">
        <f>_xlfn.IFNA(VLOOKUP($BD105,Programma!$F$3:$J$1107,5,0),"")</f>
        <v/>
      </c>
      <c r="BI105" s="300" t="str">
        <f>_xlfn.IFNA(VLOOKUP($BD105,Programma!$F$3:$K$1107,6,0),"")</f>
        <v/>
      </c>
      <c r="BJ105" s="300" t="str">
        <f>_xlfn.IFNA(VLOOKUP($BD105,Programma!$F$3:$L$1107,7,0),"")</f>
        <v/>
      </c>
      <c r="BK105" s="300" t="str">
        <f>_xlfn.IFNA(VLOOKUP($BD105,Programma!$F$3:$M$1107,8,0),"")</f>
        <v/>
      </c>
      <c r="BL105" s="300" t="str">
        <f>_xlfn.IFNA(VLOOKUP($BD105,Programma!$F$3:$N$1107,9,0),"")</f>
        <v/>
      </c>
      <c r="BM105" s="300" t="str">
        <f>_xlfn.IFNA(VLOOKUP($BD105,Programma!$F$3:$O$1107,10,0),"")</f>
        <v/>
      </c>
      <c r="BN105" s="300" t="str">
        <f>_xlfn.IFNA(VLOOKUP($BD105,Programma!$F$3:$P$1107,11,0),"")</f>
        <v/>
      </c>
      <c r="BO105" s="300" t="str">
        <f>_xlfn.IFNA(VLOOKUP($BD105,Programma!$F$3:$Q$1107,12,0),"")</f>
        <v/>
      </c>
      <c r="BP105" s="300" t="str">
        <f>_xlfn.IFNA(VLOOKUP($BD105,Programma!$F$3:$R$1107,13,0),"")</f>
        <v/>
      </c>
      <c r="BQ105" s="300" t="str">
        <f>_xlfn.IFNA(VLOOKUP($BD105,Programma!$F$3:$S$1107,14,0),"")</f>
        <v/>
      </c>
      <c r="BR105" s="300" t="str">
        <f>_xlfn.IFNA(VLOOKUP($BD105,Programma!$F$3:$T$1107,15,0),"")</f>
        <v/>
      </c>
      <c r="BS105" s="300" t="str">
        <f>_xlfn.IFNA(VLOOKUP($BD105,Programma!$F$3:$U$1107,16,0),"")</f>
        <v/>
      </c>
      <c r="BT105" s="300" t="str">
        <f>_xlfn.IFNA(VLOOKUP($BD105,Programma!$F$3:$V$1107,17,0),"")</f>
        <v/>
      </c>
      <c r="BU105" s="300" t="str">
        <f>_xlfn.IFNA(VLOOKUP($BD105,Programma!$F$3:$W$1107,18,0),"")</f>
        <v/>
      </c>
      <c r="BV105" s="300" t="str">
        <f>_xlfn.IFNA(VLOOKUP($BD105,Programma!$F$3:$X$1107,19,0),"")</f>
        <v/>
      </c>
      <c r="BW105" s="300" t="str">
        <f>_xlfn.IFNA(VLOOKUP($BD105,Programma!$F$3:$Y$1107,20,0),"")</f>
        <v/>
      </c>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row>
    <row r="106" spans="1:220" ht="15" customHeight="1">
      <c r="A106" s="21">
        <v>2</v>
      </c>
      <c r="B106" s="157" t="str">
        <f>VLOOKUP(Ruimtestaat[[#This Row],[Code]],Locaties[[Code]:[Locatie]],2,FALSE)</f>
        <v>'s Gravendreef College</v>
      </c>
      <c r="C106" s="157" t="str">
        <f>VLOOKUP(Ruimtestaat[[#This Row],[Code]],Locaties[[#All],[Code]:[Adres]],4,FALSE)</f>
        <v>Klaas Voskuildreef 135</v>
      </c>
      <c r="D106" s="157" t="str">
        <f>VLOOKUP(Ruimtestaat[[#This Row],[Code]],Locaties[[#All],[Code]:[Postcode]],5,FALSE)</f>
        <v>2492 JJ</v>
      </c>
      <c r="E106" s="157" t="str">
        <f>VLOOKUP(Ruimtestaat[[#This Row],[Code]],Locaties[#All],6,FALSE)</f>
        <v>Den Haag</v>
      </c>
      <c r="F106" s="33" t="s">
        <v>1748</v>
      </c>
      <c r="G106" s="33" t="s">
        <v>1706</v>
      </c>
      <c r="H106" s="21" t="s">
        <v>1773</v>
      </c>
      <c r="I106" s="62" t="s">
        <v>1774</v>
      </c>
      <c r="J106" s="21">
        <v>8</v>
      </c>
      <c r="K106" s="62" t="str">
        <f>VLOOKUP(Ruimtestaat[[#This Row],[Ruimte code]],Ruimtegroepen[[#All],[Code]:[Ruimte omschrijving]],2,FALSE)</f>
        <v>Mediatheek / OLC</v>
      </c>
      <c r="L106" s="33" t="s">
        <v>101</v>
      </c>
      <c r="M106" s="367" t="s">
        <v>2495</v>
      </c>
      <c r="N106" s="140">
        <v>96.85</v>
      </c>
      <c r="O106" s="140"/>
      <c r="P106" s="125" t="str">
        <f>VLOOKUP(Ruimtestaat[[#This Row],[Ruimte code]],Ruimtegroepen[],4,FALSE)</f>
        <v>Le</v>
      </c>
      <c r="R106" s="33">
        <v>40</v>
      </c>
      <c r="S106" s="33" t="s">
        <v>2</v>
      </c>
      <c r="T106" s="33">
        <f>IF(R106&gt;0,IF(RIGHT(Ruimtestaat[[#This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6" s="33">
        <f>IF(T106&gt;0,VLOOKUP($J106,Ruimtegroepen[],3,FALSE)*VLOOKUP($L106,Vloersoorten[],3,FALSE)*VLOOKUP($S106,Frequenties[],3,FALSE)*VLOOKUP($A106,Locaties[],3,FALSE),0)</f>
        <v>0</v>
      </c>
      <c r="V106" s="33">
        <f>Ruimtestaat[[#This Row],[Uitvoeringen werkdagen]]*Ruimtestaat[[#This Row],[Oppervlak (netto)]]</f>
        <v>19370</v>
      </c>
      <c r="W106" s="154">
        <f>IF(U106&gt;0,Ruimtestaat[[#This Row],[Prest. (m2 /jaar) werkdagen]]/Ruimtestaat[[#This Row],[Norm (m2/uur) werkdagen]],0)</f>
        <v>0</v>
      </c>
      <c r="X106" s="155">
        <f>Ruimtestaat[[#This Row],[uren / jaar werkdagen]]*Tariefsopbouw!$E$35</f>
        <v>0</v>
      </c>
      <c r="Y106" s="33"/>
      <c r="Z106" s="33">
        <f>IF(Ruimtestaat[[#This Row],[Frequentie weekend]]&gt;0,VALUE(LEFT(Y106,1))*R106,0)</f>
        <v>0</v>
      </c>
      <c r="AA106" s="97">
        <f>IF($Z106&gt;0,VLOOKUP($J106,Ruimtegroepen[],3,FALSE)*VLOOKUP($L106,Vloersoorten[],3,FALSE)*VLOOKUP($Y106,Frequenties[],3,FALSE)*VLOOKUP(Ruimtestaat[[#This Row],[Code]],Locaties[],3,FALSE),0)</f>
        <v>0</v>
      </c>
      <c r="AB106" s="97">
        <f>Ruimtestaat[[#This Row],[Uitvoeringen weekend]]*Ruimtestaat[[#This Row],[Oppervlak (netto)]]</f>
        <v>0</v>
      </c>
      <c r="AC106" s="97">
        <f>IF(AA106&gt;0,Ruimtestaat[[#This Row],[Prest. (m2 /jaar) weekend]]/Ruimtestaat[[#This Row],[Norm (m2/uur) weekend]],0)</f>
        <v>0</v>
      </c>
      <c r="AD106" s="155">
        <f>Ruimtestaat[[#This Row],[uren / jaar weekend]]*Tariefsopbouw!$D$40</f>
        <v>0</v>
      </c>
      <c r="AE106" s="154">
        <f>Ruimtestaat[[#This Row],[Prest. (m2 /jaar) weekend]]+Ruimtestaat[[#This Row],[Prest. (m2 /jaar) werkdagen]]</f>
        <v>19370</v>
      </c>
      <c r="AF106" s="154">
        <f>Ruimtestaat[[#This Row],[uren / jaar weekend]]+Ruimtestaat[[#This Row],[uren / jaar werkdagen]]</f>
        <v>0</v>
      </c>
      <c r="AG106" s="69">
        <f>Ruimtestaat[[#This Row],[kosten / jaar weekend]]+Ruimtestaat[[#This Row],[kosten / jaar werkdagen]]</f>
        <v>0</v>
      </c>
      <c r="AH106" s="69"/>
      <c r="AI106" s="256" t="str">
        <f>IF(Ruimtestaat[[#This Row],[Frequentie werkdagen]]="","",_xlfn.CONCAT(Ruimtestaat[[#This Row],[Ruimte code]],"-",Ruimtestaat[[#This Row],[Frequentie werkdagen]]," ",Ruimtestaat[[#This Row],[Vloer code]]))</f>
        <v>8-5w L</v>
      </c>
      <c r="AJ106" s="300" t="str">
        <f>_xlfn.IFNA(VLOOKUP($AI106,Programma!$F$3:$G$1107,2,0),"")</f>
        <v>_</v>
      </c>
      <c r="AK106" s="300" t="str">
        <f>_xlfn.IFNA(VLOOKUP($AI106,Programma!$F$3:$H$1107,3,0),"")</f>
        <v>_</v>
      </c>
      <c r="AL106" s="300" t="str">
        <f>_xlfn.IFNA(VLOOKUP($AI106,Programma!$F$3:$I$1107,4,0),"")</f>
        <v>4w</v>
      </c>
      <c r="AM106" s="300" t="str">
        <f>_xlfn.IFNA(VLOOKUP($AI106,Programma!$F$3:$J$1107,5,0),"")</f>
        <v>1w</v>
      </c>
      <c r="AN106" s="300" t="str">
        <f>_xlfn.IFNA(VLOOKUP($AI106,Programma!$F$3:$K$1107,6,0),"")</f>
        <v>_</v>
      </c>
      <c r="AO106" s="300" t="str">
        <f>_xlfn.IFNA(VLOOKUP($AI106,Programma!$F$3:$L$1107,7,0),"")</f>
        <v>_</v>
      </c>
      <c r="AP106" s="300" t="str">
        <f>_xlfn.IFNA(VLOOKUP($AI106,Programma!$F$3:$M$1107,8,0),"")</f>
        <v>_</v>
      </c>
      <c r="AQ106" s="300" t="str">
        <f>_xlfn.IFNA(VLOOKUP($AI106,Programma!$F$3:$N$1107,9,0),"")</f>
        <v>_</v>
      </c>
      <c r="AR106" s="300" t="str">
        <f>_xlfn.IFNA(VLOOKUP($AI106,Programma!$F$3:$O$1107,10,0),"")</f>
        <v>5w</v>
      </c>
      <c r="AS106" s="300" t="str">
        <f>_xlfn.IFNA(VLOOKUP($AI106,Programma!$F$3:$P$1107,11,0),"")</f>
        <v>5w</v>
      </c>
      <c r="AT106" s="300" t="str">
        <f>_xlfn.IFNA(VLOOKUP($AI106,Programma!$F$3:$Q$1107,12,0),"")</f>
        <v>1w</v>
      </c>
      <c r="AU106" s="300" t="str">
        <f>_xlfn.IFNA(VLOOKUP($AI106,Programma!$F$3:$R$1107,13,0),"")</f>
        <v>1w</v>
      </c>
      <c r="AV106" s="300" t="str">
        <f>_xlfn.IFNA(VLOOKUP($AI106,Programma!$F$3:$S$1107,14,0),"")</f>
        <v>1m</v>
      </c>
      <c r="AW106" s="300" t="str">
        <f>_xlfn.IFNA(VLOOKUP($AI106,Programma!$F$3:$T$1107,15,0),"")</f>
        <v>2j</v>
      </c>
      <c r="AX106" s="300" t="str">
        <f>_xlfn.IFNA(VLOOKUP($AI106,Programma!$F$3:$U$1107,16,0),"")</f>
        <v>1j</v>
      </c>
      <c r="AY106" s="300" t="str">
        <f>_xlfn.IFNA(VLOOKUP($AI106,Programma!$F$3:$V$1107,17,0),"")</f>
        <v>_</v>
      </c>
      <c r="AZ106" s="300" t="str">
        <f>_xlfn.IFNA(VLOOKUP($AI106,Programma!$F$3:$W$1107,18,0),"")</f>
        <v>_</v>
      </c>
      <c r="BA106" s="300" t="str">
        <f>_xlfn.IFNA(VLOOKUP($AI106,Programma!$F$3:$X$1107,19,0),"")</f>
        <v>_</v>
      </c>
      <c r="BB106" s="300" t="str">
        <f>_xlfn.IFNA(VLOOKUP($AI106,Programma!$F$3:$Y$1107,20,0),"")</f>
        <v>_</v>
      </c>
      <c r="BC106" s="257"/>
      <c r="BD106" s="256" t="str">
        <f>IF(Ruimtestaat[[#This Row],[Frequentie weekend]]="","",_xlfn.CONCAT(Ruimtestaat[[#This Row],[Ruimte code]],"-",Ruimtestaat[[#This Row],[Frequentie weekend]]," ",Ruimtestaat[[#This Row],[Vloer code]]))</f>
        <v/>
      </c>
      <c r="BE106" s="300" t="str">
        <f>_xlfn.IFNA(VLOOKUP($BD106,Programma!$F$3:$G$1107,2,0),"")</f>
        <v/>
      </c>
      <c r="BF106" s="300" t="str">
        <f>_xlfn.IFNA(VLOOKUP($BD106,Programma!$F$3:$H$1107,3,0),"")</f>
        <v/>
      </c>
      <c r="BG106" s="300" t="str">
        <f>_xlfn.IFNA(VLOOKUP($BD106,Programma!$F$3:$I$1107,4,0),"")</f>
        <v/>
      </c>
      <c r="BH106" s="300" t="str">
        <f>_xlfn.IFNA(VLOOKUP($BD106,Programma!$F$3:$J$1107,5,0),"")</f>
        <v/>
      </c>
      <c r="BI106" s="300" t="str">
        <f>_xlfn.IFNA(VLOOKUP($BD106,Programma!$F$3:$K$1107,6,0),"")</f>
        <v/>
      </c>
      <c r="BJ106" s="300" t="str">
        <f>_xlfn.IFNA(VLOOKUP($BD106,Programma!$F$3:$L$1107,7,0),"")</f>
        <v/>
      </c>
      <c r="BK106" s="300" t="str">
        <f>_xlfn.IFNA(VLOOKUP($BD106,Programma!$F$3:$M$1107,8,0),"")</f>
        <v/>
      </c>
      <c r="BL106" s="300" t="str">
        <f>_xlfn.IFNA(VLOOKUP($BD106,Programma!$F$3:$N$1107,9,0),"")</f>
        <v/>
      </c>
      <c r="BM106" s="300" t="str">
        <f>_xlfn.IFNA(VLOOKUP($BD106,Programma!$F$3:$O$1107,10,0),"")</f>
        <v/>
      </c>
      <c r="BN106" s="300" t="str">
        <f>_xlfn.IFNA(VLOOKUP($BD106,Programma!$F$3:$P$1107,11,0),"")</f>
        <v/>
      </c>
      <c r="BO106" s="300" t="str">
        <f>_xlfn.IFNA(VLOOKUP($BD106,Programma!$F$3:$Q$1107,12,0),"")</f>
        <v/>
      </c>
      <c r="BP106" s="300" t="str">
        <f>_xlfn.IFNA(VLOOKUP($BD106,Programma!$F$3:$R$1107,13,0),"")</f>
        <v/>
      </c>
      <c r="BQ106" s="300" t="str">
        <f>_xlfn.IFNA(VLOOKUP($BD106,Programma!$F$3:$S$1107,14,0),"")</f>
        <v/>
      </c>
      <c r="BR106" s="300" t="str">
        <f>_xlfn.IFNA(VLOOKUP($BD106,Programma!$F$3:$T$1107,15,0),"")</f>
        <v/>
      </c>
      <c r="BS106" s="300" t="str">
        <f>_xlfn.IFNA(VLOOKUP($BD106,Programma!$F$3:$U$1107,16,0),"")</f>
        <v/>
      </c>
      <c r="BT106" s="300" t="str">
        <f>_xlfn.IFNA(VLOOKUP($BD106,Programma!$F$3:$V$1107,17,0),"")</f>
        <v/>
      </c>
      <c r="BU106" s="300" t="str">
        <f>_xlfn.IFNA(VLOOKUP($BD106,Programma!$F$3:$W$1107,18,0),"")</f>
        <v/>
      </c>
      <c r="BV106" s="300" t="str">
        <f>_xlfn.IFNA(VLOOKUP($BD106,Programma!$F$3:$X$1107,19,0),"")</f>
        <v/>
      </c>
      <c r="BW106" s="300" t="str">
        <f>_xlfn.IFNA(VLOOKUP($BD106,Programma!$F$3:$Y$1107,20,0),"")</f>
        <v/>
      </c>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row>
    <row r="107" spans="1:220" ht="15" customHeight="1">
      <c r="A107" s="21">
        <v>2</v>
      </c>
      <c r="B107" s="157" t="str">
        <f>VLOOKUP(Ruimtestaat[[#This Row],[Code]],Locaties[[Code]:[Locatie]],2,FALSE)</f>
        <v>'s Gravendreef College</v>
      </c>
      <c r="C107" s="157" t="str">
        <f>VLOOKUP(Ruimtestaat[[#This Row],[Code]],Locaties[[#All],[Code]:[Adres]],4,FALSE)</f>
        <v>Klaas Voskuildreef 135</v>
      </c>
      <c r="D107" s="157" t="str">
        <f>VLOOKUP(Ruimtestaat[[#This Row],[Code]],Locaties[[#All],[Code]:[Postcode]],5,FALSE)</f>
        <v>2492 JJ</v>
      </c>
      <c r="E107" s="157" t="str">
        <f>VLOOKUP(Ruimtestaat[[#This Row],[Code]],Locaties[#All],6,FALSE)</f>
        <v>Den Haag</v>
      </c>
      <c r="F107" s="33" t="s">
        <v>1748</v>
      </c>
      <c r="G107" s="33" t="s">
        <v>1706</v>
      </c>
      <c r="H107" s="21" t="s">
        <v>1775</v>
      </c>
      <c r="I107" s="62" t="s">
        <v>1776</v>
      </c>
      <c r="J107" s="21">
        <v>16</v>
      </c>
      <c r="K107" s="62" t="str">
        <f>VLOOKUP(Ruimtestaat[[#This Row],[Ruimte code]],Ruimtegroepen[[#All],[Code]:[Ruimte omschrijving]],2,FALSE)</f>
        <v>Leslokalen theorie</v>
      </c>
      <c r="L107" s="33" t="s">
        <v>101</v>
      </c>
      <c r="M107" s="367" t="s">
        <v>2495</v>
      </c>
      <c r="N107" s="140">
        <v>58.08</v>
      </c>
      <c r="O107" s="140"/>
      <c r="P107" s="125" t="str">
        <f>VLOOKUP(Ruimtestaat[[#This Row],[Ruimte code]],Ruimtegroepen[],4,FALSE)</f>
        <v>Le</v>
      </c>
      <c r="R107" s="33">
        <v>40</v>
      </c>
      <c r="S107" s="33" t="s">
        <v>2</v>
      </c>
      <c r="T107" s="33">
        <f>IF(R107&gt;0,IF(RIGHT(Ruimtestaat[[#This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7" s="33">
        <f>IF(T107&gt;0,VLOOKUP($J107,Ruimtegroepen[],3,FALSE)*VLOOKUP($L107,Vloersoorten[],3,FALSE)*VLOOKUP($S107,Frequenties[],3,FALSE)*VLOOKUP($A107,Locaties[],3,FALSE),0)</f>
        <v>0</v>
      </c>
      <c r="V107" s="33">
        <f>Ruimtestaat[[#This Row],[Uitvoeringen werkdagen]]*Ruimtestaat[[#This Row],[Oppervlak (netto)]]</f>
        <v>11616</v>
      </c>
      <c r="W107" s="154">
        <f>IF(U107&gt;0,Ruimtestaat[[#This Row],[Prest. (m2 /jaar) werkdagen]]/Ruimtestaat[[#This Row],[Norm (m2/uur) werkdagen]],0)</f>
        <v>0</v>
      </c>
      <c r="X107" s="155">
        <f>Ruimtestaat[[#This Row],[uren / jaar werkdagen]]*Tariefsopbouw!$E$35</f>
        <v>0</v>
      </c>
      <c r="Y107" s="33"/>
      <c r="Z107" s="33">
        <f>IF(Ruimtestaat[[#This Row],[Frequentie weekend]]&gt;0,VALUE(LEFT(Y107,1))*R107,0)</f>
        <v>0</v>
      </c>
      <c r="AA107" s="97">
        <f>IF($Z107&gt;0,VLOOKUP($J107,Ruimtegroepen[],3,FALSE)*VLOOKUP($L107,Vloersoorten[],3,FALSE)*VLOOKUP($Y107,Frequenties[],3,FALSE)*VLOOKUP(Ruimtestaat[[#This Row],[Code]],Locaties[],3,FALSE),0)</f>
        <v>0</v>
      </c>
      <c r="AB107" s="97">
        <f>Ruimtestaat[[#This Row],[Uitvoeringen weekend]]*Ruimtestaat[[#This Row],[Oppervlak (netto)]]</f>
        <v>0</v>
      </c>
      <c r="AC107" s="97">
        <f>IF(AA107&gt;0,Ruimtestaat[[#This Row],[Prest. (m2 /jaar) weekend]]/Ruimtestaat[[#This Row],[Norm (m2/uur) weekend]],0)</f>
        <v>0</v>
      </c>
      <c r="AD107" s="155">
        <f>Ruimtestaat[[#This Row],[uren / jaar weekend]]*Tariefsopbouw!$D$40</f>
        <v>0</v>
      </c>
      <c r="AE107" s="154">
        <f>Ruimtestaat[[#This Row],[Prest. (m2 /jaar) weekend]]+Ruimtestaat[[#This Row],[Prest. (m2 /jaar) werkdagen]]</f>
        <v>11616</v>
      </c>
      <c r="AF107" s="154">
        <f>Ruimtestaat[[#This Row],[uren / jaar weekend]]+Ruimtestaat[[#This Row],[uren / jaar werkdagen]]</f>
        <v>0</v>
      </c>
      <c r="AG107" s="69">
        <f>Ruimtestaat[[#This Row],[kosten / jaar weekend]]+Ruimtestaat[[#This Row],[kosten / jaar werkdagen]]</f>
        <v>0</v>
      </c>
      <c r="AH107" s="69"/>
      <c r="AI107" s="256" t="str">
        <f>IF(Ruimtestaat[[#This Row],[Frequentie werkdagen]]="","",_xlfn.CONCAT(Ruimtestaat[[#This Row],[Ruimte code]],"-",Ruimtestaat[[#This Row],[Frequentie werkdagen]]," ",Ruimtestaat[[#This Row],[Vloer code]]))</f>
        <v>16-5w L</v>
      </c>
      <c r="AJ107" s="363" t="str">
        <f>_xlfn.IFNA(VLOOKUP($AI107,Programma!$F$3:$G$1107,2,0),"")</f>
        <v>_</v>
      </c>
      <c r="AK107" s="363" t="str">
        <f>_xlfn.IFNA(VLOOKUP($AI107,Programma!$F$3:$H$1107,3,0),"")</f>
        <v>_</v>
      </c>
      <c r="AL107" s="363" t="str">
        <f>_xlfn.IFNA(VLOOKUP($AI107,Programma!$F$3:$I$1107,4,0),"")</f>
        <v>4w</v>
      </c>
      <c r="AM107" s="363" t="str">
        <f>_xlfn.IFNA(VLOOKUP($AI107,Programma!$F$3:$J$1107,5,0),"")</f>
        <v>1w</v>
      </c>
      <c r="AN107" s="363" t="str">
        <f>_xlfn.IFNA(VLOOKUP($AI107,Programma!$F$3:$K$1107,6,0),"")</f>
        <v>_</v>
      </c>
      <c r="AO107" s="363" t="str">
        <f>_xlfn.IFNA(VLOOKUP($AI107,Programma!$F$3:$L$1107,7,0),"")</f>
        <v>_</v>
      </c>
      <c r="AP107" s="363" t="str">
        <f>_xlfn.IFNA(VLOOKUP($AI107,Programma!$F$3:$M$1107,8,0),"")</f>
        <v>_</v>
      </c>
      <c r="AQ107" s="363" t="str">
        <f>_xlfn.IFNA(VLOOKUP($AI107,Programma!$F$3:$N$1107,9,0),"")</f>
        <v>_</v>
      </c>
      <c r="AR107" s="363" t="str">
        <f>_xlfn.IFNA(VLOOKUP($AI107,Programma!$F$3:$O$1107,10,0),"")</f>
        <v>5w</v>
      </c>
      <c r="AS107" s="363" t="str">
        <f>_xlfn.IFNA(VLOOKUP($AI107,Programma!$F$3:$P$1107,11,0),"")</f>
        <v>5w</v>
      </c>
      <c r="AT107" s="363" t="str">
        <f>_xlfn.IFNA(VLOOKUP($AI107,Programma!$F$3:$Q$1107,12,0),"")</f>
        <v>1w</v>
      </c>
      <c r="AU107" s="363" t="str">
        <f>_xlfn.IFNA(VLOOKUP($AI107,Programma!$F$3:$R$1107,13,0),"")</f>
        <v>1w</v>
      </c>
      <c r="AV107" s="363" t="str">
        <f>_xlfn.IFNA(VLOOKUP($AI107,Programma!$F$3:$S$1107,14,0),"")</f>
        <v>1m</v>
      </c>
      <c r="AW107" s="363" t="str">
        <f>_xlfn.IFNA(VLOOKUP($AI107,Programma!$F$3:$T$1107,15,0),"")</f>
        <v>2j</v>
      </c>
      <c r="AX107" s="363" t="str">
        <f>_xlfn.IFNA(VLOOKUP($AI107,Programma!$F$3:$U$1107,16,0),"")</f>
        <v>1j</v>
      </c>
      <c r="AY107" s="363" t="str">
        <f>_xlfn.IFNA(VLOOKUP($AI107,Programma!$F$3:$V$1107,17,0),"")</f>
        <v>_</v>
      </c>
      <c r="AZ107" s="363" t="str">
        <f>_xlfn.IFNA(VLOOKUP($AI107,Programma!$F$3:$W$1107,18,0),"")</f>
        <v>_</v>
      </c>
      <c r="BA107" s="363" t="str">
        <f>_xlfn.IFNA(VLOOKUP($AI107,Programma!$F$3:$X$1107,19,0),"")</f>
        <v>_</v>
      </c>
      <c r="BB107" s="363" t="str">
        <f>_xlfn.IFNA(VLOOKUP($AI107,Programma!$F$3:$Y$1107,20,0),"")</f>
        <v>_</v>
      </c>
      <c r="BC107" s="257"/>
      <c r="BD107" s="256" t="str">
        <f>IF(Ruimtestaat[[#This Row],[Frequentie weekend]]="","",_xlfn.CONCAT(Ruimtestaat[[#This Row],[Ruimte code]],"-",Ruimtestaat[[#This Row],[Frequentie weekend]]," ",Ruimtestaat[[#This Row],[Vloer code]]))</f>
        <v/>
      </c>
      <c r="BE107" s="363" t="str">
        <f>_xlfn.IFNA(VLOOKUP($BD107,Programma!$F$3:$G$1107,2,0),"")</f>
        <v/>
      </c>
      <c r="BF107" s="363" t="str">
        <f>_xlfn.IFNA(VLOOKUP($BD107,Programma!$F$3:$H$1107,3,0),"")</f>
        <v/>
      </c>
      <c r="BG107" s="363" t="str">
        <f>_xlfn.IFNA(VLOOKUP($BD107,Programma!$F$3:$I$1107,4,0),"")</f>
        <v/>
      </c>
      <c r="BH107" s="363" t="str">
        <f>_xlfn.IFNA(VLOOKUP($BD107,Programma!$F$3:$J$1107,5,0),"")</f>
        <v/>
      </c>
      <c r="BI107" s="363" t="str">
        <f>_xlfn.IFNA(VLOOKUP($BD107,Programma!$F$3:$K$1107,6,0),"")</f>
        <v/>
      </c>
      <c r="BJ107" s="363" t="str">
        <f>_xlfn.IFNA(VLOOKUP($BD107,Programma!$F$3:$L$1107,7,0),"")</f>
        <v/>
      </c>
      <c r="BK107" s="363" t="str">
        <f>_xlfn.IFNA(VLOOKUP($BD107,Programma!$F$3:$M$1107,8,0),"")</f>
        <v/>
      </c>
      <c r="BL107" s="363" t="str">
        <f>_xlfn.IFNA(VLOOKUP($BD107,Programma!$F$3:$N$1107,9,0),"")</f>
        <v/>
      </c>
      <c r="BM107" s="363" t="str">
        <f>_xlfn.IFNA(VLOOKUP($BD107,Programma!$F$3:$O$1107,10,0),"")</f>
        <v/>
      </c>
      <c r="BN107" s="363" t="str">
        <f>_xlfn.IFNA(VLOOKUP($BD107,Programma!$F$3:$P$1107,11,0),"")</f>
        <v/>
      </c>
      <c r="BO107" s="363" t="str">
        <f>_xlfn.IFNA(VLOOKUP($BD107,Programma!$F$3:$Q$1107,12,0),"")</f>
        <v/>
      </c>
      <c r="BP107" s="363" t="str">
        <f>_xlfn.IFNA(VLOOKUP($BD107,Programma!$F$3:$R$1107,13,0),"")</f>
        <v/>
      </c>
      <c r="BQ107" s="363" t="str">
        <f>_xlfn.IFNA(VLOOKUP($BD107,Programma!$F$3:$S$1107,14,0),"")</f>
        <v/>
      </c>
      <c r="BR107" s="363" t="str">
        <f>_xlfn.IFNA(VLOOKUP($BD107,Programma!$F$3:$T$1107,15,0),"")</f>
        <v/>
      </c>
      <c r="BS107" s="363" t="str">
        <f>_xlfn.IFNA(VLOOKUP($BD107,Programma!$F$3:$U$1107,16,0),"")</f>
        <v/>
      </c>
      <c r="BT107" s="363" t="str">
        <f>_xlfn.IFNA(VLOOKUP($BD107,Programma!$F$3:$V$1107,17,0),"")</f>
        <v/>
      </c>
      <c r="BU107" s="363" t="str">
        <f>_xlfn.IFNA(VLOOKUP($BD107,Programma!$F$3:$W$1107,18,0),"")</f>
        <v/>
      </c>
      <c r="BV107" s="363" t="str">
        <f>_xlfn.IFNA(VLOOKUP($BD107,Programma!$F$3:$X$1107,19,0),"")</f>
        <v/>
      </c>
      <c r="BW107" s="363" t="str">
        <f>_xlfn.IFNA(VLOOKUP($BD107,Programma!$F$3:$Y$1107,20,0),"")</f>
        <v/>
      </c>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row>
    <row r="108" spans="1:220" ht="15" customHeight="1">
      <c r="A108" s="21">
        <v>2</v>
      </c>
      <c r="B108" s="157" t="str">
        <f>VLOOKUP(Ruimtestaat[[#This Row],[Code]],Locaties[[Code]:[Locatie]],2,FALSE)</f>
        <v>'s Gravendreef College</v>
      </c>
      <c r="C108" s="157" t="str">
        <f>VLOOKUP(Ruimtestaat[[#This Row],[Code]],Locaties[[#All],[Code]:[Adres]],4,FALSE)</f>
        <v>Klaas Voskuildreef 135</v>
      </c>
      <c r="D108" s="157" t="str">
        <f>VLOOKUP(Ruimtestaat[[#This Row],[Code]],Locaties[[#All],[Code]:[Postcode]],5,FALSE)</f>
        <v>2492 JJ</v>
      </c>
      <c r="E108" s="157" t="str">
        <f>VLOOKUP(Ruimtestaat[[#This Row],[Code]],Locaties[#All],6,FALSE)</f>
        <v>Den Haag</v>
      </c>
      <c r="F108" s="33" t="s">
        <v>1748</v>
      </c>
      <c r="G108" s="33" t="s">
        <v>1706</v>
      </c>
      <c r="H108" s="21" t="s">
        <v>1777</v>
      </c>
      <c r="I108" s="62" t="s">
        <v>1776</v>
      </c>
      <c r="J108" s="21">
        <v>16</v>
      </c>
      <c r="K108" s="62" t="str">
        <f>VLOOKUP(Ruimtestaat[[#This Row],[Ruimte code]],Ruimtegroepen[[#All],[Code]:[Ruimte omschrijving]],2,FALSE)</f>
        <v>Leslokalen theorie</v>
      </c>
      <c r="L108" s="33" t="s">
        <v>101</v>
      </c>
      <c r="M108" s="367" t="s">
        <v>2495</v>
      </c>
      <c r="N108" s="140">
        <v>68.92</v>
      </c>
      <c r="O108" s="140"/>
      <c r="P108" s="125" t="str">
        <f>VLOOKUP(Ruimtestaat[[#This Row],[Ruimte code]],Ruimtegroepen[],4,FALSE)</f>
        <v>Le</v>
      </c>
      <c r="R108" s="33">
        <v>40</v>
      </c>
      <c r="S108" s="33" t="s">
        <v>2</v>
      </c>
      <c r="T108" s="33">
        <f>IF(R108&gt;0,IF(RIGHT(Ruimtestaat[[#This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8" s="33">
        <f>IF(T108&gt;0,VLOOKUP($J108,Ruimtegroepen[],3,FALSE)*VLOOKUP($L108,Vloersoorten[],3,FALSE)*VLOOKUP($S108,Frequenties[],3,FALSE)*VLOOKUP($A108,Locaties[],3,FALSE),0)</f>
        <v>0</v>
      </c>
      <c r="V108" s="33">
        <f>Ruimtestaat[[#This Row],[Uitvoeringen werkdagen]]*Ruimtestaat[[#This Row],[Oppervlak (netto)]]</f>
        <v>13784</v>
      </c>
      <c r="W108" s="154">
        <f>IF(U108&gt;0,Ruimtestaat[[#This Row],[Prest. (m2 /jaar) werkdagen]]/Ruimtestaat[[#This Row],[Norm (m2/uur) werkdagen]],0)</f>
        <v>0</v>
      </c>
      <c r="X108" s="155">
        <f>Ruimtestaat[[#This Row],[uren / jaar werkdagen]]*Tariefsopbouw!$E$35</f>
        <v>0</v>
      </c>
      <c r="Y108" s="33"/>
      <c r="Z108" s="33">
        <f>IF(Ruimtestaat[[#This Row],[Frequentie weekend]]&gt;0,VALUE(LEFT(Y108,1))*R108,0)</f>
        <v>0</v>
      </c>
      <c r="AA108" s="97">
        <f>IF($Z108&gt;0,VLOOKUP($J108,Ruimtegroepen[],3,FALSE)*VLOOKUP($L108,Vloersoorten[],3,FALSE)*VLOOKUP($Y108,Frequenties[],3,FALSE)*VLOOKUP(Ruimtestaat[[#This Row],[Code]],Locaties[],3,FALSE),0)</f>
        <v>0</v>
      </c>
      <c r="AB108" s="97">
        <f>Ruimtestaat[[#This Row],[Uitvoeringen weekend]]*Ruimtestaat[[#This Row],[Oppervlak (netto)]]</f>
        <v>0</v>
      </c>
      <c r="AC108" s="97">
        <f>IF(AA108&gt;0,Ruimtestaat[[#This Row],[Prest. (m2 /jaar) weekend]]/Ruimtestaat[[#This Row],[Norm (m2/uur) weekend]],0)</f>
        <v>0</v>
      </c>
      <c r="AD108" s="155">
        <f>Ruimtestaat[[#This Row],[uren / jaar weekend]]*Tariefsopbouw!$D$40</f>
        <v>0</v>
      </c>
      <c r="AE108" s="154">
        <f>Ruimtestaat[[#This Row],[Prest. (m2 /jaar) weekend]]+Ruimtestaat[[#This Row],[Prest. (m2 /jaar) werkdagen]]</f>
        <v>13784</v>
      </c>
      <c r="AF108" s="154">
        <f>Ruimtestaat[[#This Row],[uren / jaar weekend]]+Ruimtestaat[[#This Row],[uren / jaar werkdagen]]</f>
        <v>0</v>
      </c>
      <c r="AG108" s="69">
        <f>Ruimtestaat[[#This Row],[kosten / jaar weekend]]+Ruimtestaat[[#This Row],[kosten / jaar werkdagen]]</f>
        <v>0</v>
      </c>
      <c r="AH108" s="69"/>
      <c r="AI108" s="256" t="str">
        <f>IF(Ruimtestaat[[#This Row],[Frequentie werkdagen]]="","",_xlfn.CONCAT(Ruimtestaat[[#This Row],[Ruimte code]],"-",Ruimtestaat[[#This Row],[Frequentie werkdagen]]," ",Ruimtestaat[[#This Row],[Vloer code]]))</f>
        <v>16-5w L</v>
      </c>
      <c r="AJ108" s="363" t="str">
        <f>_xlfn.IFNA(VLOOKUP($AI108,Programma!$F$3:$G$1107,2,0),"")</f>
        <v>_</v>
      </c>
      <c r="AK108" s="363" t="str">
        <f>_xlfn.IFNA(VLOOKUP($AI108,Programma!$F$3:$H$1107,3,0),"")</f>
        <v>_</v>
      </c>
      <c r="AL108" s="363" t="str">
        <f>_xlfn.IFNA(VLOOKUP($AI108,Programma!$F$3:$I$1107,4,0),"")</f>
        <v>4w</v>
      </c>
      <c r="AM108" s="363" t="str">
        <f>_xlfn.IFNA(VLOOKUP($AI108,Programma!$F$3:$J$1107,5,0),"")</f>
        <v>1w</v>
      </c>
      <c r="AN108" s="363" t="str">
        <f>_xlfn.IFNA(VLOOKUP($AI108,Programma!$F$3:$K$1107,6,0),"")</f>
        <v>_</v>
      </c>
      <c r="AO108" s="363" t="str">
        <f>_xlfn.IFNA(VLOOKUP($AI108,Programma!$F$3:$L$1107,7,0),"")</f>
        <v>_</v>
      </c>
      <c r="AP108" s="363" t="str">
        <f>_xlfn.IFNA(VLOOKUP($AI108,Programma!$F$3:$M$1107,8,0),"")</f>
        <v>_</v>
      </c>
      <c r="AQ108" s="363" t="str">
        <f>_xlfn.IFNA(VLOOKUP($AI108,Programma!$F$3:$N$1107,9,0),"")</f>
        <v>_</v>
      </c>
      <c r="AR108" s="363" t="str">
        <f>_xlfn.IFNA(VLOOKUP($AI108,Programma!$F$3:$O$1107,10,0),"")</f>
        <v>5w</v>
      </c>
      <c r="AS108" s="363" t="str">
        <f>_xlfn.IFNA(VLOOKUP($AI108,Programma!$F$3:$P$1107,11,0),"")</f>
        <v>5w</v>
      </c>
      <c r="AT108" s="363" t="str">
        <f>_xlfn.IFNA(VLOOKUP($AI108,Programma!$F$3:$Q$1107,12,0),"")</f>
        <v>1w</v>
      </c>
      <c r="AU108" s="363" t="str">
        <f>_xlfn.IFNA(VLOOKUP($AI108,Programma!$F$3:$R$1107,13,0),"")</f>
        <v>1w</v>
      </c>
      <c r="AV108" s="363" t="str">
        <f>_xlfn.IFNA(VLOOKUP($AI108,Programma!$F$3:$S$1107,14,0),"")</f>
        <v>1m</v>
      </c>
      <c r="AW108" s="363" t="str">
        <f>_xlfn.IFNA(VLOOKUP($AI108,Programma!$F$3:$T$1107,15,0),"")</f>
        <v>2j</v>
      </c>
      <c r="AX108" s="363" t="str">
        <f>_xlfn.IFNA(VLOOKUP($AI108,Programma!$F$3:$U$1107,16,0),"")</f>
        <v>1j</v>
      </c>
      <c r="AY108" s="363" t="str">
        <f>_xlfn.IFNA(VLOOKUP($AI108,Programma!$F$3:$V$1107,17,0),"")</f>
        <v>_</v>
      </c>
      <c r="AZ108" s="363" t="str">
        <f>_xlfn.IFNA(VLOOKUP($AI108,Programma!$F$3:$W$1107,18,0),"")</f>
        <v>_</v>
      </c>
      <c r="BA108" s="363" t="str">
        <f>_xlfn.IFNA(VLOOKUP($AI108,Programma!$F$3:$X$1107,19,0),"")</f>
        <v>_</v>
      </c>
      <c r="BB108" s="363" t="str">
        <f>_xlfn.IFNA(VLOOKUP($AI108,Programma!$F$3:$Y$1107,20,0),"")</f>
        <v>_</v>
      </c>
      <c r="BC108" s="257"/>
      <c r="BD108" s="256" t="str">
        <f>IF(Ruimtestaat[[#This Row],[Frequentie weekend]]="","",_xlfn.CONCAT(Ruimtestaat[[#This Row],[Ruimte code]],"-",Ruimtestaat[[#This Row],[Frequentie weekend]]," ",Ruimtestaat[[#This Row],[Vloer code]]))</f>
        <v/>
      </c>
      <c r="BE108" s="363" t="str">
        <f>_xlfn.IFNA(VLOOKUP($BD108,Programma!$F$3:$G$1107,2,0),"")</f>
        <v/>
      </c>
      <c r="BF108" s="363" t="str">
        <f>_xlfn.IFNA(VLOOKUP($BD108,Programma!$F$3:$H$1107,3,0),"")</f>
        <v/>
      </c>
      <c r="BG108" s="363" t="str">
        <f>_xlfn.IFNA(VLOOKUP($BD108,Programma!$F$3:$I$1107,4,0),"")</f>
        <v/>
      </c>
      <c r="BH108" s="363" t="str">
        <f>_xlfn.IFNA(VLOOKUP($BD108,Programma!$F$3:$J$1107,5,0),"")</f>
        <v/>
      </c>
      <c r="BI108" s="363" t="str">
        <f>_xlfn.IFNA(VLOOKUP($BD108,Programma!$F$3:$K$1107,6,0),"")</f>
        <v/>
      </c>
      <c r="BJ108" s="363" t="str">
        <f>_xlfn.IFNA(VLOOKUP($BD108,Programma!$F$3:$L$1107,7,0),"")</f>
        <v/>
      </c>
      <c r="BK108" s="363" t="str">
        <f>_xlfn.IFNA(VLOOKUP($BD108,Programma!$F$3:$M$1107,8,0),"")</f>
        <v/>
      </c>
      <c r="BL108" s="363" t="str">
        <f>_xlfn.IFNA(VLOOKUP($BD108,Programma!$F$3:$N$1107,9,0),"")</f>
        <v/>
      </c>
      <c r="BM108" s="363" t="str">
        <f>_xlfn.IFNA(VLOOKUP($BD108,Programma!$F$3:$O$1107,10,0),"")</f>
        <v/>
      </c>
      <c r="BN108" s="363" t="str">
        <f>_xlfn.IFNA(VLOOKUP($BD108,Programma!$F$3:$P$1107,11,0),"")</f>
        <v/>
      </c>
      <c r="BO108" s="363" t="str">
        <f>_xlfn.IFNA(VLOOKUP($BD108,Programma!$F$3:$Q$1107,12,0),"")</f>
        <v/>
      </c>
      <c r="BP108" s="363" t="str">
        <f>_xlfn.IFNA(VLOOKUP($BD108,Programma!$F$3:$R$1107,13,0),"")</f>
        <v/>
      </c>
      <c r="BQ108" s="363" t="str">
        <f>_xlfn.IFNA(VLOOKUP($BD108,Programma!$F$3:$S$1107,14,0),"")</f>
        <v/>
      </c>
      <c r="BR108" s="363" t="str">
        <f>_xlfn.IFNA(VLOOKUP($BD108,Programma!$F$3:$T$1107,15,0),"")</f>
        <v/>
      </c>
      <c r="BS108" s="363" t="str">
        <f>_xlfn.IFNA(VLOOKUP($BD108,Programma!$F$3:$U$1107,16,0),"")</f>
        <v/>
      </c>
      <c r="BT108" s="363" t="str">
        <f>_xlfn.IFNA(VLOOKUP($BD108,Programma!$F$3:$V$1107,17,0),"")</f>
        <v/>
      </c>
      <c r="BU108" s="363" t="str">
        <f>_xlfn.IFNA(VLOOKUP($BD108,Programma!$F$3:$W$1107,18,0),"")</f>
        <v/>
      </c>
      <c r="BV108" s="363" t="str">
        <f>_xlfn.IFNA(VLOOKUP($BD108,Programma!$F$3:$X$1107,19,0),"")</f>
        <v/>
      </c>
      <c r="BW108" s="363" t="str">
        <f>_xlfn.IFNA(VLOOKUP($BD108,Programma!$F$3:$Y$1107,20,0),"")</f>
        <v/>
      </c>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row>
    <row r="109" spans="1:220" ht="15" customHeight="1">
      <c r="A109" s="21">
        <v>2</v>
      </c>
      <c r="B109" s="157" t="str">
        <f>VLOOKUP(Ruimtestaat[[#This Row],[Code]],Locaties[[Code]:[Locatie]],2,FALSE)</f>
        <v>'s Gravendreef College</v>
      </c>
      <c r="C109" s="157" t="str">
        <f>VLOOKUP(Ruimtestaat[[#This Row],[Code]],Locaties[[#All],[Code]:[Adres]],4,FALSE)</f>
        <v>Klaas Voskuildreef 135</v>
      </c>
      <c r="D109" s="157" t="str">
        <f>VLOOKUP(Ruimtestaat[[#This Row],[Code]],Locaties[[#All],[Code]:[Postcode]],5,FALSE)</f>
        <v>2492 JJ</v>
      </c>
      <c r="E109" s="157" t="str">
        <f>VLOOKUP(Ruimtestaat[[#This Row],[Code]],Locaties[#All],6,FALSE)</f>
        <v>Den Haag</v>
      </c>
      <c r="F109" s="33" t="s">
        <v>1748</v>
      </c>
      <c r="G109" s="33" t="s">
        <v>1706</v>
      </c>
      <c r="H109" s="21" t="s">
        <v>1778</v>
      </c>
      <c r="I109" s="62" t="s">
        <v>1776</v>
      </c>
      <c r="J109" s="21">
        <v>16</v>
      </c>
      <c r="K109" s="62" t="str">
        <f>VLOOKUP(Ruimtestaat[[#This Row],[Ruimte code]],Ruimtegroepen[[#All],[Code]:[Ruimte omschrijving]],2,FALSE)</f>
        <v>Leslokalen theorie</v>
      </c>
      <c r="L109" s="33" t="s">
        <v>101</v>
      </c>
      <c r="M109" s="367" t="s">
        <v>2495</v>
      </c>
      <c r="N109" s="140">
        <v>68.92</v>
      </c>
      <c r="O109" s="140"/>
      <c r="P109" s="125" t="str">
        <f>VLOOKUP(Ruimtestaat[[#This Row],[Ruimte code]],Ruimtegroepen[],4,FALSE)</f>
        <v>Le</v>
      </c>
      <c r="R109" s="33">
        <v>40</v>
      </c>
      <c r="S109" s="33" t="s">
        <v>2</v>
      </c>
      <c r="T109" s="33">
        <f>IF(R109&gt;0,IF(RIGHT(Ruimtestaat[[#This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9" s="33">
        <f>IF(T109&gt;0,VLOOKUP($J109,Ruimtegroepen[],3,FALSE)*VLOOKUP($L109,Vloersoorten[],3,FALSE)*VLOOKUP($S109,Frequenties[],3,FALSE)*VLOOKUP($A109,Locaties[],3,FALSE),0)</f>
        <v>0</v>
      </c>
      <c r="V109" s="33">
        <f>Ruimtestaat[[#This Row],[Uitvoeringen werkdagen]]*Ruimtestaat[[#This Row],[Oppervlak (netto)]]</f>
        <v>13784</v>
      </c>
      <c r="W109" s="154">
        <f>IF(U109&gt;0,Ruimtestaat[[#This Row],[Prest. (m2 /jaar) werkdagen]]/Ruimtestaat[[#This Row],[Norm (m2/uur) werkdagen]],0)</f>
        <v>0</v>
      </c>
      <c r="X109" s="155">
        <f>Ruimtestaat[[#This Row],[uren / jaar werkdagen]]*Tariefsopbouw!$E$35</f>
        <v>0</v>
      </c>
      <c r="Y109" s="33"/>
      <c r="Z109" s="33">
        <f>IF(Ruimtestaat[[#This Row],[Frequentie weekend]]&gt;0,VALUE(LEFT(Y109,1))*R109,0)</f>
        <v>0</v>
      </c>
      <c r="AA109" s="97">
        <f>IF($Z109&gt;0,VLOOKUP($J109,Ruimtegroepen[],3,FALSE)*VLOOKUP($L109,Vloersoorten[],3,FALSE)*VLOOKUP($Y109,Frequenties[],3,FALSE)*VLOOKUP(Ruimtestaat[[#This Row],[Code]],Locaties[],3,FALSE),0)</f>
        <v>0</v>
      </c>
      <c r="AB109" s="97">
        <f>Ruimtestaat[[#This Row],[Uitvoeringen weekend]]*Ruimtestaat[[#This Row],[Oppervlak (netto)]]</f>
        <v>0</v>
      </c>
      <c r="AC109" s="97">
        <f>IF(AA109&gt;0,Ruimtestaat[[#This Row],[Prest. (m2 /jaar) weekend]]/Ruimtestaat[[#This Row],[Norm (m2/uur) weekend]],0)</f>
        <v>0</v>
      </c>
      <c r="AD109" s="155">
        <f>Ruimtestaat[[#This Row],[uren / jaar weekend]]*Tariefsopbouw!$D$40</f>
        <v>0</v>
      </c>
      <c r="AE109" s="154">
        <f>Ruimtestaat[[#This Row],[Prest. (m2 /jaar) weekend]]+Ruimtestaat[[#This Row],[Prest. (m2 /jaar) werkdagen]]</f>
        <v>13784</v>
      </c>
      <c r="AF109" s="154">
        <f>Ruimtestaat[[#This Row],[uren / jaar weekend]]+Ruimtestaat[[#This Row],[uren / jaar werkdagen]]</f>
        <v>0</v>
      </c>
      <c r="AG109" s="69">
        <f>Ruimtestaat[[#This Row],[kosten / jaar weekend]]+Ruimtestaat[[#This Row],[kosten / jaar werkdagen]]</f>
        <v>0</v>
      </c>
      <c r="AH109" s="69"/>
      <c r="AI109" s="256" t="str">
        <f>IF(Ruimtestaat[[#This Row],[Frequentie werkdagen]]="","",_xlfn.CONCAT(Ruimtestaat[[#This Row],[Ruimte code]],"-",Ruimtestaat[[#This Row],[Frequentie werkdagen]]," ",Ruimtestaat[[#This Row],[Vloer code]]))</f>
        <v>16-5w L</v>
      </c>
      <c r="AJ109" s="363" t="str">
        <f>_xlfn.IFNA(VLOOKUP($AI109,Programma!$F$3:$G$1107,2,0),"")</f>
        <v>_</v>
      </c>
      <c r="AK109" s="363" t="str">
        <f>_xlfn.IFNA(VLOOKUP($AI109,Programma!$F$3:$H$1107,3,0),"")</f>
        <v>_</v>
      </c>
      <c r="AL109" s="363" t="str">
        <f>_xlfn.IFNA(VLOOKUP($AI109,Programma!$F$3:$I$1107,4,0),"")</f>
        <v>4w</v>
      </c>
      <c r="AM109" s="363" t="str">
        <f>_xlfn.IFNA(VLOOKUP($AI109,Programma!$F$3:$J$1107,5,0),"")</f>
        <v>1w</v>
      </c>
      <c r="AN109" s="363" t="str">
        <f>_xlfn.IFNA(VLOOKUP($AI109,Programma!$F$3:$K$1107,6,0),"")</f>
        <v>_</v>
      </c>
      <c r="AO109" s="363" t="str">
        <f>_xlfn.IFNA(VLOOKUP($AI109,Programma!$F$3:$L$1107,7,0),"")</f>
        <v>_</v>
      </c>
      <c r="AP109" s="363" t="str">
        <f>_xlfn.IFNA(VLOOKUP($AI109,Programma!$F$3:$M$1107,8,0),"")</f>
        <v>_</v>
      </c>
      <c r="AQ109" s="363" t="str">
        <f>_xlfn.IFNA(VLOOKUP($AI109,Programma!$F$3:$N$1107,9,0),"")</f>
        <v>_</v>
      </c>
      <c r="AR109" s="363" t="str">
        <f>_xlfn.IFNA(VLOOKUP($AI109,Programma!$F$3:$O$1107,10,0),"")</f>
        <v>5w</v>
      </c>
      <c r="AS109" s="363" t="str">
        <f>_xlfn.IFNA(VLOOKUP($AI109,Programma!$F$3:$P$1107,11,0),"")</f>
        <v>5w</v>
      </c>
      <c r="AT109" s="363" t="str">
        <f>_xlfn.IFNA(VLOOKUP($AI109,Programma!$F$3:$Q$1107,12,0),"")</f>
        <v>1w</v>
      </c>
      <c r="AU109" s="363" t="str">
        <f>_xlfn.IFNA(VLOOKUP($AI109,Programma!$F$3:$R$1107,13,0),"")</f>
        <v>1w</v>
      </c>
      <c r="AV109" s="363" t="str">
        <f>_xlfn.IFNA(VLOOKUP($AI109,Programma!$F$3:$S$1107,14,0),"")</f>
        <v>1m</v>
      </c>
      <c r="AW109" s="363" t="str">
        <f>_xlfn.IFNA(VLOOKUP($AI109,Programma!$F$3:$T$1107,15,0),"")</f>
        <v>2j</v>
      </c>
      <c r="AX109" s="363" t="str">
        <f>_xlfn.IFNA(VLOOKUP($AI109,Programma!$F$3:$U$1107,16,0),"")</f>
        <v>1j</v>
      </c>
      <c r="AY109" s="363" t="str">
        <f>_xlfn.IFNA(VLOOKUP($AI109,Programma!$F$3:$V$1107,17,0),"")</f>
        <v>_</v>
      </c>
      <c r="AZ109" s="363" t="str">
        <f>_xlfn.IFNA(VLOOKUP($AI109,Programma!$F$3:$W$1107,18,0),"")</f>
        <v>_</v>
      </c>
      <c r="BA109" s="363" t="str">
        <f>_xlfn.IFNA(VLOOKUP($AI109,Programma!$F$3:$X$1107,19,0),"")</f>
        <v>_</v>
      </c>
      <c r="BB109" s="363" t="str">
        <f>_xlfn.IFNA(VLOOKUP($AI109,Programma!$F$3:$Y$1107,20,0),"")</f>
        <v>_</v>
      </c>
      <c r="BC109" s="257"/>
      <c r="BD109" s="256" t="str">
        <f>IF(Ruimtestaat[[#This Row],[Frequentie weekend]]="","",_xlfn.CONCAT(Ruimtestaat[[#This Row],[Ruimte code]],"-",Ruimtestaat[[#This Row],[Frequentie weekend]]," ",Ruimtestaat[[#This Row],[Vloer code]]))</f>
        <v/>
      </c>
      <c r="BE109" s="363" t="str">
        <f>_xlfn.IFNA(VLOOKUP($BD109,Programma!$F$3:$G$1107,2,0),"")</f>
        <v/>
      </c>
      <c r="BF109" s="363" t="str">
        <f>_xlfn.IFNA(VLOOKUP($BD109,Programma!$F$3:$H$1107,3,0),"")</f>
        <v/>
      </c>
      <c r="BG109" s="363" t="str">
        <f>_xlfn.IFNA(VLOOKUP($BD109,Programma!$F$3:$I$1107,4,0),"")</f>
        <v/>
      </c>
      <c r="BH109" s="363" t="str">
        <f>_xlfn.IFNA(VLOOKUP($BD109,Programma!$F$3:$J$1107,5,0),"")</f>
        <v/>
      </c>
      <c r="BI109" s="363" t="str">
        <f>_xlfn.IFNA(VLOOKUP($BD109,Programma!$F$3:$K$1107,6,0),"")</f>
        <v/>
      </c>
      <c r="BJ109" s="363" t="str">
        <f>_xlfn.IFNA(VLOOKUP($BD109,Programma!$F$3:$L$1107,7,0),"")</f>
        <v/>
      </c>
      <c r="BK109" s="363" t="str">
        <f>_xlfn.IFNA(VLOOKUP($BD109,Programma!$F$3:$M$1107,8,0),"")</f>
        <v/>
      </c>
      <c r="BL109" s="363" t="str">
        <f>_xlfn.IFNA(VLOOKUP($BD109,Programma!$F$3:$N$1107,9,0),"")</f>
        <v/>
      </c>
      <c r="BM109" s="363" t="str">
        <f>_xlfn.IFNA(VLOOKUP($BD109,Programma!$F$3:$O$1107,10,0),"")</f>
        <v/>
      </c>
      <c r="BN109" s="363" t="str">
        <f>_xlfn.IFNA(VLOOKUP($BD109,Programma!$F$3:$P$1107,11,0),"")</f>
        <v/>
      </c>
      <c r="BO109" s="363" t="str">
        <f>_xlfn.IFNA(VLOOKUP($BD109,Programma!$F$3:$Q$1107,12,0),"")</f>
        <v/>
      </c>
      <c r="BP109" s="363" t="str">
        <f>_xlfn.IFNA(VLOOKUP($BD109,Programma!$F$3:$R$1107,13,0),"")</f>
        <v/>
      </c>
      <c r="BQ109" s="363" t="str">
        <f>_xlfn.IFNA(VLOOKUP($BD109,Programma!$F$3:$S$1107,14,0),"")</f>
        <v/>
      </c>
      <c r="BR109" s="363" t="str">
        <f>_xlfn.IFNA(VLOOKUP($BD109,Programma!$F$3:$T$1107,15,0),"")</f>
        <v/>
      </c>
      <c r="BS109" s="363" t="str">
        <f>_xlfn.IFNA(VLOOKUP($BD109,Programma!$F$3:$U$1107,16,0),"")</f>
        <v/>
      </c>
      <c r="BT109" s="363" t="str">
        <f>_xlfn.IFNA(VLOOKUP($BD109,Programma!$F$3:$V$1107,17,0),"")</f>
        <v/>
      </c>
      <c r="BU109" s="363" t="str">
        <f>_xlfn.IFNA(VLOOKUP($BD109,Programma!$F$3:$W$1107,18,0),"")</f>
        <v/>
      </c>
      <c r="BV109" s="363" t="str">
        <f>_xlfn.IFNA(VLOOKUP($BD109,Programma!$F$3:$X$1107,19,0),"")</f>
        <v/>
      </c>
      <c r="BW109" s="363" t="str">
        <f>_xlfn.IFNA(VLOOKUP($BD109,Programma!$F$3:$Y$1107,20,0),"")</f>
        <v/>
      </c>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row>
    <row r="110" spans="1:220" ht="15" customHeight="1">
      <c r="A110" s="21">
        <v>2</v>
      </c>
      <c r="B110" s="157" t="str">
        <f>VLOOKUP(Ruimtestaat[[#This Row],[Code]],Locaties[[Code]:[Locatie]],2,FALSE)</f>
        <v>'s Gravendreef College</v>
      </c>
      <c r="C110" s="157" t="str">
        <f>VLOOKUP(Ruimtestaat[[#This Row],[Code]],Locaties[[#All],[Code]:[Adres]],4,FALSE)</f>
        <v>Klaas Voskuildreef 135</v>
      </c>
      <c r="D110" s="157" t="str">
        <f>VLOOKUP(Ruimtestaat[[#This Row],[Code]],Locaties[[#All],[Code]:[Postcode]],5,FALSE)</f>
        <v>2492 JJ</v>
      </c>
      <c r="E110" s="157" t="str">
        <f>VLOOKUP(Ruimtestaat[[#This Row],[Code]],Locaties[#All],6,FALSE)</f>
        <v>Den Haag</v>
      </c>
      <c r="F110" s="33" t="s">
        <v>1748</v>
      </c>
      <c r="G110" s="33" t="s">
        <v>1706</v>
      </c>
      <c r="H110" s="33" t="s">
        <v>1779</v>
      </c>
      <c r="I110" s="62" t="s">
        <v>1780</v>
      </c>
      <c r="J110" s="33">
        <v>2</v>
      </c>
      <c r="K110" s="63" t="str">
        <f>VLOOKUP(Ruimtestaat[[#This Row],[Ruimte code]],Ruimtegroepen[[#All],[Code]:[Ruimte omschrijving]],2,FALSE)</f>
        <v>Kantoren</v>
      </c>
      <c r="L110" s="33" t="s">
        <v>101</v>
      </c>
      <c r="M110" s="367" t="s">
        <v>2495</v>
      </c>
      <c r="N110" s="140">
        <v>18.28</v>
      </c>
      <c r="O110" s="140"/>
      <c r="P110" s="125" t="str">
        <f>VLOOKUP(Ruimtestaat[[#This Row],[Ruimte code]],Ruimtegroepen[],4,FALSE)</f>
        <v>Bu</v>
      </c>
      <c r="R110" s="33">
        <v>42</v>
      </c>
      <c r="S110" s="33" t="s">
        <v>18</v>
      </c>
      <c r="T110" s="33">
        <f>IF(R110&gt;0,IF(RIGHT(Ruimtestaat[[#This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10" s="33">
        <f>IF(T110&gt;0,VLOOKUP($J110,Ruimtegroepen[],3,FALSE)*VLOOKUP($L110,Vloersoorten[],3,FALSE)*VLOOKUP($S110,Frequenties[],3,FALSE)*VLOOKUP($A110,Locaties[],3,FALSE),0)</f>
        <v>0</v>
      </c>
      <c r="V110" s="33">
        <f>Ruimtestaat[[#This Row],[Uitvoeringen werkdagen]]*Ruimtestaat[[#This Row],[Oppervlak (netto)]]</f>
        <v>2303.2800000000002</v>
      </c>
      <c r="W110" s="154">
        <f>IF(U110&gt;0,Ruimtestaat[[#This Row],[Prest. (m2 /jaar) werkdagen]]/Ruimtestaat[[#This Row],[Norm (m2/uur) werkdagen]],0)</f>
        <v>0</v>
      </c>
      <c r="X110" s="155">
        <f>Ruimtestaat[[#This Row],[uren / jaar werkdagen]]*Tariefsopbouw!$E$35</f>
        <v>0</v>
      </c>
      <c r="Y110" s="33"/>
      <c r="Z110" s="33">
        <f>IF(Ruimtestaat[[#This Row],[Frequentie weekend]]&gt;0,VALUE(LEFT(Y110,1))*R110,0)</f>
        <v>0</v>
      </c>
      <c r="AA110" s="97">
        <f>IF($Z110&gt;0,VLOOKUP($J110,Ruimtegroepen[],3,FALSE)*VLOOKUP($L110,Vloersoorten[],3,FALSE)*VLOOKUP($Y110,Frequenties[],3,FALSE)*VLOOKUP(Ruimtestaat[[#This Row],[Code]],Locaties[],3,FALSE),0)</f>
        <v>0</v>
      </c>
      <c r="AB110" s="97">
        <f>Ruimtestaat[[#This Row],[Uitvoeringen weekend]]*Ruimtestaat[[#This Row],[Oppervlak (netto)]]</f>
        <v>0</v>
      </c>
      <c r="AC110" s="97">
        <f>IF(AA110&gt;0,Ruimtestaat[[#This Row],[Prest. (m2 /jaar) weekend]]/Ruimtestaat[[#This Row],[Norm (m2/uur) weekend]],0)</f>
        <v>0</v>
      </c>
      <c r="AD110" s="155">
        <f>Ruimtestaat[[#This Row],[uren / jaar weekend]]*Tariefsopbouw!$D$40</f>
        <v>0</v>
      </c>
      <c r="AE110" s="154">
        <f>Ruimtestaat[[#This Row],[Prest. (m2 /jaar) weekend]]+Ruimtestaat[[#This Row],[Prest. (m2 /jaar) werkdagen]]</f>
        <v>2303.2800000000002</v>
      </c>
      <c r="AF110" s="154">
        <f>Ruimtestaat[[#This Row],[uren / jaar weekend]]+Ruimtestaat[[#This Row],[uren / jaar werkdagen]]</f>
        <v>0</v>
      </c>
      <c r="AG110" s="69">
        <f>Ruimtestaat[[#This Row],[kosten / jaar weekend]]+Ruimtestaat[[#This Row],[kosten / jaar werkdagen]]</f>
        <v>0</v>
      </c>
      <c r="AH110" s="69"/>
      <c r="AI110" s="256" t="str">
        <f>IF(Ruimtestaat[[#This Row],[Frequentie werkdagen]]="","",_xlfn.CONCAT(Ruimtestaat[[#This Row],[Ruimte code]],"-",Ruimtestaat[[#This Row],[Frequentie werkdagen]]," ",Ruimtestaat[[#This Row],[Vloer code]]))</f>
        <v>2-3w L</v>
      </c>
      <c r="AJ110" s="363" t="str">
        <f>_xlfn.IFNA(VLOOKUP($AI110,Programma!$F$3:$G$1107,2,0),"")</f>
        <v>_</v>
      </c>
      <c r="AK110" s="363" t="str">
        <f>_xlfn.IFNA(VLOOKUP($AI110,Programma!$F$3:$H$1107,3,0),"")</f>
        <v>_</v>
      </c>
      <c r="AL110" s="363" t="str">
        <f>_xlfn.IFNA(VLOOKUP($AI110,Programma!$F$3:$I$1107,4,0),"")</f>
        <v>2w</v>
      </c>
      <c r="AM110" s="363" t="str">
        <f>_xlfn.IFNA(VLOOKUP($AI110,Programma!$F$3:$J$1107,5,0),"")</f>
        <v>1w</v>
      </c>
      <c r="AN110" s="363" t="str">
        <f>_xlfn.IFNA(VLOOKUP($AI110,Programma!$F$3:$K$1107,6,0),"")</f>
        <v>_</v>
      </c>
      <c r="AO110" s="363" t="str">
        <f>_xlfn.IFNA(VLOOKUP($AI110,Programma!$F$3:$L$1107,7,0),"")</f>
        <v>_</v>
      </c>
      <c r="AP110" s="363" t="str">
        <f>_xlfn.IFNA(VLOOKUP($AI110,Programma!$F$3:$M$1107,8,0),"")</f>
        <v>_</v>
      </c>
      <c r="AQ110" s="363" t="str">
        <f>_xlfn.IFNA(VLOOKUP($AI110,Programma!$F$3:$N$1107,9,0),"")</f>
        <v>_</v>
      </c>
      <c r="AR110" s="363" t="str">
        <f>_xlfn.IFNA(VLOOKUP($AI110,Programma!$F$3:$O$1107,10,0),"")</f>
        <v>3w</v>
      </c>
      <c r="AS110" s="363" t="str">
        <f>_xlfn.IFNA(VLOOKUP($AI110,Programma!$F$3:$P$1107,11,0),"")</f>
        <v>3w</v>
      </c>
      <c r="AT110" s="363" t="str">
        <f>_xlfn.IFNA(VLOOKUP($AI110,Programma!$F$3:$Q$1107,12,0),"")</f>
        <v>1w</v>
      </c>
      <c r="AU110" s="363" t="str">
        <f>_xlfn.IFNA(VLOOKUP($AI110,Programma!$F$3:$R$1107,13,0),"")</f>
        <v>1w</v>
      </c>
      <c r="AV110" s="363" t="str">
        <f>_xlfn.IFNA(VLOOKUP($AI110,Programma!$F$3:$S$1107,14,0),"")</f>
        <v>1m</v>
      </c>
      <c r="AW110" s="363" t="str">
        <f>_xlfn.IFNA(VLOOKUP($AI110,Programma!$F$3:$T$1107,15,0),"")</f>
        <v>2j</v>
      </c>
      <c r="AX110" s="363" t="str">
        <f>_xlfn.IFNA(VLOOKUP($AI110,Programma!$F$3:$U$1107,16,0),"")</f>
        <v>1j</v>
      </c>
      <c r="AY110" s="363" t="str">
        <f>_xlfn.IFNA(VLOOKUP($AI110,Programma!$F$3:$V$1107,17,0),"")</f>
        <v>_</v>
      </c>
      <c r="AZ110" s="363" t="str">
        <f>_xlfn.IFNA(VLOOKUP($AI110,Programma!$F$3:$W$1107,18,0),"")</f>
        <v>_</v>
      </c>
      <c r="BA110" s="363" t="str">
        <f>_xlfn.IFNA(VLOOKUP($AI110,Programma!$F$3:$X$1107,19,0),"")</f>
        <v>_</v>
      </c>
      <c r="BB110" s="363" t="str">
        <f>_xlfn.IFNA(VLOOKUP($AI110,Programma!$F$3:$Y$1107,20,0),"")</f>
        <v>_</v>
      </c>
      <c r="BC110" s="257"/>
      <c r="BD110" s="256" t="str">
        <f>IF(Ruimtestaat[[#This Row],[Frequentie weekend]]="","",_xlfn.CONCAT(Ruimtestaat[[#This Row],[Ruimte code]],"-",Ruimtestaat[[#This Row],[Frequentie weekend]]," ",Ruimtestaat[[#This Row],[Vloer code]]))</f>
        <v/>
      </c>
      <c r="BE110" s="363" t="str">
        <f>_xlfn.IFNA(VLOOKUP($BD110,Programma!$F$3:$G$1107,2,0),"")</f>
        <v/>
      </c>
      <c r="BF110" s="363" t="str">
        <f>_xlfn.IFNA(VLOOKUP($BD110,Programma!$F$3:$H$1107,3,0),"")</f>
        <v/>
      </c>
      <c r="BG110" s="363" t="str">
        <f>_xlfn.IFNA(VLOOKUP($BD110,Programma!$F$3:$I$1107,4,0),"")</f>
        <v/>
      </c>
      <c r="BH110" s="363" t="str">
        <f>_xlfn.IFNA(VLOOKUP($BD110,Programma!$F$3:$J$1107,5,0),"")</f>
        <v/>
      </c>
      <c r="BI110" s="363" t="str">
        <f>_xlfn.IFNA(VLOOKUP($BD110,Programma!$F$3:$K$1107,6,0),"")</f>
        <v/>
      </c>
      <c r="BJ110" s="363" t="str">
        <f>_xlfn.IFNA(VLOOKUP($BD110,Programma!$F$3:$L$1107,7,0),"")</f>
        <v/>
      </c>
      <c r="BK110" s="363" t="str">
        <f>_xlfn.IFNA(VLOOKUP($BD110,Programma!$F$3:$M$1107,8,0),"")</f>
        <v/>
      </c>
      <c r="BL110" s="363" t="str">
        <f>_xlfn.IFNA(VLOOKUP($BD110,Programma!$F$3:$N$1107,9,0),"")</f>
        <v/>
      </c>
      <c r="BM110" s="363" t="str">
        <f>_xlfn.IFNA(VLOOKUP($BD110,Programma!$F$3:$O$1107,10,0),"")</f>
        <v/>
      </c>
      <c r="BN110" s="363" t="str">
        <f>_xlfn.IFNA(VLOOKUP($BD110,Programma!$F$3:$P$1107,11,0),"")</f>
        <v/>
      </c>
      <c r="BO110" s="363" t="str">
        <f>_xlfn.IFNA(VLOOKUP($BD110,Programma!$F$3:$Q$1107,12,0),"")</f>
        <v/>
      </c>
      <c r="BP110" s="363" t="str">
        <f>_xlfn.IFNA(VLOOKUP($BD110,Programma!$F$3:$R$1107,13,0),"")</f>
        <v/>
      </c>
      <c r="BQ110" s="363" t="str">
        <f>_xlfn.IFNA(VLOOKUP($BD110,Programma!$F$3:$S$1107,14,0),"")</f>
        <v/>
      </c>
      <c r="BR110" s="363" t="str">
        <f>_xlfn.IFNA(VLOOKUP($BD110,Programma!$F$3:$T$1107,15,0),"")</f>
        <v/>
      </c>
      <c r="BS110" s="363" t="str">
        <f>_xlfn.IFNA(VLOOKUP($BD110,Programma!$F$3:$U$1107,16,0),"")</f>
        <v/>
      </c>
      <c r="BT110" s="363" t="str">
        <f>_xlfn.IFNA(VLOOKUP($BD110,Programma!$F$3:$V$1107,17,0),"")</f>
        <v/>
      </c>
      <c r="BU110" s="363" t="str">
        <f>_xlfn.IFNA(VLOOKUP($BD110,Programma!$F$3:$W$1107,18,0),"")</f>
        <v/>
      </c>
      <c r="BV110" s="363" t="str">
        <f>_xlfn.IFNA(VLOOKUP($BD110,Programma!$F$3:$X$1107,19,0),"")</f>
        <v/>
      </c>
      <c r="BW110" s="363" t="str">
        <f>_xlfn.IFNA(VLOOKUP($BD110,Programma!$F$3:$Y$1107,20,0),"")</f>
        <v/>
      </c>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row>
    <row r="111" spans="1:220" ht="15" customHeight="1">
      <c r="A111" s="21">
        <v>2</v>
      </c>
      <c r="B111" s="157" t="str">
        <f>VLOOKUP(Ruimtestaat[[#This Row],[Code]],Locaties[[Code]:[Locatie]],2,FALSE)</f>
        <v>'s Gravendreef College</v>
      </c>
      <c r="C111" s="157" t="str">
        <f>VLOOKUP(Ruimtestaat[[#This Row],[Code]],Locaties[[#All],[Code]:[Adres]],4,FALSE)</f>
        <v>Klaas Voskuildreef 135</v>
      </c>
      <c r="D111" s="157" t="str">
        <f>VLOOKUP(Ruimtestaat[[#This Row],[Code]],Locaties[[#All],[Code]:[Postcode]],5,FALSE)</f>
        <v>2492 JJ</v>
      </c>
      <c r="E111" s="157" t="str">
        <f>VLOOKUP(Ruimtestaat[[#This Row],[Code]],Locaties[#All],6,FALSE)</f>
        <v>Den Haag</v>
      </c>
      <c r="F111" s="33" t="s">
        <v>1748</v>
      </c>
      <c r="G111" s="33" t="s">
        <v>1706</v>
      </c>
      <c r="H111" s="21" t="s">
        <v>1781</v>
      </c>
      <c r="I111" s="62" t="s">
        <v>1782</v>
      </c>
      <c r="J111" s="33">
        <v>14</v>
      </c>
      <c r="K111" s="62" t="str">
        <f>VLOOKUP(Ruimtestaat[[#This Row],[Ruimte code]],Ruimtegroepen[[#All],[Code]:[Ruimte omschrijving]],2,FALSE)</f>
        <v>Praktijklokalen binas/zorg</v>
      </c>
      <c r="L111" s="33" t="s">
        <v>101</v>
      </c>
      <c r="M111" s="367" t="s">
        <v>2495</v>
      </c>
      <c r="N111" s="140">
        <v>67.69</v>
      </c>
      <c r="O111" s="140"/>
      <c r="P111" s="125" t="str">
        <f>VLOOKUP(Ruimtestaat[[#This Row],[Ruimte code]],Ruimtegroepen[],4,FALSE)</f>
        <v>Le</v>
      </c>
      <c r="R111" s="33">
        <v>40</v>
      </c>
      <c r="S111" s="33" t="s">
        <v>2</v>
      </c>
      <c r="T111" s="33">
        <f>IF(R111&gt;0,IF(RIGHT(Ruimtestaat[[#This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1" s="33">
        <f>IF(T111&gt;0,VLOOKUP($J111,Ruimtegroepen[],3,FALSE)*VLOOKUP($L111,Vloersoorten[],3,FALSE)*VLOOKUP($S111,Frequenties[],3,FALSE)*VLOOKUP($A111,Locaties[],3,FALSE),0)</f>
        <v>0</v>
      </c>
      <c r="V111" s="33">
        <f>Ruimtestaat[[#This Row],[Uitvoeringen werkdagen]]*Ruimtestaat[[#This Row],[Oppervlak (netto)]]</f>
        <v>13538</v>
      </c>
      <c r="W111" s="154">
        <f>IF(U111&gt;0,Ruimtestaat[[#This Row],[Prest. (m2 /jaar) werkdagen]]/Ruimtestaat[[#This Row],[Norm (m2/uur) werkdagen]],0)</f>
        <v>0</v>
      </c>
      <c r="X111" s="155">
        <f>Ruimtestaat[[#This Row],[uren / jaar werkdagen]]*Tariefsopbouw!$E$35</f>
        <v>0</v>
      </c>
      <c r="Y111" s="33"/>
      <c r="Z111" s="33">
        <f>IF(Ruimtestaat[[#This Row],[Frequentie weekend]]&gt;0,VALUE(LEFT(Y111,1))*R111,0)</f>
        <v>0</v>
      </c>
      <c r="AA111" s="97">
        <f>IF($Z111&gt;0,VLOOKUP($J111,Ruimtegroepen[],3,FALSE)*VLOOKUP($L111,Vloersoorten[],3,FALSE)*VLOOKUP($Y111,Frequenties[],3,FALSE)*VLOOKUP(Ruimtestaat[[#This Row],[Code]],Locaties[],3,FALSE),0)</f>
        <v>0</v>
      </c>
      <c r="AB111" s="97">
        <f>Ruimtestaat[[#This Row],[Uitvoeringen weekend]]*Ruimtestaat[[#This Row],[Oppervlak (netto)]]</f>
        <v>0</v>
      </c>
      <c r="AC111" s="97">
        <f>IF(AA111&gt;0,Ruimtestaat[[#This Row],[Prest. (m2 /jaar) weekend]]/Ruimtestaat[[#This Row],[Norm (m2/uur) weekend]],0)</f>
        <v>0</v>
      </c>
      <c r="AD111" s="155">
        <f>Ruimtestaat[[#This Row],[uren / jaar weekend]]*Tariefsopbouw!$D$40</f>
        <v>0</v>
      </c>
      <c r="AE111" s="154">
        <f>Ruimtestaat[[#This Row],[Prest. (m2 /jaar) weekend]]+Ruimtestaat[[#This Row],[Prest. (m2 /jaar) werkdagen]]</f>
        <v>13538</v>
      </c>
      <c r="AF111" s="154">
        <f>Ruimtestaat[[#This Row],[uren / jaar weekend]]+Ruimtestaat[[#This Row],[uren / jaar werkdagen]]</f>
        <v>0</v>
      </c>
      <c r="AG111" s="69">
        <f>Ruimtestaat[[#This Row],[kosten / jaar weekend]]+Ruimtestaat[[#This Row],[kosten / jaar werkdagen]]</f>
        <v>0</v>
      </c>
      <c r="AH111" s="69"/>
      <c r="AI111" s="256" t="str">
        <f>IF(Ruimtestaat[[#This Row],[Frequentie werkdagen]]="","",_xlfn.CONCAT(Ruimtestaat[[#This Row],[Ruimte code]],"-",Ruimtestaat[[#This Row],[Frequentie werkdagen]]," ",Ruimtestaat[[#This Row],[Vloer code]]))</f>
        <v>14-5w L</v>
      </c>
      <c r="AJ111" s="363" t="str">
        <f>_xlfn.IFNA(VLOOKUP($AI111,Programma!$F$3:$G$1107,2,0),"")</f>
        <v>_</v>
      </c>
      <c r="AK111" s="363" t="str">
        <f>_xlfn.IFNA(VLOOKUP($AI111,Programma!$F$3:$H$1107,3,0),"")</f>
        <v>_</v>
      </c>
      <c r="AL111" s="363" t="str">
        <f>_xlfn.IFNA(VLOOKUP($AI111,Programma!$F$3:$I$1107,4,0),"")</f>
        <v>_</v>
      </c>
      <c r="AM111" s="363" t="str">
        <f>_xlfn.IFNA(VLOOKUP($AI111,Programma!$F$3:$J$1107,5,0),"")</f>
        <v>5w</v>
      </c>
      <c r="AN111" s="363" t="str">
        <f>_xlfn.IFNA(VLOOKUP($AI111,Programma!$F$3:$K$1107,6,0),"")</f>
        <v>_</v>
      </c>
      <c r="AO111" s="363" t="str">
        <f>_xlfn.IFNA(VLOOKUP($AI111,Programma!$F$3:$L$1107,7,0),"")</f>
        <v>_</v>
      </c>
      <c r="AP111" s="363" t="str">
        <f>_xlfn.IFNA(VLOOKUP($AI111,Programma!$F$3:$M$1107,8,0),"")</f>
        <v>_</v>
      </c>
      <c r="AQ111" s="363" t="str">
        <f>_xlfn.IFNA(VLOOKUP($AI111,Programma!$F$3:$N$1107,9,0),"")</f>
        <v>_</v>
      </c>
      <c r="AR111" s="363" t="str">
        <f>_xlfn.IFNA(VLOOKUP($AI111,Programma!$F$3:$O$1107,10,0),"")</f>
        <v>5w</v>
      </c>
      <c r="AS111" s="363" t="str">
        <f>_xlfn.IFNA(VLOOKUP($AI111,Programma!$F$3:$P$1107,11,0),"")</f>
        <v>5w</v>
      </c>
      <c r="AT111" s="363" t="str">
        <f>_xlfn.IFNA(VLOOKUP($AI111,Programma!$F$3:$Q$1107,12,0),"")</f>
        <v>1w</v>
      </c>
      <c r="AU111" s="363" t="str">
        <f>_xlfn.IFNA(VLOOKUP($AI111,Programma!$F$3:$R$1107,13,0),"")</f>
        <v>1w</v>
      </c>
      <c r="AV111" s="363" t="str">
        <f>_xlfn.IFNA(VLOOKUP($AI111,Programma!$F$3:$S$1107,14,0),"")</f>
        <v>1m</v>
      </c>
      <c r="AW111" s="363" t="str">
        <f>_xlfn.IFNA(VLOOKUP($AI111,Programma!$F$3:$T$1107,15,0),"")</f>
        <v>2j</v>
      </c>
      <c r="AX111" s="363" t="str">
        <f>_xlfn.IFNA(VLOOKUP($AI111,Programma!$F$3:$U$1107,16,0),"")</f>
        <v>1j</v>
      </c>
      <c r="AY111" s="363" t="str">
        <f>_xlfn.IFNA(VLOOKUP($AI111,Programma!$F$3:$V$1107,17,0),"")</f>
        <v>_</v>
      </c>
      <c r="AZ111" s="363" t="str">
        <f>_xlfn.IFNA(VLOOKUP($AI111,Programma!$F$3:$W$1107,18,0),"")</f>
        <v>_</v>
      </c>
      <c r="BA111" s="363" t="str">
        <f>_xlfn.IFNA(VLOOKUP($AI111,Programma!$F$3:$X$1107,19,0),"")</f>
        <v>_</v>
      </c>
      <c r="BB111" s="363" t="str">
        <f>_xlfn.IFNA(VLOOKUP($AI111,Programma!$F$3:$Y$1107,20,0),"")</f>
        <v>_</v>
      </c>
      <c r="BC111" s="257"/>
      <c r="BD111" s="256" t="str">
        <f>IF(Ruimtestaat[[#This Row],[Frequentie weekend]]="","",_xlfn.CONCAT(Ruimtestaat[[#This Row],[Ruimte code]],"-",Ruimtestaat[[#This Row],[Frequentie weekend]]," ",Ruimtestaat[[#This Row],[Vloer code]]))</f>
        <v/>
      </c>
      <c r="BE111" s="363" t="str">
        <f>_xlfn.IFNA(VLOOKUP($BD111,Programma!$F$3:$G$1107,2,0),"")</f>
        <v/>
      </c>
      <c r="BF111" s="363" t="str">
        <f>_xlfn.IFNA(VLOOKUP($BD111,Programma!$F$3:$H$1107,3,0),"")</f>
        <v/>
      </c>
      <c r="BG111" s="363" t="str">
        <f>_xlfn.IFNA(VLOOKUP($BD111,Programma!$F$3:$I$1107,4,0),"")</f>
        <v/>
      </c>
      <c r="BH111" s="363" t="str">
        <f>_xlfn.IFNA(VLOOKUP($BD111,Programma!$F$3:$J$1107,5,0),"")</f>
        <v/>
      </c>
      <c r="BI111" s="363" t="str">
        <f>_xlfn.IFNA(VLOOKUP($BD111,Programma!$F$3:$K$1107,6,0),"")</f>
        <v/>
      </c>
      <c r="BJ111" s="363" t="str">
        <f>_xlfn.IFNA(VLOOKUP($BD111,Programma!$F$3:$L$1107,7,0),"")</f>
        <v/>
      </c>
      <c r="BK111" s="363" t="str">
        <f>_xlfn.IFNA(VLOOKUP($BD111,Programma!$F$3:$M$1107,8,0),"")</f>
        <v/>
      </c>
      <c r="BL111" s="363" t="str">
        <f>_xlfn.IFNA(VLOOKUP($BD111,Programma!$F$3:$N$1107,9,0),"")</f>
        <v/>
      </c>
      <c r="BM111" s="363" t="str">
        <f>_xlfn.IFNA(VLOOKUP($BD111,Programma!$F$3:$O$1107,10,0),"")</f>
        <v/>
      </c>
      <c r="BN111" s="363" t="str">
        <f>_xlfn.IFNA(VLOOKUP($BD111,Programma!$F$3:$P$1107,11,0),"")</f>
        <v/>
      </c>
      <c r="BO111" s="363" t="str">
        <f>_xlfn.IFNA(VLOOKUP($BD111,Programma!$F$3:$Q$1107,12,0),"")</f>
        <v/>
      </c>
      <c r="BP111" s="363" t="str">
        <f>_xlfn.IFNA(VLOOKUP($BD111,Programma!$F$3:$R$1107,13,0),"")</f>
        <v/>
      </c>
      <c r="BQ111" s="363" t="str">
        <f>_xlfn.IFNA(VLOOKUP($BD111,Programma!$F$3:$S$1107,14,0),"")</f>
        <v/>
      </c>
      <c r="BR111" s="363" t="str">
        <f>_xlfn.IFNA(VLOOKUP($BD111,Programma!$F$3:$T$1107,15,0),"")</f>
        <v/>
      </c>
      <c r="BS111" s="363" t="str">
        <f>_xlfn.IFNA(VLOOKUP($BD111,Programma!$F$3:$U$1107,16,0),"")</f>
        <v/>
      </c>
      <c r="BT111" s="363" t="str">
        <f>_xlfn.IFNA(VLOOKUP($BD111,Programma!$F$3:$V$1107,17,0),"")</f>
        <v/>
      </c>
      <c r="BU111" s="363" t="str">
        <f>_xlfn.IFNA(VLOOKUP($BD111,Programma!$F$3:$W$1107,18,0),"")</f>
        <v/>
      </c>
      <c r="BV111" s="363" t="str">
        <f>_xlfn.IFNA(VLOOKUP($BD111,Programma!$F$3:$X$1107,19,0),"")</f>
        <v/>
      </c>
      <c r="BW111" s="363" t="str">
        <f>_xlfn.IFNA(VLOOKUP($BD111,Programma!$F$3:$Y$1107,20,0),"")</f>
        <v/>
      </c>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row>
    <row r="112" spans="1:220" ht="15" customHeight="1">
      <c r="A112" s="21">
        <v>2</v>
      </c>
      <c r="B112" s="157" t="str">
        <f>VLOOKUP(Ruimtestaat[[#This Row],[Code]],Locaties[[Code]:[Locatie]],2,FALSE)</f>
        <v>'s Gravendreef College</v>
      </c>
      <c r="C112" s="157" t="str">
        <f>VLOOKUP(Ruimtestaat[[#This Row],[Code]],Locaties[[#All],[Code]:[Adres]],4,FALSE)</f>
        <v>Klaas Voskuildreef 135</v>
      </c>
      <c r="D112" s="157" t="str">
        <f>VLOOKUP(Ruimtestaat[[#This Row],[Code]],Locaties[[#All],[Code]:[Postcode]],5,FALSE)</f>
        <v>2492 JJ</v>
      </c>
      <c r="E112" s="157" t="str">
        <f>VLOOKUP(Ruimtestaat[[#This Row],[Code]],Locaties[#All],6,FALSE)</f>
        <v>Den Haag</v>
      </c>
      <c r="F112" s="33" t="s">
        <v>1748</v>
      </c>
      <c r="G112" s="33" t="s">
        <v>1706</v>
      </c>
      <c r="H112" s="21" t="s">
        <v>1783</v>
      </c>
      <c r="I112" s="62" t="s">
        <v>1644</v>
      </c>
      <c r="J112" s="21">
        <v>1</v>
      </c>
      <c r="K112" s="62" t="str">
        <f>VLOOKUP(Ruimtestaat[[#This Row],[Ruimte code]],Ruimtegroepen[[#All],[Code]:[Ruimte omschrijving]],2,FALSE)</f>
        <v>Magazijnen/bergingen</v>
      </c>
      <c r="L112" s="33" t="s">
        <v>101</v>
      </c>
      <c r="M112" s="367" t="s">
        <v>2495</v>
      </c>
      <c r="N112" s="140">
        <v>15.33</v>
      </c>
      <c r="O112" s="140"/>
      <c r="P112" s="125" t="str">
        <f>VLOOKUP(Ruimtestaat[[#This Row],[Ruimte code]],Ruimtegroepen[],4,FALSE)</f>
        <v>Ve</v>
      </c>
      <c r="R112" s="33">
        <v>40</v>
      </c>
      <c r="S112" s="33" t="s">
        <v>16</v>
      </c>
      <c r="T112" s="33">
        <f>IF(R112&gt;0,IF(RIGHT(Ruimtestaat[[#This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12" s="33">
        <f>IF(T112&gt;0,VLOOKUP($J112,Ruimtegroepen[],3,FALSE)*VLOOKUP($L112,Vloersoorten[],3,FALSE)*VLOOKUP($S112,Frequenties[],3,FALSE)*VLOOKUP($A112,Locaties[],3,FALSE),0)</f>
        <v>0</v>
      </c>
      <c r="V112" s="33">
        <f>Ruimtestaat[[#This Row],[Uitvoeringen werkdagen]]*Ruimtestaat[[#This Row],[Oppervlak (netto)]]</f>
        <v>183.96</v>
      </c>
      <c r="W112" s="154">
        <f>IF(U112&gt;0,Ruimtestaat[[#This Row],[Prest. (m2 /jaar) werkdagen]]/Ruimtestaat[[#This Row],[Norm (m2/uur) werkdagen]],0)</f>
        <v>0</v>
      </c>
      <c r="X112" s="155">
        <f>Ruimtestaat[[#This Row],[uren / jaar werkdagen]]*Tariefsopbouw!$E$35</f>
        <v>0</v>
      </c>
      <c r="Y112" s="33"/>
      <c r="Z112" s="33">
        <f>IF(Ruimtestaat[[#This Row],[Frequentie weekend]]&gt;0,VALUE(LEFT(Y112,1))*R112,0)</f>
        <v>0</v>
      </c>
      <c r="AA112" s="97">
        <f>IF($Z112&gt;0,VLOOKUP($J112,Ruimtegroepen[],3,FALSE)*VLOOKUP($L112,Vloersoorten[],3,FALSE)*VLOOKUP($Y112,Frequenties[],3,FALSE)*VLOOKUP(Ruimtestaat[[#This Row],[Code]],Locaties[],3,FALSE),0)</f>
        <v>0</v>
      </c>
      <c r="AB112" s="97">
        <f>Ruimtestaat[[#This Row],[Uitvoeringen weekend]]*Ruimtestaat[[#This Row],[Oppervlak (netto)]]</f>
        <v>0</v>
      </c>
      <c r="AC112" s="97">
        <f>IF(AA112&gt;0,Ruimtestaat[[#This Row],[Prest. (m2 /jaar) weekend]]/Ruimtestaat[[#This Row],[Norm (m2/uur) weekend]],0)</f>
        <v>0</v>
      </c>
      <c r="AD112" s="155">
        <f>Ruimtestaat[[#This Row],[uren / jaar weekend]]*Tariefsopbouw!$D$40</f>
        <v>0</v>
      </c>
      <c r="AE112" s="154">
        <f>Ruimtestaat[[#This Row],[Prest. (m2 /jaar) weekend]]+Ruimtestaat[[#This Row],[Prest. (m2 /jaar) werkdagen]]</f>
        <v>183.96</v>
      </c>
      <c r="AF112" s="154">
        <f>Ruimtestaat[[#This Row],[uren / jaar weekend]]+Ruimtestaat[[#This Row],[uren / jaar werkdagen]]</f>
        <v>0</v>
      </c>
      <c r="AG112" s="69">
        <f>Ruimtestaat[[#This Row],[kosten / jaar weekend]]+Ruimtestaat[[#This Row],[kosten / jaar werkdagen]]</f>
        <v>0</v>
      </c>
      <c r="AH112" s="69"/>
      <c r="AI112" s="256" t="str">
        <f>IF(Ruimtestaat[[#This Row],[Frequentie werkdagen]]="","",_xlfn.CONCAT(Ruimtestaat[[#This Row],[Ruimte code]],"-",Ruimtestaat[[#This Row],[Frequentie werkdagen]]," ",Ruimtestaat[[#This Row],[Vloer code]]))</f>
        <v>1-1m L</v>
      </c>
      <c r="AJ112" s="363" t="str">
        <f>_xlfn.IFNA(VLOOKUP($AI112,Programma!$F$3:$G$1107,2,0),"")</f>
        <v>_</v>
      </c>
      <c r="AK112" s="363" t="str">
        <f>_xlfn.IFNA(VLOOKUP($AI112,Programma!$F$3:$H$1107,3,0),"")</f>
        <v>_</v>
      </c>
      <c r="AL112" s="363" t="str">
        <f>_xlfn.IFNA(VLOOKUP($AI112,Programma!$F$3:$I$1107,4,0),"")</f>
        <v>1m</v>
      </c>
      <c r="AM112" s="363" t="str">
        <f>_xlfn.IFNA(VLOOKUP($AI112,Programma!$F$3:$J$1107,5,0),"")</f>
        <v>1m</v>
      </c>
      <c r="AN112" s="363" t="str">
        <f>_xlfn.IFNA(VLOOKUP($AI112,Programma!$F$3:$K$1107,6,0),"")</f>
        <v>_</v>
      </c>
      <c r="AO112" s="363" t="str">
        <f>_xlfn.IFNA(VLOOKUP($AI112,Programma!$F$3:$L$1107,7,0),"")</f>
        <v>_</v>
      </c>
      <c r="AP112" s="363" t="str">
        <f>_xlfn.IFNA(VLOOKUP($AI112,Programma!$F$3:$M$1107,8,0),"")</f>
        <v>_</v>
      </c>
      <c r="AQ112" s="363" t="str">
        <f>_xlfn.IFNA(VLOOKUP($AI112,Programma!$F$3:$N$1107,9,0),"")</f>
        <v>_</v>
      </c>
      <c r="AR112" s="363" t="str">
        <f>_xlfn.IFNA(VLOOKUP($AI112,Programma!$F$3:$O$1107,10,0),"")</f>
        <v>_</v>
      </c>
      <c r="AS112" s="363" t="str">
        <f>_xlfn.IFNA(VLOOKUP($AI112,Programma!$F$3:$P$1107,11,0),"")</f>
        <v>_</v>
      </c>
      <c r="AT112" s="363" t="str">
        <f>_xlfn.IFNA(VLOOKUP($AI112,Programma!$F$3:$Q$1107,12,0),"")</f>
        <v>_</v>
      </c>
      <c r="AU112" s="363" t="str">
        <f>_xlfn.IFNA(VLOOKUP($AI112,Programma!$F$3:$R$1107,13,0),"")</f>
        <v>_</v>
      </c>
      <c r="AV112" s="363" t="str">
        <f>_xlfn.IFNA(VLOOKUP($AI112,Programma!$F$3:$S$1107,14,0),"")</f>
        <v>1m</v>
      </c>
      <c r="AW112" s="363" t="str">
        <f>_xlfn.IFNA(VLOOKUP($AI112,Programma!$F$3:$T$1107,15,0),"")</f>
        <v>4j</v>
      </c>
      <c r="AX112" s="363" t="str">
        <f>_xlfn.IFNA(VLOOKUP($AI112,Programma!$F$3:$U$1107,16,0),"")</f>
        <v>4j</v>
      </c>
      <c r="AY112" s="363" t="str">
        <f>_xlfn.IFNA(VLOOKUP($AI112,Programma!$F$3:$V$1107,17,0),"")</f>
        <v>_</v>
      </c>
      <c r="AZ112" s="363" t="str">
        <f>_xlfn.IFNA(VLOOKUP($AI112,Programma!$F$3:$W$1107,18,0),"")</f>
        <v>_</v>
      </c>
      <c r="BA112" s="363" t="str">
        <f>_xlfn.IFNA(VLOOKUP($AI112,Programma!$F$3:$X$1107,19,0),"")</f>
        <v>_</v>
      </c>
      <c r="BB112" s="363" t="str">
        <f>_xlfn.IFNA(VLOOKUP($AI112,Programma!$F$3:$Y$1107,20,0),"")</f>
        <v>_</v>
      </c>
      <c r="BC112" s="257"/>
      <c r="BD112" s="256" t="str">
        <f>IF(Ruimtestaat[[#This Row],[Frequentie weekend]]="","",_xlfn.CONCAT(Ruimtestaat[[#This Row],[Ruimte code]],"-",Ruimtestaat[[#This Row],[Frequentie weekend]]," ",Ruimtestaat[[#This Row],[Vloer code]]))</f>
        <v/>
      </c>
      <c r="BE112" s="363" t="str">
        <f>_xlfn.IFNA(VLOOKUP($BD112,Programma!$F$3:$G$1107,2,0),"")</f>
        <v/>
      </c>
      <c r="BF112" s="363" t="str">
        <f>_xlfn.IFNA(VLOOKUP($BD112,Programma!$F$3:$H$1107,3,0),"")</f>
        <v/>
      </c>
      <c r="BG112" s="363" t="str">
        <f>_xlfn.IFNA(VLOOKUP($BD112,Programma!$F$3:$I$1107,4,0),"")</f>
        <v/>
      </c>
      <c r="BH112" s="363" t="str">
        <f>_xlfn.IFNA(VLOOKUP($BD112,Programma!$F$3:$J$1107,5,0),"")</f>
        <v/>
      </c>
      <c r="BI112" s="363" t="str">
        <f>_xlfn.IFNA(VLOOKUP($BD112,Programma!$F$3:$K$1107,6,0),"")</f>
        <v/>
      </c>
      <c r="BJ112" s="363" t="str">
        <f>_xlfn.IFNA(VLOOKUP($BD112,Programma!$F$3:$L$1107,7,0),"")</f>
        <v/>
      </c>
      <c r="BK112" s="363" t="str">
        <f>_xlfn.IFNA(VLOOKUP($BD112,Programma!$F$3:$M$1107,8,0),"")</f>
        <v/>
      </c>
      <c r="BL112" s="363" t="str">
        <f>_xlfn.IFNA(VLOOKUP($BD112,Programma!$F$3:$N$1107,9,0),"")</f>
        <v/>
      </c>
      <c r="BM112" s="363" t="str">
        <f>_xlfn.IFNA(VLOOKUP($BD112,Programma!$F$3:$O$1107,10,0),"")</f>
        <v/>
      </c>
      <c r="BN112" s="363" t="str">
        <f>_xlfn.IFNA(VLOOKUP($BD112,Programma!$F$3:$P$1107,11,0),"")</f>
        <v/>
      </c>
      <c r="BO112" s="363" t="str">
        <f>_xlfn.IFNA(VLOOKUP($BD112,Programma!$F$3:$Q$1107,12,0),"")</f>
        <v/>
      </c>
      <c r="BP112" s="363" t="str">
        <f>_xlfn.IFNA(VLOOKUP($BD112,Programma!$F$3:$R$1107,13,0),"")</f>
        <v/>
      </c>
      <c r="BQ112" s="363" t="str">
        <f>_xlfn.IFNA(VLOOKUP($BD112,Programma!$F$3:$S$1107,14,0),"")</f>
        <v/>
      </c>
      <c r="BR112" s="363" t="str">
        <f>_xlfn.IFNA(VLOOKUP($BD112,Programma!$F$3:$T$1107,15,0),"")</f>
        <v/>
      </c>
      <c r="BS112" s="363" t="str">
        <f>_xlfn.IFNA(VLOOKUP($BD112,Programma!$F$3:$U$1107,16,0),"")</f>
        <v/>
      </c>
      <c r="BT112" s="363" t="str">
        <f>_xlfn.IFNA(VLOOKUP($BD112,Programma!$F$3:$V$1107,17,0),"")</f>
        <v/>
      </c>
      <c r="BU112" s="363" t="str">
        <f>_xlfn.IFNA(VLOOKUP($BD112,Programma!$F$3:$W$1107,18,0),"")</f>
        <v/>
      </c>
      <c r="BV112" s="363" t="str">
        <f>_xlfn.IFNA(VLOOKUP($BD112,Programma!$F$3:$X$1107,19,0),"")</f>
        <v/>
      </c>
      <c r="BW112" s="363" t="str">
        <f>_xlfn.IFNA(VLOOKUP($BD112,Programma!$F$3:$Y$1107,20,0),"")</f>
        <v/>
      </c>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row>
    <row r="113" spans="1:220" ht="15" customHeight="1">
      <c r="A113" s="21">
        <v>2</v>
      </c>
      <c r="B113" s="157" t="str">
        <f>VLOOKUP(Ruimtestaat[[#This Row],[Code]],Locaties[[Code]:[Locatie]],2,FALSE)</f>
        <v>'s Gravendreef College</v>
      </c>
      <c r="C113" s="157" t="str">
        <f>VLOOKUP(Ruimtestaat[[#This Row],[Code]],Locaties[[#All],[Code]:[Adres]],4,FALSE)</f>
        <v>Klaas Voskuildreef 135</v>
      </c>
      <c r="D113" s="157" t="str">
        <f>VLOOKUP(Ruimtestaat[[#This Row],[Code]],Locaties[[#All],[Code]:[Postcode]],5,FALSE)</f>
        <v>2492 JJ</v>
      </c>
      <c r="E113" s="157" t="str">
        <f>VLOOKUP(Ruimtestaat[[#This Row],[Code]],Locaties[#All],6,FALSE)</f>
        <v>Den Haag</v>
      </c>
      <c r="F113" s="33" t="s">
        <v>1748</v>
      </c>
      <c r="G113" s="33" t="s">
        <v>1784</v>
      </c>
      <c r="H113" s="21" t="s">
        <v>1785</v>
      </c>
      <c r="I113" s="62" t="s">
        <v>1805</v>
      </c>
      <c r="J113" s="21">
        <v>10</v>
      </c>
      <c r="K113" s="62" t="str">
        <f>VLOOKUP(Ruimtestaat[[#This Row],[Ruimte code]],Ruimtegroepen[[#All],[Code]:[Ruimte omschrijving]],2,FALSE)</f>
        <v>Trappenhuizen/lift</v>
      </c>
      <c r="L113" s="33" t="s">
        <v>101</v>
      </c>
      <c r="M113" s="367" t="s">
        <v>2495</v>
      </c>
      <c r="N113" s="140">
        <v>11.28</v>
      </c>
      <c r="O113" s="140"/>
      <c r="P113" s="125" t="str">
        <f>VLOOKUP(Ruimtestaat[[#This Row],[Ruimte code]],Ruimtegroepen[],4,FALSE)</f>
        <v>Ve</v>
      </c>
      <c r="R113" s="33">
        <v>40</v>
      </c>
      <c r="S113" s="33" t="s">
        <v>2</v>
      </c>
      <c r="T113" s="33">
        <f>IF(R113&gt;0,IF(RIGHT(Ruimtestaat[[#This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3" s="33">
        <f>IF(T113&gt;0,VLOOKUP($J113,Ruimtegroepen[],3,FALSE)*VLOOKUP($L113,Vloersoorten[],3,FALSE)*VLOOKUP($S113,Frequenties[],3,FALSE)*VLOOKUP($A113,Locaties[],3,FALSE),0)</f>
        <v>0</v>
      </c>
      <c r="V113" s="33">
        <f>Ruimtestaat[[#This Row],[Uitvoeringen werkdagen]]*Ruimtestaat[[#This Row],[Oppervlak (netto)]]</f>
        <v>2256</v>
      </c>
      <c r="W113" s="154">
        <f>IF(U113&gt;0,Ruimtestaat[[#This Row],[Prest. (m2 /jaar) werkdagen]]/Ruimtestaat[[#This Row],[Norm (m2/uur) werkdagen]],0)</f>
        <v>0</v>
      </c>
      <c r="X113" s="155">
        <f>Ruimtestaat[[#This Row],[uren / jaar werkdagen]]*Tariefsopbouw!$E$35</f>
        <v>0</v>
      </c>
      <c r="Y113" s="33"/>
      <c r="Z113" s="33">
        <f>IF(Ruimtestaat[[#This Row],[Frequentie weekend]]&gt;0,VALUE(LEFT(Y113,1))*R113,0)</f>
        <v>0</v>
      </c>
      <c r="AA113" s="97">
        <f>IF($Z113&gt;0,VLOOKUP($J113,Ruimtegroepen[],3,FALSE)*VLOOKUP($L113,Vloersoorten[],3,FALSE)*VLOOKUP($Y113,Frequenties[],3,FALSE)*VLOOKUP(Ruimtestaat[[#This Row],[Code]],Locaties[],3,FALSE),0)</f>
        <v>0</v>
      </c>
      <c r="AB113" s="97">
        <f>Ruimtestaat[[#This Row],[Uitvoeringen weekend]]*Ruimtestaat[[#This Row],[Oppervlak (netto)]]</f>
        <v>0</v>
      </c>
      <c r="AC113" s="97">
        <f>IF(AA113&gt;0,Ruimtestaat[[#This Row],[Prest. (m2 /jaar) weekend]]/Ruimtestaat[[#This Row],[Norm (m2/uur) weekend]],0)</f>
        <v>0</v>
      </c>
      <c r="AD113" s="155">
        <f>Ruimtestaat[[#This Row],[uren / jaar weekend]]*Tariefsopbouw!$D$40</f>
        <v>0</v>
      </c>
      <c r="AE113" s="154">
        <f>Ruimtestaat[[#This Row],[Prest. (m2 /jaar) weekend]]+Ruimtestaat[[#This Row],[Prest. (m2 /jaar) werkdagen]]</f>
        <v>2256</v>
      </c>
      <c r="AF113" s="154">
        <f>Ruimtestaat[[#This Row],[uren / jaar weekend]]+Ruimtestaat[[#This Row],[uren / jaar werkdagen]]</f>
        <v>0</v>
      </c>
      <c r="AG113" s="69">
        <f>Ruimtestaat[[#This Row],[kosten / jaar weekend]]+Ruimtestaat[[#This Row],[kosten / jaar werkdagen]]</f>
        <v>0</v>
      </c>
      <c r="AH113" s="69"/>
      <c r="AI113" s="256" t="str">
        <f>IF(Ruimtestaat[[#This Row],[Frequentie werkdagen]]="","",_xlfn.CONCAT(Ruimtestaat[[#This Row],[Ruimte code]],"-",Ruimtestaat[[#This Row],[Frequentie werkdagen]]," ",Ruimtestaat[[#This Row],[Vloer code]]))</f>
        <v>10-5w L</v>
      </c>
      <c r="AJ113" s="363" t="str">
        <f>_xlfn.IFNA(VLOOKUP($AI113,Programma!$F$3:$G$1107,2,0),"")</f>
        <v>_</v>
      </c>
      <c r="AK113" s="363" t="str">
        <f>_xlfn.IFNA(VLOOKUP($AI113,Programma!$F$3:$H$1107,3,0),"")</f>
        <v>_</v>
      </c>
      <c r="AL113" s="363" t="str">
        <f>_xlfn.IFNA(VLOOKUP($AI113,Programma!$F$3:$I$1107,4,0),"")</f>
        <v>4w</v>
      </c>
      <c r="AM113" s="363" t="str">
        <f>_xlfn.IFNA(VLOOKUP($AI113,Programma!$F$3:$J$1107,5,0),"")</f>
        <v>1w</v>
      </c>
      <c r="AN113" s="363" t="str">
        <f>_xlfn.IFNA(VLOOKUP($AI113,Programma!$F$3:$K$1107,6,0),"")</f>
        <v>_</v>
      </c>
      <c r="AO113" s="363" t="str">
        <f>_xlfn.IFNA(VLOOKUP($AI113,Programma!$F$3:$L$1107,7,0),"")</f>
        <v>_</v>
      </c>
      <c r="AP113" s="363" t="str">
        <f>_xlfn.IFNA(VLOOKUP($AI113,Programma!$F$3:$M$1107,8,0),"")</f>
        <v>_</v>
      </c>
      <c r="AQ113" s="363" t="str">
        <f>_xlfn.IFNA(VLOOKUP($AI113,Programma!$F$3:$N$1107,9,0),"")</f>
        <v>_</v>
      </c>
      <c r="AR113" s="363" t="str">
        <f>_xlfn.IFNA(VLOOKUP($AI113,Programma!$F$3:$O$1107,10,0),"")</f>
        <v>5w</v>
      </c>
      <c r="AS113" s="363" t="str">
        <f>_xlfn.IFNA(VLOOKUP($AI113,Programma!$F$3:$P$1107,11,0),"")</f>
        <v>5w</v>
      </c>
      <c r="AT113" s="363" t="str">
        <f>_xlfn.IFNA(VLOOKUP($AI113,Programma!$F$3:$Q$1107,12,0),"")</f>
        <v>1w</v>
      </c>
      <c r="AU113" s="363" t="str">
        <f>_xlfn.IFNA(VLOOKUP($AI113,Programma!$F$3:$R$1107,13,0),"")</f>
        <v>1w</v>
      </c>
      <c r="AV113" s="363" t="str">
        <f>_xlfn.IFNA(VLOOKUP($AI113,Programma!$F$3:$S$1107,14,0),"")</f>
        <v>1m</v>
      </c>
      <c r="AW113" s="363" t="str">
        <f>_xlfn.IFNA(VLOOKUP($AI113,Programma!$F$3:$T$1107,15,0),"")</f>
        <v>2j</v>
      </c>
      <c r="AX113" s="363" t="str">
        <f>_xlfn.IFNA(VLOOKUP($AI113,Programma!$F$3:$U$1107,16,0),"")</f>
        <v>1j</v>
      </c>
      <c r="AY113" s="363" t="str">
        <f>_xlfn.IFNA(VLOOKUP($AI113,Programma!$F$3:$V$1107,17,0),"")</f>
        <v>_</v>
      </c>
      <c r="AZ113" s="363" t="str">
        <f>_xlfn.IFNA(VLOOKUP($AI113,Programma!$F$3:$W$1107,18,0),"")</f>
        <v>_</v>
      </c>
      <c r="BA113" s="363" t="str">
        <f>_xlfn.IFNA(VLOOKUP($AI113,Programma!$F$3:$X$1107,19,0),"")</f>
        <v>_</v>
      </c>
      <c r="BB113" s="363" t="str">
        <f>_xlfn.IFNA(VLOOKUP($AI113,Programma!$F$3:$Y$1107,20,0),"")</f>
        <v>_</v>
      </c>
      <c r="BC113" s="257"/>
      <c r="BD113" s="256" t="str">
        <f>IF(Ruimtestaat[[#This Row],[Frequentie weekend]]="","",_xlfn.CONCAT(Ruimtestaat[[#This Row],[Ruimte code]],"-",Ruimtestaat[[#This Row],[Frequentie weekend]]," ",Ruimtestaat[[#This Row],[Vloer code]]))</f>
        <v/>
      </c>
      <c r="BE113" s="363" t="str">
        <f>_xlfn.IFNA(VLOOKUP($BD113,Programma!$F$3:$G$1107,2,0),"")</f>
        <v/>
      </c>
      <c r="BF113" s="363" t="str">
        <f>_xlfn.IFNA(VLOOKUP($BD113,Programma!$F$3:$H$1107,3,0),"")</f>
        <v/>
      </c>
      <c r="BG113" s="363" t="str">
        <f>_xlfn.IFNA(VLOOKUP($BD113,Programma!$F$3:$I$1107,4,0),"")</f>
        <v/>
      </c>
      <c r="BH113" s="363" t="str">
        <f>_xlfn.IFNA(VLOOKUP($BD113,Programma!$F$3:$J$1107,5,0),"")</f>
        <v/>
      </c>
      <c r="BI113" s="363" t="str">
        <f>_xlfn.IFNA(VLOOKUP($BD113,Programma!$F$3:$K$1107,6,0),"")</f>
        <v/>
      </c>
      <c r="BJ113" s="363" t="str">
        <f>_xlfn.IFNA(VLOOKUP($BD113,Programma!$F$3:$L$1107,7,0),"")</f>
        <v/>
      </c>
      <c r="BK113" s="363" t="str">
        <f>_xlfn.IFNA(VLOOKUP($BD113,Programma!$F$3:$M$1107,8,0),"")</f>
        <v/>
      </c>
      <c r="BL113" s="363" t="str">
        <f>_xlfn.IFNA(VLOOKUP($BD113,Programma!$F$3:$N$1107,9,0),"")</f>
        <v/>
      </c>
      <c r="BM113" s="363" t="str">
        <f>_xlfn.IFNA(VLOOKUP($BD113,Programma!$F$3:$O$1107,10,0),"")</f>
        <v/>
      </c>
      <c r="BN113" s="363" t="str">
        <f>_xlfn.IFNA(VLOOKUP($BD113,Programma!$F$3:$P$1107,11,0),"")</f>
        <v/>
      </c>
      <c r="BO113" s="363" t="str">
        <f>_xlfn.IFNA(VLOOKUP($BD113,Programma!$F$3:$Q$1107,12,0),"")</f>
        <v/>
      </c>
      <c r="BP113" s="363" t="str">
        <f>_xlfn.IFNA(VLOOKUP($BD113,Programma!$F$3:$R$1107,13,0),"")</f>
        <v/>
      </c>
      <c r="BQ113" s="363" t="str">
        <f>_xlfn.IFNA(VLOOKUP($BD113,Programma!$F$3:$S$1107,14,0),"")</f>
        <v/>
      </c>
      <c r="BR113" s="363" t="str">
        <f>_xlfn.IFNA(VLOOKUP($BD113,Programma!$F$3:$T$1107,15,0),"")</f>
        <v/>
      </c>
      <c r="BS113" s="363" t="str">
        <f>_xlfn.IFNA(VLOOKUP($BD113,Programma!$F$3:$U$1107,16,0),"")</f>
        <v/>
      </c>
      <c r="BT113" s="363" t="str">
        <f>_xlfn.IFNA(VLOOKUP($BD113,Programma!$F$3:$V$1107,17,0),"")</f>
        <v/>
      </c>
      <c r="BU113" s="363" t="str">
        <f>_xlfn.IFNA(VLOOKUP($BD113,Programma!$F$3:$W$1107,18,0),"")</f>
        <v/>
      </c>
      <c r="BV113" s="363" t="str">
        <f>_xlfn.IFNA(VLOOKUP($BD113,Programma!$F$3:$X$1107,19,0),"")</f>
        <v/>
      </c>
      <c r="BW113" s="363" t="str">
        <f>_xlfn.IFNA(VLOOKUP($BD113,Programma!$F$3:$Y$1107,20,0),"")</f>
        <v/>
      </c>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row>
    <row r="114" spans="1:220" ht="15" customHeight="1">
      <c r="A114" s="21">
        <v>2</v>
      </c>
      <c r="B114" s="157" t="str">
        <f>VLOOKUP(Ruimtestaat[[#This Row],[Code]],Locaties[[Code]:[Locatie]],2,FALSE)</f>
        <v>'s Gravendreef College</v>
      </c>
      <c r="C114" s="157" t="str">
        <f>VLOOKUP(Ruimtestaat[[#This Row],[Code]],Locaties[[#All],[Code]:[Adres]],4,FALSE)</f>
        <v>Klaas Voskuildreef 135</v>
      </c>
      <c r="D114" s="157" t="str">
        <f>VLOOKUP(Ruimtestaat[[#This Row],[Code]],Locaties[[#All],[Code]:[Postcode]],5,FALSE)</f>
        <v>2492 JJ</v>
      </c>
      <c r="E114" s="157" t="str">
        <f>VLOOKUP(Ruimtestaat[[#This Row],[Code]],Locaties[#All],6,FALSE)</f>
        <v>Den Haag</v>
      </c>
      <c r="F114" s="33" t="s">
        <v>1748</v>
      </c>
      <c r="G114" s="33" t="s">
        <v>1784</v>
      </c>
      <c r="H114" s="21" t="s">
        <v>1786</v>
      </c>
      <c r="I114" s="62" t="s">
        <v>1761</v>
      </c>
      <c r="J114" s="21">
        <v>6</v>
      </c>
      <c r="K114" s="62" t="str">
        <f>VLOOKUP(Ruimtestaat[[#This Row],[Ruimte code]],Ruimtegroepen[[#All],[Code]:[Ruimte omschrijving]],2,FALSE)</f>
        <v>Gangen/hallen</v>
      </c>
      <c r="L114" s="33" t="s">
        <v>101</v>
      </c>
      <c r="M114" s="367" t="s">
        <v>2495</v>
      </c>
      <c r="N114" s="140">
        <v>131.80000000000001</v>
      </c>
      <c r="O114" s="140"/>
      <c r="P114" s="125" t="str">
        <f>VLOOKUP(Ruimtestaat[[#This Row],[Ruimte code]],Ruimtegroepen[],4,FALSE)</f>
        <v>Ve</v>
      </c>
      <c r="R114" s="33">
        <v>40</v>
      </c>
      <c r="S114" s="33" t="s">
        <v>2</v>
      </c>
      <c r="T114" s="33">
        <f>IF(R114&gt;0,IF(RIGHT(Ruimtestaat[[#This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4" s="33">
        <f>IF(T114&gt;0,VLOOKUP($J114,Ruimtegroepen[],3,FALSE)*VLOOKUP($L114,Vloersoorten[],3,FALSE)*VLOOKUP($S114,Frequenties[],3,FALSE)*VLOOKUP($A114,Locaties[],3,FALSE),0)</f>
        <v>0</v>
      </c>
      <c r="V114" s="33">
        <f>Ruimtestaat[[#This Row],[Uitvoeringen werkdagen]]*Ruimtestaat[[#This Row],[Oppervlak (netto)]]</f>
        <v>26360.000000000004</v>
      </c>
      <c r="W114" s="154">
        <f>IF(U114&gt;0,Ruimtestaat[[#This Row],[Prest. (m2 /jaar) werkdagen]]/Ruimtestaat[[#This Row],[Norm (m2/uur) werkdagen]],0)</f>
        <v>0</v>
      </c>
      <c r="X114" s="155">
        <f>Ruimtestaat[[#This Row],[uren / jaar werkdagen]]*Tariefsopbouw!$E$35</f>
        <v>0</v>
      </c>
      <c r="Y114" s="33"/>
      <c r="Z114" s="33">
        <f>IF(Ruimtestaat[[#This Row],[Frequentie weekend]]&gt;0,VALUE(LEFT(Y114,1))*R114,0)</f>
        <v>0</v>
      </c>
      <c r="AA114" s="97">
        <f>IF($Z114&gt;0,VLOOKUP($J114,Ruimtegroepen[],3,FALSE)*VLOOKUP($L114,Vloersoorten[],3,FALSE)*VLOOKUP($Y114,Frequenties[],3,FALSE)*VLOOKUP(Ruimtestaat[[#This Row],[Code]],Locaties[],3,FALSE),0)</f>
        <v>0</v>
      </c>
      <c r="AB114" s="97">
        <f>Ruimtestaat[[#This Row],[Uitvoeringen weekend]]*Ruimtestaat[[#This Row],[Oppervlak (netto)]]</f>
        <v>0</v>
      </c>
      <c r="AC114" s="97">
        <f>IF(AA114&gt;0,Ruimtestaat[[#This Row],[Prest. (m2 /jaar) weekend]]/Ruimtestaat[[#This Row],[Norm (m2/uur) weekend]],0)</f>
        <v>0</v>
      </c>
      <c r="AD114" s="155">
        <f>Ruimtestaat[[#This Row],[uren / jaar weekend]]*Tariefsopbouw!$D$40</f>
        <v>0</v>
      </c>
      <c r="AE114" s="154">
        <f>Ruimtestaat[[#This Row],[Prest. (m2 /jaar) weekend]]+Ruimtestaat[[#This Row],[Prest. (m2 /jaar) werkdagen]]</f>
        <v>26360.000000000004</v>
      </c>
      <c r="AF114" s="154">
        <f>Ruimtestaat[[#This Row],[uren / jaar weekend]]+Ruimtestaat[[#This Row],[uren / jaar werkdagen]]</f>
        <v>0</v>
      </c>
      <c r="AG114" s="69">
        <f>Ruimtestaat[[#This Row],[kosten / jaar weekend]]+Ruimtestaat[[#This Row],[kosten / jaar werkdagen]]</f>
        <v>0</v>
      </c>
      <c r="AH114" s="69"/>
      <c r="AI114" s="256" t="str">
        <f>IF(Ruimtestaat[[#This Row],[Frequentie werkdagen]]="","",_xlfn.CONCAT(Ruimtestaat[[#This Row],[Ruimte code]],"-",Ruimtestaat[[#This Row],[Frequentie werkdagen]]," ",Ruimtestaat[[#This Row],[Vloer code]]))</f>
        <v>6-5w L</v>
      </c>
      <c r="AJ114" s="363" t="str">
        <f>_xlfn.IFNA(VLOOKUP($AI114,Programma!$F$3:$G$1107,2,0),"")</f>
        <v>_</v>
      </c>
      <c r="AK114" s="363" t="str">
        <f>_xlfn.IFNA(VLOOKUP($AI114,Programma!$F$3:$H$1107,3,0),"")</f>
        <v>_</v>
      </c>
      <c r="AL114" s="363" t="str">
        <f>_xlfn.IFNA(VLOOKUP($AI114,Programma!$F$3:$I$1107,4,0),"")</f>
        <v>_</v>
      </c>
      <c r="AM114" s="363" t="str">
        <f>_xlfn.IFNA(VLOOKUP($AI114,Programma!$F$3:$J$1107,5,0),"")</f>
        <v>5w</v>
      </c>
      <c r="AN114" s="363" t="str">
        <f>_xlfn.IFNA(VLOOKUP($AI114,Programma!$F$3:$K$1107,6,0),"")</f>
        <v>_</v>
      </c>
      <c r="AO114" s="363" t="str">
        <f>_xlfn.IFNA(VLOOKUP($AI114,Programma!$F$3:$L$1107,7,0),"")</f>
        <v>_</v>
      </c>
      <c r="AP114" s="363" t="str">
        <f>_xlfn.IFNA(VLOOKUP($AI114,Programma!$F$3:$M$1107,8,0),"")</f>
        <v>_</v>
      </c>
      <c r="AQ114" s="363" t="str">
        <f>_xlfn.IFNA(VLOOKUP($AI114,Programma!$F$3:$N$1107,9,0),"")</f>
        <v>_</v>
      </c>
      <c r="AR114" s="363" t="str">
        <f>_xlfn.IFNA(VLOOKUP($AI114,Programma!$F$3:$O$1107,10,0),"")</f>
        <v>5w</v>
      </c>
      <c r="AS114" s="363" t="str">
        <f>_xlfn.IFNA(VLOOKUP($AI114,Programma!$F$3:$P$1107,11,0),"")</f>
        <v>5w</v>
      </c>
      <c r="AT114" s="363" t="str">
        <f>_xlfn.IFNA(VLOOKUP($AI114,Programma!$F$3:$Q$1107,12,0),"")</f>
        <v>1w</v>
      </c>
      <c r="AU114" s="363" t="str">
        <f>_xlfn.IFNA(VLOOKUP($AI114,Programma!$F$3:$R$1107,13,0),"")</f>
        <v>1w</v>
      </c>
      <c r="AV114" s="363" t="str">
        <f>_xlfn.IFNA(VLOOKUP($AI114,Programma!$F$3:$S$1107,14,0),"")</f>
        <v>1m</v>
      </c>
      <c r="AW114" s="363" t="str">
        <f>_xlfn.IFNA(VLOOKUP($AI114,Programma!$F$3:$T$1107,15,0),"")</f>
        <v>2j</v>
      </c>
      <c r="AX114" s="363" t="str">
        <f>_xlfn.IFNA(VLOOKUP($AI114,Programma!$F$3:$U$1107,16,0),"")</f>
        <v>1j</v>
      </c>
      <c r="AY114" s="363" t="str">
        <f>_xlfn.IFNA(VLOOKUP($AI114,Programma!$F$3:$V$1107,17,0),"")</f>
        <v>_</v>
      </c>
      <c r="AZ114" s="363" t="str">
        <f>_xlfn.IFNA(VLOOKUP($AI114,Programma!$F$3:$W$1107,18,0),"")</f>
        <v>_</v>
      </c>
      <c r="BA114" s="363" t="str">
        <f>_xlfn.IFNA(VLOOKUP($AI114,Programma!$F$3:$X$1107,19,0),"")</f>
        <v>_</v>
      </c>
      <c r="BB114" s="363" t="str">
        <f>_xlfn.IFNA(VLOOKUP($AI114,Programma!$F$3:$Y$1107,20,0),"")</f>
        <v>_</v>
      </c>
      <c r="BC114" s="257"/>
      <c r="BD114" s="256" t="str">
        <f>IF(Ruimtestaat[[#This Row],[Frequentie weekend]]="","",_xlfn.CONCAT(Ruimtestaat[[#This Row],[Ruimte code]],"-",Ruimtestaat[[#This Row],[Frequentie weekend]]," ",Ruimtestaat[[#This Row],[Vloer code]]))</f>
        <v/>
      </c>
      <c r="BE114" s="363" t="str">
        <f>_xlfn.IFNA(VLOOKUP($BD114,Programma!$F$3:$G$1107,2,0),"")</f>
        <v/>
      </c>
      <c r="BF114" s="363" t="str">
        <f>_xlfn.IFNA(VLOOKUP($BD114,Programma!$F$3:$H$1107,3,0),"")</f>
        <v/>
      </c>
      <c r="BG114" s="363" t="str">
        <f>_xlfn.IFNA(VLOOKUP($BD114,Programma!$F$3:$I$1107,4,0),"")</f>
        <v/>
      </c>
      <c r="BH114" s="363" t="str">
        <f>_xlfn.IFNA(VLOOKUP($BD114,Programma!$F$3:$J$1107,5,0),"")</f>
        <v/>
      </c>
      <c r="BI114" s="363" t="str">
        <f>_xlfn.IFNA(VLOOKUP($BD114,Programma!$F$3:$K$1107,6,0),"")</f>
        <v/>
      </c>
      <c r="BJ114" s="363" t="str">
        <f>_xlfn.IFNA(VLOOKUP($BD114,Programma!$F$3:$L$1107,7,0),"")</f>
        <v/>
      </c>
      <c r="BK114" s="363" t="str">
        <f>_xlfn.IFNA(VLOOKUP($BD114,Programma!$F$3:$M$1107,8,0),"")</f>
        <v/>
      </c>
      <c r="BL114" s="363" t="str">
        <f>_xlfn.IFNA(VLOOKUP($BD114,Programma!$F$3:$N$1107,9,0),"")</f>
        <v/>
      </c>
      <c r="BM114" s="363" t="str">
        <f>_xlfn.IFNA(VLOOKUP($BD114,Programma!$F$3:$O$1107,10,0),"")</f>
        <v/>
      </c>
      <c r="BN114" s="363" t="str">
        <f>_xlfn.IFNA(VLOOKUP($BD114,Programma!$F$3:$P$1107,11,0),"")</f>
        <v/>
      </c>
      <c r="BO114" s="363" t="str">
        <f>_xlfn.IFNA(VLOOKUP($BD114,Programma!$F$3:$Q$1107,12,0),"")</f>
        <v/>
      </c>
      <c r="BP114" s="363" t="str">
        <f>_xlfn.IFNA(VLOOKUP($BD114,Programma!$F$3:$R$1107,13,0),"")</f>
        <v/>
      </c>
      <c r="BQ114" s="363" t="str">
        <f>_xlfn.IFNA(VLOOKUP($BD114,Programma!$F$3:$S$1107,14,0),"")</f>
        <v/>
      </c>
      <c r="BR114" s="363" t="str">
        <f>_xlfn.IFNA(VLOOKUP($BD114,Programma!$F$3:$T$1107,15,0),"")</f>
        <v/>
      </c>
      <c r="BS114" s="363" t="str">
        <f>_xlfn.IFNA(VLOOKUP($BD114,Programma!$F$3:$U$1107,16,0),"")</f>
        <v/>
      </c>
      <c r="BT114" s="363" t="str">
        <f>_xlfn.IFNA(VLOOKUP($BD114,Programma!$F$3:$V$1107,17,0),"")</f>
        <v/>
      </c>
      <c r="BU114" s="363" t="str">
        <f>_xlfn.IFNA(VLOOKUP($BD114,Programma!$F$3:$W$1107,18,0),"")</f>
        <v/>
      </c>
      <c r="BV114" s="363" t="str">
        <f>_xlfn.IFNA(VLOOKUP($BD114,Programma!$F$3:$X$1107,19,0),"")</f>
        <v/>
      </c>
      <c r="BW114" s="363" t="str">
        <f>_xlfn.IFNA(VLOOKUP($BD114,Programma!$F$3:$Y$1107,20,0),"")</f>
        <v/>
      </c>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row>
    <row r="115" spans="1:220" ht="15" customHeight="1">
      <c r="A115" s="21">
        <v>2</v>
      </c>
      <c r="B115" s="157" t="str">
        <f>VLOOKUP(Ruimtestaat[[#This Row],[Code]],Locaties[[Code]:[Locatie]],2,FALSE)</f>
        <v>'s Gravendreef College</v>
      </c>
      <c r="C115" s="157" t="str">
        <f>VLOOKUP(Ruimtestaat[[#This Row],[Code]],Locaties[[#All],[Code]:[Adres]],4,FALSE)</f>
        <v>Klaas Voskuildreef 135</v>
      </c>
      <c r="D115" s="157" t="str">
        <f>VLOOKUP(Ruimtestaat[[#This Row],[Code]],Locaties[[#All],[Code]:[Postcode]],5,FALSE)</f>
        <v>2492 JJ</v>
      </c>
      <c r="E115" s="157" t="str">
        <f>VLOOKUP(Ruimtestaat[[#This Row],[Code]],Locaties[#All],6,FALSE)</f>
        <v>Den Haag</v>
      </c>
      <c r="F115" s="33" t="s">
        <v>1748</v>
      </c>
      <c r="G115" s="33" t="s">
        <v>1784</v>
      </c>
      <c r="H115" s="21" t="s">
        <v>1787</v>
      </c>
      <c r="I115" s="62" t="s">
        <v>1763</v>
      </c>
      <c r="J115" s="21">
        <v>20</v>
      </c>
      <c r="K115" s="62" t="str">
        <f>VLOOKUP(Ruimtestaat[[#This Row],[Ruimte code]],Ruimtegroepen[[#All],[Code]:[Ruimte omschrijving]],2,FALSE)</f>
        <v>Niet in Onderhoud</v>
      </c>
      <c r="L115" s="33" t="s">
        <v>101</v>
      </c>
      <c r="M115" s="367" t="s">
        <v>2495</v>
      </c>
      <c r="N115" s="140"/>
      <c r="O115" s="140">
        <v>1.64</v>
      </c>
      <c r="P115" s="125">
        <f>VLOOKUP(Ruimtestaat[[#This Row],[Ruimte code]],Ruimtegroepen[],4,FALSE)</f>
        <v>0</v>
      </c>
      <c r="R115" s="33"/>
      <c r="S115" s="33"/>
      <c r="T115" s="33">
        <f>IF(R115&gt;0,IF(RIGHT(Ruimtestaat[[#This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15" s="33">
        <f>IF(T115&gt;0,VLOOKUP($J115,Ruimtegroepen[],3,FALSE)*VLOOKUP($L115,Vloersoorten[],3,FALSE)*VLOOKUP($S115,Frequenties[],3,FALSE)*VLOOKUP($A115,Locaties[],3,FALSE),0)</f>
        <v>0</v>
      </c>
      <c r="V115" s="33">
        <f>Ruimtestaat[[#This Row],[Uitvoeringen werkdagen]]*Ruimtestaat[[#This Row],[Oppervlak (netto)]]</f>
        <v>0</v>
      </c>
      <c r="W115" s="154">
        <f>IF(U115&gt;0,Ruimtestaat[[#This Row],[Prest. (m2 /jaar) werkdagen]]/Ruimtestaat[[#This Row],[Norm (m2/uur) werkdagen]],0)</f>
        <v>0</v>
      </c>
      <c r="X115" s="155">
        <f>Ruimtestaat[[#This Row],[uren / jaar werkdagen]]*Tariefsopbouw!$E$35</f>
        <v>0</v>
      </c>
      <c r="Y115" s="33"/>
      <c r="Z115" s="33">
        <f>IF(Ruimtestaat[[#This Row],[Frequentie weekend]]&gt;0,VALUE(LEFT(Y115,1))*R115,0)</f>
        <v>0</v>
      </c>
      <c r="AA115" s="97">
        <f>IF($Z115&gt;0,VLOOKUP($J115,Ruimtegroepen[],3,FALSE)*VLOOKUP($L115,Vloersoorten[],3,FALSE)*VLOOKUP($Y115,Frequenties[],3,FALSE)*VLOOKUP(Ruimtestaat[[#This Row],[Code]],Locaties[],3,FALSE),0)</f>
        <v>0</v>
      </c>
      <c r="AB115" s="97">
        <f>Ruimtestaat[[#This Row],[Uitvoeringen weekend]]*Ruimtestaat[[#This Row],[Oppervlak (netto)]]</f>
        <v>0</v>
      </c>
      <c r="AC115" s="97">
        <f>IF(AA115&gt;0,Ruimtestaat[[#This Row],[Prest. (m2 /jaar) weekend]]/Ruimtestaat[[#This Row],[Norm (m2/uur) weekend]],0)</f>
        <v>0</v>
      </c>
      <c r="AD115" s="155">
        <f>Ruimtestaat[[#This Row],[uren / jaar weekend]]*Tariefsopbouw!$D$40</f>
        <v>0</v>
      </c>
      <c r="AE115" s="154">
        <f>Ruimtestaat[[#This Row],[Prest. (m2 /jaar) weekend]]+Ruimtestaat[[#This Row],[Prest. (m2 /jaar) werkdagen]]</f>
        <v>0</v>
      </c>
      <c r="AF115" s="154">
        <f>Ruimtestaat[[#This Row],[uren / jaar weekend]]+Ruimtestaat[[#This Row],[uren / jaar werkdagen]]</f>
        <v>0</v>
      </c>
      <c r="AG115" s="69">
        <f>Ruimtestaat[[#This Row],[kosten / jaar weekend]]+Ruimtestaat[[#This Row],[kosten / jaar werkdagen]]</f>
        <v>0</v>
      </c>
      <c r="AH115" s="69"/>
      <c r="AI115" s="256" t="str">
        <f>IF(Ruimtestaat[[#This Row],[Frequentie werkdagen]]="","",_xlfn.CONCAT(Ruimtestaat[[#This Row],[Ruimte code]],"-",Ruimtestaat[[#This Row],[Frequentie werkdagen]]," ",Ruimtestaat[[#This Row],[Vloer code]]))</f>
        <v/>
      </c>
      <c r="AJ115" s="363" t="str">
        <f>_xlfn.IFNA(VLOOKUP($AI115,Programma!$F$3:$G$1107,2,0),"")</f>
        <v/>
      </c>
      <c r="AK115" s="363" t="str">
        <f>_xlfn.IFNA(VLOOKUP($AI115,Programma!$F$3:$H$1107,3,0),"")</f>
        <v/>
      </c>
      <c r="AL115" s="363" t="str">
        <f>_xlfn.IFNA(VLOOKUP($AI115,Programma!$F$3:$I$1107,4,0),"")</f>
        <v/>
      </c>
      <c r="AM115" s="363" t="str">
        <f>_xlfn.IFNA(VLOOKUP($AI115,Programma!$F$3:$J$1107,5,0),"")</f>
        <v/>
      </c>
      <c r="AN115" s="363" t="str">
        <f>_xlfn.IFNA(VLOOKUP($AI115,Programma!$F$3:$K$1107,6,0),"")</f>
        <v/>
      </c>
      <c r="AO115" s="363" t="str">
        <f>_xlfn.IFNA(VLOOKUP($AI115,Programma!$F$3:$L$1107,7,0),"")</f>
        <v/>
      </c>
      <c r="AP115" s="363" t="str">
        <f>_xlfn.IFNA(VLOOKUP($AI115,Programma!$F$3:$M$1107,8,0),"")</f>
        <v/>
      </c>
      <c r="AQ115" s="363" t="str">
        <f>_xlfn.IFNA(VLOOKUP($AI115,Programma!$F$3:$N$1107,9,0),"")</f>
        <v/>
      </c>
      <c r="AR115" s="363" t="str">
        <f>_xlfn.IFNA(VLOOKUP($AI115,Programma!$F$3:$O$1107,10,0),"")</f>
        <v/>
      </c>
      <c r="AS115" s="363" t="str">
        <f>_xlfn.IFNA(VLOOKUP($AI115,Programma!$F$3:$P$1107,11,0),"")</f>
        <v/>
      </c>
      <c r="AT115" s="363" t="str">
        <f>_xlfn.IFNA(VLOOKUP($AI115,Programma!$F$3:$Q$1107,12,0),"")</f>
        <v/>
      </c>
      <c r="AU115" s="363" t="str">
        <f>_xlfn.IFNA(VLOOKUP($AI115,Programma!$F$3:$R$1107,13,0),"")</f>
        <v/>
      </c>
      <c r="AV115" s="363" t="str">
        <f>_xlfn.IFNA(VLOOKUP($AI115,Programma!$F$3:$S$1107,14,0),"")</f>
        <v/>
      </c>
      <c r="AW115" s="363" t="str">
        <f>_xlfn.IFNA(VLOOKUP($AI115,Programma!$F$3:$T$1107,15,0),"")</f>
        <v/>
      </c>
      <c r="AX115" s="363" t="str">
        <f>_xlfn.IFNA(VLOOKUP($AI115,Programma!$F$3:$U$1107,16,0),"")</f>
        <v/>
      </c>
      <c r="AY115" s="363" t="str">
        <f>_xlfn.IFNA(VLOOKUP($AI115,Programma!$F$3:$V$1107,17,0),"")</f>
        <v/>
      </c>
      <c r="AZ115" s="363" t="str">
        <f>_xlfn.IFNA(VLOOKUP($AI115,Programma!$F$3:$W$1107,18,0),"")</f>
        <v/>
      </c>
      <c r="BA115" s="363" t="str">
        <f>_xlfn.IFNA(VLOOKUP($AI115,Programma!$F$3:$X$1107,19,0),"")</f>
        <v/>
      </c>
      <c r="BB115" s="363" t="str">
        <f>_xlfn.IFNA(VLOOKUP($AI115,Programma!$F$3:$Y$1107,20,0),"")</f>
        <v/>
      </c>
      <c r="BC115" s="257"/>
      <c r="BD115" s="256" t="str">
        <f>IF(Ruimtestaat[[#This Row],[Frequentie weekend]]="","",_xlfn.CONCAT(Ruimtestaat[[#This Row],[Ruimte code]],"-",Ruimtestaat[[#This Row],[Frequentie weekend]]," ",Ruimtestaat[[#This Row],[Vloer code]]))</f>
        <v/>
      </c>
      <c r="BE115" s="363" t="str">
        <f>_xlfn.IFNA(VLOOKUP($BD115,Programma!$F$3:$G$1107,2,0),"")</f>
        <v/>
      </c>
      <c r="BF115" s="363" t="str">
        <f>_xlfn.IFNA(VLOOKUP($BD115,Programma!$F$3:$H$1107,3,0),"")</f>
        <v/>
      </c>
      <c r="BG115" s="363" t="str">
        <f>_xlfn.IFNA(VLOOKUP($BD115,Programma!$F$3:$I$1107,4,0),"")</f>
        <v/>
      </c>
      <c r="BH115" s="363" t="str">
        <f>_xlfn.IFNA(VLOOKUP($BD115,Programma!$F$3:$J$1107,5,0),"")</f>
        <v/>
      </c>
      <c r="BI115" s="363" t="str">
        <f>_xlfn.IFNA(VLOOKUP($BD115,Programma!$F$3:$K$1107,6,0),"")</f>
        <v/>
      </c>
      <c r="BJ115" s="363" t="str">
        <f>_xlfn.IFNA(VLOOKUP($BD115,Programma!$F$3:$L$1107,7,0),"")</f>
        <v/>
      </c>
      <c r="BK115" s="363" t="str">
        <f>_xlfn.IFNA(VLOOKUP($BD115,Programma!$F$3:$M$1107,8,0),"")</f>
        <v/>
      </c>
      <c r="BL115" s="363" t="str">
        <f>_xlfn.IFNA(VLOOKUP($BD115,Programma!$F$3:$N$1107,9,0),"")</f>
        <v/>
      </c>
      <c r="BM115" s="363" t="str">
        <f>_xlfn.IFNA(VLOOKUP($BD115,Programma!$F$3:$O$1107,10,0),"")</f>
        <v/>
      </c>
      <c r="BN115" s="363" t="str">
        <f>_xlfn.IFNA(VLOOKUP($BD115,Programma!$F$3:$P$1107,11,0),"")</f>
        <v/>
      </c>
      <c r="BO115" s="363" t="str">
        <f>_xlfn.IFNA(VLOOKUP($BD115,Programma!$F$3:$Q$1107,12,0),"")</f>
        <v/>
      </c>
      <c r="BP115" s="363" t="str">
        <f>_xlfn.IFNA(VLOOKUP($BD115,Programma!$F$3:$R$1107,13,0),"")</f>
        <v/>
      </c>
      <c r="BQ115" s="363" t="str">
        <f>_xlfn.IFNA(VLOOKUP($BD115,Programma!$F$3:$S$1107,14,0),"")</f>
        <v/>
      </c>
      <c r="BR115" s="363" t="str">
        <f>_xlfn.IFNA(VLOOKUP($BD115,Programma!$F$3:$T$1107,15,0),"")</f>
        <v/>
      </c>
      <c r="BS115" s="363" t="str">
        <f>_xlfn.IFNA(VLOOKUP($BD115,Programma!$F$3:$U$1107,16,0),"")</f>
        <v/>
      </c>
      <c r="BT115" s="363" t="str">
        <f>_xlfn.IFNA(VLOOKUP($BD115,Programma!$F$3:$V$1107,17,0),"")</f>
        <v/>
      </c>
      <c r="BU115" s="363" t="str">
        <f>_xlfn.IFNA(VLOOKUP($BD115,Programma!$F$3:$W$1107,18,0),"")</f>
        <v/>
      </c>
      <c r="BV115" s="363" t="str">
        <f>_xlfn.IFNA(VLOOKUP($BD115,Programma!$F$3:$X$1107,19,0),"")</f>
        <v/>
      </c>
      <c r="BW115" s="363" t="str">
        <f>_xlfn.IFNA(VLOOKUP($BD115,Programma!$F$3:$Y$1107,20,0),"")</f>
        <v/>
      </c>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row>
    <row r="116" spans="1:220" ht="15" customHeight="1">
      <c r="A116" s="21">
        <v>2</v>
      </c>
      <c r="B116" s="157" t="str">
        <f>VLOOKUP(Ruimtestaat[[#This Row],[Code]],Locaties[[Code]:[Locatie]],2,FALSE)</f>
        <v>'s Gravendreef College</v>
      </c>
      <c r="C116" s="157" t="str">
        <f>VLOOKUP(Ruimtestaat[[#This Row],[Code]],Locaties[[#All],[Code]:[Adres]],4,FALSE)</f>
        <v>Klaas Voskuildreef 135</v>
      </c>
      <c r="D116" s="157" t="str">
        <f>VLOOKUP(Ruimtestaat[[#This Row],[Code]],Locaties[[#All],[Code]:[Postcode]],5,FALSE)</f>
        <v>2492 JJ</v>
      </c>
      <c r="E116" s="157" t="str">
        <f>VLOOKUP(Ruimtestaat[[#This Row],[Code]],Locaties[#All],6,FALSE)</f>
        <v>Den Haag</v>
      </c>
      <c r="F116" s="33" t="s">
        <v>1748</v>
      </c>
      <c r="G116" s="33" t="s">
        <v>1784</v>
      </c>
      <c r="H116" s="21" t="s">
        <v>1788</v>
      </c>
      <c r="I116" s="62" t="s">
        <v>1765</v>
      </c>
      <c r="J116" s="21">
        <v>5</v>
      </c>
      <c r="K116" s="62" t="str">
        <f>VLOOKUP(Ruimtestaat[[#This Row],[Ruimte code]],Ruimtegroepen[[#All],[Code]:[Ruimte omschrijving]],2,FALSE)</f>
        <v>Sanitair</v>
      </c>
      <c r="L116" s="33" t="s">
        <v>2501</v>
      </c>
      <c r="M116" s="367" t="s">
        <v>120</v>
      </c>
      <c r="N116" s="140">
        <v>7.94</v>
      </c>
      <c r="O116" s="140"/>
      <c r="P116" s="125" t="str">
        <f>VLOOKUP(Ruimtestaat[[#This Row],[Ruimte code]],Ruimtegroepen[],4,FALSE)</f>
        <v>Sa</v>
      </c>
      <c r="R116" s="33">
        <v>40</v>
      </c>
      <c r="S116" s="33" t="s">
        <v>2</v>
      </c>
      <c r="T116" s="33">
        <f>IF(R116&gt;0,IF(RIGHT(Ruimtestaat[[#This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6" s="33">
        <f>IF(T116&gt;0,VLOOKUP($J116,Ruimtegroepen[],3,FALSE)*VLOOKUP($L116,Vloersoorten[],3,FALSE)*VLOOKUP($S116,Frequenties[],3,FALSE)*VLOOKUP($A116,Locaties[],3,FALSE),0)</f>
        <v>0</v>
      </c>
      <c r="V116" s="33">
        <f>Ruimtestaat[[#This Row],[Uitvoeringen werkdagen]]*Ruimtestaat[[#This Row],[Oppervlak (netto)]]</f>
        <v>1588</v>
      </c>
      <c r="W116" s="154">
        <f>IF(U116&gt;0,Ruimtestaat[[#This Row],[Prest. (m2 /jaar) werkdagen]]/Ruimtestaat[[#This Row],[Norm (m2/uur) werkdagen]],0)</f>
        <v>0</v>
      </c>
      <c r="X116" s="155">
        <f>Ruimtestaat[[#This Row],[uren / jaar werkdagen]]*Tariefsopbouw!$E$35</f>
        <v>0</v>
      </c>
      <c r="Y116" s="33"/>
      <c r="Z116" s="33">
        <f>IF(Ruimtestaat[[#This Row],[Frequentie weekend]]&gt;0,VALUE(LEFT(Y116,1))*R116,0)</f>
        <v>0</v>
      </c>
      <c r="AA116" s="97">
        <f>IF($Z116&gt;0,VLOOKUP($J116,Ruimtegroepen[],3,FALSE)*VLOOKUP($L116,Vloersoorten[],3,FALSE)*VLOOKUP($Y116,Frequenties[],3,FALSE)*VLOOKUP(Ruimtestaat[[#This Row],[Code]],Locaties[],3,FALSE),0)</f>
        <v>0</v>
      </c>
      <c r="AB116" s="97">
        <f>Ruimtestaat[[#This Row],[Uitvoeringen weekend]]*Ruimtestaat[[#This Row],[Oppervlak (netto)]]</f>
        <v>0</v>
      </c>
      <c r="AC116" s="97">
        <f>IF(AA116&gt;0,Ruimtestaat[[#This Row],[Prest. (m2 /jaar) weekend]]/Ruimtestaat[[#This Row],[Norm (m2/uur) weekend]],0)</f>
        <v>0</v>
      </c>
      <c r="AD116" s="155">
        <f>Ruimtestaat[[#This Row],[uren / jaar weekend]]*Tariefsopbouw!$D$40</f>
        <v>0</v>
      </c>
      <c r="AE116" s="154">
        <f>Ruimtestaat[[#This Row],[Prest. (m2 /jaar) weekend]]+Ruimtestaat[[#This Row],[Prest. (m2 /jaar) werkdagen]]</f>
        <v>1588</v>
      </c>
      <c r="AF116" s="154">
        <f>Ruimtestaat[[#This Row],[uren / jaar weekend]]+Ruimtestaat[[#This Row],[uren / jaar werkdagen]]</f>
        <v>0</v>
      </c>
      <c r="AG116" s="69">
        <f>Ruimtestaat[[#This Row],[kosten / jaar weekend]]+Ruimtestaat[[#This Row],[kosten / jaar werkdagen]]</f>
        <v>0</v>
      </c>
      <c r="AH116" s="69"/>
      <c r="AI116" s="256" t="str">
        <f>IF(Ruimtestaat[[#This Row],[Frequentie werkdagen]]="","",_xlfn.CONCAT(Ruimtestaat[[#This Row],[Ruimte code]],"-",Ruimtestaat[[#This Row],[Frequentie werkdagen]]," ",Ruimtestaat[[#This Row],[Vloer code]]))</f>
        <v>5-5w s</v>
      </c>
      <c r="AJ116" s="363" t="str">
        <f>_xlfn.IFNA(VLOOKUP($AI116,Programma!$F$3:$G$1107,2,0),"")</f>
        <v>_</v>
      </c>
      <c r="AK116" s="363" t="str">
        <f>_xlfn.IFNA(VLOOKUP($AI116,Programma!$F$3:$H$1107,3,0),"")</f>
        <v>_</v>
      </c>
      <c r="AL116" s="363" t="str">
        <f>_xlfn.IFNA(VLOOKUP($AI116,Programma!$F$3:$I$1107,4,0),"")</f>
        <v>_</v>
      </c>
      <c r="AM116" s="363" t="str">
        <f>_xlfn.IFNA(VLOOKUP($AI116,Programma!$F$3:$J$1107,5,0),"")</f>
        <v>4w</v>
      </c>
      <c r="AN116" s="363" t="str">
        <f>_xlfn.IFNA(VLOOKUP($AI116,Programma!$F$3:$K$1107,6,0),"")</f>
        <v>1w</v>
      </c>
      <c r="AO116" s="363" t="str">
        <f>_xlfn.IFNA(VLOOKUP($AI116,Programma!$F$3:$L$1107,7,0),"")</f>
        <v>_</v>
      </c>
      <c r="AP116" s="363" t="str">
        <f>_xlfn.IFNA(VLOOKUP($AI116,Programma!$F$3:$M$1107,8,0),"")</f>
        <v>_</v>
      </c>
      <c r="AQ116" s="363" t="str">
        <f>_xlfn.IFNA(VLOOKUP($AI116,Programma!$F$3:$N$1107,9,0),"")</f>
        <v>_</v>
      </c>
      <c r="AR116" s="363" t="str">
        <f>_xlfn.IFNA(VLOOKUP($AI116,Programma!$F$3:$O$1107,10,0),"")</f>
        <v>_</v>
      </c>
      <c r="AS116" s="363" t="str">
        <f>_xlfn.IFNA(VLOOKUP($AI116,Programma!$F$3:$P$1107,11,0),"")</f>
        <v>_</v>
      </c>
      <c r="AT116" s="363" t="str">
        <f>_xlfn.IFNA(VLOOKUP($AI116,Programma!$F$3:$Q$1107,12,0),"")</f>
        <v>_</v>
      </c>
      <c r="AU116" s="363" t="str">
        <f>_xlfn.IFNA(VLOOKUP($AI116,Programma!$F$3:$R$1107,13,0),"")</f>
        <v>_</v>
      </c>
      <c r="AV116" s="363" t="str">
        <f>_xlfn.IFNA(VLOOKUP($AI116,Programma!$F$3:$S$1107,14,0),"")</f>
        <v>_</v>
      </c>
      <c r="AW116" s="363" t="str">
        <f>_xlfn.IFNA(VLOOKUP($AI116,Programma!$F$3:$T$1107,15,0),"")</f>
        <v>_</v>
      </c>
      <c r="AX116" s="363" t="str">
        <f>_xlfn.IFNA(VLOOKUP($AI116,Programma!$F$3:$U$1107,16,0),"")</f>
        <v>_</v>
      </c>
      <c r="AY116" s="363" t="str">
        <f>_xlfn.IFNA(VLOOKUP($AI116,Programma!$F$3:$V$1107,17,0),"")</f>
        <v>_</v>
      </c>
      <c r="AZ116" s="363" t="str">
        <f>_xlfn.IFNA(VLOOKUP($AI116,Programma!$F$3:$W$1107,18,0),"")</f>
        <v>4w</v>
      </c>
      <c r="BA116" s="363" t="str">
        <f>_xlfn.IFNA(VLOOKUP($AI116,Programma!$F$3:$X$1107,19,0),"")</f>
        <v>1w</v>
      </c>
      <c r="BB116" s="363" t="str">
        <f>_xlfn.IFNA(VLOOKUP($AI116,Programma!$F$3:$Y$1107,20,0),"")</f>
        <v>_</v>
      </c>
      <c r="BC116" s="257"/>
      <c r="BD116" s="256" t="str">
        <f>IF(Ruimtestaat[[#This Row],[Frequentie weekend]]="","",_xlfn.CONCAT(Ruimtestaat[[#This Row],[Ruimte code]],"-",Ruimtestaat[[#This Row],[Frequentie weekend]]," ",Ruimtestaat[[#This Row],[Vloer code]]))</f>
        <v/>
      </c>
      <c r="BE116" s="363" t="str">
        <f>_xlfn.IFNA(VLOOKUP($BD116,Programma!$F$3:$G$1107,2,0),"")</f>
        <v/>
      </c>
      <c r="BF116" s="363" t="str">
        <f>_xlfn.IFNA(VLOOKUP($BD116,Programma!$F$3:$H$1107,3,0),"")</f>
        <v/>
      </c>
      <c r="BG116" s="363" t="str">
        <f>_xlfn.IFNA(VLOOKUP($BD116,Programma!$F$3:$I$1107,4,0),"")</f>
        <v/>
      </c>
      <c r="BH116" s="363" t="str">
        <f>_xlfn.IFNA(VLOOKUP($BD116,Programma!$F$3:$J$1107,5,0),"")</f>
        <v/>
      </c>
      <c r="BI116" s="363" t="str">
        <f>_xlfn.IFNA(VLOOKUP($BD116,Programma!$F$3:$K$1107,6,0),"")</f>
        <v/>
      </c>
      <c r="BJ116" s="363" t="str">
        <f>_xlfn.IFNA(VLOOKUP($BD116,Programma!$F$3:$L$1107,7,0),"")</f>
        <v/>
      </c>
      <c r="BK116" s="363" t="str">
        <f>_xlfn.IFNA(VLOOKUP($BD116,Programma!$F$3:$M$1107,8,0),"")</f>
        <v/>
      </c>
      <c r="BL116" s="363" t="str">
        <f>_xlfn.IFNA(VLOOKUP($BD116,Programma!$F$3:$N$1107,9,0),"")</f>
        <v/>
      </c>
      <c r="BM116" s="363" t="str">
        <f>_xlfn.IFNA(VLOOKUP($BD116,Programma!$F$3:$O$1107,10,0),"")</f>
        <v/>
      </c>
      <c r="BN116" s="363" t="str">
        <f>_xlfn.IFNA(VLOOKUP($BD116,Programma!$F$3:$P$1107,11,0),"")</f>
        <v/>
      </c>
      <c r="BO116" s="363" t="str">
        <f>_xlfn.IFNA(VLOOKUP($BD116,Programma!$F$3:$Q$1107,12,0),"")</f>
        <v/>
      </c>
      <c r="BP116" s="363" t="str">
        <f>_xlfn.IFNA(VLOOKUP($BD116,Programma!$F$3:$R$1107,13,0),"")</f>
        <v/>
      </c>
      <c r="BQ116" s="363" t="str">
        <f>_xlfn.IFNA(VLOOKUP($BD116,Programma!$F$3:$S$1107,14,0),"")</f>
        <v/>
      </c>
      <c r="BR116" s="363" t="str">
        <f>_xlfn.IFNA(VLOOKUP($BD116,Programma!$F$3:$T$1107,15,0),"")</f>
        <v/>
      </c>
      <c r="BS116" s="363" t="str">
        <f>_xlfn.IFNA(VLOOKUP($BD116,Programma!$F$3:$U$1107,16,0),"")</f>
        <v/>
      </c>
      <c r="BT116" s="363" t="str">
        <f>_xlfn.IFNA(VLOOKUP($BD116,Programma!$F$3:$V$1107,17,0),"")</f>
        <v/>
      </c>
      <c r="BU116" s="363" t="str">
        <f>_xlfn.IFNA(VLOOKUP($BD116,Programma!$F$3:$W$1107,18,0),"")</f>
        <v/>
      </c>
      <c r="BV116" s="363" t="str">
        <f>_xlfn.IFNA(VLOOKUP($BD116,Programma!$F$3:$X$1107,19,0),"")</f>
        <v/>
      </c>
      <c r="BW116" s="363" t="str">
        <f>_xlfn.IFNA(VLOOKUP($BD116,Programma!$F$3:$Y$1107,20,0),"")</f>
        <v/>
      </c>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row>
    <row r="117" spans="1:220" ht="15" customHeight="1">
      <c r="A117" s="21">
        <v>2</v>
      </c>
      <c r="B117" s="157" t="str">
        <f>VLOOKUP(Ruimtestaat[[#This Row],[Code]],Locaties[[Code]:[Locatie]],2,FALSE)</f>
        <v>'s Gravendreef College</v>
      </c>
      <c r="C117" s="157" t="str">
        <f>VLOOKUP(Ruimtestaat[[#This Row],[Code]],Locaties[[#All],[Code]:[Adres]],4,FALSE)</f>
        <v>Klaas Voskuildreef 135</v>
      </c>
      <c r="D117" s="157" t="str">
        <f>VLOOKUP(Ruimtestaat[[#This Row],[Code]],Locaties[[#All],[Code]:[Postcode]],5,FALSE)</f>
        <v>2492 JJ</v>
      </c>
      <c r="E117" s="157" t="str">
        <f>VLOOKUP(Ruimtestaat[[#This Row],[Code]],Locaties[#All],6,FALSE)</f>
        <v>Den Haag</v>
      </c>
      <c r="F117" s="33" t="s">
        <v>1748</v>
      </c>
      <c r="G117" s="33" t="s">
        <v>1784</v>
      </c>
      <c r="H117" s="21" t="s">
        <v>1789</v>
      </c>
      <c r="I117" s="62" t="s">
        <v>1766</v>
      </c>
      <c r="J117" s="21">
        <v>5</v>
      </c>
      <c r="K117" s="62" t="str">
        <f>VLOOKUP(Ruimtestaat[[#This Row],[Ruimte code]],Ruimtegroepen[[#All],[Code]:[Ruimte omschrijving]],2,FALSE)</f>
        <v>Sanitair</v>
      </c>
      <c r="L117" s="33" t="s">
        <v>2501</v>
      </c>
      <c r="M117" s="367" t="s">
        <v>120</v>
      </c>
      <c r="N117" s="140">
        <v>8.41</v>
      </c>
      <c r="O117" s="140"/>
      <c r="P117" s="125" t="str">
        <f>VLOOKUP(Ruimtestaat[[#This Row],[Ruimte code]],Ruimtegroepen[],4,FALSE)</f>
        <v>Sa</v>
      </c>
      <c r="R117" s="33">
        <v>40</v>
      </c>
      <c r="S117" s="33" t="s">
        <v>2</v>
      </c>
      <c r="T117" s="33">
        <f>IF(R117&gt;0,IF(RIGHT(Ruimtestaat[[#This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7" s="33">
        <f>IF(T117&gt;0,VLOOKUP($J117,Ruimtegroepen[],3,FALSE)*VLOOKUP($L117,Vloersoorten[],3,FALSE)*VLOOKUP($S117,Frequenties[],3,FALSE)*VLOOKUP($A117,Locaties[],3,FALSE),0)</f>
        <v>0</v>
      </c>
      <c r="V117" s="33">
        <f>Ruimtestaat[[#This Row],[Uitvoeringen werkdagen]]*Ruimtestaat[[#This Row],[Oppervlak (netto)]]</f>
        <v>1682</v>
      </c>
      <c r="W117" s="154">
        <f>IF(U117&gt;0,Ruimtestaat[[#This Row],[Prest. (m2 /jaar) werkdagen]]/Ruimtestaat[[#This Row],[Norm (m2/uur) werkdagen]],0)</f>
        <v>0</v>
      </c>
      <c r="X117" s="155">
        <f>Ruimtestaat[[#This Row],[uren / jaar werkdagen]]*Tariefsopbouw!$E$35</f>
        <v>0</v>
      </c>
      <c r="Y117" s="33"/>
      <c r="Z117" s="33">
        <f>IF(Ruimtestaat[[#This Row],[Frequentie weekend]]&gt;0,VALUE(LEFT(Y117,1))*R117,0)</f>
        <v>0</v>
      </c>
      <c r="AA117" s="97">
        <f>IF($Z117&gt;0,VLOOKUP($J117,Ruimtegroepen[],3,FALSE)*VLOOKUP($L117,Vloersoorten[],3,FALSE)*VLOOKUP($Y117,Frequenties[],3,FALSE)*VLOOKUP(Ruimtestaat[[#This Row],[Code]],Locaties[],3,FALSE),0)</f>
        <v>0</v>
      </c>
      <c r="AB117" s="97">
        <f>Ruimtestaat[[#This Row],[Uitvoeringen weekend]]*Ruimtestaat[[#This Row],[Oppervlak (netto)]]</f>
        <v>0</v>
      </c>
      <c r="AC117" s="97">
        <f>IF(AA117&gt;0,Ruimtestaat[[#This Row],[Prest. (m2 /jaar) weekend]]/Ruimtestaat[[#This Row],[Norm (m2/uur) weekend]],0)</f>
        <v>0</v>
      </c>
      <c r="AD117" s="155">
        <f>Ruimtestaat[[#This Row],[uren / jaar weekend]]*Tariefsopbouw!$D$40</f>
        <v>0</v>
      </c>
      <c r="AE117" s="154">
        <f>Ruimtestaat[[#This Row],[Prest. (m2 /jaar) weekend]]+Ruimtestaat[[#This Row],[Prest. (m2 /jaar) werkdagen]]</f>
        <v>1682</v>
      </c>
      <c r="AF117" s="154">
        <f>Ruimtestaat[[#This Row],[uren / jaar weekend]]+Ruimtestaat[[#This Row],[uren / jaar werkdagen]]</f>
        <v>0</v>
      </c>
      <c r="AG117" s="69">
        <f>Ruimtestaat[[#This Row],[kosten / jaar weekend]]+Ruimtestaat[[#This Row],[kosten / jaar werkdagen]]</f>
        <v>0</v>
      </c>
      <c r="AH117" s="69"/>
      <c r="AI117" s="256" t="str">
        <f>IF(Ruimtestaat[[#This Row],[Frequentie werkdagen]]="","",_xlfn.CONCAT(Ruimtestaat[[#This Row],[Ruimte code]],"-",Ruimtestaat[[#This Row],[Frequentie werkdagen]]," ",Ruimtestaat[[#This Row],[Vloer code]]))</f>
        <v>5-5w s</v>
      </c>
      <c r="AJ117" s="363" t="str">
        <f>_xlfn.IFNA(VLOOKUP($AI117,Programma!$F$3:$G$1107,2,0),"")</f>
        <v>_</v>
      </c>
      <c r="AK117" s="363" t="str">
        <f>_xlfn.IFNA(VLOOKUP($AI117,Programma!$F$3:$H$1107,3,0),"")</f>
        <v>_</v>
      </c>
      <c r="AL117" s="363" t="str">
        <f>_xlfn.IFNA(VLOOKUP($AI117,Programma!$F$3:$I$1107,4,0),"")</f>
        <v>_</v>
      </c>
      <c r="AM117" s="363" t="str">
        <f>_xlfn.IFNA(VLOOKUP($AI117,Programma!$F$3:$J$1107,5,0),"")</f>
        <v>4w</v>
      </c>
      <c r="AN117" s="363" t="str">
        <f>_xlfn.IFNA(VLOOKUP($AI117,Programma!$F$3:$K$1107,6,0),"")</f>
        <v>1w</v>
      </c>
      <c r="AO117" s="363" t="str">
        <f>_xlfn.IFNA(VLOOKUP($AI117,Programma!$F$3:$L$1107,7,0),"")</f>
        <v>_</v>
      </c>
      <c r="AP117" s="363" t="str">
        <f>_xlfn.IFNA(VLOOKUP($AI117,Programma!$F$3:$M$1107,8,0),"")</f>
        <v>_</v>
      </c>
      <c r="AQ117" s="363" t="str">
        <f>_xlfn.IFNA(VLOOKUP($AI117,Programma!$F$3:$N$1107,9,0),"")</f>
        <v>_</v>
      </c>
      <c r="AR117" s="363" t="str">
        <f>_xlfn.IFNA(VLOOKUP($AI117,Programma!$F$3:$O$1107,10,0),"")</f>
        <v>_</v>
      </c>
      <c r="AS117" s="363" t="str">
        <f>_xlfn.IFNA(VLOOKUP($AI117,Programma!$F$3:$P$1107,11,0),"")</f>
        <v>_</v>
      </c>
      <c r="AT117" s="363" t="str">
        <f>_xlfn.IFNA(VLOOKUP($AI117,Programma!$F$3:$Q$1107,12,0),"")</f>
        <v>_</v>
      </c>
      <c r="AU117" s="363" t="str">
        <f>_xlfn.IFNA(VLOOKUP($AI117,Programma!$F$3:$R$1107,13,0),"")</f>
        <v>_</v>
      </c>
      <c r="AV117" s="363" t="str">
        <f>_xlfn.IFNA(VLOOKUP($AI117,Programma!$F$3:$S$1107,14,0),"")</f>
        <v>_</v>
      </c>
      <c r="AW117" s="363" t="str">
        <f>_xlfn.IFNA(VLOOKUP($AI117,Programma!$F$3:$T$1107,15,0),"")</f>
        <v>_</v>
      </c>
      <c r="AX117" s="363" t="str">
        <f>_xlfn.IFNA(VLOOKUP($AI117,Programma!$F$3:$U$1107,16,0),"")</f>
        <v>_</v>
      </c>
      <c r="AY117" s="363" t="str">
        <f>_xlfn.IFNA(VLOOKUP($AI117,Programma!$F$3:$V$1107,17,0),"")</f>
        <v>_</v>
      </c>
      <c r="AZ117" s="363" t="str">
        <f>_xlfn.IFNA(VLOOKUP($AI117,Programma!$F$3:$W$1107,18,0),"")</f>
        <v>4w</v>
      </c>
      <c r="BA117" s="363" t="str">
        <f>_xlfn.IFNA(VLOOKUP($AI117,Programma!$F$3:$X$1107,19,0),"")</f>
        <v>1w</v>
      </c>
      <c r="BB117" s="363" t="str">
        <f>_xlfn.IFNA(VLOOKUP($AI117,Programma!$F$3:$Y$1107,20,0),"")</f>
        <v>_</v>
      </c>
      <c r="BC117" s="257"/>
      <c r="BD117" s="256" t="str">
        <f>IF(Ruimtestaat[[#This Row],[Frequentie weekend]]="","",_xlfn.CONCAT(Ruimtestaat[[#This Row],[Ruimte code]],"-",Ruimtestaat[[#This Row],[Frequentie weekend]]," ",Ruimtestaat[[#This Row],[Vloer code]]))</f>
        <v/>
      </c>
      <c r="BE117" s="363" t="str">
        <f>_xlfn.IFNA(VLOOKUP($BD117,Programma!$F$3:$G$1107,2,0),"")</f>
        <v/>
      </c>
      <c r="BF117" s="363" t="str">
        <f>_xlfn.IFNA(VLOOKUP($BD117,Programma!$F$3:$H$1107,3,0),"")</f>
        <v/>
      </c>
      <c r="BG117" s="363" t="str">
        <f>_xlfn.IFNA(VLOOKUP($BD117,Programma!$F$3:$I$1107,4,0),"")</f>
        <v/>
      </c>
      <c r="BH117" s="363" t="str">
        <f>_xlfn.IFNA(VLOOKUP($BD117,Programma!$F$3:$J$1107,5,0),"")</f>
        <v/>
      </c>
      <c r="BI117" s="363" t="str">
        <f>_xlfn.IFNA(VLOOKUP($BD117,Programma!$F$3:$K$1107,6,0),"")</f>
        <v/>
      </c>
      <c r="BJ117" s="363" t="str">
        <f>_xlfn.IFNA(VLOOKUP($BD117,Programma!$F$3:$L$1107,7,0),"")</f>
        <v/>
      </c>
      <c r="BK117" s="363" t="str">
        <f>_xlfn.IFNA(VLOOKUP($BD117,Programma!$F$3:$M$1107,8,0),"")</f>
        <v/>
      </c>
      <c r="BL117" s="363" t="str">
        <f>_xlfn.IFNA(VLOOKUP($BD117,Programma!$F$3:$N$1107,9,0),"")</f>
        <v/>
      </c>
      <c r="BM117" s="363" t="str">
        <f>_xlfn.IFNA(VLOOKUP($BD117,Programma!$F$3:$O$1107,10,0),"")</f>
        <v/>
      </c>
      <c r="BN117" s="363" t="str">
        <f>_xlfn.IFNA(VLOOKUP($BD117,Programma!$F$3:$P$1107,11,0),"")</f>
        <v/>
      </c>
      <c r="BO117" s="363" t="str">
        <f>_xlfn.IFNA(VLOOKUP($BD117,Programma!$F$3:$Q$1107,12,0),"")</f>
        <v/>
      </c>
      <c r="BP117" s="363" t="str">
        <f>_xlfn.IFNA(VLOOKUP($BD117,Programma!$F$3:$R$1107,13,0),"")</f>
        <v/>
      </c>
      <c r="BQ117" s="363" t="str">
        <f>_xlfn.IFNA(VLOOKUP($BD117,Programma!$F$3:$S$1107,14,0),"")</f>
        <v/>
      </c>
      <c r="BR117" s="363" t="str">
        <f>_xlfn.IFNA(VLOOKUP($BD117,Programma!$F$3:$T$1107,15,0),"")</f>
        <v/>
      </c>
      <c r="BS117" s="363" t="str">
        <f>_xlfn.IFNA(VLOOKUP($BD117,Programma!$F$3:$U$1107,16,0),"")</f>
        <v/>
      </c>
      <c r="BT117" s="363" t="str">
        <f>_xlfn.IFNA(VLOOKUP($BD117,Programma!$F$3:$V$1107,17,0),"")</f>
        <v/>
      </c>
      <c r="BU117" s="363" t="str">
        <f>_xlfn.IFNA(VLOOKUP($BD117,Programma!$F$3:$W$1107,18,0),"")</f>
        <v/>
      </c>
      <c r="BV117" s="363" t="str">
        <f>_xlfn.IFNA(VLOOKUP($BD117,Programma!$F$3:$X$1107,19,0),"")</f>
        <v/>
      </c>
      <c r="BW117" s="363" t="str">
        <f>_xlfn.IFNA(VLOOKUP($BD117,Programma!$F$3:$Y$1107,20,0),"")</f>
        <v/>
      </c>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row>
    <row r="118" spans="1:220" ht="15" customHeight="1">
      <c r="A118" s="21">
        <v>2</v>
      </c>
      <c r="B118" s="157" t="str">
        <f>VLOOKUP(Ruimtestaat[[#This Row],[Code]],Locaties[[Code]:[Locatie]],2,FALSE)</f>
        <v>'s Gravendreef College</v>
      </c>
      <c r="C118" s="157" t="str">
        <f>VLOOKUP(Ruimtestaat[[#This Row],[Code]],Locaties[[#All],[Code]:[Adres]],4,FALSE)</f>
        <v>Klaas Voskuildreef 135</v>
      </c>
      <c r="D118" s="157" t="str">
        <f>VLOOKUP(Ruimtestaat[[#This Row],[Code]],Locaties[[#All],[Code]:[Postcode]],5,FALSE)</f>
        <v>2492 JJ</v>
      </c>
      <c r="E118" s="157" t="str">
        <f>VLOOKUP(Ruimtestaat[[#This Row],[Code]],Locaties[#All],6,FALSE)</f>
        <v>Den Haag</v>
      </c>
      <c r="F118" s="33" t="s">
        <v>1748</v>
      </c>
      <c r="G118" s="33" t="s">
        <v>1784</v>
      </c>
      <c r="H118" s="21" t="s">
        <v>1790</v>
      </c>
      <c r="I118" s="62" t="s">
        <v>1791</v>
      </c>
      <c r="J118" s="21">
        <v>15</v>
      </c>
      <c r="K118" s="62" t="str">
        <f>VLOOKUP(Ruimtestaat[[#This Row],[Ruimte code]],Ruimtegroepen[[#All],[Code]:[Ruimte omschrijving]],2,FALSE)</f>
        <v>Keuken/pantry</v>
      </c>
      <c r="L118" s="33" t="s">
        <v>101</v>
      </c>
      <c r="M118" s="367" t="s">
        <v>2495</v>
      </c>
      <c r="N118" s="140">
        <v>15.58</v>
      </c>
      <c r="O118" s="140"/>
      <c r="P118" s="125" t="str">
        <f>VLOOKUP(Ruimtestaat[[#This Row],[Ruimte code]],Ruimtegroepen[],4,FALSE)</f>
        <v>Ve</v>
      </c>
      <c r="R118" s="33">
        <v>40</v>
      </c>
      <c r="S118" s="33" t="s">
        <v>2</v>
      </c>
      <c r="T118" s="33">
        <f>IF(R118&gt;0,IF(RIGHT(Ruimtestaat[[#This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8" s="33">
        <f>IF(T118&gt;0,VLOOKUP($J118,Ruimtegroepen[],3,FALSE)*VLOOKUP($L118,Vloersoorten[],3,FALSE)*VLOOKUP($S118,Frequenties[],3,FALSE)*VLOOKUP($A118,Locaties[],3,FALSE),0)</f>
        <v>0</v>
      </c>
      <c r="V118" s="33">
        <f>Ruimtestaat[[#This Row],[Uitvoeringen werkdagen]]*Ruimtestaat[[#This Row],[Oppervlak (netto)]]</f>
        <v>3116</v>
      </c>
      <c r="W118" s="154">
        <f>IF(U118&gt;0,Ruimtestaat[[#This Row],[Prest. (m2 /jaar) werkdagen]]/Ruimtestaat[[#This Row],[Norm (m2/uur) werkdagen]],0)</f>
        <v>0</v>
      </c>
      <c r="X118" s="155">
        <f>Ruimtestaat[[#This Row],[uren / jaar werkdagen]]*Tariefsopbouw!$E$35</f>
        <v>0</v>
      </c>
      <c r="Y118" s="33"/>
      <c r="Z118" s="33">
        <f>IF(Ruimtestaat[[#This Row],[Frequentie weekend]]&gt;0,VALUE(LEFT(Y118,1))*R118,0)</f>
        <v>0</v>
      </c>
      <c r="AA118" s="97">
        <f>IF($Z118&gt;0,VLOOKUP($J118,Ruimtegroepen[],3,FALSE)*VLOOKUP($L118,Vloersoorten[],3,FALSE)*VLOOKUP($Y118,Frequenties[],3,FALSE)*VLOOKUP(Ruimtestaat[[#This Row],[Code]],Locaties[],3,FALSE),0)</f>
        <v>0</v>
      </c>
      <c r="AB118" s="97">
        <f>Ruimtestaat[[#This Row],[Uitvoeringen weekend]]*Ruimtestaat[[#This Row],[Oppervlak (netto)]]</f>
        <v>0</v>
      </c>
      <c r="AC118" s="97">
        <f>IF(AA118&gt;0,Ruimtestaat[[#This Row],[Prest. (m2 /jaar) weekend]]/Ruimtestaat[[#This Row],[Norm (m2/uur) weekend]],0)</f>
        <v>0</v>
      </c>
      <c r="AD118" s="155">
        <f>Ruimtestaat[[#This Row],[uren / jaar weekend]]*Tariefsopbouw!$D$40</f>
        <v>0</v>
      </c>
      <c r="AE118" s="154">
        <f>Ruimtestaat[[#This Row],[Prest. (m2 /jaar) weekend]]+Ruimtestaat[[#This Row],[Prest. (m2 /jaar) werkdagen]]</f>
        <v>3116</v>
      </c>
      <c r="AF118" s="154">
        <f>Ruimtestaat[[#This Row],[uren / jaar weekend]]+Ruimtestaat[[#This Row],[uren / jaar werkdagen]]</f>
        <v>0</v>
      </c>
      <c r="AG118" s="69">
        <f>Ruimtestaat[[#This Row],[kosten / jaar weekend]]+Ruimtestaat[[#This Row],[kosten / jaar werkdagen]]</f>
        <v>0</v>
      </c>
      <c r="AH118" s="69"/>
      <c r="AI118" s="256" t="str">
        <f>IF(Ruimtestaat[[#This Row],[Frequentie werkdagen]]="","",_xlfn.CONCAT(Ruimtestaat[[#This Row],[Ruimte code]],"-",Ruimtestaat[[#This Row],[Frequentie werkdagen]]," ",Ruimtestaat[[#This Row],[Vloer code]]))</f>
        <v>15-5w L</v>
      </c>
      <c r="AJ118" s="300" t="str">
        <f>_xlfn.IFNA(VLOOKUP($AI118,Programma!$F$3:$G$1107,2,0),"")</f>
        <v>_</v>
      </c>
      <c r="AK118" s="300" t="str">
        <f>_xlfn.IFNA(VLOOKUP($AI118,Programma!$F$3:$H$1107,3,0),"")</f>
        <v>_</v>
      </c>
      <c r="AL118" s="300" t="str">
        <f>_xlfn.IFNA(VLOOKUP($AI118,Programma!$F$3:$I$1107,4,0),"")</f>
        <v>_</v>
      </c>
      <c r="AM118" s="300" t="str">
        <f>_xlfn.IFNA(VLOOKUP($AI118,Programma!$F$3:$J$1107,5,0),"")</f>
        <v>5w</v>
      </c>
      <c r="AN118" s="300" t="str">
        <f>_xlfn.IFNA(VLOOKUP($AI118,Programma!$F$3:$K$1107,6,0),"")</f>
        <v>_</v>
      </c>
      <c r="AO118" s="300" t="str">
        <f>_xlfn.IFNA(VLOOKUP($AI118,Programma!$F$3:$L$1107,7,0),"")</f>
        <v>_</v>
      </c>
      <c r="AP118" s="300" t="str">
        <f>_xlfn.IFNA(VLOOKUP($AI118,Programma!$F$3:$M$1107,8,0),"")</f>
        <v>_</v>
      </c>
      <c r="AQ118" s="300" t="str">
        <f>_xlfn.IFNA(VLOOKUP($AI118,Programma!$F$3:$N$1107,9,0),"")</f>
        <v>_</v>
      </c>
      <c r="AR118" s="300" t="str">
        <f>_xlfn.IFNA(VLOOKUP($AI118,Programma!$F$3:$O$1107,10,0),"")</f>
        <v>5w</v>
      </c>
      <c r="AS118" s="300" t="str">
        <f>_xlfn.IFNA(VLOOKUP($AI118,Programma!$F$3:$P$1107,11,0),"")</f>
        <v>5w</v>
      </c>
      <c r="AT118" s="300" t="str">
        <f>_xlfn.IFNA(VLOOKUP($AI118,Programma!$F$3:$Q$1107,12,0),"")</f>
        <v>1w</v>
      </c>
      <c r="AU118" s="300" t="str">
        <f>_xlfn.IFNA(VLOOKUP($AI118,Programma!$F$3:$R$1107,13,0),"")</f>
        <v>1w</v>
      </c>
      <c r="AV118" s="300" t="str">
        <f>_xlfn.IFNA(VLOOKUP($AI118,Programma!$F$3:$S$1107,14,0),"")</f>
        <v>1m</v>
      </c>
      <c r="AW118" s="300" t="str">
        <f>_xlfn.IFNA(VLOOKUP($AI118,Programma!$F$3:$T$1107,15,0),"")</f>
        <v>2j</v>
      </c>
      <c r="AX118" s="300" t="str">
        <f>_xlfn.IFNA(VLOOKUP($AI118,Programma!$F$3:$U$1107,16,0),"")</f>
        <v>1j</v>
      </c>
      <c r="AY118" s="300" t="str">
        <f>_xlfn.IFNA(VLOOKUP($AI118,Programma!$F$3:$V$1107,17,0),"")</f>
        <v>_</v>
      </c>
      <c r="AZ118" s="300" t="str">
        <f>_xlfn.IFNA(VLOOKUP($AI118,Programma!$F$3:$W$1107,18,0),"")</f>
        <v>_</v>
      </c>
      <c r="BA118" s="300" t="str">
        <f>_xlfn.IFNA(VLOOKUP($AI118,Programma!$F$3:$X$1107,19,0),"")</f>
        <v>_</v>
      </c>
      <c r="BB118" s="300" t="str">
        <f>_xlfn.IFNA(VLOOKUP($AI118,Programma!$F$3:$Y$1107,20,0),"")</f>
        <v>_</v>
      </c>
      <c r="BC118" s="257"/>
      <c r="BD118" s="256" t="str">
        <f>IF(Ruimtestaat[[#This Row],[Frequentie weekend]]="","",_xlfn.CONCAT(Ruimtestaat[[#This Row],[Ruimte code]],"-",Ruimtestaat[[#This Row],[Frequentie weekend]]," ",Ruimtestaat[[#This Row],[Vloer code]]))</f>
        <v/>
      </c>
      <c r="BE118" s="300" t="str">
        <f>_xlfn.IFNA(VLOOKUP($BD118,Programma!$F$3:$G$1107,2,0),"")</f>
        <v/>
      </c>
      <c r="BF118" s="300" t="str">
        <f>_xlfn.IFNA(VLOOKUP($BD118,Programma!$F$3:$H$1107,3,0),"")</f>
        <v/>
      </c>
      <c r="BG118" s="300" t="str">
        <f>_xlfn.IFNA(VLOOKUP($BD118,Programma!$F$3:$I$1107,4,0),"")</f>
        <v/>
      </c>
      <c r="BH118" s="300" t="str">
        <f>_xlfn.IFNA(VLOOKUP($BD118,Programma!$F$3:$J$1107,5,0),"")</f>
        <v/>
      </c>
      <c r="BI118" s="300" t="str">
        <f>_xlfn.IFNA(VLOOKUP($BD118,Programma!$F$3:$K$1107,6,0),"")</f>
        <v/>
      </c>
      <c r="BJ118" s="300" t="str">
        <f>_xlfn.IFNA(VLOOKUP($BD118,Programma!$F$3:$L$1107,7,0),"")</f>
        <v/>
      </c>
      <c r="BK118" s="300" t="str">
        <f>_xlfn.IFNA(VLOOKUP($BD118,Programma!$F$3:$M$1107,8,0),"")</f>
        <v/>
      </c>
      <c r="BL118" s="300" t="str">
        <f>_xlfn.IFNA(VLOOKUP($BD118,Programma!$F$3:$N$1107,9,0),"")</f>
        <v/>
      </c>
      <c r="BM118" s="300" t="str">
        <f>_xlfn.IFNA(VLOOKUP($BD118,Programma!$F$3:$O$1107,10,0),"")</f>
        <v/>
      </c>
      <c r="BN118" s="300" t="str">
        <f>_xlfn.IFNA(VLOOKUP($BD118,Programma!$F$3:$P$1107,11,0),"")</f>
        <v/>
      </c>
      <c r="BO118" s="300" t="str">
        <f>_xlfn.IFNA(VLOOKUP($BD118,Programma!$F$3:$Q$1107,12,0),"")</f>
        <v/>
      </c>
      <c r="BP118" s="300" t="str">
        <f>_xlfn.IFNA(VLOOKUP($BD118,Programma!$F$3:$R$1107,13,0),"")</f>
        <v/>
      </c>
      <c r="BQ118" s="300" t="str">
        <f>_xlfn.IFNA(VLOOKUP($BD118,Programma!$F$3:$S$1107,14,0),"")</f>
        <v/>
      </c>
      <c r="BR118" s="300" t="str">
        <f>_xlfn.IFNA(VLOOKUP($BD118,Programma!$F$3:$T$1107,15,0),"")</f>
        <v/>
      </c>
      <c r="BS118" s="300" t="str">
        <f>_xlfn.IFNA(VLOOKUP($BD118,Programma!$F$3:$U$1107,16,0),"")</f>
        <v/>
      </c>
      <c r="BT118" s="300" t="str">
        <f>_xlfn.IFNA(VLOOKUP($BD118,Programma!$F$3:$V$1107,17,0),"")</f>
        <v/>
      </c>
      <c r="BU118" s="300" t="str">
        <f>_xlfn.IFNA(VLOOKUP($BD118,Programma!$F$3:$W$1107,18,0),"")</f>
        <v/>
      </c>
      <c r="BV118" s="300" t="str">
        <f>_xlfn.IFNA(VLOOKUP($BD118,Programma!$F$3:$X$1107,19,0),"")</f>
        <v/>
      </c>
      <c r="BW118" s="300" t="str">
        <f>_xlfn.IFNA(VLOOKUP($BD118,Programma!$F$3:$Y$1107,20,0),"")</f>
        <v/>
      </c>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row>
    <row r="119" spans="1:220" ht="15" customHeight="1">
      <c r="A119" s="21">
        <v>2</v>
      </c>
      <c r="B119" s="157" t="str">
        <f>VLOOKUP(Ruimtestaat[[#This Row],[Code]],Locaties[[Code]:[Locatie]],2,FALSE)</f>
        <v>'s Gravendreef College</v>
      </c>
      <c r="C119" s="157" t="str">
        <f>VLOOKUP(Ruimtestaat[[#This Row],[Code]],Locaties[[#All],[Code]:[Adres]],4,FALSE)</f>
        <v>Klaas Voskuildreef 135</v>
      </c>
      <c r="D119" s="157" t="str">
        <f>VLOOKUP(Ruimtestaat[[#This Row],[Code]],Locaties[[#All],[Code]:[Postcode]],5,FALSE)</f>
        <v>2492 JJ</v>
      </c>
      <c r="E119" s="157" t="str">
        <f>VLOOKUP(Ruimtestaat[[#This Row],[Code]],Locaties[#All],6,FALSE)</f>
        <v>Den Haag</v>
      </c>
      <c r="F119" s="33" t="s">
        <v>1748</v>
      </c>
      <c r="G119" s="33" t="s">
        <v>1784</v>
      </c>
      <c r="H119" s="21" t="s">
        <v>1792</v>
      </c>
      <c r="I119" s="62" t="s">
        <v>1770</v>
      </c>
      <c r="J119" s="21">
        <v>20</v>
      </c>
      <c r="K119" s="62" t="str">
        <f>VLOOKUP(Ruimtestaat[[#This Row],[Ruimte code]],Ruimtegroepen[[#All],[Code]:[Ruimte omschrijving]],2,FALSE)</f>
        <v>Niet in Onderhoud</v>
      </c>
      <c r="L119" s="33" t="s">
        <v>101</v>
      </c>
      <c r="M119" s="367" t="s">
        <v>2495</v>
      </c>
      <c r="N119" s="140"/>
      <c r="O119" s="140">
        <v>13.33</v>
      </c>
      <c r="P119" s="125">
        <f>VLOOKUP(Ruimtestaat[[#This Row],[Ruimte code]],Ruimtegroepen[],4,FALSE)</f>
        <v>0</v>
      </c>
      <c r="R119" s="33"/>
      <c r="S119" s="33"/>
      <c r="T119" s="33">
        <f>IF(R119&gt;0,IF(RIGHT(Ruimtestaat[[#This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19" s="33">
        <f>IF(T119&gt;0,VLOOKUP($J119,Ruimtegroepen[],3,FALSE)*VLOOKUP($L119,Vloersoorten[],3,FALSE)*VLOOKUP($S119,Frequenties[],3,FALSE)*VLOOKUP($A119,Locaties[],3,FALSE),0)</f>
        <v>0</v>
      </c>
      <c r="V119" s="33">
        <f>Ruimtestaat[[#This Row],[Uitvoeringen werkdagen]]*Ruimtestaat[[#This Row],[Oppervlak (netto)]]</f>
        <v>0</v>
      </c>
      <c r="W119" s="154">
        <f>IF(U119&gt;0,Ruimtestaat[[#This Row],[Prest. (m2 /jaar) werkdagen]]/Ruimtestaat[[#This Row],[Norm (m2/uur) werkdagen]],0)</f>
        <v>0</v>
      </c>
      <c r="X119" s="155">
        <f>Ruimtestaat[[#This Row],[uren / jaar werkdagen]]*Tariefsopbouw!$E$35</f>
        <v>0</v>
      </c>
      <c r="Y119" s="33"/>
      <c r="Z119" s="33">
        <f>IF(Ruimtestaat[[#This Row],[Frequentie weekend]]&gt;0,VALUE(LEFT(Y119,1))*R119,0)</f>
        <v>0</v>
      </c>
      <c r="AA119" s="97">
        <f>IF($Z119&gt;0,VLOOKUP($J119,Ruimtegroepen[],3,FALSE)*VLOOKUP($L119,Vloersoorten[],3,FALSE)*VLOOKUP($Y119,Frequenties[],3,FALSE)*VLOOKUP(Ruimtestaat[[#This Row],[Code]],Locaties[],3,FALSE),0)</f>
        <v>0</v>
      </c>
      <c r="AB119" s="97">
        <f>Ruimtestaat[[#This Row],[Uitvoeringen weekend]]*Ruimtestaat[[#This Row],[Oppervlak (netto)]]</f>
        <v>0</v>
      </c>
      <c r="AC119" s="97">
        <f>IF(AA119&gt;0,Ruimtestaat[[#This Row],[Prest. (m2 /jaar) weekend]]/Ruimtestaat[[#This Row],[Norm (m2/uur) weekend]],0)</f>
        <v>0</v>
      </c>
      <c r="AD119" s="155">
        <f>Ruimtestaat[[#This Row],[uren / jaar weekend]]*Tariefsopbouw!$D$40</f>
        <v>0</v>
      </c>
      <c r="AE119" s="154">
        <f>Ruimtestaat[[#This Row],[Prest. (m2 /jaar) weekend]]+Ruimtestaat[[#This Row],[Prest. (m2 /jaar) werkdagen]]</f>
        <v>0</v>
      </c>
      <c r="AF119" s="154">
        <f>Ruimtestaat[[#This Row],[uren / jaar weekend]]+Ruimtestaat[[#This Row],[uren / jaar werkdagen]]</f>
        <v>0</v>
      </c>
      <c r="AG119" s="69">
        <f>Ruimtestaat[[#This Row],[kosten / jaar weekend]]+Ruimtestaat[[#This Row],[kosten / jaar werkdagen]]</f>
        <v>0</v>
      </c>
      <c r="AH119" s="69"/>
      <c r="AI119" s="256" t="str">
        <f>IF(Ruimtestaat[[#This Row],[Frequentie werkdagen]]="","",_xlfn.CONCAT(Ruimtestaat[[#This Row],[Ruimte code]],"-",Ruimtestaat[[#This Row],[Frequentie werkdagen]]," ",Ruimtestaat[[#This Row],[Vloer code]]))</f>
        <v/>
      </c>
      <c r="AJ119" s="300" t="str">
        <f>_xlfn.IFNA(VLOOKUP($AI119,Programma!$F$3:$G$1107,2,0),"")</f>
        <v/>
      </c>
      <c r="AK119" s="300" t="str">
        <f>_xlfn.IFNA(VLOOKUP($AI119,Programma!$F$3:$H$1107,3,0),"")</f>
        <v/>
      </c>
      <c r="AL119" s="300" t="str">
        <f>_xlfn.IFNA(VLOOKUP($AI119,Programma!$F$3:$I$1107,4,0),"")</f>
        <v/>
      </c>
      <c r="AM119" s="300" t="str">
        <f>_xlfn.IFNA(VLOOKUP($AI119,Programma!$F$3:$J$1107,5,0),"")</f>
        <v/>
      </c>
      <c r="AN119" s="300" t="str">
        <f>_xlfn.IFNA(VLOOKUP($AI119,Programma!$F$3:$K$1107,6,0),"")</f>
        <v/>
      </c>
      <c r="AO119" s="300" t="str">
        <f>_xlfn.IFNA(VLOOKUP($AI119,Programma!$F$3:$L$1107,7,0),"")</f>
        <v/>
      </c>
      <c r="AP119" s="300" t="str">
        <f>_xlfn.IFNA(VLOOKUP($AI119,Programma!$F$3:$M$1107,8,0),"")</f>
        <v/>
      </c>
      <c r="AQ119" s="300" t="str">
        <f>_xlfn.IFNA(VLOOKUP($AI119,Programma!$F$3:$N$1107,9,0),"")</f>
        <v/>
      </c>
      <c r="AR119" s="300" t="str">
        <f>_xlfn.IFNA(VLOOKUP($AI119,Programma!$F$3:$O$1107,10,0),"")</f>
        <v/>
      </c>
      <c r="AS119" s="300" t="str">
        <f>_xlfn.IFNA(VLOOKUP($AI119,Programma!$F$3:$P$1107,11,0),"")</f>
        <v/>
      </c>
      <c r="AT119" s="300" t="str">
        <f>_xlfn.IFNA(VLOOKUP($AI119,Programma!$F$3:$Q$1107,12,0),"")</f>
        <v/>
      </c>
      <c r="AU119" s="300" t="str">
        <f>_xlfn.IFNA(VLOOKUP($AI119,Programma!$F$3:$R$1107,13,0),"")</f>
        <v/>
      </c>
      <c r="AV119" s="300" t="str">
        <f>_xlfn.IFNA(VLOOKUP($AI119,Programma!$F$3:$S$1107,14,0),"")</f>
        <v/>
      </c>
      <c r="AW119" s="300" t="str">
        <f>_xlfn.IFNA(VLOOKUP($AI119,Programma!$F$3:$T$1107,15,0),"")</f>
        <v/>
      </c>
      <c r="AX119" s="300" t="str">
        <f>_xlfn.IFNA(VLOOKUP($AI119,Programma!$F$3:$U$1107,16,0),"")</f>
        <v/>
      </c>
      <c r="AY119" s="300" t="str">
        <f>_xlfn.IFNA(VLOOKUP($AI119,Programma!$F$3:$V$1107,17,0),"")</f>
        <v/>
      </c>
      <c r="AZ119" s="300" t="str">
        <f>_xlfn.IFNA(VLOOKUP($AI119,Programma!$F$3:$W$1107,18,0),"")</f>
        <v/>
      </c>
      <c r="BA119" s="300" t="str">
        <f>_xlfn.IFNA(VLOOKUP($AI119,Programma!$F$3:$X$1107,19,0),"")</f>
        <v/>
      </c>
      <c r="BB119" s="300" t="str">
        <f>_xlfn.IFNA(VLOOKUP($AI119,Programma!$F$3:$Y$1107,20,0),"")</f>
        <v/>
      </c>
      <c r="BC119" s="257"/>
      <c r="BD119" s="256" t="str">
        <f>IF(Ruimtestaat[[#This Row],[Frequentie weekend]]="","",_xlfn.CONCAT(Ruimtestaat[[#This Row],[Ruimte code]],"-",Ruimtestaat[[#This Row],[Frequentie weekend]]," ",Ruimtestaat[[#This Row],[Vloer code]]))</f>
        <v/>
      </c>
      <c r="BE119" s="300" t="str">
        <f>_xlfn.IFNA(VLOOKUP($BD119,Programma!$F$3:$G$1107,2,0),"")</f>
        <v/>
      </c>
      <c r="BF119" s="300" t="str">
        <f>_xlfn.IFNA(VLOOKUP($BD119,Programma!$F$3:$H$1107,3,0),"")</f>
        <v/>
      </c>
      <c r="BG119" s="300" t="str">
        <f>_xlfn.IFNA(VLOOKUP($BD119,Programma!$F$3:$I$1107,4,0),"")</f>
        <v/>
      </c>
      <c r="BH119" s="300" t="str">
        <f>_xlfn.IFNA(VLOOKUP($BD119,Programma!$F$3:$J$1107,5,0),"")</f>
        <v/>
      </c>
      <c r="BI119" s="300" t="str">
        <f>_xlfn.IFNA(VLOOKUP($BD119,Programma!$F$3:$K$1107,6,0),"")</f>
        <v/>
      </c>
      <c r="BJ119" s="300" t="str">
        <f>_xlfn.IFNA(VLOOKUP($BD119,Programma!$F$3:$L$1107,7,0),"")</f>
        <v/>
      </c>
      <c r="BK119" s="300" t="str">
        <f>_xlfn.IFNA(VLOOKUP($BD119,Programma!$F$3:$M$1107,8,0),"")</f>
        <v/>
      </c>
      <c r="BL119" s="300" t="str">
        <f>_xlfn.IFNA(VLOOKUP($BD119,Programma!$F$3:$N$1107,9,0),"")</f>
        <v/>
      </c>
      <c r="BM119" s="300" t="str">
        <f>_xlfn.IFNA(VLOOKUP($BD119,Programma!$F$3:$O$1107,10,0),"")</f>
        <v/>
      </c>
      <c r="BN119" s="300" t="str">
        <f>_xlfn.IFNA(VLOOKUP($BD119,Programma!$F$3:$P$1107,11,0),"")</f>
        <v/>
      </c>
      <c r="BO119" s="300" t="str">
        <f>_xlfn.IFNA(VLOOKUP($BD119,Programma!$F$3:$Q$1107,12,0),"")</f>
        <v/>
      </c>
      <c r="BP119" s="300" t="str">
        <f>_xlfn.IFNA(VLOOKUP($BD119,Programma!$F$3:$R$1107,13,0),"")</f>
        <v/>
      </c>
      <c r="BQ119" s="300" t="str">
        <f>_xlfn.IFNA(VLOOKUP($BD119,Programma!$F$3:$S$1107,14,0),"")</f>
        <v/>
      </c>
      <c r="BR119" s="300" t="str">
        <f>_xlfn.IFNA(VLOOKUP($BD119,Programma!$F$3:$T$1107,15,0),"")</f>
        <v/>
      </c>
      <c r="BS119" s="300" t="str">
        <f>_xlfn.IFNA(VLOOKUP($BD119,Programma!$F$3:$U$1107,16,0),"")</f>
        <v/>
      </c>
      <c r="BT119" s="300" t="str">
        <f>_xlfn.IFNA(VLOOKUP($BD119,Programma!$F$3:$V$1107,17,0),"")</f>
        <v/>
      </c>
      <c r="BU119" s="300" t="str">
        <f>_xlfn.IFNA(VLOOKUP($BD119,Programma!$F$3:$W$1107,18,0),"")</f>
        <v/>
      </c>
      <c r="BV119" s="300" t="str">
        <f>_xlfn.IFNA(VLOOKUP($BD119,Programma!$F$3:$X$1107,19,0),"")</f>
        <v/>
      </c>
      <c r="BW119" s="300" t="str">
        <f>_xlfn.IFNA(VLOOKUP($BD119,Programma!$F$3:$Y$1107,20,0),"")</f>
        <v/>
      </c>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row>
    <row r="120" spans="1:220" ht="15" customHeight="1">
      <c r="A120" s="21">
        <v>2</v>
      </c>
      <c r="B120" s="157" t="str">
        <f>VLOOKUP(Ruimtestaat[[#This Row],[Code]],Locaties[[Code]:[Locatie]],2,FALSE)</f>
        <v>'s Gravendreef College</v>
      </c>
      <c r="C120" s="157" t="str">
        <f>VLOOKUP(Ruimtestaat[[#This Row],[Code]],Locaties[[#All],[Code]:[Adres]],4,FALSE)</f>
        <v>Klaas Voskuildreef 135</v>
      </c>
      <c r="D120" s="157" t="str">
        <f>VLOOKUP(Ruimtestaat[[#This Row],[Code]],Locaties[[#All],[Code]:[Postcode]],5,FALSE)</f>
        <v>2492 JJ</v>
      </c>
      <c r="E120" s="157" t="str">
        <f>VLOOKUP(Ruimtestaat[[#This Row],[Code]],Locaties[#All],6,FALSE)</f>
        <v>Den Haag</v>
      </c>
      <c r="F120" s="33" t="s">
        <v>1748</v>
      </c>
      <c r="G120" s="33" t="s">
        <v>1784</v>
      </c>
      <c r="H120" s="21" t="s">
        <v>1793</v>
      </c>
      <c r="I120" s="62" t="s">
        <v>1805</v>
      </c>
      <c r="J120" s="21">
        <v>10</v>
      </c>
      <c r="K120" s="62" t="str">
        <f>VLOOKUP(Ruimtestaat[[#This Row],[Ruimte code]],Ruimtegroepen[[#All],[Code]:[Ruimte omschrijving]],2,FALSE)</f>
        <v>Trappenhuizen/lift</v>
      </c>
      <c r="L120" s="33" t="s">
        <v>101</v>
      </c>
      <c r="M120" s="367" t="s">
        <v>2495</v>
      </c>
      <c r="N120" s="140">
        <v>19.72</v>
      </c>
      <c r="O120" s="140"/>
      <c r="P120" s="125" t="str">
        <f>VLOOKUP(Ruimtestaat[[#This Row],[Ruimte code]],Ruimtegroepen[],4,FALSE)</f>
        <v>Ve</v>
      </c>
      <c r="R120" s="33">
        <v>40</v>
      </c>
      <c r="S120" s="33" t="s">
        <v>2</v>
      </c>
      <c r="T120" s="33">
        <f>IF(R120&gt;0,IF(RIGHT(Ruimtestaat[[#This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0" s="33">
        <f>IF(T120&gt;0,VLOOKUP($J120,Ruimtegroepen[],3,FALSE)*VLOOKUP($L120,Vloersoorten[],3,FALSE)*VLOOKUP($S120,Frequenties[],3,FALSE)*VLOOKUP($A120,Locaties[],3,FALSE),0)</f>
        <v>0</v>
      </c>
      <c r="V120" s="33">
        <f>Ruimtestaat[[#This Row],[Uitvoeringen werkdagen]]*Ruimtestaat[[#This Row],[Oppervlak (netto)]]</f>
        <v>3944</v>
      </c>
      <c r="W120" s="154">
        <f>IF(U120&gt;0,Ruimtestaat[[#This Row],[Prest. (m2 /jaar) werkdagen]]/Ruimtestaat[[#This Row],[Norm (m2/uur) werkdagen]],0)</f>
        <v>0</v>
      </c>
      <c r="X120" s="155">
        <f>Ruimtestaat[[#This Row],[uren / jaar werkdagen]]*Tariefsopbouw!$E$35</f>
        <v>0</v>
      </c>
      <c r="Y120" s="33"/>
      <c r="Z120" s="33">
        <f>IF(Ruimtestaat[[#This Row],[Frequentie weekend]]&gt;0,VALUE(LEFT(Y120,1))*R120,0)</f>
        <v>0</v>
      </c>
      <c r="AA120" s="97">
        <f>IF($Z120&gt;0,VLOOKUP($J120,Ruimtegroepen[],3,FALSE)*VLOOKUP($L120,Vloersoorten[],3,FALSE)*VLOOKUP($Y120,Frequenties[],3,FALSE)*VLOOKUP(Ruimtestaat[[#This Row],[Code]],Locaties[],3,FALSE),0)</f>
        <v>0</v>
      </c>
      <c r="AB120" s="97">
        <f>Ruimtestaat[[#This Row],[Uitvoeringen weekend]]*Ruimtestaat[[#This Row],[Oppervlak (netto)]]</f>
        <v>0</v>
      </c>
      <c r="AC120" s="97">
        <f>IF(AA120&gt;0,Ruimtestaat[[#This Row],[Prest. (m2 /jaar) weekend]]/Ruimtestaat[[#This Row],[Norm (m2/uur) weekend]],0)</f>
        <v>0</v>
      </c>
      <c r="AD120" s="155">
        <f>Ruimtestaat[[#This Row],[uren / jaar weekend]]*Tariefsopbouw!$D$40</f>
        <v>0</v>
      </c>
      <c r="AE120" s="154">
        <f>Ruimtestaat[[#This Row],[Prest. (m2 /jaar) weekend]]+Ruimtestaat[[#This Row],[Prest. (m2 /jaar) werkdagen]]</f>
        <v>3944</v>
      </c>
      <c r="AF120" s="154">
        <f>Ruimtestaat[[#This Row],[uren / jaar weekend]]+Ruimtestaat[[#This Row],[uren / jaar werkdagen]]</f>
        <v>0</v>
      </c>
      <c r="AG120" s="69">
        <f>Ruimtestaat[[#This Row],[kosten / jaar weekend]]+Ruimtestaat[[#This Row],[kosten / jaar werkdagen]]</f>
        <v>0</v>
      </c>
      <c r="AH120" s="69"/>
      <c r="AI120" s="256" t="str">
        <f>IF(Ruimtestaat[[#This Row],[Frequentie werkdagen]]="","",_xlfn.CONCAT(Ruimtestaat[[#This Row],[Ruimte code]],"-",Ruimtestaat[[#This Row],[Frequentie werkdagen]]," ",Ruimtestaat[[#This Row],[Vloer code]]))</f>
        <v>10-5w L</v>
      </c>
      <c r="AJ120" s="300" t="str">
        <f>_xlfn.IFNA(VLOOKUP($AI120,Programma!$F$3:$G$1107,2,0),"")</f>
        <v>_</v>
      </c>
      <c r="AK120" s="300" t="str">
        <f>_xlfn.IFNA(VLOOKUP($AI120,Programma!$F$3:$H$1107,3,0),"")</f>
        <v>_</v>
      </c>
      <c r="AL120" s="300" t="str">
        <f>_xlfn.IFNA(VLOOKUP($AI120,Programma!$F$3:$I$1107,4,0),"")</f>
        <v>4w</v>
      </c>
      <c r="AM120" s="300" t="str">
        <f>_xlfn.IFNA(VLOOKUP($AI120,Programma!$F$3:$J$1107,5,0),"")</f>
        <v>1w</v>
      </c>
      <c r="AN120" s="300" t="str">
        <f>_xlfn.IFNA(VLOOKUP($AI120,Programma!$F$3:$K$1107,6,0),"")</f>
        <v>_</v>
      </c>
      <c r="AO120" s="300" t="str">
        <f>_xlfn.IFNA(VLOOKUP($AI120,Programma!$F$3:$L$1107,7,0),"")</f>
        <v>_</v>
      </c>
      <c r="AP120" s="300" t="str">
        <f>_xlfn.IFNA(VLOOKUP($AI120,Programma!$F$3:$M$1107,8,0),"")</f>
        <v>_</v>
      </c>
      <c r="AQ120" s="300" t="str">
        <f>_xlfn.IFNA(VLOOKUP($AI120,Programma!$F$3:$N$1107,9,0),"")</f>
        <v>_</v>
      </c>
      <c r="AR120" s="300" t="str">
        <f>_xlfn.IFNA(VLOOKUP($AI120,Programma!$F$3:$O$1107,10,0),"")</f>
        <v>5w</v>
      </c>
      <c r="AS120" s="300" t="str">
        <f>_xlfn.IFNA(VLOOKUP($AI120,Programma!$F$3:$P$1107,11,0),"")</f>
        <v>5w</v>
      </c>
      <c r="AT120" s="300" t="str">
        <f>_xlfn.IFNA(VLOOKUP($AI120,Programma!$F$3:$Q$1107,12,0),"")</f>
        <v>1w</v>
      </c>
      <c r="AU120" s="300" t="str">
        <f>_xlfn.IFNA(VLOOKUP($AI120,Programma!$F$3:$R$1107,13,0),"")</f>
        <v>1w</v>
      </c>
      <c r="AV120" s="300" t="str">
        <f>_xlfn.IFNA(VLOOKUP($AI120,Programma!$F$3:$S$1107,14,0),"")</f>
        <v>1m</v>
      </c>
      <c r="AW120" s="300" t="str">
        <f>_xlfn.IFNA(VLOOKUP($AI120,Programma!$F$3:$T$1107,15,0),"")</f>
        <v>2j</v>
      </c>
      <c r="AX120" s="300" t="str">
        <f>_xlfn.IFNA(VLOOKUP($AI120,Programma!$F$3:$U$1107,16,0),"")</f>
        <v>1j</v>
      </c>
      <c r="AY120" s="300" t="str">
        <f>_xlfn.IFNA(VLOOKUP($AI120,Programma!$F$3:$V$1107,17,0),"")</f>
        <v>_</v>
      </c>
      <c r="AZ120" s="300" t="str">
        <f>_xlfn.IFNA(VLOOKUP($AI120,Programma!$F$3:$W$1107,18,0),"")</f>
        <v>_</v>
      </c>
      <c r="BA120" s="300" t="str">
        <f>_xlfn.IFNA(VLOOKUP($AI120,Programma!$F$3:$X$1107,19,0),"")</f>
        <v>_</v>
      </c>
      <c r="BB120" s="300" t="str">
        <f>_xlfn.IFNA(VLOOKUP($AI120,Programma!$F$3:$Y$1107,20,0),"")</f>
        <v>_</v>
      </c>
      <c r="BC120" s="257"/>
      <c r="BD120" s="256" t="str">
        <f>IF(Ruimtestaat[[#This Row],[Frequentie weekend]]="","",_xlfn.CONCAT(Ruimtestaat[[#This Row],[Ruimte code]],"-",Ruimtestaat[[#This Row],[Frequentie weekend]]," ",Ruimtestaat[[#This Row],[Vloer code]]))</f>
        <v/>
      </c>
      <c r="BE120" s="300" t="str">
        <f>_xlfn.IFNA(VLOOKUP($BD120,Programma!$F$3:$G$1107,2,0),"")</f>
        <v/>
      </c>
      <c r="BF120" s="300" t="str">
        <f>_xlfn.IFNA(VLOOKUP($BD120,Programma!$F$3:$H$1107,3,0),"")</f>
        <v/>
      </c>
      <c r="BG120" s="300" t="str">
        <f>_xlfn.IFNA(VLOOKUP($BD120,Programma!$F$3:$I$1107,4,0),"")</f>
        <v/>
      </c>
      <c r="BH120" s="300" t="str">
        <f>_xlfn.IFNA(VLOOKUP($BD120,Programma!$F$3:$J$1107,5,0),"")</f>
        <v/>
      </c>
      <c r="BI120" s="300" t="str">
        <f>_xlfn.IFNA(VLOOKUP($BD120,Programma!$F$3:$K$1107,6,0),"")</f>
        <v/>
      </c>
      <c r="BJ120" s="300" t="str">
        <f>_xlfn.IFNA(VLOOKUP($BD120,Programma!$F$3:$L$1107,7,0),"")</f>
        <v/>
      </c>
      <c r="BK120" s="300" t="str">
        <f>_xlfn.IFNA(VLOOKUP($BD120,Programma!$F$3:$M$1107,8,0),"")</f>
        <v/>
      </c>
      <c r="BL120" s="300" t="str">
        <f>_xlfn.IFNA(VLOOKUP($BD120,Programma!$F$3:$N$1107,9,0),"")</f>
        <v/>
      </c>
      <c r="BM120" s="300" t="str">
        <f>_xlfn.IFNA(VLOOKUP($BD120,Programma!$F$3:$O$1107,10,0),"")</f>
        <v/>
      </c>
      <c r="BN120" s="300" t="str">
        <f>_xlfn.IFNA(VLOOKUP($BD120,Programma!$F$3:$P$1107,11,0),"")</f>
        <v/>
      </c>
      <c r="BO120" s="300" t="str">
        <f>_xlfn.IFNA(VLOOKUP($BD120,Programma!$F$3:$Q$1107,12,0),"")</f>
        <v/>
      </c>
      <c r="BP120" s="300" t="str">
        <f>_xlfn.IFNA(VLOOKUP($BD120,Programma!$F$3:$R$1107,13,0),"")</f>
        <v/>
      </c>
      <c r="BQ120" s="300" t="str">
        <f>_xlfn.IFNA(VLOOKUP($BD120,Programma!$F$3:$S$1107,14,0),"")</f>
        <v/>
      </c>
      <c r="BR120" s="300" t="str">
        <f>_xlfn.IFNA(VLOOKUP($BD120,Programma!$F$3:$T$1107,15,0),"")</f>
        <v/>
      </c>
      <c r="BS120" s="300" t="str">
        <f>_xlfn.IFNA(VLOOKUP($BD120,Programma!$F$3:$U$1107,16,0),"")</f>
        <v/>
      </c>
      <c r="BT120" s="300" t="str">
        <f>_xlfn.IFNA(VLOOKUP($BD120,Programma!$F$3:$V$1107,17,0),"")</f>
        <v/>
      </c>
      <c r="BU120" s="300" t="str">
        <f>_xlfn.IFNA(VLOOKUP($BD120,Programma!$F$3:$W$1107,18,0),"")</f>
        <v/>
      </c>
      <c r="BV120" s="300" t="str">
        <f>_xlfn.IFNA(VLOOKUP($BD120,Programma!$F$3:$X$1107,19,0),"")</f>
        <v/>
      </c>
      <c r="BW120" s="300" t="str">
        <f>_xlfn.IFNA(VLOOKUP($BD120,Programma!$F$3:$Y$1107,20,0),"")</f>
        <v/>
      </c>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row>
    <row r="121" spans="1:220" ht="15" customHeight="1">
      <c r="A121" s="21">
        <v>2</v>
      </c>
      <c r="B121" s="157" t="str">
        <f>VLOOKUP(Ruimtestaat[[#This Row],[Code]],Locaties[[Code]:[Locatie]],2,FALSE)</f>
        <v>'s Gravendreef College</v>
      </c>
      <c r="C121" s="157" t="str">
        <f>VLOOKUP(Ruimtestaat[[#This Row],[Code]],Locaties[[#All],[Code]:[Adres]],4,FALSE)</f>
        <v>Klaas Voskuildreef 135</v>
      </c>
      <c r="D121" s="157" t="str">
        <f>VLOOKUP(Ruimtestaat[[#This Row],[Code]],Locaties[[#All],[Code]:[Postcode]],5,FALSE)</f>
        <v>2492 JJ</v>
      </c>
      <c r="E121" s="157" t="str">
        <f>VLOOKUP(Ruimtestaat[[#This Row],[Code]],Locaties[#All],6,FALSE)</f>
        <v>Den Haag</v>
      </c>
      <c r="F121" s="33" t="s">
        <v>1748</v>
      </c>
      <c r="G121" s="33" t="s">
        <v>1784</v>
      </c>
      <c r="H121" s="21" t="s">
        <v>1794</v>
      </c>
      <c r="I121" s="62" t="s">
        <v>1795</v>
      </c>
      <c r="J121" s="21">
        <v>12</v>
      </c>
      <c r="K121" s="62" t="str">
        <f>VLOOKUP(Ruimtestaat[[#This Row],[Ruimte code]],Ruimtegroepen[[#All],[Code]:[Ruimte omschrijving]],2,FALSE)</f>
        <v>Kantine</v>
      </c>
      <c r="L121" s="33" t="s">
        <v>101</v>
      </c>
      <c r="M121" s="367" t="s">
        <v>2495</v>
      </c>
      <c r="N121" s="140">
        <v>91.33</v>
      </c>
      <c r="O121" s="140"/>
      <c r="P121" s="125" t="str">
        <f>VLOOKUP(Ruimtestaat[[#This Row],[Ruimte code]],Ruimtegroepen[],4,FALSE)</f>
        <v>Ve</v>
      </c>
      <c r="R121" s="33">
        <v>40</v>
      </c>
      <c r="S121" s="33" t="s">
        <v>2</v>
      </c>
      <c r="T121" s="33">
        <f>IF(R121&gt;0,IF(RIGHT(Ruimtestaat[[#This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1" s="33">
        <f>IF(T121&gt;0,VLOOKUP($J121,Ruimtegroepen[],3,FALSE)*VLOOKUP($L121,Vloersoorten[],3,FALSE)*VLOOKUP($S121,Frequenties[],3,FALSE)*VLOOKUP($A121,Locaties[],3,FALSE),0)</f>
        <v>0</v>
      </c>
      <c r="V121" s="33">
        <f>Ruimtestaat[[#This Row],[Uitvoeringen werkdagen]]*Ruimtestaat[[#This Row],[Oppervlak (netto)]]</f>
        <v>18266</v>
      </c>
      <c r="W121" s="154">
        <f>IF(U121&gt;0,Ruimtestaat[[#This Row],[Prest. (m2 /jaar) werkdagen]]/Ruimtestaat[[#This Row],[Norm (m2/uur) werkdagen]],0)</f>
        <v>0</v>
      </c>
      <c r="X121" s="155">
        <f>Ruimtestaat[[#This Row],[uren / jaar werkdagen]]*Tariefsopbouw!$E$35</f>
        <v>0</v>
      </c>
      <c r="Y121" s="33"/>
      <c r="Z121" s="33">
        <f>IF(Ruimtestaat[[#This Row],[Frequentie weekend]]&gt;0,VALUE(LEFT(Y121,1))*R121,0)</f>
        <v>0</v>
      </c>
      <c r="AA121" s="97">
        <f>IF($Z121&gt;0,VLOOKUP($J121,Ruimtegroepen[],3,FALSE)*VLOOKUP($L121,Vloersoorten[],3,FALSE)*VLOOKUP($Y121,Frequenties[],3,FALSE)*VLOOKUP(Ruimtestaat[[#This Row],[Code]],Locaties[],3,FALSE),0)</f>
        <v>0</v>
      </c>
      <c r="AB121" s="97">
        <f>Ruimtestaat[[#This Row],[Uitvoeringen weekend]]*Ruimtestaat[[#This Row],[Oppervlak (netto)]]</f>
        <v>0</v>
      </c>
      <c r="AC121" s="97">
        <f>IF(AA121&gt;0,Ruimtestaat[[#This Row],[Prest. (m2 /jaar) weekend]]/Ruimtestaat[[#This Row],[Norm (m2/uur) weekend]],0)</f>
        <v>0</v>
      </c>
      <c r="AD121" s="155">
        <f>Ruimtestaat[[#This Row],[uren / jaar weekend]]*Tariefsopbouw!$D$40</f>
        <v>0</v>
      </c>
      <c r="AE121" s="154">
        <f>Ruimtestaat[[#This Row],[Prest. (m2 /jaar) weekend]]+Ruimtestaat[[#This Row],[Prest. (m2 /jaar) werkdagen]]</f>
        <v>18266</v>
      </c>
      <c r="AF121" s="154">
        <f>Ruimtestaat[[#This Row],[uren / jaar weekend]]+Ruimtestaat[[#This Row],[uren / jaar werkdagen]]</f>
        <v>0</v>
      </c>
      <c r="AG121" s="69">
        <f>Ruimtestaat[[#This Row],[kosten / jaar weekend]]+Ruimtestaat[[#This Row],[kosten / jaar werkdagen]]</f>
        <v>0</v>
      </c>
      <c r="AH121" s="69"/>
      <c r="AI121" s="256" t="str">
        <f>IF(Ruimtestaat[[#This Row],[Frequentie werkdagen]]="","",_xlfn.CONCAT(Ruimtestaat[[#This Row],[Ruimte code]],"-",Ruimtestaat[[#This Row],[Frequentie werkdagen]]," ",Ruimtestaat[[#This Row],[Vloer code]]))</f>
        <v>12-5w L</v>
      </c>
      <c r="AJ121" s="300" t="str">
        <f>_xlfn.IFNA(VLOOKUP($AI121,Programma!$F$3:$G$1107,2,0),"")</f>
        <v>_</v>
      </c>
      <c r="AK121" s="300" t="str">
        <f>_xlfn.IFNA(VLOOKUP($AI121,Programma!$F$3:$H$1107,3,0),"")</f>
        <v>_</v>
      </c>
      <c r="AL121" s="300" t="str">
        <f>_xlfn.IFNA(VLOOKUP($AI121,Programma!$F$3:$I$1107,4,0),"")</f>
        <v>_</v>
      </c>
      <c r="AM121" s="300" t="str">
        <f>_xlfn.IFNA(VLOOKUP($AI121,Programma!$F$3:$J$1107,5,0),"")</f>
        <v>5w</v>
      </c>
      <c r="AN121" s="300" t="str">
        <f>_xlfn.IFNA(VLOOKUP($AI121,Programma!$F$3:$K$1107,6,0),"")</f>
        <v>_</v>
      </c>
      <c r="AO121" s="300" t="str">
        <f>_xlfn.IFNA(VLOOKUP($AI121,Programma!$F$3:$L$1107,7,0),"")</f>
        <v>_</v>
      </c>
      <c r="AP121" s="300" t="str">
        <f>_xlfn.IFNA(VLOOKUP($AI121,Programma!$F$3:$M$1107,8,0),"")</f>
        <v>_</v>
      </c>
      <c r="AQ121" s="300" t="str">
        <f>_xlfn.IFNA(VLOOKUP($AI121,Programma!$F$3:$N$1107,9,0),"")</f>
        <v>_</v>
      </c>
      <c r="AR121" s="300" t="str">
        <f>_xlfn.IFNA(VLOOKUP($AI121,Programma!$F$3:$O$1107,10,0),"")</f>
        <v>5w</v>
      </c>
      <c r="AS121" s="300" t="str">
        <f>_xlfn.IFNA(VLOOKUP($AI121,Programma!$F$3:$P$1107,11,0),"")</f>
        <v>5w</v>
      </c>
      <c r="AT121" s="300" t="str">
        <f>_xlfn.IFNA(VLOOKUP($AI121,Programma!$F$3:$Q$1107,12,0),"")</f>
        <v>1w</v>
      </c>
      <c r="AU121" s="300" t="str">
        <f>_xlfn.IFNA(VLOOKUP($AI121,Programma!$F$3:$R$1107,13,0),"")</f>
        <v>1w</v>
      </c>
      <c r="AV121" s="300" t="str">
        <f>_xlfn.IFNA(VLOOKUP($AI121,Programma!$F$3:$S$1107,14,0),"")</f>
        <v>1m</v>
      </c>
      <c r="AW121" s="300" t="str">
        <f>_xlfn.IFNA(VLOOKUP($AI121,Programma!$F$3:$T$1107,15,0),"")</f>
        <v>2j</v>
      </c>
      <c r="AX121" s="300" t="str">
        <f>_xlfn.IFNA(VLOOKUP($AI121,Programma!$F$3:$U$1107,16,0),"")</f>
        <v>1j</v>
      </c>
      <c r="AY121" s="300" t="str">
        <f>_xlfn.IFNA(VLOOKUP($AI121,Programma!$F$3:$V$1107,17,0),"")</f>
        <v>_</v>
      </c>
      <c r="AZ121" s="300" t="str">
        <f>_xlfn.IFNA(VLOOKUP($AI121,Programma!$F$3:$W$1107,18,0),"")</f>
        <v>_</v>
      </c>
      <c r="BA121" s="300" t="str">
        <f>_xlfn.IFNA(VLOOKUP($AI121,Programma!$F$3:$X$1107,19,0),"")</f>
        <v>_</v>
      </c>
      <c r="BB121" s="300" t="str">
        <f>_xlfn.IFNA(VLOOKUP($AI121,Programma!$F$3:$Y$1107,20,0),"")</f>
        <v>_</v>
      </c>
      <c r="BC121" s="257"/>
      <c r="BD121" s="256" t="str">
        <f>IF(Ruimtestaat[[#This Row],[Frequentie weekend]]="","",_xlfn.CONCAT(Ruimtestaat[[#This Row],[Ruimte code]],"-",Ruimtestaat[[#This Row],[Frequentie weekend]]," ",Ruimtestaat[[#This Row],[Vloer code]]))</f>
        <v/>
      </c>
      <c r="BE121" s="300" t="str">
        <f>_xlfn.IFNA(VLOOKUP($BD121,Programma!$F$3:$G$1107,2,0),"")</f>
        <v/>
      </c>
      <c r="BF121" s="300" t="str">
        <f>_xlfn.IFNA(VLOOKUP($BD121,Programma!$F$3:$H$1107,3,0),"")</f>
        <v/>
      </c>
      <c r="BG121" s="300" t="str">
        <f>_xlfn.IFNA(VLOOKUP($BD121,Programma!$F$3:$I$1107,4,0),"")</f>
        <v/>
      </c>
      <c r="BH121" s="300" t="str">
        <f>_xlfn.IFNA(VLOOKUP($BD121,Programma!$F$3:$J$1107,5,0),"")</f>
        <v/>
      </c>
      <c r="BI121" s="300" t="str">
        <f>_xlfn.IFNA(VLOOKUP($BD121,Programma!$F$3:$K$1107,6,0),"")</f>
        <v/>
      </c>
      <c r="BJ121" s="300" t="str">
        <f>_xlfn.IFNA(VLOOKUP($BD121,Programma!$F$3:$L$1107,7,0),"")</f>
        <v/>
      </c>
      <c r="BK121" s="300" t="str">
        <f>_xlfn.IFNA(VLOOKUP($BD121,Programma!$F$3:$M$1107,8,0),"")</f>
        <v/>
      </c>
      <c r="BL121" s="300" t="str">
        <f>_xlfn.IFNA(VLOOKUP($BD121,Programma!$F$3:$N$1107,9,0),"")</f>
        <v/>
      </c>
      <c r="BM121" s="300" t="str">
        <f>_xlfn.IFNA(VLOOKUP($BD121,Programma!$F$3:$O$1107,10,0),"")</f>
        <v/>
      </c>
      <c r="BN121" s="300" t="str">
        <f>_xlfn.IFNA(VLOOKUP($BD121,Programma!$F$3:$P$1107,11,0),"")</f>
        <v/>
      </c>
      <c r="BO121" s="300" t="str">
        <f>_xlfn.IFNA(VLOOKUP($BD121,Programma!$F$3:$Q$1107,12,0),"")</f>
        <v/>
      </c>
      <c r="BP121" s="300" t="str">
        <f>_xlfn.IFNA(VLOOKUP($BD121,Programma!$F$3:$R$1107,13,0),"")</f>
        <v/>
      </c>
      <c r="BQ121" s="300" t="str">
        <f>_xlfn.IFNA(VLOOKUP($BD121,Programma!$F$3:$S$1107,14,0),"")</f>
        <v/>
      </c>
      <c r="BR121" s="300" t="str">
        <f>_xlfn.IFNA(VLOOKUP($BD121,Programma!$F$3:$T$1107,15,0),"")</f>
        <v/>
      </c>
      <c r="BS121" s="300" t="str">
        <f>_xlfn.IFNA(VLOOKUP($BD121,Programma!$F$3:$U$1107,16,0),"")</f>
        <v/>
      </c>
      <c r="BT121" s="300" t="str">
        <f>_xlfn.IFNA(VLOOKUP($BD121,Programma!$F$3:$V$1107,17,0),"")</f>
        <v/>
      </c>
      <c r="BU121" s="300" t="str">
        <f>_xlfn.IFNA(VLOOKUP($BD121,Programma!$F$3:$W$1107,18,0),"")</f>
        <v/>
      </c>
      <c r="BV121" s="300" t="str">
        <f>_xlfn.IFNA(VLOOKUP($BD121,Programma!$F$3:$X$1107,19,0),"")</f>
        <v/>
      </c>
      <c r="BW121" s="300" t="str">
        <f>_xlfn.IFNA(VLOOKUP($BD121,Programma!$F$3:$Y$1107,20,0),"")</f>
        <v/>
      </c>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row>
    <row r="122" spans="1:220" ht="15" customHeight="1">
      <c r="A122" s="21">
        <v>2</v>
      </c>
      <c r="B122" s="157" t="str">
        <f>VLOOKUP(Ruimtestaat[[#This Row],[Code]],Locaties[[Code]:[Locatie]],2,FALSE)</f>
        <v>'s Gravendreef College</v>
      </c>
      <c r="C122" s="157" t="str">
        <f>VLOOKUP(Ruimtestaat[[#This Row],[Code]],Locaties[[#All],[Code]:[Adres]],4,FALSE)</f>
        <v>Klaas Voskuildreef 135</v>
      </c>
      <c r="D122" s="157" t="str">
        <f>VLOOKUP(Ruimtestaat[[#This Row],[Code]],Locaties[[#All],[Code]:[Postcode]],5,FALSE)</f>
        <v>2492 JJ</v>
      </c>
      <c r="E122" s="157" t="str">
        <f>VLOOKUP(Ruimtestaat[[#This Row],[Code]],Locaties[#All],6,FALSE)</f>
        <v>Den Haag</v>
      </c>
      <c r="F122" s="33" t="s">
        <v>1748</v>
      </c>
      <c r="G122" s="33" t="s">
        <v>1784</v>
      </c>
      <c r="H122" s="21" t="s">
        <v>1796</v>
      </c>
      <c r="I122" s="62" t="s">
        <v>1776</v>
      </c>
      <c r="J122" s="21">
        <v>16</v>
      </c>
      <c r="K122" s="62" t="str">
        <f>VLOOKUP(Ruimtestaat[[#This Row],[Ruimte code]],Ruimtegroepen[[#All],[Code]:[Ruimte omschrijving]],2,FALSE)</f>
        <v>Leslokalen theorie</v>
      </c>
      <c r="L122" s="33" t="s">
        <v>101</v>
      </c>
      <c r="M122" s="367" t="s">
        <v>2495</v>
      </c>
      <c r="N122" s="140">
        <v>58.08</v>
      </c>
      <c r="O122" s="140"/>
      <c r="P122" s="125" t="str">
        <f>VLOOKUP(Ruimtestaat[[#This Row],[Ruimte code]],Ruimtegroepen[],4,FALSE)</f>
        <v>Le</v>
      </c>
      <c r="R122" s="33">
        <v>40</v>
      </c>
      <c r="S122" s="33" t="s">
        <v>2</v>
      </c>
      <c r="T122" s="33">
        <f>IF(R122&gt;0,IF(RIGHT(Ruimtestaat[[#This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2" s="33">
        <f>IF(T122&gt;0,VLOOKUP($J122,Ruimtegroepen[],3,FALSE)*VLOOKUP($L122,Vloersoorten[],3,FALSE)*VLOOKUP($S122,Frequenties[],3,FALSE)*VLOOKUP($A122,Locaties[],3,FALSE),0)</f>
        <v>0</v>
      </c>
      <c r="V122" s="33">
        <f>Ruimtestaat[[#This Row],[Uitvoeringen werkdagen]]*Ruimtestaat[[#This Row],[Oppervlak (netto)]]</f>
        <v>11616</v>
      </c>
      <c r="W122" s="154">
        <f>IF(U122&gt;0,Ruimtestaat[[#This Row],[Prest. (m2 /jaar) werkdagen]]/Ruimtestaat[[#This Row],[Norm (m2/uur) werkdagen]],0)</f>
        <v>0</v>
      </c>
      <c r="X122" s="155">
        <f>Ruimtestaat[[#This Row],[uren / jaar werkdagen]]*Tariefsopbouw!$E$35</f>
        <v>0</v>
      </c>
      <c r="Y122" s="33"/>
      <c r="Z122" s="33">
        <f>IF(Ruimtestaat[[#This Row],[Frequentie weekend]]&gt;0,VALUE(LEFT(Y122,1))*R122,0)</f>
        <v>0</v>
      </c>
      <c r="AA122" s="97">
        <f>IF($Z122&gt;0,VLOOKUP($J122,Ruimtegroepen[],3,FALSE)*VLOOKUP($L122,Vloersoorten[],3,FALSE)*VLOOKUP($Y122,Frequenties[],3,FALSE)*VLOOKUP(Ruimtestaat[[#This Row],[Code]],Locaties[],3,FALSE),0)</f>
        <v>0</v>
      </c>
      <c r="AB122" s="97">
        <f>Ruimtestaat[[#This Row],[Uitvoeringen weekend]]*Ruimtestaat[[#This Row],[Oppervlak (netto)]]</f>
        <v>0</v>
      </c>
      <c r="AC122" s="97">
        <f>IF(AA122&gt;0,Ruimtestaat[[#This Row],[Prest. (m2 /jaar) weekend]]/Ruimtestaat[[#This Row],[Norm (m2/uur) weekend]],0)</f>
        <v>0</v>
      </c>
      <c r="AD122" s="155">
        <f>Ruimtestaat[[#This Row],[uren / jaar weekend]]*Tariefsopbouw!$D$40</f>
        <v>0</v>
      </c>
      <c r="AE122" s="154">
        <f>Ruimtestaat[[#This Row],[Prest. (m2 /jaar) weekend]]+Ruimtestaat[[#This Row],[Prest. (m2 /jaar) werkdagen]]</f>
        <v>11616</v>
      </c>
      <c r="AF122" s="154">
        <f>Ruimtestaat[[#This Row],[uren / jaar weekend]]+Ruimtestaat[[#This Row],[uren / jaar werkdagen]]</f>
        <v>0</v>
      </c>
      <c r="AG122" s="69">
        <f>Ruimtestaat[[#This Row],[kosten / jaar weekend]]+Ruimtestaat[[#This Row],[kosten / jaar werkdagen]]</f>
        <v>0</v>
      </c>
      <c r="AH122" s="69"/>
      <c r="AI122" s="256" t="str">
        <f>IF(Ruimtestaat[[#This Row],[Frequentie werkdagen]]="","",_xlfn.CONCAT(Ruimtestaat[[#This Row],[Ruimte code]],"-",Ruimtestaat[[#This Row],[Frequentie werkdagen]]," ",Ruimtestaat[[#This Row],[Vloer code]]))</f>
        <v>16-5w L</v>
      </c>
      <c r="AJ122" s="300" t="str">
        <f>_xlfn.IFNA(VLOOKUP($AI122,Programma!$F$3:$G$1107,2,0),"")</f>
        <v>_</v>
      </c>
      <c r="AK122" s="300" t="str">
        <f>_xlfn.IFNA(VLOOKUP($AI122,Programma!$F$3:$H$1107,3,0),"")</f>
        <v>_</v>
      </c>
      <c r="AL122" s="300" t="str">
        <f>_xlfn.IFNA(VLOOKUP($AI122,Programma!$F$3:$I$1107,4,0),"")</f>
        <v>4w</v>
      </c>
      <c r="AM122" s="300" t="str">
        <f>_xlfn.IFNA(VLOOKUP($AI122,Programma!$F$3:$J$1107,5,0),"")</f>
        <v>1w</v>
      </c>
      <c r="AN122" s="300" t="str">
        <f>_xlfn.IFNA(VLOOKUP($AI122,Programma!$F$3:$K$1107,6,0),"")</f>
        <v>_</v>
      </c>
      <c r="AO122" s="300" t="str">
        <f>_xlfn.IFNA(VLOOKUP($AI122,Programma!$F$3:$L$1107,7,0),"")</f>
        <v>_</v>
      </c>
      <c r="AP122" s="300" t="str">
        <f>_xlfn.IFNA(VLOOKUP($AI122,Programma!$F$3:$M$1107,8,0),"")</f>
        <v>_</v>
      </c>
      <c r="AQ122" s="300" t="str">
        <f>_xlfn.IFNA(VLOOKUP($AI122,Programma!$F$3:$N$1107,9,0),"")</f>
        <v>_</v>
      </c>
      <c r="AR122" s="300" t="str">
        <f>_xlfn.IFNA(VLOOKUP($AI122,Programma!$F$3:$O$1107,10,0),"")</f>
        <v>5w</v>
      </c>
      <c r="AS122" s="300" t="str">
        <f>_xlfn.IFNA(VLOOKUP($AI122,Programma!$F$3:$P$1107,11,0),"")</f>
        <v>5w</v>
      </c>
      <c r="AT122" s="300" t="str">
        <f>_xlfn.IFNA(VLOOKUP($AI122,Programma!$F$3:$Q$1107,12,0),"")</f>
        <v>1w</v>
      </c>
      <c r="AU122" s="300" t="str">
        <f>_xlfn.IFNA(VLOOKUP($AI122,Programma!$F$3:$R$1107,13,0),"")</f>
        <v>1w</v>
      </c>
      <c r="AV122" s="300" t="str">
        <f>_xlfn.IFNA(VLOOKUP($AI122,Programma!$F$3:$S$1107,14,0),"")</f>
        <v>1m</v>
      </c>
      <c r="AW122" s="300" t="str">
        <f>_xlfn.IFNA(VLOOKUP($AI122,Programma!$F$3:$T$1107,15,0),"")</f>
        <v>2j</v>
      </c>
      <c r="AX122" s="300" t="str">
        <f>_xlfn.IFNA(VLOOKUP($AI122,Programma!$F$3:$U$1107,16,0),"")</f>
        <v>1j</v>
      </c>
      <c r="AY122" s="300" t="str">
        <f>_xlfn.IFNA(VLOOKUP($AI122,Programma!$F$3:$V$1107,17,0),"")</f>
        <v>_</v>
      </c>
      <c r="AZ122" s="300" t="str">
        <f>_xlfn.IFNA(VLOOKUP($AI122,Programma!$F$3:$W$1107,18,0),"")</f>
        <v>_</v>
      </c>
      <c r="BA122" s="300" t="str">
        <f>_xlfn.IFNA(VLOOKUP($AI122,Programma!$F$3:$X$1107,19,0),"")</f>
        <v>_</v>
      </c>
      <c r="BB122" s="300" t="str">
        <f>_xlfn.IFNA(VLOOKUP($AI122,Programma!$F$3:$Y$1107,20,0),"")</f>
        <v>_</v>
      </c>
      <c r="BC122" s="257"/>
      <c r="BD122" s="256" t="str">
        <f>IF(Ruimtestaat[[#This Row],[Frequentie weekend]]="","",_xlfn.CONCAT(Ruimtestaat[[#This Row],[Ruimte code]],"-",Ruimtestaat[[#This Row],[Frequentie weekend]]," ",Ruimtestaat[[#This Row],[Vloer code]]))</f>
        <v/>
      </c>
      <c r="BE122" s="300" t="str">
        <f>_xlfn.IFNA(VLOOKUP($BD122,Programma!$F$3:$G$1107,2,0),"")</f>
        <v/>
      </c>
      <c r="BF122" s="300" t="str">
        <f>_xlfn.IFNA(VLOOKUP($BD122,Programma!$F$3:$H$1107,3,0),"")</f>
        <v/>
      </c>
      <c r="BG122" s="300" t="str">
        <f>_xlfn.IFNA(VLOOKUP($BD122,Programma!$F$3:$I$1107,4,0),"")</f>
        <v/>
      </c>
      <c r="BH122" s="300" t="str">
        <f>_xlfn.IFNA(VLOOKUP($BD122,Programma!$F$3:$J$1107,5,0),"")</f>
        <v/>
      </c>
      <c r="BI122" s="300" t="str">
        <f>_xlfn.IFNA(VLOOKUP($BD122,Programma!$F$3:$K$1107,6,0),"")</f>
        <v/>
      </c>
      <c r="BJ122" s="300" t="str">
        <f>_xlfn.IFNA(VLOOKUP($BD122,Programma!$F$3:$L$1107,7,0),"")</f>
        <v/>
      </c>
      <c r="BK122" s="300" t="str">
        <f>_xlfn.IFNA(VLOOKUP($BD122,Programma!$F$3:$M$1107,8,0),"")</f>
        <v/>
      </c>
      <c r="BL122" s="300" t="str">
        <f>_xlfn.IFNA(VLOOKUP($BD122,Programma!$F$3:$N$1107,9,0),"")</f>
        <v/>
      </c>
      <c r="BM122" s="300" t="str">
        <f>_xlfn.IFNA(VLOOKUP($BD122,Programma!$F$3:$O$1107,10,0),"")</f>
        <v/>
      </c>
      <c r="BN122" s="300" t="str">
        <f>_xlfn.IFNA(VLOOKUP($BD122,Programma!$F$3:$P$1107,11,0),"")</f>
        <v/>
      </c>
      <c r="BO122" s="300" t="str">
        <f>_xlfn.IFNA(VLOOKUP($BD122,Programma!$F$3:$Q$1107,12,0),"")</f>
        <v/>
      </c>
      <c r="BP122" s="300" t="str">
        <f>_xlfn.IFNA(VLOOKUP($BD122,Programma!$F$3:$R$1107,13,0),"")</f>
        <v/>
      </c>
      <c r="BQ122" s="300" t="str">
        <f>_xlfn.IFNA(VLOOKUP($BD122,Programma!$F$3:$S$1107,14,0),"")</f>
        <v/>
      </c>
      <c r="BR122" s="300" t="str">
        <f>_xlfn.IFNA(VLOOKUP($BD122,Programma!$F$3:$T$1107,15,0),"")</f>
        <v/>
      </c>
      <c r="BS122" s="300" t="str">
        <f>_xlfn.IFNA(VLOOKUP($BD122,Programma!$F$3:$U$1107,16,0),"")</f>
        <v/>
      </c>
      <c r="BT122" s="300" t="str">
        <f>_xlfn.IFNA(VLOOKUP($BD122,Programma!$F$3:$V$1107,17,0),"")</f>
        <v/>
      </c>
      <c r="BU122" s="300" t="str">
        <f>_xlfn.IFNA(VLOOKUP($BD122,Programma!$F$3:$W$1107,18,0),"")</f>
        <v/>
      </c>
      <c r="BV122" s="300" t="str">
        <f>_xlfn.IFNA(VLOOKUP($BD122,Programma!$F$3:$X$1107,19,0),"")</f>
        <v/>
      </c>
      <c r="BW122" s="300" t="str">
        <f>_xlfn.IFNA(VLOOKUP($BD122,Programma!$F$3:$Y$1107,20,0),"")</f>
        <v/>
      </c>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row>
    <row r="123" spans="1:220" ht="15" customHeight="1">
      <c r="A123" s="21">
        <v>2</v>
      </c>
      <c r="B123" s="157" t="str">
        <f>VLOOKUP(Ruimtestaat[[#This Row],[Code]],Locaties[[Code]:[Locatie]],2,FALSE)</f>
        <v>'s Gravendreef College</v>
      </c>
      <c r="C123" s="157" t="str">
        <f>VLOOKUP(Ruimtestaat[[#This Row],[Code]],Locaties[[#All],[Code]:[Adres]],4,FALSE)</f>
        <v>Klaas Voskuildreef 135</v>
      </c>
      <c r="D123" s="157" t="str">
        <f>VLOOKUP(Ruimtestaat[[#This Row],[Code]],Locaties[[#All],[Code]:[Postcode]],5,FALSE)</f>
        <v>2492 JJ</v>
      </c>
      <c r="E123" s="157" t="str">
        <f>VLOOKUP(Ruimtestaat[[#This Row],[Code]],Locaties[#All],6,FALSE)</f>
        <v>Den Haag</v>
      </c>
      <c r="F123" s="33" t="s">
        <v>1748</v>
      </c>
      <c r="G123" s="33" t="s">
        <v>1784</v>
      </c>
      <c r="H123" s="21" t="s">
        <v>1797</v>
      </c>
      <c r="I123" s="62" t="s">
        <v>1776</v>
      </c>
      <c r="J123" s="21">
        <v>16</v>
      </c>
      <c r="K123" s="62" t="str">
        <f>VLOOKUP(Ruimtestaat[[#This Row],[Ruimte code]],Ruimtegroepen[[#All],[Code]:[Ruimte omschrijving]],2,FALSE)</f>
        <v>Leslokalen theorie</v>
      </c>
      <c r="L123" s="33" t="s">
        <v>101</v>
      </c>
      <c r="M123" s="367" t="s">
        <v>2495</v>
      </c>
      <c r="N123" s="140">
        <v>68.92</v>
      </c>
      <c r="O123" s="140"/>
      <c r="P123" s="125" t="str">
        <f>VLOOKUP(Ruimtestaat[[#This Row],[Ruimte code]],Ruimtegroepen[],4,FALSE)</f>
        <v>Le</v>
      </c>
      <c r="R123" s="33">
        <v>40</v>
      </c>
      <c r="S123" s="33" t="s">
        <v>2</v>
      </c>
      <c r="T123" s="33">
        <f>IF(R123&gt;0,IF(RIGHT(Ruimtestaat[[#This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3" s="33">
        <f>IF(T123&gt;0,VLOOKUP($J123,Ruimtegroepen[],3,FALSE)*VLOOKUP($L123,Vloersoorten[],3,FALSE)*VLOOKUP($S123,Frequenties[],3,FALSE)*VLOOKUP($A123,Locaties[],3,FALSE),0)</f>
        <v>0</v>
      </c>
      <c r="V123" s="33">
        <f>Ruimtestaat[[#This Row],[Uitvoeringen werkdagen]]*Ruimtestaat[[#This Row],[Oppervlak (netto)]]</f>
        <v>13784</v>
      </c>
      <c r="W123" s="154">
        <f>IF(U123&gt;0,Ruimtestaat[[#This Row],[Prest. (m2 /jaar) werkdagen]]/Ruimtestaat[[#This Row],[Norm (m2/uur) werkdagen]],0)</f>
        <v>0</v>
      </c>
      <c r="X123" s="155">
        <f>Ruimtestaat[[#This Row],[uren / jaar werkdagen]]*Tariefsopbouw!$E$35</f>
        <v>0</v>
      </c>
      <c r="Y123" s="33"/>
      <c r="Z123" s="33">
        <f>IF(Ruimtestaat[[#This Row],[Frequentie weekend]]&gt;0,VALUE(LEFT(Y123,1))*R123,0)</f>
        <v>0</v>
      </c>
      <c r="AA123" s="97">
        <f>IF($Z123&gt;0,VLOOKUP($J123,Ruimtegroepen[],3,FALSE)*VLOOKUP($L123,Vloersoorten[],3,FALSE)*VLOOKUP($Y123,Frequenties[],3,FALSE)*VLOOKUP(Ruimtestaat[[#This Row],[Code]],Locaties[],3,FALSE),0)</f>
        <v>0</v>
      </c>
      <c r="AB123" s="97">
        <f>Ruimtestaat[[#This Row],[Uitvoeringen weekend]]*Ruimtestaat[[#This Row],[Oppervlak (netto)]]</f>
        <v>0</v>
      </c>
      <c r="AC123" s="97">
        <f>IF(AA123&gt;0,Ruimtestaat[[#This Row],[Prest. (m2 /jaar) weekend]]/Ruimtestaat[[#This Row],[Norm (m2/uur) weekend]],0)</f>
        <v>0</v>
      </c>
      <c r="AD123" s="155">
        <f>Ruimtestaat[[#This Row],[uren / jaar weekend]]*Tariefsopbouw!$D$40</f>
        <v>0</v>
      </c>
      <c r="AE123" s="154">
        <f>Ruimtestaat[[#This Row],[Prest. (m2 /jaar) weekend]]+Ruimtestaat[[#This Row],[Prest. (m2 /jaar) werkdagen]]</f>
        <v>13784</v>
      </c>
      <c r="AF123" s="154">
        <f>Ruimtestaat[[#This Row],[uren / jaar weekend]]+Ruimtestaat[[#This Row],[uren / jaar werkdagen]]</f>
        <v>0</v>
      </c>
      <c r="AG123" s="69">
        <f>Ruimtestaat[[#This Row],[kosten / jaar weekend]]+Ruimtestaat[[#This Row],[kosten / jaar werkdagen]]</f>
        <v>0</v>
      </c>
      <c r="AH123" s="69"/>
      <c r="AI123" s="256" t="str">
        <f>IF(Ruimtestaat[[#This Row],[Frequentie werkdagen]]="","",_xlfn.CONCAT(Ruimtestaat[[#This Row],[Ruimte code]],"-",Ruimtestaat[[#This Row],[Frequentie werkdagen]]," ",Ruimtestaat[[#This Row],[Vloer code]]))</f>
        <v>16-5w L</v>
      </c>
      <c r="AJ123" s="300" t="str">
        <f>_xlfn.IFNA(VLOOKUP($AI123,Programma!$F$3:$G$1107,2,0),"")</f>
        <v>_</v>
      </c>
      <c r="AK123" s="300" t="str">
        <f>_xlfn.IFNA(VLOOKUP($AI123,Programma!$F$3:$H$1107,3,0),"")</f>
        <v>_</v>
      </c>
      <c r="AL123" s="300" t="str">
        <f>_xlfn.IFNA(VLOOKUP($AI123,Programma!$F$3:$I$1107,4,0),"")</f>
        <v>4w</v>
      </c>
      <c r="AM123" s="300" t="str">
        <f>_xlfn.IFNA(VLOOKUP($AI123,Programma!$F$3:$J$1107,5,0),"")</f>
        <v>1w</v>
      </c>
      <c r="AN123" s="300" t="str">
        <f>_xlfn.IFNA(VLOOKUP($AI123,Programma!$F$3:$K$1107,6,0),"")</f>
        <v>_</v>
      </c>
      <c r="AO123" s="300" t="str">
        <f>_xlfn.IFNA(VLOOKUP($AI123,Programma!$F$3:$L$1107,7,0),"")</f>
        <v>_</v>
      </c>
      <c r="AP123" s="300" t="str">
        <f>_xlfn.IFNA(VLOOKUP($AI123,Programma!$F$3:$M$1107,8,0),"")</f>
        <v>_</v>
      </c>
      <c r="AQ123" s="300" t="str">
        <f>_xlfn.IFNA(VLOOKUP($AI123,Programma!$F$3:$N$1107,9,0),"")</f>
        <v>_</v>
      </c>
      <c r="AR123" s="300" t="str">
        <f>_xlfn.IFNA(VLOOKUP($AI123,Programma!$F$3:$O$1107,10,0),"")</f>
        <v>5w</v>
      </c>
      <c r="AS123" s="300" t="str">
        <f>_xlfn.IFNA(VLOOKUP($AI123,Programma!$F$3:$P$1107,11,0),"")</f>
        <v>5w</v>
      </c>
      <c r="AT123" s="300" t="str">
        <f>_xlfn.IFNA(VLOOKUP($AI123,Programma!$F$3:$Q$1107,12,0),"")</f>
        <v>1w</v>
      </c>
      <c r="AU123" s="300" t="str">
        <f>_xlfn.IFNA(VLOOKUP($AI123,Programma!$F$3:$R$1107,13,0),"")</f>
        <v>1w</v>
      </c>
      <c r="AV123" s="300" t="str">
        <f>_xlfn.IFNA(VLOOKUP($AI123,Programma!$F$3:$S$1107,14,0),"")</f>
        <v>1m</v>
      </c>
      <c r="AW123" s="300" t="str">
        <f>_xlfn.IFNA(VLOOKUP($AI123,Programma!$F$3:$T$1107,15,0),"")</f>
        <v>2j</v>
      </c>
      <c r="AX123" s="300" t="str">
        <f>_xlfn.IFNA(VLOOKUP($AI123,Programma!$F$3:$U$1107,16,0),"")</f>
        <v>1j</v>
      </c>
      <c r="AY123" s="300" t="str">
        <f>_xlfn.IFNA(VLOOKUP($AI123,Programma!$F$3:$V$1107,17,0),"")</f>
        <v>_</v>
      </c>
      <c r="AZ123" s="300" t="str">
        <f>_xlfn.IFNA(VLOOKUP($AI123,Programma!$F$3:$W$1107,18,0),"")</f>
        <v>_</v>
      </c>
      <c r="BA123" s="300" t="str">
        <f>_xlfn.IFNA(VLOOKUP($AI123,Programma!$F$3:$X$1107,19,0),"")</f>
        <v>_</v>
      </c>
      <c r="BB123" s="300" t="str">
        <f>_xlfn.IFNA(VLOOKUP($AI123,Programma!$F$3:$Y$1107,20,0),"")</f>
        <v>_</v>
      </c>
      <c r="BC123" s="257"/>
      <c r="BD123" s="256" t="str">
        <f>IF(Ruimtestaat[[#This Row],[Frequentie weekend]]="","",_xlfn.CONCAT(Ruimtestaat[[#This Row],[Ruimte code]],"-",Ruimtestaat[[#This Row],[Frequentie weekend]]," ",Ruimtestaat[[#This Row],[Vloer code]]))</f>
        <v/>
      </c>
      <c r="BE123" s="300" t="str">
        <f>_xlfn.IFNA(VLOOKUP($BD123,Programma!$F$3:$G$1107,2,0),"")</f>
        <v/>
      </c>
      <c r="BF123" s="300" t="str">
        <f>_xlfn.IFNA(VLOOKUP($BD123,Programma!$F$3:$H$1107,3,0),"")</f>
        <v/>
      </c>
      <c r="BG123" s="300" t="str">
        <f>_xlfn.IFNA(VLOOKUP($BD123,Programma!$F$3:$I$1107,4,0),"")</f>
        <v/>
      </c>
      <c r="BH123" s="300" t="str">
        <f>_xlfn.IFNA(VLOOKUP($BD123,Programma!$F$3:$J$1107,5,0),"")</f>
        <v/>
      </c>
      <c r="BI123" s="300" t="str">
        <f>_xlfn.IFNA(VLOOKUP($BD123,Programma!$F$3:$K$1107,6,0),"")</f>
        <v/>
      </c>
      <c r="BJ123" s="300" t="str">
        <f>_xlfn.IFNA(VLOOKUP($BD123,Programma!$F$3:$L$1107,7,0),"")</f>
        <v/>
      </c>
      <c r="BK123" s="300" t="str">
        <f>_xlfn.IFNA(VLOOKUP($BD123,Programma!$F$3:$M$1107,8,0),"")</f>
        <v/>
      </c>
      <c r="BL123" s="300" t="str">
        <f>_xlfn.IFNA(VLOOKUP($BD123,Programma!$F$3:$N$1107,9,0),"")</f>
        <v/>
      </c>
      <c r="BM123" s="300" t="str">
        <f>_xlfn.IFNA(VLOOKUP($BD123,Programma!$F$3:$O$1107,10,0),"")</f>
        <v/>
      </c>
      <c r="BN123" s="300" t="str">
        <f>_xlfn.IFNA(VLOOKUP($BD123,Programma!$F$3:$P$1107,11,0),"")</f>
        <v/>
      </c>
      <c r="BO123" s="300" t="str">
        <f>_xlfn.IFNA(VLOOKUP($BD123,Programma!$F$3:$Q$1107,12,0),"")</f>
        <v/>
      </c>
      <c r="BP123" s="300" t="str">
        <f>_xlfn.IFNA(VLOOKUP($BD123,Programma!$F$3:$R$1107,13,0),"")</f>
        <v/>
      </c>
      <c r="BQ123" s="300" t="str">
        <f>_xlfn.IFNA(VLOOKUP($BD123,Programma!$F$3:$S$1107,14,0),"")</f>
        <v/>
      </c>
      <c r="BR123" s="300" t="str">
        <f>_xlfn.IFNA(VLOOKUP($BD123,Programma!$F$3:$T$1107,15,0),"")</f>
        <v/>
      </c>
      <c r="BS123" s="300" t="str">
        <f>_xlfn.IFNA(VLOOKUP($BD123,Programma!$F$3:$U$1107,16,0),"")</f>
        <v/>
      </c>
      <c r="BT123" s="300" t="str">
        <f>_xlfn.IFNA(VLOOKUP($BD123,Programma!$F$3:$V$1107,17,0),"")</f>
        <v/>
      </c>
      <c r="BU123" s="300" t="str">
        <f>_xlfn.IFNA(VLOOKUP($BD123,Programma!$F$3:$W$1107,18,0),"")</f>
        <v/>
      </c>
      <c r="BV123" s="300" t="str">
        <f>_xlfn.IFNA(VLOOKUP($BD123,Programma!$F$3:$X$1107,19,0),"")</f>
        <v/>
      </c>
      <c r="BW123" s="300" t="str">
        <f>_xlfn.IFNA(VLOOKUP($BD123,Programma!$F$3:$Y$1107,20,0),"")</f>
        <v/>
      </c>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row>
    <row r="124" spans="1:220" ht="15" customHeight="1">
      <c r="A124" s="21">
        <v>2</v>
      </c>
      <c r="B124" s="157" t="str">
        <f>VLOOKUP(Ruimtestaat[[#This Row],[Code]],Locaties[[Code]:[Locatie]],2,FALSE)</f>
        <v>'s Gravendreef College</v>
      </c>
      <c r="C124" s="157" t="str">
        <f>VLOOKUP(Ruimtestaat[[#This Row],[Code]],Locaties[[#All],[Code]:[Adres]],4,FALSE)</f>
        <v>Klaas Voskuildreef 135</v>
      </c>
      <c r="D124" s="157" t="str">
        <f>VLOOKUP(Ruimtestaat[[#This Row],[Code]],Locaties[[#All],[Code]:[Postcode]],5,FALSE)</f>
        <v>2492 JJ</v>
      </c>
      <c r="E124" s="157" t="str">
        <f>VLOOKUP(Ruimtestaat[[#This Row],[Code]],Locaties[#All],6,FALSE)</f>
        <v>Den Haag</v>
      </c>
      <c r="F124" s="33" t="s">
        <v>1748</v>
      </c>
      <c r="G124" s="33" t="s">
        <v>1784</v>
      </c>
      <c r="H124" s="21" t="s">
        <v>1798</v>
      </c>
      <c r="I124" s="62" t="s">
        <v>1776</v>
      </c>
      <c r="J124" s="21">
        <v>16</v>
      </c>
      <c r="K124" s="62" t="str">
        <f>VLOOKUP(Ruimtestaat[[#This Row],[Ruimte code]],Ruimtegroepen[[#All],[Code]:[Ruimte omschrijving]],2,FALSE)</f>
        <v>Leslokalen theorie</v>
      </c>
      <c r="L124" s="33" t="s">
        <v>101</v>
      </c>
      <c r="M124" s="367" t="s">
        <v>2495</v>
      </c>
      <c r="N124" s="140">
        <v>68.92</v>
      </c>
      <c r="O124" s="140"/>
      <c r="P124" s="125" t="str">
        <f>VLOOKUP(Ruimtestaat[[#This Row],[Ruimte code]],Ruimtegroepen[],4,FALSE)</f>
        <v>Le</v>
      </c>
      <c r="R124" s="33">
        <v>40</v>
      </c>
      <c r="S124" s="33" t="s">
        <v>2</v>
      </c>
      <c r="T124" s="33">
        <f>IF(R124&gt;0,IF(RIGHT(Ruimtestaat[[#This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4" s="33">
        <f>IF(T124&gt;0,VLOOKUP($J124,Ruimtegroepen[],3,FALSE)*VLOOKUP($L124,Vloersoorten[],3,FALSE)*VLOOKUP($S124,Frequenties[],3,FALSE)*VLOOKUP($A124,Locaties[],3,FALSE),0)</f>
        <v>0</v>
      </c>
      <c r="V124" s="33">
        <f>Ruimtestaat[[#This Row],[Uitvoeringen werkdagen]]*Ruimtestaat[[#This Row],[Oppervlak (netto)]]</f>
        <v>13784</v>
      </c>
      <c r="W124" s="154">
        <f>IF(U124&gt;0,Ruimtestaat[[#This Row],[Prest. (m2 /jaar) werkdagen]]/Ruimtestaat[[#This Row],[Norm (m2/uur) werkdagen]],0)</f>
        <v>0</v>
      </c>
      <c r="X124" s="155">
        <f>Ruimtestaat[[#This Row],[uren / jaar werkdagen]]*Tariefsopbouw!$E$35</f>
        <v>0</v>
      </c>
      <c r="Y124" s="33"/>
      <c r="Z124" s="33">
        <f>IF(Ruimtestaat[[#This Row],[Frequentie weekend]]&gt;0,VALUE(LEFT(Y124,1))*R124,0)</f>
        <v>0</v>
      </c>
      <c r="AA124" s="97">
        <f>IF($Z124&gt;0,VLOOKUP($J124,Ruimtegroepen[],3,FALSE)*VLOOKUP($L124,Vloersoorten[],3,FALSE)*VLOOKUP($Y124,Frequenties[],3,FALSE)*VLOOKUP(Ruimtestaat[[#This Row],[Code]],Locaties[],3,FALSE),0)</f>
        <v>0</v>
      </c>
      <c r="AB124" s="97">
        <f>Ruimtestaat[[#This Row],[Uitvoeringen weekend]]*Ruimtestaat[[#This Row],[Oppervlak (netto)]]</f>
        <v>0</v>
      </c>
      <c r="AC124" s="97">
        <f>IF(AA124&gt;0,Ruimtestaat[[#This Row],[Prest. (m2 /jaar) weekend]]/Ruimtestaat[[#This Row],[Norm (m2/uur) weekend]],0)</f>
        <v>0</v>
      </c>
      <c r="AD124" s="155">
        <f>Ruimtestaat[[#This Row],[uren / jaar weekend]]*Tariefsopbouw!$D$40</f>
        <v>0</v>
      </c>
      <c r="AE124" s="154">
        <f>Ruimtestaat[[#This Row],[Prest. (m2 /jaar) weekend]]+Ruimtestaat[[#This Row],[Prest. (m2 /jaar) werkdagen]]</f>
        <v>13784</v>
      </c>
      <c r="AF124" s="154">
        <f>Ruimtestaat[[#This Row],[uren / jaar weekend]]+Ruimtestaat[[#This Row],[uren / jaar werkdagen]]</f>
        <v>0</v>
      </c>
      <c r="AG124" s="69">
        <f>Ruimtestaat[[#This Row],[kosten / jaar weekend]]+Ruimtestaat[[#This Row],[kosten / jaar werkdagen]]</f>
        <v>0</v>
      </c>
      <c r="AH124" s="69"/>
      <c r="AI124" s="256" t="str">
        <f>IF(Ruimtestaat[[#This Row],[Frequentie werkdagen]]="","",_xlfn.CONCAT(Ruimtestaat[[#This Row],[Ruimte code]],"-",Ruimtestaat[[#This Row],[Frequentie werkdagen]]," ",Ruimtestaat[[#This Row],[Vloer code]]))</f>
        <v>16-5w L</v>
      </c>
      <c r="AJ124" s="300" t="str">
        <f>_xlfn.IFNA(VLOOKUP($AI124,Programma!$F$3:$G$1107,2,0),"")</f>
        <v>_</v>
      </c>
      <c r="AK124" s="300" t="str">
        <f>_xlfn.IFNA(VLOOKUP($AI124,Programma!$F$3:$H$1107,3,0),"")</f>
        <v>_</v>
      </c>
      <c r="AL124" s="300" t="str">
        <f>_xlfn.IFNA(VLOOKUP($AI124,Programma!$F$3:$I$1107,4,0),"")</f>
        <v>4w</v>
      </c>
      <c r="AM124" s="300" t="str">
        <f>_xlfn.IFNA(VLOOKUP($AI124,Programma!$F$3:$J$1107,5,0),"")</f>
        <v>1w</v>
      </c>
      <c r="AN124" s="300" t="str">
        <f>_xlfn.IFNA(VLOOKUP($AI124,Programma!$F$3:$K$1107,6,0),"")</f>
        <v>_</v>
      </c>
      <c r="AO124" s="300" t="str">
        <f>_xlfn.IFNA(VLOOKUP($AI124,Programma!$F$3:$L$1107,7,0),"")</f>
        <v>_</v>
      </c>
      <c r="AP124" s="300" t="str">
        <f>_xlfn.IFNA(VLOOKUP($AI124,Programma!$F$3:$M$1107,8,0),"")</f>
        <v>_</v>
      </c>
      <c r="AQ124" s="300" t="str">
        <f>_xlfn.IFNA(VLOOKUP($AI124,Programma!$F$3:$N$1107,9,0),"")</f>
        <v>_</v>
      </c>
      <c r="AR124" s="300" t="str">
        <f>_xlfn.IFNA(VLOOKUP($AI124,Programma!$F$3:$O$1107,10,0),"")</f>
        <v>5w</v>
      </c>
      <c r="AS124" s="300" t="str">
        <f>_xlfn.IFNA(VLOOKUP($AI124,Programma!$F$3:$P$1107,11,0),"")</f>
        <v>5w</v>
      </c>
      <c r="AT124" s="300" t="str">
        <f>_xlfn.IFNA(VLOOKUP($AI124,Programma!$F$3:$Q$1107,12,0),"")</f>
        <v>1w</v>
      </c>
      <c r="AU124" s="300" t="str">
        <f>_xlfn.IFNA(VLOOKUP($AI124,Programma!$F$3:$R$1107,13,0),"")</f>
        <v>1w</v>
      </c>
      <c r="AV124" s="300" t="str">
        <f>_xlfn.IFNA(VLOOKUP($AI124,Programma!$F$3:$S$1107,14,0),"")</f>
        <v>1m</v>
      </c>
      <c r="AW124" s="300" t="str">
        <f>_xlfn.IFNA(VLOOKUP($AI124,Programma!$F$3:$T$1107,15,0),"")</f>
        <v>2j</v>
      </c>
      <c r="AX124" s="300" t="str">
        <f>_xlfn.IFNA(VLOOKUP($AI124,Programma!$F$3:$U$1107,16,0),"")</f>
        <v>1j</v>
      </c>
      <c r="AY124" s="300" t="str">
        <f>_xlfn.IFNA(VLOOKUP($AI124,Programma!$F$3:$V$1107,17,0),"")</f>
        <v>_</v>
      </c>
      <c r="AZ124" s="300" t="str">
        <f>_xlfn.IFNA(VLOOKUP($AI124,Programma!$F$3:$W$1107,18,0),"")</f>
        <v>_</v>
      </c>
      <c r="BA124" s="300" t="str">
        <f>_xlfn.IFNA(VLOOKUP($AI124,Programma!$F$3:$X$1107,19,0),"")</f>
        <v>_</v>
      </c>
      <c r="BB124" s="300" t="str">
        <f>_xlfn.IFNA(VLOOKUP($AI124,Programma!$F$3:$Y$1107,20,0),"")</f>
        <v>_</v>
      </c>
      <c r="BC124" s="257"/>
      <c r="BD124" s="256" t="str">
        <f>IF(Ruimtestaat[[#This Row],[Frequentie weekend]]="","",_xlfn.CONCAT(Ruimtestaat[[#This Row],[Ruimte code]],"-",Ruimtestaat[[#This Row],[Frequentie weekend]]," ",Ruimtestaat[[#This Row],[Vloer code]]))</f>
        <v/>
      </c>
      <c r="BE124" s="300" t="str">
        <f>_xlfn.IFNA(VLOOKUP($BD124,Programma!$F$3:$G$1107,2,0),"")</f>
        <v/>
      </c>
      <c r="BF124" s="300" t="str">
        <f>_xlfn.IFNA(VLOOKUP($BD124,Programma!$F$3:$H$1107,3,0),"")</f>
        <v/>
      </c>
      <c r="BG124" s="300" t="str">
        <f>_xlfn.IFNA(VLOOKUP($BD124,Programma!$F$3:$I$1107,4,0),"")</f>
        <v/>
      </c>
      <c r="BH124" s="300" t="str">
        <f>_xlfn.IFNA(VLOOKUP($BD124,Programma!$F$3:$J$1107,5,0),"")</f>
        <v/>
      </c>
      <c r="BI124" s="300" t="str">
        <f>_xlfn.IFNA(VLOOKUP($BD124,Programma!$F$3:$K$1107,6,0),"")</f>
        <v/>
      </c>
      <c r="BJ124" s="300" t="str">
        <f>_xlfn.IFNA(VLOOKUP($BD124,Programma!$F$3:$L$1107,7,0),"")</f>
        <v/>
      </c>
      <c r="BK124" s="300" t="str">
        <f>_xlfn.IFNA(VLOOKUP($BD124,Programma!$F$3:$M$1107,8,0),"")</f>
        <v/>
      </c>
      <c r="BL124" s="300" t="str">
        <f>_xlfn.IFNA(VLOOKUP($BD124,Programma!$F$3:$N$1107,9,0),"")</f>
        <v/>
      </c>
      <c r="BM124" s="300" t="str">
        <f>_xlfn.IFNA(VLOOKUP($BD124,Programma!$F$3:$O$1107,10,0),"")</f>
        <v/>
      </c>
      <c r="BN124" s="300" t="str">
        <f>_xlfn.IFNA(VLOOKUP($BD124,Programma!$F$3:$P$1107,11,0),"")</f>
        <v/>
      </c>
      <c r="BO124" s="300" t="str">
        <f>_xlfn.IFNA(VLOOKUP($BD124,Programma!$F$3:$Q$1107,12,0),"")</f>
        <v/>
      </c>
      <c r="BP124" s="300" t="str">
        <f>_xlfn.IFNA(VLOOKUP($BD124,Programma!$F$3:$R$1107,13,0),"")</f>
        <v/>
      </c>
      <c r="BQ124" s="300" t="str">
        <f>_xlfn.IFNA(VLOOKUP($BD124,Programma!$F$3:$S$1107,14,0),"")</f>
        <v/>
      </c>
      <c r="BR124" s="300" t="str">
        <f>_xlfn.IFNA(VLOOKUP($BD124,Programma!$F$3:$T$1107,15,0),"")</f>
        <v/>
      </c>
      <c r="BS124" s="300" t="str">
        <f>_xlfn.IFNA(VLOOKUP($BD124,Programma!$F$3:$U$1107,16,0),"")</f>
        <v/>
      </c>
      <c r="BT124" s="300" t="str">
        <f>_xlfn.IFNA(VLOOKUP($BD124,Programma!$F$3:$V$1107,17,0),"")</f>
        <v/>
      </c>
      <c r="BU124" s="300" t="str">
        <f>_xlfn.IFNA(VLOOKUP($BD124,Programma!$F$3:$W$1107,18,0),"")</f>
        <v/>
      </c>
      <c r="BV124" s="300" t="str">
        <f>_xlfn.IFNA(VLOOKUP($BD124,Programma!$F$3:$X$1107,19,0),"")</f>
        <v/>
      </c>
      <c r="BW124" s="300" t="str">
        <f>_xlfn.IFNA(VLOOKUP($BD124,Programma!$F$3:$Y$1107,20,0),"")</f>
        <v/>
      </c>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row>
    <row r="125" spans="1:220" ht="15" customHeight="1">
      <c r="A125" s="21">
        <v>2</v>
      </c>
      <c r="B125" s="157" t="str">
        <f>VLOOKUP(Ruimtestaat[[#This Row],[Code]],Locaties[[Code]:[Locatie]],2,FALSE)</f>
        <v>'s Gravendreef College</v>
      </c>
      <c r="C125" s="157" t="str">
        <f>VLOOKUP(Ruimtestaat[[#This Row],[Code]],Locaties[[#All],[Code]:[Adres]],4,FALSE)</f>
        <v>Klaas Voskuildreef 135</v>
      </c>
      <c r="D125" s="157" t="str">
        <f>VLOOKUP(Ruimtestaat[[#This Row],[Code]],Locaties[[#All],[Code]:[Postcode]],5,FALSE)</f>
        <v>2492 JJ</v>
      </c>
      <c r="E125" s="157" t="str">
        <f>VLOOKUP(Ruimtestaat[[#This Row],[Code]],Locaties[#All],6,FALSE)</f>
        <v>Den Haag</v>
      </c>
      <c r="F125" s="33" t="s">
        <v>1748</v>
      </c>
      <c r="G125" s="33" t="s">
        <v>1784</v>
      </c>
      <c r="H125" s="21" t="s">
        <v>1799</v>
      </c>
      <c r="I125" s="62" t="s">
        <v>1782</v>
      </c>
      <c r="J125" s="21">
        <v>14</v>
      </c>
      <c r="K125" s="62" t="str">
        <f>VLOOKUP(Ruimtestaat[[#This Row],[Ruimte code]],Ruimtegroepen[[#All],[Code]:[Ruimte omschrijving]],2,FALSE)</f>
        <v>Praktijklokalen binas/zorg</v>
      </c>
      <c r="L125" s="33" t="s">
        <v>101</v>
      </c>
      <c r="M125" s="367" t="s">
        <v>2495</v>
      </c>
      <c r="N125" s="140">
        <v>68.25</v>
      </c>
      <c r="O125" s="140"/>
      <c r="P125" s="125" t="str">
        <f>VLOOKUP(Ruimtestaat[[#This Row],[Ruimte code]],Ruimtegroepen[],4,FALSE)</f>
        <v>Le</v>
      </c>
      <c r="R125" s="33">
        <v>40</v>
      </c>
      <c r="S125" s="33" t="s">
        <v>2</v>
      </c>
      <c r="T125" s="33">
        <f>IF(R125&gt;0,IF(RIGHT(Ruimtestaat[[#This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5" s="33">
        <f>IF(T125&gt;0,VLOOKUP($J125,Ruimtegroepen[],3,FALSE)*VLOOKUP($L125,Vloersoorten[],3,FALSE)*VLOOKUP($S125,Frequenties[],3,FALSE)*VLOOKUP($A125,Locaties[],3,FALSE),0)</f>
        <v>0</v>
      </c>
      <c r="V125" s="33">
        <f>Ruimtestaat[[#This Row],[Uitvoeringen werkdagen]]*Ruimtestaat[[#This Row],[Oppervlak (netto)]]</f>
        <v>13650</v>
      </c>
      <c r="W125" s="154">
        <f>IF(U125&gt;0,Ruimtestaat[[#This Row],[Prest. (m2 /jaar) werkdagen]]/Ruimtestaat[[#This Row],[Norm (m2/uur) werkdagen]],0)</f>
        <v>0</v>
      </c>
      <c r="X125" s="155">
        <f>Ruimtestaat[[#This Row],[uren / jaar werkdagen]]*Tariefsopbouw!$E$35</f>
        <v>0</v>
      </c>
      <c r="Y125" s="33"/>
      <c r="Z125" s="33">
        <f>IF(Ruimtestaat[[#This Row],[Frequentie weekend]]&gt;0,VALUE(LEFT(Y125,1))*R125,0)</f>
        <v>0</v>
      </c>
      <c r="AA125" s="97">
        <f>IF($Z125&gt;0,VLOOKUP($J125,Ruimtegroepen[],3,FALSE)*VLOOKUP($L125,Vloersoorten[],3,FALSE)*VLOOKUP($Y125,Frequenties[],3,FALSE)*VLOOKUP(Ruimtestaat[[#This Row],[Code]],Locaties[],3,FALSE),0)</f>
        <v>0</v>
      </c>
      <c r="AB125" s="97">
        <f>Ruimtestaat[[#This Row],[Uitvoeringen weekend]]*Ruimtestaat[[#This Row],[Oppervlak (netto)]]</f>
        <v>0</v>
      </c>
      <c r="AC125" s="97">
        <f>IF(AA125&gt;0,Ruimtestaat[[#This Row],[Prest. (m2 /jaar) weekend]]/Ruimtestaat[[#This Row],[Norm (m2/uur) weekend]],0)</f>
        <v>0</v>
      </c>
      <c r="AD125" s="155">
        <f>Ruimtestaat[[#This Row],[uren / jaar weekend]]*Tariefsopbouw!$D$40</f>
        <v>0</v>
      </c>
      <c r="AE125" s="154">
        <f>Ruimtestaat[[#This Row],[Prest. (m2 /jaar) weekend]]+Ruimtestaat[[#This Row],[Prest. (m2 /jaar) werkdagen]]</f>
        <v>13650</v>
      </c>
      <c r="AF125" s="154">
        <f>Ruimtestaat[[#This Row],[uren / jaar weekend]]+Ruimtestaat[[#This Row],[uren / jaar werkdagen]]</f>
        <v>0</v>
      </c>
      <c r="AG125" s="69">
        <f>Ruimtestaat[[#This Row],[kosten / jaar weekend]]+Ruimtestaat[[#This Row],[kosten / jaar werkdagen]]</f>
        <v>0</v>
      </c>
      <c r="AH125" s="69"/>
      <c r="AI125" s="256" t="str">
        <f>IF(Ruimtestaat[[#This Row],[Frequentie werkdagen]]="","",_xlfn.CONCAT(Ruimtestaat[[#This Row],[Ruimte code]],"-",Ruimtestaat[[#This Row],[Frequentie werkdagen]]," ",Ruimtestaat[[#This Row],[Vloer code]]))</f>
        <v>14-5w L</v>
      </c>
      <c r="AJ125" s="300" t="str">
        <f>_xlfn.IFNA(VLOOKUP($AI125,Programma!$F$3:$G$1107,2,0),"")</f>
        <v>_</v>
      </c>
      <c r="AK125" s="300" t="str">
        <f>_xlfn.IFNA(VLOOKUP($AI125,Programma!$F$3:$H$1107,3,0),"")</f>
        <v>_</v>
      </c>
      <c r="AL125" s="300" t="str">
        <f>_xlfn.IFNA(VLOOKUP($AI125,Programma!$F$3:$I$1107,4,0),"")</f>
        <v>_</v>
      </c>
      <c r="AM125" s="300" t="str">
        <f>_xlfn.IFNA(VLOOKUP($AI125,Programma!$F$3:$J$1107,5,0),"")</f>
        <v>5w</v>
      </c>
      <c r="AN125" s="300" t="str">
        <f>_xlfn.IFNA(VLOOKUP($AI125,Programma!$F$3:$K$1107,6,0),"")</f>
        <v>_</v>
      </c>
      <c r="AO125" s="300" t="str">
        <f>_xlfn.IFNA(VLOOKUP($AI125,Programma!$F$3:$L$1107,7,0),"")</f>
        <v>_</v>
      </c>
      <c r="AP125" s="300" t="str">
        <f>_xlfn.IFNA(VLOOKUP($AI125,Programma!$F$3:$M$1107,8,0),"")</f>
        <v>_</v>
      </c>
      <c r="AQ125" s="300" t="str">
        <f>_xlfn.IFNA(VLOOKUP($AI125,Programma!$F$3:$N$1107,9,0),"")</f>
        <v>_</v>
      </c>
      <c r="AR125" s="300" t="str">
        <f>_xlfn.IFNA(VLOOKUP($AI125,Programma!$F$3:$O$1107,10,0),"")</f>
        <v>5w</v>
      </c>
      <c r="AS125" s="300" t="str">
        <f>_xlfn.IFNA(VLOOKUP($AI125,Programma!$F$3:$P$1107,11,0),"")</f>
        <v>5w</v>
      </c>
      <c r="AT125" s="300" t="str">
        <f>_xlfn.IFNA(VLOOKUP($AI125,Programma!$F$3:$Q$1107,12,0),"")</f>
        <v>1w</v>
      </c>
      <c r="AU125" s="300" t="str">
        <f>_xlfn.IFNA(VLOOKUP($AI125,Programma!$F$3:$R$1107,13,0),"")</f>
        <v>1w</v>
      </c>
      <c r="AV125" s="300" t="str">
        <f>_xlfn.IFNA(VLOOKUP($AI125,Programma!$F$3:$S$1107,14,0),"")</f>
        <v>1m</v>
      </c>
      <c r="AW125" s="300" t="str">
        <f>_xlfn.IFNA(VLOOKUP($AI125,Programma!$F$3:$T$1107,15,0),"")</f>
        <v>2j</v>
      </c>
      <c r="AX125" s="300" t="str">
        <f>_xlfn.IFNA(VLOOKUP($AI125,Programma!$F$3:$U$1107,16,0),"")</f>
        <v>1j</v>
      </c>
      <c r="AY125" s="300" t="str">
        <f>_xlfn.IFNA(VLOOKUP($AI125,Programma!$F$3:$V$1107,17,0),"")</f>
        <v>_</v>
      </c>
      <c r="AZ125" s="300" t="str">
        <f>_xlfn.IFNA(VLOOKUP($AI125,Programma!$F$3:$W$1107,18,0),"")</f>
        <v>_</v>
      </c>
      <c r="BA125" s="300" t="str">
        <f>_xlfn.IFNA(VLOOKUP($AI125,Programma!$F$3:$X$1107,19,0),"")</f>
        <v>_</v>
      </c>
      <c r="BB125" s="300" t="str">
        <f>_xlfn.IFNA(VLOOKUP($AI125,Programma!$F$3:$Y$1107,20,0),"")</f>
        <v>_</v>
      </c>
      <c r="BC125" s="257"/>
      <c r="BD125" s="256" t="str">
        <f>IF(Ruimtestaat[[#This Row],[Frequentie weekend]]="","",_xlfn.CONCAT(Ruimtestaat[[#This Row],[Ruimte code]],"-",Ruimtestaat[[#This Row],[Frequentie weekend]]," ",Ruimtestaat[[#This Row],[Vloer code]]))</f>
        <v/>
      </c>
      <c r="BE125" s="300" t="str">
        <f>_xlfn.IFNA(VLOOKUP($BD125,Programma!$F$3:$G$1107,2,0),"")</f>
        <v/>
      </c>
      <c r="BF125" s="300" t="str">
        <f>_xlfn.IFNA(VLOOKUP($BD125,Programma!$F$3:$H$1107,3,0),"")</f>
        <v/>
      </c>
      <c r="BG125" s="300" t="str">
        <f>_xlfn.IFNA(VLOOKUP($BD125,Programma!$F$3:$I$1107,4,0),"")</f>
        <v/>
      </c>
      <c r="BH125" s="300" t="str">
        <f>_xlfn.IFNA(VLOOKUP($BD125,Programma!$F$3:$J$1107,5,0),"")</f>
        <v/>
      </c>
      <c r="BI125" s="300" t="str">
        <f>_xlfn.IFNA(VLOOKUP($BD125,Programma!$F$3:$K$1107,6,0),"")</f>
        <v/>
      </c>
      <c r="BJ125" s="300" t="str">
        <f>_xlfn.IFNA(VLOOKUP($BD125,Programma!$F$3:$L$1107,7,0),"")</f>
        <v/>
      </c>
      <c r="BK125" s="300" t="str">
        <f>_xlfn.IFNA(VLOOKUP($BD125,Programma!$F$3:$M$1107,8,0),"")</f>
        <v/>
      </c>
      <c r="BL125" s="300" t="str">
        <f>_xlfn.IFNA(VLOOKUP($BD125,Programma!$F$3:$N$1107,9,0),"")</f>
        <v/>
      </c>
      <c r="BM125" s="300" t="str">
        <f>_xlfn.IFNA(VLOOKUP($BD125,Programma!$F$3:$O$1107,10,0),"")</f>
        <v/>
      </c>
      <c r="BN125" s="300" t="str">
        <f>_xlfn.IFNA(VLOOKUP($BD125,Programma!$F$3:$P$1107,11,0),"")</f>
        <v/>
      </c>
      <c r="BO125" s="300" t="str">
        <f>_xlfn.IFNA(VLOOKUP($BD125,Programma!$F$3:$Q$1107,12,0),"")</f>
        <v/>
      </c>
      <c r="BP125" s="300" t="str">
        <f>_xlfn.IFNA(VLOOKUP($BD125,Programma!$F$3:$R$1107,13,0),"")</f>
        <v/>
      </c>
      <c r="BQ125" s="300" t="str">
        <f>_xlfn.IFNA(VLOOKUP($BD125,Programma!$F$3:$S$1107,14,0),"")</f>
        <v/>
      </c>
      <c r="BR125" s="300" t="str">
        <f>_xlfn.IFNA(VLOOKUP($BD125,Programma!$F$3:$T$1107,15,0),"")</f>
        <v/>
      </c>
      <c r="BS125" s="300" t="str">
        <f>_xlfn.IFNA(VLOOKUP($BD125,Programma!$F$3:$U$1107,16,0),"")</f>
        <v/>
      </c>
      <c r="BT125" s="300" t="str">
        <f>_xlfn.IFNA(VLOOKUP($BD125,Programma!$F$3:$V$1107,17,0),"")</f>
        <v/>
      </c>
      <c r="BU125" s="300" t="str">
        <f>_xlfn.IFNA(VLOOKUP($BD125,Programma!$F$3:$W$1107,18,0),"")</f>
        <v/>
      </c>
      <c r="BV125" s="300" t="str">
        <f>_xlfn.IFNA(VLOOKUP($BD125,Programma!$F$3:$X$1107,19,0),"")</f>
        <v/>
      </c>
      <c r="BW125" s="300" t="str">
        <f>_xlfn.IFNA(VLOOKUP($BD125,Programma!$F$3:$Y$1107,20,0),"")</f>
        <v/>
      </c>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row>
    <row r="126" spans="1:220" ht="15" customHeight="1">
      <c r="A126" s="21">
        <v>2</v>
      </c>
      <c r="B126" s="157" t="str">
        <f>VLOOKUP(Ruimtestaat[[#This Row],[Code]],Locaties[[Code]:[Locatie]],2,FALSE)</f>
        <v>'s Gravendreef College</v>
      </c>
      <c r="C126" s="157" t="str">
        <f>VLOOKUP(Ruimtestaat[[#This Row],[Code]],Locaties[[#All],[Code]:[Adres]],4,FALSE)</f>
        <v>Klaas Voskuildreef 135</v>
      </c>
      <c r="D126" s="157" t="str">
        <f>VLOOKUP(Ruimtestaat[[#This Row],[Code]],Locaties[[#All],[Code]:[Postcode]],5,FALSE)</f>
        <v>2492 JJ</v>
      </c>
      <c r="E126" s="157" t="str">
        <f>VLOOKUP(Ruimtestaat[[#This Row],[Code]],Locaties[#All],6,FALSE)</f>
        <v>Den Haag</v>
      </c>
      <c r="F126" s="33" t="s">
        <v>1748</v>
      </c>
      <c r="G126" s="33" t="s">
        <v>1784</v>
      </c>
      <c r="H126" s="21" t="s">
        <v>1800</v>
      </c>
      <c r="I126" s="62" t="s">
        <v>1644</v>
      </c>
      <c r="J126" s="21">
        <v>1</v>
      </c>
      <c r="K126" s="62" t="str">
        <f>VLOOKUP(Ruimtestaat[[#This Row],[Ruimte code]],Ruimtegroepen[[#All],[Code]:[Ruimte omschrijving]],2,FALSE)</f>
        <v>Magazijnen/bergingen</v>
      </c>
      <c r="L126" s="33" t="s">
        <v>101</v>
      </c>
      <c r="M126" s="367" t="s">
        <v>2495</v>
      </c>
      <c r="N126" s="140">
        <v>15.33</v>
      </c>
      <c r="O126" s="140"/>
      <c r="P126" s="125" t="str">
        <f>VLOOKUP(Ruimtestaat[[#This Row],[Ruimte code]],Ruimtegroepen[],4,FALSE)</f>
        <v>Ve</v>
      </c>
      <c r="R126" s="33">
        <v>40</v>
      </c>
      <c r="S126" s="33" t="s">
        <v>16</v>
      </c>
      <c r="T126" s="33">
        <f>IF(R126&gt;0,IF(RIGHT(Ruimtestaat[[#This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26" s="33">
        <f>IF(T126&gt;0,VLOOKUP($J126,Ruimtegroepen[],3,FALSE)*VLOOKUP($L126,Vloersoorten[],3,FALSE)*VLOOKUP($S126,Frequenties[],3,FALSE)*VLOOKUP($A126,Locaties[],3,FALSE),0)</f>
        <v>0</v>
      </c>
      <c r="V126" s="33">
        <f>Ruimtestaat[[#This Row],[Uitvoeringen werkdagen]]*Ruimtestaat[[#This Row],[Oppervlak (netto)]]</f>
        <v>183.96</v>
      </c>
      <c r="W126" s="154">
        <f>IF(U126&gt;0,Ruimtestaat[[#This Row],[Prest. (m2 /jaar) werkdagen]]/Ruimtestaat[[#This Row],[Norm (m2/uur) werkdagen]],0)</f>
        <v>0</v>
      </c>
      <c r="X126" s="155">
        <f>Ruimtestaat[[#This Row],[uren / jaar werkdagen]]*Tariefsopbouw!$E$35</f>
        <v>0</v>
      </c>
      <c r="Y126" s="33"/>
      <c r="Z126" s="33">
        <f>IF(Ruimtestaat[[#This Row],[Frequentie weekend]]&gt;0,VALUE(LEFT(Y126,1))*R126,0)</f>
        <v>0</v>
      </c>
      <c r="AA126" s="97">
        <f>IF($Z126&gt;0,VLOOKUP($J126,Ruimtegroepen[],3,FALSE)*VLOOKUP($L126,Vloersoorten[],3,FALSE)*VLOOKUP($Y126,Frequenties[],3,FALSE)*VLOOKUP(Ruimtestaat[[#This Row],[Code]],Locaties[],3,FALSE),0)</f>
        <v>0</v>
      </c>
      <c r="AB126" s="97">
        <f>Ruimtestaat[[#This Row],[Uitvoeringen weekend]]*Ruimtestaat[[#This Row],[Oppervlak (netto)]]</f>
        <v>0</v>
      </c>
      <c r="AC126" s="97">
        <f>IF(AA126&gt;0,Ruimtestaat[[#This Row],[Prest. (m2 /jaar) weekend]]/Ruimtestaat[[#This Row],[Norm (m2/uur) weekend]],0)</f>
        <v>0</v>
      </c>
      <c r="AD126" s="155">
        <f>Ruimtestaat[[#This Row],[uren / jaar weekend]]*Tariefsopbouw!$D$40</f>
        <v>0</v>
      </c>
      <c r="AE126" s="154">
        <f>Ruimtestaat[[#This Row],[Prest. (m2 /jaar) weekend]]+Ruimtestaat[[#This Row],[Prest. (m2 /jaar) werkdagen]]</f>
        <v>183.96</v>
      </c>
      <c r="AF126" s="154">
        <f>Ruimtestaat[[#This Row],[uren / jaar weekend]]+Ruimtestaat[[#This Row],[uren / jaar werkdagen]]</f>
        <v>0</v>
      </c>
      <c r="AG126" s="69">
        <f>Ruimtestaat[[#This Row],[kosten / jaar weekend]]+Ruimtestaat[[#This Row],[kosten / jaar werkdagen]]</f>
        <v>0</v>
      </c>
      <c r="AH126" s="69"/>
      <c r="AI126" s="256" t="str">
        <f>IF(Ruimtestaat[[#This Row],[Frequentie werkdagen]]="","",_xlfn.CONCAT(Ruimtestaat[[#This Row],[Ruimte code]],"-",Ruimtestaat[[#This Row],[Frequentie werkdagen]]," ",Ruimtestaat[[#This Row],[Vloer code]]))</f>
        <v>1-1m L</v>
      </c>
      <c r="AJ126" s="300" t="str">
        <f>_xlfn.IFNA(VLOOKUP($AI126,Programma!$F$3:$G$1107,2,0),"")</f>
        <v>_</v>
      </c>
      <c r="AK126" s="300" t="str">
        <f>_xlfn.IFNA(VLOOKUP($AI126,Programma!$F$3:$H$1107,3,0),"")</f>
        <v>_</v>
      </c>
      <c r="AL126" s="300" t="str">
        <f>_xlfn.IFNA(VLOOKUP($AI126,Programma!$F$3:$I$1107,4,0),"")</f>
        <v>1m</v>
      </c>
      <c r="AM126" s="300" t="str">
        <f>_xlfn.IFNA(VLOOKUP($AI126,Programma!$F$3:$J$1107,5,0),"")</f>
        <v>1m</v>
      </c>
      <c r="AN126" s="300" t="str">
        <f>_xlfn.IFNA(VLOOKUP($AI126,Programma!$F$3:$K$1107,6,0),"")</f>
        <v>_</v>
      </c>
      <c r="AO126" s="300" t="str">
        <f>_xlfn.IFNA(VLOOKUP($AI126,Programma!$F$3:$L$1107,7,0),"")</f>
        <v>_</v>
      </c>
      <c r="AP126" s="300" t="str">
        <f>_xlfn.IFNA(VLOOKUP($AI126,Programma!$F$3:$M$1107,8,0),"")</f>
        <v>_</v>
      </c>
      <c r="AQ126" s="300" t="str">
        <f>_xlfn.IFNA(VLOOKUP($AI126,Programma!$F$3:$N$1107,9,0),"")</f>
        <v>_</v>
      </c>
      <c r="AR126" s="300" t="str">
        <f>_xlfn.IFNA(VLOOKUP($AI126,Programma!$F$3:$O$1107,10,0),"")</f>
        <v>_</v>
      </c>
      <c r="AS126" s="300" t="str">
        <f>_xlfn.IFNA(VLOOKUP($AI126,Programma!$F$3:$P$1107,11,0),"")</f>
        <v>_</v>
      </c>
      <c r="AT126" s="300" t="str">
        <f>_xlfn.IFNA(VLOOKUP($AI126,Programma!$F$3:$Q$1107,12,0),"")</f>
        <v>_</v>
      </c>
      <c r="AU126" s="300" t="str">
        <f>_xlfn.IFNA(VLOOKUP($AI126,Programma!$F$3:$R$1107,13,0),"")</f>
        <v>_</v>
      </c>
      <c r="AV126" s="300" t="str">
        <f>_xlfn.IFNA(VLOOKUP($AI126,Programma!$F$3:$S$1107,14,0),"")</f>
        <v>1m</v>
      </c>
      <c r="AW126" s="300" t="str">
        <f>_xlfn.IFNA(VLOOKUP($AI126,Programma!$F$3:$T$1107,15,0),"")</f>
        <v>4j</v>
      </c>
      <c r="AX126" s="300" t="str">
        <f>_xlfn.IFNA(VLOOKUP($AI126,Programma!$F$3:$U$1107,16,0),"")</f>
        <v>4j</v>
      </c>
      <c r="AY126" s="300" t="str">
        <f>_xlfn.IFNA(VLOOKUP($AI126,Programma!$F$3:$V$1107,17,0),"")</f>
        <v>_</v>
      </c>
      <c r="AZ126" s="300" t="str">
        <f>_xlfn.IFNA(VLOOKUP($AI126,Programma!$F$3:$W$1107,18,0),"")</f>
        <v>_</v>
      </c>
      <c r="BA126" s="300" t="str">
        <f>_xlfn.IFNA(VLOOKUP($AI126,Programma!$F$3:$X$1107,19,0),"")</f>
        <v>_</v>
      </c>
      <c r="BB126" s="300" t="str">
        <f>_xlfn.IFNA(VLOOKUP($AI126,Programma!$F$3:$Y$1107,20,0),"")</f>
        <v>_</v>
      </c>
      <c r="BC126" s="257"/>
      <c r="BD126" s="256" t="str">
        <f>IF(Ruimtestaat[[#This Row],[Frequentie weekend]]="","",_xlfn.CONCAT(Ruimtestaat[[#This Row],[Ruimte code]],"-",Ruimtestaat[[#This Row],[Frequentie weekend]]," ",Ruimtestaat[[#This Row],[Vloer code]]))</f>
        <v/>
      </c>
      <c r="BE126" s="300" t="str">
        <f>_xlfn.IFNA(VLOOKUP($BD126,Programma!$F$3:$G$1107,2,0),"")</f>
        <v/>
      </c>
      <c r="BF126" s="300" t="str">
        <f>_xlfn.IFNA(VLOOKUP($BD126,Programma!$F$3:$H$1107,3,0),"")</f>
        <v/>
      </c>
      <c r="BG126" s="300" t="str">
        <f>_xlfn.IFNA(VLOOKUP($BD126,Programma!$F$3:$I$1107,4,0),"")</f>
        <v/>
      </c>
      <c r="BH126" s="300" t="str">
        <f>_xlfn.IFNA(VLOOKUP($BD126,Programma!$F$3:$J$1107,5,0),"")</f>
        <v/>
      </c>
      <c r="BI126" s="300" t="str">
        <f>_xlfn.IFNA(VLOOKUP($BD126,Programma!$F$3:$K$1107,6,0),"")</f>
        <v/>
      </c>
      <c r="BJ126" s="300" t="str">
        <f>_xlfn.IFNA(VLOOKUP($BD126,Programma!$F$3:$L$1107,7,0),"")</f>
        <v/>
      </c>
      <c r="BK126" s="300" t="str">
        <f>_xlfn.IFNA(VLOOKUP($BD126,Programma!$F$3:$M$1107,8,0),"")</f>
        <v/>
      </c>
      <c r="BL126" s="300" t="str">
        <f>_xlfn.IFNA(VLOOKUP($BD126,Programma!$F$3:$N$1107,9,0),"")</f>
        <v/>
      </c>
      <c r="BM126" s="300" t="str">
        <f>_xlfn.IFNA(VLOOKUP($BD126,Programma!$F$3:$O$1107,10,0),"")</f>
        <v/>
      </c>
      <c r="BN126" s="300" t="str">
        <f>_xlfn.IFNA(VLOOKUP($BD126,Programma!$F$3:$P$1107,11,0),"")</f>
        <v/>
      </c>
      <c r="BO126" s="300" t="str">
        <f>_xlfn.IFNA(VLOOKUP($BD126,Programma!$F$3:$Q$1107,12,0),"")</f>
        <v/>
      </c>
      <c r="BP126" s="300" t="str">
        <f>_xlfn.IFNA(VLOOKUP($BD126,Programma!$F$3:$R$1107,13,0),"")</f>
        <v/>
      </c>
      <c r="BQ126" s="300" t="str">
        <f>_xlfn.IFNA(VLOOKUP($BD126,Programma!$F$3:$S$1107,14,0),"")</f>
        <v/>
      </c>
      <c r="BR126" s="300" t="str">
        <f>_xlfn.IFNA(VLOOKUP($BD126,Programma!$F$3:$T$1107,15,0),"")</f>
        <v/>
      </c>
      <c r="BS126" s="300" t="str">
        <f>_xlfn.IFNA(VLOOKUP($BD126,Programma!$F$3:$U$1107,16,0),"")</f>
        <v/>
      </c>
      <c r="BT126" s="300" t="str">
        <f>_xlfn.IFNA(VLOOKUP($BD126,Programma!$F$3:$V$1107,17,0),"")</f>
        <v/>
      </c>
      <c r="BU126" s="300" t="str">
        <f>_xlfn.IFNA(VLOOKUP($BD126,Programma!$F$3:$W$1107,18,0),"")</f>
        <v/>
      </c>
      <c r="BV126" s="300" t="str">
        <f>_xlfn.IFNA(VLOOKUP($BD126,Programma!$F$3:$X$1107,19,0),"")</f>
        <v/>
      </c>
      <c r="BW126" s="300" t="str">
        <f>_xlfn.IFNA(VLOOKUP($BD126,Programma!$F$3:$Y$1107,20,0),"")</f>
        <v/>
      </c>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row>
    <row r="127" spans="1:220" ht="15" customHeight="1">
      <c r="A127" s="21">
        <v>2</v>
      </c>
      <c r="B127" s="157" t="str">
        <f>VLOOKUP(Ruimtestaat[[#This Row],[Code]],Locaties[[Code]:[Locatie]],2,FALSE)</f>
        <v>'s Gravendreef College</v>
      </c>
      <c r="C127" s="157" t="str">
        <f>VLOOKUP(Ruimtestaat[[#This Row],[Code]],Locaties[[#All],[Code]:[Adres]],4,FALSE)</f>
        <v>Klaas Voskuildreef 135</v>
      </c>
      <c r="D127" s="157" t="str">
        <f>VLOOKUP(Ruimtestaat[[#This Row],[Code]],Locaties[[#All],[Code]:[Postcode]],5,FALSE)</f>
        <v>2492 JJ</v>
      </c>
      <c r="E127" s="157" t="str">
        <f>VLOOKUP(Ruimtestaat[[#This Row],[Code]],Locaties[#All],6,FALSE)</f>
        <v>Den Haag</v>
      </c>
      <c r="F127" s="33" t="s">
        <v>1748</v>
      </c>
      <c r="G127" s="33" t="s">
        <v>1784</v>
      </c>
      <c r="H127" s="21" t="s">
        <v>1800</v>
      </c>
      <c r="I127" s="62" t="s">
        <v>1644</v>
      </c>
      <c r="J127" s="21">
        <v>1</v>
      </c>
      <c r="K127" s="62" t="str">
        <f>VLOOKUP(Ruimtestaat[[#This Row],[Ruimte code]],Ruimtegroepen[[#All],[Code]:[Ruimte omschrijving]],2,FALSE)</f>
        <v>Magazijnen/bergingen</v>
      </c>
      <c r="L127" s="33" t="s">
        <v>101</v>
      </c>
      <c r="M127" s="367" t="s">
        <v>2495</v>
      </c>
      <c r="N127" s="140">
        <v>15.33</v>
      </c>
      <c r="O127" s="140"/>
      <c r="P127" s="125" t="str">
        <f>VLOOKUP(Ruimtestaat[[#This Row],[Ruimte code]],Ruimtegroepen[],4,FALSE)</f>
        <v>Ve</v>
      </c>
      <c r="R127" s="33">
        <v>40</v>
      </c>
      <c r="S127" s="33" t="s">
        <v>16</v>
      </c>
      <c r="T127" s="33">
        <f>IF(R127&gt;0,IF(RIGHT(Ruimtestaat[[#This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27" s="33">
        <f>IF(T127&gt;0,VLOOKUP($J127,Ruimtegroepen[],3,FALSE)*VLOOKUP($L127,Vloersoorten[],3,FALSE)*VLOOKUP($S127,Frequenties[],3,FALSE)*VLOOKUP($A127,Locaties[],3,FALSE),0)</f>
        <v>0</v>
      </c>
      <c r="V127" s="33">
        <f>Ruimtestaat[[#This Row],[Uitvoeringen werkdagen]]*Ruimtestaat[[#This Row],[Oppervlak (netto)]]</f>
        <v>183.96</v>
      </c>
      <c r="W127" s="154">
        <f>IF(U127&gt;0,Ruimtestaat[[#This Row],[Prest. (m2 /jaar) werkdagen]]/Ruimtestaat[[#This Row],[Norm (m2/uur) werkdagen]],0)</f>
        <v>0</v>
      </c>
      <c r="X127" s="155">
        <f>Ruimtestaat[[#This Row],[uren / jaar werkdagen]]*Tariefsopbouw!$E$35</f>
        <v>0</v>
      </c>
      <c r="Y127" s="33"/>
      <c r="Z127" s="33">
        <f>IF(Ruimtestaat[[#This Row],[Frequentie weekend]]&gt;0,VALUE(LEFT(Y127,1))*R127,0)</f>
        <v>0</v>
      </c>
      <c r="AA127" s="97">
        <f>IF($Z127&gt;0,VLOOKUP($J127,Ruimtegroepen[],3,FALSE)*VLOOKUP($L127,Vloersoorten[],3,FALSE)*VLOOKUP($Y127,Frequenties[],3,FALSE)*VLOOKUP(Ruimtestaat[[#This Row],[Code]],Locaties[],3,FALSE),0)</f>
        <v>0</v>
      </c>
      <c r="AB127" s="97">
        <f>Ruimtestaat[[#This Row],[Uitvoeringen weekend]]*Ruimtestaat[[#This Row],[Oppervlak (netto)]]</f>
        <v>0</v>
      </c>
      <c r="AC127" s="97">
        <f>IF(AA127&gt;0,Ruimtestaat[[#This Row],[Prest. (m2 /jaar) weekend]]/Ruimtestaat[[#This Row],[Norm (m2/uur) weekend]],0)</f>
        <v>0</v>
      </c>
      <c r="AD127" s="155">
        <f>Ruimtestaat[[#This Row],[uren / jaar weekend]]*Tariefsopbouw!$D$40</f>
        <v>0</v>
      </c>
      <c r="AE127" s="154">
        <f>Ruimtestaat[[#This Row],[Prest. (m2 /jaar) weekend]]+Ruimtestaat[[#This Row],[Prest. (m2 /jaar) werkdagen]]</f>
        <v>183.96</v>
      </c>
      <c r="AF127" s="154">
        <f>Ruimtestaat[[#This Row],[uren / jaar weekend]]+Ruimtestaat[[#This Row],[uren / jaar werkdagen]]</f>
        <v>0</v>
      </c>
      <c r="AG127" s="69">
        <f>Ruimtestaat[[#This Row],[kosten / jaar weekend]]+Ruimtestaat[[#This Row],[kosten / jaar werkdagen]]</f>
        <v>0</v>
      </c>
      <c r="AH127" s="69"/>
      <c r="AI127" s="256" t="str">
        <f>IF(Ruimtestaat[[#This Row],[Frequentie werkdagen]]="","",_xlfn.CONCAT(Ruimtestaat[[#This Row],[Ruimte code]],"-",Ruimtestaat[[#This Row],[Frequentie werkdagen]]," ",Ruimtestaat[[#This Row],[Vloer code]]))</f>
        <v>1-1m L</v>
      </c>
      <c r="AJ127" s="300" t="str">
        <f>_xlfn.IFNA(VLOOKUP($AI127,Programma!$F$3:$G$1107,2,0),"")</f>
        <v>_</v>
      </c>
      <c r="AK127" s="300" t="str">
        <f>_xlfn.IFNA(VLOOKUP($AI127,Programma!$F$3:$H$1107,3,0),"")</f>
        <v>_</v>
      </c>
      <c r="AL127" s="300" t="str">
        <f>_xlfn.IFNA(VLOOKUP($AI127,Programma!$F$3:$I$1107,4,0),"")</f>
        <v>1m</v>
      </c>
      <c r="AM127" s="300" t="str">
        <f>_xlfn.IFNA(VLOOKUP($AI127,Programma!$F$3:$J$1107,5,0),"")</f>
        <v>1m</v>
      </c>
      <c r="AN127" s="300" t="str">
        <f>_xlfn.IFNA(VLOOKUP($AI127,Programma!$F$3:$K$1107,6,0),"")</f>
        <v>_</v>
      </c>
      <c r="AO127" s="300" t="str">
        <f>_xlfn.IFNA(VLOOKUP($AI127,Programma!$F$3:$L$1107,7,0),"")</f>
        <v>_</v>
      </c>
      <c r="AP127" s="300" t="str">
        <f>_xlfn.IFNA(VLOOKUP($AI127,Programma!$F$3:$M$1107,8,0),"")</f>
        <v>_</v>
      </c>
      <c r="AQ127" s="300" t="str">
        <f>_xlfn.IFNA(VLOOKUP($AI127,Programma!$F$3:$N$1107,9,0),"")</f>
        <v>_</v>
      </c>
      <c r="AR127" s="300" t="str">
        <f>_xlfn.IFNA(VLOOKUP($AI127,Programma!$F$3:$O$1107,10,0),"")</f>
        <v>_</v>
      </c>
      <c r="AS127" s="300" t="str">
        <f>_xlfn.IFNA(VLOOKUP($AI127,Programma!$F$3:$P$1107,11,0),"")</f>
        <v>_</v>
      </c>
      <c r="AT127" s="300" t="str">
        <f>_xlfn.IFNA(VLOOKUP($AI127,Programma!$F$3:$Q$1107,12,0),"")</f>
        <v>_</v>
      </c>
      <c r="AU127" s="300" t="str">
        <f>_xlfn.IFNA(VLOOKUP($AI127,Programma!$F$3:$R$1107,13,0),"")</f>
        <v>_</v>
      </c>
      <c r="AV127" s="300" t="str">
        <f>_xlfn.IFNA(VLOOKUP($AI127,Programma!$F$3:$S$1107,14,0),"")</f>
        <v>1m</v>
      </c>
      <c r="AW127" s="300" t="str">
        <f>_xlfn.IFNA(VLOOKUP($AI127,Programma!$F$3:$T$1107,15,0),"")</f>
        <v>4j</v>
      </c>
      <c r="AX127" s="300" t="str">
        <f>_xlfn.IFNA(VLOOKUP($AI127,Programma!$F$3:$U$1107,16,0),"")</f>
        <v>4j</v>
      </c>
      <c r="AY127" s="300" t="str">
        <f>_xlfn.IFNA(VLOOKUP($AI127,Programma!$F$3:$V$1107,17,0),"")</f>
        <v>_</v>
      </c>
      <c r="AZ127" s="300" t="str">
        <f>_xlfn.IFNA(VLOOKUP($AI127,Programma!$F$3:$W$1107,18,0),"")</f>
        <v>_</v>
      </c>
      <c r="BA127" s="300" t="str">
        <f>_xlfn.IFNA(VLOOKUP($AI127,Programma!$F$3:$X$1107,19,0),"")</f>
        <v>_</v>
      </c>
      <c r="BB127" s="300" t="str">
        <f>_xlfn.IFNA(VLOOKUP($AI127,Programma!$F$3:$Y$1107,20,0),"")</f>
        <v>_</v>
      </c>
      <c r="BC127" s="257"/>
      <c r="BD127" s="256" t="str">
        <f>IF(Ruimtestaat[[#This Row],[Frequentie weekend]]="","",_xlfn.CONCAT(Ruimtestaat[[#This Row],[Ruimte code]],"-",Ruimtestaat[[#This Row],[Frequentie weekend]]," ",Ruimtestaat[[#This Row],[Vloer code]]))</f>
        <v/>
      </c>
      <c r="BE127" s="300" t="str">
        <f>_xlfn.IFNA(VLOOKUP($BD127,Programma!$F$3:$G$1107,2,0),"")</f>
        <v/>
      </c>
      <c r="BF127" s="300" t="str">
        <f>_xlfn.IFNA(VLOOKUP($BD127,Programma!$F$3:$H$1107,3,0),"")</f>
        <v/>
      </c>
      <c r="BG127" s="300" t="str">
        <f>_xlfn.IFNA(VLOOKUP($BD127,Programma!$F$3:$I$1107,4,0),"")</f>
        <v/>
      </c>
      <c r="BH127" s="300" t="str">
        <f>_xlfn.IFNA(VLOOKUP($BD127,Programma!$F$3:$J$1107,5,0),"")</f>
        <v/>
      </c>
      <c r="BI127" s="300" t="str">
        <f>_xlfn.IFNA(VLOOKUP($BD127,Programma!$F$3:$K$1107,6,0),"")</f>
        <v/>
      </c>
      <c r="BJ127" s="300" t="str">
        <f>_xlfn.IFNA(VLOOKUP($BD127,Programma!$F$3:$L$1107,7,0),"")</f>
        <v/>
      </c>
      <c r="BK127" s="300" t="str">
        <f>_xlfn.IFNA(VLOOKUP($BD127,Programma!$F$3:$M$1107,8,0),"")</f>
        <v/>
      </c>
      <c r="BL127" s="300" t="str">
        <f>_xlfn.IFNA(VLOOKUP($BD127,Programma!$F$3:$N$1107,9,0),"")</f>
        <v/>
      </c>
      <c r="BM127" s="300" t="str">
        <f>_xlfn.IFNA(VLOOKUP($BD127,Programma!$F$3:$O$1107,10,0),"")</f>
        <v/>
      </c>
      <c r="BN127" s="300" t="str">
        <f>_xlfn.IFNA(VLOOKUP($BD127,Programma!$F$3:$P$1107,11,0),"")</f>
        <v/>
      </c>
      <c r="BO127" s="300" t="str">
        <f>_xlfn.IFNA(VLOOKUP($BD127,Programma!$F$3:$Q$1107,12,0),"")</f>
        <v/>
      </c>
      <c r="BP127" s="300" t="str">
        <f>_xlfn.IFNA(VLOOKUP($BD127,Programma!$F$3:$R$1107,13,0),"")</f>
        <v/>
      </c>
      <c r="BQ127" s="300" t="str">
        <f>_xlfn.IFNA(VLOOKUP($BD127,Programma!$F$3:$S$1107,14,0),"")</f>
        <v/>
      </c>
      <c r="BR127" s="300" t="str">
        <f>_xlfn.IFNA(VLOOKUP($BD127,Programma!$F$3:$T$1107,15,0),"")</f>
        <v/>
      </c>
      <c r="BS127" s="300" t="str">
        <f>_xlfn.IFNA(VLOOKUP($BD127,Programma!$F$3:$U$1107,16,0),"")</f>
        <v/>
      </c>
      <c r="BT127" s="300" t="str">
        <f>_xlfn.IFNA(VLOOKUP($BD127,Programma!$F$3:$V$1107,17,0),"")</f>
        <v/>
      </c>
      <c r="BU127" s="300" t="str">
        <f>_xlfn.IFNA(VLOOKUP($BD127,Programma!$F$3:$W$1107,18,0),"")</f>
        <v/>
      </c>
      <c r="BV127" s="300" t="str">
        <f>_xlfn.IFNA(VLOOKUP($BD127,Programma!$F$3:$X$1107,19,0),"")</f>
        <v/>
      </c>
      <c r="BW127" s="300" t="str">
        <f>_xlfn.IFNA(VLOOKUP($BD127,Programma!$F$3:$Y$1107,20,0),"")</f>
        <v/>
      </c>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row>
    <row r="128" spans="1:220" ht="15" customHeight="1">
      <c r="A128" s="21">
        <v>3</v>
      </c>
      <c r="B128" s="157" t="str">
        <f>VLOOKUP(Ruimtestaat[[#This Row],[Code]],Locaties[[Code]:[Locatie]],2,FALSE)</f>
        <v>'s Gravendreef College - Dependance</v>
      </c>
      <c r="C128" s="157" t="str">
        <f>VLOOKUP(Ruimtestaat[[#This Row],[Code]],Locaties[[#All],[Code]:[Adres]],4,FALSE)</f>
        <v>Henri Faasdreef 200</v>
      </c>
      <c r="D128" s="157" t="str">
        <f>VLOOKUP(Ruimtestaat[[#This Row],[Code]],Locaties[[#All],[Code]:[Postcode]],5,FALSE)</f>
        <v>2492 JP</v>
      </c>
      <c r="E128" s="157" t="str">
        <f>VLOOKUP(Ruimtestaat[[#This Row],[Code]],Locaties[#All],6,FALSE)</f>
        <v>Den Haag</v>
      </c>
      <c r="F128" s="33" t="s">
        <v>1801</v>
      </c>
      <c r="G128" s="33" t="s">
        <v>1749</v>
      </c>
      <c r="H128" s="21" t="s">
        <v>1802</v>
      </c>
      <c r="I128" s="62" t="s">
        <v>38</v>
      </c>
      <c r="J128" s="21">
        <v>7</v>
      </c>
      <c r="K128" s="62" t="str">
        <f>VLOOKUP(Ruimtestaat[[#This Row],[Ruimte code]],Ruimtegroepen[[#All],[Code]:[Ruimte omschrijving]],2,FALSE)</f>
        <v>Entree</v>
      </c>
      <c r="L128" s="33" t="s">
        <v>101</v>
      </c>
      <c r="M128" s="367" t="s">
        <v>2495</v>
      </c>
      <c r="N128" s="140">
        <v>66.89</v>
      </c>
      <c r="O128" s="140"/>
      <c r="P128" s="125" t="str">
        <f>VLOOKUP(Ruimtestaat[[#This Row],[Ruimte code]],Ruimtegroepen[],4,FALSE)</f>
        <v>Ve</v>
      </c>
      <c r="R128" s="33">
        <v>40</v>
      </c>
      <c r="S128" s="33" t="s">
        <v>2</v>
      </c>
      <c r="T128" s="33">
        <f>IF(R128&gt;0,IF(RIGHT(Ruimtestaat[[#This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8" s="33">
        <f>IF(T128&gt;0,VLOOKUP($J128,Ruimtegroepen[],3,FALSE)*VLOOKUP($L128,Vloersoorten[],3,FALSE)*VLOOKUP($S128,Frequenties[],3,FALSE)*VLOOKUP($A128,Locaties[],3,FALSE),0)</f>
        <v>0</v>
      </c>
      <c r="V128" s="33">
        <f>Ruimtestaat[[#This Row],[Uitvoeringen werkdagen]]*Ruimtestaat[[#This Row],[Oppervlak (netto)]]</f>
        <v>13378</v>
      </c>
      <c r="W128" s="154">
        <f>IF(U128&gt;0,Ruimtestaat[[#This Row],[Prest. (m2 /jaar) werkdagen]]/Ruimtestaat[[#This Row],[Norm (m2/uur) werkdagen]],0)</f>
        <v>0</v>
      </c>
      <c r="X128" s="155">
        <f>Ruimtestaat[[#This Row],[uren / jaar werkdagen]]*Tariefsopbouw!$E$35</f>
        <v>0</v>
      </c>
      <c r="Y128" s="33"/>
      <c r="Z128" s="33">
        <f>IF(Ruimtestaat[[#This Row],[Frequentie weekend]]&gt;0,VALUE(LEFT(Y128,1))*R128,0)</f>
        <v>0</v>
      </c>
      <c r="AA128" s="97">
        <f>IF($Z128&gt;0,VLOOKUP($J128,Ruimtegroepen[],3,FALSE)*VLOOKUP($L128,Vloersoorten[],3,FALSE)*VLOOKUP($Y128,Frequenties[],3,FALSE)*VLOOKUP(Ruimtestaat[[#This Row],[Code]],Locaties[],3,FALSE),0)</f>
        <v>0</v>
      </c>
      <c r="AB128" s="97">
        <f>Ruimtestaat[[#This Row],[Uitvoeringen weekend]]*Ruimtestaat[[#This Row],[Oppervlak (netto)]]</f>
        <v>0</v>
      </c>
      <c r="AC128" s="97">
        <f>IF(AA128&gt;0,Ruimtestaat[[#This Row],[Prest. (m2 /jaar) weekend]]/Ruimtestaat[[#This Row],[Norm (m2/uur) weekend]],0)</f>
        <v>0</v>
      </c>
      <c r="AD128" s="155">
        <f>Ruimtestaat[[#This Row],[uren / jaar weekend]]*Tariefsopbouw!$D$40</f>
        <v>0</v>
      </c>
      <c r="AE128" s="154">
        <f>Ruimtestaat[[#This Row],[Prest. (m2 /jaar) weekend]]+Ruimtestaat[[#This Row],[Prest. (m2 /jaar) werkdagen]]</f>
        <v>13378</v>
      </c>
      <c r="AF128" s="154">
        <f>Ruimtestaat[[#This Row],[uren / jaar weekend]]+Ruimtestaat[[#This Row],[uren / jaar werkdagen]]</f>
        <v>0</v>
      </c>
      <c r="AG128" s="69">
        <f>Ruimtestaat[[#This Row],[kosten / jaar weekend]]+Ruimtestaat[[#This Row],[kosten / jaar werkdagen]]</f>
        <v>0</v>
      </c>
      <c r="AH128" s="69"/>
      <c r="AI128" s="256" t="str">
        <f>IF(Ruimtestaat[[#This Row],[Frequentie werkdagen]]="","",_xlfn.CONCAT(Ruimtestaat[[#This Row],[Ruimte code]],"-",Ruimtestaat[[#This Row],[Frequentie werkdagen]]," ",Ruimtestaat[[#This Row],[Vloer code]]))</f>
        <v>7-5w L</v>
      </c>
      <c r="AJ128" s="300" t="str">
        <f>_xlfn.IFNA(VLOOKUP($AI128,Programma!$F$3:$G$1107,2,0),"")</f>
        <v>_</v>
      </c>
      <c r="AK128" s="300" t="str">
        <f>_xlfn.IFNA(VLOOKUP($AI128,Programma!$F$3:$H$1107,3,0),"")</f>
        <v>_</v>
      </c>
      <c r="AL128" s="300" t="str">
        <f>_xlfn.IFNA(VLOOKUP($AI128,Programma!$F$3:$I$1107,4,0),"")</f>
        <v>_</v>
      </c>
      <c r="AM128" s="300" t="str">
        <f>_xlfn.IFNA(VLOOKUP($AI128,Programma!$F$3:$J$1107,5,0),"")</f>
        <v>5w</v>
      </c>
      <c r="AN128" s="300" t="str">
        <f>_xlfn.IFNA(VLOOKUP($AI128,Programma!$F$3:$K$1107,6,0),"")</f>
        <v>_</v>
      </c>
      <c r="AO128" s="300" t="str">
        <f>_xlfn.IFNA(VLOOKUP($AI128,Programma!$F$3:$L$1107,7,0),"")</f>
        <v>_</v>
      </c>
      <c r="AP128" s="300" t="str">
        <f>_xlfn.IFNA(VLOOKUP($AI128,Programma!$F$3:$M$1107,8,0),"")</f>
        <v>_</v>
      </c>
      <c r="AQ128" s="300" t="str">
        <f>_xlfn.IFNA(VLOOKUP($AI128,Programma!$F$3:$N$1107,9,0),"")</f>
        <v>_</v>
      </c>
      <c r="AR128" s="300" t="str">
        <f>_xlfn.IFNA(VLOOKUP($AI128,Programma!$F$3:$O$1107,10,0),"")</f>
        <v>5w</v>
      </c>
      <c r="AS128" s="300" t="str">
        <f>_xlfn.IFNA(VLOOKUP($AI128,Programma!$F$3:$P$1107,11,0),"")</f>
        <v>5w</v>
      </c>
      <c r="AT128" s="300" t="str">
        <f>_xlfn.IFNA(VLOOKUP($AI128,Programma!$F$3:$Q$1107,12,0),"")</f>
        <v>1w</v>
      </c>
      <c r="AU128" s="300" t="str">
        <f>_xlfn.IFNA(VLOOKUP($AI128,Programma!$F$3:$R$1107,13,0),"")</f>
        <v>1w</v>
      </c>
      <c r="AV128" s="300" t="str">
        <f>_xlfn.IFNA(VLOOKUP($AI128,Programma!$F$3:$S$1107,14,0),"")</f>
        <v>1m</v>
      </c>
      <c r="AW128" s="300" t="str">
        <f>_xlfn.IFNA(VLOOKUP($AI128,Programma!$F$3:$T$1107,15,0),"")</f>
        <v>2j</v>
      </c>
      <c r="AX128" s="300" t="str">
        <f>_xlfn.IFNA(VLOOKUP($AI128,Programma!$F$3:$U$1107,16,0),"")</f>
        <v>1j</v>
      </c>
      <c r="AY128" s="300" t="str">
        <f>_xlfn.IFNA(VLOOKUP($AI128,Programma!$F$3:$V$1107,17,0),"")</f>
        <v>_</v>
      </c>
      <c r="AZ128" s="300" t="str">
        <f>_xlfn.IFNA(VLOOKUP($AI128,Programma!$F$3:$W$1107,18,0),"")</f>
        <v>_</v>
      </c>
      <c r="BA128" s="300" t="str">
        <f>_xlfn.IFNA(VLOOKUP($AI128,Programma!$F$3:$X$1107,19,0),"")</f>
        <v>_</v>
      </c>
      <c r="BB128" s="300" t="str">
        <f>_xlfn.IFNA(VLOOKUP($AI128,Programma!$F$3:$Y$1107,20,0),"")</f>
        <v>_</v>
      </c>
      <c r="BC128" s="257"/>
      <c r="BD128" s="256" t="str">
        <f>IF(Ruimtestaat[[#This Row],[Frequentie weekend]]="","",_xlfn.CONCAT(Ruimtestaat[[#This Row],[Ruimte code]],"-",Ruimtestaat[[#This Row],[Frequentie weekend]]," ",Ruimtestaat[[#This Row],[Vloer code]]))</f>
        <v/>
      </c>
      <c r="BE128" s="300" t="str">
        <f>_xlfn.IFNA(VLOOKUP($BD128,Programma!$F$3:$G$1107,2,0),"")</f>
        <v/>
      </c>
      <c r="BF128" s="300" t="str">
        <f>_xlfn.IFNA(VLOOKUP($BD128,Programma!$F$3:$H$1107,3,0),"")</f>
        <v/>
      </c>
      <c r="BG128" s="300" t="str">
        <f>_xlfn.IFNA(VLOOKUP($BD128,Programma!$F$3:$I$1107,4,0),"")</f>
        <v/>
      </c>
      <c r="BH128" s="300" t="str">
        <f>_xlfn.IFNA(VLOOKUP($BD128,Programma!$F$3:$J$1107,5,0),"")</f>
        <v/>
      </c>
      <c r="BI128" s="300" t="str">
        <f>_xlfn.IFNA(VLOOKUP($BD128,Programma!$F$3:$K$1107,6,0),"")</f>
        <v/>
      </c>
      <c r="BJ128" s="300" t="str">
        <f>_xlfn.IFNA(VLOOKUP($BD128,Programma!$F$3:$L$1107,7,0),"")</f>
        <v/>
      </c>
      <c r="BK128" s="300" t="str">
        <f>_xlfn.IFNA(VLOOKUP($BD128,Programma!$F$3:$M$1107,8,0),"")</f>
        <v/>
      </c>
      <c r="BL128" s="300" t="str">
        <f>_xlfn.IFNA(VLOOKUP($BD128,Programma!$F$3:$N$1107,9,0),"")</f>
        <v/>
      </c>
      <c r="BM128" s="300" t="str">
        <f>_xlfn.IFNA(VLOOKUP($BD128,Programma!$F$3:$O$1107,10,0),"")</f>
        <v/>
      </c>
      <c r="BN128" s="300" t="str">
        <f>_xlfn.IFNA(VLOOKUP($BD128,Programma!$F$3:$P$1107,11,0),"")</f>
        <v/>
      </c>
      <c r="BO128" s="300" t="str">
        <f>_xlfn.IFNA(VLOOKUP($BD128,Programma!$F$3:$Q$1107,12,0),"")</f>
        <v/>
      </c>
      <c r="BP128" s="300" t="str">
        <f>_xlfn.IFNA(VLOOKUP($BD128,Programma!$F$3:$R$1107,13,0),"")</f>
        <v/>
      </c>
      <c r="BQ128" s="300" t="str">
        <f>_xlfn.IFNA(VLOOKUP($BD128,Programma!$F$3:$S$1107,14,0),"")</f>
        <v/>
      </c>
      <c r="BR128" s="300" t="str">
        <f>_xlfn.IFNA(VLOOKUP($BD128,Programma!$F$3:$T$1107,15,0),"")</f>
        <v/>
      </c>
      <c r="BS128" s="300" t="str">
        <f>_xlfn.IFNA(VLOOKUP($BD128,Programma!$F$3:$U$1107,16,0),"")</f>
        <v/>
      </c>
      <c r="BT128" s="300" t="str">
        <f>_xlfn.IFNA(VLOOKUP($BD128,Programma!$F$3:$V$1107,17,0),"")</f>
        <v/>
      </c>
      <c r="BU128" s="300" t="str">
        <f>_xlfn.IFNA(VLOOKUP($BD128,Programma!$F$3:$W$1107,18,0),"")</f>
        <v/>
      </c>
      <c r="BV128" s="300" t="str">
        <f>_xlfn.IFNA(VLOOKUP($BD128,Programma!$F$3:$X$1107,19,0),"")</f>
        <v/>
      </c>
      <c r="BW128" s="300" t="str">
        <f>_xlfn.IFNA(VLOOKUP($BD128,Programma!$F$3:$Y$1107,20,0),"")</f>
        <v/>
      </c>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row>
    <row r="129" spans="1:220" ht="15" customHeight="1">
      <c r="A129" s="21">
        <v>3</v>
      </c>
      <c r="B129" s="157" t="str">
        <f>VLOOKUP(Ruimtestaat[[#This Row],[Code]],Locaties[[Code]:[Locatie]],2,FALSE)</f>
        <v>'s Gravendreef College - Dependance</v>
      </c>
      <c r="C129" s="157" t="str">
        <f>VLOOKUP(Ruimtestaat[[#This Row],[Code]],Locaties[[#All],[Code]:[Adres]],4,FALSE)</f>
        <v>Henri Faasdreef 200</v>
      </c>
      <c r="D129" s="157" t="str">
        <f>VLOOKUP(Ruimtestaat[[#This Row],[Code]],Locaties[[#All],[Code]:[Postcode]],5,FALSE)</f>
        <v>2492 JP</v>
      </c>
      <c r="E129" s="157" t="str">
        <f>VLOOKUP(Ruimtestaat[[#This Row],[Code]],Locaties[#All],6,FALSE)</f>
        <v>Den Haag</v>
      </c>
      <c r="F129" s="33" t="s">
        <v>1801</v>
      </c>
      <c r="G129" s="33" t="s">
        <v>1749</v>
      </c>
      <c r="H129" s="21" t="s">
        <v>1803</v>
      </c>
      <c r="I129" s="62" t="s">
        <v>1635</v>
      </c>
      <c r="J129" s="21">
        <v>2</v>
      </c>
      <c r="K129" s="62" t="str">
        <f>VLOOKUP(Ruimtestaat[[#This Row],[Ruimte code]],Ruimtegroepen[[#All],[Code]:[Ruimte omschrijving]],2,FALSE)</f>
        <v>Kantoren</v>
      </c>
      <c r="L129" s="33" t="s">
        <v>101</v>
      </c>
      <c r="M129" s="367" t="s">
        <v>2495</v>
      </c>
      <c r="N129" s="140">
        <v>14.09</v>
      </c>
      <c r="O129" s="140"/>
      <c r="P129" s="125" t="str">
        <f>VLOOKUP(Ruimtestaat[[#This Row],[Ruimte code]],Ruimtegroepen[],4,FALSE)</f>
        <v>Bu</v>
      </c>
      <c r="R129" s="33">
        <v>42</v>
      </c>
      <c r="S129" s="33" t="s">
        <v>18</v>
      </c>
      <c r="T129" s="33">
        <f>IF(R129&gt;0,IF(RIGHT(Ruimtestaat[[#This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29" s="33">
        <f>IF(T129&gt;0,VLOOKUP($J129,Ruimtegroepen[],3,FALSE)*VLOOKUP($L129,Vloersoorten[],3,FALSE)*VLOOKUP($S129,Frequenties[],3,FALSE)*VLOOKUP($A129,Locaties[],3,FALSE),0)</f>
        <v>0</v>
      </c>
      <c r="V129" s="33">
        <f>Ruimtestaat[[#This Row],[Uitvoeringen werkdagen]]*Ruimtestaat[[#This Row],[Oppervlak (netto)]]</f>
        <v>1775.34</v>
      </c>
      <c r="W129" s="154">
        <f>IF(U129&gt;0,Ruimtestaat[[#This Row],[Prest. (m2 /jaar) werkdagen]]/Ruimtestaat[[#This Row],[Norm (m2/uur) werkdagen]],0)</f>
        <v>0</v>
      </c>
      <c r="X129" s="155">
        <f>Ruimtestaat[[#This Row],[uren / jaar werkdagen]]*Tariefsopbouw!$E$35</f>
        <v>0</v>
      </c>
      <c r="Y129" s="33"/>
      <c r="Z129" s="33">
        <f>IF(Ruimtestaat[[#This Row],[Frequentie weekend]]&gt;0,VALUE(LEFT(Y129,1))*R129,0)</f>
        <v>0</v>
      </c>
      <c r="AA129" s="97">
        <f>IF($Z129&gt;0,VLOOKUP($J129,Ruimtegroepen[],3,FALSE)*VLOOKUP($L129,Vloersoorten[],3,FALSE)*VLOOKUP($Y129,Frequenties[],3,FALSE)*VLOOKUP(Ruimtestaat[[#This Row],[Code]],Locaties[],3,FALSE),0)</f>
        <v>0</v>
      </c>
      <c r="AB129" s="97">
        <f>Ruimtestaat[[#This Row],[Uitvoeringen weekend]]*Ruimtestaat[[#This Row],[Oppervlak (netto)]]</f>
        <v>0</v>
      </c>
      <c r="AC129" s="97">
        <f>IF(AA129&gt;0,Ruimtestaat[[#This Row],[Prest. (m2 /jaar) weekend]]/Ruimtestaat[[#This Row],[Norm (m2/uur) weekend]],0)</f>
        <v>0</v>
      </c>
      <c r="AD129" s="155">
        <f>Ruimtestaat[[#This Row],[uren / jaar weekend]]*Tariefsopbouw!$D$40</f>
        <v>0</v>
      </c>
      <c r="AE129" s="154">
        <f>Ruimtestaat[[#This Row],[Prest. (m2 /jaar) weekend]]+Ruimtestaat[[#This Row],[Prest. (m2 /jaar) werkdagen]]</f>
        <v>1775.34</v>
      </c>
      <c r="AF129" s="154">
        <f>Ruimtestaat[[#This Row],[uren / jaar weekend]]+Ruimtestaat[[#This Row],[uren / jaar werkdagen]]</f>
        <v>0</v>
      </c>
      <c r="AG129" s="69">
        <f>Ruimtestaat[[#This Row],[kosten / jaar weekend]]+Ruimtestaat[[#This Row],[kosten / jaar werkdagen]]</f>
        <v>0</v>
      </c>
      <c r="AH129" s="69"/>
      <c r="AI129" s="256" t="str">
        <f>IF(Ruimtestaat[[#This Row],[Frequentie werkdagen]]="","",_xlfn.CONCAT(Ruimtestaat[[#This Row],[Ruimte code]],"-",Ruimtestaat[[#This Row],[Frequentie werkdagen]]," ",Ruimtestaat[[#This Row],[Vloer code]]))</f>
        <v>2-3w L</v>
      </c>
      <c r="AJ129" s="300" t="str">
        <f>_xlfn.IFNA(VLOOKUP($AI129,Programma!$F$3:$G$1107,2,0),"")</f>
        <v>_</v>
      </c>
      <c r="AK129" s="300" t="str">
        <f>_xlfn.IFNA(VLOOKUP($AI129,Programma!$F$3:$H$1107,3,0),"")</f>
        <v>_</v>
      </c>
      <c r="AL129" s="300" t="str">
        <f>_xlfn.IFNA(VLOOKUP($AI129,Programma!$F$3:$I$1107,4,0),"")</f>
        <v>2w</v>
      </c>
      <c r="AM129" s="300" t="str">
        <f>_xlfn.IFNA(VLOOKUP($AI129,Programma!$F$3:$J$1107,5,0),"")</f>
        <v>1w</v>
      </c>
      <c r="AN129" s="300" t="str">
        <f>_xlfn.IFNA(VLOOKUP($AI129,Programma!$F$3:$K$1107,6,0),"")</f>
        <v>_</v>
      </c>
      <c r="AO129" s="300" t="str">
        <f>_xlfn.IFNA(VLOOKUP($AI129,Programma!$F$3:$L$1107,7,0),"")</f>
        <v>_</v>
      </c>
      <c r="AP129" s="300" t="str">
        <f>_xlfn.IFNA(VLOOKUP($AI129,Programma!$F$3:$M$1107,8,0),"")</f>
        <v>_</v>
      </c>
      <c r="AQ129" s="300" t="str">
        <f>_xlfn.IFNA(VLOOKUP($AI129,Programma!$F$3:$N$1107,9,0),"")</f>
        <v>_</v>
      </c>
      <c r="AR129" s="300" t="str">
        <f>_xlfn.IFNA(VLOOKUP($AI129,Programma!$F$3:$O$1107,10,0),"")</f>
        <v>3w</v>
      </c>
      <c r="AS129" s="300" t="str">
        <f>_xlfn.IFNA(VLOOKUP($AI129,Programma!$F$3:$P$1107,11,0),"")</f>
        <v>3w</v>
      </c>
      <c r="AT129" s="300" t="str">
        <f>_xlfn.IFNA(VLOOKUP($AI129,Programma!$F$3:$Q$1107,12,0),"")</f>
        <v>1w</v>
      </c>
      <c r="AU129" s="300" t="str">
        <f>_xlfn.IFNA(VLOOKUP($AI129,Programma!$F$3:$R$1107,13,0),"")</f>
        <v>1w</v>
      </c>
      <c r="AV129" s="300" t="str">
        <f>_xlfn.IFNA(VLOOKUP($AI129,Programma!$F$3:$S$1107,14,0),"")</f>
        <v>1m</v>
      </c>
      <c r="AW129" s="300" t="str">
        <f>_xlfn.IFNA(VLOOKUP($AI129,Programma!$F$3:$T$1107,15,0),"")</f>
        <v>2j</v>
      </c>
      <c r="AX129" s="300" t="str">
        <f>_xlfn.IFNA(VLOOKUP($AI129,Programma!$F$3:$U$1107,16,0),"")</f>
        <v>1j</v>
      </c>
      <c r="AY129" s="300" t="str">
        <f>_xlfn.IFNA(VLOOKUP($AI129,Programma!$F$3:$V$1107,17,0),"")</f>
        <v>_</v>
      </c>
      <c r="AZ129" s="300" t="str">
        <f>_xlfn.IFNA(VLOOKUP($AI129,Programma!$F$3:$W$1107,18,0),"")</f>
        <v>_</v>
      </c>
      <c r="BA129" s="300" t="str">
        <f>_xlfn.IFNA(VLOOKUP($AI129,Programma!$F$3:$X$1107,19,0),"")</f>
        <v>_</v>
      </c>
      <c r="BB129" s="300" t="str">
        <f>_xlfn.IFNA(VLOOKUP($AI129,Programma!$F$3:$Y$1107,20,0),"")</f>
        <v>_</v>
      </c>
      <c r="BC129" s="257"/>
      <c r="BD129" s="256" t="str">
        <f>IF(Ruimtestaat[[#This Row],[Frequentie weekend]]="","",_xlfn.CONCAT(Ruimtestaat[[#This Row],[Ruimte code]],"-",Ruimtestaat[[#This Row],[Frequentie weekend]]," ",Ruimtestaat[[#This Row],[Vloer code]]))</f>
        <v/>
      </c>
      <c r="BE129" s="300" t="str">
        <f>_xlfn.IFNA(VLOOKUP($BD129,Programma!$F$3:$G$1107,2,0),"")</f>
        <v/>
      </c>
      <c r="BF129" s="300" t="str">
        <f>_xlfn.IFNA(VLOOKUP($BD129,Programma!$F$3:$H$1107,3,0),"")</f>
        <v/>
      </c>
      <c r="BG129" s="300" t="str">
        <f>_xlfn.IFNA(VLOOKUP($BD129,Programma!$F$3:$I$1107,4,0),"")</f>
        <v/>
      </c>
      <c r="BH129" s="300" t="str">
        <f>_xlfn.IFNA(VLOOKUP($BD129,Programma!$F$3:$J$1107,5,0),"")</f>
        <v/>
      </c>
      <c r="BI129" s="300" t="str">
        <f>_xlfn.IFNA(VLOOKUP($BD129,Programma!$F$3:$K$1107,6,0),"")</f>
        <v/>
      </c>
      <c r="BJ129" s="300" t="str">
        <f>_xlfn.IFNA(VLOOKUP($BD129,Programma!$F$3:$L$1107,7,0),"")</f>
        <v/>
      </c>
      <c r="BK129" s="300" t="str">
        <f>_xlfn.IFNA(VLOOKUP($BD129,Programma!$F$3:$M$1107,8,0),"")</f>
        <v/>
      </c>
      <c r="BL129" s="300" t="str">
        <f>_xlfn.IFNA(VLOOKUP($BD129,Programma!$F$3:$N$1107,9,0),"")</f>
        <v/>
      </c>
      <c r="BM129" s="300" t="str">
        <f>_xlfn.IFNA(VLOOKUP($BD129,Programma!$F$3:$O$1107,10,0),"")</f>
        <v/>
      </c>
      <c r="BN129" s="300" t="str">
        <f>_xlfn.IFNA(VLOOKUP($BD129,Programma!$F$3:$P$1107,11,0),"")</f>
        <v/>
      </c>
      <c r="BO129" s="300" t="str">
        <f>_xlfn.IFNA(VLOOKUP($BD129,Programma!$F$3:$Q$1107,12,0),"")</f>
        <v/>
      </c>
      <c r="BP129" s="300" t="str">
        <f>_xlfn.IFNA(VLOOKUP($BD129,Programma!$F$3:$R$1107,13,0),"")</f>
        <v/>
      </c>
      <c r="BQ129" s="300" t="str">
        <f>_xlfn.IFNA(VLOOKUP($BD129,Programma!$F$3:$S$1107,14,0),"")</f>
        <v/>
      </c>
      <c r="BR129" s="300" t="str">
        <f>_xlfn.IFNA(VLOOKUP($BD129,Programma!$F$3:$T$1107,15,0),"")</f>
        <v/>
      </c>
      <c r="BS129" s="300" t="str">
        <f>_xlfn.IFNA(VLOOKUP($BD129,Programma!$F$3:$U$1107,16,0),"")</f>
        <v/>
      </c>
      <c r="BT129" s="300" t="str">
        <f>_xlfn.IFNA(VLOOKUP($BD129,Programma!$F$3:$V$1107,17,0),"")</f>
        <v/>
      </c>
      <c r="BU129" s="300" t="str">
        <f>_xlfn.IFNA(VLOOKUP($BD129,Programma!$F$3:$W$1107,18,0),"")</f>
        <v/>
      </c>
      <c r="BV129" s="300" t="str">
        <f>_xlfn.IFNA(VLOOKUP($BD129,Programma!$F$3:$X$1107,19,0),"")</f>
        <v/>
      </c>
      <c r="BW129" s="300" t="str">
        <f>_xlfn.IFNA(VLOOKUP($BD129,Programma!$F$3:$Y$1107,20,0),"")</f>
        <v/>
      </c>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row>
    <row r="130" spans="1:220" ht="15" customHeight="1">
      <c r="A130" s="21">
        <v>3</v>
      </c>
      <c r="B130" s="157" t="str">
        <f>VLOOKUP(Ruimtestaat[[#This Row],[Code]],Locaties[[Code]:[Locatie]],2,FALSE)</f>
        <v>'s Gravendreef College - Dependance</v>
      </c>
      <c r="C130" s="157" t="str">
        <f>VLOOKUP(Ruimtestaat[[#This Row],[Code]],Locaties[[#All],[Code]:[Adres]],4,FALSE)</f>
        <v>Henri Faasdreef 200</v>
      </c>
      <c r="D130" s="157" t="str">
        <f>VLOOKUP(Ruimtestaat[[#This Row],[Code]],Locaties[[#All],[Code]:[Postcode]],5,FALSE)</f>
        <v>2492 JP</v>
      </c>
      <c r="E130" s="157" t="str">
        <f>VLOOKUP(Ruimtestaat[[#This Row],[Code]],Locaties[#All],6,FALSE)</f>
        <v>Den Haag</v>
      </c>
      <c r="F130" s="33" t="s">
        <v>1801</v>
      </c>
      <c r="G130" s="33" t="s">
        <v>1749</v>
      </c>
      <c r="H130" s="21" t="s">
        <v>1804</v>
      </c>
      <c r="I130" s="62" t="s">
        <v>1805</v>
      </c>
      <c r="J130" s="21">
        <v>10</v>
      </c>
      <c r="K130" s="62" t="str">
        <f>VLOOKUP(Ruimtestaat[[#This Row],[Ruimte code]],Ruimtegroepen[[#All],[Code]:[Ruimte omschrijving]],2,FALSE)</f>
        <v>Trappenhuizen/lift</v>
      </c>
      <c r="L130" s="33" t="s">
        <v>101</v>
      </c>
      <c r="M130" s="367" t="s">
        <v>2495</v>
      </c>
      <c r="N130" s="140">
        <v>17.62</v>
      </c>
      <c r="O130" s="140"/>
      <c r="P130" s="125" t="str">
        <f>VLOOKUP(Ruimtestaat[[#This Row],[Ruimte code]],Ruimtegroepen[],4,FALSE)</f>
        <v>Ve</v>
      </c>
      <c r="R130" s="33">
        <v>40</v>
      </c>
      <c r="S130" s="33" t="s">
        <v>2</v>
      </c>
      <c r="T130" s="33">
        <f>IF(R130&gt;0,IF(RIGHT(Ruimtestaat[[#This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0" s="33">
        <f>IF(T130&gt;0,VLOOKUP($J130,Ruimtegroepen[],3,FALSE)*VLOOKUP($L130,Vloersoorten[],3,FALSE)*VLOOKUP($S130,Frequenties[],3,FALSE)*VLOOKUP($A130,Locaties[],3,FALSE),0)</f>
        <v>0</v>
      </c>
      <c r="V130" s="33">
        <f>Ruimtestaat[[#This Row],[Uitvoeringen werkdagen]]*Ruimtestaat[[#This Row],[Oppervlak (netto)]]</f>
        <v>3524</v>
      </c>
      <c r="W130" s="154">
        <f>IF(U130&gt;0,Ruimtestaat[[#This Row],[Prest. (m2 /jaar) werkdagen]]/Ruimtestaat[[#This Row],[Norm (m2/uur) werkdagen]],0)</f>
        <v>0</v>
      </c>
      <c r="X130" s="155">
        <f>Ruimtestaat[[#This Row],[uren / jaar werkdagen]]*Tariefsopbouw!$E$35</f>
        <v>0</v>
      </c>
      <c r="Y130" s="33"/>
      <c r="Z130" s="33">
        <f>IF(Ruimtestaat[[#This Row],[Frequentie weekend]]&gt;0,VALUE(LEFT(Y130,1))*R130,0)</f>
        <v>0</v>
      </c>
      <c r="AA130" s="97">
        <f>IF($Z130&gt;0,VLOOKUP($J130,Ruimtegroepen[],3,FALSE)*VLOOKUP($L130,Vloersoorten[],3,FALSE)*VLOOKUP($Y130,Frequenties[],3,FALSE)*VLOOKUP(Ruimtestaat[[#This Row],[Code]],Locaties[],3,FALSE),0)</f>
        <v>0</v>
      </c>
      <c r="AB130" s="97">
        <f>Ruimtestaat[[#This Row],[Uitvoeringen weekend]]*Ruimtestaat[[#This Row],[Oppervlak (netto)]]</f>
        <v>0</v>
      </c>
      <c r="AC130" s="97">
        <f>IF(AA130&gt;0,Ruimtestaat[[#This Row],[Prest. (m2 /jaar) weekend]]/Ruimtestaat[[#This Row],[Norm (m2/uur) weekend]],0)</f>
        <v>0</v>
      </c>
      <c r="AD130" s="155">
        <f>Ruimtestaat[[#This Row],[uren / jaar weekend]]*Tariefsopbouw!$D$40</f>
        <v>0</v>
      </c>
      <c r="AE130" s="154">
        <f>Ruimtestaat[[#This Row],[Prest. (m2 /jaar) weekend]]+Ruimtestaat[[#This Row],[Prest. (m2 /jaar) werkdagen]]</f>
        <v>3524</v>
      </c>
      <c r="AF130" s="154">
        <f>Ruimtestaat[[#This Row],[uren / jaar weekend]]+Ruimtestaat[[#This Row],[uren / jaar werkdagen]]</f>
        <v>0</v>
      </c>
      <c r="AG130" s="69">
        <f>Ruimtestaat[[#This Row],[kosten / jaar weekend]]+Ruimtestaat[[#This Row],[kosten / jaar werkdagen]]</f>
        <v>0</v>
      </c>
      <c r="AH130" s="69"/>
      <c r="AI130" s="256" t="str">
        <f>IF(Ruimtestaat[[#This Row],[Frequentie werkdagen]]="","",_xlfn.CONCAT(Ruimtestaat[[#This Row],[Ruimte code]],"-",Ruimtestaat[[#This Row],[Frequentie werkdagen]]," ",Ruimtestaat[[#This Row],[Vloer code]]))</f>
        <v>10-5w L</v>
      </c>
      <c r="AJ130" s="300" t="str">
        <f>_xlfn.IFNA(VLOOKUP($AI130,Programma!$F$3:$G$1107,2,0),"")</f>
        <v>_</v>
      </c>
      <c r="AK130" s="300" t="str">
        <f>_xlfn.IFNA(VLOOKUP($AI130,Programma!$F$3:$H$1107,3,0),"")</f>
        <v>_</v>
      </c>
      <c r="AL130" s="300" t="str">
        <f>_xlfn.IFNA(VLOOKUP($AI130,Programma!$F$3:$I$1107,4,0),"")</f>
        <v>4w</v>
      </c>
      <c r="AM130" s="300" t="str">
        <f>_xlfn.IFNA(VLOOKUP($AI130,Programma!$F$3:$J$1107,5,0),"")</f>
        <v>1w</v>
      </c>
      <c r="AN130" s="300" t="str">
        <f>_xlfn.IFNA(VLOOKUP($AI130,Programma!$F$3:$K$1107,6,0),"")</f>
        <v>_</v>
      </c>
      <c r="AO130" s="300" t="str">
        <f>_xlfn.IFNA(VLOOKUP($AI130,Programma!$F$3:$L$1107,7,0),"")</f>
        <v>_</v>
      </c>
      <c r="AP130" s="300" t="str">
        <f>_xlfn.IFNA(VLOOKUP($AI130,Programma!$F$3:$M$1107,8,0),"")</f>
        <v>_</v>
      </c>
      <c r="AQ130" s="300" t="str">
        <f>_xlfn.IFNA(VLOOKUP($AI130,Programma!$F$3:$N$1107,9,0),"")</f>
        <v>_</v>
      </c>
      <c r="AR130" s="300" t="str">
        <f>_xlfn.IFNA(VLOOKUP($AI130,Programma!$F$3:$O$1107,10,0),"")</f>
        <v>5w</v>
      </c>
      <c r="AS130" s="300" t="str">
        <f>_xlfn.IFNA(VLOOKUP($AI130,Programma!$F$3:$P$1107,11,0),"")</f>
        <v>5w</v>
      </c>
      <c r="AT130" s="300" t="str">
        <f>_xlfn.IFNA(VLOOKUP($AI130,Programma!$F$3:$Q$1107,12,0),"")</f>
        <v>1w</v>
      </c>
      <c r="AU130" s="300" t="str">
        <f>_xlfn.IFNA(VLOOKUP($AI130,Programma!$F$3:$R$1107,13,0),"")</f>
        <v>1w</v>
      </c>
      <c r="AV130" s="300" t="str">
        <f>_xlfn.IFNA(VLOOKUP($AI130,Programma!$F$3:$S$1107,14,0),"")</f>
        <v>1m</v>
      </c>
      <c r="AW130" s="300" t="str">
        <f>_xlfn.IFNA(VLOOKUP($AI130,Programma!$F$3:$T$1107,15,0),"")</f>
        <v>2j</v>
      </c>
      <c r="AX130" s="300" t="str">
        <f>_xlfn.IFNA(VLOOKUP($AI130,Programma!$F$3:$U$1107,16,0),"")</f>
        <v>1j</v>
      </c>
      <c r="AY130" s="300" t="str">
        <f>_xlfn.IFNA(VLOOKUP($AI130,Programma!$F$3:$V$1107,17,0),"")</f>
        <v>_</v>
      </c>
      <c r="AZ130" s="300" t="str">
        <f>_xlfn.IFNA(VLOOKUP($AI130,Programma!$F$3:$W$1107,18,0),"")</f>
        <v>_</v>
      </c>
      <c r="BA130" s="300" t="str">
        <f>_xlfn.IFNA(VLOOKUP($AI130,Programma!$F$3:$X$1107,19,0),"")</f>
        <v>_</v>
      </c>
      <c r="BB130" s="300" t="str">
        <f>_xlfn.IFNA(VLOOKUP($AI130,Programma!$F$3:$Y$1107,20,0),"")</f>
        <v>_</v>
      </c>
      <c r="BC130" s="257"/>
      <c r="BD130" s="256" t="str">
        <f>IF(Ruimtestaat[[#This Row],[Frequentie weekend]]="","",_xlfn.CONCAT(Ruimtestaat[[#This Row],[Ruimte code]],"-",Ruimtestaat[[#This Row],[Frequentie weekend]]," ",Ruimtestaat[[#This Row],[Vloer code]]))</f>
        <v/>
      </c>
      <c r="BE130" s="300" t="str">
        <f>_xlfn.IFNA(VLOOKUP($BD130,Programma!$F$3:$G$1107,2,0),"")</f>
        <v/>
      </c>
      <c r="BF130" s="300" t="str">
        <f>_xlfn.IFNA(VLOOKUP($BD130,Programma!$F$3:$H$1107,3,0),"")</f>
        <v/>
      </c>
      <c r="BG130" s="300" t="str">
        <f>_xlfn.IFNA(VLOOKUP($BD130,Programma!$F$3:$I$1107,4,0),"")</f>
        <v/>
      </c>
      <c r="BH130" s="300" t="str">
        <f>_xlfn.IFNA(VLOOKUP($BD130,Programma!$F$3:$J$1107,5,0),"")</f>
        <v/>
      </c>
      <c r="BI130" s="300" t="str">
        <f>_xlfn.IFNA(VLOOKUP($BD130,Programma!$F$3:$K$1107,6,0),"")</f>
        <v/>
      </c>
      <c r="BJ130" s="300" t="str">
        <f>_xlfn.IFNA(VLOOKUP($BD130,Programma!$F$3:$L$1107,7,0),"")</f>
        <v/>
      </c>
      <c r="BK130" s="300" t="str">
        <f>_xlfn.IFNA(VLOOKUP($BD130,Programma!$F$3:$M$1107,8,0),"")</f>
        <v/>
      </c>
      <c r="BL130" s="300" t="str">
        <f>_xlfn.IFNA(VLOOKUP($BD130,Programma!$F$3:$N$1107,9,0),"")</f>
        <v/>
      </c>
      <c r="BM130" s="300" t="str">
        <f>_xlfn.IFNA(VLOOKUP($BD130,Programma!$F$3:$O$1107,10,0),"")</f>
        <v/>
      </c>
      <c r="BN130" s="300" t="str">
        <f>_xlfn.IFNA(VLOOKUP($BD130,Programma!$F$3:$P$1107,11,0),"")</f>
        <v/>
      </c>
      <c r="BO130" s="300" t="str">
        <f>_xlfn.IFNA(VLOOKUP($BD130,Programma!$F$3:$Q$1107,12,0),"")</f>
        <v/>
      </c>
      <c r="BP130" s="300" t="str">
        <f>_xlfn.IFNA(VLOOKUP($BD130,Programma!$F$3:$R$1107,13,0),"")</f>
        <v/>
      </c>
      <c r="BQ130" s="300" t="str">
        <f>_xlfn.IFNA(VLOOKUP($BD130,Programma!$F$3:$S$1107,14,0),"")</f>
        <v/>
      </c>
      <c r="BR130" s="300" t="str">
        <f>_xlfn.IFNA(VLOOKUP($BD130,Programma!$F$3:$T$1107,15,0),"")</f>
        <v/>
      </c>
      <c r="BS130" s="300" t="str">
        <f>_xlfn.IFNA(VLOOKUP($BD130,Programma!$F$3:$U$1107,16,0),"")</f>
        <v/>
      </c>
      <c r="BT130" s="300" t="str">
        <f>_xlfn.IFNA(VLOOKUP($BD130,Programma!$F$3:$V$1107,17,0),"")</f>
        <v/>
      </c>
      <c r="BU130" s="300" t="str">
        <f>_xlfn.IFNA(VLOOKUP($BD130,Programma!$F$3:$W$1107,18,0),"")</f>
        <v/>
      </c>
      <c r="BV130" s="300" t="str">
        <f>_xlfn.IFNA(VLOOKUP($BD130,Programma!$F$3:$X$1107,19,0),"")</f>
        <v/>
      </c>
      <c r="BW130" s="300" t="str">
        <f>_xlfn.IFNA(VLOOKUP($BD130,Programma!$F$3:$Y$1107,20,0),"")</f>
        <v/>
      </c>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row>
    <row r="131" spans="1:220" ht="15" customHeight="1">
      <c r="A131" s="21">
        <v>3</v>
      </c>
      <c r="B131" s="157" t="str">
        <f>VLOOKUP(Ruimtestaat[[#This Row],[Code]],Locaties[[Code]:[Locatie]],2,FALSE)</f>
        <v>'s Gravendreef College - Dependance</v>
      </c>
      <c r="C131" s="157" t="str">
        <f>VLOOKUP(Ruimtestaat[[#This Row],[Code]],Locaties[[#All],[Code]:[Adres]],4,FALSE)</f>
        <v>Henri Faasdreef 200</v>
      </c>
      <c r="D131" s="157" t="str">
        <f>VLOOKUP(Ruimtestaat[[#This Row],[Code]],Locaties[[#All],[Code]:[Postcode]],5,FALSE)</f>
        <v>2492 JP</v>
      </c>
      <c r="E131" s="157" t="str">
        <f>VLOOKUP(Ruimtestaat[[#This Row],[Code]],Locaties[#All],6,FALSE)</f>
        <v>Den Haag</v>
      </c>
      <c r="F131" s="33" t="s">
        <v>1801</v>
      </c>
      <c r="G131" s="33" t="s">
        <v>1749</v>
      </c>
      <c r="H131" s="21" t="s">
        <v>1806</v>
      </c>
      <c r="I131" s="62" t="s">
        <v>1807</v>
      </c>
      <c r="J131" s="21">
        <v>6</v>
      </c>
      <c r="K131" s="62" t="str">
        <f>VLOOKUP(Ruimtestaat[[#This Row],[Ruimte code]],Ruimtegroepen[[#All],[Code]:[Ruimte omschrijving]],2,FALSE)</f>
        <v>Gangen/hallen</v>
      </c>
      <c r="L131" s="33" t="s">
        <v>101</v>
      </c>
      <c r="M131" s="367" t="s">
        <v>2495</v>
      </c>
      <c r="N131" s="140">
        <v>60.89</v>
      </c>
      <c r="O131" s="140"/>
      <c r="P131" s="125" t="str">
        <f>VLOOKUP(Ruimtestaat[[#This Row],[Ruimte code]],Ruimtegroepen[],4,FALSE)</f>
        <v>Ve</v>
      </c>
      <c r="R131" s="33">
        <v>40</v>
      </c>
      <c r="S131" s="33" t="s">
        <v>2</v>
      </c>
      <c r="T131" s="33">
        <f>IF(R131&gt;0,IF(RIGHT(Ruimtestaat[[#This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1" s="33">
        <f>IF(T131&gt;0,VLOOKUP($J131,Ruimtegroepen[],3,FALSE)*VLOOKUP($L131,Vloersoorten[],3,FALSE)*VLOOKUP($S131,Frequenties[],3,FALSE)*VLOOKUP($A131,Locaties[],3,FALSE),0)</f>
        <v>0</v>
      </c>
      <c r="V131" s="33">
        <f>Ruimtestaat[[#This Row],[Uitvoeringen werkdagen]]*Ruimtestaat[[#This Row],[Oppervlak (netto)]]</f>
        <v>12178</v>
      </c>
      <c r="W131" s="154">
        <f>IF(U131&gt;0,Ruimtestaat[[#This Row],[Prest. (m2 /jaar) werkdagen]]/Ruimtestaat[[#This Row],[Norm (m2/uur) werkdagen]],0)</f>
        <v>0</v>
      </c>
      <c r="X131" s="155">
        <f>Ruimtestaat[[#This Row],[uren / jaar werkdagen]]*Tariefsopbouw!$E$35</f>
        <v>0</v>
      </c>
      <c r="Y131" s="33"/>
      <c r="Z131" s="33">
        <f>IF(Ruimtestaat[[#This Row],[Frequentie weekend]]&gt;0,VALUE(LEFT(Y131,1))*R131,0)</f>
        <v>0</v>
      </c>
      <c r="AA131" s="97">
        <f>IF($Z131&gt;0,VLOOKUP($J131,Ruimtegroepen[],3,FALSE)*VLOOKUP($L131,Vloersoorten[],3,FALSE)*VLOOKUP($Y131,Frequenties[],3,FALSE)*VLOOKUP(Ruimtestaat[[#This Row],[Code]],Locaties[],3,FALSE),0)</f>
        <v>0</v>
      </c>
      <c r="AB131" s="97">
        <f>Ruimtestaat[[#This Row],[Uitvoeringen weekend]]*Ruimtestaat[[#This Row],[Oppervlak (netto)]]</f>
        <v>0</v>
      </c>
      <c r="AC131" s="97">
        <f>IF(AA131&gt;0,Ruimtestaat[[#This Row],[Prest. (m2 /jaar) weekend]]/Ruimtestaat[[#This Row],[Norm (m2/uur) weekend]],0)</f>
        <v>0</v>
      </c>
      <c r="AD131" s="155">
        <f>Ruimtestaat[[#This Row],[uren / jaar weekend]]*Tariefsopbouw!$D$40</f>
        <v>0</v>
      </c>
      <c r="AE131" s="154">
        <f>Ruimtestaat[[#This Row],[Prest. (m2 /jaar) weekend]]+Ruimtestaat[[#This Row],[Prest. (m2 /jaar) werkdagen]]</f>
        <v>12178</v>
      </c>
      <c r="AF131" s="154">
        <f>Ruimtestaat[[#This Row],[uren / jaar weekend]]+Ruimtestaat[[#This Row],[uren / jaar werkdagen]]</f>
        <v>0</v>
      </c>
      <c r="AG131" s="69">
        <f>Ruimtestaat[[#This Row],[kosten / jaar weekend]]+Ruimtestaat[[#This Row],[kosten / jaar werkdagen]]</f>
        <v>0</v>
      </c>
      <c r="AH131" s="69"/>
      <c r="AI131" s="256" t="str">
        <f>IF(Ruimtestaat[[#This Row],[Frequentie werkdagen]]="","",_xlfn.CONCAT(Ruimtestaat[[#This Row],[Ruimte code]],"-",Ruimtestaat[[#This Row],[Frequentie werkdagen]]," ",Ruimtestaat[[#This Row],[Vloer code]]))</f>
        <v>6-5w L</v>
      </c>
      <c r="AJ131" s="300" t="str">
        <f>_xlfn.IFNA(VLOOKUP($AI131,Programma!$F$3:$G$1107,2,0),"")</f>
        <v>_</v>
      </c>
      <c r="AK131" s="300" t="str">
        <f>_xlfn.IFNA(VLOOKUP($AI131,Programma!$F$3:$H$1107,3,0),"")</f>
        <v>_</v>
      </c>
      <c r="AL131" s="300" t="str">
        <f>_xlfn.IFNA(VLOOKUP($AI131,Programma!$F$3:$I$1107,4,0),"")</f>
        <v>_</v>
      </c>
      <c r="AM131" s="300" t="str">
        <f>_xlfn.IFNA(VLOOKUP($AI131,Programma!$F$3:$J$1107,5,0),"")</f>
        <v>5w</v>
      </c>
      <c r="AN131" s="300" t="str">
        <f>_xlfn.IFNA(VLOOKUP($AI131,Programma!$F$3:$K$1107,6,0),"")</f>
        <v>_</v>
      </c>
      <c r="AO131" s="300" t="str">
        <f>_xlfn.IFNA(VLOOKUP($AI131,Programma!$F$3:$L$1107,7,0),"")</f>
        <v>_</v>
      </c>
      <c r="AP131" s="300" t="str">
        <f>_xlfn.IFNA(VLOOKUP($AI131,Programma!$F$3:$M$1107,8,0),"")</f>
        <v>_</v>
      </c>
      <c r="AQ131" s="300" t="str">
        <f>_xlfn.IFNA(VLOOKUP($AI131,Programma!$F$3:$N$1107,9,0),"")</f>
        <v>_</v>
      </c>
      <c r="AR131" s="300" t="str">
        <f>_xlfn.IFNA(VLOOKUP($AI131,Programma!$F$3:$O$1107,10,0),"")</f>
        <v>5w</v>
      </c>
      <c r="AS131" s="300" t="str">
        <f>_xlfn.IFNA(VLOOKUP($AI131,Programma!$F$3:$P$1107,11,0),"")</f>
        <v>5w</v>
      </c>
      <c r="AT131" s="300" t="str">
        <f>_xlfn.IFNA(VLOOKUP($AI131,Programma!$F$3:$Q$1107,12,0),"")</f>
        <v>1w</v>
      </c>
      <c r="AU131" s="300" t="str">
        <f>_xlfn.IFNA(VLOOKUP($AI131,Programma!$F$3:$R$1107,13,0),"")</f>
        <v>1w</v>
      </c>
      <c r="AV131" s="300" t="str">
        <f>_xlfn.IFNA(VLOOKUP($AI131,Programma!$F$3:$S$1107,14,0),"")</f>
        <v>1m</v>
      </c>
      <c r="AW131" s="300" t="str">
        <f>_xlfn.IFNA(VLOOKUP($AI131,Programma!$F$3:$T$1107,15,0),"")</f>
        <v>2j</v>
      </c>
      <c r="AX131" s="300" t="str">
        <f>_xlfn.IFNA(VLOOKUP($AI131,Programma!$F$3:$U$1107,16,0),"")</f>
        <v>1j</v>
      </c>
      <c r="AY131" s="300" t="str">
        <f>_xlfn.IFNA(VLOOKUP($AI131,Programma!$F$3:$V$1107,17,0),"")</f>
        <v>_</v>
      </c>
      <c r="AZ131" s="300" t="str">
        <f>_xlfn.IFNA(VLOOKUP($AI131,Programma!$F$3:$W$1107,18,0),"")</f>
        <v>_</v>
      </c>
      <c r="BA131" s="300" t="str">
        <f>_xlfn.IFNA(VLOOKUP($AI131,Programma!$F$3:$X$1107,19,0),"")</f>
        <v>_</v>
      </c>
      <c r="BB131" s="300" t="str">
        <f>_xlfn.IFNA(VLOOKUP($AI131,Programma!$F$3:$Y$1107,20,0),"")</f>
        <v>_</v>
      </c>
      <c r="BC131" s="257"/>
      <c r="BD131" s="256" t="str">
        <f>IF(Ruimtestaat[[#This Row],[Frequentie weekend]]="","",_xlfn.CONCAT(Ruimtestaat[[#This Row],[Ruimte code]],"-",Ruimtestaat[[#This Row],[Frequentie weekend]]," ",Ruimtestaat[[#This Row],[Vloer code]]))</f>
        <v/>
      </c>
      <c r="BE131" s="300" t="str">
        <f>_xlfn.IFNA(VLOOKUP($BD131,Programma!$F$3:$G$1107,2,0),"")</f>
        <v/>
      </c>
      <c r="BF131" s="300" t="str">
        <f>_xlfn.IFNA(VLOOKUP($BD131,Programma!$F$3:$H$1107,3,0),"")</f>
        <v/>
      </c>
      <c r="BG131" s="300" t="str">
        <f>_xlfn.IFNA(VLOOKUP($BD131,Programma!$F$3:$I$1107,4,0),"")</f>
        <v/>
      </c>
      <c r="BH131" s="300" t="str">
        <f>_xlfn.IFNA(VLOOKUP($BD131,Programma!$F$3:$J$1107,5,0),"")</f>
        <v/>
      </c>
      <c r="BI131" s="300" t="str">
        <f>_xlfn.IFNA(VLOOKUP($BD131,Programma!$F$3:$K$1107,6,0),"")</f>
        <v/>
      </c>
      <c r="BJ131" s="300" t="str">
        <f>_xlfn.IFNA(VLOOKUP($BD131,Programma!$F$3:$L$1107,7,0),"")</f>
        <v/>
      </c>
      <c r="BK131" s="300" t="str">
        <f>_xlfn.IFNA(VLOOKUP($BD131,Programma!$F$3:$M$1107,8,0),"")</f>
        <v/>
      </c>
      <c r="BL131" s="300" t="str">
        <f>_xlfn.IFNA(VLOOKUP($BD131,Programma!$F$3:$N$1107,9,0),"")</f>
        <v/>
      </c>
      <c r="BM131" s="300" t="str">
        <f>_xlfn.IFNA(VLOOKUP($BD131,Programma!$F$3:$O$1107,10,0),"")</f>
        <v/>
      </c>
      <c r="BN131" s="300" t="str">
        <f>_xlfn.IFNA(VLOOKUP($BD131,Programma!$F$3:$P$1107,11,0),"")</f>
        <v/>
      </c>
      <c r="BO131" s="300" t="str">
        <f>_xlfn.IFNA(VLOOKUP($BD131,Programma!$F$3:$Q$1107,12,0),"")</f>
        <v/>
      </c>
      <c r="BP131" s="300" t="str">
        <f>_xlfn.IFNA(VLOOKUP($BD131,Programma!$F$3:$R$1107,13,0),"")</f>
        <v/>
      </c>
      <c r="BQ131" s="300" t="str">
        <f>_xlfn.IFNA(VLOOKUP($BD131,Programma!$F$3:$S$1107,14,0),"")</f>
        <v/>
      </c>
      <c r="BR131" s="300" t="str">
        <f>_xlfn.IFNA(VLOOKUP($BD131,Programma!$F$3:$T$1107,15,0),"")</f>
        <v/>
      </c>
      <c r="BS131" s="300" t="str">
        <f>_xlfn.IFNA(VLOOKUP($BD131,Programma!$F$3:$U$1107,16,0),"")</f>
        <v/>
      </c>
      <c r="BT131" s="300" t="str">
        <f>_xlfn.IFNA(VLOOKUP($BD131,Programma!$F$3:$V$1107,17,0),"")</f>
        <v/>
      </c>
      <c r="BU131" s="300" t="str">
        <f>_xlfn.IFNA(VLOOKUP($BD131,Programma!$F$3:$W$1107,18,0),"")</f>
        <v/>
      </c>
      <c r="BV131" s="300" t="str">
        <f>_xlfn.IFNA(VLOOKUP($BD131,Programma!$F$3:$X$1107,19,0),"")</f>
        <v/>
      </c>
      <c r="BW131" s="300" t="str">
        <f>_xlfn.IFNA(VLOOKUP($BD131,Programma!$F$3:$Y$1107,20,0),"")</f>
        <v/>
      </c>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row>
    <row r="132" spans="1:220" ht="15" customHeight="1">
      <c r="A132" s="21">
        <v>3</v>
      </c>
      <c r="B132" s="157" t="str">
        <f>VLOOKUP(Ruimtestaat[[#This Row],[Code]],Locaties[[Code]:[Locatie]],2,FALSE)</f>
        <v>'s Gravendreef College - Dependance</v>
      </c>
      <c r="C132" s="157" t="str">
        <f>VLOOKUP(Ruimtestaat[[#This Row],[Code]],Locaties[[#All],[Code]:[Adres]],4,FALSE)</f>
        <v>Henri Faasdreef 200</v>
      </c>
      <c r="D132" s="157" t="str">
        <f>VLOOKUP(Ruimtestaat[[#This Row],[Code]],Locaties[[#All],[Code]:[Postcode]],5,FALSE)</f>
        <v>2492 JP</v>
      </c>
      <c r="E132" s="157" t="str">
        <f>VLOOKUP(Ruimtestaat[[#This Row],[Code]],Locaties[#All],6,FALSE)</f>
        <v>Den Haag</v>
      </c>
      <c r="F132" s="33" t="s">
        <v>1801</v>
      </c>
      <c r="G132" s="33" t="s">
        <v>1749</v>
      </c>
      <c r="H132" s="21" t="s">
        <v>1808</v>
      </c>
      <c r="I132" s="62" t="s">
        <v>1809</v>
      </c>
      <c r="J132" s="21">
        <v>16</v>
      </c>
      <c r="K132" s="62" t="str">
        <f>VLOOKUP(Ruimtestaat[[#This Row],[Ruimte code]],Ruimtegroepen[[#All],[Code]:[Ruimte omschrijving]],2,FALSE)</f>
        <v>Leslokalen theorie</v>
      </c>
      <c r="L132" s="33" t="s">
        <v>101</v>
      </c>
      <c r="M132" s="367" t="s">
        <v>2495</v>
      </c>
      <c r="N132" s="140">
        <v>20.5</v>
      </c>
      <c r="O132" s="140"/>
      <c r="P132" s="125" t="str">
        <f>VLOOKUP(Ruimtestaat[[#This Row],[Ruimte code]],Ruimtegroepen[],4,FALSE)</f>
        <v>Le</v>
      </c>
      <c r="R132" s="33">
        <v>40</v>
      </c>
      <c r="S132" s="33" t="s">
        <v>2</v>
      </c>
      <c r="T132" s="33">
        <f>IF(R132&gt;0,IF(RIGHT(Ruimtestaat[[#This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2" s="33">
        <f>IF(T132&gt;0,VLOOKUP($J132,Ruimtegroepen[],3,FALSE)*VLOOKUP($L132,Vloersoorten[],3,FALSE)*VLOOKUP($S132,Frequenties[],3,FALSE)*VLOOKUP($A132,Locaties[],3,FALSE),0)</f>
        <v>0</v>
      </c>
      <c r="V132" s="33">
        <f>Ruimtestaat[[#This Row],[Uitvoeringen werkdagen]]*Ruimtestaat[[#This Row],[Oppervlak (netto)]]</f>
        <v>4100</v>
      </c>
      <c r="W132" s="154">
        <f>IF(U132&gt;0,Ruimtestaat[[#This Row],[Prest. (m2 /jaar) werkdagen]]/Ruimtestaat[[#This Row],[Norm (m2/uur) werkdagen]],0)</f>
        <v>0</v>
      </c>
      <c r="X132" s="155">
        <f>Ruimtestaat[[#This Row],[uren / jaar werkdagen]]*Tariefsopbouw!$E$35</f>
        <v>0</v>
      </c>
      <c r="Y132" s="33"/>
      <c r="Z132" s="33">
        <f>IF(Ruimtestaat[[#This Row],[Frequentie weekend]]&gt;0,VALUE(LEFT(Y132,1))*R132,0)</f>
        <v>0</v>
      </c>
      <c r="AA132" s="97">
        <f>IF($Z132&gt;0,VLOOKUP($J132,Ruimtegroepen[],3,FALSE)*VLOOKUP($L132,Vloersoorten[],3,FALSE)*VLOOKUP($Y132,Frequenties[],3,FALSE)*VLOOKUP(Ruimtestaat[[#This Row],[Code]],Locaties[],3,FALSE),0)</f>
        <v>0</v>
      </c>
      <c r="AB132" s="97">
        <f>Ruimtestaat[[#This Row],[Uitvoeringen weekend]]*Ruimtestaat[[#This Row],[Oppervlak (netto)]]</f>
        <v>0</v>
      </c>
      <c r="AC132" s="97">
        <f>IF(AA132&gt;0,Ruimtestaat[[#This Row],[Prest. (m2 /jaar) weekend]]/Ruimtestaat[[#This Row],[Norm (m2/uur) weekend]],0)</f>
        <v>0</v>
      </c>
      <c r="AD132" s="155">
        <f>Ruimtestaat[[#This Row],[uren / jaar weekend]]*Tariefsopbouw!$D$40</f>
        <v>0</v>
      </c>
      <c r="AE132" s="154">
        <f>Ruimtestaat[[#This Row],[Prest. (m2 /jaar) weekend]]+Ruimtestaat[[#This Row],[Prest. (m2 /jaar) werkdagen]]</f>
        <v>4100</v>
      </c>
      <c r="AF132" s="154">
        <f>Ruimtestaat[[#This Row],[uren / jaar weekend]]+Ruimtestaat[[#This Row],[uren / jaar werkdagen]]</f>
        <v>0</v>
      </c>
      <c r="AG132" s="69">
        <f>Ruimtestaat[[#This Row],[kosten / jaar weekend]]+Ruimtestaat[[#This Row],[kosten / jaar werkdagen]]</f>
        <v>0</v>
      </c>
      <c r="AH132" s="69"/>
      <c r="AI132" s="256" t="str">
        <f>IF(Ruimtestaat[[#This Row],[Frequentie werkdagen]]="","",_xlfn.CONCAT(Ruimtestaat[[#This Row],[Ruimte code]],"-",Ruimtestaat[[#This Row],[Frequentie werkdagen]]," ",Ruimtestaat[[#This Row],[Vloer code]]))</f>
        <v>16-5w L</v>
      </c>
      <c r="AJ132" s="300" t="str">
        <f>_xlfn.IFNA(VLOOKUP($AI132,Programma!$F$3:$G$1107,2,0),"")</f>
        <v>_</v>
      </c>
      <c r="AK132" s="300" t="str">
        <f>_xlfn.IFNA(VLOOKUP($AI132,Programma!$F$3:$H$1107,3,0),"")</f>
        <v>_</v>
      </c>
      <c r="AL132" s="300" t="str">
        <f>_xlfn.IFNA(VLOOKUP($AI132,Programma!$F$3:$I$1107,4,0),"")</f>
        <v>4w</v>
      </c>
      <c r="AM132" s="300" t="str">
        <f>_xlfn.IFNA(VLOOKUP($AI132,Programma!$F$3:$J$1107,5,0),"")</f>
        <v>1w</v>
      </c>
      <c r="AN132" s="300" t="str">
        <f>_xlfn.IFNA(VLOOKUP($AI132,Programma!$F$3:$K$1107,6,0),"")</f>
        <v>_</v>
      </c>
      <c r="AO132" s="300" t="str">
        <f>_xlfn.IFNA(VLOOKUP($AI132,Programma!$F$3:$L$1107,7,0),"")</f>
        <v>_</v>
      </c>
      <c r="AP132" s="300" t="str">
        <f>_xlfn.IFNA(VLOOKUP($AI132,Programma!$F$3:$M$1107,8,0),"")</f>
        <v>_</v>
      </c>
      <c r="AQ132" s="300" t="str">
        <f>_xlfn.IFNA(VLOOKUP($AI132,Programma!$F$3:$N$1107,9,0),"")</f>
        <v>_</v>
      </c>
      <c r="AR132" s="300" t="str">
        <f>_xlfn.IFNA(VLOOKUP($AI132,Programma!$F$3:$O$1107,10,0),"")</f>
        <v>5w</v>
      </c>
      <c r="AS132" s="300" t="str">
        <f>_xlfn.IFNA(VLOOKUP($AI132,Programma!$F$3:$P$1107,11,0),"")</f>
        <v>5w</v>
      </c>
      <c r="AT132" s="300" t="str">
        <f>_xlfn.IFNA(VLOOKUP($AI132,Programma!$F$3:$Q$1107,12,0),"")</f>
        <v>1w</v>
      </c>
      <c r="AU132" s="300" t="str">
        <f>_xlfn.IFNA(VLOOKUP($AI132,Programma!$F$3:$R$1107,13,0),"")</f>
        <v>1w</v>
      </c>
      <c r="AV132" s="300" t="str">
        <f>_xlfn.IFNA(VLOOKUP($AI132,Programma!$F$3:$S$1107,14,0),"")</f>
        <v>1m</v>
      </c>
      <c r="AW132" s="300" t="str">
        <f>_xlfn.IFNA(VLOOKUP($AI132,Programma!$F$3:$T$1107,15,0),"")</f>
        <v>2j</v>
      </c>
      <c r="AX132" s="300" t="str">
        <f>_xlfn.IFNA(VLOOKUP($AI132,Programma!$F$3:$U$1107,16,0),"")</f>
        <v>1j</v>
      </c>
      <c r="AY132" s="300" t="str">
        <f>_xlfn.IFNA(VLOOKUP($AI132,Programma!$F$3:$V$1107,17,0),"")</f>
        <v>_</v>
      </c>
      <c r="AZ132" s="300" t="str">
        <f>_xlfn.IFNA(VLOOKUP($AI132,Programma!$F$3:$W$1107,18,0),"")</f>
        <v>_</v>
      </c>
      <c r="BA132" s="300" t="str">
        <f>_xlfn.IFNA(VLOOKUP($AI132,Programma!$F$3:$X$1107,19,0),"")</f>
        <v>_</v>
      </c>
      <c r="BB132" s="300" t="str">
        <f>_xlfn.IFNA(VLOOKUP($AI132,Programma!$F$3:$Y$1107,20,0),"")</f>
        <v>_</v>
      </c>
      <c r="BC132" s="257"/>
      <c r="BD132" s="256" t="str">
        <f>IF(Ruimtestaat[[#This Row],[Frequentie weekend]]="","",_xlfn.CONCAT(Ruimtestaat[[#This Row],[Ruimte code]],"-",Ruimtestaat[[#This Row],[Frequentie weekend]]," ",Ruimtestaat[[#This Row],[Vloer code]]))</f>
        <v/>
      </c>
      <c r="BE132" s="300" t="str">
        <f>_xlfn.IFNA(VLOOKUP($BD132,Programma!$F$3:$G$1107,2,0),"")</f>
        <v/>
      </c>
      <c r="BF132" s="300" t="str">
        <f>_xlfn.IFNA(VLOOKUP($BD132,Programma!$F$3:$H$1107,3,0),"")</f>
        <v/>
      </c>
      <c r="BG132" s="300" t="str">
        <f>_xlfn.IFNA(VLOOKUP($BD132,Programma!$F$3:$I$1107,4,0),"")</f>
        <v/>
      </c>
      <c r="BH132" s="300" t="str">
        <f>_xlfn.IFNA(VLOOKUP($BD132,Programma!$F$3:$J$1107,5,0),"")</f>
        <v/>
      </c>
      <c r="BI132" s="300" t="str">
        <f>_xlfn.IFNA(VLOOKUP($BD132,Programma!$F$3:$K$1107,6,0),"")</f>
        <v/>
      </c>
      <c r="BJ132" s="300" t="str">
        <f>_xlfn.IFNA(VLOOKUP($BD132,Programma!$F$3:$L$1107,7,0),"")</f>
        <v/>
      </c>
      <c r="BK132" s="300" t="str">
        <f>_xlfn.IFNA(VLOOKUP($BD132,Programma!$F$3:$M$1107,8,0),"")</f>
        <v/>
      </c>
      <c r="BL132" s="300" t="str">
        <f>_xlfn.IFNA(VLOOKUP($BD132,Programma!$F$3:$N$1107,9,0),"")</f>
        <v/>
      </c>
      <c r="BM132" s="300" t="str">
        <f>_xlfn.IFNA(VLOOKUP($BD132,Programma!$F$3:$O$1107,10,0),"")</f>
        <v/>
      </c>
      <c r="BN132" s="300" t="str">
        <f>_xlfn.IFNA(VLOOKUP($BD132,Programma!$F$3:$P$1107,11,0),"")</f>
        <v/>
      </c>
      <c r="BO132" s="300" t="str">
        <f>_xlfn.IFNA(VLOOKUP($BD132,Programma!$F$3:$Q$1107,12,0),"")</f>
        <v/>
      </c>
      <c r="BP132" s="300" t="str">
        <f>_xlfn.IFNA(VLOOKUP($BD132,Programma!$F$3:$R$1107,13,0),"")</f>
        <v/>
      </c>
      <c r="BQ132" s="300" t="str">
        <f>_xlfn.IFNA(VLOOKUP($BD132,Programma!$F$3:$S$1107,14,0),"")</f>
        <v/>
      </c>
      <c r="BR132" s="300" t="str">
        <f>_xlfn.IFNA(VLOOKUP($BD132,Programma!$F$3:$T$1107,15,0),"")</f>
        <v/>
      </c>
      <c r="BS132" s="300" t="str">
        <f>_xlfn.IFNA(VLOOKUP($BD132,Programma!$F$3:$U$1107,16,0),"")</f>
        <v/>
      </c>
      <c r="BT132" s="300" t="str">
        <f>_xlfn.IFNA(VLOOKUP($BD132,Programma!$F$3:$V$1107,17,0),"")</f>
        <v/>
      </c>
      <c r="BU132" s="300" t="str">
        <f>_xlfn.IFNA(VLOOKUP($BD132,Programma!$F$3:$W$1107,18,0),"")</f>
        <v/>
      </c>
      <c r="BV132" s="300" t="str">
        <f>_xlfn.IFNA(VLOOKUP($BD132,Programma!$F$3:$X$1107,19,0),"")</f>
        <v/>
      </c>
      <c r="BW132" s="300" t="str">
        <f>_xlfn.IFNA(VLOOKUP($BD132,Programma!$F$3:$Y$1107,20,0),"")</f>
        <v/>
      </c>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row>
    <row r="133" spans="1:220" ht="15" customHeight="1">
      <c r="A133" s="21">
        <v>3</v>
      </c>
      <c r="B133" s="157" t="str">
        <f>VLOOKUP(Ruimtestaat[[#This Row],[Code]],Locaties[[Code]:[Locatie]],2,FALSE)</f>
        <v>'s Gravendreef College - Dependance</v>
      </c>
      <c r="C133" s="157" t="str">
        <f>VLOOKUP(Ruimtestaat[[#This Row],[Code]],Locaties[[#All],[Code]:[Adres]],4,FALSE)</f>
        <v>Henri Faasdreef 200</v>
      </c>
      <c r="D133" s="157" t="str">
        <f>VLOOKUP(Ruimtestaat[[#This Row],[Code]],Locaties[[#All],[Code]:[Postcode]],5,FALSE)</f>
        <v>2492 JP</v>
      </c>
      <c r="E133" s="157" t="str">
        <f>VLOOKUP(Ruimtestaat[[#This Row],[Code]],Locaties[#All],6,FALSE)</f>
        <v>Den Haag</v>
      </c>
      <c r="F133" s="33" t="s">
        <v>1801</v>
      </c>
      <c r="G133" s="33" t="s">
        <v>1749</v>
      </c>
      <c r="H133" s="21" t="s">
        <v>1810</v>
      </c>
      <c r="I133" s="62" t="s">
        <v>1811</v>
      </c>
      <c r="J133" s="21">
        <v>16</v>
      </c>
      <c r="K133" s="62" t="str">
        <f>VLOOKUP(Ruimtestaat[[#This Row],[Ruimte code]],Ruimtegroepen[[#All],[Code]:[Ruimte omschrijving]],2,FALSE)</f>
        <v>Leslokalen theorie</v>
      </c>
      <c r="L133" s="33" t="s">
        <v>101</v>
      </c>
      <c r="M133" s="367" t="s">
        <v>2495</v>
      </c>
      <c r="N133" s="140">
        <v>10.08</v>
      </c>
      <c r="O133" s="140"/>
      <c r="P133" s="125" t="str">
        <f>VLOOKUP(Ruimtestaat[[#This Row],[Ruimte code]],Ruimtegroepen[],4,FALSE)</f>
        <v>Le</v>
      </c>
      <c r="R133" s="33">
        <v>40</v>
      </c>
      <c r="S133" s="33" t="s">
        <v>2</v>
      </c>
      <c r="T133" s="33">
        <f>IF(R133&gt;0,IF(RIGHT(Ruimtestaat[[#This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3" s="33">
        <f>IF(T133&gt;0,VLOOKUP($J133,Ruimtegroepen[],3,FALSE)*VLOOKUP($L133,Vloersoorten[],3,FALSE)*VLOOKUP($S133,Frequenties[],3,FALSE)*VLOOKUP($A133,Locaties[],3,FALSE),0)</f>
        <v>0</v>
      </c>
      <c r="V133" s="33">
        <f>Ruimtestaat[[#This Row],[Uitvoeringen werkdagen]]*Ruimtestaat[[#This Row],[Oppervlak (netto)]]</f>
        <v>2016</v>
      </c>
      <c r="W133" s="154">
        <f>IF(U133&gt;0,Ruimtestaat[[#This Row],[Prest. (m2 /jaar) werkdagen]]/Ruimtestaat[[#This Row],[Norm (m2/uur) werkdagen]],0)</f>
        <v>0</v>
      </c>
      <c r="X133" s="155">
        <f>Ruimtestaat[[#This Row],[uren / jaar werkdagen]]*Tariefsopbouw!$E$35</f>
        <v>0</v>
      </c>
      <c r="Y133" s="33"/>
      <c r="Z133" s="33">
        <f>IF(Ruimtestaat[[#This Row],[Frequentie weekend]]&gt;0,VALUE(LEFT(Y133,1))*R133,0)</f>
        <v>0</v>
      </c>
      <c r="AA133" s="97">
        <f>IF($Z133&gt;0,VLOOKUP($J133,Ruimtegroepen[],3,FALSE)*VLOOKUP($L133,Vloersoorten[],3,FALSE)*VLOOKUP($Y133,Frequenties[],3,FALSE)*VLOOKUP(Ruimtestaat[[#This Row],[Code]],Locaties[],3,FALSE),0)</f>
        <v>0</v>
      </c>
      <c r="AB133" s="97">
        <f>Ruimtestaat[[#This Row],[Uitvoeringen weekend]]*Ruimtestaat[[#This Row],[Oppervlak (netto)]]</f>
        <v>0</v>
      </c>
      <c r="AC133" s="97">
        <f>IF(AA133&gt;0,Ruimtestaat[[#This Row],[Prest. (m2 /jaar) weekend]]/Ruimtestaat[[#This Row],[Norm (m2/uur) weekend]],0)</f>
        <v>0</v>
      </c>
      <c r="AD133" s="155">
        <f>Ruimtestaat[[#This Row],[uren / jaar weekend]]*Tariefsopbouw!$D$40</f>
        <v>0</v>
      </c>
      <c r="AE133" s="154">
        <f>Ruimtestaat[[#This Row],[Prest. (m2 /jaar) weekend]]+Ruimtestaat[[#This Row],[Prest. (m2 /jaar) werkdagen]]</f>
        <v>2016</v>
      </c>
      <c r="AF133" s="154">
        <f>Ruimtestaat[[#This Row],[uren / jaar weekend]]+Ruimtestaat[[#This Row],[uren / jaar werkdagen]]</f>
        <v>0</v>
      </c>
      <c r="AG133" s="69">
        <f>Ruimtestaat[[#This Row],[kosten / jaar weekend]]+Ruimtestaat[[#This Row],[kosten / jaar werkdagen]]</f>
        <v>0</v>
      </c>
      <c r="AH133" s="69"/>
      <c r="AI133" s="256" t="str">
        <f>IF(Ruimtestaat[[#This Row],[Frequentie werkdagen]]="","",_xlfn.CONCAT(Ruimtestaat[[#This Row],[Ruimte code]],"-",Ruimtestaat[[#This Row],[Frequentie werkdagen]]," ",Ruimtestaat[[#This Row],[Vloer code]]))</f>
        <v>16-5w L</v>
      </c>
      <c r="AJ133" s="300" t="str">
        <f>_xlfn.IFNA(VLOOKUP($AI133,Programma!$F$3:$G$1107,2,0),"")</f>
        <v>_</v>
      </c>
      <c r="AK133" s="300" t="str">
        <f>_xlfn.IFNA(VLOOKUP($AI133,Programma!$F$3:$H$1107,3,0),"")</f>
        <v>_</v>
      </c>
      <c r="AL133" s="300" t="str">
        <f>_xlfn.IFNA(VLOOKUP($AI133,Programma!$F$3:$I$1107,4,0),"")</f>
        <v>4w</v>
      </c>
      <c r="AM133" s="300" t="str">
        <f>_xlfn.IFNA(VLOOKUP($AI133,Programma!$F$3:$J$1107,5,0),"")</f>
        <v>1w</v>
      </c>
      <c r="AN133" s="300" t="str">
        <f>_xlfn.IFNA(VLOOKUP($AI133,Programma!$F$3:$K$1107,6,0),"")</f>
        <v>_</v>
      </c>
      <c r="AO133" s="300" t="str">
        <f>_xlfn.IFNA(VLOOKUP($AI133,Programma!$F$3:$L$1107,7,0),"")</f>
        <v>_</v>
      </c>
      <c r="AP133" s="300" t="str">
        <f>_xlfn.IFNA(VLOOKUP($AI133,Programma!$F$3:$M$1107,8,0),"")</f>
        <v>_</v>
      </c>
      <c r="AQ133" s="300" t="str">
        <f>_xlfn.IFNA(VLOOKUP($AI133,Programma!$F$3:$N$1107,9,0),"")</f>
        <v>_</v>
      </c>
      <c r="AR133" s="300" t="str">
        <f>_xlfn.IFNA(VLOOKUP($AI133,Programma!$F$3:$O$1107,10,0),"")</f>
        <v>5w</v>
      </c>
      <c r="AS133" s="300" t="str">
        <f>_xlfn.IFNA(VLOOKUP($AI133,Programma!$F$3:$P$1107,11,0),"")</f>
        <v>5w</v>
      </c>
      <c r="AT133" s="300" t="str">
        <f>_xlfn.IFNA(VLOOKUP($AI133,Programma!$F$3:$Q$1107,12,0),"")</f>
        <v>1w</v>
      </c>
      <c r="AU133" s="300" t="str">
        <f>_xlfn.IFNA(VLOOKUP($AI133,Programma!$F$3:$R$1107,13,0),"")</f>
        <v>1w</v>
      </c>
      <c r="AV133" s="300" t="str">
        <f>_xlfn.IFNA(VLOOKUP($AI133,Programma!$F$3:$S$1107,14,0),"")</f>
        <v>1m</v>
      </c>
      <c r="AW133" s="300" t="str">
        <f>_xlfn.IFNA(VLOOKUP($AI133,Programma!$F$3:$T$1107,15,0),"")</f>
        <v>2j</v>
      </c>
      <c r="AX133" s="300" t="str">
        <f>_xlfn.IFNA(VLOOKUP($AI133,Programma!$F$3:$U$1107,16,0),"")</f>
        <v>1j</v>
      </c>
      <c r="AY133" s="300" t="str">
        <f>_xlfn.IFNA(VLOOKUP($AI133,Programma!$F$3:$V$1107,17,0),"")</f>
        <v>_</v>
      </c>
      <c r="AZ133" s="300" t="str">
        <f>_xlfn.IFNA(VLOOKUP($AI133,Programma!$F$3:$W$1107,18,0),"")</f>
        <v>_</v>
      </c>
      <c r="BA133" s="300" t="str">
        <f>_xlfn.IFNA(VLOOKUP($AI133,Programma!$F$3:$X$1107,19,0),"")</f>
        <v>_</v>
      </c>
      <c r="BB133" s="300" t="str">
        <f>_xlfn.IFNA(VLOOKUP($AI133,Programma!$F$3:$Y$1107,20,0),"")</f>
        <v>_</v>
      </c>
      <c r="BC133" s="257"/>
      <c r="BD133" s="256" t="str">
        <f>IF(Ruimtestaat[[#This Row],[Frequentie weekend]]="","",_xlfn.CONCAT(Ruimtestaat[[#This Row],[Ruimte code]],"-",Ruimtestaat[[#This Row],[Frequentie weekend]]," ",Ruimtestaat[[#This Row],[Vloer code]]))</f>
        <v/>
      </c>
      <c r="BE133" s="300" t="str">
        <f>_xlfn.IFNA(VLOOKUP($BD133,Programma!$F$3:$G$1107,2,0),"")</f>
        <v/>
      </c>
      <c r="BF133" s="300" t="str">
        <f>_xlfn.IFNA(VLOOKUP($BD133,Programma!$F$3:$H$1107,3,0),"")</f>
        <v/>
      </c>
      <c r="BG133" s="300" t="str">
        <f>_xlfn.IFNA(VLOOKUP($BD133,Programma!$F$3:$I$1107,4,0),"")</f>
        <v/>
      </c>
      <c r="BH133" s="300" t="str">
        <f>_xlfn.IFNA(VLOOKUP($BD133,Programma!$F$3:$J$1107,5,0),"")</f>
        <v/>
      </c>
      <c r="BI133" s="300" t="str">
        <f>_xlfn.IFNA(VLOOKUP($BD133,Programma!$F$3:$K$1107,6,0),"")</f>
        <v/>
      </c>
      <c r="BJ133" s="300" t="str">
        <f>_xlfn.IFNA(VLOOKUP($BD133,Programma!$F$3:$L$1107,7,0),"")</f>
        <v/>
      </c>
      <c r="BK133" s="300" t="str">
        <f>_xlfn.IFNA(VLOOKUP($BD133,Programma!$F$3:$M$1107,8,0),"")</f>
        <v/>
      </c>
      <c r="BL133" s="300" t="str">
        <f>_xlfn.IFNA(VLOOKUP($BD133,Programma!$F$3:$N$1107,9,0),"")</f>
        <v/>
      </c>
      <c r="BM133" s="300" t="str">
        <f>_xlfn.IFNA(VLOOKUP($BD133,Programma!$F$3:$O$1107,10,0),"")</f>
        <v/>
      </c>
      <c r="BN133" s="300" t="str">
        <f>_xlfn.IFNA(VLOOKUP($BD133,Programma!$F$3:$P$1107,11,0),"")</f>
        <v/>
      </c>
      <c r="BO133" s="300" t="str">
        <f>_xlfn.IFNA(VLOOKUP($BD133,Programma!$F$3:$Q$1107,12,0),"")</f>
        <v/>
      </c>
      <c r="BP133" s="300" t="str">
        <f>_xlfn.IFNA(VLOOKUP($BD133,Programma!$F$3:$R$1107,13,0),"")</f>
        <v/>
      </c>
      <c r="BQ133" s="300" t="str">
        <f>_xlfn.IFNA(VLOOKUP($BD133,Programma!$F$3:$S$1107,14,0),"")</f>
        <v/>
      </c>
      <c r="BR133" s="300" t="str">
        <f>_xlfn.IFNA(VLOOKUP($BD133,Programma!$F$3:$T$1107,15,0),"")</f>
        <v/>
      </c>
      <c r="BS133" s="300" t="str">
        <f>_xlfn.IFNA(VLOOKUP($BD133,Programma!$F$3:$U$1107,16,0),"")</f>
        <v/>
      </c>
      <c r="BT133" s="300" t="str">
        <f>_xlfn.IFNA(VLOOKUP($BD133,Programma!$F$3:$V$1107,17,0),"")</f>
        <v/>
      </c>
      <c r="BU133" s="300" t="str">
        <f>_xlfn.IFNA(VLOOKUP($BD133,Programma!$F$3:$W$1107,18,0),"")</f>
        <v/>
      </c>
      <c r="BV133" s="300" t="str">
        <f>_xlfn.IFNA(VLOOKUP($BD133,Programma!$F$3:$X$1107,19,0),"")</f>
        <v/>
      </c>
      <c r="BW133" s="300" t="str">
        <f>_xlfn.IFNA(VLOOKUP($BD133,Programma!$F$3:$Y$1107,20,0),"")</f>
        <v/>
      </c>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row>
    <row r="134" spans="1:220" ht="15" customHeight="1">
      <c r="A134" s="21">
        <v>3</v>
      </c>
      <c r="B134" s="157" t="str">
        <f>VLOOKUP(Ruimtestaat[[#This Row],[Code]],Locaties[[Code]:[Locatie]],2,FALSE)</f>
        <v>'s Gravendreef College - Dependance</v>
      </c>
      <c r="C134" s="157" t="str">
        <f>VLOOKUP(Ruimtestaat[[#This Row],[Code]],Locaties[[#All],[Code]:[Adres]],4,FALSE)</f>
        <v>Henri Faasdreef 200</v>
      </c>
      <c r="D134" s="157" t="str">
        <f>VLOOKUP(Ruimtestaat[[#This Row],[Code]],Locaties[[#All],[Code]:[Postcode]],5,FALSE)</f>
        <v>2492 JP</v>
      </c>
      <c r="E134" s="157" t="str">
        <f>VLOOKUP(Ruimtestaat[[#This Row],[Code]],Locaties[#All],6,FALSE)</f>
        <v>Den Haag</v>
      </c>
      <c r="F134" s="33" t="s">
        <v>1801</v>
      </c>
      <c r="G134" s="33" t="s">
        <v>1749</v>
      </c>
      <c r="H134" s="21" t="s">
        <v>1812</v>
      </c>
      <c r="I134" s="62" t="s">
        <v>1811</v>
      </c>
      <c r="J134" s="21">
        <v>16</v>
      </c>
      <c r="K134" s="62" t="str">
        <f>VLOOKUP(Ruimtestaat[[#This Row],[Ruimte code]],Ruimtegroepen[[#All],[Code]:[Ruimte omschrijving]],2,FALSE)</f>
        <v>Leslokalen theorie</v>
      </c>
      <c r="L134" s="33" t="s">
        <v>101</v>
      </c>
      <c r="M134" s="367" t="s">
        <v>2495</v>
      </c>
      <c r="N134" s="140">
        <v>10.029999999999999</v>
      </c>
      <c r="O134" s="140"/>
      <c r="P134" s="125" t="str">
        <f>VLOOKUP(Ruimtestaat[[#This Row],[Ruimte code]],Ruimtegroepen[],4,FALSE)</f>
        <v>Le</v>
      </c>
      <c r="R134" s="33">
        <v>40</v>
      </c>
      <c r="S134" s="33" t="s">
        <v>2</v>
      </c>
      <c r="T134" s="33">
        <f>IF(R134&gt;0,IF(RIGHT(Ruimtestaat[[#This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4" s="33">
        <f>IF(T134&gt;0,VLOOKUP($J134,Ruimtegroepen[],3,FALSE)*VLOOKUP($L134,Vloersoorten[],3,FALSE)*VLOOKUP($S134,Frequenties[],3,FALSE)*VLOOKUP($A134,Locaties[],3,FALSE),0)</f>
        <v>0</v>
      </c>
      <c r="V134" s="33">
        <f>Ruimtestaat[[#This Row],[Uitvoeringen werkdagen]]*Ruimtestaat[[#This Row],[Oppervlak (netto)]]</f>
        <v>2005.9999999999998</v>
      </c>
      <c r="W134" s="154">
        <f>IF(U134&gt;0,Ruimtestaat[[#This Row],[Prest. (m2 /jaar) werkdagen]]/Ruimtestaat[[#This Row],[Norm (m2/uur) werkdagen]],0)</f>
        <v>0</v>
      </c>
      <c r="X134" s="155">
        <f>Ruimtestaat[[#This Row],[uren / jaar werkdagen]]*Tariefsopbouw!$E$35</f>
        <v>0</v>
      </c>
      <c r="Y134" s="33"/>
      <c r="Z134" s="33">
        <f>IF(Ruimtestaat[[#This Row],[Frequentie weekend]]&gt;0,VALUE(LEFT(Y134,1))*R134,0)</f>
        <v>0</v>
      </c>
      <c r="AA134" s="97">
        <f>IF($Z134&gt;0,VLOOKUP($J134,Ruimtegroepen[],3,FALSE)*VLOOKUP($L134,Vloersoorten[],3,FALSE)*VLOOKUP($Y134,Frequenties[],3,FALSE)*VLOOKUP(Ruimtestaat[[#This Row],[Code]],Locaties[],3,FALSE),0)</f>
        <v>0</v>
      </c>
      <c r="AB134" s="97">
        <f>Ruimtestaat[[#This Row],[Uitvoeringen weekend]]*Ruimtestaat[[#This Row],[Oppervlak (netto)]]</f>
        <v>0</v>
      </c>
      <c r="AC134" s="97">
        <f>IF(AA134&gt;0,Ruimtestaat[[#This Row],[Prest. (m2 /jaar) weekend]]/Ruimtestaat[[#This Row],[Norm (m2/uur) weekend]],0)</f>
        <v>0</v>
      </c>
      <c r="AD134" s="155">
        <f>Ruimtestaat[[#This Row],[uren / jaar weekend]]*Tariefsopbouw!$D$40</f>
        <v>0</v>
      </c>
      <c r="AE134" s="154">
        <f>Ruimtestaat[[#This Row],[Prest. (m2 /jaar) weekend]]+Ruimtestaat[[#This Row],[Prest. (m2 /jaar) werkdagen]]</f>
        <v>2005.9999999999998</v>
      </c>
      <c r="AF134" s="154">
        <f>Ruimtestaat[[#This Row],[uren / jaar weekend]]+Ruimtestaat[[#This Row],[uren / jaar werkdagen]]</f>
        <v>0</v>
      </c>
      <c r="AG134" s="69">
        <f>Ruimtestaat[[#This Row],[kosten / jaar weekend]]+Ruimtestaat[[#This Row],[kosten / jaar werkdagen]]</f>
        <v>0</v>
      </c>
      <c r="AH134" s="69"/>
      <c r="AI134" s="256" t="str">
        <f>IF(Ruimtestaat[[#This Row],[Frequentie werkdagen]]="","",_xlfn.CONCAT(Ruimtestaat[[#This Row],[Ruimte code]],"-",Ruimtestaat[[#This Row],[Frequentie werkdagen]]," ",Ruimtestaat[[#This Row],[Vloer code]]))</f>
        <v>16-5w L</v>
      </c>
      <c r="AJ134" s="300" t="str">
        <f>_xlfn.IFNA(VLOOKUP($AI134,Programma!$F$3:$G$1107,2,0),"")</f>
        <v>_</v>
      </c>
      <c r="AK134" s="300" t="str">
        <f>_xlfn.IFNA(VLOOKUP($AI134,Programma!$F$3:$H$1107,3,0),"")</f>
        <v>_</v>
      </c>
      <c r="AL134" s="300" t="str">
        <f>_xlfn.IFNA(VLOOKUP($AI134,Programma!$F$3:$I$1107,4,0),"")</f>
        <v>4w</v>
      </c>
      <c r="AM134" s="300" t="str">
        <f>_xlfn.IFNA(VLOOKUP($AI134,Programma!$F$3:$J$1107,5,0),"")</f>
        <v>1w</v>
      </c>
      <c r="AN134" s="300" t="str">
        <f>_xlfn.IFNA(VLOOKUP($AI134,Programma!$F$3:$K$1107,6,0),"")</f>
        <v>_</v>
      </c>
      <c r="AO134" s="300" t="str">
        <f>_xlfn.IFNA(VLOOKUP($AI134,Programma!$F$3:$L$1107,7,0),"")</f>
        <v>_</v>
      </c>
      <c r="AP134" s="300" t="str">
        <f>_xlfn.IFNA(VLOOKUP($AI134,Programma!$F$3:$M$1107,8,0),"")</f>
        <v>_</v>
      </c>
      <c r="AQ134" s="300" t="str">
        <f>_xlfn.IFNA(VLOOKUP($AI134,Programma!$F$3:$N$1107,9,0),"")</f>
        <v>_</v>
      </c>
      <c r="AR134" s="300" t="str">
        <f>_xlfn.IFNA(VLOOKUP($AI134,Programma!$F$3:$O$1107,10,0),"")</f>
        <v>5w</v>
      </c>
      <c r="AS134" s="300" t="str">
        <f>_xlfn.IFNA(VLOOKUP($AI134,Programma!$F$3:$P$1107,11,0),"")</f>
        <v>5w</v>
      </c>
      <c r="AT134" s="300" t="str">
        <f>_xlfn.IFNA(VLOOKUP($AI134,Programma!$F$3:$Q$1107,12,0),"")</f>
        <v>1w</v>
      </c>
      <c r="AU134" s="300" t="str">
        <f>_xlfn.IFNA(VLOOKUP($AI134,Programma!$F$3:$R$1107,13,0),"")</f>
        <v>1w</v>
      </c>
      <c r="AV134" s="300" t="str">
        <f>_xlfn.IFNA(VLOOKUP($AI134,Programma!$F$3:$S$1107,14,0),"")</f>
        <v>1m</v>
      </c>
      <c r="AW134" s="300" t="str">
        <f>_xlfn.IFNA(VLOOKUP($AI134,Programma!$F$3:$T$1107,15,0),"")</f>
        <v>2j</v>
      </c>
      <c r="AX134" s="300" t="str">
        <f>_xlfn.IFNA(VLOOKUP($AI134,Programma!$F$3:$U$1107,16,0),"")</f>
        <v>1j</v>
      </c>
      <c r="AY134" s="300" t="str">
        <f>_xlfn.IFNA(VLOOKUP($AI134,Programma!$F$3:$V$1107,17,0),"")</f>
        <v>_</v>
      </c>
      <c r="AZ134" s="300" t="str">
        <f>_xlfn.IFNA(VLOOKUP($AI134,Programma!$F$3:$W$1107,18,0),"")</f>
        <v>_</v>
      </c>
      <c r="BA134" s="300" t="str">
        <f>_xlfn.IFNA(VLOOKUP($AI134,Programma!$F$3:$X$1107,19,0),"")</f>
        <v>_</v>
      </c>
      <c r="BB134" s="300" t="str">
        <f>_xlfn.IFNA(VLOOKUP($AI134,Programma!$F$3:$Y$1107,20,0),"")</f>
        <v>_</v>
      </c>
      <c r="BC134" s="257"/>
      <c r="BD134" s="256" t="str">
        <f>IF(Ruimtestaat[[#This Row],[Frequentie weekend]]="","",_xlfn.CONCAT(Ruimtestaat[[#This Row],[Ruimte code]],"-",Ruimtestaat[[#This Row],[Frequentie weekend]]," ",Ruimtestaat[[#This Row],[Vloer code]]))</f>
        <v/>
      </c>
      <c r="BE134" s="300" t="str">
        <f>_xlfn.IFNA(VLOOKUP($BD134,Programma!$F$3:$G$1107,2,0),"")</f>
        <v/>
      </c>
      <c r="BF134" s="300" t="str">
        <f>_xlfn.IFNA(VLOOKUP($BD134,Programma!$F$3:$H$1107,3,0),"")</f>
        <v/>
      </c>
      <c r="BG134" s="300" t="str">
        <f>_xlfn.IFNA(VLOOKUP($BD134,Programma!$F$3:$I$1107,4,0),"")</f>
        <v/>
      </c>
      <c r="BH134" s="300" t="str">
        <f>_xlfn.IFNA(VLOOKUP($BD134,Programma!$F$3:$J$1107,5,0),"")</f>
        <v/>
      </c>
      <c r="BI134" s="300" t="str">
        <f>_xlfn.IFNA(VLOOKUP($BD134,Programma!$F$3:$K$1107,6,0),"")</f>
        <v/>
      </c>
      <c r="BJ134" s="300" t="str">
        <f>_xlfn.IFNA(VLOOKUP($BD134,Programma!$F$3:$L$1107,7,0),"")</f>
        <v/>
      </c>
      <c r="BK134" s="300" t="str">
        <f>_xlfn.IFNA(VLOOKUP($BD134,Programma!$F$3:$M$1107,8,0),"")</f>
        <v/>
      </c>
      <c r="BL134" s="300" t="str">
        <f>_xlfn.IFNA(VLOOKUP($BD134,Programma!$F$3:$N$1107,9,0),"")</f>
        <v/>
      </c>
      <c r="BM134" s="300" t="str">
        <f>_xlfn.IFNA(VLOOKUP($BD134,Programma!$F$3:$O$1107,10,0),"")</f>
        <v/>
      </c>
      <c r="BN134" s="300" t="str">
        <f>_xlfn.IFNA(VLOOKUP($BD134,Programma!$F$3:$P$1107,11,0),"")</f>
        <v/>
      </c>
      <c r="BO134" s="300" t="str">
        <f>_xlfn.IFNA(VLOOKUP($BD134,Programma!$F$3:$Q$1107,12,0),"")</f>
        <v/>
      </c>
      <c r="BP134" s="300" t="str">
        <f>_xlfn.IFNA(VLOOKUP($BD134,Programma!$F$3:$R$1107,13,0),"")</f>
        <v/>
      </c>
      <c r="BQ134" s="300" t="str">
        <f>_xlfn.IFNA(VLOOKUP($BD134,Programma!$F$3:$S$1107,14,0),"")</f>
        <v/>
      </c>
      <c r="BR134" s="300" t="str">
        <f>_xlfn.IFNA(VLOOKUP($BD134,Programma!$F$3:$T$1107,15,0),"")</f>
        <v/>
      </c>
      <c r="BS134" s="300" t="str">
        <f>_xlfn.IFNA(VLOOKUP($BD134,Programma!$F$3:$U$1107,16,0),"")</f>
        <v/>
      </c>
      <c r="BT134" s="300" t="str">
        <f>_xlfn.IFNA(VLOOKUP($BD134,Programma!$F$3:$V$1107,17,0),"")</f>
        <v/>
      </c>
      <c r="BU134" s="300" t="str">
        <f>_xlfn.IFNA(VLOOKUP($BD134,Programma!$F$3:$W$1107,18,0),"")</f>
        <v/>
      </c>
      <c r="BV134" s="300" t="str">
        <f>_xlfn.IFNA(VLOOKUP($BD134,Programma!$F$3:$X$1107,19,0),"")</f>
        <v/>
      </c>
      <c r="BW134" s="300" t="str">
        <f>_xlfn.IFNA(VLOOKUP($BD134,Programma!$F$3:$Y$1107,20,0),"")</f>
        <v/>
      </c>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row>
    <row r="135" spans="1:220" ht="15" customHeight="1">
      <c r="A135" s="21">
        <v>3</v>
      </c>
      <c r="B135" s="157" t="str">
        <f>VLOOKUP(Ruimtestaat[[#This Row],[Code]],Locaties[[Code]:[Locatie]],2,FALSE)</f>
        <v>'s Gravendreef College - Dependance</v>
      </c>
      <c r="C135" s="157" t="str">
        <f>VLOOKUP(Ruimtestaat[[#This Row],[Code]],Locaties[[#All],[Code]:[Adres]],4,FALSE)</f>
        <v>Henri Faasdreef 200</v>
      </c>
      <c r="D135" s="157" t="str">
        <f>VLOOKUP(Ruimtestaat[[#This Row],[Code]],Locaties[[#All],[Code]:[Postcode]],5,FALSE)</f>
        <v>2492 JP</v>
      </c>
      <c r="E135" s="157" t="str">
        <f>VLOOKUP(Ruimtestaat[[#This Row],[Code]],Locaties[#All],6,FALSE)</f>
        <v>Den Haag</v>
      </c>
      <c r="F135" s="33" t="s">
        <v>1801</v>
      </c>
      <c r="G135" s="33" t="s">
        <v>1749</v>
      </c>
      <c r="H135" s="21" t="s">
        <v>1813</v>
      </c>
      <c r="I135" s="62" t="s">
        <v>1657</v>
      </c>
      <c r="J135" s="21">
        <v>10</v>
      </c>
      <c r="K135" s="62" t="str">
        <f>VLOOKUP(Ruimtestaat[[#This Row],[Ruimte code]],Ruimtegroepen[[#All],[Code]:[Ruimte omschrijving]],2,FALSE)</f>
        <v>Trappenhuizen/lift</v>
      </c>
      <c r="L135" s="33" t="s">
        <v>101</v>
      </c>
      <c r="M135" s="367" t="s">
        <v>2495</v>
      </c>
      <c r="N135" s="140">
        <v>2.4</v>
      </c>
      <c r="O135" s="140"/>
      <c r="P135" s="125" t="str">
        <f>VLOOKUP(Ruimtestaat[[#This Row],[Ruimte code]],Ruimtegroepen[],4,FALSE)</f>
        <v>Ve</v>
      </c>
      <c r="R135" s="33">
        <v>40</v>
      </c>
      <c r="S135" s="33" t="s">
        <v>2</v>
      </c>
      <c r="T135" s="33">
        <f>IF(R135&gt;0,IF(RIGHT(Ruimtestaat[[#This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5" s="33">
        <f>IF(T135&gt;0,VLOOKUP($J135,Ruimtegroepen[],3,FALSE)*VLOOKUP($L135,Vloersoorten[],3,FALSE)*VLOOKUP($S135,Frequenties[],3,FALSE)*VLOOKUP($A135,Locaties[],3,FALSE),0)</f>
        <v>0</v>
      </c>
      <c r="V135" s="33">
        <f>Ruimtestaat[[#This Row],[Uitvoeringen werkdagen]]*Ruimtestaat[[#This Row],[Oppervlak (netto)]]</f>
        <v>480</v>
      </c>
      <c r="W135" s="154">
        <f>IF(U135&gt;0,Ruimtestaat[[#This Row],[Prest. (m2 /jaar) werkdagen]]/Ruimtestaat[[#This Row],[Norm (m2/uur) werkdagen]],0)</f>
        <v>0</v>
      </c>
      <c r="X135" s="155">
        <f>Ruimtestaat[[#This Row],[uren / jaar werkdagen]]*Tariefsopbouw!$E$35</f>
        <v>0</v>
      </c>
      <c r="Y135" s="33"/>
      <c r="Z135" s="33">
        <f>IF(Ruimtestaat[[#This Row],[Frequentie weekend]]&gt;0,VALUE(LEFT(Y135,1))*R135,0)</f>
        <v>0</v>
      </c>
      <c r="AA135" s="97">
        <f>IF($Z135&gt;0,VLOOKUP($J135,Ruimtegroepen[],3,FALSE)*VLOOKUP($L135,Vloersoorten[],3,FALSE)*VLOOKUP($Y135,Frequenties[],3,FALSE)*VLOOKUP(Ruimtestaat[[#This Row],[Code]],Locaties[],3,FALSE),0)</f>
        <v>0</v>
      </c>
      <c r="AB135" s="97">
        <f>Ruimtestaat[[#This Row],[Uitvoeringen weekend]]*Ruimtestaat[[#This Row],[Oppervlak (netto)]]</f>
        <v>0</v>
      </c>
      <c r="AC135" s="97">
        <f>IF(AA135&gt;0,Ruimtestaat[[#This Row],[Prest. (m2 /jaar) weekend]]/Ruimtestaat[[#This Row],[Norm (m2/uur) weekend]],0)</f>
        <v>0</v>
      </c>
      <c r="AD135" s="155">
        <f>Ruimtestaat[[#This Row],[uren / jaar weekend]]*Tariefsopbouw!$D$40</f>
        <v>0</v>
      </c>
      <c r="AE135" s="154">
        <f>Ruimtestaat[[#This Row],[Prest. (m2 /jaar) weekend]]+Ruimtestaat[[#This Row],[Prest. (m2 /jaar) werkdagen]]</f>
        <v>480</v>
      </c>
      <c r="AF135" s="154">
        <f>Ruimtestaat[[#This Row],[uren / jaar weekend]]+Ruimtestaat[[#This Row],[uren / jaar werkdagen]]</f>
        <v>0</v>
      </c>
      <c r="AG135" s="69">
        <f>Ruimtestaat[[#This Row],[kosten / jaar weekend]]+Ruimtestaat[[#This Row],[kosten / jaar werkdagen]]</f>
        <v>0</v>
      </c>
      <c r="AH135" s="69"/>
      <c r="AI135" s="256" t="str">
        <f>IF(Ruimtestaat[[#This Row],[Frequentie werkdagen]]="","",_xlfn.CONCAT(Ruimtestaat[[#This Row],[Ruimte code]],"-",Ruimtestaat[[#This Row],[Frequentie werkdagen]]," ",Ruimtestaat[[#This Row],[Vloer code]]))</f>
        <v>10-5w L</v>
      </c>
      <c r="AJ135" s="300" t="str">
        <f>_xlfn.IFNA(VLOOKUP($AI135,Programma!$F$3:$G$1107,2,0),"")</f>
        <v>_</v>
      </c>
      <c r="AK135" s="300" t="str">
        <f>_xlfn.IFNA(VLOOKUP($AI135,Programma!$F$3:$H$1107,3,0),"")</f>
        <v>_</v>
      </c>
      <c r="AL135" s="300" t="str">
        <f>_xlfn.IFNA(VLOOKUP($AI135,Programma!$F$3:$I$1107,4,0),"")</f>
        <v>4w</v>
      </c>
      <c r="AM135" s="300" t="str">
        <f>_xlfn.IFNA(VLOOKUP($AI135,Programma!$F$3:$J$1107,5,0),"")</f>
        <v>1w</v>
      </c>
      <c r="AN135" s="300" t="str">
        <f>_xlfn.IFNA(VLOOKUP($AI135,Programma!$F$3:$K$1107,6,0),"")</f>
        <v>_</v>
      </c>
      <c r="AO135" s="300" t="str">
        <f>_xlfn.IFNA(VLOOKUP($AI135,Programma!$F$3:$L$1107,7,0),"")</f>
        <v>_</v>
      </c>
      <c r="AP135" s="300" t="str">
        <f>_xlfn.IFNA(VLOOKUP($AI135,Programma!$F$3:$M$1107,8,0),"")</f>
        <v>_</v>
      </c>
      <c r="AQ135" s="300" t="str">
        <f>_xlfn.IFNA(VLOOKUP($AI135,Programma!$F$3:$N$1107,9,0),"")</f>
        <v>_</v>
      </c>
      <c r="AR135" s="300" t="str">
        <f>_xlfn.IFNA(VLOOKUP($AI135,Programma!$F$3:$O$1107,10,0),"")</f>
        <v>5w</v>
      </c>
      <c r="AS135" s="300" t="str">
        <f>_xlfn.IFNA(VLOOKUP($AI135,Programma!$F$3:$P$1107,11,0),"")</f>
        <v>5w</v>
      </c>
      <c r="AT135" s="300" t="str">
        <f>_xlfn.IFNA(VLOOKUP($AI135,Programma!$F$3:$Q$1107,12,0),"")</f>
        <v>1w</v>
      </c>
      <c r="AU135" s="300" t="str">
        <f>_xlfn.IFNA(VLOOKUP($AI135,Programma!$F$3:$R$1107,13,0),"")</f>
        <v>1w</v>
      </c>
      <c r="AV135" s="300" t="str">
        <f>_xlfn.IFNA(VLOOKUP($AI135,Programma!$F$3:$S$1107,14,0),"")</f>
        <v>1m</v>
      </c>
      <c r="AW135" s="300" t="str">
        <f>_xlfn.IFNA(VLOOKUP($AI135,Programma!$F$3:$T$1107,15,0),"")</f>
        <v>2j</v>
      </c>
      <c r="AX135" s="300" t="str">
        <f>_xlfn.IFNA(VLOOKUP($AI135,Programma!$F$3:$U$1107,16,0),"")</f>
        <v>1j</v>
      </c>
      <c r="AY135" s="300" t="str">
        <f>_xlfn.IFNA(VLOOKUP($AI135,Programma!$F$3:$V$1107,17,0),"")</f>
        <v>_</v>
      </c>
      <c r="AZ135" s="300" t="str">
        <f>_xlfn.IFNA(VLOOKUP($AI135,Programma!$F$3:$W$1107,18,0),"")</f>
        <v>_</v>
      </c>
      <c r="BA135" s="300" t="str">
        <f>_xlfn.IFNA(VLOOKUP($AI135,Programma!$F$3:$X$1107,19,0),"")</f>
        <v>_</v>
      </c>
      <c r="BB135" s="300" t="str">
        <f>_xlfn.IFNA(VLOOKUP($AI135,Programma!$F$3:$Y$1107,20,0),"")</f>
        <v>_</v>
      </c>
      <c r="BC135" s="257"/>
      <c r="BD135" s="256" t="str">
        <f>IF(Ruimtestaat[[#This Row],[Frequentie weekend]]="","",_xlfn.CONCAT(Ruimtestaat[[#This Row],[Ruimte code]],"-",Ruimtestaat[[#This Row],[Frequentie weekend]]," ",Ruimtestaat[[#This Row],[Vloer code]]))</f>
        <v/>
      </c>
      <c r="BE135" s="300" t="str">
        <f>_xlfn.IFNA(VLOOKUP($BD135,Programma!$F$3:$G$1107,2,0),"")</f>
        <v/>
      </c>
      <c r="BF135" s="300" t="str">
        <f>_xlfn.IFNA(VLOOKUP($BD135,Programma!$F$3:$H$1107,3,0),"")</f>
        <v/>
      </c>
      <c r="BG135" s="300" t="str">
        <f>_xlfn.IFNA(VLOOKUP($BD135,Programma!$F$3:$I$1107,4,0),"")</f>
        <v/>
      </c>
      <c r="BH135" s="300" t="str">
        <f>_xlfn.IFNA(VLOOKUP($BD135,Programma!$F$3:$J$1107,5,0),"")</f>
        <v/>
      </c>
      <c r="BI135" s="300" t="str">
        <f>_xlfn.IFNA(VLOOKUP($BD135,Programma!$F$3:$K$1107,6,0),"")</f>
        <v/>
      </c>
      <c r="BJ135" s="300" t="str">
        <f>_xlfn.IFNA(VLOOKUP($BD135,Programma!$F$3:$L$1107,7,0),"")</f>
        <v/>
      </c>
      <c r="BK135" s="300" t="str">
        <f>_xlfn.IFNA(VLOOKUP($BD135,Programma!$F$3:$M$1107,8,0),"")</f>
        <v/>
      </c>
      <c r="BL135" s="300" t="str">
        <f>_xlfn.IFNA(VLOOKUP($BD135,Programma!$F$3:$N$1107,9,0),"")</f>
        <v/>
      </c>
      <c r="BM135" s="300" t="str">
        <f>_xlfn.IFNA(VLOOKUP($BD135,Programma!$F$3:$O$1107,10,0),"")</f>
        <v/>
      </c>
      <c r="BN135" s="300" t="str">
        <f>_xlfn.IFNA(VLOOKUP($BD135,Programma!$F$3:$P$1107,11,0),"")</f>
        <v/>
      </c>
      <c r="BO135" s="300" t="str">
        <f>_xlfn.IFNA(VLOOKUP($BD135,Programma!$F$3:$Q$1107,12,0),"")</f>
        <v/>
      </c>
      <c r="BP135" s="300" t="str">
        <f>_xlfn.IFNA(VLOOKUP($BD135,Programma!$F$3:$R$1107,13,0),"")</f>
        <v/>
      </c>
      <c r="BQ135" s="300" t="str">
        <f>_xlfn.IFNA(VLOOKUP($BD135,Programma!$F$3:$S$1107,14,0),"")</f>
        <v/>
      </c>
      <c r="BR135" s="300" t="str">
        <f>_xlfn.IFNA(VLOOKUP($BD135,Programma!$F$3:$T$1107,15,0),"")</f>
        <v/>
      </c>
      <c r="BS135" s="300" t="str">
        <f>_xlfn.IFNA(VLOOKUP($BD135,Programma!$F$3:$U$1107,16,0),"")</f>
        <v/>
      </c>
      <c r="BT135" s="300" t="str">
        <f>_xlfn.IFNA(VLOOKUP($BD135,Programma!$F$3:$V$1107,17,0),"")</f>
        <v/>
      </c>
      <c r="BU135" s="300" t="str">
        <f>_xlfn.IFNA(VLOOKUP($BD135,Programma!$F$3:$W$1107,18,0),"")</f>
        <v/>
      </c>
      <c r="BV135" s="300" t="str">
        <f>_xlfn.IFNA(VLOOKUP($BD135,Programma!$F$3:$X$1107,19,0),"")</f>
        <v/>
      </c>
      <c r="BW135" s="300" t="str">
        <f>_xlfn.IFNA(VLOOKUP($BD135,Programma!$F$3:$Y$1107,20,0),"")</f>
        <v/>
      </c>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row>
    <row r="136" spans="1:220" ht="15" customHeight="1">
      <c r="A136" s="21">
        <v>3</v>
      </c>
      <c r="B136" s="157" t="str">
        <f>VLOOKUP(Ruimtestaat[[#This Row],[Code]],Locaties[[Code]:[Locatie]],2,FALSE)</f>
        <v>'s Gravendreef College - Dependance</v>
      </c>
      <c r="C136" s="157" t="str">
        <f>VLOOKUP(Ruimtestaat[[#This Row],[Code]],Locaties[[#All],[Code]:[Adres]],4,FALSE)</f>
        <v>Henri Faasdreef 200</v>
      </c>
      <c r="D136" s="157" t="str">
        <f>VLOOKUP(Ruimtestaat[[#This Row],[Code]],Locaties[[#All],[Code]:[Postcode]],5,FALSE)</f>
        <v>2492 JP</v>
      </c>
      <c r="E136" s="157" t="str">
        <f>VLOOKUP(Ruimtestaat[[#This Row],[Code]],Locaties[#All],6,FALSE)</f>
        <v>Den Haag</v>
      </c>
      <c r="F136" s="33" t="s">
        <v>1801</v>
      </c>
      <c r="G136" s="33" t="s">
        <v>1749</v>
      </c>
      <c r="H136" s="21" t="s">
        <v>1814</v>
      </c>
      <c r="I136" s="62" t="s">
        <v>1811</v>
      </c>
      <c r="J136" s="21">
        <v>16</v>
      </c>
      <c r="K136" s="62" t="str">
        <f>VLOOKUP(Ruimtestaat[[#This Row],[Ruimte code]],Ruimtegroepen[[#All],[Code]:[Ruimte omschrijving]],2,FALSE)</f>
        <v>Leslokalen theorie</v>
      </c>
      <c r="L136" s="33" t="s">
        <v>101</v>
      </c>
      <c r="M136" s="367" t="s">
        <v>2495</v>
      </c>
      <c r="N136" s="140">
        <v>13.33</v>
      </c>
      <c r="O136" s="140"/>
      <c r="P136" s="125" t="str">
        <f>VLOOKUP(Ruimtestaat[[#This Row],[Ruimte code]],Ruimtegroepen[],4,FALSE)</f>
        <v>Le</v>
      </c>
      <c r="R136" s="33">
        <v>40</v>
      </c>
      <c r="S136" s="33" t="s">
        <v>2</v>
      </c>
      <c r="T136" s="33">
        <f>IF(R136&gt;0,IF(RIGHT(Ruimtestaat[[#This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6" s="33">
        <f>IF(T136&gt;0,VLOOKUP($J136,Ruimtegroepen[],3,FALSE)*VLOOKUP($L136,Vloersoorten[],3,FALSE)*VLOOKUP($S136,Frequenties[],3,FALSE)*VLOOKUP($A136,Locaties[],3,FALSE),0)</f>
        <v>0</v>
      </c>
      <c r="V136" s="33">
        <f>Ruimtestaat[[#This Row],[Uitvoeringen werkdagen]]*Ruimtestaat[[#This Row],[Oppervlak (netto)]]</f>
        <v>2666</v>
      </c>
      <c r="W136" s="154">
        <f>IF(U136&gt;0,Ruimtestaat[[#This Row],[Prest. (m2 /jaar) werkdagen]]/Ruimtestaat[[#This Row],[Norm (m2/uur) werkdagen]],0)</f>
        <v>0</v>
      </c>
      <c r="X136" s="155">
        <f>Ruimtestaat[[#This Row],[uren / jaar werkdagen]]*Tariefsopbouw!$E$35</f>
        <v>0</v>
      </c>
      <c r="Y136" s="33"/>
      <c r="Z136" s="33">
        <f>IF(Ruimtestaat[[#This Row],[Frequentie weekend]]&gt;0,VALUE(LEFT(Y136,1))*R136,0)</f>
        <v>0</v>
      </c>
      <c r="AA136" s="97">
        <f>IF($Z136&gt;0,VLOOKUP($J136,Ruimtegroepen[],3,FALSE)*VLOOKUP($L136,Vloersoorten[],3,FALSE)*VLOOKUP($Y136,Frequenties[],3,FALSE)*VLOOKUP(Ruimtestaat[[#This Row],[Code]],Locaties[],3,FALSE),0)</f>
        <v>0</v>
      </c>
      <c r="AB136" s="97">
        <f>Ruimtestaat[[#This Row],[Uitvoeringen weekend]]*Ruimtestaat[[#This Row],[Oppervlak (netto)]]</f>
        <v>0</v>
      </c>
      <c r="AC136" s="97">
        <f>IF(AA136&gt;0,Ruimtestaat[[#This Row],[Prest. (m2 /jaar) weekend]]/Ruimtestaat[[#This Row],[Norm (m2/uur) weekend]],0)</f>
        <v>0</v>
      </c>
      <c r="AD136" s="155">
        <f>Ruimtestaat[[#This Row],[uren / jaar weekend]]*Tariefsopbouw!$D$40</f>
        <v>0</v>
      </c>
      <c r="AE136" s="154">
        <f>Ruimtestaat[[#This Row],[Prest. (m2 /jaar) weekend]]+Ruimtestaat[[#This Row],[Prest. (m2 /jaar) werkdagen]]</f>
        <v>2666</v>
      </c>
      <c r="AF136" s="154">
        <f>Ruimtestaat[[#This Row],[uren / jaar weekend]]+Ruimtestaat[[#This Row],[uren / jaar werkdagen]]</f>
        <v>0</v>
      </c>
      <c r="AG136" s="69">
        <f>Ruimtestaat[[#This Row],[kosten / jaar weekend]]+Ruimtestaat[[#This Row],[kosten / jaar werkdagen]]</f>
        <v>0</v>
      </c>
      <c r="AH136" s="69"/>
      <c r="AI136" s="256" t="str">
        <f>IF(Ruimtestaat[[#This Row],[Frequentie werkdagen]]="","",_xlfn.CONCAT(Ruimtestaat[[#This Row],[Ruimte code]],"-",Ruimtestaat[[#This Row],[Frequentie werkdagen]]," ",Ruimtestaat[[#This Row],[Vloer code]]))</f>
        <v>16-5w L</v>
      </c>
      <c r="AJ136" s="300" t="str">
        <f>_xlfn.IFNA(VLOOKUP($AI136,Programma!$F$3:$G$1107,2,0),"")</f>
        <v>_</v>
      </c>
      <c r="AK136" s="300" t="str">
        <f>_xlfn.IFNA(VLOOKUP($AI136,Programma!$F$3:$H$1107,3,0),"")</f>
        <v>_</v>
      </c>
      <c r="AL136" s="300" t="str">
        <f>_xlfn.IFNA(VLOOKUP($AI136,Programma!$F$3:$I$1107,4,0),"")</f>
        <v>4w</v>
      </c>
      <c r="AM136" s="300" t="str">
        <f>_xlfn.IFNA(VLOOKUP($AI136,Programma!$F$3:$J$1107,5,0),"")</f>
        <v>1w</v>
      </c>
      <c r="AN136" s="300" t="str">
        <f>_xlfn.IFNA(VLOOKUP($AI136,Programma!$F$3:$K$1107,6,0),"")</f>
        <v>_</v>
      </c>
      <c r="AO136" s="300" t="str">
        <f>_xlfn.IFNA(VLOOKUP($AI136,Programma!$F$3:$L$1107,7,0),"")</f>
        <v>_</v>
      </c>
      <c r="AP136" s="300" t="str">
        <f>_xlfn.IFNA(VLOOKUP($AI136,Programma!$F$3:$M$1107,8,0),"")</f>
        <v>_</v>
      </c>
      <c r="AQ136" s="300" t="str">
        <f>_xlfn.IFNA(VLOOKUP($AI136,Programma!$F$3:$N$1107,9,0),"")</f>
        <v>_</v>
      </c>
      <c r="AR136" s="300" t="str">
        <f>_xlfn.IFNA(VLOOKUP($AI136,Programma!$F$3:$O$1107,10,0),"")</f>
        <v>5w</v>
      </c>
      <c r="AS136" s="300" t="str">
        <f>_xlfn.IFNA(VLOOKUP($AI136,Programma!$F$3:$P$1107,11,0),"")</f>
        <v>5w</v>
      </c>
      <c r="AT136" s="300" t="str">
        <f>_xlfn.IFNA(VLOOKUP($AI136,Programma!$F$3:$Q$1107,12,0),"")</f>
        <v>1w</v>
      </c>
      <c r="AU136" s="300" t="str">
        <f>_xlfn.IFNA(VLOOKUP($AI136,Programma!$F$3:$R$1107,13,0),"")</f>
        <v>1w</v>
      </c>
      <c r="AV136" s="300" t="str">
        <f>_xlfn.IFNA(VLOOKUP($AI136,Programma!$F$3:$S$1107,14,0),"")</f>
        <v>1m</v>
      </c>
      <c r="AW136" s="300" t="str">
        <f>_xlfn.IFNA(VLOOKUP($AI136,Programma!$F$3:$T$1107,15,0),"")</f>
        <v>2j</v>
      </c>
      <c r="AX136" s="300" t="str">
        <f>_xlfn.IFNA(VLOOKUP($AI136,Programma!$F$3:$U$1107,16,0),"")</f>
        <v>1j</v>
      </c>
      <c r="AY136" s="300" t="str">
        <f>_xlfn.IFNA(VLOOKUP($AI136,Programma!$F$3:$V$1107,17,0),"")</f>
        <v>_</v>
      </c>
      <c r="AZ136" s="300" t="str">
        <f>_xlfn.IFNA(VLOOKUP($AI136,Programma!$F$3:$W$1107,18,0),"")</f>
        <v>_</v>
      </c>
      <c r="BA136" s="300" t="str">
        <f>_xlfn.IFNA(VLOOKUP($AI136,Programma!$F$3:$X$1107,19,0),"")</f>
        <v>_</v>
      </c>
      <c r="BB136" s="300" t="str">
        <f>_xlfn.IFNA(VLOOKUP($AI136,Programma!$F$3:$Y$1107,20,0),"")</f>
        <v>_</v>
      </c>
      <c r="BC136" s="257"/>
      <c r="BD136" s="256" t="str">
        <f>IF(Ruimtestaat[[#This Row],[Frequentie weekend]]="","",_xlfn.CONCAT(Ruimtestaat[[#This Row],[Ruimte code]],"-",Ruimtestaat[[#This Row],[Frequentie weekend]]," ",Ruimtestaat[[#This Row],[Vloer code]]))</f>
        <v/>
      </c>
      <c r="BE136" s="300" t="str">
        <f>_xlfn.IFNA(VLOOKUP($BD136,Programma!$F$3:$G$1107,2,0),"")</f>
        <v/>
      </c>
      <c r="BF136" s="300" t="str">
        <f>_xlfn.IFNA(VLOOKUP($BD136,Programma!$F$3:$H$1107,3,0),"")</f>
        <v/>
      </c>
      <c r="BG136" s="300" t="str">
        <f>_xlfn.IFNA(VLOOKUP($BD136,Programma!$F$3:$I$1107,4,0),"")</f>
        <v/>
      </c>
      <c r="BH136" s="300" t="str">
        <f>_xlfn.IFNA(VLOOKUP($BD136,Programma!$F$3:$J$1107,5,0),"")</f>
        <v/>
      </c>
      <c r="BI136" s="300" t="str">
        <f>_xlfn.IFNA(VLOOKUP($BD136,Programma!$F$3:$K$1107,6,0),"")</f>
        <v/>
      </c>
      <c r="BJ136" s="300" t="str">
        <f>_xlfn.IFNA(VLOOKUP($BD136,Programma!$F$3:$L$1107,7,0),"")</f>
        <v/>
      </c>
      <c r="BK136" s="300" t="str">
        <f>_xlfn.IFNA(VLOOKUP($BD136,Programma!$F$3:$M$1107,8,0),"")</f>
        <v/>
      </c>
      <c r="BL136" s="300" t="str">
        <f>_xlfn.IFNA(VLOOKUP($BD136,Programma!$F$3:$N$1107,9,0),"")</f>
        <v/>
      </c>
      <c r="BM136" s="300" t="str">
        <f>_xlfn.IFNA(VLOOKUP($BD136,Programma!$F$3:$O$1107,10,0),"")</f>
        <v/>
      </c>
      <c r="BN136" s="300" t="str">
        <f>_xlfn.IFNA(VLOOKUP($BD136,Programma!$F$3:$P$1107,11,0),"")</f>
        <v/>
      </c>
      <c r="BO136" s="300" t="str">
        <f>_xlfn.IFNA(VLOOKUP($BD136,Programma!$F$3:$Q$1107,12,0),"")</f>
        <v/>
      </c>
      <c r="BP136" s="300" t="str">
        <f>_xlfn.IFNA(VLOOKUP($BD136,Programma!$F$3:$R$1107,13,0),"")</f>
        <v/>
      </c>
      <c r="BQ136" s="300" t="str">
        <f>_xlfn.IFNA(VLOOKUP($BD136,Programma!$F$3:$S$1107,14,0),"")</f>
        <v/>
      </c>
      <c r="BR136" s="300" t="str">
        <f>_xlfn.IFNA(VLOOKUP($BD136,Programma!$F$3:$T$1107,15,0),"")</f>
        <v/>
      </c>
      <c r="BS136" s="300" t="str">
        <f>_xlfn.IFNA(VLOOKUP($BD136,Programma!$F$3:$U$1107,16,0),"")</f>
        <v/>
      </c>
      <c r="BT136" s="300" t="str">
        <f>_xlfn.IFNA(VLOOKUP($BD136,Programma!$F$3:$V$1107,17,0),"")</f>
        <v/>
      </c>
      <c r="BU136" s="300" t="str">
        <f>_xlfn.IFNA(VLOOKUP($BD136,Programma!$F$3:$W$1107,18,0),"")</f>
        <v/>
      </c>
      <c r="BV136" s="300" t="str">
        <f>_xlfn.IFNA(VLOOKUP($BD136,Programma!$F$3:$X$1107,19,0),"")</f>
        <v/>
      </c>
      <c r="BW136" s="300" t="str">
        <f>_xlfn.IFNA(VLOOKUP($BD136,Programma!$F$3:$Y$1107,20,0),"")</f>
        <v/>
      </c>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row>
    <row r="137" spans="1:220" ht="15" customHeight="1">
      <c r="A137" s="21">
        <v>3</v>
      </c>
      <c r="B137" s="157" t="str">
        <f>VLOOKUP(Ruimtestaat[[#This Row],[Code]],Locaties[[Code]:[Locatie]],2,FALSE)</f>
        <v>'s Gravendreef College - Dependance</v>
      </c>
      <c r="C137" s="157" t="str">
        <f>VLOOKUP(Ruimtestaat[[#This Row],[Code]],Locaties[[#All],[Code]:[Adres]],4,FALSE)</f>
        <v>Henri Faasdreef 200</v>
      </c>
      <c r="D137" s="157" t="str">
        <f>VLOOKUP(Ruimtestaat[[#This Row],[Code]],Locaties[[#All],[Code]:[Postcode]],5,FALSE)</f>
        <v>2492 JP</v>
      </c>
      <c r="E137" s="157" t="str">
        <f>VLOOKUP(Ruimtestaat[[#This Row],[Code]],Locaties[#All],6,FALSE)</f>
        <v>Den Haag</v>
      </c>
      <c r="F137" s="33" t="s">
        <v>1801</v>
      </c>
      <c r="G137" s="33" t="s">
        <v>1749</v>
      </c>
      <c r="H137" s="21" t="s">
        <v>1815</v>
      </c>
      <c r="I137" s="62" t="s">
        <v>1816</v>
      </c>
      <c r="J137" s="21">
        <v>8</v>
      </c>
      <c r="K137" s="62" t="str">
        <f>VLOOKUP(Ruimtestaat[[#This Row],[Ruimte code]],Ruimtegroepen[[#All],[Code]:[Ruimte omschrijving]],2,FALSE)</f>
        <v>Mediatheek / OLC</v>
      </c>
      <c r="L137" s="33" t="s">
        <v>101</v>
      </c>
      <c r="M137" s="367" t="s">
        <v>2495</v>
      </c>
      <c r="N137" s="140">
        <v>107.77</v>
      </c>
      <c r="O137" s="140"/>
      <c r="P137" s="125" t="str">
        <f>VLOOKUP(Ruimtestaat[[#This Row],[Ruimte code]],Ruimtegroepen[],4,FALSE)</f>
        <v>Le</v>
      </c>
      <c r="R137" s="33">
        <v>40</v>
      </c>
      <c r="S137" s="33" t="s">
        <v>2</v>
      </c>
      <c r="T137" s="33">
        <f>IF(R137&gt;0,IF(RIGHT(Ruimtestaat[[#This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7" s="33">
        <f>IF(T137&gt;0,VLOOKUP($J137,Ruimtegroepen[],3,FALSE)*VLOOKUP($L137,Vloersoorten[],3,FALSE)*VLOOKUP($S137,Frequenties[],3,FALSE)*VLOOKUP($A137,Locaties[],3,FALSE),0)</f>
        <v>0</v>
      </c>
      <c r="V137" s="33">
        <f>Ruimtestaat[[#This Row],[Uitvoeringen werkdagen]]*Ruimtestaat[[#This Row],[Oppervlak (netto)]]</f>
        <v>21554</v>
      </c>
      <c r="W137" s="154">
        <f>IF(U137&gt;0,Ruimtestaat[[#This Row],[Prest. (m2 /jaar) werkdagen]]/Ruimtestaat[[#This Row],[Norm (m2/uur) werkdagen]],0)</f>
        <v>0</v>
      </c>
      <c r="X137" s="155">
        <f>Ruimtestaat[[#This Row],[uren / jaar werkdagen]]*Tariefsopbouw!$E$35</f>
        <v>0</v>
      </c>
      <c r="Y137" s="33"/>
      <c r="Z137" s="33">
        <f>IF(Ruimtestaat[[#This Row],[Frequentie weekend]]&gt;0,VALUE(LEFT(Y137,1))*R137,0)</f>
        <v>0</v>
      </c>
      <c r="AA137" s="97">
        <f>IF($Z137&gt;0,VLOOKUP($J137,Ruimtegroepen[],3,FALSE)*VLOOKUP($L137,Vloersoorten[],3,FALSE)*VLOOKUP($Y137,Frequenties[],3,FALSE)*VLOOKUP(Ruimtestaat[[#This Row],[Code]],Locaties[],3,FALSE),0)</f>
        <v>0</v>
      </c>
      <c r="AB137" s="97">
        <f>Ruimtestaat[[#This Row],[Uitvoeringen weekend]]*Ruimtestaat[[#This Row],[Oppervlak (netto)]]</f>
        <v>0</v>
      </c>
      <c r="AC137" s="97">
        <f>IF(AA137&gt;0,Ruimtestaat[[#This Row],[Prest. (m2 /jaar) weekend]]/Ruimtestaat[[#This Row],[Norm (m2/uur) weekend]],0)</f>
        <v>0</v>
      </c>
      <c r="AD137" s="155">
        <f>Ruimtestaat[[#This Row],[uren / jaar weekend]]*Tariefsopbouw!$D$40</f>
        <v>0</v>
      </c>
      <c r="AE137" s="154">
        <f>Ruimtestaat[[#This Row],[Prest. (m2 /jaar) weekend]]+Ruimtestaat[[#This Row],[Prest. (m2 /jaar) werkdagen]]</f>
        <v>21554</v>
      </c>
      <c r="AF137" s="154">
        <f>Ruimtestaat[[#This Row],[uren / jaar weekend]]+Ruimtestaat[[#This Row],[uren / jaar werkdagen]]</f>
        <v>0</v>
      </c>
      <c r="AG137" s="69">
        <f>Ruimtestaat[[#This Row],[kosten / jaar weekend]]+Ruimtestaat[[#This Row],[kosten / jaar werkdagen]]</f>
        <v>0</v>
      </c>
      <c r="AH137" s="69"/>
      <c r="AI137" s="256" t="str">
        <f>IF(Ruimtestaat[[#This Row],[Frequentie werkdagen]]="","",_xlfn.CONCAT(Ruimtestaat[[#This Row],[Ruimte code]],"-",Ruimtestaat[[#This Row],[Frequentie werkdagen]]," ",Ruimtestaat[[#This Row],[Vloer code]]))</f>
        <v>8-5w L</v>
      </c>
      <c r="AJ137" s="300" t="str">
        <f>_xlfn.IFNA(VLOOKUP($AI137,Programma!$F$3:$G$1107,2,0),"")</f>
        <v>_</v>
      </c>
      <c r="AK137" s="300" t="str">
        <f>_xlfn.IFNA(VLOOKUP($AI137,Programma!$F$3:$H$1107,3,0),"")</f>
        <v>_</v>
      </c>
      <c r="AL137" s="300" t="str">
        <f>_xlfn.IFNA(VLOOKUP($AI137,Programma!$F$3:$I$1107,4,0),"")</f>
        <v>4w</v>
      </c>
      <c r="AM137" s="300" t="str">
        <f>_xlfn.IFNA(VLOOKUP($AI137,Programma!$F$3:$J$1107,5,0),"")</f>
        <v>1w</v>
      </c>
      <c r="AN137" s="300" t="str">
        <f>_xlfn.IFNA(VLOOKUP($AI137,Programma!$F$3:$K$1107,6,0),"")</f>
        <v>_</v>
      </c>
      <c r="AO137" s="300" t="str">
        <f>_xlfn.IFNA(VLOOKUP($AI137,Programma!$F$3:$L$1107,7,0),"")</f>
        <v>_</v>
      </c>
      <c r="AP137" s="300" t="str">
        <f>_xlfn.IFNA(VLOOKUP($AI137,Programma!$F$3:$M$1107,8,0),"")</f>
        <v>_</v>
      </c>
      <c r="AQ137" s="300" t="str">
        <f>_xlfn.IFNA(VLOOKUP($AI137,Programma!$F$3:$N$1107,9,0),"")</f>
        <v>_</v>
      </c>
      <c r="AR137" s="300" t="str">
        <f>_xlfn.IFNA(VLOOKUP($AI137,Programma!$F$3:$O$1107,10,0),"")</f>
        <v>5w</v>
      </c>
      <c r="AS137" s="300" t="str">
        <f>_xlfn.IFNA(VLOOKUP($AI137,Programma!$F$3:$P$1107,11,0),"")</f>
        <v>5w</v>
      </c>
      <c r="AT137" s="300" t="str">
        <f>_xlfn.IFNA(VLOOKUP($AI137,Programma!$F$3:$Q$1107,12,0),"")</f>
        <v>1w</v>
      </c>
      <c r="AU137" s="300" t="str">
        <f>_xlfn.IFNA(VLOOKUP($AI137,Programma!$F$3:$R$1107,13,0),"")</f>
        <v>1w</v>
      </c>
      <c r="AV137" s="300" t="str">
        <f>_xlfn.IFNA(VLOOKUP($AI137,Programma!$F$3:$S$1107,14,0),"")</f>
        <v>1m</v>
      </c>
      <c r="AW137" s="300" t="str">
        <f>_xlfn.IFNA(VLOOKUP($AI137,Programma!$F$3:$T$1107,15,0),"")</f>
        <v>2j</v>
      </c>
      <c r="AX137" s="300" t="str">
        <f>_xlfn.IFNA(VLOOKUP($AI137,Programma!$F$3:$U$1107,16,0),"")</f>
        <v>1j</v>
      </c>
      <c r="AY137" s="300" t="str">
        <f>_xlfn.IFNA(VLOOKUP($AI137,Programma!$F$3:$V$1107,17,0),"")</f>
        <v>_</v>
      </c>
      <c r="AZ137" s="300" t="str">
        <f>_xlfn.IFNA(VLOOKUP($AI137,Programma!$F$3:$W$1107,18,0),"")</f>
        <v>_</v>
      </c>
      <c r="BA137" s="300" t="str">
        <f>_xlfn.IFNA(VLOOKUP($AI137,Programma!$F$3:$X$1107,19,0),"")</f>
        <v>_</v>
      </c>
      <c r="BB137" s="300" t="str">
        <f>_xlfn.IFNA(VLOOKUP($AI137,Programma!$F$3:$Y$1107,20,0),"")</f>
        <v>_</v>
      </c>
      <c r="BC137" s="257"/>
      <c r="BD137" s="256" t="str">
        <f>IF(Ruimtestaat[[#This Row],[Frequentie weekend]]="","",_xlfn.CONCAT(Ruimtestaat[[#This Row],[Ruimte code]],"-",Ruimtestaat[[#This Row],[Frequentie weekend]]," ",Ruimtestaat[[#This Row],[Vloer code]]))</f>
        <v/>
      </c>
      <c r="BE137" s="300" t="str">
        <f>_xlfn.IFNA(VLOOKUP($BD137,Programma!$F$3:$G$1107,2,0),"")</f>
        <v/>
      </c>
      <c r="BF137" s="300" t="str">
        <f>_xlfn.IFNA(VLOOKUP($BD137,Programma!$F$3:$H$1107,3,0),"")</f>
        <v/>
      </c>
      <c r="BG137" s="300" t="str">
        <f>_xlfn.IFNA(VLOOKUP($BD137,Programma!$F$3:$I$1107,4,0),"")</f>
        <v/>
      </c>
      <c r="BH137" s="300" t="str">
        <f>_xlfn.IFNA(VLOOKUP($BD137,Programma!$F$3:$J$1107,5,0),"")</f>
        <v/>
      </c>
      <c r="BI137" s="300" t="str">
        <f>_xlfn.IFNA(VLOOKUP($BD137,Programma!$F$3:$K$1107,6,0),"")</f>
        <v/>
      </c>
      <c r="BJ137" s="300" t="str">
        <f>_xlfn.IFNA(VLOOKUP($BD137,Programma!$F$3:$L$1107,7,0),"")</f>
        <v/>
      </c>
      <c r="BK137" s="300" t="str">
        <f>_xlfn.IFNA(VLOOKUP($BD137,Programma!$F$3:$M$1107,8,0),"")</f>
        <v/>
      </c>
      <c r="BL137" s="300" t="str">
        <f>_xlfn.IFNA(VLOOKUP($BD137,Programma!$F$3:$N$1107,9,0),"")</f>
        <v/>
      </c>
      <c r="BM137" s="300" t="str">
        <f>_xlfn.IFNA(VLOOKUP($BD137,Programma!$F$3:$O$1107,10,0),"")</f>
        <v/>
      </c>
      <c r="BN137" s="300" t="str">
        <f>_xlfn.IFNA(VLOOKUP($BD137,Programma!$F$3:$P$1107,11,0),"")</f>
        <v/>
      </c>
      <c r="BO137" s="300" t="str">
        <f>_xlfn.IFNA(VLOOKUP($BD137,Programma!$F$3:$Q$1107,12,0),"")</f>
        <v/>
      </c>
      <c r="BP137" s="300" t="str">
        <f>_xlfn.IFNA(VLOOKUP($BD137,Programma!$F$3:$R$1107,13,0),"")</f>
        <v/>
      </c>
      <c r="BQ137" s="300" t="str">
        <f>_xlfn.IFNA(VLOOKUP($BD137,Programma!$F$3:$S$1107,14,0),"")</f>
        <v/>
      </c>
      <c r="BR137" s="300" t="str">
        <f>_xlfn.IFNA(VLOOKUP($BD137,Programma!$F$3:$T$1107,15,0),"")</f>
        <v/>
      </c>
      <c r="BS137" s="300" t="str">
        <f>_xlfn.IFNA(VLOOKUP($BD137,Programma!$F$3:$U$1107,16,0),"")</f>
        <v/>
      </c>
      <c r="BT137" s="300" t="str">
        <f>_xlfn.IFNA(VLOOKUP($BD137,Programma!$F$3:$V$1107,17,0),"")</f>
        <v/>
      </c>
      <c r="BU137" s="300" t="str">
        <f>_xlfn.IFNA(VLOOKUP($BD137,Programma!$F$3:$W$1107,18,0),"")</f>
        <v/>
      </c>
      <c r="BV137" s="300" t="str">
        <f>_xlfn.IFNA(VLOOKUP($BD137,Programma!$F$3:$X$1107,19,0),"")</f>
        <v/>
      </c>
      <c r="BW137" s="300" t="str">
        <f>_xlfn.IFNA(VLOOKUP($BD137,Programma!$F$3:$Y$1107,20,0),"")</f>
        <v/>
      </c>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row>
    <row r="138" spans="1:220" ht="15" customHeight="1">
      <c r="A138" s="21">
        <v>3</v>
      </c>
      <c r="B138" s="157" t="str">
        <f>VLOOKUP(Ruimtestaat[[#This Row],[Code]],Locaties[[Code]:[Locatie]],2,FALSE)</f>
        <v>'s Gravendreef College - Dependance</v>
      </c>
      <c r="C138" s="157" t="str">
        <f>VLOOKUP(Ruimtestaat[[#This Row],[Code]],Locaties[[#All],[Code]:[Adres]],4,FALSE)</f>
        <v>Henri Faasdreef 200</v>
      </c>
      <c r="D138" s="157" t="str">
        <f>VLOOKUP(Ruimtestaat[[#This Row],[Code]],Locaties[[#All],[Code]:[Postcode]],5,FALSE)</f>
        <v>2492 JP</v>
      </c>
      <c r="E138" s="157" t="str">
        <f>VLOOKUP(Ruimtestaat[[#This Row],[Code]],Locaties[#All],6,FALSE)</f>
        <v>Den Haag</v>
      </c>
      <c r="F138" s="33" t="s">
        <v>1801</v>
      </c>
      <c r="G138" s="33" t="s">
        <v>1749</v>
      </c>
      <c r="H138" s="21" t="s">
        <v>1817</v>
      </c>
      <c r="I138" s="62" t="s">
        <v>1818</v>
      </c>
      <c r="J138" s="21">
        <v>16</v>
      </c>
      <c r="K138" s="62" t="str">
        <f>VLOOKUP(Ruimtestaat[[#This Row],[Ruimte code]],Ruimtegroepen[[#All],[Code]:[Ruimte omschrijving]],2,FALSE)</f>
        <v>Leslokalen theorie</v>
      </c>
      <c r="L138" s="33" t="s">
        <v>101</v>
      </c>
      <c r="M138" s="367" t="s">
        <v>2495</v>
      </c>
      <c r="N138" s="140">
        <v>67.39</v>
      </c>
      <c r="O138" s="140"/>
      <c r="P138" s="125" t="str">
        <f>VLOOKUP(Ruimtestaat[[#This Row],[Ruimte code]],Ruimtegroepen[],4,FALSE)</f>
        <v>Le</v>
      </c>
      <c r="R138" s="33">
        <v>40</v>
      </c>
      <c r="S138" s="33" t="s">
        <v>2</v>
      </c>
      <c r="T138" s="33">
        <f>IF(R138&gt;0,IF(RIGHT(Ruimtestaat[[#This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8" s="33">
        <f>IF(T138&gt;0,VLOOKUP($J138,Ruimtegroepen[],3,FALSE)*VLOOKUP($L138,Vloersoorten[],3,FALSE)*VLOOKUP($S138,Frequenties[],3,FALSE)*VLOOKUP($A138,Locaties[],3,FALSE),0)</f>
        <v>0</v>
      </c>
      <c r="V138" s="33">
        <f>Ruimtestaat[[#This Row],[Uitvoeringen werkdagen]]*Ruimtestaat[[#This Row],[Oppervlak (netto)]]</f>
        <v>13478</v>
      </c>
      <c r="W138" s="154">
        <f>IF(U138&gt;0,Ruimtestaat[[#This Row],[Prest. (m2 /jaar) werkdagen]]/Ruimtestaat[[#This Row],[Norm (m2/uur) werkdagen]],0)</f>
        <v>0</v>
      </c>
      <c r="X138" s="155">
        <f>Ruimtestaat[[#This Row],[uren / jaar werkdagen]]*Tariefsopbouw!$E$35</f>
        <v>0</v>
      </c>
      <c r="Y138" s="33"/>
      <c r="Z138" s="33">
        <f>IF(Ruimtestaat[[#This Row],[Frequentie weekend]]&gt;0,VALUE(LEFT(Y138,1))*R138,0)</f>
        <v>0</v>
      </c>
      <c r="AA138" s="97">
        <f>IF($Z138&gt;0,VLOOKUP($J138,Ruimtegroepen[],3,FALSE)*VLOOKUP($L138,Vloersoorten[],3,FALSE)*VLOOKUP($Y138,Frequenties[],3,FALSE)*VLOOKUP(Ruimtestaat[[#This Row],[Code]],Locaties[],3,FALSE),0)</f>
        <v>0</v>
      </c>
      <c r="AB138" s="97">
        <f>Ruimtestaat[[#This Row],[Uitvoeringen weekend]]*Ruimtestaat[[#This Row],[Oppervlak (netto)]]</f>
        <v>0</v>
      </c>
      <c r="AC138" s="97">
        <f>IF(AA138&gt;0,Ruimtestaat[[#This Row],[Prest. (m2 /jaar) weekend]]/Ruimtestaat[[#This Row],[Norm (m2/uur) weekend]],0)</f>
        <v>0</v>
      </c>
      <c r="AD138" s="155">
        <f>Ruimtestaat[[#This Row],[uren / jaar weekend]]*Tariefsopbouw!$D$40</f>
        <v>0</v>
      </c>
      <c r="AE138" s="154">
        <f>Ruimtestaat[[#This Row],[Prest. (m2 /jaar) weekend]]+Ruimtestaat[[#This Row],[Prest. (m2 /jaar) werkdagen]]</f>
        <v>13478</v>
      </c>
      <c r="AF138" s="154">
        <f>Ruimtestaat[[#This Row],[uren / jaar weekend]]+Ruimtestaat[[#This Row],[uren / jaar werkdagen]]</f>
        <v>0</v>
      </c>
      <c r="AG138" s="69">
        <f>Ruimtestaat[[#This Row],[kosten / jaar weekend]]+Ruimtestaat[[#This Row],[kosten / jaar werkdagen]]</f>
        <v>0</v>
      </c>
      <c r="AH138" s="69"/>
      <c r="AI138" s="256" t="str">
        <f>IF(Ruimtestaat[[#This Row],[Frequentie werkdagen]]="","",_xlfn.CONCAT(Ruimtestaat[[#This Row],[Ruimte code]],"-",Ruimtestaat[[#This Row],[Frequentie werkdagen]]," ",Ruimtestaat[[#This Row],[Vloer code]]))</f>
        <v>16-5w L</v>
      </c>
      <c r="AJ138" s="300" t="str">
        <f>_xlfn.IFNA(VLOOKUP($AI138,Programma!$F$3:$G$1107,2,0),"")</f>
        <v>_</v>
      </c>
      <c r="AK138" s="300" t="str">
        <f>_xlfn.IFNA(VLOOKUP($AI138,Programma!$F$3:$H$1107,3,0),"")</f>
        <v>_</v>
      </c>
      <c r="AL138" s="300" t="str">
        <f>_xlfn.IFNA(VLOOKUP($AI138,Programma!$F$3:$I$1107,4,0),"")</f>
        <v>4w</v>
      </c>
      <c r="AM138" s="300" t="str">
        <f>_xlfn.IFNA(VLOOKUP($AI138,Programma!$F$3:$J$1107,5,0),"")</f>
        <v>1w</v>
      </c>
      <c r="AN138" s="300" t="str">
        <f>_xlfn.IFNA(VLOOKUP($AI138,Programma!$F$3:$K$1107,6,0),"")</f>
        <v>_</v>
      </c>
      <c r="AO138" s="300" t="str">
        <f>_xlfn.IFNA(VLOOKUP($AI138,Programma!$F$3:$L$1107,7,0),"")</f>
        <v>_</v>
      </c>
      <c r="AP138" s="300" t="str">
        <f>_xlfn.IFNA(VLOOKUP($AI138,Programma!$F$3:$M$1107,8,0),"")</f>
        <v>_</v>
      </c>
      <c r="AQ138" s="300" t="str">
        <f>_xlfn.IFNA(VLOOKUP($AI138,Programma!$F$3:$N$1107,9,0),"")</f>
        <v>_</v>
      </c>
      <c r="AR138" s="300" t="str">
        <f>_xlfn.IFNA(VLOOKUP($AI138,Programma!$F$3:$O$1107,10,0),"")</f>
        <v>5w</v>
      </c>
      <c r="AS138" s="300" t="str">
        <f>_xlfn.IFNA(VLOOKUP($AI138,Programma!$F$3:$P$1107,11,0),"")</f>
        <v>5w</v>
      </c>
      <c r="AT138" s="300" t="str">
        <f>_xlfn.IFNA(VLOOKUP($AI138,Programma!$F$3:$Q$1107,12,0),"")</f>
        <v>1w</v>
      </c>
      <c r="AU138" s="300" t="str">
        <f>_xlfn.IFNA(VLOOKUP($AI138,Programma!$F$3:$R$1107,13,0),"")</f>
        <v>1w</v>
      </c>
      <c r="AV138" s="300" t="str">
        <f>_xlfn.IFNA(VLOOKUP($AI138,Programma!$F$3:$S$1107,14,0),"")</f>
        <v>1m</v>
      </c>
      <c r="AW138" s="300" t="str">
        <f>_xlfn.IFNA(VLOOKUP($AI138,Programma!$F$3:$T$1107,15,0),"")</f>
        <v>2j</v>
      </c>
      <c r="AX138" s="300" t="str">
        <f>_xlfn.IFNA(VLOOKUP($AI138,Programma!$F$3:$U$1107,16,0),"")</f>
        <v>1j</v>
      </c>
      <c r="AY138" s="300" t="str">
        <f>_xlfn.IFNA(VLOOKUP($AI138,Programma!$F$3:$V$1107,17,0),"")</f>
        <v>_</v>
      </c>
      <c r="AZ138" s="300" t="str">
        <f>_xlfn.IFNA(VLOOKUP($AI138,Programma!$F$3:$W$1107,18,0),"")</f>
        <v>_</v>
      </c>
      <c r="BA138" s="300" t="str">
        <f>_xlfn.IFNA(VLOOKUP($AI138,Programma!$F$3:$X$1107,19,0),"")</f>
        <v>_</v>
      </c>
      <c r="BB138" s="300" t="str">
        <f>_xlfn.IFNA(VLOOKUP($AI138,Programma!$F$3:$Y$1107,20,0),"")</f>
        <v>_</v>
      </c>
      <c r="BC138" s="257"/>
      <c r="BD138" s="256" t="str">
        <f>IF(Ruimtestaat[[#This Row],[Frequentie weekend]]="","",_xlfn.CONCAT(Ruimtestaat[[#This Row],[Ruimte code]],"-",Ruimtestaat[[#This Row],[Frequentie weekend]]," ",Ruimtestaat[[#This Row],[Vloer code]]))</f>
        <v/>
      </c>
      <c r="BE138" s="300" t="str">
        <f>_xlfn.IFNA(VLOOKUP($BD138,Programma!$F$3:$G$1107,2,0),"")</f>
        <v/>
      </c>
      <c r="BF138" s="300" t="str">
        <f>_xlfn.IFNA(VLOOKUP($BD138,Programma!$F$3:$H$1107,3,0),"")</f>
        <v/>
      </c>
      <c r="BG138" s="300" t="str">
        <f>_xlfn.IFNA(VLOOKUP($BD138,Programma!$F$3:$I$1107,4,0),"")</f>
        <v/>
      </c>
      <c r="BH138" s="300" t="str">
        <f>_xlfn.IFNA(VLOOKUP($BD138,Programma!$F$3:$J$1107,5,0),"")</f>
        <v/>
      </c>
      <c r="BI138" s="300" t="str">
        <f>_xlfn.IFNA(VLOOKUP($BD138,Programma!$F$3:$K$1107,6,0),"")</f>
        <v/>
      </c>
      <c r="BJ138" s="300" t="str">
        <f>_xlfn.IFNA(VLOOKUP($BD138,Programma!$F$3:$L$1107,7,0),"")</f>
        <v/>
      </c>
      <c r="BK138" s="300" t="str">
        <f>_xlfn.IFNA(VLOOKUP($BD138,Programma!$F$3:$M$1107,8,0),"")</f>
        <v/>
      </c>
      <c r="BL138" s="300" t="str">
        <f>_xlfn.IFNA(VLOOKUP($BD138,Programma!$F$3:$N$1107,9,0),"")</f>
        <v/>
      </c>
      <c r="BM138" s="300" t="str">
        <f>_xlfn.IFNA(VLOOKUP($BD138,Programma!$F$3:$O$1107,10,0),"")</f>
        <v/>
      </c>
      <c r="BN138" s="300" t="str">
        <f>_xlfn.IFNA(VLOOKUP($BD138,Programma!$F$3:$P$1107,11,0),"")</f>
        <v/>
      </c>
      <c r="BO138" s="300" t="str">
        <f>_xlfn.IFNA(VLOOKUP($BD138,Programma!$F$3:$Q$1107,12,0),"")</f>
        <v/>
      </c>
      <c r="BP138" s="300" t="str">
        <f>_xlfn.IFNA(VLOOKUP($BD138,Programma!$F$3:$R$1107,13,0),"")</f>
        <v/>
      </c>
      <c r="BQ138" s="300" t="str">
        <f>_xlfn.IFNA(VLOOKUP($BD138,Programma!$F$3:$S$1107,14,0),"")</f>
        <v/>
      </c>
      <c r="BR138" s="300" t="str">
        <f>_xlfn.IFNA(VLOOKUP($BD138,Programma!$F$3:$T$1107,15,0),"")</f>
        <v/>
      </c>
      <c r="BS138" s="300" t="str">
        <f>_xlfn.IFNA(VLOOKUP($BD138,Programma!$F$3:$U$1107,16,0),"")</f>
        <v/>
      </c>
      <c r="BT138" s="300" t="str">
        <f>_xlfn.IFNA(VLOOKUP($BD138,Programma!$F$3:$V$1107,17,0),"")</f>
        <v/>
      </c>
      <c r="BU138" s="300" t="str">
        <f>_xlfn.IFNA(VLOOKUP($BD138,Programma!$F$3:$W$1107,18,0),"")</f>
        <v/>
      </c>
      <c r="BV138" s="300" t="str">
        <f>_xlfn.IFNA(VLOOKUP($BD138,Programma!$F$3:$X$1107,19,0),"")</f>
        <v/>
      </c>
      <c r="BW138" s="300" t="str">
        <f>_xlfn.IFNA(VLOOKUP($BD138,Programma!$F$3:$Y$1107,20,0),"")</f>
        <v/>
      </c>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row>
    <row r="139" spans="1:220" ht="15" customHeight="1">
      <c r="A139" s="21">
        <v>3</v>
      </c>
      <c r="B139" s="157" t="str">
        <f>VLOOKUP(Ruimtestaat[[#This Row],[Code]],Locaties[[Code]:[Locatie]],2,FALSE)</f>
        <v>'s Gravendreef College - Dependance</v>
      </c>
      <c r="C139" s="157" t="str">
        <f>VLOOKUP(Ruimtestaat[[#This Row],[Code]],Locaties[[#All],[Code]:[Adres]],4,FALSE)</f>
        <v>Henri Faasdreef 200</v>
      </c>
      <c r="D139" s="157" t="str">
        <f>VLOOKUP(Ruimtestaat[[#This Row],[Code]],Locaties[[#All],[Code]:[Postcode]],5,FALSE)</f>
        <v>2492 JP</v>
      </c>
      <c r="E139" s="157" t="str">
        <f>VLOOKUP(Ruimtestaat[[#This Row],[Code]],Locaties[#All],6,FALSE)</f>
        <v>Den Haag</v>
      </c>
      <c r="F139" s="33" t="s">
        <v>1801</v>
      </c>
      <c r="G139" s="33" t="s">
        <v>1749</v>
      </c>
      <c r="H139" s="21" t="s">
        <v>1819</v>
      </c>
      <c r="I139" s="62" t="s">
        <v>1820</v>
      </c>
      <c r="J139" s="21">
        <v>19</v>
      </c>
      <c r="K139" s="62" t="str">
        <f>VLOOKUP(Ruimtestaat[[#This Row],[Ruimte code]],Ruimtegroepen[[#All],[Code]:[Ruimte omschrijving]],2,FALSE)</f>
        <v>kleedruimten</v>
      </c>
      <c r="L139" s="33" t="s">
        <v>102</v>
      </c>
      <c r="M139" s="367" t="s">
        <v>2502</v>
      </c>
      <c r="N139" s="140">
        <v>5.76</v>
      </c>
      <c r="O139" s="140"/>
      <c r="P139" s="125" t="str">
        <f>VLOOKUP(Ruimtestaat[[#This Row],[Ruimte code]],Ruimtegroepen[],4,FALSE)</f>
        <v>Ve</v>
      </c>
      <c r="R139" s="33">
        <v>40</v>
      </c>
      <c r="S139" s="33" t="s">
        <v>2</v>
      </c>
      <c r="T139" s="33">
        <f>IF(R139&gt;0,IF(RIGHT(Ruimtestaat[[#This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9" s="33">
        <f>IF(T139&gt;0,VLOOKUP($J139,Ruimtegroepen[],3,FALSE)*VLOOKUP($L139,Vloersoorten[],3,FALSE)*VLOOKUP($S139,Frequenties[],3,FALSE)*VLOOKUP($A139,Locaties[],3,FALSE),0)</f>
        <v>0</v>
      </c>
      <c r="V139" s="33">
        <f>Ruimtestaat[[#This Row],[Uitvoeringen werkdagen]]*Ruimtestaat[[#This Row],[Oppervlak (netto)]]</f>
        <v>1152</v>
      </c>
      <c r="W139" s="154">
        <f>IF(U139&gt;0,Ruimtestaat[[#This Row],[Prest. (m2 /jaar) werkdagen]]/Ruimtestaat[[#This Row],[Norm (m2/uur) werkdagen]],0)</f>
        <v>0</v>
      </c>
      <c r="X139" s="155">
        <f>Ruimtestaat[[#This Row],[uren / jaar werkdagen]]*Tariefsopbouw!$E$35</f>
        <v>0</v>
      </c>
      <c r="Y139" s="33"/>
      <c r="Z139" s="33">
        <f>IF(Ruimtestaat[[#This Row],[Frequentie weekend]]&gt;0,VALUE(LEFT(Y139,1))*R139,0)</f>
        <v>0</v>
      </c>
      <c r="AA139" s="97">
        <f>IF($Z139&gt;0,VLOOKUP($J139,Ruimtegroepen[],3,FALSE)*VLOOKUP($L139,Vloersoorten[],3,FALSE)*VLOOKUP($Y139,Frequenties[],3,FALSE)*VLOOKUP(Ruimtestaat[[#This Row],[Code]],Locaties[],3,FALSE),0)</f>
        <v>0</v>
      </c>
      <c r="AB139" s="97">
        <f>Ruimtestaat[[#This Row],[Uitvoeringen weekend]]*Ruimtestaat[[#This Row],[Oppervlak (netto)]]</f>
        <v>0</v>
      </c>
      <c r="AC139" s="97">
        <f>IF(AA139&gt;0,Ruimtestaat[[#This Row],[Prest. (m2 /jaar) weekend]]/Ruimtestaat[[#This Row],[Norm (m2/uur) weekend]],0)</f>
        <v>0</v>
      </c>
      <c r="AD139" s="155">
        <f>Ruimtestaat[[#This Row],[uren / jaar weekend]]*Tariefsopbouw!$D$40</f>
        <v>0</v>
      </c>
      <c r="AE139" s="154">
        <f>Ruimtestaat[[#This Row],[Prest. (m2 /jaar) weekend]]+Ruimtestaat[[#This Row],[Prest. (m2 /jaar) werkdagen]]</f>
        <v>1152</v>
      </c>
      <c r="AF139" s="154">
        <f>Ruimtestaat[[#This Row],[uren / jaar weekend]]+Ruimtestaat[[#This Row],[uren / jaar werkdagen]]</f>
        <v>0</v>
      </c>
      <c r="AG139" s="69">
        <f>Ruimtestaat[[#This Row],[kosten / jaar weekend]]+Ruimtestaat[[#This Row],[kosten / jaar werkdagen]]</f>
        <v>0</v>
      </c>
      <c r="AH139" s="69"/>
      <c r="AI139" s="256" t="str">
        <f>IF(Ruimtestaat[[#This Row],[Frequentie werkdagen]]="","",_xlfn.CONCAT(Ruimtestaat[[#This Row],[Ruimte code]],"-",Ruimtestaat[[#This Row],[Frequentie werkdagen]]," ",Ruimtestaat[[#This Row],[Vloer code]]))</f>
        <v>19-5w S</v>
      </c>
      <c r="AJ139" s="300" t="str">
        <f>_xlfn.IFNA(VLOOKUP($AI139,Programma!$F$3:$G$1107,2,0),"")</f>
        <v>_</v>
      </c>
      <c r="AK139" s="300" t="str">
        <f>_xlfn.IFNA(VLOOKUP($AI139,Programma!$F$3:$H$1107,3,0),"")</f>
        <v>_</v>
      </c>
      <c r="AL139" s="300" t="str">
        <f>_xlfn.IFNA(VLOOKUP($AI139,Programma!$F$3:$I$1107,4,0),"")</f>
        <v>5w</v>
      </c>
      <c r="AM139" s="300" t="str">
        <f>_xlfn.IFNA(VLOOKUP($AI139,Programma!$F$3:$J$1107,5,0),"")</f>
        <v>_</v>
      </c>
      <c r="AN139" s="300" t="str">
        <f>_xlfn.IFNA(VLOOKUP($AI139,Programma!$F$3:$K$1107,6,0),"")</f>
        <v>5w</v>
      </c>
      <c r="AO139" s="300" t="str">
        <f>_xlfn.IFNA(VLOOKUP($AI139,Programma!$F$3:$L$1107,7,0),"")</f>
        <v>_</v>
      </c>
      <c r="AP139" s="300" t="str">
        <f>_xlfn.IFNA(VLOOKUP($AI139,Programma!$F$3:$M$1107,8,0),"")</f>
        <v>_</v>
      </c>
      <c r="AQ139" s="300" t="str">
        <f>_xlfn.IFNA(VLOOKUP($AI139,Programma!$F$3:$N$1107,9,0),"")</f>
        <v>_</v>
      </c>
      <c r="AR139" s="300" t="str">
        <f>_xlfn.IFNA(VLOOKUP($AI139,Programma!$F$3:$O$1107,10,0),"")</f>
        <v>5w</v>
      </c>
      <c r="AS139" s="300" t="str">
        <f>_xlfn.IFNA(VLOOKUP($AI139,Programma!$F$3:$P$1107,11,0),"")</f>
        <v>5w</v>
      </c>
      <c r="AT139" s="300" t="str">
        <f>_xlfn.IFNA(VLOOKUP($AI139,Programma!$F$3:$Q$1107,12,0),"")</f>
        <v>1w</v>
      </c>
      <c r="AU139" s="300" t="str">
        <f>_xlfn.IFNA(VLOOKUP($AI139,Programma!$F$3:$R$1107,13,0),"")</f>
        <v>1w</v>
      </c>
      <c r="AV139" s="300" t="str">
        <f>_xlfn.IFNA(VLOOKUP($AI139,Programma!$F$3:$S$1107,14,0),"")</f>
        <v>1m</v>
      </c>
      <c r="AW139" s="300" t="str">
        <f>_xlfn.IFNA(VLOOKUP($AI139,Programma!$F$3:$T$1107,15,0),"")</f>
        <v>2j</v>
      </c>
      <c r="AX139" s="300" t="str">
        <f>_xlfn.IFNA(VLOOKUP($AI139,Programma!$F$3:$U$1107,16,0),"")</f>
        <v>1j</v>
      </c>
      <c r="AY139" s="300" t="str">
        <f>_xlfn.IFNA(VLOOKUP($AI139,Programma!$F$3:$V$1107,17,0),"")</f>
        <v>_</v>
      </c>
      <c r="AZ139" s="300" t="str">
        <f>_xlfn.IFNA(VLOOKUP($AI139,Programma!$F$3:$W$1107,18,0),"")</f>
        <v>_</v>
      </c>
      <c r="BA139" s="300" t="str">
        <f>_xlfn.IFNA(VLOOKUP($AI139,Programma!$F$3:$X$1107,19,0),"")</f>
        <v>_</v>
      </c>
      <c r="BB139" s="300" t="str">
        <f>_xlfn.IFNA(VLOOKUP($AI139,Programma!$F$3:$Y$1107,20,0),"")</f>
        <v>_</v>
      </c>
      <c r="BC139" s="257"/>
      <c r="BD139" s="256" t="str">
        <f>IF(Ruimtestaat[[#This Row],[Frequentie weekend]]="","",_xlfn.CONCAT(Ruimtestaat[[#This Row],[Ruimte code]],"-",Ruimtestaat[[#This Row],[Frequentie weekend]]," ",Ruimtestaat[[#This Row],[Vloer code]]))</f>
        <v/>
      </c>
      <c r="BE139" s="300" t="str">
        <f>_xlfn.IFNA(VLOOKUP($BD139,Programma!$F$3:$G$1107,2,0),"")</f>
        <v/>
      </c>
      <c r="BF139" s="300" t="str">
        <f>_xlfn.IFNA(VLOOKUP($BD139,Programma!$F$3:$H$1107,3,0),"")</f>
        <v/>
      </c>
      <c r="BG139" s="300" t="str">
        <f>_xlfn.IFNA(VLOOKUP($BD139,Programma!$F$3:$I$1107,4,0),"")</f>
        <v/>
      </c>
      <c r="BH139" s="300" t="str">
        <f>_xlfn.IFNA(VLOOKUP($BD139,Programma!$F$3:$J$1107,5,0),"")</f>
        <v/>
      </c>
      <c r="BI139" s="300" t="str">
        <f>_xlfn.IFNA(VLOOKUP($BD139,Programma!$F$3:$K$1107,6,0),"")</f>
        <v/>
      </c>
      <c r="BJ139" s="300" t="str">
        <f>_xlfn.IFNA(VLOOKUP($BD139,Programma!$F$3:$L$1107,7,0),"")</f>
        <v/>
      </c>
      <c r="BK139" s="300" t="str">
        <f>_xlfn.IFNA(VLOOKUP($BD139,Programma!$F$3:$M$1107,8,0),"")</f>
        <v/>
      </c>
      <c r="BL139" s="300" t="str">
        <f>_xlfn.IFNA(VLOOKUP($BD139,Programma!$F$3:$N$1107,9,0),"")</f>
        <v/>
      </c>
      <c r="BM139" s="300" t="str">
        <f>_xlfn.IFNA(VLOOKUP($BD139,Programma!$F$3:$O$1107,10,0),"")</f>
        <v/>
      </c>
      <c r="BN139" s="300" t="str">
        <f>_xlfn.IFNA(VLOOKUP($BD139,Programma!$F$3:$P$1107,11,0),"")</f>
        <v/>
      </c>
      <c r="BO139" s="300" t="str">
        <f>_xlfn.IFNA(VLOOKUP($BD139,Programma!$F$3:$Q$1107,12,0),"")</f>
        <v/>
      </c>
      <c r="BP139" s="300" t="str">
        <f>_xlfn.IFNA(VLOOKUP($BD139,Programma!$F$3:$R$1107,13,0),"")</f>
        <v/>
      </c>
      <c r="BQ139" s="300" t="str">
        <f>_xlfn.IFNA(VLOOKUP($BD139,Programma!$F$3:$S$1107,14,0),"")</f>
        <v/>
      </c>
      <c r="BR139" s="300" t="str">
        <f>_xlfn.IFNA(VLOOKUP($BD139,Programma!$F$3:$T$1107,15,0),"")</f>
        <v/>
      </c>
      <c r="BS139" s="300" t="str">
        <f>_xlfn.IFNA(VLOOKUP($BD139,Programma!$F$3:$U$1107,16,0),"")</f>
        <v/>
      </c>
      <c r="BT139" s="300" t="str">
        <f>_xlfn.IFNA(VLOOKUP($BD139,Programma!$F$3:$V$1107,17,0),"")</f>
        <v/>
      </c>
      <c r="BU139" s="300" t="str">
        <f>_xlfn.IFNA(VLOOKUP($BD139,Programma!$F$3:$W$1107,18,0),"")</f>
        <v/>
      </c>
      <c r="BV139" s="300" t="str">
        <f>_xlfn.IFNA(VLOOKUP($BD139,Programma!$F$3:$X$1107,19,0),"")</f>
        <v/>
      </c>
      <c r="BW139" s="300" t="str">
        <f>_xlfn.IFNA(VLOOKUP($BD139,Programma!$F$3:$Y$1107,20,0),"")</f>
        <v/>
      </c>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row>
    <row r="140" spans="1:220" ht="15" customHeight="1">
      <c r="A140" s="21">
        <v>3</v>
      </c>
      <c r="B140" s="157" t="str">
        <f>VLOOKUP(Ruimtestaat[[#This Row],[Code]],Locaties[[Code]:[Locatie]],2,FALSE)</f>
        <v>'s Gravendreef College - Dependance</v>
      </c>
      <c r="C140" s="157" t="str">
        <f>VLOOKUP(Ruimtestaat[[#This Row],[Code]],Locaties[[#All],[Code]:[Adres]],4,FALSE)</f>
        <v>Henri Faasdreef 200</v>
      </c>
      <c r="D140" s="157" t="str">
        <f>VLOOKUP(Ruimtestaat[[#This Row],[Code]],Locaties[[#All],[Code]:[Postcode]],5,FALSE)</f>
        <v>2492 JP</v>
      </c>
      <c r="E140" s="157" t="str">
        <f>VLOOKUP(Ruimtestaat[[#This Row],[Code]],Locaties[#All],6,FALSE)</f>
        <v>Den Haag</v>
      </c>
      <c r="F140" s="33" t="s">
        <v>1801</v>
      </c>
      <c r="G140" s="33" t="s">
        <v>1749</v>
      </c>
      <c r="H140" s="21" t="s">
        <v>1821</v>
      </c>
      <c r="I140" s="62" t="s">
        <v>1820</v>
      </c>
      <c r="J140" s="21">
        <v>19</v>
      </c>
      <c r="K140" s="62" t="str">
        <f>VLOOKUP(Ruimtestaat[[#This Row],[Ruimte code]],Ruimtegroepen[[#All],[Code]:[Ruimte omschrijving]],2,FALSE)</f>
        <v>kleedruimten</v>
      </c>
      <c r="L140" s="33" t="s">
        <v>102</v>
      </c>
      <c r="M140" s="367" t="s">
        <v>2502</v>
      </c>
      <c r="N140" s="140">
        <v>5.76</v>
      </c>
      <c r="O140" s="140"/>
      <c r="P140" s="125" t="str">
        <f>VLOOKUP(Ruimtestaat[[#This Row],[Ruimte code]],Ruimtegroepen[],4,FALSE)</f>
        <v>Ve</v>
      </c>
      <c r="R140" s="33">
        <v>40</v>
      </c>
      <c r="S140" s="33" t="s">
        <v>2</v>
      </c>
      <c r="T140" s="33">
        <f>IF(R140&gt;0,IF(RIGHT(Ruimtestaat[[#This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0" s="33">
        <f>IF(T140&gt;0,VLOOKUP($J140,Ruimtegroepen[],3,FALSE)*VLOOKUP($L140,Vloersoorten[],3,FALSE)*VLOOKUP($S140,Frequenties[],3,FALSE)*VLOOKUP($A140,Locaties[],3,FALSE),0)</f>
        <v>0</v>
      </c>
      <c r="V140" s="33">
        <f>Ruimtestaat[[#This Row],[Uitvoeringen werkdagen]]*Ruimtestaat[[#This Row],[Oppervlak (netto)]]</f>
        <v>1152</v>
      </c>
      <c r="W140" s="154">
        <f>IF(U140&gt;0,Ruimtestaat[[#This Row],[Prest. (m2 /jaar) werkdagen]]/Ruimtestaat[[#This Row],[Norm (m2/uur) werkdagen]],0)</f>
        <v>0</v>
      </c>
      <c r="X140" s="155">
        <f>Ruimtestaat[[#This Row],[uren / jaar werkdagen]]*Tariefsopbouw!$E$35</f>
        <v>0</v>
      </c>
      <c r="Y140" s="33"/>
      <c r="Z140" s="33">
        <f>IF(Ruimtestaat[[#This Row],[Frequentie weekend]]&gt;0,VALUE(LEFT(Y140,1))*R140,0)</f>
        <v>0</v>
      </c>
      <c r="AA140" s="97">
        <f>IF($Z140&gt;0,VLOOKUP($J140,Ruimtegroepen[],3,FALSE)*VLOOKUP($L140,Vloersoorten[],3,FALSE)*VLOOKUP($Y140,Frequenties[],3,FALSE)*VLOOKUP(Ruimtestaat[[#This Row],[Code]],Locaties[],3,FALSE),0)</f>
        <v>0</v>
      </c>
      <c r="AB140" s="97">
        <f>Ruimtestaat[[#This Row],[Uitvoeringen weekend]]*Ruimtestaat[[#This Row],[Oppervlak (netto)]]</f>
        <v>0</v>
      </c>
      <c r="AC140" s="97">
        <f>IF(AA140&gt;0,Ruimtestaat[[#This Row],[Prest. (m2 /jaar) weekend]]/Ruimtestaat[[#This Row],[Norm (m2/uur) weekend]],0)</f>
        <v>0</v>
      </c>
      <c r="AD140" s="155">
        <f>Ruimtestaat[[#This Row],[uren / jaar weekend]]*Tariefsopbouw!$D$40</f>
        <v>0</v>
      </c>
      <c r="AE140" s="154">
        <f>Ruimtestaat[[#This Row],[Prest. (m2 /jaar) weekend]]+Ruimtestaat[[#This Row],[Prest. (m2 /jaar) werkdagen]]</f>
        <v>1152</v>
      </c>
      <c r="AF140" s="154">
        <f>Ruimtestaat[[#This Row],[uren / jaar weekend]]+Ruimtestaat[[#This Row],[uren / jaar werkdagen]]</f>
        <v>0</v>
      </c>
      <c r="AG140" s="69">
        <f>Ruimtestaat[[#This Row],[kosten / jaar weekend]]+Ruimtestaat[[#This Row],[kosten / jaar werkdagen]]</f>
        <v>0</v>
      </c>
      <c r="AH140" s="69"/>
      <c r="AI140" s="256" t="str">
        <f>IF(Ruimtestaat[[#This Row],[Frequentie werkdagen]]="","",_xlfn.CONCAT(Ruimtestaat[[#This Row],[Ruimte code]],"-",Ruimtestaat[[#This Row],[Frequentie werkdagen]]," ",Ruimtestaat[[#This Row],[Vloer code]]))</f>
        <v>19-5w S</v>
      </c>
      <c r="AJ140" s="300" t="str">
        <f>_xlfn.IFNA(VLOOKUP($AI140,Programma!$F$3:$G$1107,2,0),"")</f>
        <v>_</v>
      </c>
      <c r="AK140" s="300" t="str">
        <f>_xlfn.IFNA(VLOOKUP($AI140,Programma!$F$3:$H$1107,3,0),"")</f>
        <v>_</v>
      </c>
      <c r="AL140" s="300" t="str">
        <f>_xlfn.IFNA(VLOOKUP($AI140,Programma!$F$3:$I$1107,4,0),"")</f>
        <v>5w</v>
      </c>
      <c r="AM140" s="300" t="str">
        <f>_xlfn.IFNA(VLOOKUP($AI140,Programma!$F$3:$J$1107,5,0),"")</f>
        <v>_</v>
      </c>
      <c r="AN140" s="300" t="str">
        <f>_xlfn.IFNA(VLOOKUP($AI140,Programma!$F$3:$K$1107,6,0),"")</f>
        <v>5w</v>
      </c>
      <c r="AO140" s="300" t="str">
        <f>_xlfn.IFNA(VLOOKUP($AI140,Programma!$F$3:$L$1107,7,0),"")</f>
        <v>_</v>
      </c>
      <c r="AP140" s="300" t="str">
        <f>_xlfn.IFNA(VLOOKUP($AI140,Programma!$F$3:$M$1107,8,0),"")</f>
        <v>_</v>
      </c>
      <c r="AQ140" s="300" t="str">
        <f>_xlfn.IFNA(VLOOKUP($AI140,Programma!$F$3:$N$1107,9,0),"")</f>
        <v>_</v>
      </c>
      <c r="AR140" s="300" t="str">
        <f>_xlfn.IFNA(VLOOKUP($AI140,Programma!$F$3:$O$1107,10,0),"")</f>
        <v>5w</v>
      </c>
      <c r="AS140" s="300" t="str">
        <f>_xlfn.IFNA(VLOOKUP($AI140,Programma!$F$3:$P$1107,11,0),"")</f>
        <v>5w</v>
      </c>
      <c r="AT140" s="300" t="str">
        <f>_xlfn.IFNA(VLOOKUP($AI140,Programma!$F$3:$Q$1107,12,0),"")</f>
        <v>1w</v>
      </c>
      <c r="AU140" s="300" t="str">
        <f>_xlfn.IFNA(VLOOKUP($AI140,Programma!$F$3:$R$1107,13,0),"")</f>
        <v>1w</v>
      </c>
      <c r="AV140" s="300" t="str">
        <f>_xlfn.IFNA(VLOOKUP($AI140,Programma!$F$3:$S$1107,14,0),"")</f>
        <v>1m</v>
      </c>
      <c r="AW140" s="300" t="str">
        <f>_xlfn.IFNA(VLOOKUP($AI140,Programma!$F$3:$T$1107,15,0),"")</f>
        <v>2j</v>
      </c>
      <c r="AX140" s="300" t="str">
        <f>_xlfn.IFNA(VLOOKUP($AI140,Programma!$F$3:$U$1107,16,0),"")</f>
        <v>1j</v>
      </c>
      <c r="AY140" s="300" t="str">
        <f>_xlfn.IFNA(VLOOKUP($AI140,Programma!$F$3:$V$1107,17,0),"")</f>
        <v>_</v>
      </c>
      <c r="AZ140" s="300" t="str">
        <f>_xlfn.IFNA(VLOOKUP($AI140,Programma!$F$3:$W$1107,18,0),"")</f>
        <v>_</v>
      </c>
      <c r="BA140" s="300" t="str">
        <f>_xlfn.IFNA(VLOOKUP($AI140,Programma!$F$3:$X$1107,19,0),"")</f>
        <v>_</v>
      </c>
      <c r="BB140" s="300" t="str">
        <f>_xlfn.IFNA(VLOOKUP($AI140,Programma!$F$3:$Y$1107,20,0),"")</f>
        <v>_</v>
      </c>
      <c r="BC140" s="257"/>
      <c r="BD140" s="256" t="str">
        <f>IF(Ruimtestaat[[#This Row],[Frequentie weekend]]="","",_xlfn.CONCAT(Ruimtestaat[[#This Row],[Ruimte code]],"-",Ruimtestaat[[#This Row],[Frequentie weekend]]," ",Ruimtestaat[[#This Row],[Vloer code]]))</f>
        <v/>
      </c>
      <c r="BE140" s="300" t="str">
        <f>_xlfn.IFNA(VLOOKUP($BD140,Programma!$F$3:$G$1107,2,0),"")</f>
        <v/>
      </c>
      <c r="BF140" s="300" t="str">
        <f>_xlfn.IFNA(VLOOKUP($BD140,Programma!$F$3:$H$1107,3,0),"")</f>
        <v/>
      </c>
      <c r="BG140" s="300" t="str">
        <f>_xlfn.IFNA(VLOOKUP($BD140,Programma!$F$3:$I$1107,4,0),"")</f>
        <v/>
      </c>
      <c r="BH140" s="300" t="str">
        <f>_xlfn.IFNA(VLOOKUP($BD140,Programma!$F$3:$J$1107,5,0),"")</f>
        <v/>
      </c>
      <c r="BI140" s="300" t="str">
        <f>_xlfn.IFNA(VLOOKUP($BD140,Programma!$F$3:$K$1107,6,0),"")</f>
        <v/>
      </c>
      <c r="BJ140" s="300" t="str">
        <f>_xlfn.IFNA(VLOOKUP($BD140,Programma!$F$3:$L$1107,7,0),"")</f>
        <v/>
      </c>
      <c r="BK140" s="300" t="str">
        <f>_xlfn.IFNA(VLOOKUP($BD140,Programma!$F$3:$M$1107,8,0),"")</f>
        <v/>
      </c>
      <c r="BL140" s="300" t="str">
        <f>_xlfn.IFNA(VLOOKUP($BD140,Programma!$F$3:$N$1107,9,0),"")</f>
        <v/>
      </c>
      <c r="BM140" s="300" t="str">
        <f>_xlfn.IFNA(VLOOKUP($BD140,Programma!$F$3:$O$1107,10,0),"")</f>
        <v/>
      </c>
      <c r="BN140" s="300" t="str">
        <f>_xlfn.IFNA(VLOOKUP($BD140,Programma!$F$3:$P$1107,11,0),"")</f>
        <v/>
      </c>
      <c r="BO140" s="300" t="str">
        <f>_xlfn.IFNA(VLOOKUP($BD140,Programma!$F$3:$Q$1107,12,0),"")</f>
        <v/>
      </c>
      <c r="BP140" s="300" t="str">
        <f>_xlfn.IFNA(VLOOKUP($BD140,Programma!$F$3:$R$1107,13,0),"")</f>
        <v/>
      </c>
      <c r="BQ140" s="300" t="str">
        <f>_xlfn.IFNA(VLOOKUP($BD140,Programma!$F$3:$S$1107,14,0),"")</f>
        <v/>
      </c>
      <c r="BR140" s="300" t="str">
        <f>_xlfn.IFNA(VLOOKUP($BD140,Programma!$F$3:$T$1107,15,0),"")</f>
        <v/>
      </c>
      <c r="BS140" s="300" t="str">
        <f>_xlfn.IFNA(VLOOKUP($BD140,Programma!$F$3:$U$1107,16,0),"")</f>
        <v/>
      </c>
      <c r="BT140" s="300" t="str">
        <f>_xlfn.IFNA(VLOOKUP($BD140,Programma!$F$3:$V$1107,17,0),"")</f>
        <v/>
      </c>
      <c r="BU140" s="300" t="str">
        <f>_xlfn.IFNA(VLOOKUP($BD140,Programma!$F$3:$W$1107,18,0),"")</f>
        <v/>
      </c>
      <c r="BV140" s="300" t="str">
        <f>_xlfn.IFNA(VLOOKUP($BD140,Programma!$F$3:$X$1107,19,0),"")</f>
        <v/>
      </c>
      <c r="BW140" s="300" t="str">
        <f>_xlfn.IFNA(VLOOKUP($BD140,Programma!$F$3:$Y$1107,20,0),"")</f>
        <v/>
      </c>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row>
    <row r="141" spans="1:220" ht="15" customHeight="1">
      <c r="A141" s="21">
        <v>3</v>
      </c>
      <c r="B141" s="157" t="str">
        <f>VLOOKUP(Ruimtestaat[[#This Row],[Code]],Locaties[[Code]:[Locatie]],2,FALSE)</f>
        <v>'s Gravendreef College - Dependance</v>
      </c>
      <c r="C141" s="157" t="str">
        <f>VLOOKUP(Ruimtestaat[[#This Row],[Code]],Locaties[[#All],[Code]:[Adres]],4,FALSE)</f>
        <v>Henri Faasdreef 200</v>
      </c>
      <c r="D141" s="157" t="str">
        <f>VLOOKUP(Ruimtestaat[[#This Row],[Code]],Locaties[[#All],[Code]:[Postcode]],5,FALSE)</f>
        <v>2492 JP</v>
      </c>
      <c r="E141" s="157" t="str">
        <f>VLOOKUP(Ruimtestaat[[#This Row],[Code]],Locaties[#All],6,FALSE)</f>
        <v>Den Haag</v>
      </c>
      <c r="F141" s="33" t="s">
        <v>1801</v>
      </c>
      <c r="G141" s="33" t="s">
        <v>1749</v>
      </c>
      <c r="H141" s="21" t="s">
        <v>1822</v>
      </c>
      <c r="I141" s="62" t="s">
        <v>1823</v>
      </c>
      <c r="J141" s="21">
        <v>16</v>
      </c>
      <c r="K141" s="62" t="str">
        <f>VLOOKUP(Ruimtestaat[[#This Row],[Ruimte code]],Ruimtegroepen[[#All],[Code]:[Ruimte omschrijving]],2,FALSE)</f>
        <v>Leslokalen theorie</v>
      </c>
      <c r="L141" s="33" t="s">
        <v>101</v>
      </c>
      <c r="M141" s="367" t="s">
        <v>2495</v>
      </c>
      <c r="N141" s="140">
        <v>55.69</v>
      </c>
      <c r="O141" s="140"/>
      <c r="P141" s="125" t="str">
        <f>VLOOKUP(Ruimtestaat[[#This Row],[Ruimte code]],Ruimtegroepen[],4,FALSE)</f>
        <v>Le</v>
      </c>
      <c r="R141" s="33">
        <v>40</v>
      </c>
      <c r="S141" s="33" t="s">
        <v>2</v>
      </c>
      <c r="T141" s="33">
        <f>IF(R141&gt;0,IF(RIGHT(Ruimtestaat[[#This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1" s="33">
        <f>IF(T141&gt;0,VLOOKUP($J141,Ruimtegroepen[],3,FALSE)*VLOOKUP($L141,Vloersoorten[],3,FALSE)*VLOOKUP($S141,Frequenties[],3,FALSE)*VLOOKUP($A141,Locaties[],3,FALSE),0)</f>
        <v>0</v>
      </c>
      <c r="V141" s="33">
        <f>Ruimtestaat[[#This Row],[Uitvoeringen werkdagen]]*Ruimtestaat[[#This Row],[Oppervlak (netto)]]</f>
        <v>11138</v>
      </c>
      <c r="W141" s="154">
        <f>IF(U141&gt;0,Ruimtestaat[[#This Row],[Prest. (m2 /jaar) werkdagen]]/Ruimtestaat[[#This Row],[Norm (m2/uur) werkdagen]],0)</f>
        <v>0</v>
      </c>
      <c r="X141" s="155">
        <f>Ruimtestaat[[#This Row],[uren / jaar werkdagen]]*Tariefsopbouw!$E$35</f>
        <v>0</v>
      </c>
      <c r="Y141" s="33"/>
      <c r="Z141" s="33">
        <f>IF(Ruimtestaat[[#This Row],[Frequentie weekend]]&gt;0,VALUE(LEFT(Y141,1))*R141,0)</f>
        <v>0</v>
      </c>
      <c r="AA141" s="97">
        <f>IF($Z141&gt;0,VLOOKUP($J141,Ruimtegroepen[],3,FALSE)*VLOOKUP($L141,Vloersoorten[],3,FALSE)*VLOOKUP($Y141,Frequenties[],3,FALSE)*VLOOKUP(Ruimtestaat[[#This Row],[Code]],Locaties[],3,FALSE),0)</f>
        <v>0</v>
      </c>
      <c r="AB141" s="97">
        <f>Ruimtestaat[[#This Row],[Uitvoeringen weekend]]*Ruimtestaat[[#This Row],[Oppervlak (netto)]]</f>
        <v>0</v>
      </c>
      <c r="AC141" s="97">
        <f>IF(AA141&gt;0,Ruimtestaat[[#This Row],[Prest. (m2 /jaar) weekend]]/Ruimtestaat[[#This Row],[Norm (m2/uur) weekend]],0)</f>
        <v>0</v>
      </c>
      <c r="AD141" s="155">
        <f>Ruimtestaat[[#This Row],[uren / jaar weekend]]*Tariefsopbouw!$D$40</f>
        <v>0</v>
      </c>
      <c r="AE141" s="154">
        <f>Ruimtestaat[[#This Row],[Prest. (m2 /jaar) weekend]]+Ruimtestaat[[#This Row],[Prest. (m2 /jaar) werkdagen]]</f>
        <v>11138</v>
      </c>
      <c r="AF141" s="154">
        <f>Ruimtestaat[[#This Row],[uren / jaar weekend]]+Ruimtestaat[[#This Row],[uren / jaar werkdagen]]</f>
        <v>0</v>
      </c>
      <c r="AG141" s="69">
        <f>Ruimtestaat[[#This Row],[kosten / jaar weekend]]+Ruimtestaat[[#This Row],[kosten / jaar werkdagen]]</f>
        <v>0</v>
      </c>
      <c r="AH141" s="69"/>
      <c r="AI141" s="256" t="str">
        <f>IF(Ruimtestaat[[#This Row],[Frequentie werkdagen]]="","",_xlfn.CONCAT(Ruimtestaat[[#This Row],[Ruimte code]],"-",Ruimtestaat[[#This Row],[Frequentie werkdagen]]," ",Ruimtestaat[[#This Row],[Vloer code]]))</f>
        <v>16-5w L</v>
      </c>
      <c r="AJ141" s="300" t="str">
        <f>_xlfn.IFNA(VLOOKUP($AI141,Programma!$F$3:$G$1107,2,0),"")</f>
        <v>_</v>
      </c>
      <c r="AK141" s="300" t="str">
        <f>_xlfn.IFNA(VLOOKUP($AI141,Programma!$F$3:$H$1107,3,0),"")</f>
        <v>_</v>
      </c>
      <c r="AL141" s="300" t="str">
        <f>_xlfn.IFNA(VLOOKUP($AI141,Programma!$F$3:$I$1107,4,0),"")</f>
        <v>4w</v>
      </c>
      <c r="AM141" s="300" t="str">
        <f>_xlfn.IFNA(VLOOKUP($AI141,Programma!$F$3:$J$1107,5,0),"")</f>
        <v>1w</v>
      </c>
      <c r="AN141" s="300" t="str">
        <f>_xlfn.IFNA(VLOOKUP($AI141,Programma!$F$3:$K$1107,6,0),"")</f>
        <v>_</v>
      </c>
      <c r="AO141" s="300" t="str">
        <f>_xlfn.IFNA(VLOOKUP($AI141,Programma!$F$3:$L$1107,7,0),"")</f>
        <v>_</v>
      </c>
      <c r="AP141" s="300" t="str">
        <f>_xlfn.IFNA(VLOOKUP($AI141,Programma!$F$3:$M$1107,8,0),"")</f>
        <v>_</v>
      </c>
      <c r="AQ141" s="300" t="str">
        <f>_xlfn.IFNA(VLOOKUP($AI141,Programma!$F$3:$N$1107,9,0),"")</f>
        <v>_</v>
      </c>
      <c r="AR141" s="300" t="str">
        <f>_xlfn.IFNA(VLOOKUP($AI141,Programma!$F$3:$O$1107,10,0),"")</f>
        <v>5w</v>
      </c>
      <c r="AS141" s="300" t="str">
        <f>_xlfn.IFNA(VLOOKUP($AI141,Programma!$F$3:$P$1107,11,0),"")</f>
        <v>5w</v>
      </c>
      <c r="AT141" s="300" t="str">
        <f>_xlfn.IFNA(VLOOKUP($AI141,Programma!$F$3:$Q$1107,12,0),"")</f>
        <v>1w</v>
      </c>
      <c r="AU141" s="300" t="str">
        <f>_xlfn.IFNA(VLOOKUP($AI141,Programma!$F$3:$R$1107,13,0),"")</f>
        <v>1w</v>
      </c>
      <c r="AV141" s="300" t="str">
        <f>_xlfn.IFNA(VLOOKUP($AI141,Programma!$F$3:$S$1107,14,0),"")</f>
        <v>1m</v>
      </c>
      <c r="AW141" s="300" t="str">
        <f>_xlfn.IFNA(VLOOKUP($AI141,Programma!$F$3:$T$1107,15,0),"")</f>
        <v>2j</v>
      </c>
      <c r="AX141" s="300" t="str">
        <f>_xlfn.IFNA(VLOOKUP($AI141,Programma!$F$3:$U$1107,16,0),"")</f>
        <v>1j</v>
      </c>
      <c r="AY141" s="300" t="str">
        <f>_xlfn.IFNA(VLOOKUP($AI141,Programma!$F$3:$V$1107,17,0),"")</f>
        <v>_</v>
      </c>
      <c r="AZ141" s="300" t="str">
        <f>_xlfn.IFNA(VLOOKUP($AI141,Programma!$F$3:$W$1107,18,0),"")</f>
        <v>_</v>
      </c>
      <c r="BA141" s="300" t="str">
        <f>_xlfn.IFNA(VLOOKUP($AI141,Programma!$F$3:$X$1107,19,0),"")</f>
        <v>_</v>
      </c>
      <c r="BB141" s="300" t="str">
        <f>_xlfn.IFNA(VLOOKUP($AI141,Programma!$F$3:$Y$1107,20,0),"")</f>
        <v>_</v>
      </c>
      <c r="BC141" s="257"/>
      <c r="BD141" s="256" t="str">
        <f>IF(Ruimtestaat[[#This Row],[Frequentie weekend]]="","",_xlfn.CONCAT(Ruimtestaat[[#This Row],[Ruimte code]],"-",Ruimtestaat[[#This Row],[Frequentie weekend]]," ",Ruimtestaat[[#This Row],[Vloer code]]))</f>
        <v/>
      </c>
      <c r="BE141" s="300" t="str">
        <f>_xlfn.IFNA(VLOOKUP($BD141,Programma!$F$3:$G$1107,2,0),"")</f>
        <v/>
      </c>
      <c r="BF141" s="300" t="str">
        <f>_xlfn.IFNA(VLOOKUP($BD141,Programma!$F$3:$H$1107,3,0),"")</f>
        <v/>
      </c>
      <c r="BG141" s="300" t="str">
        <f>_xlfn.IFNA(VLOOKUP($BD141,Programma!$F$3:$I$1107,4,0),"")</f>
        <v/>
      </c>
      <c r="BH141" s="300" t="str">
        <f>_xlfn.IFNA(VLOOKUP($BD141,Programma!$F$3:$J$1107,5,0),"")</f>
        <v/>
      </c>
      <c r="BI141" s="300" t="str">
        <f>_xlfn.IFNA(VLOOKUP($BD141,Programma!$F$3:$K$1107,6,0),"")</f>
        <v/>
      </c>
      <c r="BJ141" s="300" t="str">
        <f>_xlfn.IFNA(VLOOKUP($BD141,Programma!$F$3:$L$1107,7,0),"")</f>
        <v/>
      </c>
      <c r="BK141" s="300" t="str">
        <f>_xlfn.IFNA(VLOOKUP($BD141,Programma!$F$3:$M$1107,8,0),"")</f>
        <v/>
      </c>
      <c r="BL141" s="300" t="str">
        <f>_xlfn.IFNA(VLOOKUP($BD141,Programma!$F$3:$N$1107,9,0),"")</f>
        <v/>
      </c>
      <c r="BM141" s="300" t="str">
        <f>_xlfn.IFNA(VLOOKUP($BD141,Programma!$F$3:$O$1107,10,0),"")</f>
        <v/>
      </c>
      <c r="BN141" s="300" t="str">
        <f>_xlfn.IFNA(VLOOKUP($BD141,Programma!$F$3:$P$1107,11,0),"")</f>
        <v/>
      </c>
      <c r="BO141" s="300" t="str">
        <f>_xlfn.IFNA(VLOOKUP($BD141,Programma!$F$3:$Q$1107,12,0),"")</f>
        <v/>
      </c>
      <c r="BP141" s="300" t="str">
        <f>_xlfn.IFNA(VLOOKUP($BD141,Programma!$F$3:$R$1107,13,0),"")</f>
        <v/>
      </c>
      <c r="BQ141" s="300" t="str">
        <f>_xlfn.IFNA(VLOOKUP($BD141,Programma!$F$3:$S$1107,14,0),"")</f>
        <v/>
      </c>
      <c r="BR141" s="300" t="str">
        <f>_xlfn.IFNA(VLOOKUP($BD141,Programma!$F$3:$T$1107,15,0),"")</f>
        <v/>
      </c>
      <c r="BS141" s="300" t="str">
        <f>_xlfn.IFNA(VLOOKUP($BD141,Programma!$F$3:$U$1107,16,0),"")</f>
        <v/>
      </c>
      <c r="BT141" s="300" t="str">
        <f>_xlfn.IFNA(VLOOKUP($BD141,Programma!$F$3:$V$1107,17,0),"")</f>
        <v/>
      </c>
      <c r="BU141" s="300" t="str">
        <f>_xlfn.IFNA(VLOOKUP($BD141,Programma!$F$3:$W$1107,18,0),"")</f>
        <v/>
      </c>
      <c r="BV141" s="300" t="str">
        <f>_xlfn.IFNA(VLOOKUP($BD141,Programma!$F$3:$X$1107,19,0),"")</f>
        <v/>
      </c>
      <c r="BW141" s="300" t="str">
        <f>_xlfn.IFNA(VLOOKUP($BD141,Programma!$F$3:$Y$1107,20,0),"")</f>
        <v/>
      </c>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row>
    <row r="142" spans="1:220" ht="15" customHeight="1">
      <c r="A142" s="21">
        <v>3</v>
      </c>
      <c r="B142" s="157" t="str">
        <f>VLOOKUP(Ruimtestaat[[#This Row],[Code]],Locaties[[Code]:[Locatie]],2,FALSE)</f>
        <v>'s Gravendreef College - Dependance</v>
      </c>
      <c r="C142" s="157" t="str">
        <f>VLOOKUP(Ruimtestaat[[#This Row],[Code]],Locaties[[#All],[Code]:[Adres]],4,FALSE)</f>
        <v>Henri Faasdreef 200</v>
      </c>
      <c r="D142" s="157" t="str">
        <f>VLOOKUP(Ruimtestaat[[#This Row],[Code]],Locaties[[#All],[Code]:[Postcode]],5,FALSE)</f>
        <v>2492 JP</v>
      </c>
      <c r="E142" s="157" t="str">
        <f>VLOOKUP(Ruimtestaat[[#This Row],[Code]],Locaties[#All],6,FALSE)</f>
        <v>Den Haag</v>
      </c>
      <c r="F142" s="33" t="s">
        <v>1801</v>
      </c>
      <c r="G142" s="33" t="s">
        <v>1749</v>
      </c>
      <c r="H142" s="21" t="s">
        <v>1824</v>
      </c>
      <c r="I142" s="62" t="s">
        <v>1816</v>
      </c>
      <c r="J142" s="21">
        <v>8</v>
      </c>
      <c r="K142" s="62" t="str">
        <f>VLOOKUP(Ruimtestaat[[#This Row],[Ruimte code]],Ruimtegroepen[[#All],[Code]:[Ruimte omschrijving]],2,FALSE)</f>
        <v>Mediatheek / OLC</v>
      </c>
      <c r="L142" s="33" t="s">
        <v>101</v>
      </c>
      <c r="M142" s="367" t="s">
        <v>2495</v>
      </c>
      <c r="N142" s="140">
        <v>75.87</v>
      </c>
      <c r="O142" s="140"/>
      <c r="P142" s="125" t="str">
        <f>VLOOKUP(Ruimtestaat[[#This Row],[Ruimte code]],Ruimtegroepen[],4,FALSE)</f>
        <v>Le</v>
      </c>
      <c r="R142" s="33">
        <v>40</v>
      </c>
      <c r="S142" s="33" t="s">
        <v>2</v>
      </c>
      <c r="T142" s="33">
        <f>IF(R142&gt;0,IF(RIGHT(Ruimtestaat[[#This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2" s="33">
        <f>IF(T142&gt;0,VLOOKUP($J142,Ruimtegroepen[],3,FALSE)*VLOOKUP($L142,Vloersoorten[],3,FALSE)*VLOOKUP($S142,Frequenties[],3,FALSE)*VLOOKUP($A142,Locaties[],3,FALSE),0)</f>
        <v>0</v>
      </c>
      <c r="V142" s="33">
        <f>Ruimtestaat[[#This Row],[Uitvoeringen werkdagen]]*Ruimtestaat[[#This Row],[Oppervlak (netto)]]</f>
        <v>15174</v>
      </c>
      <c r="W142" s="154">
        <f>IF(U142&gt;0,Ruimtestaat[[#This Row],[Prest. (m2 /jaar) werkdagen]]/Ruimtestaat[[#This Row],[Norm (m2/uur) werkdagen]],0)</f>
        <v>0</v>
      </c>
      <c r="X142" s="155">
        <f>Ruimtestaat[[#This Row],[uren / jaar werkdagen]]*Tariefsopbouw!$E$35</f>
        <v>0</v>
      </c>
      <c r="Y142" s="33"/>
      <c r="Z142" s="33">
        <f>IF(Ruimtestaat[[#This Row],[Frequentie weekend]]&gt;0,VALUE(LEFT(Y142,1))*R142,0)</f>
        <v>0</v>
      </c>
      <c r="AA142" s="97">
        <f>IF($Z142&gt;0,VLOOKUP($J142,Ruimtegroepen[],3,FALSE)*VLOOKUP($L142,Vloersoorten[],3,FALSE)*VLOOKUP($Y142,Frequenties[],3,FALSE)*VLOOKUP(Ruimtestaat[[#This Row],[Code]],Locaties[],3,FALSE),0)</f>
        <v>0</v>
      </c>
      <c r="AB142" s="97">
        <f>Ruimtestaat[[#This Row],[Uitvoeringen weekend]]*Ruimtestaat[[#This Row],[Oppervlak (netto)]]</f>
        <v>0</v>
      </c>
      <c r="AC142" s="97">
        <f>IF(AA142&gt;0,Ruimtestaat[[#This Row],[Prest. (m2 /jaar) weekend]]/Ruimtestaat[[#This Row],[Norm (m2/uur) weekend]],0)</f>
        <v>0</v>
      </c>
      <c r="AD142" s="155">
        <f>Ruimtestaat[[#This Row],[uren / jaar weekend]]*Tariefsopbouw!$D$40</f>
        <v>0</v>
      </c>
      <c r="AE142" s="154">
        <f>Ruimtestaat[[#This Row],[Prest. (m2 /jaar) weekend]]+Ruimtestaat[[#This Row],[Prest. (m2 /jaar) werkdagen]]</f>
        <v>15174</v>
      </c>
      <c r="AF142" s="154">
        <f>Ruimtestaat[[#This Row],[uren / jaar weekend]]+Ruimtestaat[[#This Row],[uren / jaar werkdagen]]</f>
        <v>0</v>
      </c>
      <c r="AG142" s="69">
        <f>Ruimtestaat[[#This Row],[kosten / jaar weekend]]+Ruimtestaat[[#This Row],[kosten / jaar werkdagen]]</f>
        <v>0</v>
      </c>
      <c r="AH142" s="69"/>
      <c r="AI142" s="256" t="str">
        <f>IF(Ruimtestaat[[#This Row],[Frequentie werkdagen]]="","",_xlfn.CONCAT(Ruimtestaat[[#This Row],[Ruimte code]],"-",Ruimtestaat[[#This Row],[Frequentie werkdagen]]," ",Ruimtestaat[[#This Row],[Vloer code]]))</f>
        <v>8-5w L</v>
      </c>
      <c r="AJ142" s="300" t="str">
        <f>_xlfn.IFNA(VLOOKUP($AI142,Programma!$F$3:$G$1107,2,0),"")</f>
        <v>_</v>
      </c>
      <c r="AK142" s="300" t="str">
        <f>_xlfn.IFNA(VLOOKUP($AI142,Programma!$F$3:$H$1107,3,0),"")</f>
        <v>_</v>
      </c>
      <c r="AL142" s="300" t="str">
        <f>_xlfn.IFNA(VLOOKUP($AI142,Programma!$F$3:$I$1107,4,0),"")</f>
        <v>4w</v>
      </c>
      <c r="AM142" s="300" t="str">
        <f>_xlfn.IFNA(VLOOKUP($AI142,Programma!$F$3:$J$1107,5,0),"")</f>
        <v>1w</v>
      </c>
      <c r="AN142" s="300" t="str">
        <f>_xlfn.IFNA(VLOOKUP($AI142,Programma!$F$3:$K$1107,6,0),"")</f>
        <v>_</v>
      </c>
      <c r="AO142" s="300" t="str">
        <f>_xlfn.IFNA(VLOOKUP($AI142,Programma!$F$3:$L$1107,7,0),"")</f>
        <v>_</v>
      </c>
      <c r="AP142" s="300" t="str">
        <f>_xlfn.IFNA(VLOOKUP($AI142,Programma!$F$3:$M$1107,8,0),"")</f>
        <v>_</v>
      </c>
      <c r="AQ142" s="300" t="str">
        <f>_xlfn.IFNA(VLOOKUP($AI142,Programma!$F$3:$N$1107,9,0),"")</f>
        <v>_</v>
      </c>
      <c r="AR142" s="300" t="str">
        <f>_xlfn.IFNA(VLOOKUP($AI142,Programma!$F$3:$O$1107,10,0),"")</f>
        <v>5w</v>
      </c>
      <c r="AS142" s="300" t="str">
        <f>_xlfn.IFNA(VLOOKUP($AI142,Programma!$F$3:$P$1107,11,0),"")</f>
        <v>5w</v>
      </c>
      <c r="AT142" s="300" t="str">
        <f>_xlfn.IFNA(VLOOKUP($AI142,Programma!$F$3:$Q$1107,12,0),"")</f>
        <v>1w</v>
      </c>
      <c r="AU142" s="300" t="str">
        <f>_xlfn.IFNA(VLOOKUP($AI142,Programma!$F$3:$R$1107,13,0),"")</f>
        <v>1w</v>
      </c>
      <c r="AV142" s="300" t="str">
        <f>_xlfn.IFNA(VLOOKUP($AI142,Programma!$F$3:$S$1107,14,0),"")</f>
        <v>1m</v>
      </c>
      <c r="AW142" s="300" t="str">
        <f>_xlfn.IFNA(VLOOKUP($AI142,Programma!$F$3:$T$1107,15,0),"")</f>
        <v>2j</v>
      </c>
      <c r="AX142" s="300" t="str">
        <f>_xlfn.IFNA(VLOOKUP($AI142,Programma!$F$3:$U$1107,16,0),"")</f>
        <v>1j</v>
      </c>
      <c r="AY142" s="300" t="str">
        <f>_xlfn.IFNA(VLOOKUP($AI142,Programma!$F$3:$V$1107,17,0),"")</f>
        <v>_</v>
      </c>
      <c r="AZ142" s="300" t="str">
        <f>_xlfn.IFNA(VLOOKUP($AI142,Programma!$F$3:$W$1107,18,0),"")</f>
        <v>_</v>
      </c>
      <c r="BA142" s="300" t="str">
        <f>_xlfn.IFNA(VLOOKUP($AI142,Programma!$F$3:$X$1107,19,0),"")</f>
        <v>_</v>
      </c>
      <c r="BB142" s="300" t="str">
        <f>_xlfn.IFNA(VLOOKUP($AI142,Programma!$F$3:$Y$1107,20,0),"")</f>
        <v>_</v>
      </c>
      <c r="BC142" s="257"/>
      <c r="BD142" s="256" t="str">
        <f>IF(Ruimtestaat[[#This Row],[Frequentie weekend]]="","",_xlfn.CONCAT(Ruimtestaat[[#This Row],[Ruimte code]],"-",Ruimtestaat[[#This Row],[Frequentie weekend]]," ",Ruimtestaat[[#This Row],[Vloer code]]))</f>
        <v/>
      </c>
      <c r="BE142" s="300" t="str">
        <f>_xlfn.IFNA(VLOOKUP($BD142,Programma!$F$3:$G$1107,2,0),"")</f>
        <v/>
      </c>
      <c r="BF142" s="300" t="str">
        <f>_xlfn.IFNA(VLOOKUP($BD142,Programma!$F$3:$H$1107,3,0),"")</f>
        <v/>
      </c>
      <c r="BG142" s="300" t="str">
        <f>_xlfn.IFNA(VLOOKUP($BD142,Programma!$F$3:$I$1107,4,0),"")</f>
        <v/>
      </c>
      <c r="BH142" s="300" t="str">
        <f>_xlfn.IFNA(VLOOKUP($BD142,Programma!$F$3:$J$1107,5,0),"")</f>
        <v/>
      </c>
      <c r="BI142" s="300" t="str">
        <f>_xlfn.IFNA(VLOOKUP($BD142,Programma!$F$3:$K$1107,6,0),"")</f>
        <v/>
      </c>
      <c r="BJ142" s="300" t="str">
        <f>_xlfn.IFNA(VLOOKUP($BD142,Programma!$F$3:$L$1107,7,0),"")</f>
        <v/>
      </c>
      <c r="BK142" s="300" t="str">
        <f>_xlfn.IFNA(VLOOKUP($BD142,Programma!$F$3:$M$1107,8,0),"")</f>
        <v/>
      </c>
      <c r="BL142" s="300" t="str">
        <f>_xlfn.IFNA(VLOOKUP($BD142,Programma!$F$3:$N$1107,9,0),"")</f>
        <v/>
      </c>
      <c r="BM142" s="300" t="str">
        <f>_xlfn.IFNA(VLOOKUP($BD142,Programma!$F$3:$O$1107,10,0),"")</f>
        <v/>
      </c>
      <c r="BN142" s="300" t="str">
        <f>_xlfn.IFNA(VLOOKUP($BD142,Programma!$F$3:$P$1107,11,0),"")</f>
        <v/>
      </c>
      <c r="BO142" s="300" t="str">
        <f>_xlfn.IFNA(VLOOKUP($BD142,Programma!$F$3:$Q$1107,12,0),"")</f>
        <v/>
      </c>
      <c r="BP142" s="300" t="str">
        <f>_xlfn.IFNA(VLOOKUP($BD142,Programma!$F$3:$R$1107,13,0),"")</f>
        <v/>
      </c>
      <c r="BQ142" s="300" t="str">
        <f>_xlfn.IFNA(VLOOKUP($BD142,Programma!$F$3:$S$1107,14,0),"")</f>
        <v/>
      </c>
      <c r="BR142" s="300" t="str">
        <f>_xlfn.IFNA(VLOOKUP($BD142,Programma!$F$3:$T$1107,15,0),"")</f>
        <v/>
      </c>
      <c r="BS142" s="300" t="str">
        <f>_xlfn.IFNA(VLOOKUP($BD142,Programma!$F$3:$U$1107,16,0),"")</f>
        <v/>
      </c>
      <c r="BT142" s="300" t="str">
        <f>_xlfn.IFNA(VLOOKUP($BD142,Programma!$F$3:$V$1107,17,0),"")</f>
        <v/>
      </c>
      <c r="BU142" s="300" t="str">
        <f>_xlfn.IFNA(VLOOKUP($BD142,Programma!$F$3:$W$1107,18,0),"")</f>
        <v/>
      </c>
      <c r="BV142" s="300" t="str">
        <f>_xlfn.IFNA(VLOOKUP($BD142,Programma!$F$3:$X$1107,19,0),"")</f>
        <v/>
      </c>
      <c r="BW142" s="300" t="str">
        <f>_xlfn.IFNA(VLOOKUP($BD142,Programma!$F$3:$Y$1107,20,0),"")</f>
        <v/>
      </c>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row>
    <row r="143" spans="1:220" ht="15" customHeight="1">
      <c r="A143" s="21">
        <v>3</v>
      </c>
      <c r="B143" s="157" t="str">
        <f>VLOOKUP(Ruimtestaat[[#This Row],[Code]],Locaties[[Code]:[Locatie]],2,FALSE)</f>
        <v>'s Gravendreef College - Dependance</v>
      </c>
      <c r="C143" s="157" t="str">
        <f>VLOOKUP(Ruimtestaat[[#This Row],[Code]],Locaties[[#All],[Code]:[Adres]],4,FALSE)</f>
        <v>Henri Faasdreef 200</v>
      </c>
      <c r="D143" s="157" t="str">
        <f>VLOOKUP(Ruimtestaat[[#This Row],[Code]],Locaties[[#All],[Code]:[Postcode]],5,FALSE)</f>
        <v>2492 JP</v>
      </c>
      <c r="E143" s="157" t="str">
        <f>VLOOKUP(Ruimtestaat[[#This Row],[Code]],Locaties[#All],6,FALSE)</f>
        <v>Den Haag</v>
      </c>
      <c r="F143" s="33" t="s">
        <v>1801</v>
      </c>
      <c r="G143" s="33" t="s">
        <v>1749</v>
      </c>
      <c r="H143" s="21" t="s">
        <v>1825</v>
      </c>
      <c r="I143" s="62" t="s">
        <v>1826</v>
      </c>
      <c r="J143" s="21">
        <v>7</v>
      </c>
      <c r="K143" s="62" t="str">
        <f>VLOOKUP(Ruimtestaat[[#This Row],[Ruimte code]],Ruimtegroepen[[#All],[Code]:[Ruimte omschrijving]],2,FALSE)</f>
        <v>Entree</v>
      </c>
      <c r="L143" s="33" t="s">
        <v>2503</v>
      </c>
      <c r="M143" s="367" t="s">
        <v>2500</v>
      </c>
      <c r="N143" s="140">
        <v>8</v>
      </c>
      <c r="O143" s="140"/>
      <c r="P143" s="125" t="str">
        <f>VLOOKUP(Ruimtestaat[[#This Row],[Ruimte code]],Ruimtegroepen[],4,FALSE)</f>
        <v>Ve</v>
      </c>
      <c r="R143" s="33">
        <v>40</v>
      </c>
      <c r="S143" s="33" t="s">
        <v>2</v>
      </c>
      <c r="T143" s="33">
        <f>IF(R143&gt;0,IF(RIGHT(Ruimtestaat[[#This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3" s="33">
        <f>IF(T143&gt;0,VLOOKUP($J143,Ruimtegroepen[],3,FALSE)*VLOOKUP($L143,Vloersoorten[],3,FALSE)*VLOOKUP($S143,Frequenties[],3,FALSE)*VLOOKUP($A143,Locaties[],3,FALSE),0)</f>
        <v>0</v>
      </c>
      <c r="V143" s="33">
        <f>Ruimtestaat[[#This Row],[Uitvoeringen werkdagen]]*Ruimtestaat[[#This Row],[Oppervlak (netto)]]</f>
        <v>1600</v>
      </c>
      <c r="W143" s="154">
        <f>IF(U143&gt;0,Ruimtestaat[[#This Row],[Prest. (m2 /jaar) werkdagen]]/Ruimtestaat[[#This Row],[Norm (m2/uur) werkdagen]],0)</f>
        <v>0</v>
      </c>
      <c r="X143" s="155">
        <f>Ruimtestaat[[#This Row],[uren / jaar werkdagen]]*Tariefsopbouw!$E$35</f>
        <v>0</v>
      </c>
      <c r="Y143" s="33"/>
      <c r="Z143" s="33">
        <f>IF(Ruimtestaat[[#This Row],[Frequentie weekend]]&gt;0,VALUE(LEFT(Y143,1))*R143,0)</f>
        <v>0</v>
      </c>
      <c r="AA143" s="97">
        <f>IF($Z143&gt;0,VLOOKUP($J143,Ruimtegroepen[],3,FALSE)*VLOOKUP($L143,Vloersoorten[],3,FALSE)*VLOOKUP($Y143,Frequenties[],3,FALSE)*VLOOKUP(Ruimtestaat[[#This Row],[Code]],Locaties[],3,FALSE),0)</f>
        <v>0</v>
      </c>
      <c r="AB143" s="97">
        <f>Ruimtestaat[[#This Row],[Uitvoeringen weekend]]*Ruimtestaat[[#This Row],[Oppervlak (netto)]]</f>
        <v>0</v>
      </c>
      <c r="AC143" s="97">
        <f>IF(AA143&gt;0,Ruimtestaat[[#This Row],[Prest. (m2 /jaar) weekend]]/Ruimtestaat[[#This Row],[Norm (m2/uur) weekend]],0)</f>
        <v>0</v>
      </c>
      <c r="AD143" s="155">
        <f>Ruimtestaat[[#This Row],[uren / jaar weekend]]*Tariefsopbouw!$D$40</f>
        <v>0</v>
      </c>
      <c r="AE143" s="154">
        <f>Ruimtestaat[[#This Row],[Prest. (m2 /jaar) weekend]]+Ruimtestaat[[#This Row],[Prest. (m2 /jaar) werkdagen]]</f>
        <v>1600</v>
      </c>
      <c r="AF143" s="154">
        <f>Ruimtestaat[[#This Row],[uren / jaar weekend]]+Ruimtestaat[[#This Row],[uren / jaar werkdagen]]</f>
        <v>0</v>
      </c>
      <c r="AG143" s="69">
        <f>Ruimtestaat[[#This Row],[kosten / jaar weekend]]+Ruimtestaat[[#This Row],[kosten / jaar werkdagen]]</f>
        <v>0</v>
      </c>
      <c r="AH143" s="69"/>
      <c r="AI143" s="256" t="str">
        <f>IF(Ruimtestaat[[#This Row],[Frequentie werkdagen]]="","",_xlfn.CONCAT(Ruimtestaat[[#This Row],[Ruimte code]],"-",Ruimtestaat[[#This Row],[Frequentie werkdagen]]," ",Ruimtestaat[[#This Row],[Vloer code]]))</f>
        <v>7-5w t</v>
      </c>
      <c r="AJ143" s="300" t="str">
        <f>_xlfn.IFNA(VLOOKUP($AI143,Programma!$F$3:$G$1107,2,0),"")</f>
        <v>_</v>
      </c>
      <c r="AK143" s="300" t="str">
        <f>_xlfn.IFNA(VLOOKUP($AI143,Programma!$F$3:$H$1107,3,0),"")</f>
        <v>5w</v>
      </c>
      <c r="AL143" s="300" t="str">
        <f>_xlfn.IFNA(VLOOKUP($AI143,Programma!$F$3:$I$1107,4,0),"")</f>
        <v>_</v>
      </c>
      <c r="AM143" s="300" t="str">
        <f>_xlfn.IFNA(VLOOKUP($AI143,Programma!$F$3:$J$1107,5,0),"")</f>
        <v>_</v>
      </c>
      <c r="AN143" s="300" t="str">
        <f>_xlfn.IFNA(VLOOKUP($AI143,Programma!$F$3:$K$1107,6,0),"")</f>
        <v>_</v>
      </c>
      <c r="AO143" s="300" t="str">
        <f>_xlfn.IFNA(VLOOKUP($AI143,Programma!$F$3:$L$1107,7,0),"")</f>
        <v>_</v>
      </c>
      <c r="AP143" s="300" t="str">
        <f>_xlfn.IFNA(VLOOKUP($AI143,Programma!$F$3:$M$1107,8,0),"")</f>
        <v>_</v>
      </c>
      <c r="AQ143" s="300" t="str">
        <f>_xlfn.IFNA(VLOOKUP($AI143,Programma!$F$3:$N$1107,9,0),"")</f>
        <v>_</v>
      </c>
      <c r="AR143" s="300" t="str">
        <f>_xlfn.IFNA(VLOOKUP($AI143,Programma!$F$3:$O$1107,10,0),"")</f>
        <v>5w</v>
      </c>
      <c r="AS143" s="300" t="str">
        <f>_xlfn.IFNA(VLOOKUP($AI143,Programma!$F$3:$P$1107,11,0),"")</f>
        <v>5w</v>
      </c>
      <c r="AT143" s="300" t="str">
        <f>_xlfn.IFNA(VLOOKUP($AI143,Programma!$F$3:$Q$1107,12,0),"")</f>
        <v>1w</v>
      </c>
      <c r="AU143" s="300" t="str">
        <f>_xlfn.IFNA(VLOOKUP($AI143,Programma!$F$3:$R$1107,13,0),"")</f>
        <v>1w</v>
      </c>
      <c r="AV143" s="300" t="str">
        <f>_xlfn.IFNA(VLOOKUP($AI143,Programma!$F$3:$S$1107,14,0),"")</f>
        <v>1m</v>
      </c>
      <c r="AW143" s="300" t="str">
        <f>_xlfn.IFNA(VLOOKUP($AI143,Programma!$F$3:$T$1107,15,0),"")</f>
        <v>2j</v>
      </c>
      <c r="AX143" s="300" t="str">
        <f>_xlfn.IFNA(VLOOKUP($AI143,Programma!$F$3:$U$1107,16,0),"")</f>
        <v>1j</v>
      </c>
      <c r="AY143" s="300" t="str">
        <f>_xlfn.IFNA(VLOOKUP($AI143,Programma!$F$3:$V$1107,17,0),"")</f>
        <v>_</v>
      </c>
      <c r="AZ143" s="300" t="str">
        <f>_xlfn.IFNA(VLOOKUP($AI143,Programma!$F$3:$W$1107,18,0),"")</f>
        <v>_</v>
      </c>
      <c r="BA143" s="300" t="str">
        <f>_xlfn.IFNA(VLOOKUP($AI143,Programma!$F$3:$X$1107,19,0),"")</f>
        <v>_</v>
      </c>
      <c r="BB143" s="300" t="str">
        <f>_xlfn.IFNA(VLOOKUP($AI143,Programma!$F$3:$Y$1107,20,0),"")</f>
        <v>_</v>
      </c>
      <c r="BC143" s="257"/>
      <c r="BD143" s="256" t="str">
        <f>IF(Ruimtestaat[[#This Row],[Frequentie weekend]]="","",_xlfn.CONCAT(Ruimtestaat[[#This Row],[Ruimte code]],"-",Ruimtestaat[[#This Row],[Frequentie weekend]]," ",Ruimtestaat[[#This Row],[Vloer code]]))</f>
        <v/>
      </c>
      <c r="BE143" s="300" t="str">
        <f>_xlfn.IFNA(VLOOKUP($BD143,Programma!$F$3:$G$1107,2,0),"")</f>
        <v/>
      </c>
      <c r="BF143" s="300" t="str">
        <f>_xlfn.IFNA(VLOOKUP($BD143,Programma!$F$3:$H$1107,3,0),"")</f>
        <v/>
      </c>
      <c r="BG143" s="300" t="str">
        <f>_xlfn.IFNA(VLOOKUP($BD143,Programma!$F$3:$I$1107,4,0),"")</f>
        <v/>
      </c>
      <c r="BH143" s="300" t="str">
        <f>_xlfn.IFNA(VLOOKUP($BD143,Programma!$F$3:$J$1107,5,0),"")</f>
        <v/>
      </c>
      <c r="BI143" s="300" t="str">
        <f>_xlfn.IFNA(VLOOKUP($BD143,Programma!$F$3:$K$1107,6,0),"")</f>
        <v/>
      </c>
      <c r="BJ143" s="300" t="str">
        <f>_xlfn.IFNA(VLOOKUP($BD143,Programma!$F$3:$L$1107,7,0),"")</f>
        <v/>
      </c>
      <c r="BK143" s="300" t="str">
        <f>_xlfn.IFNA(VLOOKUP($BD143,Programma!$F$3:$M$1107,8,0),"")</f>
        <v/>
      </c>
      <c r="BL143" s="300" t="str">
        <f>_xlfn.IFNA(VLOOKUP($BD143,Programma!$F$3:$N$1107,9,0),"")</f>
        <v/>
      </c>
      <c r="BM143" s="300" t="str">
        <f>_xlfn.IFNA(VLOOKUP($BD143,Programma!$F$3:$O$1107,10,0),"")</f>
        <v/>
      </c>
      <c r="BN143" s="300" t="str">
        <f>_xlfn.IFNA(VLOOKUP($BD143,Programma!$F$3:$P$1107,11,0),"")</f>
        <v/>
      </c>
      <c r="BO143" s="300" t="str">
        <f>_xlfn.IFNA(VLOOKUP($BD143,Programma!$F$3:$Q$1107,12,0),"")</f>
        <v/>
      </c>
      <c r="BP143" s="300" t="str">
        <f>_xlfn.IFNA(VLOOKUP($BD143,Programma!$F$3:$R$1107,13,0),"")</f>
        <v/>
      </c>
      <c r="BQ143" s="300" t="str">
        <f>_xlfn.IFNA(VLOOKUP($BD143,Programma!$F$3:$S$1107,14,0),"")</f>
        <v/>
      </c>
      <c r="BR143" s="300" t="str">
        <f>_xlfn.IFNA(VLOOKUP($BD143,Programma!$F$3:$T$1107,15,0),"")</f>
        <v/>
      </c>
      <c r="BS143" s="300" t="str">
        <f>_xlfn.IFNA(VLOOKUP($BD143,Programma!$F$3:$U$1107,16,0),"")</f>
        <v/>
      </c>
      <c r="BT143" s="300" t="str">
        <f>_xlfn.IFNA(VLOOKUP($BD143,Programma!$F$3:$V$1107,17,0),"")</f>
        <v/>
      </c>
      <c r="BU143" s="300" t="str">
        <f>_xlfn.IFNA(VLOOKUP($BD143,Programma!$F$3:$W$1107,18,0),"")</f>
        <v/>
      </c>
      <c r="BV143" s="300" t="str">
        <f>_xlfn.IFNA(VLOOKUP($BD143,Programma!$F$3:$X$1107,19,0),"")</f>
        <v/>
      </c>
      <c r="BW143" s="300" t="str">
        <f>_xlfn.IFNA(VLOOKUP($BD143,Programma!$F$3:$Y$1107,20,0),"")</f>
        <v/>
      </c>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row>
    <row r="144" spans="1:220" ht="15" customHeight="1">
      <c r="A144" s="21">
        <v>3</v>
      </c>
      <c r="B144" s="157" t="str">
        <f>VLOOKUP(Ruimtestaat[[#This Row],[Code]],Locaties[[Code]:[Locatie]],2,FALSE)</f>
        <v>'s Gravendreef College - Dependance</v>
      </c>
      <c r="C144" s="157" t="str">
        <f>VLOOKUP(Ruimtestaat[[#This Row],[Code]],Locaties[[#All],[Code]:[Adres]],4,FALSE)</f>
        <v>Henri Faasdreef 200</v>
      </c>
      <c r="D144" s="157" t="str">
        <f>VLOOKUP(Ruimtestaat[[#This Row],[Code]],Locaties[[#All],[Code]:[Postcode]],5,FALSE)</f>
        <v>2492 JP</v>
      </c>
      <c r="E144" s="157" t="str">
        <f>VLOOKUP(Ruimtestaat[[#This Row],[Code]],Locaties[#All],6,FALSE)</f>
        <v>Den Haag</v>
      </c>
      <c r="F144" s="33" t="s">
        <v>1801</v>
      </c>
      <c r="G144" s="33" t="s">
        <v>1749</v>
      </c>
      <c r="H144" s="21" t="s">
        <v>1827</v>
      </c>
      <c r="I144" s="62" t="s">
        <v>1828</v>
      </c>
      <c r="J144" s="21">
        <v>5</v>
      </c>
      <c r="K144" s="62" t="str">
        <f>VLOOKUP(Ruimtestaat[[#This Row],[Ruimte code]],Ruimtegroepen[[#All],[Code]:[Ruimte omschrijving]],2,FALSE)</f>
        <v>Sanitair</v>
      </c>
      <c r="L144" s="33" t="s">
        <v>102</v>
      </c>
      <c r="M144" s="367" t="s">
        <v>2502</v>
      </c>
      <c r="N144" s="140">
        <v>5.95</v>
      </c>
      <c r="O144" s="140"/>
      <c r="P144" s="125" t="str">
        <f>VLOOKUP(Ruimtestaat[[#This Row],[Ruimte code]],Ruimtegroepen[],4,FALSE)</f>
        <v>Sa</v>
      </c>
      <c r="R144" s="33">
        <v>40</v>
      </c>
      <c r="S144" s="33" t="s">
        <v>2</v>
      </c>
      <c r="T144" s="33">
        <f>IF(R144&gt;0,IF(RIGHT(Ruimtestaat[[#This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4" s="33">
        <f>IF(T144&gt;0,VLOOKUP($J144,Ruimtegroepen[],3,FALSE)*VLOOKUP($L144,Vloersoorten[],3,FALSE)*VLOOKUP($S144,Frequenties[],3,FALSE)*VLOOKUP($A144,Locaties[],3,FALSE),0)</f>
        <v>0</v>
      </c>
      <c r="V144" s="33">
        <f>Ruimtestaat[[#This Row],[Uitvoeringen werkdagen]]*Ruimtestaat[[#This Row],[Oppervlak (netto)]]</f>
        <v>1190</v>
      </c>
      <c r="W144" s="154">
        <f>IF(U144&gt;0,Ruimtestaat[[#This Row],[Prest. (m2 /jaar) werkdagen]]/Ruimtestaat[[#This Row],[Norm (m2/uur) werkdagen]],0)</f>
        <v>0</v>
      </c>
      <c r="X144" s="155">
        <f>Ruimtestaat[[#This Row],[uren / jaar werkdagen]]*Tariefsopbouw!$E$35</f>
        <v>0</v>
      </c>
      <c r="Y144" s="33"/>
      <c r="Z144" s="33">
        <f>IF(Ruimtestaat[[#This Row],[Frequentie weekend]]&gt;0,VALUE(LEFT(Y144,1))*R144,0)</f>
        <v>0</v>
      </c>
      <c r="AA144" s="97">
        <f>IF($Z144&gt;0,VLOOKUP($J144,Ruimtegroepen[],3,FALSE)*VLOOKUP($L144,Vloersoorten[],3,FALSE)*VLOOKUP($Y144,Frequenties[],3,FALSE)*VLOOKUP(Ruimtestaat[[#This Row],[Code]],Locaties[],3,FALSE),0)</f>
        <v>0</v>
      </c>
      <c r="AB144" s="97">
        <f>Ruimtestaat[[#This Row],[Uitvoeringen weekend]]*Ruimtestaat[[#This Row],[Oppervlak (netto)]]</f>
        <v>0</v>
      </c>
      <c r="AC144" s="97">
        <f>IF(AA144&gt;0,Ruimtestaat[[#This Row],[Prest. (m2 /jaar) weekend]]/Ruimtestaat[[#This Row],[Norm (m2/uur) weekend]],0)</f>
        <v>0</v>
      </c>
      <c r="AD144" s="155">
        <f>Ruimtestaat[[#This Row],[uren / jaar weekend]]*Tariefsopbouw!$D$40</f>
        <v>0</v>
      </c>
      <c r="AE144" s="154">
        <f>Ruimtestaat[[#This Row],[Prest. (m2 /jaar) weekend]]+Ruimtestaat[[#This Row],[Prest. (m2 /jaar) werkdagen]]</f>
        <v>1190</v>
      </c>
      <c r="AF144" s="154">
        <f>Ruimtestaat[[#This Row],[uren / jaar weekend]]+Ruimtestaat[[#This Row],[uren / jaar werkdagen]]</f>
        <v>0</v>
      </c>
      <c r="AG144" s="69">
        <f>Ruimtestaat[[#This Row],[kosten / jaar weekend]]+Ruimtestaat[[#This Row],[kosten / jaar werkdagen]]</f>
        <v>0</v>
      </c>
      <c r="AH144" s="69"/>
      <c r="AI144" s="256" t="str">
        <f>IF(Ruimtestaat[[#This Row],[Frequentie werkdagen]]="","",_xlfn.CONCAT(Ruimtestaat[[#This Row],[Ruimte code]],"-",Ruimtestaat[[#This Row],[Frequentie werkdagen]]," ",Ruimtestaat[[#This Row],[Vloer code]]))</f>
        <v>5-5w S</v>
      </c>
      <c r="AJ144" s="363" t="str">
        <f>_xlfn.IFNA(VLOOKUP($AI144,Programma!$F$3:$G$1107,2,0),"")</f>
        <v>_</v>
      </c>
      <c r="AK144" s="363" t="str">
        <f>_xlfn.IFNA(VLOOKUP($AI144,Programma!$F$3:$H$1107,3,0),"")</f>
        <v>_</v>
      </c>
      <c r="AL144" s="363" t="str">
        <f>_xlfn.IFNA(VLOOKUP($AI144,Programma!$F$3:$I$1107,4,0),"")</f>
        <v>_</v>
      </c>
      <c r="AM144" s="363" t="str">
        <f>_xlfn.IFNA(VLOOKUP($AI144,Programma!$F$3:$J$1107,5,0),"")</f>
        <v>4w</v>
      </c>
      <c r="AN144" s="363" t="str">
        <f>_xlfn.IFNA(VLOOKUP($AI144,Programma!$F$3:$K$1107,6,0),"")</f>
        <v>1w</v>
      </c>
      <c r="AO144" s="363" t="str">
        <f>_xlfn.IFNA(VLOOKUP($AI144,Programma!$F$3:$L$1107,7,0),"")</f>
        <v>_</v>
      </c>
      <c r="AP144" s="363" t="str">
        <f>_xlfn.IFNA(VLOOKUP($AI144,Programma!$F$3:$M$1107,8,0),"")</f>
        <v>_</v>
      </c>
      <c r="AQ144" s="363" t="str">
        <f>_xlfn.IFNA(VLOOKUP($AI144,Programma!$F$3:$N$1107,9,0),"")</f>
        <v>_</v>
      </c>
      <c r="AR144" s="363" t="str">
        <f>_xlfn.IFNA(VLOOKUP($AI144,Programma!$F$3:$O$1107,10,0),"")</f>
        <v>_</v>
      </c>
      <c r="AS144" s="363" t="str">
        <f>_xlfn.IFNA(VLOOKUP($AI144,Programma!$F$3:$P$1107,11,0),"")</f>
        <v>_</v>
      </c>
      <c r="AT144" s="363" t="str">
        <f>_xlfn.IFNA(VLOOKUP($AI144,Programma!$F$3:$Q$1107,12,0),"")</f>
        <v>_</v>
      </c>
      <c r="AU144" s="363" t="str">
        <f>_xlfn.IFNA(VLOOKUP($AI144,Programma!$F$3:$R$1107,13,0),"")</f>
        <v>_</v>
      </c>
      <c r="AV144" s="363" t="str">
        <f>_xlfn.IFNA(VLOOKUP($AI144,Programma!$F$3:$S$1107,14,0),"")</f>
        <v>_</v>
      </c>
      <c r="AW144" s="363" t="str">
        <f>_xlfn.IFNA(VLOOKUP($AI144,Programma!$F$3:$T$1107,15,0),"")</f>
        <v>_</v>
      </c>
      <c r="AX144" s="363" t="str">
        <f>_xlfn.IFNA(VLOOKUP($AI144,Programma!$F$3:$U$1107,16,0),"")</f>
        <v>_</v>
      </c>
      <c r="AY144" s="363" t="str">
        <f>_xlfn.IFNA(VLOOKUP($AI144,Programma!$F$3:$V$1107,17,0),"")</f>
        <v>_</v>
      </c>
      <c r="AZ144" s="363" t="str">
        <f>_xlfn.IFNA(VLOOKUP($AI144,Programma!$F$3:$W$1107,18,0),"")</f>
        <v>4w</v>
      </c>
      <c r="BA144" s="363" t="str">
        <f>_xlfn.IFNA(VLOOKUP($AI144,Programma!$F$3:$X$1107,19,0),"")</f>
        <v>1w</v>
      </c>
      <c r="BB144" s="363" t="str">
        <f>_xlfn.IFNA(VLOOKUP($AI144,Programma!$F$3:$Y$1107,20,0),"")</f>
        <v>_</v>
      </c>
      <c r="BC144" s="257"/>
      <c r="BD144" s="256" t="str">
        <f>IF(Ruimtestaat[[#This Row],[Frequentie weekend]]="","",_xlfn.CONCAT(Ruimtestaat[[#This Row],[Ruimte code]],"-",Ruimtestaat[[#This Row],[Frequentie weekend]]," ",Ruimtestaat[[#This Row],[Vloer code]]))</f>
        <v/>
      </c>
      <c r="BE144" s="363" t="str">
        <f>_xlfn.IFNA(VLOOKUP($BD144,Programma!$F$3:$G$1107,2,0),"")</f>
        <v/>
      </c>
      <c r="BF144" s="363" t="str">
        <f>_xlfn.IFNA(VLOOKUP($BD144,Programma!$F$3:$H$1107,3,0),"")</f>
        <v/>
      </c>
      <c r="BG144" s="363" t="str">
        <f>_xlfn.IFNA(VLOOKUP($BD144,Programma!$F$3:$I$1107,4,0),"")</f>
        <v/>
      </c>
      <c r="BH144" s="363" t="str">
        <f>_xlfn.IFNA(VLOOKUP($BD144,Programma!$F$3:$J$1107,5,0),"")</f>
        <v/>
      </c>
      <c r="BI144" s="363" t="str">
        <f>_xlfn.IFNA(VLOOKUP($BD144,Programma!$F$3:$K$1107,6,0),"")</f>
        <v/>
      </c>
      <c r="BJ144" s="363" t="str">
        <f>_xlfn.IFNA(VLOOKUP($BD144,Programma!$F$3:$L$1107,7,0),"")</f>
        <v/>
      </c>
      <c r="BK144" s="363" t="str">
        <f>_xlfn.IFNA(VLOOKUP($BD144,Programma!$F$3:$M$1107,8,0),"")</f>
        <v/>
      </c>
      <c r="BL144" s="363" t="str">
        <f>_xlfn.IFNA(VLOOKUP($BD144,Programma!$F$3:$N$1107,9,0),"")</f>
        <v/>
      </c>
      <c r="BM144" s="363" t="str">
        <f>_xlfn.IFNA(VLOOKUP($BD144,Programma!$F$3:$O$1107,10,0),"")</f>
        <v/>
      </c>
      <c r="BN144" s="363" t="str">
        <f>_xlfn.IFNA(VLOOKUP($BD144,Programma!$F$3:$P$1107,11,0),"")</f>
        <v/>
      </c>
      <c r="BO144" s="363" t="str">
        <f>_xlfn.IFNA(VLOOKUP($BD144,Programma!$F$3:$Q$1107,12,0),"")</f>
        <v/>
      </c>
      <c r="BP144" s="363" t="str">
        <f>_xlfn.IFNA(VLOOKUP($BD144,Programma!$F$3:$R$1107,13,0),"")</f>
        <v/>
      </c>
      <c r="BQ144" s="363" t="str">
        <f>_xlfn.IFNA(VLOOKUP($BD144,Programma!$F$3:$S$1107,14,0),"")</f>
        <v/>
      </c>
      <c r="BR144" s="363" t="str">
        <f>_xlfn.IFNA(VLOOKUP($BD144,Programma!$F$3:$T$1107,15,0),"")</f>
        <v/>
      </c>
      <c r="BS144" s="363" t="str">
        <f>_xlfn.IFNA(VLOOKUP($BD144,Programma!$F$3:$U$1107,16,0),"")</f>
        <v/>
      </c>
      <c r="BT144" s="363" t="str">
        <f>_xlfn.IFNA(VLOOKUP($BD144,Programma!$F$3:$V$1107,17,0),"")</f>
        <v/>
      </c>
      <c r="BU144" s="363" t="str">
        <f>_xlfn.IFNA(VLOOKUP($BD144,Programma!$F$3:$W$1107,18,0),"")</f>
        <v/>
      </c>
      <c r="BV144" s="363" t="str">
        <f>_xlfn.IFNA(VLOOKUP($BD144,Programma!$F$3:$X$1107,19,0),"")</f>
        <v/>
      </c>
      <c r="BW144" s="363" t="str">
        <f>_xlfn.IFNA(VLOOKUP($BD144,Programma!$F$3:$Y$1107,20,0),"")</f>
        <v/>
      </c>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row>
    <row r="145" spans="1:220" ht="15" customHeight="1">
      <c r="A145" s="21">
        <v>3</v>
      </c>
      <c r="B145" s="157" t="str">
        <f>VLOOKUP(Ruimtestaat[[#This Row],[Code]],Locaties[[Code]:[Locatie]],2,FALSE)</f>
        <v>'s Gravendreef College - Dependance</v>
      </c>
      <c r="C145" s="157" t="str">
        <f>VLOOKUP(Ruimtestaat[[#This Row],[Code]],Locaties[[#All],[Code]:[Adres]],4,FALSE)</f>
        <v>Henri Faasdreef 200</v>
      </c>
      <c r="D145" s="157" t="str">
        <f>VLOOKUP(Ruimtestaat[[#This Row],[Code]],Locaties[[#All],[Code]:[Postcode]],5,FALSE)</f>
        <v>2492 JP</v>
      </c>
      <c r="E145" s="157" t="str">
        <f>VLOOKUP(Ruimtestaat[[#This Row],[Code]],Locaties[#All],6,FALSE)</f>
        <v>Den Haag</v>
      </c>
      <c r="F145" s="33" t="s">
        <v>1801</v>
      </c>
      <c r="G145" s="33" t="s">
        <v>1749</v>
      </c>
      <c r="H145" s="21" t="s">
        <v>1757</v>
      </c>
      <c r="I145" s="62" t="s">
        <v>1766</v>
      </c>
      <c r="J145" s="21">
        <v>5</v>
      </c>
      <c r="K145" s="62" t="str">
        <f>VLOOKUP(Ruimtestaat[[#This Row],[Ruimte code]],Ruimtegroepen[[#All],[Code]:[Ruimte omschrijving]],2,FALSE)</f>
        <v>Sanitair</v>
      </c>
      <c r="L145" s="33" t="s">
        <v>102</v>
      </c>
      <c r="M145" s="367" t="s">
        <v>2502</v>
      </c>
      <c r="N145" s="140">
        <v>5.95</v>
      </c>
      <c r="O145" s="140"/>
      <c r="P145" s="125" t="str">
        <f>VLOOKUP(Ruimtestaat[[#This Row],[Ruimte code]],Ruimtegroepen[],4,FALSE)</f>
        <v>Sa</v>
      </c>
      <c r="R145" s="33">
        <v>40</v>
      </c>
      <c r="S145" s="33" t="s">
        <v>2</v>
      </c>
      <c r="T145" s="33">
        <f>IF(R145&gt;0,IF(RIGHT(Ruimtestaat[[#This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5" s="33">
        <f>IF(T145&gt;0,VLOOKUP($J145,Ruimtegroepen[],3,FALSE)*VLOOKUP($L145,Vloersoorten[],3,FALSE)*VLOOKUP($S145,Frequenties[],3,FALSE)*VLOOKUP($A145,Locaties[],3,FALSE),0)</f>
        <v>0</v>
      </c>
      <c r="V145" s="33">
        <f>Ruimtestaat[[#This Row],[Uitvoeringen werkdagen]]*Ruimtestaat[[#This Row],[Oppervlak (netto)]]</f>
        <v>1190</v>
      </c>
      <c r="W145" s="154">
        <f>IF(U145&gt;0,Ruimtestaat[[#This Row],[Prest. (m2 /jaar) werkdagen]]/Ruimtestaat[[#This Row],[Norm (m2/uur) werkdagen]],0)</f>
        <v>0</v>
      </c>
      <c r="X145" s="155">
        <f>Ruimtestaat[[#This Row],[uren / jaar werkdagen]]*Tariefsopbouw!$E$35</f>
        <v>0</v>
      </c>
      <c r="Y145" s="33"/>
      <c r="Z145" s="33">
        <f>IF(Ruimtestaat[[#This Row],[Frequentie weekend]]&gt;0,VALUE(LEFT(Y145,1))*R145,0)</f>
        <v>0</v>
      </c>
      <c r="AA145" s="97">
        <f>IF($Z145&gt;0,VLOOKUP($J145,Ruimtegroepen[],3,FALSE)*VLOOKUP($L145,Vloersoorten[],3,FALSE)*VLOOKUP($Y145,Frequenties[],3,FALSE)*VLOOKUP(Ruimtestaat[[#This Row],[Code]],Locaties[],3,FALSE),0)</f>
        <v>0</v>
      </c>
      <c r="AB145" s="97">
        <f>Ruimtestaat[[#This Row],[Uitvoeringen weekend]]*Ruimtestaat[[#This Row],[Oppervlak (netto)]]</f>
        <v>0</v>
      </c>
      <c r="AC145" s="97">
        <f>IF(AA145&gt;0,Ruimtestaat[[#This Row],[Prest. (m2 /jaar) weekend]]/Ruimtestaat[[#This Row],[Norm (m2/uur) weekend]],0)</f>
        <v>0</v>
      </c>
      <c r="AD145" s="155">
        <f>Ruimtestaat[[#This Row],[uren / jaar weekend]]*Tariefsopbouw!$D$40</f>
        <v>0</v>
      </c>
      <c r="AE145" s="154">
        <f>Ruimtestaat[[#This Row],[Prest. (m2 /jaar) weekend]]+Ruimtestaat[[#This Row],[Prest. (m2 /jaar) werkdagen]]</f>
        <v>1190</v>
      </c>
      <c r="AF145" s="154">
        <f>Ruimtestaat[[#This Row],[uren / jaar weekend]]+Ruimtestaat[[#This Row],[uren / jaar werkdagen]]</f>
        <v>0</v>
      </c>
      <c r="AG145" s="69">
        <f>Ruimtestaat[[#This Row],[kosten / jaar weekend]]+Ruimtestaat[[#This Row],[kosten / jaar werkdagen]]</f>
        <v>0</v>
      </c>
      <c r="AH145" s="69"/>
      <c r="AI145" s="256" t="str">
        <f>IF(Ruimtestaat[[#This Row],[Frequentie werkdagen]]="","",_xlfn.CONCAT(Ruimtestaat[[#This Row],[Ruimte code]],"-",Ruimtestaat[[#This Row],[Frequentie werkdagen]]," ",Ruimtestaat[[#This Row],[Vloer code]]))</f>
        <v>5-5w S</v>
      </c>
      <c r="AJ145" s="363" t="str">
        <f>_xlfn.IFNA(VLOOKUP($AI145,Programma!$F$3:$G$1107,2,0),"")</f>
        <v>_</v>
      </c>
      <c r="AK145" s="363" t="str">
        <f>_xlfn.IFNA(VLOOKUP($AI145,Programma!$F$3:$H$1107,3,0),"")</f>
        <v>_</v>
      </c>
      <c r="AL145" s="363" t="str">
        <f>_xlfn.IFNA(VLOOKUP($AI145,Programma!$F$3:$I$1107,4,0),"")</f>
        <v>_</v>
      </c>
      <c r="AM145" s="363" t="str">
        <f>_xlfn.IFNA(VLOOKUP($AI145,Programma!$F$3:$J$1107,5,0),"")</f>
        <v>4w</v>
      </c>
      <c r="AN145" s="363" t="str">
        <f>_xlfn.IFNA(VLOOKUP($AI145,Programma!$F$3:$K$1107,6,0),"")</f>
        <v>1w</v>
      </c>
      <c r="AO145" s="363" t="str">
        <f>_xlfn.IFNA(VLOOKUP($AI145,Programma!$F$3:$L$1107,7,0),"")</f>
        <v>_</v>
      </c>
      <c r="AP145" s="363" t="str">
        <f>_xlfn.IFNA(VLOOKUP($AI145,Programma!$F$3:$M$1107,8,0),"")</f>
        <v>_</v>
      </c>
      <c r="AQ145" s="363" t="str">
        <f>_xlfn.IFNA(VLOOKUP($AI145,Programma!$F$3:$N$1107,9,0),"")</f>
        <v>_</v>
      </c>
      <c r="AR145" s="363" t="str">
        <f>_xlfn.IFNA(VLOOKUP($AI145,Programma!$F$3:$O$1107,10,0),"")</f>
        <v>_</v>
      </c>
      <c r="AS145" s="363" t="str">
        <f>_xlfn.IFNA(VLOOKUP($AI145,Programma!$F$3:$P$1107,11,0),"")</f>
        <v>_</v>
      </c>
      <c r="AT145" s="363" t="str">
        <f>_xlfn.IFNA(VLOOKUP($AI145,Programma!$F$3:$Q$1107,12,0),"")</f>
        <v>_</v>
      </c>
      <c r="AU145" s="363" t="str">
        <f>_xlfn.IFNA(VLOOKUP($AI145,Programma!$F$3:$R$1107,13,0),"")</f>
        <v>_</v>
      </c>
      <c r="AV145" s="363" t="str">
        <f>_xlfn.IFNA(VLOOKUP($AI145,Programma!$F$3:$S$1107,14,0),"")</f>
        <v>_</v>
      </c>
      <c r="AW145" s="363" t="str">
        <f>_xlfn.IFNA(VLOOKUP($AI145,Programma!$F$3:$T$1107,15,0),"")</f>
        <v>_</v>
      </c>
      <c r="AX145" s="363" t="str">
        <f>_xlfn.IFNA(VLOOKUP($AI145,Programma!$F$3:$U$1107,16,0),"")</f>
        <v>_</v>
      </c>
      <c r="AY145" s="363" t="str">
        <f>_xlfn.IFNA(VLOOKUP($AI145,Programma!$F$3:$V$1107,17,0),"")</f>
        <v>_</v>
      </c>
      <c r="AZ145" s="363" t="str">
        <f>_xlfn.IFNA(VLOOKUP($AI145,Programma!$F$3:$W$1107,18,0),"")</f>
        <v>4w</v>
      </c>
      <c r="BA145" s="363" t="str">
        <f>_xlfn.IFNA(VLOOKUP($AI145,Programma!$F$3:$X$1107,19,0),"")</f>
        <v>1w</v>
      </c>
      <c r="BB145" s="363" t="str">
        <f>_xlfn.IFNA(VLOOKUP($AI145,Programma!$F$3:$Y$1107,20,0),"")</f>
        <v>_</v>
      </c>
      <c r="BC145" s="257"/>
      <c r="BD145" s="256" t="str">
        <f>IF(Ruimtestaat[[#This Row],[Frequentie weekend]]="","",_xlfn.CONCAT(Ruimtestaat[[#This Row],[Ruimte code]],"-",Ruimtestaat[[#This Row],[Frequentie weekend]]," ",Ruimtestaat[[#This Row],[Vloer code]]))</f>
        <v/>
      </c>
      <c r="BE145" s="363" t="str">
        <f>_xlfn.IFNA(VLOOKUP($BD145,Programma!$F$3:$G$1107,2,0),"")</f>
        <v/>
      </c>
      <c r="BF145" s="363" t="str">
        <f>_xlfn.IFNA(VLOOKUP($BD145,Programma!$F$3:$H$1107,3,0),"")</f>
        <v/>
      </c>
      <c r="BG145" s="363" t="str">
        <f>_xlfn.IFNA(VLOOKUP($BD145,Programma!$F$3:$I$1107,4,0),"")</f>
        <v/>
      </c>
      <c r="BH145" s="363" t="str">
        <f>_xlfn.IFNA(VLOOKUP($BD145,Programma!$F$3:$J$1107,5,0),"")</f>
        <v/>
      </c>
      <c r="BI145" s="363" t="str">
        <f>_xlfn.IFNA(VLOOKUP($BD145,Programma!$F$3:$K$1107,6,0),"")</f>
        <v/>
      </c>
      <c r="BJ145" s="363" t="str">
        <f>_xlfn.IFNA(VLOOKUP($BD145,Programma!$F$3:$L$1107,7,0),"")</f>
        <v/>
      </c>
      <c r="BK145" s="363" t="str">
        <f>_xlfn.IFNA(VLOOKUP($BD145,Programma!$F$3:$M$1107,8,0),"")</f>
        <v/>
      </c>
      <c r="BL145" s="363" t="str">
        <f>_xlfn.IFNA(VLOOKUP($BD145,Programma!$F$3:$N$1107,9,0),"")</f>
        <v/>
      </c>
      <c r="BM145" s="363" t="str">
        <f>_xlfn.IFNA(VLOOKUP($BD145,Programma!$F$3:$O$1107,10,0),"")</f>
        <v/>
      </c>
      <c r="BN145" s="363" t="str">
        <f>_xlfn.IFNA(VLOOKUP($BD145,Programma!$F$3:$P$1107,11,0),"")</f>
        <v/>
      </c>
      <c r="BO145" s="363" t="str">
        <f>_xlfn.IFNA(VLOOKUP($BD145,Programma!$F$3:$Q$1107,12,0),"")</f>
        <v/>
      </c>
      <c r="BP145" s="363" t="str">
        <f>_xlfn.IFNA(VLOOKUP($BD145,Programma!$F$3:$R$1107,13,0),"")</f>
        <v/>
      </c>
      <c r="BQ145" s="363" t="str">
        <f>_xlfn.IFNA(VLOOKUP($BD145,Programma!$F$3:$S$1107,14,0),"")</f>
        <v/>
      </c>
      <c r="BR145" s="363" t="str">
        <f>_xlfn.IFNA(VLOOKUP($BD145,Programma!$F$3:$T$1107,15,0),"")</f>
        <v/>
      </c>
      <c r="BS145" s="363" t="str">
        <f>_xlfn.IFNA(VLOOKUP($BD145,Programma!$F$3:$U$1107,16,0),"")</f>
        <v/>
      </c>
      <c r="BT145" s="363" t="str">
        <f>_xlfn.IFNA(VLOOKUP($BD145,Programma!$F$3:$V$1107,17,0),"")</f>
        <v/>
      </c>
      <c r="BU145" s="363" t="str">
        <f>_xlfn.IFNA(VLOOKUP($BD145,Programma!$F$3:$W$1107,18,0),"")</f>
        <v/>
      </c>
      <c r="BV145" s="363" t="str">
        <f>_xlfn.IFNA(VLOOKUP($BD145,Programma!$F$3:$X$1107,19,0),"")</f>
        <v/>
      </c>
      <c r="BW145" s="363" t="str">
        <f>_xlfn.IFNA(VLOOKUP($BD145,Programma!$F$3:$Y$1107,20,0),"")</f>
        <v/>
      </c>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row>
    <row r="146" spans="1:220" ht="15" customHeight="1">
      <c r="A146" s="21">
        <v>3</v>
      </c>
      <c r="B146" s="157" t="str">
        <f>VLOOKUP(Ruimtestaat[[#This Row],[Code]],Locaties[[Code]:[Locatie]],2,FALSE)</f>
        <v>'s Gravendreef College - Dependance</v>
      </c>
      <c r="C146" s="157" t="str">
        <f>VLOOKUP(Ruimtestaat[[#This Row],[Code]],Locaties[[#All],[Code]:[Adres]],4,FALSE)</f>
        <v>Henri Faasdreef 200</v>
      </c>
      <c r="D146" s="157" t="str">
        <f>VLOOKUP(Ruimtestaat[[#This Row],[Code]],Locaties[[#All],[Code]:[Postcode]],5,FALSE)</f>
        <v>2492 JP</v>
      </c>
      <c r="E146" s="157" t="str">
        <f>VLOOKUP(Ruimtestaat[[#This Row],[Code]],Locaties[#All],6,FALSE)</f>
        <v>Den Haag</v>
      </c>
      <c r="F146" s="33" t="s">
        <v>1801</v>
      </c>
      <c r="G146" s="33" t="s">
        <v>1749</v>
      </c>
      <c r="H146" s="21" t="s">
        <v>1829</v>
      </c>
      <c r="I146" s="62" t="s">
        <v>122</v>
      </c>
      <c r="J146" s="21">
        <v>15</v>
      </c>
      <c r="K146" s="62" t="str">
        <f>VLOOKUP(Ruimtestaat[[#This Row],[Ruimte code]],Ruimtegroepen[[#All],[Code]:[Ruimte omschrijving]],2,FALSE)</f>
        <v>Keuken/pantry</v>
      </c>
      <c r="L146" s="33" t="s">
        <v>101</v>
      </c>
      <c r="M146" s="367" t="s">
        <v>2495</v>
      </c>
      <c r="N146" s="140">
        <v>10.09</v>
      </c>
      <c r="O146" s="140"/>
      <c r="P146" s="125" t="str">
        <f>VLOOKUP(Ruimtestaat[[#This Row],[Ruimte code]],Ruimtegroepen[],4,FALSE)</f>
        <v>Ve</v>
      </c>
      <c r="R146" s="33">
        <v>40</v>
      </c>
      <c r="S146" s="33" t="s">
        <v>2</v>
      </c>
      <c r="T146" s="33">
        <f>IF(R146&gt;0,IF(RIGHT(Ruimtestaat[[#This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6" s="33">
        <f>IF(T146&gt;0,VLOOKUP($J146,Ruimtegroepen[],3,FALSE)*VLOOKUP($L146,Vloersoorten[],3,FALSE)*VLOOKUP($S146,Frequenties[],3,FALSE)*VLOOKUP($A146,Locaties[],3,FALSE),0)</f>
        <v>0</v>
      </c>
      <c r="V146" s="33">
        <f>Ruimtestaat[[#This Row],[Uitvoeringen werkdagen]]*Ruimtestaat[[#This Row],[Oppervlak (netto)]]</f>
        <v>2018</v>
      </c>
      <c r="W146" s="154">
        <f>IF(U146&gt;0,Ruimtestaat[[#This Row],[Prest. (m2 /jaar) werkdagen]]/Ruimtestaat[[#This Row],[Norm (m2/uur) werkdagen]],0)</f>
        <v>0</v>
      </c>
      <c r="X146" s="155">
        <f>Ruimtestaat[[#This Row],[uren / jaar werkdagen]]*Tariefsopbouw!$E$35</f>
        <v>0</v>
      </c>
      <c r="Y146" s="33"/>
      <c r="Z146" s="33">
        <f>IF(Ruimtestaat[[#This Row],[Frequentie weekend]]&gt;0,VALUE(LEFT(Y146,1))*R146,0)</f>
        <v>0</v>
      </c>
      <c r="AA146" s="97">
        <f>IF($Z146&gt;0,VLOOKUP($J146,Ruimtegroepen[],3,FALSE)*VLOOKUP($L146,Vloersoorten[],3,FALSE)*VLOOKUP($Y146,Frequenties[],3,FALSE)*VLOOKUP(Ruimtestaat[[#This Row],[Code]],Locaties[],3,FALSE),0)</f>
        <v>0</v>
      </c>
      <c r="AB146" s="97">
        <f>Ruimtestaat[[#This Row],[Uitvoeringen weekend]]*Ruimtestaat[[#This Row],[Oppervlak (netto)]]</f>
        <v>0</v>
      </c>
      <c r="AC146" s="97">
        <f>IF(AA146&gt;0,Ruimtestaat[[#This Row],[Prest. (m2 /jaar) weekend]]/Ruimtestaat[[#This Row],[Norm (m2/uur) weekend]],0)</f>
        <v>0</v>
      </c>
      <c r="AD146" s="155">
        <f>Ruimtestaat[[#This Row],[uren / jaar weekend]]*Tariefsopbouw!$D$40</f>
        <v>0</v>
      </c>
      <c r="AE146" s="154">
        <f>Ruimtestaat[[#This Row],[Prest. (m2 /jaar) weekend]]+Ruimtestaat[[#This Row],[Prest. (m2 /jaar) werkdagen]]</f>
        <v>2018</v>
      </c>
      <c r="AF146" s="154">
        <f>Ruimtestaat[[#This Row],[uren / jaar weekend]]+Ruimtestaat[[#This Row],[uren / jaar werkdagen]]</f>
        <v>0</v>
      </c>
      <c r="AG146" s="69">
        <f>Ruimtestaat[[#This Row],[kosten / jaar weekend]]+Ruimtestaat[[#This Row],[kosten / jaar werkdagen]]</f>
        <v>0</v>
      </c>
      <c r="AH146" s="69"/>
      <c r="AI146" s="256" t="str">
        <f>IF(Ruimtestaat[[#This Row],[Frequentie werkdagen]]="","",_xlfn.CONCAT(Ruimtestaat[[#This Row],[Ruimte code]],"-",Ruimtestaat[[#This Row],[Frequentie werkdagen]]," ",Ruimtestaat[[#This Row],[Vloer code]]))</f>
        <v>15-5w L</v>
      </c>
      <c r="AJ146" s="363" t="str">
        <f>_xlfn.IFNA(VLOOKUP($AI146,Programma!$F$3:$G$1107,2,0),"")</f>
        <v>_</v>
      </c>
      <c r="AK146" s="363" t="str">
        <f>_xlfn.IFNA(VLOOKUP($AI146,Programma!$F$3:$H$1107,3,0),"")</f>
        <v>_</v>
      </c>
      <c r="AL146" s="363" t="str">
        <f>_xlfn.IFNA(VLOOKUP($AI146,Programma!$F$3:$I$1107,4,0),"")</f>
        <v>_</v>
      </c>
      <c r="AM146" s="363" t="str">
        <f>_xlfn.IFNA(VLOOKUP($AI146,Programma!$F$3:$J$1107,5,0),"")</f>
        <v>5w</v>
      </c>
      <c r="AN146" s="363" t="str">
        <f>_xlfn.IFNA(VLOOKUP($AI146,Programma!$F$3:$K$1107,6,0),"")</f>
        <v>_</v>
      </c>
      <c r="AO146" s="363" t="str">
        <f>_xlfn.IFNA(VLOOKUP($AI146,Programma!$F$3:$L$1107,7,0),"")</f>
        <v>_</v>
      </c>
      <c r="AP146" s="363" t="str">
        <f>_xlfn.IFNA(VLOOKUP($AI146,Programma!$F$3:$M$1107,8,0),"")</f>
        <v>_</v>
      </c>
      <c r="AQ146" s="363" t="str">
        <f>_xlfn.IFNA(VLOOKUP($AI146,Programma!$F$3:$N$1107,9,0),"")</f>
        <v>_</v>
      </c>
      <c r="AR146" s="363" t="str">
        <f>_xlfn.IFNA(VLOOKUP($AI146,Programma!$F$3:$O$1107,10,0),"")</f>
        <v>5w</v>
      </c>
      <c r="AS146" s="363" t="str">
        <f>_xlfn.IFNA(VLOOKUP($AI146,Programma!$F$3:$P$1107,11,0),"")</f>
        <v>5w</v>
      </c>
      <c r="AT146" s="363" t="str">
        <f>_xlfn.IFNA(VLOOKUP($AI146,Programma!$F$3:$Q$1107,12,0),"")</f>
        <v>1w</v>
      </c>
      <c r="AU146" s="363" t="str">
        <f>_xlfn.IFNA(VLOOKUP($AI146,Programma!$F$3:$R$1107,13,0),"")</f>
        <v>1w</v>
      </c>
      <c r="AV146" s="363" t="str">
        <f>_xlfn.IFNA(VLOOKUP($AI146,Programma!$F$3:$S$1107,14,0),"")</f>
        <v>1m</v>
      </c>
      <c r="AW146" s="363" t="str">
        <f>_xlfn.IFNA(VLOOKUP($AI146,Programma!$F$3:$T$1107,15,0),"")</f>
        <v>2j</v>
      </c>
      <c r="AX146" s="363" t="str">
        <f>_xlfn.IFNA(VLOOKUP($AI146,Programma!$F$3:$U$1107,16,0),"")</f>
        <v>1j</v>
      </c>
      <c r="AY146" s="363" t="str">
        <f>_xlfn.IFNA(VLOOKUP($AI146,Programma!$F$3:$V$1107,17,0),"")</f>
        <v>_</v>
      </c>
      <c r="AZ146" s="363" t="str">
        <f>_xlfn.IFNA(VLOOKUP($AI146,Programma!$F$3:$W$1107,18,0),"")</f>
        <v>_</v>
      </c>
      <c r="BA146" s="363" t="str">
        <f>_xlfn.IFNA(VLOOKUP($AI146,Programma!$F$3:$X$1107,19,0),"")</f>
        <v>_</v>
      </c>
      <c r="BB146" s="363" t="str">
        <f>_xlfn.IFNA(VLOOKUP($AI146,Programma!$F$3:$Y$1107,20,0),"")</f>
        <v>_</v>
      </c>
      <c r="BC146" s="257"/>
      <c r="BD146" s="256" t="str">
        <f>IF(Ruimtestaat[[#This Row],[Frequentie weekend]]="","",_xlfn.CONCAT(Ruimtestaat[[#This Row],[Ruimte code]],"-",Ruimtestaat[[#This Row],[Frequentie weekend]]," ",Ruimtestaat[[#This Row],[Vloer code]]))</f>
        <v/>
      </c>
      <c r="BE146" s="363" t="str">
        <f>_xlfn.IFNA(VLOOKUP($BD146,Programma!$F$3:$G$1107,2,0),"")</f>
        <v/>
      </c>
      <c r="BF146" s="363" t="str">
        <f>_xlfn.IFNA(VLOOKUP($BD146,Programma!$F$3:$H$1107,3,0),"")</f>
        <v/>
      </c>
      <c r="BG146" s="363" t="str">
        <f>_xlfn.IFNA(VLOOKUP($BD146,Programma!$F$3:$I$1107,4,0),"")</f>
        <v/>
      </c>
      <c r="BH146" s="363" t="str">
        <f>_xlfn.IFNA(VLOOKUP($BD146,Programma!$F$3:$J$1107,5,0),"")</f>
        <v/>
      </c>
      <c r="BI146" s="363" t="str">
        <f>_xlfn.IFNA(VLOOKUP($BD146,Programma!$F$3:$K$1107,6,0),"")</f>
        <v/>
      </c>
      <c r="BJ146" s="363" t="str">
        <f>_xlfn.IFNA(VLOOKUP($BD146,Programma!$F$3:$L$1107,7,0),"")</f>
        <v/>
      </c>
      <c r="BK146" s="363" t="str">
        <f>_xlfn.IFNA(VLOOKUP($BD146,Programma!$F$3:$M$1107,8,0),"")</f>
        <v/>
      </c>
      <c r="BL146" s="363" t="str">
        <f>_xlfn.IFNA(VLOOKUP($BD146,Programma!$F$3:$N$1107,9,0),"")</f>
        <v/>
      </c>
      <c r="BM146" s="363" t="str">
        <f>_xlfn.IFNA(VLOOKUP($BD146,Programma!$F$3:$O$1107,10,0),"")</f>
        <v/>
      </c>
      <c r="BN146" s="363" t="str">
        <f>_xlfn.IFNA(VLOOKUP($BD146,Programma!$F$3:$P$1107,11,0),"")</f>
        <v/>
      </c>
      <c r="BO146" s="363" t="str">
        <f>_xlfn.IFNA(VLOOKUP($BD146,Programma!$F$3:$Q$1107,12,0),"")</f>
        <v/>
      </c>
      <c r="BP146" s="363" t="str">
        <f>_xlfn.IFNA(VLOOKUP($BD146,Programma!$F$3:$R$1107,13,0),"")</f>
        <v/>
      </c>
      <c r="BQ146" s="363" t="str">
        <f>_xlfn.IFNA(VLOOKUP($BD146,Programma!$F$3:$S$1107,14,0),"")</f>
        <v/>
      </c>
      <c r="BR146" s="363" t="str">
        <f>_xlfn.IFNA(VLOOKUP($BD146,Programma!$F$3:$T$1107,15,0),"")</f>
        <v/>
      </c>
      <c r="BS146" s="363" t="str">
        <f>_xlfn.IFNA(VLOOKUP($BD146,Programma!$F$3:$U$1107,16,0),"")</f>
        <v/>
      </c>
      <c r="BT146" s="363" t="str">
        <f>_xlfn.IFNA(VLOOKUP($BD146,Programma!$F$3:$V$1107,17,0),"")</f>
        <v/>
      </c>
      <c r="BU146" s="363" t="str">
        <f>_xlfn.IFNA(VLOOKUP($BD146,Programma!$F$3:$W$1107,18,0),"")</f>
        <v/>
      </c>
      <c r="BV146" s="363" t="str">
        <f>_xlfn.IFNA(VLOOKUP($BD146,Programma!$F$3:$X$1107,19,0),"")</f>
        <v/>
      </c>
      <c r="BW146" s="363" t="str">
        <f>_xlfn.IFNA(VLOOKUP($BD146,Programma!$F$3:$Y$1107,20,0),"")</f>
        <v/>
      </c>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row>
    <row r="147" spans="1:220" ht="15" customHeight="1">
      <c r="A147" s="21">
        <v>3</v>
      </c>
      <c r="B147" s="157" t="str">
        <f>VLOOKUP(Ruimtestaat[[#This Row],[Code]],Locaties[[Code]:[Locatie]],2,FALSE)</f>
        <v>'s Gravendreef College - Dependance</v>
      </c>
      <c r="C147" s="157" t="str">
        <f>VLOOKUP(Ruimtestaat[[#This Row],[Code]],Locaties[[#All],[Code]:[Adres]],4,FALSE)</f>
        <v>Henri Faasdreef 200</v>
      </c>
      <c r="D147" s="157" t="str">
        <f>VLOOKUP(Ruimtestaat[[#This Row],[Code]],Locaties[[#All],[Code]:[Postcode]],5,FALSE)</f>
        <v>2492 JP</v>
      </c>
      <c r="E147" s="157" t="str">
        <f>VLOOKUP(Ruimtestaat[[#This Row],[Code]],Locaties[#All],6,FALSE)</f>
        <v>Den Haag</v>
      </c>
      <c r="F147" s="33" t="s">
        <v>1801</v>
      </c>
      <c r="G147" s="33" t="s">
        <v>1749</v>
      </c>
      <c r="H147" s="21" t="s">
        <v>1830</v>
      </c>
      <c r="I147" s="62" t="s">
        <v>1831</v>
      </c>
      <c r="J147" s="33">
        <v>1</v>
      </c>
      <c r="K147" s="62" t="str">
        <f>VLOOKUP(Ruimtestaat[[#This Row],[Ruimte code]],Ruimtegroepen[[#All],[Code]:[Ruimte omschrijving]],2,FALSE)</f>
        <v>Magazijnen/bergingen</v>
      </c>
      <c r="L147" s="33" t="s">
        <v>101</v>
      </c>
      <c r="M147" s="367" t="s">
        <v>2495</v>
      </c>
      <c r="N147" s="140">
        <v>19.809999999999999</v>
      </c>
      <c r="O147" s="140"/>
      <c r="P147" s="125" t="str">
        <f>VLOOKUP(Ruimtestaat[[#This Row],[Ruimte code]],Ruimtegroepen[],4,FALSE)</f>
        <v>Ve</v>
      </c>
      <c r="R147" s="33">
        <v>40</v>
      </c>
      <c r="S147" s="33" t="s">
        <v>16</v>
      </c>
      <c r="T147" s="33">
        <f>IF(R147&gt;0,IF(RIGHT(Ruimtestaat[[#This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47" s="33">
        <f>IF(T147&gt;0,VLOOKUP($J147,Ruimtegroepen[],3,FALSE)*VLOOKUP($L147,Vloersoorten[],3,FALSE)*VLOOKUP($S147,Frequenties[],3,FALSE)*VLOOKUP($A147,Locaties[],3,FALSE),0)</f>
        <v>0</v>
      </c>
      <c r="V147" s="33">
        <f>Ruimtestaat[[#This Row],[Uitvoeringen werkdagen]]*Ruimtestaat[[#This Row],[Oppervlak (netto)]]</f>
        <v>237.71999999999997</v>
      </c>
      <c r="W147" s="154">
        <f>IF(U147&gt;0,Ruimtestaat[[#This Row],[Prest. (m2 /jaar) werkdagen]]/Ruimtestaat[[#This Row],[Norm (m2/uur) werkdagen]],0)</f>
        <v>0</v>
      </c>
      <c r="X147" s="155">
        <f>Ruimtestaat[[#This Row],[uren / jaar werkdagen]]*Tariefsopbouw!$E$35</f>
        <v>0</v>
      </c>
      <c r="Y147" s="33"/>
      <c r="Z147" s="33">
        <f>IF(Ruimtestaat[[#This Row],[Frequentie weekend]]&gt;0,VALUE(LEFT(Y147,1))*R147,0)</f>
        <v>0</v>
      </c>
      <c r="AA147" s="97">
        <f>IF($Z147&gt;0,VLOOKUP($J147,Ruimtegroepen[],3,FALSE)*VLOOKUP($L147,Vloersoorten[],3,FALSE)*VLOOKUP($Y147,Frequenties[],3,FALSE)*VLOOKUP(Ruimtestaat[[#This Row],[Code]],Locaties[],3,FALSE),0)</f>
        <v>0</v>
      </c>
      <c r="AB147" s="97">
        <f>Ruimtestaat[[#This Row],[Uitvoeringen weekend]]*Ruimtestaat[[#This Row],[Oppervlak (netto)]]</f>
        <v>0</v>
      </c>
      <c r="AC147" s="97">
        <f>IF(AA147&gt;0,Ruimtestaat[[#This Row],[Prest. (m2 /jaar) weekend]]/Ruimtestaat[[#This Row],[Norm (m2/uur) weekend]],0)</f>
        <v>0</v>
      </c>
      <c r="AD147" s="155">
        <f>Ruimtestaat[[#This Row],[uren / jaar weekend]]*Tariefsopbouw!$D$40</f>
        <v>0</v>
      </c>
      <c r="AE147" s="154">
        <f>Ruimtestaat[[#This Row],[Prest. (m2 /jaar) weekend]]+Ruimtestaat[[#This Row],[Prest. (m2 /jaar) werkdagen]]</f>
        <v>237.71999999999997</v>
      </c>
      <c r="AF147" s="154">
        <f>Ruimtestaat[[#This Row],[uren / jaar weekend]]+Ruimtestaat[[#This Row],[uren / jaar werkdagen]]</f>
        <v>0</v>
      </c>
      <c r="AG147" s="69">
        <f>Ruimtestaat[[#This Row],[kosten / jaar weekend]]+Ruimtestaat[[#This Row],[kosten / jaar werkdagen]]</f>
        <v>0</v>
      </c>
      <c r="AH147" s="69"/>
      <c r="AI147" s="256" t="str">
        <f>IF(Ruimtestaat[[#This Row],[Frequentie werkdagen]]="","",_xlfn.CONCAT(Ruimtestaat[[#This Row],[Ruimte code]],"-",Ruimtestaat[[#This Row],[Frequentie werkdagen]]," ",Ruimtestaat[[#This Row],[Vloer code]]))</f>
        <v>1-1m L</v>
      </c>
      <c r="AJ147" s="363" t="str">
        <f>_xlfn.IFNA(VLOOKUP($AI147,Programma!$F$3:$G$1107,2,0),"")</f>
        <v>_</v>
      </c>
      <c r="AK147" s="363" t="str">
        <f>_xlfn.IFNA(VLOOKUP($AI147,Programma!$F$3:$H$1107,3,0),"")</f>
        <v>_</v>
      </c>
      <c r="AL147" s="363" t="str">
        <f>_xlfn.IFNA(VLOOKUP($AI147,Programma!$F$3:$I$1107,4,0),"")</f>
        <v>1m</v>
      </c>
      <c r="AM147" s="363" t="str">
        <f>_xlfn.IFNA(VLOOKUP($AI147,Programma!$F$3:$J$1107,5,0),"")</f>
        <v>1m</v>
      </c>
      <c r="AN147" s="363" t="str">
        <f>_xlfn.IFNA(VLOOKUP($AI147,Programma!$F$3:$K$1107,6,0),"")</f>
        <v>_</v>
      </c>
      <c r="AO147" s="363" t="str">
        <f>_xlfn.IFNA(VLOOKUP($AI147,Programma!$F$3:$L$1107,7,0),"")</f>
        <v>_</v>
      </c>
      <c r="AP147" s="363" t="str">
        <f>_xlfn.IFNA(VLOOKUP($AI147,Programma!$F$3:$M$1107,8,0),"")</f>
        <v>_</v>
      </c>
      <c r="AQ147" s="363" t="str">
        <f>_xlfn.IFNA(VLOOKUP($AI147,Programma!$F$3:$N$1107,9,0),"")</f>
        <v>_</v>
      </c>
      <c r="AR147" s="363" t="str">
        <f>_xlfn.IFNA(VLOOKUP($AI147,Programma!$F$3:$O$1107,10,0),"")</f>
        <v>_</v>
      </c>
      <c r="AS147" s="363" t="str">
        <f>_xlfn.IFNA(VLOOKUP($AI147,Programma!$F$3:$P$1107,11,0),"")</f>
        <v>_</v>
      </c>
      <c r="AT147" s="363" t="str">
        <f>_xlfn.IFNA(VLOOKUP($AI147,Programma!$F$3:$Q$1107,12,0),"")</f>
        <v>_</v>
      </c>
      <c r="AU147" s="363" t="str">
        <f>_xlfn.IFNA(VLOOKUP($AI147,Programma!$F$3:$R$1107,13,0),"")</f>
        <v>_</v>
      </c>
      <c r="AV147" s="363" t="str">
        <f>_xlfn.IFNA(VLOOKUP($AI147,Programma!$F$3:$S$1107,14,0),"")</f>
        <v>1m</v>
      </c>
      <c r="AW147" s="363" t="str">
        <f>_xlfn.IFNA(VLOOKUP($AI147,Programma!$F$3:$T$1107,15,0),"")</f>
        <v>4j</v>
      </c>
      <c r="AX147" s="363" t="str">
        <f>_xlfn.IFNA(VLOOKUP($AI147,Programma!$F$3:$U$1107,16,0),"")</f>
        <v>4j</v>
      </c>
      <c r="AY147" s="363" t="str">
        <f>_xlfn.IFNA(VLOOKUP($AI147,Programma!$F$3:$V$1107,17,0),"")</f>
        <v>_</v>
      </c>
      <c r="AZ147" s="363" t="str">
        <f>_xlfn.IFNA(VLOOKUP($AI147,Programma!$F$3:$W$1107,18,0),"")</f>
        <v>_</v>
      </c>
      <c r="BA147" s="363" t="str">
        <f>_xlfn.IFNA(VLOOKUP($AI147,Programma!$F$3:$X$1107,19,0),"")</f>
        <v>_</v>
      </c>
      <c r="BB147" s="363" t="str">
        <f>_xlfn.IFNA(VLOOKUP($AI147,Programma!$F$3:$Y$1107,20,0),"")</f>
        <v>_</v>
      </c>
      <c r="BC147" s="257"/>
      <c r="BD147" s="256" t="str">
        <f>IF(Ruimtestaat[[#This Row],[Frequentie weekend]]="","",_xlfn.CONCAT(Ruimtestaat[[#This Row],[Ruimte code]],"-",Ruimtestaat[[#This Row],[Frequentie weekend]]," ",Ruimtestaat[[#This Row],[Vloer code]]))</f>
        <v/>
      </c>
      <c r="BE147" s="363" t="str">
        <f>_xlfn.IFNA(VLOOKUP($BD147,Programma!$F$3:$G$1107,2,0),"")</f>
        <v/>
      </c>
      <c r="BF147" s="363" t="str">
        <f>_xlfn.IFNA(VLOOKUP($BD147,Programma!$F$3:$H$1107,3,0),"")</f>
        <v/>
      </c>
      <c r="BG147" s="363" t="str">
        <f>_xlfn.IFNA(VLOOKUP($BD147,Programma!$F$3:$I$1107,4,0),"")</f>
        <v/>
      </c>
      <c r="BH147" s="363" t="str">
        <f>_xlfn.IFNA(VLOOKUP($BD147,Programma!$F$3:$J$1107,5,0),"")</f>
        <v/>
      </c>
      <c r="BI147" s="363" t="str">
        <f>_xlfn.IFNA(VLOOKUP($BD147,Programma!$F$3:$K$1107,6,0),"")</f>
        <v/>
      </c>
      <c r="BJ147" s="363" t="str">
        <f>_xlfn.IFNA(VLOOKUP($BD147,Programma!$F$3:$L$1107,7,0),"")</f>
        <v/>
      </c>
      <c r="BK147" s="363" t="str">
        <f>_xlfn.IFNA(VLOOKUP($BD147,Programma!$F$3:$M$1107,8,0),"")</f>
        <v/>
      </c>
      <c r="BL147" s="363" t="str">
        <f>_xlfn.IFNA(VLOOKUP($BD147,Programma!$F$3:$N$1107,9,0),"")</f>
        <v/>
      </c>
      <c r="BM147" s="363" t="str">
        <f>_xlfn.IFNA(VLOOKUP($BD147,Programma!$F$3:$O$1107,10,0),"")</f>
        <v/>
      </c>
      <c r="BN147" s="363" t="str">
        <f>_xlfn.IFNA(VLOOKUP($BD147,Programma!$F$3:$P$1107,11,0),"")</f>
        <v/>
      </c>
      <c r="BO147" s="363" t="str">
        <f>_xlfn.IFNA(VLOOKUP($BD147,Programma!$F$3:$Q$1107,12,0),"")</f>
        <v/>
      </c>
      <c r="BP147" s="363" t="str">
        <f>_xlfn.IFNA(VLOOKUP($BD147,Programma!$F$3:$R$1107,13,0),"")</f>
        <v/>
      </c>
      <c r="BQ147" s="363" t="str">
        <f>_xlfn.IFNA(VLOOKUP($BD147,Programma!$F$3:$S$1107,14,0),"")</f>
        <v/>
      </c>
      <c r="BR147" s="363" t="str">
        <f>_xlfn.IFNA(VLOOKUP($BD147,Programma!$F$3:$T$1107,15,0),"")</f>
        <v/>
      </c>
      <c r="BS147" s="363" t="str">
        <f>_xlfn.IFNA(VLOOKUP($BD147,Programma!$F$3:$U$1107,16,0),"")</f>
        <v/>
      </c>
      <c r="BT147" s="363" t="str">
        <f>_xlfn.IFNA(VLOOKUP($BD147,Programma!$F$3:$V$1107,17,0),"")</f>
        <v/>
      </c>
      <c r="BU147" s="363" t="str">
        <f>_xlfn.IFNA(VLOOKUP($BD147,Programma!$F$3:$W$1107,18,0),"")</f>
        <v/>
      </c>
      <c r="BV147" s="363" t="str">
        <f>_xlfn.IFNA(VLOOKUP($BD147,Programma!$F$3:$X$1107,19,0),"")</f>
        <v/>
      </c>
      <c r="BW147" s="363" t="str">
        <f>_xlfn.IFNA(VLOOKUP($BD147,Programma!$F$3:$Y$1107,20,0),"")</f>
        <v/>
      </c>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row>
    <row r="148" spans="1:220" ht="15" customHeight="1">
      <c r="A148" s="21">
        <v>3</v>
      </c>
      <c r="B148" s="157" t="str">
        <f>VLOOKUP(Ruimtestaat[[#This Row],[Code]],Locaties[[Code]:[Locatie]],2,FALSE)</f>
        <v>'s Gravendreef College - Dependance</v>
      </c>
      <c r="C148" s="157" t="str">
        <f>VLOOKUP(Ruimtestaat[[#This Row],[Code]],Locaties[[#All],[Code]:[Adres]],4,FALSE)</f>
        <v>Henri Faasdreef 200</v>
      </c>
      <c r="D148" s="157" t="str">
        <f>VLOOKUP(Ruimtestaat[[#This Row],[Code]],Locaties[[#All],[Code]:[Postcode]],5,FALSE)</f>
        <v>2492 JP</v>
      </c>
      <c r="E148" s="157" t="str">
        <f>VLOOKUP(Ruimtestaat[[#This Row],[Code]],Locaties[#All],6,FALSE)</f>
        <v>Den Haag</v>
      </c>
      <c r="F148" s="33" t="s">
        <v>1801</v>
      </c>
      <c r="G148" s="33" t="s">
        <v>1749</v>
      </c>
      <c r="H148" s="21" t="s">
        <v>1832</v>
      </c>
      <c r="I148" s="62" t="s">
        <v>1770</v>
      </c>
      <c r="J148" s="21">
        <v>20</v>
      </c>
      <c r="K148" s="62" t="str">
        <f>VLOOKUP(Ruimtestaat[[#This Row],[Ruimte code]],Ruimtegroepen[[#All],[Code]:[Ruimte omschrijving]],2,FALSE)</f>
        <v>Niet in Onderhoud</v>
      </c>
      <c r="L148" s="33" t="s">
        <v>102</v>
      </c>
      <c r="M148" s="367" t="s">
        <v>2499</v>
      </c>
      <c r="N148" s="140"/>
      <c r="O148" s="140">
        <v>1.89</v>
      </c>
      <c r="P148" s="125">
        <f>VLOOKUP(Ruimtestaat[[#This Row],[Ruimte code]],Ruimtegroepen[],4,FALSE)</f>
        <v>0</v>
      </c>
      <c r="R148" s="33"/>
      <c r="S148" s="33"/>
      <c r="T148" s="33">
        <f>IF(R148&gt;0,IF(RIGHT(Ruimtestaat[[#This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8" s="33">
        <f>IF(T148&gt;0,VLOOKUP($J148,Ruimtegroepen[],3,FALSE)*VLOOKUP($L148,Vloersoorten[],3,FALSE)*VLOOKUP($S148,Frequenties[],3,FALSE)*VLOOKUP($A148,Locaties[],3,FALSE),0)</f>
        <v>0</v>
      </c>
      <c r="V148" s="33">
        <f>Ruimtestaat[[#This Row],[Uitvoeringen werkdagen]]*Ruimtestaat[[#This Row],[Oppervlak (netto)]]</f>
        <v>0</v>
      </c>
      <c r="W148" s="154">
        <f>IF(U148&gt;0,Ruimtestaat[[#This Row],[Prest. (m2 /jaar) werkdagen]]/Ruimtestaat[[#This Row],[Norm (m2/uur) werkdagen]],0)</f>
        <v>0</v>
      </c>
      <c r="X148" s="155">
        <f>Ruimtestaat[[#This Row],[uren / jaar werkdagen]]*Tariefsopbouw!$E$35</f>
        <v>0</v>
      </c>
      <c r="Y148" s="33"/>
      <c r="Z148" s="33">
        <f>IF(Ruimtestaat[[#This Row],[Frequentie weekend]]&gt;0,VALUE(LEFT(Y148,1))*R148,0)</f>
        <v>0</v>
      </c>
      <c r="AA148" s="97">
        <f>IF($Z148&gt;0,VLOOKUP($J148,Ruimtegroepen[],3,FALSE)*VLOOKUP($L148,Vloersoorten[],3,FALSE)*VLOOKUP($Y148,Frequenties[],3,FALSE)*VLOOKUP(Ruimtestaat[[#This Row],[Code]],Locaties[],3,FALSE),0)</f>
        <v>0</v>
      </c>
      <c r="AB148" s="97">
        <f>Ruimtestaat[[#This Row],[Uitvoeringen weekend]]*Ruimtestaat[[#This Row],[Oppervlak (netto)]]</f>
        <v>0</v>
      </c>
      <c r="AC148" s="97">
        <f>IF(AA148&gt;0,Ruimtestaat[[#This Row],[Prest. (m2 /jaar) weekend]]/Ruimtestaat[[#This Row],[Norm (m2/uur) weekend]],0)</f>
        <v>0</v>
      </c>
      <c r="AD148" s="155">
        <f>Ruimtestaat[[#This Row],[uren / jaar weekend]]*Tariefsopbouw!$D$40</f>
        <v>0</v>
      </c>
      <c r="AE148" s="154">
        <f>Ruimtestaat[[#This Row],[Prest. (m2 /jaar) weekend]]+Ruimtestaat[[#This Row],[Prest. (m2 /jaar) werkdagen]]</f>
        <v>0</v>
      </c>
      <c r="AF148" s="154">
        <f>Ruimtestaat[[#This Row],[uren / jaar weekend]]+Ruimtestaat[[#This Row],[uren / jaar werkdagen]]</f>
        <v>0</v>
      </c>
      <c r="AG148" s="69">
        <f>Ruimtestaat[[#This Row],[kosten / jaar weekend]]+Ruimtestaat[[#This Row],[kosten / jaar werkdagen]]</f>
        <v>0</v>
      </c>
      <c r="AH148" s="69"/>
      <c r="AI148" s="256" t="str">
        <f>IF(Ruimtestaat[[#This Row],[Frequentie werkdagen]]="","",_xlfn.CONCAT(Ruimtestaat[[#This Row],[Ruimte code]],"-",Ruimtestaat[[#This Row],[Frequentie werkdagen]]," ",Ruimtestaat[[#This Row],[Vloer code]]))</f>
        <v/>
      </c>
      <c r="AJ148" s="363" t="str">
        <f>_xlfn.IFNA(VLOOKUP($AI148,Programma!$F$3:$G$1107,2,0),"")</f>
        <v/>
      </c>
      <c r="AK148" s="363" t="str">
        <f>_xlfn.IFNA(VLOOKUP($AI148,Programma!$F$3:$H$1107,3,0),"")</f>
        <v/>
      </c>
      <c r="AL148" s="363" t="str">
        <f>_xlfn.IFNA(VLOOKUP($AI148,Programma!$F$3:$I$1107,4,0),"")</f>
        <v/>
      </c>
      <c r="AM148" s="363" t="str">
        <f>_xlfn.IFNA(VLOOKUP($AI148,Programma!$F$3:$J$1107,5,0),"")</f>
        <v/>
      </c>
      <c r="AN148" s="363" t="str">
        <f>_xlfn.IFNA(VLOOKUP($AI148,Programma!$F$3:$K$1107,6,0),"")</f>
        <v/>
      </c>
      <c r="AO148" s="363" t="str">
        <f>_xlfn.IFNA(VLOOKUP($AI148,Programma!$F$3:$L$1107,7,0),"")</f>
        <v/>
      </c>
      <c r="AP148" s="363" t="str">
        <f>_xlfn.IFNA(VLOOKUP($AI148,Programma!$F$3:$M$1107,8,0),"")</f>
        <v/>
      </c>
      <c r="AQ148" s="363" t="str">
        <f>_xlfn.IFNA(VLOOKUP($AI148,Programma!$F$3:$N$1107,9,0),"")</f>
        <v/>
      </c>
      <c r="AR148" s="363" t="str">
        <f>_xlfn.IFNA(VLOOKUP($AI148,Programma!$F$3:$O$1107,10,0),"")</f>
        <v/>
      </c>
      <c r="AS148" s="363" t="str">
        <f>_xlfn.IFNA(VLOOKUP($AI148,Programma!$F$3:$P$1107,11,0),"")</f>
        <v/>
      </c>
      <c r="AT148" s="363" t="str">
        <f>_xlfn.IFNA(VLOOKUP($AI148,Programma!$F$3:$Q$1107,12,0),"")</f>
        <v/>
      </c>
      <c r="AU148" s="363" t="str">
        <f>_xlfn.IFNA(VLOOKUP($AI148,Programma!$F$3:$R$1107,13,0),"")</f>
        <v/>
      </c>
      <c r="AV148" s="363" t="str">
        <f>_xlfn.IFNA(VLOOKUP($AI148,Programma!$F$3:$S$1107,14,0),"")</f>
        <v/>
      </c>
      <c r="AW148" s="363" t="str">
        <f>_xlfn.IFNA(VLOOKUP($AI148,Programma!$F$3:$T$1107,15,0),"")</f>
        <v/>
      </c>
      <c r="AX148" s="363" t="str">
        <f>_xlfn.IFNA(VLOOKUP($AI148,Programma!$F$3:$U$1107,16,0),"")</f>
        <v/>
      </c>
      <c r="AY148" s="363" t="str">
        <f>_xlfn.IFNA(VLOOKUP($AI148,Programma!$F$3:$V$1107,17,0),"")</f>
        <v/>
      </c>
      <c r="AZ148" s="363" t="str">
        <f>_xlfn.IFNA(VLOOKUP($AI148,Programma!$F$3:$W$1107,18,0),"")</f>
        <v/>
      </c>
      <c r="BA148" s="363" t="str">
        <f>_xlfn.IFNA(VLOOKUP($AI148,Programma!$F$3:$X$1107,19,0),"")</f>
        <v/>
      </c>
      <c r="BB148" s="363" t="str">
        <f>_xlfn.IFNA(VLOOKUP($AI148,Programma!$F$3:$Y$1107,20,0),"")</f>
        <v/>
      </c>
      <c r="BC148" s="257"/>
      <c r="BD148" s="256" t="str">
        <f>IF(Ruimtestaat[[#This Row],[Frequentie weekend]]="","",_xlfn.CONCAT(Ruimtestaat[[#This Row],[Ruimte code]],"-",Ruimtestaat[[#This Row],[Frequentie weekend]]," ",Ruimtestaat[[#This Row],[Vloer code]]))</f>
        <v/>
      </c>
      <c r="BE148" s="363" t="str">
        <f>_xlfn.IFNA(VLOOKUP($BD148,Programma!$F$3:$G$1107,2,0),"")</f>
        <v/>
      </c>
      <c r="BF148" s="363" t="str">
        <f>_xlfn.IFNA(VLOOKUP($BD148,Programma!$F$3:$H$1107,3,0),"")</f>
        <v/>
      </c>
      <c r="BG148" s="363" t="str">
        <f>_xlfn.IFNA(VLOOKUP($BD148,Programma!$F$3:$I$1107,4,0),"")</f>
        <v/>
      </c>
      <c r="BH148" s="363" t="str">
        <f>_xlfn.IFNA(VLOOKUP($BD148,Programma!$F$3:$J$1107,5,0),"")</f>
        <v/>
      </c>
      <c r="BI148" s="363" t="str">
        <f>_xlfn.IFNA(VLOOKUP($BD148,Programma!$F$3:$K$1107,6,0),"")</f>
        <v/>
      </c>
      <c r="BJ148" s="363" t="str">
        <f>_xlfn.IFNA(VLOOKUP($BD148,Programma!$F$3:$L$1107,7,0),"")</f>
        <v/>
      </c>
      <c r="BK148" s="363" t="str">
        <f>_xlfn.IFNA(VLOOKUP($BD148,Programma!$F$3:$M$1107,8,0),"")</f>
        <v/>
      </c>
      <c r="BL148" s="363" t="str">
        <f>_xlfn.IFNA(VLOOKUP($BD148,Programma!$F$3:$N$1107,9,0),"")</f>
        <v/>
      </c>
      <c r="BM148" s="363" t="str">
        <f>_xlfn.IFNA(VLOOKUP($BD148,Programma!$F$3:$O$1107,10,0),"")</f>
        <v/>
      </c>
      <c r="BN148" s="363" t="str">
        <f>_xlfn.IFNA(VLOOKUP($BD148,Programma!$F$3:$P$1107,11,0),"")</f>
        <v/>
      </c>
      <c r="BO148" s="363" t="str">
        <f>_xlfn.IFNA(VLOOKUP($BD148,Programma!$F$3:$Q$1107,12,0),"")</f>
        <v/>
      </c>
      <c r="BP148" s="363" t="str">
        <f>_xlfn.IFNA(VLOOKUP($BD148,Programma!$F$3:$R$1107,13,0),"")</f>
        <v/>
      </c>
      <c r="BQ148" s="363" t="str">
        <f>_xlfn.IFNA(VLOOKUP($BD148,Programma!$F$3:$S$1107,14,0),"")</f>
        <v/>
      </c>
      <c r="BR148" s="363" t="str">
        <f>_xlfn.IFNA(VLOOKUP($BD148,Programma!$F$3:$T$1107,15,0),"")</f>
        <v/>
      </c>
      <c r="BS148" s="363" t="str">
        <f>_xlfn.IFNA(VLOOKUP($BD148,Programma!$F$3:$U$1107,16,0),"")</f>
        <v/>
      </c>
      <c r="BT148" s="363" t="str">
        <f>_xlfn.IFNA(VLOOKUP($BD148,Programma!$F$3:$V$1107,17,0),"")</f>
        <v/>
      </c>
      <c r="BU148" s="363" t="str">
        <f>_xlfn.IFNA(VLOOKUP($BD148,Programma!$F$3:$W$1107,18,0),"")</f>
        <v/>
      </c>
      <c r="BV148" s="363" t="str">
        <f>_xlfn.IFNA(VLOOKUP($BD148,Programma!$F$3:$X$1107,19,0),"")</f>
        <v/>
      </c>
      <c r="BW148" s="363" t="str">
        <f>_xlfn.IFNA(VLOOKUP($BD148,Programma!$F$3:$Y$1107,20,0),"")</f>
        <v/>
      </c>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row>
    <row r="149" spans="1:220" ht="15" customHeight="1">
      <c r="A149" s="21">
        <v>3</v>
      </c>
      <c r="B149" s="157" t="str">
        <f>VLOOKUP(Ruimtestaat[[#This Row],[Code]],Locaties[[Code]:[Locatie]],2,FALSE)</f>
        <v>'s Gravendreef College - Dependance</v>
      </c>
      <c r="C149" s="157" t="str">
        <f>VLOOKUP(Ruimtestaat[[#This Row],[Code]],Locaties[[#All],[Code]:[Adres]],4,FALSE)</f>
        <v>Henri Faasdreef 200</v>
      </c>
      <c r="D149" s="157" t="str">
        <f>VLOOKUP(Ruimtestaat[[#This Row],[Code]],Locaties[[#All],[Code]:[Postcode]],5,FALSE)</f>
        <v>2492 JP</v>
      </c>
      <c r="E149" s="157" t="str">
        <f>VLOOKUP(Ruimtestaat[[#This Row],[Code]],Locaties[#All],6,FALSE)</f>
        <v>Den Haag</v>
      </c>
      <c r="F149" s="33" t="s">
        <v>1801</v>
      </c>
      <c r="G149" s="33" t="s">
        <v>1749</v>
      </c>
      <c r="H149" s="21" t="s">
        <v>1833</v>
      </c>
      <c r="I149" s="62" t="s">
        <v>1770</v>
      </c>
      <c r="J149" s="21">
        <v>20</v>
      </c>
      <c r="K149" s="62" t="str">
        <f>VLOOKUP(Ruimtestaat[[#This Row],[Ruimte code]],Ruimtegroepen[[#All],[Code]:[Ruimte omschrijving]],2,FALSE)</f>
        <v>Niet in Onderhoud</v>
      </c>
      <c r="L149" s="33" t="s">
        <v>102</v>
      </c>
      <c r="M149" s="367" t="s">
        <v>2499</v>
      </c>
      <c r="N149" s="140"/>
      <c r="O149" s="140">
        <v>8.11</v>
      </c>
      <c r="P149" s="125">
        <f>VLOOKUP(Ruimtestaat[[#This Row],[Ruimte code]],Ruimtegroepen[],4,FALSE)</f>
        <v>0</v>
      </c>
      <c r="R149" s="33"/>
      <c r="S149" s="33"/>
      <c r="T149" s="33">
        <f>IF(R149&gt;0,IF(RIGHT(Ruimtestaat[[#This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9" s="33">
        <f>IF(T149&gt;0,VLOOKUP($J149,Ruimtegroepen[],3,FALSE)*VLOOKUP($L149,Vloersoorten[],3,FALSE)*VLOOKUP($S149,Frequenties[],3,FALSE)*VLOOKUP($A149,Locaties[],3,FALSE),0)</f>
        <v>0</v>
      </c>
      <c r="V149" s="33">
        <f>Ruimtestaat[[#This Row],[Uitvoeringen werkdagen]]*Ruimtestaat[[#This Row],[Oppervlak (netto)]]</f>
        <v>0</v>
      </c>
      <c r="W149" s="154">
        <f>IF(U149&gt;0,Ruimtestaat[[#This Row],[Prest. (m2 /jaar) werkdagen]]/Ruimtestaat[[#This Row],[Norm (m2/uur) werkdagen]],0)</f>
        <v>0</v>
      </c>
      <c r="X149" s="155">
        <f>Ruimtestaat[[#This Row],[uren / jaar werkdagen]]*Tariefsopbouw!$E$35</f>
        <v>0</v>
      </c>
      <c r="Y149" s="33"/>
      <c r="Z149" s="33">
        <f>IF(Ruimtestaat[[#This Row],[Frequentie weekend]]&gt;0,VALUE(LEFT(Y149,1))*R149,0)</f>
        <v>0</v>
      </c>
      <c r="AA149" s="97">
        <f>IF($Z149&gt;0,VLOOKUP($J149,Ruimtegroepen[],3,FALSE)*VLOOKUP($L149,Vloersoorten[],3,FALSE)*VLOOKUP($Y149,Frequenties[],3,FALSE)*VLOOKUP(Ruimtestaat[[#This Row],[Code]],Locaties[],3,FALSE),0)</f>
        <v>0</v>
      </c>
      <c r="AB149" s="97">
        <f>Ruimtestaat[[#This Row],[Uitvoeringen weekend]]*Ruimtestaat[[#This Row],[Oppervlak (netto)]]</f>
        <v>0</v>
      </c>
      <c r="AC149" s="97">
        <f>IF(AA149&gt;0,Ruimtestaat[[#This Row],[Prest. (m2 /jaar) weekend]]/Ruimtestaat[[#This Row],[Norm (m2/uur) weekend]],0)</f>
        <v>0</v>
      </c>
      <c r="AD149" s="155">
        <f>Ruimtestaat[[#This Row],[uren / jaar weekend]]*Tariefsopbouw!$D$40</f>
        <v>0</v>
      </c>
      <c r="AE149" s="154">
        <f>Ruimtestaat[[#This Row],[Prest. (m2 /jaar) weekend]]+Ruimtestaat[[#This Row],[Prest. (m2 /jaar) werkdagen]]</f>
        <v>0</v>
      </c>
      <c r="AF149" s="154">
        <f>Ruimtestaat[[#This Row],[uren / jaar weekend]]+Ruimtestaat[[#This Row],[uren / jaar werkdagen]]</f>
        <v>0</v>
      </c>
      <c r="AG149" s="69">
        <f>Ruimtestaat[[#This Row],[kosten / jaar weekend]]+Ruimtestaat[[#This Row],[kosten / jaar werkdagen]]</f>
        <v>0</v>
      </c>
      <c r="AH149" s="69"/>
      <c r="AI149" s="256" t="str">
        <f>IF(Ruimtestaat[[#This Row],[Frequentie werkdagen]]="","",_xlfn.CONCAT(Ruimtestaat[[#This Row],[Ruimte code]],"-",Ruimtestaat[[#This Row],[Frequentie werkdagen]]," ",Ruimtestaat[[#This Row],[Vloer code]]))</f>
        <v/>
      </c>
      <c r="AJ149" s="363" t="str">
        <f>_xlfn.IFNA(VLOOKUP($AI149,Programma!$F$3:$G$1107,2,0),"")</f>
        <v/>
      </c>
      <c r="AK149" s="363" t="str">
        <f>_xlfn.IFNA(VLOOKUP($AI149,Programma!$F$3:$H$1107,3,0),"")</f>
        <v/>
      </c>
      <c r="AL149" s="363" t="str">
        <f>_xlfn.IFNA(VLOOKUP($AI149,Programma!$F$3:$I$1107,4,0),"")</f>
        <v/>
      </c>
      <c r="AM149" s="363" t="str">
        <f>_xlfn.IFNA(VLOOKUP($AI149,Programma!$F$3:$J$1107,5,0),"")</f>
        <v/>
      </c>
      <c r="AN149" s="363" t="str">
        <f>_xlfn.IFNA(VLOOKUP($AI149,Programma!$F$3:$K$1107,6,0),"")</f>
        <v/>
      </c>
      <c r="AO149" s="363" t="str">
        <f>_xlfn.IFNA(VLOOKUP($AI149,Programma!$F$3:$L$1107,7,0),"")</f>
        <v/>
      </c>
      <c r="AP149" s="363" t="str">
        <f>_xlfn.IFNA(VLOOKUP($AI149,Programma!$F$3:$M$1107,8,0),"")</f>
        <v/>
      </c>
      <c r="AQ149" s="363" t="str">
        <f>_xlfn.IFNA(VLOOKUP($AI149,Programma!$F$3:$N$1107,9,0),"")</f>
        <v/>
      </c>
      <c r="AR149" s="363" t="str">
        <f>_xlfn.IFNA(VLOOKUP($AI149,Programma!$F$3:$O$1107,10,0),"")</f>
        <v/>
      </c>
      <c r="AS149" s="363" t="str">
        <f>_xlfn.IFNA(VLOOKUP($AI149,Programma!$F$3:$P$1107,11,0),"")</f>
        <v/>
      </c>
      <c r="AT149" s="363" t="str">
        <f>_xlfn.IFNA(VLOOKUP($AI149,Programma!$F$3:$Q$1107,12,0),"")</f>
        <v/>
      </c>
      <c r="AU149" s="363" t="str">
        <f>_xlfn.IFNA(VLOOKUP($AI149,Programma!$F$3:$R$1107,13,0),"")</f>
        <v/>
      </c>
      <c r="AV149" s="363" t="str">
        <f>_xlfn.IFNA(VLOOKUP($AI149,Programma!$F$3:$S$1107,14,0),"")</f>
        <v/>
      </c>
      <c r="AW149" s="363" t="str">
        <f>_xlfn.IFNA(VLOOKUP($AI149,Programma!$F$3:$T$1107,15,0),"")</f>
        <v/>
      </c>
      <c r="AX149" s="363" t="str">
        <f>_xlfn.IFNA(VLOOKUP($AI149,Programma!$F$3:$U$1107,16,0),"")</f>
        <v/>
      </c>
      <c r="AY149" s="363" t="str">
        <f>_xlfn.IFNA(VLOOKUP($AI149,Programma!$F$3:$V$1107,17,0),"")</f>
        <v/>
      </c>
      <c r="AZ149" s="363" t="str">
        <f>_xlfn.IFNA(VLOOKUP($AI149,Programma!$F$3:$W$1107,18,0),"")</f>
        <v/>
      </c>
      <c r="BA149" s="363" t="str">
        <f>_xlfn.IFNA(VLOOKUP($AI149,Programma!$F$3:$X$1107,19,0),"")</f>
        <v/>
      </c>
      <c r="BB149" s="363" t="str">
        <f>_xlfn.IFNA(VLOOKUP($AI149,Programma!$F$3:$Y$1107,20,0),"")</f>
        <v/>
      </c>
      <c r="BC149" s="257"/>
      <c r="BD149" s="256" t="str">
        <f>IF(Ruimtestaat[[#This Row],[Frequentie weekend]]="","",_xlfn.CONCAT(Ruimtestaat[[#This Row],[Ruimte code]],"-",Ruimtestaat[[#This Row],[Frequentie weekend]]," ",Ruimtestaat[[#This Row],[Vloer code]]))</f>
        <v/>
      </c>
      <c r="BE149" s="363" t="str">
        <f>_xlfn.IFNA(VLOOKUP($BD149,Programma!$F$3:$G$1107,2,0),"")</f>
        <v/>
      </c>
      <c r="BF149" s="363" t="str">
        <f>_xlfn.IFNA(VLOOKUP($BD149,Programma!$F$3:$H$1107,3,0),"")</f>
        <v/>
      </c>
      <c r="BG149" s="363" t="str">
        <f>_xlfn.IFNA(VLOOKUP($BD149,Programma!$F$3:$I$1107,4,0),"")</f>
        <v/>
      </c>
      <c r="BH149" s="363" t="str">
        <f>_xlfn.IFNA(VLOOKUP($BD149,Programma!$F$3:$J$1107,5,0),"")</f>
        <v/>
      </c>
      <c r="BI149" s="363" t="str">
        <f>_xlfn.IFNA(VLOOKUP($BD149,Programma!$F$3:$K$1107,6,0),"")</f>
        <v/>
      </c>
      <c r="BJ149" s="363" t="str">
        <f>_xlfn.IFNA(VLOOKUP($BD149,Programma!$F$3:$L$1107,7,0),"")</f>
        <v/>
      </c>
      <c r="BK149" s="363" t="str">
        <f>_xlfn.IFNA(VLOOKUP($BD149,Programma!$F$3:$M$1107,8,0),"")</f>
        <v/>
      </c>
      <c r="BL149" s="363" t="str">
        <f>_xlfn.IFNA(VLOOKUP($BD149,Programma!$F$3:$N$1107,9,0),"")</f>
        <v/>
      </c>
      <c r="BM149" s="363" t="str">
        <f>_xlfn.IFNA(VLOOKUP($BD149,Programma!$F$3:$O$1107,10,0),"")</f>
        <v/>
      </c>
      <c r="BN149" s="363" t="str">
        <f>_xlfn.IFNA(VLOOKUP($BD149,Programma!$F$3:$P$1107,11,0),"")</f>
        <v/>
      </c>
      <c r="BO149" s="363" t="str">
        <f>_xlfn.IFNA(VLOOKUP($BD149,Programma!$F$3:$Q$1107,12,0),"")</f>
        <v/>
      </c>
      <c r="BP149" s="363" t="str">
        <f>_xlfn.IFNA(VLOOKUP($BD149,Programma!$F$3:$R$1107,13,0),"")</f>
        <v/>
      </c>
      <c r="BQ149" s="363" t="str">
        <f>_xlfn.IFNA(VLOOKUP($BD149,Programma!$F$3:$S$1107,14,0),"")</f>
        <v/>
      </c>
      <c r="BR149" s="363" t="str">
        <f>_xlfn.IFNA(VLOOKUP($BD149,Programma!$F$3:$T$1107,15,0),"")</f>
        <v/>
      </c>
      <c r="BS149" s="363" t="str">
        <f>_xlfn.IFNA(VLOOKUP($BD149,Programma!$F$3:$U$1107,16,0),"")</f>
        <v/>
      </c>
      <c r="BT149" s="363" t="str">
        <f>_xlfn.IFNA(VLOOKUP($BD149,Programma!$F$3:$V$1107,17,0),"")</f>
        <v/>
      </c>
      <c r="BU149" s="363" t="str">
        <f>_xlfn.IFNA(VLOOKUP($BD149,Programma!$F$3:$W$1107,18,0),"")</f>
        <v/>
      </c>
      <c r="BV149" s="363" t="str">
        <f>_xlfn.IFNA(VLOOKUP($BD149,Programma!$F$3:$X$1107,19,0),"")</f>
        <v/>
      </c>
      <c r="BW149" s="363" t="str">
        <f>_xlfn.IFNA(VLOOKUP($BD149,Programma!$F$3:$Y$1107,20,0),"")</f>
        <v/>
      </c>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row>
    <row r="150" spans="1:220" ht="15" customHeight="1">
      <c r="A150" s="21">
        <v>3</v>
      </c>
      <c r="B150" s="157" t="str">
        <f>VLOOKUP(Ruimtestaat[[#This Row],[Code]],Locaties[[Code]:[Locatie]],2,FALSE)</f>
        <v>'s Gravendreef College - Dependance</v>
      </c>
      <c r="C150" s="157" t="str">
        <f>VLOOKUP(Ruimtestaat[[#This Row],[Code]],Locaties[[#All],[Code]:[Adres]],4,FALSE)</f>
        <v>Henri Faasdreef 200</v>
      </c>
      <c r="D150" s="157" t="str">
        <f>VLOOKUP(Ruimtestaat[[#This Row],[Code]],Locaties[[#All],[Code]:[Postcode]],5,FALSE)</f>
        <v>2492 JP</v>
      </c>
      <c r="E150" s="157" t="str">
        <f>VLOOKUP(Ruimtestaat[[#This Row],[Code]],Locaties[#All],6,FALSE)</f>
        <v>Den Haag</v>
      </c>
      <c r="F150" s="33" t="s">
        <v>1801</v>
      </c>
      <c r="G150" s="33" t="s">
        <v>1749</v>
      </c>
      <c r="H150" s="21" t="s">
        <v>1834</v>
      </c>
      <c r="I150" s="62" t="s">
        <v>1625</v>
      </c>
      <c r="J150" s="21">
        <v>6</v>
      </c>
      <c r="K150" s="62" t="str">
        <f>VLOOKUP(Ruimtestaat[[#This Row],[Ruimte code]],Ruimtegroepen[[#All],[Code]:[Ruimte omschrijving]],2,FALSE)</f>
        <v>Gangen/hallen</v>
      </c>
      <c r="L150" s="33" t="s">
        <v>101</v>
      </c>
      <c r="M150" s="367" t="s">
        <v>2495</v>
      </c>
      <c r="N150" s="140">
        <v>9.1199999999999992</v>
      </c>
      <c r="O150" s="140"/>
      <c r="P150" s="125" t="str">
        <f>VLOOKUP(Ruimtestaat[[#This Row],[Ruimte code]],Ruimtegroepen[],4,FALSE)</f>
        <v>Ve</v>
      </c>
      <c r="R150" s="33">
        <v>40</v>
      </c>
      <c r="S150" s="33" t="s">
        <v>2</v>
      </c>
      <c r="T150" s="33">
        <f>IF(R150&gt;0,IF(RIGHT(Ruimtestaat[[#This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0" s="33">
        <f>IF(T150&gt;0,VLOOKUP($J150,Ruimtegroepen[],3,FALSE)*VLOOKUP($L150,Vloersoorten[],3,FALSE)*VLOOKUP($S150,Frequenties[],3,FALSE)*VLOOKUP($A150,Locaties[],3,FALSE),0)</f>
        <v>0</v>
      </c>
      <c r="V150" s="33">
        <f>Ruimtestaat[[#This Row],[Uitvoeringen werkdagen]]*Ruimtestaat[[#This Row],[Oppervlak (netto)]]</f>
        <v>1823.9999999999998</v>
      </c>
      <c r="W150" s="154">
        <f>IF(U150&gt;0,Ruimtestaat[[#This Row],[Prest. (m2 /jaar) werkdagen]]/Ruimtestaat[[#This Row],[Norm (m2/uur) werkdagen]],0)</f>
        <v>0</v>
      </c>
      <c r="X150" s="155">
        <f>Ruimtestaat[[#This Row],[uren / jaar werkdagen]]*Tariefsopbouw!$E$35</f>
        <v>0</v>
      </c>
      <c r="Y150" s="33"/>
      <c r="Z150" s="33">
        <f>IF(Ruimtestaat[[#This Row],[Frequentie weekend]]&gt;0,VALUE(LEFT(Y150,1))*R150,0)</f>
        <v>0</v>
      </c>
      <c r="AA150" s="97">
        <f>IF($Z150&gt;0,VLOOKUP($J150,Ruimtegroepen[],3,FALSE)*VLOOKUP($L150,Vloersoorten[],3,FALSE)*VLOOKUP($Y150,Frequenties[],3,FALSE)*VLOOKUP(Ruimtestaat[[#This Row],[Code]],Locaties[],3,FALSE),0)</f>
        <v>0</v>
      </c>
      <c r="AB150" s="97">
        <f>Ruimtestaat[[#This Row],[Uitvoeringen weekend]]*Ruimtestaat[[#This Row],[Oppervlak (netto)]]</f>
        <v>0</v>
      </c>
      <c r="AC150" s="97">
        <f>IF(AA150&gt;0,Ruimtestaat[[#This Row],[Prest. (m2 /jaar) weekend]]/Ruimtestaat[[#This Row],[Norm (m2/uur) weekend]],0)</f>
        <v>0</v>
      </c>
      <c r="AD150" s="155">
        <f>Ruimtestaat[[#This Row],[uren / jaar weekend]]*Tariefsopbouw!$D$40</f>
        <v>0</v>
      </c>
      <c r="AE150" s="154">
        <f>Ruimtestaat[[#This Row],[Prest. (m2 /jaar) weekend]]+Ruimtestaat[[#This Row],[Prest. (m2 /jaar) werkdagen]]</f>
        <v>1823.9999999999998</v>
      </c>
      <c r="AF150" s="154">
        <f>Ruimtestaat[[#This Row],[uren / jaar weekend]]+Ruimtestaat[[#This Row],[uren / jaar werkdagen]]</f>
        <v>0</v>
      </c>
      <c r="AG150" s="69">
        <f>Ruimtestaat[[#This Row],[kosten / jaar weekend]]+Ruimtestaat[[#This Row],[kosten / jaar werkdagen]]</f>
        <v>0</v>
      </c>
      <c r="AH150" s="69"/>
      <c r="AI150" s="256" t="str">
        <f>IF(Ruimtestaat[[#This Row],[Frequentie werkdagen]]="","",_xlfn.CONCAT(Ruimtestaat[[#This Row],[Ruimte code]],"-",Ruimtestaat[[#This Row],[Frequentie werkdagen]]," ",Ruimtestaat[[#This Row],[Vloer code]]))</f>
        <v>6-5w L</v>
      </c>
      <c r="AJ150" s="363" t="str">
        <f>_xlfn.IFNA(VLOOKUP($AI150,Programma!$F$3:$G$1107,2,0),"")</f>
        <v>_</v>
      </c>
      <c r="AK150" s="363" t="str">
        <f>_xlfn.IFNA(VLOOKUP($AI150,Programma!$F$3:$H$1107,3,0),"")</f>
        <v>_</v>
      </c>
      <c r="AL150" s="363" t="str">
        <f>_xlfn.IFNA(VLOOKUP($AI150,Programma!$F$3:$I$1107,4,0),"")</f>
        <v>_</v>
      </c>
      <c r="AM150" s="363" t="str">
        <f>_xlfn.IFNA(VLOOKUP($AI150,Programma!$F$3:$J$1107,5,0),"")</f>
        <v>5w</v>
      </c>
      <c r="AN150" s="363" t="str">
        <f>_xlfn.IFNA(VLOOKUP($AI150,Programma!$F$3:$K$1107,6,0),"")</f>
        <v>_</v>
      </c>
      <c r="AO150" s="363" t="str">
        <f>_xlfn.IFNA(VLOOKUP($AI150,Programma!$F$3:$L$1107,7,0),"")</f>
        <v>_</v>
      </c>
      <c r="AP150" s="363" t="str">
        <f>_xlfn.IFNA(VLOOKUP($AI150,Programma!$F$3:$M$1107,8,0),"")</f>
        <v>_</v>
      </c>
      <c r="AQ150" s="363" t="str">
        <f>_xlfn.IFNA(VLOOKUP($AI150,Programma!$F$3:$N$1107,9,0),"")</f>
        <v>_</v>
      </c>
      <c r="AR150" s="363" t="str">
        <f>_xlfn.IFNA(VLOOKUP($AI150,Programma!$F$3:$O$1107,10,0),"")</f>
        <v>5w</v>
      </c>
      <c r="AS150" s="363" t="str">
        <f>_xlfn.IFNA(VLOOKUP($AI150,Programma!$F$3:$P$1107,11,0),"")</f>
        <v>5w</v>
      </c>
      <c r="AT150" s="363" t="str">
        <f>_xlfn.IFNA(VLOOKUP($AI150,Programma!$F$3:$Q$1107,12,0),"")</f>
        <v>1w</v>
      </c>
      <c r="AU150" s="363" t="str">
        <f>_xlfn.IFNA(VLOOKUP($AI150,Programma!$F$3:$R$1107,13,0),"")</f>
        <v>1w</v>
      </c>
      <c r="AV150" s="363" t="str">
        <f>_xlfn.IFNA(VLOOKUP($AI150,Programma!$F$3:$S$1107,14,0),"")</f>
        <v>1m</v>
      </c>
      <c r="AW150" s="363" t="str">
        <f>_xlfn.IFNA(VLOOKUP($AI150,Programma!$F$3:$T$1107,15,0),"")</f>
        <v>2j</v>
      </c>
      <c r="AX150" s="363" t="str">
        <f>_xlfn.IFNA(VLOOKUP($AI150,Programma!$F$3:$U$1107,16,0),"")</f>
        <v>1j</v>
      </c>
      <c r="AY150" s="363" t="str">
        <f>_xlfn.IFNA(VLOOKUP($AI150,Programma!$F$3:$V$1107,17,0),"")</f>
        <v>_</v>
      </c>
      <c r="AZ150" s="363" t="str">
        <f>_xlfn.IFNA(VLOOKUP($AI150,Programma!$F$3:$W$1107,18,0),"")</f>
        <v>_</v>
      </c>
      <c r="BA150" s="363" t="str">
        <f>_xlfn.IFNA(VLOOKUP($AI150,Programma!$F$3:$X$1107,19,0),"")</f>
        <v>_</v>
      </c>
      <c r="BB150" s="363" t="str">
        <f>_xlfn.IFNA(VLOOKUP($AI150,Programma!$F$3:$Y$1107,20,0),"")</f>
        <v>_</v>
      </c>
      <c r="BC150" s="257"/>
      <c r="BD150" s="256" t="str">
        <f>IF(Ruimtestaat[[#This Row],[Frequentie weekend]]="","",_xlfn.CONCAT(Ruimtestaat[[#This Row],[Ruimte code]],"-",Ruimtestaat[[#This Row],[Frequentie weekend]]," ",Ruimtestaat[[#This Row],[Vloer code]]))</f>
        <v/>
      </c>
      <c r="BE150" s="363" t="str">
        <f>_xlfn.IFNA(VLOOKUP($BD150,Programma!$F$3:$G$1107,2,0),"")</f>
        <v/>
      </c>
      <c r="BF150" s="363" t="str">
        <f>_xlfn.IFNA(VLOOKUP($BD150,Programma!$F$3:$H$1107,3,0),"")</f>
        <v/>
      </c>
      <c r="BG150" s="363" t="str">
        <f>_xlfn.IFNA(VLOOKUP($BD150,Programma!$F$3:$I$1107,4,0),"")</f>
        <v/>
      </c>
      <c r="BH150" s="363" t="str">
        <f>_xlfn.IFNA(VLOOKUP($BD150,Programma!$F$3:$J$1107,5,0),"")</f>
        <v/>
      </c>
      <c r="BI150" s="363" t="str">
        <f>_xlfn.IFNA(VLOOKUP($BD150,Programma!$F$3:$K$1107,6,0),"")</f>
        <v/>
      </c>
      <c r="BJ150" s="363" t="str">
        <f>_xlfn.IFNA(VLOOKUP($BD150,Programma!$F$3:$L$1107,7,0),"")</f>
        <v/>
      </c>
      <c r="BK150" s="363" t="str">
        <f>_xlfn.IFNA(VLOOKUP($BD150,Programma!$F$3:$M$1107,8,0),"")</f>
        <v/>
      </c>
      <c r="BL150" s="363" t="str">
        <f>_xlfn.IFNA(VLOOKUP($BD150,Programma!$F$3:$N$1107,9,0),"")</f>
        <v/>
      </c>
      <c r="BM150" s="363" t="str">
        <f>_xlfn.IFNA(VLOOKUP($BD150,Programma!$F$3:$O$1107,10,0),"")</f>
        <v/>
      </c>
      <c r="BN150" s="363" t="str">
        <f>_xlfn.IFNA(VLOOKUP($BD150,Programma!$F$3:$P$1107,11,0),"")</f>
        <v/>
      </c>
      <c r="BO150" s="363" t="str">
        <f>_xlfn.IFNA(VLOOKUP($BD150,Programma!$F$3:$Q$1107,12,0),"")</f>
        <v/>
      </c>
      <c r="BP150" s="363" t="str">
        <f>_xlfn.IFNA(VLOOKUP($BD150,Programma!$F$3:$R$1107,13,0),"")</f>
        <v/>
      </c>
      <c r="BQ150" s="363" t="str">
        <f>_xlfn.IFNA(VLOOKUP($BD150,Programma!$F$3:$S$1107,14,0),"")</f>
        <v/>
      </c>
      <c r="BR150" s="363" t="str">
        <f>_xlfn.IFNA(VLOOKUP($BD150,Programma!$F$3:$T$1107,15,0),"")</f>
        <v/>
      </c>
      <c r="BS150" s="363" t="str">
        <f>_xlfn.IFNA(VLOOKUP($BD150,Programma!$F$3:$U$1107,16,0),"")</f>
        <v/>
      </c>
      <c r="BT150" s="363" t="str">
        <f>_xlfn.IFNA(VLOOKUP($BD150,Programma!$F$3:$V$1107,17,0),"")</f>
        <v/>
      </c>
      <c r="BU150" s="363" t="str">
        <f>_xlfn.IFNA(VLOOKUP($BD150,Programma!$F$3:$W$1107,18,0),"")</f>
        <v/>
      </c>
      <c r="BV150" s="363" t="str">
        <f>_xlfn.IFNA(VLOOKUP($BD150,Programma!$F$3:$X$1107,19,0),"")</f>
        <v/>
      </c>
      <c r="BW150" s="363" t="str">
        <f>_xlfn.IFNA(VLOOKUP($BD150,Programma!$F$3:$Y$1107,20,0),"")</f>
        <v/>
      </c>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row>
    <row r="151" spans="1:220" ht="15" customHeight="1">
      <c r="A151" s="21">
        <v>3</v>
      </c>
      <c r="B151" s="157" t="str">
        <f>VLOOKUP(Ruimtestaat[[#This Row],[Code]],Locaties[[Code]:[Locatie]],2,FALSE)</f>
        <v>'s Gravendreef College - Dependance</v>
      </c>
      <c r="C151" s="157" t="str">
        <f>VLOOKUP(Ruimtestaat[[#This Row],[Code]],Locaties[[#All],[Code]:[Adres]],4,FALSE)</f>
        <v>Henri Faasdreef 200</v>
      </c>
      <c r="D151" s="157" t="str">
        <f>VLOOKUP(Ruimtestaat[[#This Row],[Code]],Locaties[[#All],[Code]:[Postcode]],5,FALSE)</f>
        <v>2492 JP</v>
      </c>
      <c r="E151" s="157" t="str">
        <f>VLOOKUP(Ruimtestaat[[#This Row],[Code]],Locaties[#All],6,FALSE)</f>
        <v>Den Haag</v>
      </c>
      <c r="F151" s="33" t="s">
        <v>1801</v>
      </c>
      <c r="G151" s="33" t="s">
        <v>1749</v>
      </c>
      <c r="H151" s="21" t="s">
        <v>1835</v>
      </c>
      <c r="I151" s="62" t="s">
        <v>1637</v>
      </c>
      <c r="J151" s="21">
        <v>10</v>
      </c>
      <c r="K151" s="62" t="str">
        <f>VLOOKUP(Ruimtestaat[[#This Row],[Ruimte code]],Ruimtegroepen[[#All],[Code]:[Ruimte omschrijving]],2,FALSE)</f>
        <v>Trappenhuizen/lift</v>
      </c>
      <c r="L151" s="33" t="s">
        <v>101</v>
      </c>
      <c r="M151" s="367" t="s">
        <v>2495</v>
      </c>
      <c r="N151" s="140">
        <v>2</v>
      </c>
      <c r="O151" s="140"/>
      <c r="P151" s="125" t="str">
        <f>VLOOKUP(Ruimtestaat[[#This Row],[Ruimte code]],Ruimtegroepen[],4,FALSE)</f>
        <v>Ve</v>
      </c>
      <c r="R151" s="33">
        <v>40</v>
      </c>
      <c r="S151" s="33" t="s">
        <v>2</v>
      </c>
      <c r="T151" s="33">
        <f>IF(R151&gt;0,IF(RIGHT(Ruimtestaat[[#This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1" s="33">
        <f>IF(T151&gt;0,VLOOKUP($J151,Ruimtegroepen[],3,FALSE)*VLOOKUP($L151,Vloersoorten[],3,FALSE)*VLOOKUP($S151,Frequenties[],3,FALSE)*VLOOKUP($A151,Locaties[],3,FALSE),0)</f>
        <v>0</v>
      </c>
      <c r="V151" s="33">
        <f>Ruimtestaat[[#This Row],[Uitvoeringen werkdagen]]*Ruimtestaat[[#This Row],[Oppervlak (netto)]]</f>
        <v>400</v>
      </c>
      <c r="W151" s="154">
        <f>IF(U151&gt;0,Ruimtestaat[[#This Row],[Prest. (m2 /jaar) werkdagen]]/Ruimtestaat[[#This Row],[Norm (m2/uur) werkdagen]],0)</f>
        <v>0</v>
      </c>
      <c r="X151" s="155">
        <f>Ruimtestaat[[#This Row],[uren / jaar werkdagen]]*Tariefsopbouw!$E$35</f>
        <v>0</v>
      </c>
      <c r="Y151" s="33"/>
      <c r="Z151" s="33">
        <f>IF(Ruimtestaat[[#This Row],[Frequentie weekend]]&gt;0,VALUE(LEFT(Y151,1))*R151,0)</f>
        <v>0</v>
      </c>
      <c r="AA151" s="97">
        <f>IF($Z151&gt;0,VLOOKUP($J151,Ruimtegroepen[],3,FALSE)*VLOOKUP($L151,Vloersoorten[],3,FALSE)*VLOOKUP($Y151,Frequenties[],3,FALSE)*VLOOKUP(Ruimtestaat[[#This Row],[Code]],Locaties[],3,FALSE),0)</f>
        <v>0</v>
      </c>
      <c r="AB151" s="97">
        <f>Ruimtestaat[[#This Row],[Uitvoeringen weekend]]*Ruimtestaat[[#This Row],[Oppervlak (netto)]]</f>
        <v>0</v>
      </c>
      <c r="AC151" s="97">
        <f>IF(AA151&gt;0,Ruimtestaat[[#This Row],[Prest. (m2 /jaar) weekend]]/Ruimtestaat[[#This Row],[Norm (m2/uur) weekend]],0)</f>
        <v>0</v>
      </c>
      <c r="AD151" s="155">
        <f>Ruimtestaat[[#This Row],[uren / jaar weekend]]*Tariefsopbouw!$D$40</f>
        <v>0</v>
      </c>
      <c r="AE151" s="154">
        <f>Ruimtestaat[[#This Row],[Prest. (m2 /jaar) weekend]]+Ruimtestaat[[#This Row],[Prest. (m2 /jaar) werkdagen]]</f>
        <v>400</v>
      </c>
      <c r="AF151" s="154">
        <f>Ruimtestaat[[#This Row],[uren / jaar weekend]]+Ruimtestaat[[#This Row],[uren / jaar werkdagen]]</f>
        <v>0</v>
      </c>
      <c r="AG151" s="69">
        <f>Ruimtestaat[[#This Row],[kosten / jaar weekend]]+Ruimtestaat[[#This Row],[kosten / jaar werkdagen]]</f>
        <v>0</v>
      </c>
      <c r="AH151" s="69"/>
      <c r="AI151" s="256" t="str">
        <f>IF(Ruimtestaat[[#This Row],[Frequentie werkdagen]]="","",_xlfn.CONCAT(Ruimtestaat[[#This Row],[Ruimte code]],"-",Ruimtestaat[[#This Row],[Frequentie werkdagen]]," ",Ruimtestaat[[#This Row],[Vloer code]]))</f>
        <v>10-5w L</v>
      </c>
      <c r="AJ151" s="363" t="str">
        <f>_xlfn.IFNA(VLOOKUP($AI151,Programma!$F$3:$G$1107,2,0),"")</f>
        <v>_</v>
      </c>
      <c r="AK151" s="363" t="str">
        <f>_xlfn.IFNA(VLOOKUP($AI151,Programma!$F$3:$H$1107,3,0),"")</f>
        <v>_</v>
      </c>
      <c r="AL151" s="363" t="str">
        <f>_xlfn.IFNA(VLOOKUP($AI151,Programma!$F$3:$I$1107,4,0),"")</f>
        <v>4w</v>
      </c>
      <c r="AM151" s="363" t="str">
        <f>_xlfn.IFNA(VLOOKUP($AI151,Programma!$F$3:$J$1107,5,0),"")</f>
        <v>1w</v>
      </c>
      <c r="AN151" s="363" t="str">
        <f>_xlfn.IFNA(VLOOKUP($AI151,Programma!$F$3:$K$1107,6,0),"")</f>
        <v>_</v>
      </c>
      <c r="AO151" s="363" t="str">
        <f>_xlfn.IFNA(VLOOKUP($AI151,Programma!$F$3:$L$1107,7,0),"")</f>
        <v>_</v>
      </c>
      <c r="AP151" s="363" t="str">
        <f>_xlfn.IFNA(VLOOKUP($AI151,Programma!$F$3:$M$1107,8,0),"")</f>
        <v>_</v>
      </c>
      <c r="AQ151" s="363" t="str">
        <f>_xlfn.IFNA(VLOOKUP($AI151,Programma!$F$3:$N$1107,9,0),"")</f>
        <v>_</v>
      </c>
      <c r="AR151" s="363" t="str">
        <f>_xlfn.IFNA(VLOOKUP($AI151,Programma!$F$3:$O$1107,10,0),"")</f>
        <v>5w</v>
      </c>
      <c r="AS151" s="363" t="str">
        <f>_xlfn.IFNA(VLOOKUP($AI151,Programma!$F$3:$P$1107,11,0),"")</f>
        <v>5w</v>
      </c>
      <c r="AT151" s="363" t="str">
        <f>_xlfn.IFNA(VLOOKUP($AI151,Programma!$F$3:$Q$1107,12,0),"")</f>
        <v>1w</v>
      </c>
      <c r="AU151" s="363" t="str">
        <f>_xlfn.IFNA(VLOOKUP($AI151,Programma!$F$3:$R$1107,13,0),"")</f>
        <v>1w</v>
      </c>
      <c r="AV151" s="363" t="str">
        <f>_xlfn.IFNA(VLOOKUP($AI151,Programma!$F$3:$S$1107,14,0),"")</f>
        <v>1m</v>
      </c>
      <c r="AW151" s="363" t="str">
        <f>_xlfn.IFNA(VLOOKUP($AI151,Programma!$F$3:$T$1107,15,0),"")</f>
        <v>2j</v>
      </c>
      <c r="AX151" s="363" t="str">
        <f>_xlfn.IFNA(VLOOKUP($AI151,Programma!$F$3:$U$1107,16,0),"")</f>
        <v>1j</v>
      </c>
      <c r="AY151" s="363" t="str">
        <f>_xlfn.IFNA(VLOOKUP($AI151,Programma!$F$3:$V$1107,17,0),"")</f>
        <v>_</v>
      </c>
      <c r="AZ151" s="363" t="str">
        <f>_xlfn.IFNA(VLOOKUP($AI151,Programma!$F$3:$W$1107,18,0),"")</f>
        <v>_</v>
      </c>
      <c r="BA151" s="363" t="str">
        <f>_xlfn.IFNA(VLOOKUP($AI151,Programma!$F$3:$X$1107,19,0),"")</f>
        <v>_</v>
      </c>
      <c r="BB151" s="363" t="str">
        <f>_xlfn.IFNA(VLOOKUP($AI151,Programma!$F$3:$Y$1107,20,0),"")</f>
        <v>_</v>
      </c>
      <c r="BC151" s="257"/>
      <c r="BD151" s="256" t="str">
        <f>IF(Ruimtestaat[[#This Row],[Frequentie weekend]]="","",_xlfn.CONCAT(Ruimtestaat[[#This Row],[Ruimte code]],"-",Ruimtestaat[[#This Row],[Frequentie weekend]]," ",Ruimtestaat[[#This Row],[Vloer code]]))</f>
        <v/>
      </c>
      <c r="BE151" s="363" t="str">
        <f>_xlfn.IFNA(VLOOKUP($BD151,Programma!$F$3:$G$1107,2,0),"")</f>
        <v/>
      </c>
      <c r="BF151" s="363" t="str">
        <f>_xlfn.IFNA(VLOOKUP($BD151,Programma!$F$3:$H$1107,3,0),"")</f>
        <v/>
      </c>
      <c r="BG151" s="363" t="str">
        <f>_xlfn.IFNA(VLOOKUP($BD151,Programma!$F$3:$I$1107,4,0),"")</f>
        <v/>
      </c>
      <c r="BH151" s="363" t="str">
        <f>_xlfn.IFNA(VLOOKUP($BD151,Programma!$F$3:$J$1107,5,0),"")</f>
        <v/>
      </c>
      <c r="BI151" s="363" t="str">
        <f>_xlfn.IFNA(VLOOKUP($BD151,Programma!$F$3:$K$1107,6,0),"")</f>
        <v/>
      </c>
      <c r="BJ151" s="363" t="str">
        <f>_xlfn.IFNA(VLOOKUP($BD151,Programma!$F$3:$L$1107,7,0),"")</f>
        <v/>
      </c>
      <c r="BK151" s="363" t="str">
        <f>_xlfn.IFNA(VLOOKUP($BD151,Programma!$F$3:$M$1107,8,0),"")</f>
        <v/>
      </c>
      <c r="BL151" s="363" t="str">
        <f>_xlfn.IFNA(VLOOKUP($BD151,Programma!$F$3:$N$1107,9,0),"")</f>
        <v/>
      </c>
      <c r="BM151" s="363" t="str">
        <f>_xlfn.IFNA(VLOOKUP($BD151,Programma!$F$3:$O$1107,10,0),"")</f>
        <v/>
      </c>
      <c r="BN151" s="363" t="str">
        <f>_xlfn.IFNA(VLOOKUP($BD151,Programma!$F$3:$P$1107,11,0),"")</f>
        <v/>
      </c>
      <c r="BO151" s="363" t="str">
        <f>_xlfn.IFNA(VLOOKUP($BD151,Programma!$F$3:$Q$1107,12,0),"")</f>
        <v/>
      </c>
      <c r="BP151" s="363" t="str">
        <f>_xlfn.IFNA(VLOOKUP($BD151,Programma!$F$3:$R$1107,13,0),"")</f>
        <v/>
      </c>
      <c r="BQ151" s="363" t="str">
        <f>_xlfn.IFNA(VLOOKUP($BD151,Programma!$F$3:$S$1107,14,0),"")</f>
        <v/>
      </c>
      <c r="BR151" s="363" t="str">
        <f>_xlfn.IFNA(VLOOKUP($BD151,Programma!$F$3:$T$1107,15,0),"")</f>
        <v/>
      </c>
      <c r="BS151" s="363" t="str">
        <f>_xlfn.IFNA(VLOOKUP($BD151,Programma!$F$3:$U$1107,16,0),"")</f>
        <v/>
      </c>
      <c r="BT151" s="363" t="str">
        <f>_xlfn.IFNA(VLOOKUP($BD151,Programma!$F$3:$V$1107,17,0),"")</f>
        <v/>
      </c>
      <c r="BU151" s="363" t="str">
        <f>_xlfn.IFNA(VLOOKUP($BD151,Programma!$F$3:$W$1107,18,0),"")</f>
        <v/>
      </c>
      <c r="BV151" s="363" t="str">
        <f>_xlfn.IFNA(VLOOKUP($BD151,Programma!$F$3:$X$1107,19,0),"")</f>
        <v/>
      </c>
      <c r="BW151" s="363" t="str">
        <f>_xlfn.IFNA(VLOOKUP($BD151,Programma!$F$3:$Y$1107,20,0),"")</f>
        <v/>
      </c>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row>
    <row r="152" spans="1:220" ht="15" customHeight="1">
      <c r="A152" s="21">
        <v>3</v>
      </c>
      <c r="B152" s="157" t="str">
        <f>VLOOKUP(Ruimtestaat[[#This Row],[Code]],Locaties[[Code]:[Locatie]],2,FALSE)</f>
        <v>'s Gravendreef College - Dependance</v>
      </c>
      <c r="C152" s="157" t="str">
        <f>VLOOKUP(Ruimtestaat[[#This Row],[Code]],Locaties[[#All],[Code]:[Adres]],4,FALSE)</f>
        <v>Henri Faasdreef 200</v>
      </c>
      <c r="D152" s="157" t="str">
        <f>VLOOKUP(Ruimtestaat[[#This Row],[Code]],Locaties[[#All],[Code]:[Postcode]],5,FALSE)</f>
        <v>2492 JP</v>
      </c>
      <c r="E152" s="157" t="str">
        <f>VLOOKUP(Ruimtestaat[[#This Row],[Code]],Locaties[#All],6,FALSE)</f>
        <v>Den Haag</v>
      </c>
      <c r="F152" s="33" t="s">
        <v>1801</v>
      </c>
      <c r="G152" s="33" t="s">
        <v>1749</v>
      </c>
      <c r="H152" s="21" t="s">
        <v>1836</v>
      </c>
      <c r="I152" s="62" t="s">
        <v>1634</v>
      </c>
      <c r="J152" s="21">
        <v>6</v>
      </c>
      <c r="K152" s="62" t="str">
        <f>VLOOKUP(Ruimtestaat[[#This Row],[Ruimte code]],Ruimtegroepen[[#All],[Code]:[Ruimte omschrijving]],2,FALSE)</f>
        <v>Gangen/hallen</v>
      </c>
      <c r="L152" s="33" t="s">
        <v>2504</v>
      </c>
      <c r="M152" s="367" t="s">
        <v>2495</v>
      </c>
      <c r="N152" s="140">
        <v>31.45</v>
      </c>
      <c r="O152" s="140"/>
      <c r="P152" s="125" t="str">
        <f>VLOOKUP(Ruimtestaat[[#This Row],[Ruimte code]],Ruimtegroepen[],4,FALSE)</f>
        <v>Ve</v>
      </c>
      <c r="R152" s="33">
        <v>40</v>
      </c>
      <c r="S152" s="33" t="s">
        <v>2</v>
      </c>
      <c r="T152" s="33">
        <f>IF(R152&gt;0,IF(RIGHT(Ruimtestaat[[#This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2" s="33">
        <f>IF(T152&gt;0,VLOOKUP($J152,Ruimtegroepen[],3,FALSE)*VLOOKUP($L152,Vloersoorten[],3,FALSE)*VLOOKUP($S152,Frequenties[],3,FALSE)*VLOOKUP($A152,Locaties[],3,FALSE),0)</f>
        <v>0</v>
      </c>
      <c r="V152" s="33">
        <f>Ruimtestaat[[#This Row],[Uitvoeringen werkdagen]]*Ruimtestaat[[#This Row],[Oppervlak (netto)]]</f>
        <v>6290</v>
      </c>
      <c r="W152" s="154">
        <f>IF(U152&gt;0,Ruimtestaat[[#This Row],[Prest. (m2 /jaar) werkdagen]]/Ruimtestaat[[#This Row],[Norm (m2/uur) werkdagen]],0)</f>
        <v>0</v>
      </c>
      <c r="X152" s="155">
        <f>Ruimtestaat[[#This Row],[uren / jaar werkdagen]]*Tariefsopbouw!$E$35</f>
        <v>0</v>
      </c>
      <c r="Y152" s="33"/>
      <c r="Z152" s="33">
        <f>IF(Ruimtestaat[[#This Row],[Frequentie weekend]]&gt;0,VALUE(LEFT(Y152,1))*R152,0)</f>
        <v>0</v>
      </c>
      <c r="AA152" s="97">
        <f>IF($Z152&gt;0,VLOOKUP($J152,Ruimtegroepen[],3,FALSE)*VLOOKUP($L152,Vloersoorten[],3,FALSE)*VLOOKUP($Y152,Frequenties[],3,FALSE)*VLOOKUP(Ruimtestaat[[#This Row],[Code]],Locaties[],3,FALSE),0)</f>
        <v>0</v>
      </c>
      <c r="AB152" s="97">
        <f>Ruimtestaat[[#This Row],[Uitvoeringen weekend]]*Ruimtestaat[[#This Row],[Oppervlak (netto)]]</f>
        <v>0</v>
      </c>
      <c r="AC152" s="97">
        <f>IF(AA152&gt;0,Ruimtestaat[[#This Row],[Prest. (m2 /jaar) weekend]]/Ruimtestaat[[#This Row],[Norm (m2/uur) weekend]],0)</f>
        <v>0</v>
      </c>
      <c r="AD152" s="155">
        <f>Ruimtestaat[[#This Row],[uren / jaar weekend]]*Tariefsopbouw!$D$40</f>
        <v>0</v>
      </c>
      <c r="AE152" s="154">
        <f>Ruimtestaat[[#This Row],[Prest. (m2 /jaar) weekend]]+Ruimtestaat[[#This Row],[Prest. (m2 /jaar) werkdagen]]</f>
        <v>6290</v>
      </c>
      <c r="AF152" s="154">
        <f>Ruimtestaat[[#This Row],[uren / jaar weekend]]+Ruimtestaat[[#This Row],[uren / jaar werkdagen]]</f>
        <v>0</v>
      </c>
      <c r="AG152" s="69">
        <f>Ruimtestaat[[#This Row],[kosten / jaar weekend]]+Ruimtestaat[[#This Row],[kosten / jaar werkdagen]]</f>
        <v>0</v>
      </c>
      <c r="AH152" s="69"/>
      <c r="AI152" s="256" t="str">
        <f>IF(Ruimtestaat[[#This Row],[Frequentie werkdagen]]="","",_xlfn.CONCAT(Ruimtestaat[[#This Row],[Ruimte code]],"-",Ruimtestaat[[#This Row],[Frequentie werkdagen]]," ",Ruimtestaat[[#This Row],[Vloer code]]))</f>
        <v>6-5w l</v>
      </c>
      <c r="AJ152" s="363" t="str">
        <f>_xlfn.IFNA(VLOOKUP($AI152,Programma!$F$3:$G$1107,2,0),"")</f>
        <v>_</v>
      </c>
      <c r="AK152" s="363" t="str">
        <f>_xlfn.IFNA(VLOOKUP($AI152,Programma!$F$3:$H$1107,3,0),"")</f>
        <v>_</v>
      </c>
      <c r="AL152" s="363" t="str">
        <f>_xlfn.IFNA(VLOOKUP($AI152,Programma!$F$3:$I$1107,4,0),"")</f>
        <v>_</v>
      </c>
      <c r="AM152" s="363" t="str">
        <f>_xlfn.IFNA(VLOOKUP($AI152,Programma!$F$3:$J$1107,5,0),"")</f>
        <v>5w</v>
      </c>
      <c r="AN152" s="363" t="str">
        <f>_xlfn.IFNA(VLOOKUP($AI152,Programma!$F$3:$K$1107,6,0),"")</f>
        <v>_</v>
      </c>
      <c r="AO152" s="363" t="str">
        <f>_xlfn.IFNA(VLOOKUP($AI152,Programma!$F$3:$L$1107,7,0),"")</f>
        <v>_</v>
      </c>
      <c r="AP152" s="363" t="str">
        <f>_xlfn.IFNA(VLOOKUP($AI152,Programma!$F$3:$M$1107,8,0),"")</f>
        <v>_</v>
      </c>
      <c r="AQ152" s="363" t="str">
        <f>_xlfn.IFNA(VLOOKUP($AI152,Programma!$F$3:$N$1107,9,0),"")</f>
        <v>_</v>
      </c>
      <c r="AR152" s="363" t="str">
        <f>_xlfn.IFNA(VLOOKUP($AI152,Programma!$F$3:$O$1107,10,0),"")</f>
        <v>5w</v>
      </c>
      <c r="AS152" s="363" t="str">
        <f>_xlfn.IFNA(VLOOKUP($AI152,Programma!$F$3:$P$1107,11,0),"")</f>
        <v>5w</v>
      </c>
      <c r="AT152" s="363" t="str">
        <f>_xlfn.IFNA(VLOOKUP($AI152,Programma!$F$3:$Q$1107,12,0),"")</f>
        <v>1w</v>
      </c>
      <c r="AU152" s="363" t="str">
        <f>_xlfn.IFNA(VLOOKUP($AI152,Programma!$F$3:$R$1107,13,0),"")</f>
        <v>1w</v>
      </c>
      <c r="AV152" s="363" t="str">
        <f>_xlfn.IFNA(VLOOKUP($AI152,Programma!$F$3:$S$1107,14,0),"")</f>
        <v>1m</v>
      </c>
      <c r="AW152" s="363" t="str">
        <f>_xlfn.IFNA(VLOOKUP($AI152,Programma!$F$3:$T$1107,15,0),"")</f>
        <v>2j</v>
      </c>
      <c r="AX152" s="363" t="str">
        <f>_xlfn.IFNA(VLOOKUP($AI152,Programma!$F$3:$U$1107,16,0),"")</f>
        <v>1j</v>
      </c>
      <c r="AY152" s="363" t="str">
        <f>_xlfn.IFNA(VLOOKUP($AI152,Programma!$F$3:$V$1107,17,0),"")</f>
        <v>_</v>
      </c>
      <c r="AZ152" s="363" t="str">
        <f>_xlfn.IFNA(VLOOKUP($AI152,Programma!$F$3:$W$1107,18,0),"")</f>
        <v>_</v>
      </c>
      <c r="BA152" s="363" t="str">
        <f>_xlfn.IFNA(VLOOKUP($AI152,Programma!$F$3:$X$1107,19,0),"")</f>
        <v>_</v>
      </c>
      <c r="BB152" s="363" t="str">
        <f>_xlfn.IFNA(VLOOKUP($AI152,Programma!$F$3:$Y$1107,20,0),"")</f>
        <v>_</v>
      </c>
      <c r="BC152" s="257"/>
      <c r="BD152" s="256" t="str">
        <f>IF(Ruimtestaat[[#This Row],[Frequentie weekend]]="","",_xlfn.CONCAT(Ruimtestaat[[#This Row],[Ruimte code]],"-",Ruimtestaat[[#This Row],[Frequentie weekend]]," ",Ruimtestaat[[#This Row],[Vloer code]]))</f>
        <v/>
      </c>
      <c r="BE152" s="363" t="str">
        <f>_xlfn.IFNA(VLOOKUP($BD152,Programma!$F$3:$G$1107,2,0),"")</f>
        <v/>
      </c>
      <c r="BF152" s="363" t="str">
        <f>_xlfn.IFNA(VLOOKUP($BD152,Programma!$F$3:$H$1107,3,0),"")</f>
        <v/>
      </c>
      <c r="BG152" s="363" t="str">
        <f>_xlfn.IFNA(VLOOKUP($BD152,Programma!$F$3:$I$1107,4,0),"")</f>
        <v/>
      </c>
      <c r="BH152" s="363" t="str">
        <f>_xlfn.IFNA(VLOOKUP($BD152,Programma!$F$3:$J$1107,5,0),"")</f>
        <v/>
      </c>
      <c r="BI152" s="363" t="str">
        <f>_xlfn.IFNA(VLOOKUP($BD152,Programma!$F$3:$K$1107,6,0),"")</f>
        <v/>
      </c>
      <c r="BJ152" s="363" t="str">
        <f>_xlfn.IFNA(VLOOKUP($BD152,Programma!$F$3:$L$1107,7,0),"")</f>
        <v/>
      </c>
      <c r="BK152" s="363" t="str">
        <f>_xlfn.IFNA(VLOOKUP($BD152,Programma!$F$3:$M$1107,8,0),"")</f>
        <v/>
      </c>
      <c r="BL152" s="363" t="str">
        <f>_xlfn.IFNA(VLOOKUP($BD152,Programma!$F$3:$N$1107,9,0),"")</f>
        <v/>
      </c>
      <c r="BM152" s="363" t="str">
        <f>_xlfn.IFNA(VLOOKUP($BD152,Programma!$F$3:$O$1107,10,0),"")</f>
        <v/>
      </c>
      <c r="BN152" s="363" t="str">
        <f>_xlfn.IFNA(VLOOKUP($BD152,Programma!$F$3:$P$1107,11,0),"")</f>
        <v/>
      </c>
      <c r="BO152" s="363" t="str">
        <f>_xlfn.IFNA(VLOOKUP($BD152,Programma!$F$3:$Q$1107,12,0),"")</f>
        <v/>
      </c>
      <c r="BP152" s="363" t="str">
        <f>_xlfn.IFNA(VLOOKUP($BD152,Programma!$F$3:$R$1107,13,0),"")</f>
        <v/>
      </c>
      <c r="BQ152" s="363" t="str">
        <f>_xlfn.IFNA(VLOOKUP($BD152,Programma!$F$3:$S$1107,14,0),"")</f>
        <v/>
      </c>
      <c r="BR152" s="363" t="str">
        <f>_xlfn.IFNA(VLOOKUP($BD152,Programma!$F$3:$T$1107,15,0),"")</f>
        <v/>
      </c>
      <c r="BS152" s="363" t="str">
        <f>_xlfn.IFNA(VLOOKUP($BD152,Programma!$F$3:$U$1107,16,0),"")</f>
        <v/>
      </c>
      <c r="BT152" s="363" t="str">
        <f>_xlfn.IFNA(VLOOKUP($BD152,Programma!$F$3:$V$1107,17,0),"")</f>
        <v/>
      </c>
      <c r="BU152" s="363" t="str">
        <f>_xlfn.IFNA(VLOOKUP($BD152,Programma!$F$3:$W$1107,18,0),"")</f>
        <v/>
      </c>
      <c r="BV152" s="363" t="str">
        <f>_xlfn.IFNA(VLOOKUP($BD152,Programma!$F$3:$X$1107,19,0),"")</f>
        <v/>
      </c>
      <c r="BW152" s="363" t="str">
        <f>_xlfn.IFNA(VLOOKUP($BD152,Programma!$F$3:$Y$1107,20,0),"")</f>
        <v/>
      </c>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row>
    <row r="153" spans="1:220" ht="15" customHeight="1">
      <c r="A153" s="21">
        <v>3</v>
      </c>
      <c r="B153" s="157" t="str">
        <f>VLOOKUP(Ruimtestaat[[#This Row],[Code]],Locaties[[Code]:[Locatie]],2,FALSE)</f>
        <v>'s Gravendreef College - Dependance</v>
      </c>
      <c r="C153" s="157" t="str">
        <f>VLOOKUP(Ruimtestaat[[#This Row],[Code]],Locaties[[#All],[Code]:[Adres]],4,FALSE)</f>
        <v>Henri Faasdreef 200</v>
      </c>
      <c r="D153" s="157" t="str">
        <f>VLOOKUP(Ruimtestaat[[#This Row],[Code]],Locaties[[#All],[Code]:[Postcode]],5,FALSE)</f>
        <v>2492 JP</v>
      </c>
      <c r="E153" s="157" t="str">
        <f>VLOOKUP(Ruimtestaat[[#This Row],[Code]],Locaties[#All],6,FALSE)</f>
        <v>Den Haag</v>
      </c>
      <c r="F153" s="33" t="s">
        <v>1801</v>
      </c>
      <c r="G153" s="33" t="s">
        <v>1749</v>
      </c>
      <c r="H153" s="21" t="s">
        <v>1817</v>
      </c>
      <c r="I153" s="62" t="s">
        <v>1837</v>
      </c>
      <c r="J153" s="21">
        <v>20</v>
      </c>
      <c r="K153" s="62" t="str">
        <f>VLOOKUP(Ruimtestaat[[#This Row],[Ruimte code]],Ruimtegroepen[[#All],[Code]:[Ruimte omschrijving]],2,FALSE)</f>
        <v>Niet in Onderhoud</v>
      </c>
      <c r="L153" s="33" t="s">
        <v>102</v>
      </c>
      <c r="M153" s="367" t="s">
        <v>2499</v>
      </c>
      <c r="N153" s="140"/>
      <c r="O153" s="140">
        <v>1.54</v>
      </c>
      <c r="P153" s="125">
        <f>VLOOKUP(Ruimtestaat[[#This Row],[Ruimte code]],Ruimtegroepen[],4,FALSE)</f>
        <v>0</v>
      </c>
      <c r="R153" s="33"/>
      <c r="S153" s="33"/>
      <c r="T153" s="33">
        <f>IF(R153&gt;0,IF(RIGHT(Ruimtestaat[[#This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3" s="33">
        <f>IF(T153&gt;0,VLOOKUP($J153,Ruimtegroepen[],3,FALSE)*VLOOKUP($L153,Vloersoorten[],3,FALSE)*VLOOKUP($S153,Frequenties[],3,FALSE)*VLOOKUP($A153,Locaties[],3,FALSE),0)</f>
        <v>0</v>
      </c>
      <c r="V153" s="33">
        <f>Ruimtestaat[[#This Row],[Uitvoeringen werkdagen]]*Ruimtestaat[[#This Row],[Oppervlak (netto)]]</f>
        <v>0</v>
      </c>
      <c r="W153" s="154">
        <f>IF(U153&gt;0,Ruimtestaat[[#This Row],[Prest. (m2 /jaar) werkdagen]]/Ruimtestaat[[#This Row],[Norm (m2/uur) werkdagen]],0)</f>
        <v>0</v>
      </c>
      <c r="X153" s="155">
        <f>Ruimtestaat[[#This Row],[uren / jaar werkdagen]]*Tariefsopbouw!$E$35</f>
        <v>0</v>
      </c>
      <c r="Y153" s="33"/>
      <c r="Z153" s="33">
        <f>IF(Ruimtestaat[[#This Row],[Frequentie weekend]]&gt;0,VALUE(LEFT(Y153,1))*R153,0)</f>
        <v>0</v>
      </c>
      <c r="AA153" s="97">
        <f>IF($Z153&gt;0,VLOOKUP($J153,Ruimtegroepen[],3,FALSE)*VLOOKUP($L153,Vloersoorten[],3,FALSE)*VLOOKUP($Y153,Frequenties[],3,FALSE)*VLOOKUP(Ruimtestaat[[#This Row],[Code]],Locaties[],3,FALSE),0)</f>
        <v>0</v>
      </c>
      <c r="AB153" s="97">
        <f>Ruimtestaat[[#This Row],[Uitvoeringen weekend]]*Ruimtestaat[[#This Row],[Oppervlak (netto)]]</f>
        <v>0</v>
      </c>
      <c r="AC153" s="97">
        <f>IF(AA153&gt;0,Ruimtestaat[[#This Row],[Prest. (m2 /jaar) weekend]]/Ruimtestaat[[#This Row],[Norm (m2/uur) weekend]],0)</f>
        <v>0</v>
      </c>
      <c r="AD153" s="155">
        <f>Ruimtestaat[[#This Row],[uren / jaar weekend]]*Tariefsopbouw!$D$40</f>
        <v>0</v>
      </c>
      <c r="AE153" s="154">
        <f>Ruimtestaat[[#This Row],[Prest. (m2 /jaar) weekend]]+Ruimtestaat[[#This Row],[Prest. (m2 /jaar) werkdagen]]</f>
        <v>0</v>
      </c>
      <c r="AF153" s="154">
        <f>Ruimtestaat[[#This Row],[uren / jaar weekend]]+Ruimtestaat[[#This Row],[uren / jaar werkdagen]]</f>
        <v>0</v>
      </c>
      <c r="AG153" s="69">
        <f>Ruimtestaat[[#This Row],[kosten / jaar weekend]]+Ruimtestaat[[#This Row],[kosten / jaar werkdagen]]</f>
        <v>0</v>
      </c>
      <c r="AH153" s="69"/>
      <c r="AI153" s="256" t="str">
        <f>IF(Ruimtestaat[[#This Row],[Frequentie werkdagen]]="","",_xlfn.CONCAT(Ruimtestaat[[#This Row],[Ruimte code]],"-",Ruimtestaat[[#This Row],[Frequentie werkdagen]]," ",Ruimtestaat[[#This Row],[Vloer code]]))</f>
        <v/>
      </c>
      <c r="AJ153" s="363" t="str">
        <f>_xlfn.IFNA(VLOOKUP($AI153,Programma!$F$3:$G$1107,2,0),"")</f>
        <v/>
      </c>
      <c r="AK153" s="363" t="str">
        <f>_xlfn.IFNA(VLOOKUP($AI153,Programma!$F$3:$H$1107,3,0),"")</f>
        <v/>
      </c>
      <c r="AL153" s="363" t="str">
        <f>_xlfn.IFNA(VLOOKUP($AI153,Programma!$F$3:$I$1107,4,0),"")</f>
        <v/>
      </c>
      <c r="AM153" s="363" t="str">
        <f>_xlfn.IFNA(VLOOKUP($AI153,Programma!$F$3:$J$1107,5,0),"")</f>
        <v/>
      </c>
      <c r="AN153" s="363" t="str">
        <f>_xlfn.IFNA(VLOOKUP($AI153,Programma!$F$3:$K$1107,6,0),"")</f>
        <v/>
      </c>
      <c r="AO153" s="363" t="str">
        <f>_xlfn.IFNA(VLOOKUP($AI153,Programma!$F$3:$L$1107,7,0),"")</f>
        <v/>
      </c>
      <c r="AP153" s="363" t="str">
        <f>_xlfn.IFNA(VLOOKUP($AI153,Programma!$F$3:$M$1107,8,0),"")</f>
        <v/>
      </c>
      <c r="AQ153" s="363" t="str">
        <f>_xlfn.IFNA(VLOOKUP($AI153,Programma!$F$3:$N$1107,9,0),"")</f>
        <v/>
      </c>
      <c r="AR153" s="363" t="str">
        <f>_xlfn.IFNA(VLOOKUP($AI153,Programma!$F$3:$O$1107,10,0),"")</f>
        <v/>
      </c>
      <c r="AS153" s="363" t="str">
        <f>_xlfn.IFNA(VLOOKUP($AI153,Programma!$F$3:$P$1107,11,0),"")</f>
        <v/>
      </c>
      <c r="AT153" s="363" t="str">
        <f>_xlfn.IFNA(VLOOKUP($AI153,Programma!$F$3:$Q$1107,12,0),"")</f>
        <v/>
      </c>
      <c r="AU153" s="363" t="str">
        <f>_xlfn.IFNA(VLOOKUP($AI153,Programma!$F$3:$R$1107,13,0),"")</f>
        <v/>
      </c>
      <c r="AV153" s="363" t="str">
        <f>_xlfn.IFNA(VLOOKUP($AI153,Programma!$F$3:$S$1107,14,0),"")</f>
        <v/>
      </c>
      <c r="AW153" s="363" t="str">
        <f>_xlfn.IFNA(VLOOKUP($AI153,Programma!$F$3:$T$1107,15,0),"")</f>
        <v/>
      </c>
      <c r="AX153" s="363" t="str">
        <f>_xlfn.IFNA(VLOOKUP($AI153,Programma!$F$3:$U$1107,16,0),"")</f>
        <v/>
      </c>
      <c r="AY153" s="363" t="str">
        <f>_xlfn.IFNA(VLOOKUP($AI153,Programma!$F$3:$V$1107,17,0),"")</f>
        <v/>
      </c>
      <c r="AZ153" s="363" t="str">
        <f>_xlfn.IFNA(VLOOKUP($AI153,Programma!$F$3:$W$1107,18,0),"")</f>
        <v/>
      </c>
      <c r="BA153" s="363" t="str">
        <f>_xlfn.IFNA(VLOOKUP($AI153,Programma!$F$3:$X$1107,19,0),"")</f>
        <v/>
      </c>
      <c r="BB153" s="363" t="str">
        <f>_xlfn.IFNA(VLOOKUP($AI153,Programma!$F$3:$Y$1107,20,0),"")</f>
        <v/>
      </c>
      <c r="BC153" s="257"/>
      <c r="BD153" s="256" t="str">
        <f>IF(Ruimtestaat[[#This Row],[Frequentie weekend]]="","",_xlfn.CONCAT(Ruimtestaat[[#This Row],[Ruimte code]],"-",Ruimtestaat[[#This Row],[Frequentie weekend]]," ",Ruimtestaat[[#This Row],[Vloer code]]))</f>
        <v/>
      </c>
      <c r="BE153" s="363" t="str">
        <f>_xlfn.IFNA(VLOOKUP($BD153,Programma!$F$3:$G$1107,2,0),"")</f>
        <v/>
      </c>
      <c r="BF153" s="363" t="str">
        <f>_xlfn.IFNA(VLOOKUP($BD153,Programma!$F$3:$H$1107,3,0),"")</f>
        <v/>
      </c>
      <c r="BG153" s="363" t="str">
        <f>_xlfn.IFNA(VLOOKUP($BD153,Programma!$F$3:$I$1107,4,0),"")</f>
        <v/>
      </c>
      <c r="BH153" s="363" t="str">
        <f>_xlfn.IFNA(VLOOKUP($BD153,Programma!$F$3:$J$1107,5,0),"")</f>
        <v/>
      </c>
      <c r="BI153" s="363" t="str">
        <f>_xlfn.IFNA(VLOOKUP($BD153,Programma!$F$3:$K$1107,6,0),"")</f>
        <v/>
      </c>
      <c r="BJ153" s="363" t="str">
        <f>_xlfn.IFNA(VLOOKUP($BD153,Programma!$F$3:$L$1107,7,0),"")</f>
        <v/>
      </c>
      <c r="BK153" s="363" t="str">
        <f>_xlfn.IFNA(VLOOKUP($BD153,Programma!$F$3:$M$1107,8,0),"")</f>
        <v/>
      </c>
      <c r="BL153" s="363" t="str">
        <f>_xlfn.IFNA(VLOOKUP($BD153,Programma!$F$3:$N$1107,9,0),"")</f>
        <v/>
      </c>
      <c r="BM153" s="363" t="str">
        <f>_xlfn.IFNA(VLOOKUP($BD153,Programma!$F$3:$O$1107,10,0),"")</f>
        <v/>
      </c>
      <c r="BN153" s="363" t="str">
        <f>_xlfn.IFNA(VLOOKUP($BD153,Programma!$F$3:$P$1107,11,0),"")</f>
        <v/>
      </c>
      <c r="BO153" s="363" t="str">
        <f>_xlfn.IFNA(VLOOKUP($BD153,Programma!$F$3:$Q$1107,12,0),"")</f>
        <v/>
      </c>
      <c r="BP153" s="363" t="str">
        <f>_xlfn.IFNA(VLOOKUP($BD153,Programma!$F$3:$R$1107,13,0),"")</f>
        <v/>
      </c>
      <c r="BQ153" s="363" t="str">
        <f>_xlfn.IFNA(VLOOKUP($BD153,Programma!$F$3:$S$1107,14,0),"")</f>
        <v/>
      </c>
      <c r="BR153" s="363" t="str">
        <f>_xlfn.IFNA(VLOOKUP($BD153,Programma!$F$3:$T$1107,15,0),"")</f>
        <v/>
      </c>
      <c r="BS153" s="363" t="str">
        <f>_xlfn.IFNA(VLOOKUP($BD153,Programma!$F$3:$U$1107,16,0),"")</f>
        <v/>
      </c>
      <c r="BT153" s="363" t="str">
        <f>_xlfn.IFNA(VLOOKUP($BD153,Programma!$F$3:$V$1107,17,0),"")</f>
        <v/>
      </c>
      <c r="BU153" s="363" t="str">
        <f>_xlfn.IFNA(VLOOKUP($BD153,Programma!$F$3:$W$1107,18,0),"")</f>
        <v/>
      </c>
      <c r="BV153" s="363" t="str">
        <f>_xlfn.IFNA(VLOOKUP($BD153,Programma!$F$3:$X$1107,19,0),"")</f>
        <v/>
      </c>
      <c r="BW153" s="363" t="str">
        <f>_xlfn.IFNA(VLOOKUP($BD153,Programma!$F$3:$Y$1107,20,0),"")</f>
        <v/>
      </c>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row>
    <row r="154" spans="1:220" ht="15" customHeight="1">
      <c r="A154" s="21">
        <v>3</v>
      </c>
      <c r="B154" s="157" t="str">
        <f>VLOOKUP(Ruimtestaat[[#This Row],[Code]],Locaties[[Code]:[Locatie]],2,FALSE)</f>
        <v>'s Gravendreef College - Dependance</v>
      </c>
      <c r="C154" s="157" t="str">
        <f>VLOOKUP(Ruimtestaat[[#This Row],[Code]],Locaties[[#All],[Code]:[Adres]],4,FALSE)</f>
        <v>Henri Faasdreef 200</v>
      </c>
      <c r="D154" s="157" t="str">
        <f>VLOOKUP(Ruimtestaat[[#This Row],[Code]],Locaties[[#All],[Code]:[Postcode]],5,FALSE)</f>
        <v>2492 JP</v>
      </c>
      <c r="E154" s="157" t="str">
        <f>VLOOKUP(Ruimtestaat[[#This Row],[Code]],Locaties[#All],6,FALSE)</f>
        <v>Den Haag</v>
      </c>
      <c r="F154" s="33" t="s">
        <v>1801</v>
      </c>
      <c r="G154" s="33" t="s">
        <v>1749</v>
      </c>
      <c r="H154" s="21" t="s">
        <v>1824</v>
      </c>
      <c r="I154" s="62" t="s">
        <v>1838</v>
      </c>
      <c r="J154" s="21">
        <v>20</v>
      </c>
      <c r="K154" s="62" t="str">
        <f>VLOOKUP(Ruimtestaat[[#This Row],[Ruimte code]],Ruimtegroepen[[#All],[Code]:[Ruimte omschrijving]],2,FALSE)</f>
        <v>Niet in Onderhoud</v>
      </c>
      <c r="L154" s="33" t="s">
        <v>102</v>
      </c>
      <c r="M154" s="367" t="s">
        <v>2499</v>
      </c>
      <c r="N154" s="140"/>
      <c r="O154" s="140">
        <v>0.9</v>
      </c>
      <c r="P154" s="125">
        <f>VLOOKUP(Ruimtestaat[[#This Row],[Ruimte code]],Ruimtegroepen[],4,FALSE)</f>
        <v>0</v>
      </c>
      <c r="R154" s="33"/>
      <c r="S154" s="33"/>
      <c r="T154" s="33">
        <f>IF(R154&gt;0,IF(RIGHT(Ruimtestaat[[#This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4" s="33">
        <f>IF(T154&gt;0,VLOOKUP($J154,Ruimtegroepen[],3,FALSE)*VLOOKUP($L154,Vloersoorten[],3,FALSE)*VLOOKUP($S154,Frequenties[],3,FALSE)*VLOOKUP($A154,Locaties[],3,FALSE),0)</f>
        <v>0</v>
      </c>
      <c r="V154" s="33">
        <f>Ruimtestaat[[#This Row],[Uitvoeringen werkdagen]]*Ruimtestaat[[#This Row],[Oppervlak (netto)]]</f>
        <v>0</v>
      </c>
      <c r="W154" s="154">
        <f>IF(U154&gt;0,Ruimtestaat[[#This Row],[Prest. (m2 /jaar) werkdagen]]/Ruimtestaat[[#This Row],[Norm (m2/uur) werkdagen]],0)</f>
        <v>0</v>
      </c>
      <c r="X154" s="155">
        <f>Ruimtestaat[[#This Row],[uren / jaar werkdagen]]*Tariefsopbouw!$E$35</f>
        <v>0</v>
      </c>
      <c r="Y154" s="33"/>
      <c r="Z154" s="33">
        <f>IF(Ruimtestaat[[#This Row],[Frequentie weekend]]&gt;0,VALUE(LEFT(Y154,1))*R154,0)</f>
        <v>0</v>
      </c>
      <c r="AA154" s="97">
        <f>IF($Z154&gt;0,VLOOKUP($J154,Ruimtegroepen[],3,FALSE)*VLOOKUP($L154,Vloersoorten[],3,FALSE)*VLOOKUP($Y154,Frequenties[],3,FALSE)*VLOOKUP(Ruimtestaat[[#This Row],[Code]],Locaties[],3,FALSE),0)</f>
        <v>0</v>
      </c>
      <c r="AB154" s="97">
        <f>Ruimtestaat[[#This Row],[Uitvoeringen weekend]]*Ruimtestaat[[#This Row],[Oppervlak (netto)]]</f>
        <v>0</v>
      </c>
      <c r="AC154" s="97">
        <f>IF(AA154&gt;0,Ruimtestaat[[#This Row],[Prest. (m2 /jaar) weekend]]/Ruimtestaat[[#This Row],[Norm (m2/uur) weekend]],0)</f>
        <v>0</v>
      </c>
      <c r="AD154" s="155">
        <f>Ruimtestaat[[#This Row],[uren / jaar weekend]]*Tariefsopbouw!$D$40</f>
        <v>0</v>
      </c>
      <c r="AE154" s="154">
        <f>Ruimtestaat[[#This Row],[Prest. (m2 /jaar) weekend]]+Ruimtestaat[[#This Row],[Prest. (m2 /jaar) werkdagen]]</f>
        <v>0</v>
      </c>
      <c r="AF154" s="154">
        <f>Ruimtestaat[[#This Row],[uren / jaar weekend]]+Ruimtestaat[[#This Row],[uren / jaar werkdagen]]</f>
        <v>0</v>
      </c>
      <c r="AG154" s="69">
        <f>Ruimtestaat[[#This Row],[kosten / jaar weekend]]+Ruimtestaat[[#This Row],[kosten / jaar werkdagen]]</f>
        <v>0</v>
      </c>
      <c r="AH154" s="69"/>
      <c r="AI154" s="256" t="str">
        <f>IF(Ruimtestaat[[#This Row],[Frequentie werkdagen]]="","",_xlfn.CONCAT(Ruimtestaat[[#This Row],[Ruimte code]],"-",Ruimtestaat[[#This Row],[Frequentie werkdagen]]," ",Ruimtestaat[[#This Row],[Vloer code]]))</f>
        <v/>
      </c>
      <c r="AJ154" s="363" t="str">
        <f>_xlfn.IFNA(VLOOKUP($AI154,Programma!$F$3:$G$1107,2,0),"")</f>
        <v/>
      </c>
      <c r="AK154" s="363" t="str">
        <f>_xlfn.IFNA(VLOOKUP($AI154,Programma!$F$3:$H$1107,3,0),"")</f>
        <v/>
      </c>
      <c r="AL154" s="363" t="str">
        <f>_xlfn.IFNA(VLOOKUP($AI154,Programma!$F$3:$I$1107,4,0),"")</f>
        <v/>
      </c>
      <c r="AM154" s="363" t="str">
        <f>_xlfn.IFNA(VLOOKUP($AI154,Programma!$F$3:$J$1107,5,0),"")</f>
        <v/>
      </c>
      <c r="AN154" s="363" t="str">
        <f>_xlfn.IFNA(VLOOKUP($AI154,Programma!$F$3:$K$1107,6,0),"")</f>
        <v/>
      </c>
      <c r="AO154" s="363" t="str">
        <f>_xlfn.IFNA(VLOOKUP($AI154,Programma!$F$3:$L$1107,7,0),"")</f>
        <v/>
      </c>
      <c r="AP154" s="363" t="str">
        <f>_xlfn.IFNA(VLOOKUP($AI154,Programma!$F$3:$M$1107,8,0),"")</f>
        <v/>
      </c>
      <c r="AQ154" s="363" t="str">
        <f>_xlfn.IFNA(VLOOKUP($AI154,Programma!$F$3:$N$1107,9,0),"")</f>
        <v/>
      </c>
      <c r="AR154" s="363" t="str">
        <f>_xlfn.IFNA(VLOOKUP($AI154,Programma!$F$3:$O$1107,10,0),"")</f>
        <v/>
      </c>
      <c r="AS154" s="363" t="str">
        <f>_xlfn.IFNA(VLOOKUP($AI154,Programma!$F$3:$P$1107,11,0),"")</f>
        <v/>
      </c>
      <c r="AT154" s="363" t="str">
        <f>_xlfn.IFNA(VLOOKUP($AI154,Programma!$F$3:$Q$1107,12,0),"")</f>
        <v/>
      </c>
      <c r="AU154" s="363" t="str">
        <f>_xlfn.IFNA(VLOOKUP($AI154,Programma!$F$3:$R$1107,13,0),"")</f>
        <v/>
      </c>
      <c r="AV154" s="363" t="str">
        <f>_xlfn.IFNA(VLOOKUP($AI154,Programma!$F$3:$S$1107,14,0),"")</f>
        <v/>
      </c>
      <c r="AW154" s="363" t="str">
        <f>_xlfn.IFNA(VLOOKUP($AI154,Programma!$F$3:$T$1107,15,0),"")</f>
        <v/>
      </c>
      <c r="AX154" s="363" t="str">
        <f>_xlfn.IFNA(VLOOKUP($AI154,Programma!$F$3:$U$1107,16,0),"")</f>
        <v/>
      </c>
      <c r="AY154" s="363" t="str">
        <f>_xlfn.IFNA(VLOOKUP($AI154,Programma!$F$3:$V$1107,17,0),"")</f>
        <v/>
      </c>
      <c r="AZ154" s="363" t="str">
        <f>_xlfn.IFNA(VLOOKUP($AI154,Programma!$F$3:$W$1107,18,0),"")</f>
        <v/>
      </c>
      <c r="BA154" s="363" t="str">
        <f>_xlfn.IFNA(VLOOKUP($AI154,Programma!$F$3:$X$1107,19,0),"")</f>
        <v/>
      </c>
      <c r="BB154" s="363" t="str">
        <f>_xlfn.IFNA(VLOOKUP($AI154,Programma!$F$3:$Y$1107,20,0),"")</f>
        <v/>
      </c>
      <c r="BC154" s="257"/>
      <c r="BD154" s="256" t="str">
        <f>IF(Ruimtestaat[[#This Row],[Frequentie weekend]]="","",_xlfn.CONCAT(Ruimtestaat[[#This Row],[Ruimte code]],"-",Ruimtestaat[[#This Row],[Frequentie weekend]]," ",Ruimtestaat[[#This Row],[Vloer code]]))</f>
        <v/>
      </c>
      <c r="BE154" s="363" t="str">
        <f>_xlfn.IFNA(VLOOKUP($BD154,Programma!$F$3:$G$1107,2,0),"")</f>
        <v/>
      </c>
      <c r="BF154" s="363" t="str">
        <f>_xlfn.IFNA(VLOOKUP($BD154,Programma!$F$3:$H$1107,3,0),"")</f>
        <v/>
      </c>
      <c r="BG154" s="363" t="str">
        <f>_xlfn.IFNA(VLOOKUP($BD154,Programma!$F$3:$I$1107,4,0),"")</f>
        <v/>
      </c>
      <c r="BH154" s="363" t="str">
        <f>_xlfn.IFNA(VLOOKUP($BD154,Programma!$F$3:$J$1107,5,0),"")</f>
        <v/>
      </c>
      <c r="BI154" s="363" t="str">
        <f>_xlfn.IFNA(VLOOKUP($BD154,Programma!$F$3:$K$1107,6,0),"")</f>
        <v/>
      </c>
      <c r="BJ154" s="363" t="str">
        <f>_xlfn.IFNA(VLOOKUP($BD154,Programma!$F$3:$L$1107,7,0),"")</f>
        <v/>
      </c>
      <c r="BK154" s="363" t="str">
        <f>_xlfn.IFNA(VLOOKUP($BD154,Programma!$F$3:$M$1107,8,0),"")</f>
        <v/>
      </c>
      <c r="BL154" s="363" t="str">
        <f>_xlfn.IFNA(VLOOKUP($BD154,Programma!$F$3:$N$1107,9,0),"")</f>
        <v/>
      </c>
      <c r="BM154" s="363" t="str">
        <f>_xlfn.IFNA(VLOOKUP($BD154,Programma!$F$3:$O$1107,10,0),"")</f>
        <v/>
      </c>
      <c r="BN154" s="363" t="str">
        <f>_xlfn.IFNA(VLOOKUP($BD154,Programma!$F$3:$P$1107,11,0),"")</f>
        <v/>
      </c>
      <c r="BO154" s="363" t="str">
        <f>_xlfn.IFNA(VLOOKUP($BD154,Programma!$F$3:$Q$1107,12,0),"")</f>
        <v/>
      </c>
      <c r="BP154" s="363" t="str">
        <f>_xlfn.IFNA(VLOOKUP($BD154,Programma!$F$3:$R$1107,13,0),"")</f>
        <v/>
      </c>
      <c r="BQ154" s="363" t="str">
        <f>_xlfn.IFNA(VLOOKUP($BD154,Programma!$F$3:$S$1107,14,0),"")</f>
        <v/>
      </c>
      <c r="BR154" s="363" t="str">
        <f>_xlfn.IFNA(VLOOKUP($BD154,Programma!$F$3:$T$1107,15,0),"")</f>
        <v/>
      </c>
      <c r="BS154" s="363" t="str">
        <f>_xlfn.IFNA(VLOOKUP($BD154,Programma!$F$3:$U$1107,16,0),"")</f>
        <v/>
      </c>
      <c r="BT154" s="363" t="str">
        <f>_xlfn.IFNA(VLOOKUP($BD154,Programma!$F$3:$V$1107,17,0),"")</f>
        <v/>
      </c>
      <c r="BU154" s="363" t="str">
        <f>_xlfn.IFNA(VLOOKUP($BD154,Programma!$F$3:$W$1107,18,0),"")</f>
        <v/>
      </c>
      <c r="BV154" s="363" t="str">
        <f>_xlfn.IFNA(VLOOKUP($BD154,Programma!$F$3:$X$1107,19,0),"")</f>
        <v/>
      </c>
      <c r="BW154" s="363" t="str">
        <f>_xlfn.IFNA(VLOOKUP($BD154,Programma!$F$3:$Y$1107,20,0),"")</f>
        <v/>
      </c>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row>
    <row r="155" spans="1:220" ht="15" customHeight="1">
      <c r="A155" s="21">
        <v>3</v>
      </c>
      <c r="B155" s="157" t="str">
        <f>VLOOKUP(Ruimtestaat[[#This Row],[Code]],Locaties[[Code]:[Locatie]],2,FALSE)</f>
        <v>'s Gravendreef College - Dependance</v>
      </c>
      <c r="C155" s="157" t="str">
        <f>VLOOKUP(Ruimtestaat[[#This Row],[Code]],Locaties[[#All],[Code]:[Adres]],4,FALSE)</f>
        <v>Henri Faasdreef 200</v>
      </c>
      <c r="D155" s="157" t="str">
        <f>VLOOKUP(Ruimtestaat[[#This Row],[Code]],Locaties[[#All],[Code]:[Postcode]],5,FALSE)</f>
        <v>2492 JP</v>
      </c>
      <c r="E155" s="157" t="str">
        <f>VLOOKUP(Ruimtestaat[[#This Row],[Code]],Locaties[#All],6,FALSE)</f>
        <v>Den Haag</v>
      </c>
      <c r="F155" s="33" t="s">
        <v>1801</v>
      </c>
      <c r="G155" s="33" t="s">
        <v>1749</v>
      </c>
      <c r="H155" s="21" t="s">
        <v>1827</v>
      </c>
      <c r="I155" s="62" t="s">
        <v>1839</v>
      </c>
      <c r="J155" s="21">
        <v>20</v>
      </c>
      <c r="K155" s="62" t="str">
        <f>VLOOKUP(Ruimtestaat[[#This Row],[Ruimte code]],Ruimtegroepen[[#All],[Code]:[Ruimte omschrijving]],2,FALSE)</f>
        <v>Niet in Onderhoud</v>
      </c>
      <c r="L155" s="33" t="s">
        <v>102</v>
      </c>
      <c r="M155" s="367" t="s">
        <v>2499</v>
      </c>
      <c r="N155" s="140"/>
      <c r="O155" s="140">
        <v>1.1200000000000001</v>
      </c>
      <c r="P155" s="125">
        <f>VLOOKUP(Ruimtestaat[[#This Row],[Ruimte code]],Ruimtegroepen[],4,FALSE)</f>
        <v>0</v>
      </c>
      <c r="R155" s="33"/>
      <c r="S155" s="33"/>
      <c r="T155" s="33">
        <f>IF(R155&gt;0,IF(RIGHT(Ruimtestaat[[#This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5" s="33">
        <f>IF(T155&gt;0,VLOOKUP($J155,Ruimtegroepen[],3,FALSE)*VLOOKUP($L155,Vloersoorten[],3,FALSE)*VLOOKUP($S155,Frequenties[],3,FALSE)*VLOOKUP($A155,Locaties[],3,FALSE),0)</f>
        <v>0</v>
      </c>
      <c r="V155" s="33">
        <f>Ruimtestaat[[#This Row],[Uitvoeringen werkdagen]]*Ruimtestaat[[#This Row],[Oppervlak (netto)]]</f>
        <v>0</v>
      </c>
      <c r="W155" s="154">
        <f>IF(U155&gt;0,Ruimtestaat[[#This Row],[Prest. (m2 /jaar) werkdagen]]/Ruimtestaat[[#This Row],[Norm (m2/uur) werkdagen]],0)</f>
        <v>0</v>
      </c>
      <c r="X155" s="155">
        <f>Ruimtestaat[[#This Row],[uren / jaar werkdagen]]*Tariefsopbouw!$E$35</f>
        <v>0</v>
      </c>
      <c r="Y155" s="33"/>
      <c r="Z155" s="33">
        <f>IF(Ruimtestaat[[#This Row],[Frequentie weekend]]&gt;0,VALUE(LEFT(Y155,1))*R155,0)</f>
        <v>0</v>
      </c>
      <c r="AA155" s="97">
        <f>IF($Z155&gt;0,VLOOKUP($J155,Ruimtegroepen[],3,FALSE)*VLOOKUP($L155,Vloersoorten[],3,FALSE)*VLOOKUP($Y155,Frequenties[],3,FALSE)*VLOOKUP(Ruimtestaat[[#This Row],[Code]],Locaties[],3,FALSE),0)</f>
        <v>0</v>
      </c>
      <c r="AB155" s="97">
        <f>Ruimtestaat[[#This Row],[Uitvoeringen weekend]]*Ruimtestaat[[#This Row],[Oppervlak (netto)]]</f>
        <v>0</v>
      </c>
      <c r="AC155" s="97">
        <f>IF(AA155&gt;0,Ruimtestaat[[#This Row],[Prest. (m2 /jaar) weekend]]/Ruimtestaat[[#This Row],[Norm (m2/uur) weekend]],0)</f>
        <v>0</v>
      </c>
      <c r="AD155" s="155">
        <f>Ruimtestaat[[#This Row],[uren / jaar weekend]]*Tariefsopbouw!$D$40</f>
        <v>0</v>
      </c>
      <c r="AE155" s="154">
        <f>Ruimtestaat[[#This Row],[Prest. (m2 /jaar) weekend]]+Ruimtestaat[[#This Row],[Prest. (m2 /jaar) werkdagen]]</f>
        <v>0</v>
      </c>
      <c r="AF155" s="154">
        <f>Ruimtestaat[[#This Row],[uren / jaar weekend]]+Ruimtestaat[[#This Row],[uren / jaar werkdagen]]</f>
        <v>0</v>
      </c>
      <c r="AG155" s="69">
        <f>Ruimtestaat[[#This Row],[kosten / jaar weekend]]+Ruimtestaat[[#This Row],[kosten / jaar werkdagen]]</f>
        <v>0</v>
      </c>
      <c r="AH155" s="69"/>
      <c r="AI155" s="256" t="str">
        <f>IF(Ruimtestaat[[#This Row],[Frequentie werkdagen]]="","",_xlfn.CONCAT(Ruimtestaat[[#This Row],[Ruimte code]],"-",Ruimtestaat[[#This Row],[Frequentie werkdagen]]," ",Ruimtestaat[[#This Row],[Vloer code]]))</f>
        <v/>
      </c>
      <c r="AJ155" s="300" t="str">
        <f>_xlfn.IFNA(VLOOKUP($AI155,Programma!$F$3:$G$1107,2,0),"")</f>
        <v/>
      </c>
      <c r="AK155" s="300" t="str">
        <f>_xlfn.IFNA(VLOOKUP($AI155,Programma!$F$3:$H$1107,3,0),"")</f>
        <v/>
      </c>
      <c r="AL155" s="300" t="str">
        <f>_xlfn.IFNA(VLOOKUP($AI155,Programma!$F$3:$I$1107,4,0),"")</f>
        <v/>
      </c>
      <c r="AM155" s="300" t="str">
        <f>_xlfn.IFNA(VLOOKUP($AI155,Programma!$F$3:$J$1107,5,0),"")</f>
        <v/>
      </c>
      <c r="AN155" s="300" t="str">
        <f>_xlfn.IFNA(VLOOKUP($AI155,Programma!$F$3:$K$1107,6,0),"")</f>
        <v/>
      </c>
      <c r="AO155" s="300" t="str">
        <f>_xlfn.IFNA(VLOOKUP($AI155,Programma!$F$3:$L$1107,7,0),"")</f>
        <v/>
      </c>
      <c r="AP155" s="300" t="str">
        <f>_xlfn.IFNA(VLOOKUP($AI155,Programma!$F$3:$M$1107,8,0),"")</f>
        <v/>
      </c>
      <c r="AQ155" s="300" t="str">
        <f>_xlfn.IFNA(VLOOKUP($AI155,Programma!$F$3:$N$1107,9,0),"")</f>
        <v/>
      </c>
      <c r="AR155" s="300" t="str">
        <f>_xlfn.IFNA(VLOOKUP($AI155,Programma!$F$3:$O$1107,10,0),"")</f>
        <v/>
      </c>
      <c r="AS155" s="300" t="str">
        <f>_xlfn.IFNA(VLOOKUP($AI155,Programma!$F$3:$P$1107,11,0),"")</f>
        <v/>
      </c>
      <c r="AT155" s="300" t="str">
        <f>_xlfn.IFNA(VLOOKUP($AI155,Programma!$F$3:$Q$1107,12,0),"")</f>
        <v/>
      </c>
      <c r="AU155" s="300" t="str">
        <f>_xlfn.IFNA(VLOOKUP($AI155,Programma!$F$3:$R$1107,13,0),"")</f>
        <v/>
      </c>
      <c r="AV155" s="300" t="str">
        <f>_xlfn.IFNA(VLOOKUP($AI155,Programma!$F$3:$S$1107,14,0),"")</f>
        <v/>
      </c>
      <c r="AW155" s="300" t="str">
        <f>_xlfn.IFNA(VLOOKUP($AI155,Programma!$F$3:$T$1107,15,0),"")</f>
        <v/>
      </c>
      <c r="AX155" s="300" t="str">
        <f>_xlfn.IFNA(VLOOKUP($AI155,Programma!$F$3:$U$1107,16,0),"")</f>
        <v/>
      </c>
      <c r="AY155" s="300" t="str">
        <f>_xlfn.IFNA(VLOOKUP($AI155,Programma!$F$3:$V$1107,17,0),"")</f>
        <v/>
      </c>
      <c r="AZ155" s="300" t="str">
        <f>_xlfn.IFNA(VLOOKUP($AI155,Programma!$F$3:$W$1107,18,0),"")</f>
        <v/>
      </c>
      <c r="BA155" s="300" t="str">
        <f>_xlfn.IFNA(VLOOKUP($AI155,Programma!$F$3:$X$1107,19,0),"")</f>
        <v/>
      </c>
      <c r="BB155" s="300" t="str">
        <f>_xlfn.IFNA(VLOOKUP($AI155,Programma!$F$3:$Y$1107,20,0),"")</f>
        <v/>
      </c>
      <c r="BC155" s="257"/>
      <c r="BD155" s="256" t="str">
        <f>IF(Ruimtestaat[[#This Row],[Frequentie weekend]]="","",_xlfn.CONCAT(Ruimtestaat[[#This Row],[Ruimte code]],"-",Ruimtestaat[[#This Row],[Frequentie weekend]]," ",Ruimtestaat[[#This Row],[Vloer code]]))</f>
        <v/>
      </c>
      <c r="BE155" s="300" t="str">
        <f>_xlfn.IFNA(VLOOKUP($BD155,Programma!$F$3:$G$1107,2,0),"")</f>
        <v/>
      </c>
      <c r="BF155" s="300" t="str">
        <f>_xlfn.IFNA(VLOOKUP($BD155,Programma!$F$3:$H$1107,3,0),"")</f>
        <v/>
      </c>
      <c r="BG155" s="300" t="str">
        <f>_xlfn.IFNA(VLOOKUP($BD155,Programma!$F$3:$I$1107,4,0),"")</f>
        <v/>
      </c>
      <c r="BH155" s="300" t="str">
        <f>_xlfn.IFNA(VLOOKUP($BD155,Programma!$F$3:$J$1107,5,0),"")</f>
        <v/>
      </c>
      <c r="BI155" s="300" t="str">
        <f>_xlfn.IFNA(VLOOKUP($BD155,Programma!$F$3:$K$1107,6,0),"")</f>
        <v/>
      </c>
      <c r="BJ155" s="300" t="str">
        <f>_xlfn.IFNA(VLOOKUP($BD155,Programma!$F$3:$L$1107,7,0),"")</f>
        <v/>
      </c>
      <c r="BK155" s="300" t="str">
        <f>_xlfn.IFNA(VLOOKUP($BD155,Programma!$F$3:$M$1107,8,0),"")</f>
        <v/>
      </c>
      <c r="BL155" s="300" t="str">
        <f>_xlfn.IFNA(VLOOKUP($BD155,Programma!$F$3:$N$1107,9,0),"")</f>
        <v/>
      </c>
      <c r="BM155" s="300" t="str">
        <f>_xlfn.IFNA(VLOOKUP($BD155,Programma!$F$3:$O$1107,10,0),"")</f>
        <v/>
      </c>
      <c r="BN155" s="300" t="str">
        <f>_xlfn.IFNA(VLOOKUP($BD155,Programma!$F$3:$P$1107,11,0),"")</f>
        <v/>
      </c>
      <c r="BO155" s="300" t="str">
        <f>_xlfn.IFNA(VLOOKUP($BD155,Programma!$F$3:$Q$1107,12,0),"")</f>
        <v/>
      </c>
      <c r="BP155" s="300" t="str">
        <f>_xlfn.IFNA(VLOOKUP($BD155,Programma!$F$3:$R$1107,13,0),"")</f>
        <v/>
      </c>
      <c r="BQ155" s="300" t="str">
        <f>_xlfn.IFNA(VLOOKUP($BD155,Programma!$F$3:$S$1107,14,0),"")</f>
        <v/>
      </c>
      <c r="BR155" s="300" t="str">
        <f>_xlfn.IFNA(VLOOKUP($BD155,Programma!$F$3:$T$1107,15,0),"")</f>
        <v/>
      </c>
      <c r="BS155" s="300" t="str">
        <f>_xlfn.IFNA(VLOOKUP($BD155,Programma!$F$3:$U$1107,16,0),"")</f>
        <v/>
      </c>
      <c r="BT155" s="300" t="str">
        <f>_xlfn.IFNA(VLOOKUP($BD155,Programma!$F$3:$V$1107,17,0),"")</f>
        <v/>
      </c>
      <c r="BU155" s="300" t="str">
        <f>_xlfn.IFNA(VLOOKUP($BD155,Programma!$F$3:$W$1107,18,0),"")</f>
        <v/>
      </c>
      <c r="BV155" s="300" t="str">
        <f>_xlfn.IFNA(VLOOKUP($BD155,Programma!$F$3:$X$1107,19,0),"")</f>
        <v/>
      </c>
      <c r="BW155" s="300" t="str">
        <f>_xlfn.IFNA(VLOOKUP($BD155,Programma!$F$3:$Y$1107,20,0),"")</f>
        <v/>
      </c>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row>
    <row r="156" spans="1:220" ht="15" customHeight="1">
      <c r="A156" s="21">
        <v>3</v>
      </c>
      <c r="B156" s="157" t="str">
        <f>VLOOKUP(Ruimtestaat[[#This Row],[Code]],Locaties[[Code]:[Locatie]],2,FALSE)</f>
        <v>'s Gravendreef College - Dependance</v>
      </c>
      <c r="C156" s="157" t="str">
        <f>VLOOKUP(Ruimtestaat[[#This Row],[Code]],Locaties[[#All],[Code]:[Adres]],4,FALSE)</f>
        <v>Henri Faasdreef 200</v>
      </c>
      <c r="D156" s="157" t="str">
        <f>VLOOKUP(Ruimtestaat[[#This Row],[Code]],Locaties[[#All],[Code]:[Postcode]],5,FALSE)</f>
        <v>2492 JP</v>
      </c>
      <c r="E156" s="157" t="str">
        <f>VLOOKUP(Ruimtestaat[[#This Row],[Code]],Locaties[#All],6,FALSE)</f>
        <v>Den Haag</v>
      </c>
      <c r="F156" s="33" t="s">
        <v>1801</v>
      </c>
      <c r="G156" s="33" t="s">
        <v>1749</v>
      </c>
      <c r="H156" s="21" t="s">
        <v>1840</v>
      </c>
      <c r="I156" s="62" t="s">
        <v>1657</v>
      </c>
      <c r="J156" s="21">
        <v>10</v>
      </c>
      <c r="K156" s="62" t="str">
        <f>VLOOKUP(Ruimtestaat[[#This Row],[Ruimte code]],Ruimtegroepen[[#All],[Code]:[Ruimte omschrijving]],2,FALSE)</f>
        <v>Trappenhuizen/lift</v>
      </c>
      <c r="L156" s="33" t="s">
        <v>101</v>
      </c>
      <c r="M156" s="367" t="s">
        <v>2495</v>
      </c>
      <c r="N156" s="140">
        <v>8</v>
      </c>
      <c r="O156" s="140"/>
      <c r="P156" s="125" t="str">
        <f>VLOOKUP(Ruimtestaat[[#This Row],[Ruimte code]],Ruimtegroepen[],4,FALSE)</f>
        <v>Ve</v>
      </c>
      <c r="R156" s="33">
        <v>40</v>
      </c>
      <c r="S156" s="33" t="s">
        <v>2</v>
      </c>
      <c r="T156" s="33">
        <f>IF(R156&gt;0,IF(RIGHT(Ruimtestaat[[#This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6" s="33">
        <f>IF(T156&gt;0,VLOOKUP($J156,Ruimtegroepen[],3,FALSE)*VLOOKUP($L156,Vloersoorten[],3,FALSE)*VLOOKUP($S156,Frequenties[],3,FALSE)*VLOOKUP($A156,Locaties[],3,FALSE),0)</f>
        <v>0</v>
      </c>
      <c r="V156" s="33">
        <f>Ruimtestaat[[#This Row],[Uitvoeringen werkdagen]]*Ruimtestaat[[#This Row],[Oppervlak (netto)]]</f>
        <v>1600</v>
      </c>
      <c r="W156" s="154">
        <f>IF(U156&gt;0,Ruimtestaat[[#This Row],[Prest. (m2 /jaar) werkdagen]]/Ruimtestaat[[#This Row],[Norm (m2/uur) werkdagen]],0)</f>
        <v>0</v>
      </c>
      <c r="X156" s="155">
        <f>Ruimtestaat[[#This Row],[uren / jaar werkdagen]]*Tariefsopbouw!$E$35</f>
        <v>0</v>
      </c>
      <c r="Y156" s="33"/>
      <c r="Z156" s="33">
        <f>IF(Ruimtestaat[[#This Row],[Frequentie weekend]]&gt;0,VALUE(LEFT(Y156,1))*R156,0)</f>
        <v>0</v>
      </c>
      <c r="AA156" s="97">
        <f>IF($Z156&gt;0,VLOOKUP($J156,Ruimtegroepen[],3,FALSE)*VLOOKUP($L156,Vloersoorten[],3,FALSE)*VLOOKUP($Y156,Frequenties[],3,FALSE)*VLOOKUP(Ruimtestaat[[#This Row],[Code]],Locaties[],3,FALSE),0)</f>
        <v>0</v>
      </c>
      <c r="AB156" s="97">
        <f>Ruimtestaat[[#This Row],[Uitvoeringen weekend]]*Ruimtestaat[[#This Row],[Oppervlak (netto)]]</f>
        <v>0</v>
      </c>
      <c r="AC156" s="97">
        <f>IF(AA156&gt;0,Ruimtestaat[[#This Row],[Prest. (m2 /jaar) weekend]]/Ruimtestaat[[#This Row],[Norm (m2/uur) weekend]],0)</f>
        <v>0</v>
      </c>
      <c r="AD156" s="155">
        <f>Ruimtestaat[[#This Row],[uren / jaar weekend]]*Tariefsopbouw!$D$40</f>
        <v>0</v>
      </c>
      <c r="AE156" s="154">
        <f>Ruimtestaat[[#This Row],[Prest. (m2 /jaar) weekend]]+Ruimtestaat[[#This Row],[Prest. (m2 /jaar) werkdagen]]</f>
        <v>1600</v>
      </c>
      <c r="AF156" s="154">
        <f>Ruimtestaat[[#This Row],[uren / jaar weekend]]+Ruimtestaat[[#This Row],[uren / jaar werkdagen]]</f>
        <v>0</v>
      </c>
      <c r="AG156" s="69">
        <f>Ruimtestaat[[#This Row],[kosten / jaar weekend]]+Ruimtestaat[[#This Row],[kosten / jaar werkdagen]]</f>
        <v>0</v>
      </c>
      <c r="AH156" s="69"/>
      <c r="AI156" s="256" t="str">
        <f>IF(Ruimtestaat[[#This Row],[Frequentie werkdagen]]="","",_xlfn.CONCAT(Ruimtestaat[[#This Row],[Ruimte code]],"-",Ruimtestaat[[#This Row],[Frequentie werkdagen]]," ",Ruimtestaat[[#This Row],[Vloer code]]))</f>
        <v>10-5w L</v>
      </c>
      <c r="AJ156" s="300" t="str">
        <f>_xlfn.IFNA(VLOOKUP($AI156,Programma!$F$3:$G$1107,2,0),"")</f>
        <v>_</v>
      </c>
      <c r="AK156" s="300" t="str">
        <f>_xlfn.IFNA(VLOOKUP($AI156,Programma!$F$3:$H$1107,3,0),"")</f>
        <v>_</v>
      </c>
      <c r="AL156" s="300" t="str">
        <f>_xlfn.IFNA(VLOOKUP($AI156,Programma!$F$3:$I$1107,4,0),"")</f>
        <v>4w</v>
      </c>
      <c r="AM156" s="300" t="str">
        <f>_xlfn.IFNA(VLOOKUP($AI156,Programma!$F$3:$J$1107,5,0),"")</f>
        <v>1w</v>
      </c>
      <c r="AN156" s="300" t="str">
        <f>_xlfn.IFNA(VLOOKUP($AI156,Programma!$F$3:$K$1107,6,0),"")</f>
        <v>_</v>
      </c>
      <c r="AO156" s="300" t="str">
        <f>_xlfn.IFNA(VLOOKUP($AI156,Programma!$F$3:$L$1107,7,0),"")</f>
        <v>_</v>
      </c>
      <c r="AP156" s="300" t="str">
        <f>_xlfn.IFNA(VLOOKUP($AI156,Programma!$F$3:$M$1107,8,0),"")</f>
        <v>_</v>
      </c>
      <c r="AQ156" s="300" t="str">
        <f>_xlfn.IFNA(VLOOKUP($AI156,Programma!$F$3:$N$1107,9,0),"")</f>
        <v>_</v>
      </c>
      <c r="AR156" s="300" t="str">
        <f>_xlfn.IFNA(VLOOKUP($AI156,Programma!$F$3:$O$1107,10,0),"")</f>
        <v>5w</v>
      </c>
      <c r="AS156" s="300" t="str">
        <f>_xlfn.IFNA(VLOOKUP($AI156,Programma!$F$3:$P$1107,11,0),"")</f>
        <v>5w</v>
      </c>
      <c r="AT156" s="300" t="str">
        <f>_xlfn.IFNA(VLOOKUP($AI156,Programma!$F$3:$Q$1107,12,0),"")</f>
        <v>1w</v>
      </c>
      <c r="AU156" s="300" t="str">
        <f>_xlfn.IFNA(VLOOKUP($AI156,Programma!$F$3:$R$1107,13,0),"")</f>
        <v>1w</v>
      </c>
      <c r="AV156" s="300" t="str">
        <f>_xlfn.IFNA(VLOOKUP($AI156,Programma!$F$3:$S$1107,14,0),"")</f>
        <v>1m</v>
      </c>
      <c r="AW156" s="300" t="str">
        <f>_xlfn.IFNA(VLOOKUP($AI156,Programma!$F$3:$T$1107,15,0),"")</f>
        <v>2j</v>
      </c>
      <c r="AX156" s="300" t="str">
        <f>_xlfn.IFNA(VLOOKUP($AI156,Programma!$F$3:$U$1107,16,0),"")</f>
        <v>1j</v>
      </c>
      <c r="AY156" s="300" t="str">
        <f>_xlfn.IFNA(VLOOKUP($AI156,Programma!$F$3:$V$1107,17,0),"")</f>
        <v>_</v>
      </c>
      <c r="AZ156" s="300" t="str">
        <f>_xlfn.IFNA(VLOOKUP($AI156,Programma!$F$3:$W$1107,18,0),"")</f>
        <v>_</v>
      </c>
      <c r="BA156" s="300" t="str">
        <f>_xlfn.IFNA(VLOOKUP($AI156,Programma!$F$3:$X$1107,19,0),"")</f>
        <v>_</v>
      </c>
      <c r="BB156" s="300" t="str">
        <f>_xlfn.IFNA(VLOOKUP($AI156,Programma!$F$3:$Y$1107,20,0),"")</f>
        <v>_</v>
      </c>
      <c r="BC156" s="257"/>
      <c r="BD156" s="256" t="str">
        <f>IF(Ruimtestaat[[#This Row],[Frequentie weekend]]="","",_xlfn.CONCAT(Ruimtestaat[[#This Row],[Ruimte code]],"-",Ruimtestaat[[#This Row],[Frequentie weekend]]," ",Ruimtestaat[[#This Row],[Vloer code]]))</f>
        <v/>
      </c>
      <c r="BE156" s="300" t="str">
        <f>_xlfn.IFNA(VLOOKUP($BD156,Programma!$F$3:$G$1107,2,0),"")</f>
        <v/>
      </c>
      <c r="BF156" s="300" t="str">
        <f>_xlfn.IFNA(VLOOKUP($BD156,Programma!$F$3:$H$1107,3,0),"")</f>
        <v/>
      </c>
      <c r="BG156" s="300" t="str">
        <f>_xlfn.IFNA(VLOOKUP($BD156,Programma!$F$3:$I$1107,4,0),"")</f>
        <v/>
      </c>
      <c r="BH156" s="300" t="str">
        <f>_xlfn.IFNA(VLOOKUP($BD156,Programma!$F$3:$J$1107,5,0),"")</f>
        <v/>
      </c>
      <c r="BI156" s="300" t="str">
        <f>_xlfn.IFNA(VLOOKUP($BD156,Programma!$F$3:$K$1107,6,0),"")</f>
        <v/>
      </c>
      <c r="BJ156" s="300" t="str">
        <f>_xlfn.IFNA(VLOOKUP($BD156,Programma!$F$3:$L$1107,7,0),"")</f>
        <v/>
      </c>
      <c r="BK156" s="300" t="str">
        <f>_xlfn.IFNA(VLOOKUP($BD156,Programma!$F$3:$M$1107,8,0),"")</f>
        <v/>
      </c>
      <c r="BL156" s="300" t="str">
        <f>_xlfn.IFNA(VLOOKUP($BD156,Programma!$F$3:$N$1107,9,0),"")</f>
        <v/>
      </c>
      <c r="BM156" s="300" t="str">
        <f>_xlfn.IFNA(VLOOKUP($BD156,Programma!$F$3:$O$1107,10,0),"")</f>
        <v/>
      </c>
      <c r="BN156" s="300" t="str">
        <f>_xlfn.IFNA(VLOOKUP($BD156,Programma!$F$3:$P$1107,11,0),"")</f>
        <v/>
      </c>
      <c r="BO156" s="300" t="str">
        <f>_xlfn.IFNA(VLOOKUP($BD156,Programma!$F$3:$Q$1107,12,0),"")</f>
        <v/>
      </c>
      <c r="BP156" s="300" t="str">
        <f>_xlfn.IFNA(VLOOKUP($BD156,Programma!$F$3:$R$1107,13,0),"")</f>
        <v/>
      </c>
      <c r="BQ156" s="300" t="str">
        <f>_xlfn.IFNA(VLOOKUP($BD156,Programma!$F$3:$S$1107,14,0),"")</f>
        <v/>
      </c>
      <c r="BR156" s="300" t="str">
        <f>_xlfn.IFNA(VLOOKUP($BD156,Programma!$F$3:$T$1107,15,0),"")</f>
        <v/>
      </c>
      <c r="BS156" s="300" t="str">
        <f>_xlfn.IFNA(VLOOKUP($BD156,Programma!$F$3:$U$1107,16,0),"")</f>
        <v/>
      </c>
      <c r="BT156" s="300" t="str">
        <f>_xlfn.IFNA(VLOOKUP($BD156,Programma!$F$3:$V$1107,17,0),"")</f>
        <v/>
      </c>
      <c r="BU156" s="300" t="str">
        <f>_xlfn.IFNA(VLOOKUP($BD156,Programma!$F$3:$W$1107,18,0),"")</f>
        <v/>
      </c>
      <c r="BV156" s="300" t="str">
        <f>_xlfn.IFNA(VLOOKUP($BD156,Programma!$F$3:$X$1107,19,0),"")</f>
        <v/>
      </c>
      <c r="BW156" s="300" t="str">
        <f>_xlfn.IFNA(VLOOKUP($BD156,Programma!$F$3:$Y$1107,20,0),"")</f>
        <v/>
      </c>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row>
    <row r="157" spans="1:220" ht="15" customHeight="1">
      <c r="A157" s="21">
        <v>3</v>
      </c>
      <c r="B157" s="157" t="str">
        <f>VLOOKUP(Ruimtestaat[[#This Row],[Code]],Locaties[[Code]:[Locatie]],2,FALSE)</f>
        <v>'s Gravendreef College - Dependance</v>
      </c>
      <c r="C157" s="157" t="str">
        <f>VLOOKUP(Ruimtestaat[[#This Row],[Code]],Locaties[[#All],[Code]:[Adres]],4,FALSE)</f>
        <v>Henri Faasdreef 200</v>
      </c>
      <c r="D157" s="157" t="str">
        <f>VLOOKUP(Ruimtestaat[[#This Row],[Code]],Locaties[[#All],[Code]:[Postcode]],5,FALSE)</f>
        <v>2492 JP</v>
      </c>
      <c r="E157" s="157" t="str">
        <f>VLOOKUP(Ruimtestaat[[#This Row],[Code]],Locaties[#All],6,FALSE)</f>
        <v>Den Haag</v>
      </c>
      <c r="F157" s="33" t="s">
        <v>1801</v>
      </c>
      <c r="G157" s="33" t="s">
        <v>1624</v>
      </c>
      <c r="H157" s="21" t="s">
        <v>1841</v>
      </c>
      <c r="I157" s="62" t="s">
        <v>1805</v>
      </c>
      <c r="J157" s="21">
        <v>10</v>
      </c>
      <c r="K157" s="62" t="str">
        <f>VLOOKUP(Ruimtestaat[[#This Row],[Ruimte code]],Ruimtegroepen[[#All],[Code]:[Ruimte omschrijving]],2,FALSE)</f>
        <v>Trappenhuizen/lift</v>
      </c>
      <c r="L157" s="33" t="s">
        <v>101</v>
      </c>
      <c r="M157" s="367" t="s">
        <v>2495</v>
      </c>
      <c r="N157" s="140">
        <v>20.39</v>
      </c>
      <c r="O157" s="140"/>
      <c r="P157" s="125" t="str">
        <f>VLOOKUP(Ruimtestaat[[#This Row],[Ruimte code]],Ruimtegroepen[],4,FALSE)</f>
        <v>Ve</v>
      </c>
      <c r="R157" s="33">
        <v>40</v>
      </c>
      <c r="S157" s="33" t="s">
        <v>2</v>
      </c>
      <c r="T157" s="33">
        <f>IF(R157&gt;0,IF(RIGHT(Ruimtestaat[[#This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7" s="33">
        <f>IF(T157&gt;0,VLOOKUP($J157,Ruimtegroepen[],3,FALSE)*VLOOKUP($L157,Vloersoorten[],3,FALSE)*VLOOKUP($S157,Frequenties[],3,FALSE)*VLOOKUP($A157,Locaties[],3,FALSE),0)</f>
        <v>0</v>
      </c>
      <c r="V157" s="33">
        <f>Ruimtestaat[[#This Row],[Uitvoeringen werkdagen]]*Ruimtestaat[[#This Row],[Oppervlak (netto)]]</f>
        <v>4078</v>
      </c>
      <c r="W157" s="154">
        <f>IF(U157&gt;0,Ruimtestaat[[#This Row],[Prest. (m2 /jaar) werkdagen]]/Ruimtestaat[[#This Row],[Norm (m2/uur) werkdagen]],0)</f>
        <v>0</v>
      </c>
      <c r="X157" s="155">
        <f>Ruimtestaat[[#This Row],[uren / jaar werkdagen]]*Tariefsopbouw!$E$35</f>
        <v>0</v>
      </c>
      <c r="Y157" s="33"/>
      <c r="Z157" s="33">
        <f>IF(Ruimtestaat[[#This Row],[Frequentie weekend]]&gt;0,VALUE(LEFT(Y157,1))*R157,0)</f>
        <v>0</v>
      </c>
      <c r="AA157" s="97">
        <f>IF($Z157&gt;0,VLOOKUP($J157,Ruimtegroepen[],3,FALSE)*VLOOKUP($L157,Vloersoorten[],3,FALSE)*VLOOKUP($Y157,Frequenties[],3,FALSE)*VLOOKUP(Ruimtestaat[[#This Row],[Code]],Locaties[],3,FALSE),0)</f>
        <v>0</v>
      </c>
      <c r="AB157" s="97">
        <f>Ruimtestaat[[#This Row],[Uitvoeringen weekend]]*Ruimtestaat[[#This Row],[Oppervlak (netto)]]</f>
        <v>0</v>
      </c>
      <c r="AC157" s="97">
        <f>IF(AA157&gt;0,Ruimtestaat[[#This Row],[Prest. (m2 /jaar) weekend]]/Ruimtestaat[[#This Row],[Norm (m2/uur) weekend]],0)</f>
        <v>0</v>
      </c>
      <c r="AD157" s="155">
        <f>Ruimtestaat[[#This Row],[uren / jaar weekend]]*Tariefsopbouw!$D$40</f>
        <v>0</v>
      </c>
      <c r="AE157" s="154">
        <f>Ruimtestaat[[#This Row],[Prest. (m2 /jaar) weekend]]+Ruimtestaat[[#This Row],[Prest. (m2 /jaar) werkdagen]]</f>
        <v>4078</v>
      </c>
      <c r="AF157" s="154">
        <f>Ruimtestaat[[#This Row],[uren / jaar weekend]]+Ruimtestaat[[#This Row],[uren / jaar werkdagen]]</f>
        <v>0</v>
      </c>
      <c r="AG157" s="69">
        <f>Ruimtestaat[[#This Row],[kosten / jaar weekend]]+Ruimtestaat[[#This Row],[kosten / jaar werkdagen]]</f>
        <v>0</v>
      </c>
      <c r="AH157" s="69"/>
      <c r="AI157" s="256" t="str">
        <f>IF(Ruimtestaat[[#This Row],[Frequentie werkdagen]]="","",_xlfn.CONCAT(Ruimtestaat[[#This Row],[Ruimte code]],"-",Ruimtestaat[[#This Row],[Frequentie werkdagen]]," ",Ruimtestaat[[#This Row],[Vloer code]]))</f>
        <v>10-5w L</v>
      </c>
      <c r="AJ157" s="300" t="str">
        <f>_xlfn.IFNA(VLOOKUP($AI157,Programma!$F$3:$G$1107,2,0),"")</f>
        <v>_</v>
      </c>
      <c r="AK157" s="300" t="str">
        <f>_xlfn.IFNA(VLOOKUP($AI157,Programma!$F$3:$H$1107,3,0),"")</f>
        <v>_</v>
      </c>
      <c r="AL157" s="300" t="str">
        <f>_xlfn.IFNA(VLOOKUP($AI157,Programma!$F$3:$I$1107,4,0),"")</f>
        <v>4w</v>
      </c>
      <c r="AM157" s="300" t="str">
        <f>_xlfn.IFNA(VLOOKUP($AI157,Programma!$F$3:$J$1107,5,0),"")</f>
        <v>1w</v>
      </c>
      <c r="AN157" s="300" t="str">
        <f>_xlfn.IFNA(VLOOKUP($AI157,Programma!$F$3:$K$1107,6,0),"")</f>
        <v>_</v>
      </c>
      <c r="AO157" s="300" t="str">
        <f>_xlfn.IFNA(VLOOKUP($AI157,Programma!$F$3:$L$1107,7,0),"")</f>
        <v>_</v>
      </c>
      <c r="AP157" s="300" t="str">
        <f>_xlfn.IFNA(VLOOKUP($AI157,Programma!$F$3:$M$1107,8,0),"")</f>
        <v>_</v>
      </c>
      <c r="AQ157" s="300" t="str">
        <f>_xlfn.IFNA(VLOOKUP($AI157,Programma!$F$3:$N$1107,9,0),"")</f>
        <v>_</v>
      </c>
      <c r="AR157" s="300" t="str">
        <f>_xlfn.IFNA(VLOOKUP($AI157,Programma!$F$3:$O$1107,10,0),"")</f>
        <v>5w</v>
      </c>
      <c r="AS157" s="300" t="str">
        <f>_xlfn.IFNA(VLOOKUP($AI157,Programma!$F$3:$P$1107,11,0),"")</f>
        <v>5w</v>
      </c>
      <c r="AT157" s="300" t="str">
        <f>_xlfn.IFNA(VLOOKUP($AI157,Programma!$F$3:$Q$1107,12,0),"")</f>
        <v>1w</v>
      </c>
      <c r="AU157" s="300" t="str">
        <f>_xlfn.IFNA(VLOOKUP($AI157,Programma!$F$3:$R$1107,13,0),"")</f>
        <v>1w</v>
      </c>
      <c r="AV157" s="300" t="str">
        <f>_xlfn.IFNA(VLOOKUP($AI157,Programma!$F$3:$S$1107,14,0),"")</f>
        <v>1m</v>
      </c>
      <c r="AW157" s="300" t="str">
        <f>_xlfn.IFNA(VLOOKUP($AI157,Programma!$F$3:$T$1107,15,0),"")</f>
        <v>2j</v>
      </c>
      <c r="AX157" s="300" t="str">
        <f>_xlfn.IFNA(VLOOKUP($AI157,Programma!$F$3:$U$1107,16,0),"")</f>
        <v>1j</v>
      </c>
      <c r="AY157" s="300" t="str">
        <f>_xlfn.IFNA(VLOOKUP($AI157,Programma!$F$3:$V$1107,17,0),"")</f>
        <v>_</v>
      </c>
      <c r="AZ157" s="300" t="str">
        <f>_xlfn.IFNA(VLOOKUP($AI157,Programma!$F$3:$W$1107,18,0),"")</f>
        <v>_</v>
      </c>
      <c r="BA157" s="300" t="str">
        <f>_xlfn.IFNA(VLOOKUP($AI157,Programma!$F$3:$X$1107,19,0),"")</f>
        <v>_</v>
      </c>
      <c r="BB157" s="300" t="str">
        <f>_xlfn.IFNA(VLOOKUP($AI157,Programma!$F$3:$Y$1107,20,0),"")</f>
        <v>_</v>
      </c>
      <c r="BC157" s="257"/>
      <c r="BD157" s="256" t="str">
        <f>IF(Ruimtestaat[[#This Row],[Frequentie weekend]]="","",_xlfn.CONCAT(Ruimtestaat[[#This Row],[Ruimte code]],"-",Ruimtestaat[[#This Row],[Frequentie weekend]]," ",Ruimtestaat[[#This Row],[Vloer code]]))</f>
        <v/>
      </c>
      <c r="BE157" s="300" t="str">
        <f>_xlfn.IFNA(VLOOKUP($BD157,Programma!$F$3:$G$1107,2,0),"")</f>
        <v/>
      </c>
      <c r="BF157" s="300" t="str">
        <f>_xlfn.IFNA(VLOOKUP($BD157,Programma!$F$3:$H$1107,3,0),"")</f>
        <v/>
      </c>
      <c r="BG157" s="300" t="str">
        <f>_xlfn.IFNA(VLOOKUP($BD157,Programma!$F$3:$I$1107,4,0),"")</f>
        <v/>
      </c>
      <c r="BH157" s="300" t="str">
        <f>_xlfn.IFNA(VLOOKUP($BD157,Programma!$F$3:$J$1107,5,0),"")</f>
        <v/>
      </c>
      <c r="BI157" s="300" t="str">
        <f>_xlfn.IFNA(VLOOKUP($BD157,Programma!$F$3:$K$1107,6,0),"")</f>
        <v/>
      </c>
      <c r="BJ157" s="300" t="str">
        <f>_xlfn.IFNA(VLOOKUP($BD157,Programma!$F$3:$L$1107,7,0),"")</f>
        <v/>
      </c>
      <c r="BK157" s="300" t="str">
        <f>_xlfn.IFNA(VLOOKUP($BD157,Programma!$F$3:$M$1107,8,0),"")</f>
        <v/>
      </c>
      <c r="BL157" s="300" t="str">
        <f>_xlfn.IFNA(VLOOKUP($BD157,Programma!$F$3:$N$1107,9,0),"")</f>
        <v/>
      </c>
      <c r="BM157" s="300" t="str">
        <f>_xlfn.IFNA(VLOOKUP($BD157,Programma!$F$3:$O$1107,10,0),"")</f>
        <v/>
      </c>
      <c r="BN157" s="300" t="str">
        <f>_xlfn.IFNA(VLOOKUP($BD157,Programma!$F$3:$P$1107,11,0),"")</f>
        <v/>
      </c>
      <c r="BO157" s="300" t="str">
        <f>_xlfn.IFNA(VLOOKUP($BD157,Programma!$F$3:$Q$1107,12,0),"")</f>
        <v/>
      </c>
      <c r="BP157" s="300" t="str">
        <f>_xlfn.IFNA(VLOOKUP($BD157,Programma!$F$3:$R$1107,13,0),"")</f>
        <v/>
      </c>
      <c r="BQ157" s="300" t="str">
        <f>_xlfn.IFNA(VLOOKUP($BD157,Programma!$F$3:$S$1107,14,0),"")</f>
        <v/>
      </c>
      <c r="BR157" s="300" t="str">
        <f>_xlfn.IFNA(VLOOKUP($BD157,Programma!$F$3:$T$1107,15,0),"")</f>
        <v/>
      </c>
      <c r="BS157" s="300" t="str">
        <f>_xlfn.IFNA(VLOOKUP($BD157,Programma!$F$3:$U$1107,16,0),"")</f>
        <v/>
      </c>
      <c r="BT157" s="300" t="str">
        <f>_xlfn.IFNA(VLOOKUP($BD157,Programma!$F$3:$V$1107,17,0),"")</f>
        <v/>
      </c>
      <c r="BU157" s="300" t="str">
        <f>_xlfn.IFNA(VLOOKUP($BD157,Programma!$F$3:$W$1107,18,0),"")</f>
        <v/>
      </c>
      <c r="BV157" s="300" t="str">
        <f>_xlfn.IFNA(VLOOKUP($BD157,Programma!$F$3:$X$1107,19,0),"")</f>
        <v/>
      </c>
      <c r="BW157" s="300" t="str">
        <f>_xlfn.IFNA(VLOOKUP($BD157,Programma!$F$3:$Y$1107,20,0),"")</f>
        <v/>
      </c>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row>
    <row r="158" spans="1:220" ht="15" customHeight="1">
      <c r="A158" s="21">
        <v>3</v>
      </c>
      <c r="B158" s="157" t="str">
        <f>VLOOKUP(Ruimtestaat[[#This Row],[Code]],Locaties[[Code]:[Locatie]],2,FALSE)</f>
        <v>'s Gravendreef College - Dependance</v>
      </c>
      <c r="C158" s="157" t="str">
        <f>VLOOKUP(Ruimtestaat[[#This Row],[Code]],Locaties[[#All],[Code]:[Adres]],4,FALSE)</f>
        <v>Henri Faasdreef 200</v>
      </c>
      <c r="D158" s="157" t="str">
        <f>VLOOKUP(Ruimtestaat[[#This Row],[Code]],Locaties[[#All],[Code]:[Postcode]],5,FALSE)</f>
        <v>2492 JP</v>
      </c>
      <c r="E158" s="157" t="str">
        <f>VLOOKUP(Ruimtestaat[[#This Row],[Code]],Locaties[#All],6,FALSE)</f>
        <v>Den Haag</v>
      </c>
      <c r="F158" s="33" t="s">
        <v>1801</v>
      </c>
      <c r="G158" s="33" t="s">
        <v>1624</v>
      </c>
      <c r="H158" s="21" t="s">
        <v>1842</v>
      </c>
      <c r="I158" s="62" t="s">
        <v>1843</v>
      </c>
      <c r="J158" s="21">
        <v>4</v>
      </c>
      <c r="K158" s="62" t="str">
        <f>VLOOKUP(Ruimtestaat[[#This Row],[Ruimte code]],Ruimtegroepen[[#All],[Code]:[Ruimte omschrijving]],2,FALSE)</f>
        <v>Vergader/spreekkamers</v>
      </c>
      <c r="L158" s="33" t="s">
        <v>101</v>
      </c>
      <c r="M158" s="367" t="s">
        <v>2495</v>
      </c>
      <c r="N158" s="140">
        <v>24.18</v>
      </c>
      <c r="O158" s="140"/>
      <c r="P158" s="125" t="str">
        <f>VLOOKUP(Ruimtestaat[[#This Row],[Ruimte code]],Ruimtegroepen[],4,FALSE)</f>
        <v>Bu</v>
      </c>
      <c r="R158" s="33">
        <v>40</v>
      </c>
      <c r="S158" s="33" t="s">
        <v>18</v>
      </c>
      <c r="T158" s="33">
        <f>IF(R158&gt;0,IF(RIGHT(Ruimtestaat[[#This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158" s="33">
        <f>IF(T158&gt;0,VLOOKUP($J158,Ruimtegroepen[],3,FALSE)*VLOOKUP($L158,Vloersoorten[],3,FALSE)*VLOOKUP($S158,Frequenties[],3,FALSE)*VLOOKUP($A158,Locaties[],3,FALSE),0)</f>
        <v>0</v>
      </c>
      <c r="V158" s="33">
        <f>Ruimtestaat[[#This Row],[Uitvoeringen werkdagen]]*Ruimtestaat[[#This Row],[Oppervlak (netto)]]</f>
        <v>2901.6</v>
      </c>
      <c r="W158" s="154">
        <f>IF(U158&gt;0,Ruimtestaat[[#This Row],[Prest. (m2 /jaar) werkdagen]]/Ruimtestaat[[#This Row],[Norm (m2/uur) werkdagen]],0)</f>
        <v>0</v>
      </c>
      <c r="X158" s="155">
        <f>Ruimtestaat[[#This Row],[uren / jaar werkdagen]]*Tariefsopbouw!$E$35</f>
        <v>0</v>
      </c>
      <c r="Y158" s="33"/>
      <c r="Z158" s="33">
        <f>IF(Ruimtestaat[[#This Row],[Frequentie weekend]]&gt;0,VALUE(LEFT(Y158,1))*R158,0)</f>
        <v>0</v>
      </c>
      <c r="AA158" s="97">
        <f>IF($Z158&gt;0,VLOOKUP($J158,Ruimtegroepen[],3,FALSE)*VLOOKUP($L158,Vloersoorten[],3,FALSE)*VLOOKUP($Y158,Frequenties[],3,FALSE)*VLOOKUP(Ruimtestaat[[#This Row],[Code]],Locaties[],3,FALSE),0)</f>
        <v>0</v>
      </c>
      <c r="AB158" s="97">
        <f>Ruimtestaat[[#This Row],[Uitvoeringen weekend]]*Ruimtestaat[[#This Row],[Oppervlak (netto)]]</f>
        <v>0</v>
      </c>
      <c r="AC158" s="97">
        <f>IF(AA158&gt;0,Ruimtestaat[[#This Row],[Prest. (m2 /jaar) weekend]]/Ruimtestaat[[#This Row],[Norm (m2/uur) weekend]],0)</f>
        <v>0</v>
      </c>
      <c r="AD158" s="155">
        <f>Ruimtestaat[[#This Row],[uren / jaar weekend]]*Tariefsopbouw!$D$40</f>
        <v>0</v>
      </c>
      <c r="AE158" s="154">
        <f>Ruimtestaat[[#This Row],[Prest. (m2 /jaar) weekend]]+Ruimtestaat[[#This Row],[Prest. (m2 /jaar) werkdagen]]</f>
        <v>2901.6</v>
      </c>
      <c r="AF158" s="154">
        <f>Ruimtestaat[[#This Row],[uren / jaar weekend]]+Ruimtestaat[[#This Row],[uren / jaar werkdagen]]</f>
        <v>0</v>
      </c>
      <c r="AG158" s="69">
        <f>Ruimtestaat[[#This Row],[kosten / jaar weekend]]+Ruimtestaat[[#This Row],[kosten / jaar werkdagen]]</f>
        <v>0</v>
      </c>
      <c r="AH158" s="69"/>
      <c r="AI158" s="256" t="str">
        <f>IF(Ruimtestaat[[#This Row],[Frequentie werkdagen]]="","",_xlfn.CONCAT(Ruimtestaat[[#This Row],[Ruimte code]],"-",Ruimtestaat[[#This Row],[Frequentie werkdagen]]," ",Ruimtestaat[[#This Row],[Vloer code]]))</f>
        <v>4-3w L</v>
      </c>
      <c r="AJ158" s="300" t="str">
        <f>_xlfn.IFNA(VLOOKUP($AI158,Programma!$F$3:$G$1107,2,0),"")</f>
        <v>_</v>
      </c>
      <c r="AK158" s="300" t="str">
        <f>_xlfn.IFNA(VLOOKUP($AI158,Programma!$F$3:$H$1107,3,0),"")</f>
        <v>_</v>
      </c>
      <c r="AL158" s="300" t="str">
        <f>_xlfn.IFNA(VLOOKUP($AI158,Programma!$F$3:$I$1107,4,0),"")</f>
        <v>2w</v>
      </c>
      <c r="AM158" s="300" t="str">
        <f>_xlfn.IFNA(VLOOKUP($AI158,Programma!$F$3:$J$1107,5,0),"")</f>
        <v>1w</v>
      </c>
      <c r="AN158" s="300" t="str">
        <f>_xlfn.IFNA(VLOOKUP($AI158,Programma!$F$3:$K$1107,6,0),"")</f>
        <v>_</v>
      </c>
      <c r="AO158" s="300" t="str">
        <f>_xlfn.IFNA(VLOOKUP($AI158,Programma!$F$3:$L$1107,7,0),"")</f>
        <v>_</v>
      </c>
      <c r="AP158" s="300" t="str">
        <f>_xlfn.IFNA(VLOOKUP($AI158,Programma!$F$3:$M$1107,8,0),"")</f>
        <v>_</v>
      </c>
      <c r="AQ158" s="300" t="str">
        <f>_xlfn.IFNA(VLOOKUP($AI158,Programma!$F$3:$N$1107,9,0),"")</f>
        <v>_</v>
      </c>
      <c r="AR158" s="300" t="str">
        <f>_xlfn.IFNA(VLOOKUP($AI158,Programma!$F$3:$O$1107,10,0),"")</f>
        <v>3w</v>
      </c>
      <c r="AS158" s="300" t="str">
        <f>_xlfn.IFNA(VLOOKUP($AI158,Programma!$F$3:$P$1107,11,0),"")</f>
        <v>3w</v>
      </c>
      <c r="AT158" s="300" t="str">
        <f>_xlfn.IFNA(VLOOKUP($AI158,Programma!$F$3:$Q$1107,12,0),"")</f>
        <v>1w</v>
      </c>
      <c r="AU158" s="300" t="str">
        <f>_xlfn.IFNA(VLOOKUP($AI158,Programma!$F$3:$R$1107,13,0),"")</f>
        <v>1w</v>
      </c>
      <c r="AV158" s="300" t="str">
        <f>_xlfn.IFNA(VLOOKUP($AI158,Programma!$F$3:$S$1107,14,0),"")</f>
        <v>1m</v>
      </c>
      <c r="AW158" s="300" t="str">
        <f>_xlfn.IFNA(VLOOKUP($AI158,Programma!$F$3:$T$1107,15,0),"")</f>
        <v>2j</v>
      </c>
      <c r="AX158" s="300" t="str">
        <f>_xlfn.IFNA(VLOOKUP($AI158,Programma!$F$3:$U$1107,16,0),"")</f>
        <v>1j</v>
      </c>
      <c r="AY158" s="300" t="str">
        <f>_xlfn.IFNA(VLOOKUP($AI158,Programma!$F$3:$V$1107,17,0),"")</f>
        <v>_</v>
      </c>
      <c r="AZ158" s="300" t="str">
        <f>_xlfn.IFNA(VLOOKUP($AI158,Programma!$F$3:$W$1107,18,0),"")</f>
        <v>_</v>
      </c>
      <c r="BA158" s="300" t="str">
        <f>_xlfn.IFNA(VLOOKUP($AI158,Programma!$F$3:$X$1107,19,0),"")</f>
        <v>_</v>
      </c>
      <c r="BB158" s="300" t="str">
        <f>_xlfn.IFNA(VLOOKUP($AI158,Programma!$F$3:$Y$1107,20,0),"")</f>
        <v>_</v>
      </c>
      <c r="BC158" s="257"/>
      <c r="BD158" s="256" t="str">
        <f>IF(Ruimtestaat[[#This Row],[Frequentie weekend]]="","",_xlfn.CONCAT(Ruimtestaat[[#This Row],[Ruimte code]],"-",Ruimtestaat[[#This Row],[Frequentie weekend]]," ",Ruimtestaat[[#This Row],[Vloer code]]))</f>
        <v/>
      </c>
      <c r="BE158" s="300" t="str">
        <f>_xlfn.IFNA(VLOOKUP($BD158,Programma!$F$3:$G$1107,2,0),"")</f>
        <v/>
      </c>
      <c r="BF158" s="300" t="str">
        <f>_xlfn.IFNA(VLOOKUP($BD158,Programma!$F$3:$H$1107,3,0),"")</f>
        <v/>
      </c>
      <c r="BG158" s="300" t="str">
        <f>_xlfn.IFNA(VLOOKUP($BD158,Programma!$F$3:$I$1107,4,0),"")</f>
        <v/>
      </c>
      <c r="BH158" s="300" t="str">
        <f>_xlfn.IFNA(VLOOKUP($BD158,Programma!$F$3:$J$1107,5,0),"")</f>
        <v/>
      </c>
      <c r="BI158" s="300" t="str">
        <f>_xlfn.IFNA(VLOOKUP($BD158,Programma!$F$3:$K$1107,6,0),"")</f>
        <v/>
      </c>
      <c r="BJ158" s="300" t="str">
        <f>_xlfn.IFNA(VLOOKUP($BD158,Programma!$F$3:$L$1107,7,0),"")</f>
        <v/>
      </c>
      <c r="BK158" s="300" t="str">
        <f>_xlfn.IFNA(VLOOKUP($BD158,Programma!$F$3:$M$1107,8,0),"")</f>
        <v/>
      </c>
      <c r="BL158" s="300" t="str">
        <f>_xlfn.IFNA(VLOOKUP($BD158,Programma!$F$3:$N$1107,9,0),"")</f>
        <v/>
      </c>
      <c r="BM158" s="300" t="str">
        <f>_xlfn.IFNA(VLOOKUP($BD158,Programma!$F$3:$O$1107,10,0),"")</f>
        <v/>
      </c>
      <c r="BN158" s="300" t="str">
        <f>_xlfn.IFNA(VLOOKUP($BD158,Programma!$F$3:$P$1107,11,0),"")</f>
        <v/>
      </c>
      <c r="BO158" s="300" t="str">
        <f>_xlfn.IFNA(VLOOKUP($BD158,Programma!$F$3:$Q$1107,12,0),"")</f>
        <v/>
      </c>
      <c r="BP158" s="300" t="str">
        <f>_xlfn.IFNA(VLOOKUP($BD158,Programma!$F$3:$R$1107,13,0),"")</f>
        <v/>
      </c>
      <c r="BQ158" s="300" t="str">
        <f>_xlfn.IFNA(VLOOKUP($BD158,Programma!$F$3:$S$1107,14,0),"")</f>
        <v/>
      </c>
      <c r="BR158" s="300" t="str">
        <f>_xlfn.IFNA(VLOOKUP($BD158,Programma!$F$3:$T$1107,15,0),"")</f>
        <v/>
      </c>
      <c r="BS158" s="300" t="str">
        <f>_xlfn.IFNA(VLOOKUP($BD158,Programma!$F$3:$U$1107,16,0),"")</f>
        <v/>
      </c>
      <c r="BT158" s="300" t="str">
        <f>_xlfn.IFNA(VLOOKUP($BD158,Programma!$F$3:$V$1107,17,0),"")</f>
        <v/>
      </c>
      <c r="BU158" s="300" t="str">
        <f>_xlfn.IFNA(VLOOKUP($BD158,Programma!$F$3:$W$1107,18,0),"")</f>
        <v/>
      </c>
      <c r="BV158" s="300" t="str">
        <f>_xlfn.IFNA(VLOOKUP($BD158,Programma!$F$3:$X$1107,19,0),"")</f>
        <v/>
      </c>
      <c r="BW158" s="300" t="str">
        <f>_xlfn.IFNA(VLOOKUP($BD158,Programma!$F$3:$Y$1107,20,0),"")</f>
        <v/>
      </c>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row>
    <row r="159" spans="1:220" ht="15" customHeight="1">
      <c r="A159" s="21">
        <v>3</v>
      </c>
      <c r="B159" s="157" t="str">
        <f>VLOOKUP(Ruimtestaat[[#This Row],[Code]],Locaties[[Code]:[Locatie]],2,FALSE)</f>
        <v>'s Gravendreef College - Dependance</v>
      </c>
      <c r="C159" s="157" t="str">
        <f>VLOOKUP(Ruimtestaat[[#This Row],[Code]],Locaties[[#All],[Code]:[Adres]],4,FALSE)</f>
        <v>Henri Faasdreef 200</v>
      </c>
      <c r="D159" s="157" t="str">
        <f>VLOOKUP(Ruimtestaat[[#This Row],[Code]],Locaties[[#All],[Code]:[Postcode]],5,FALSE)</f>
        <v>2492 JP</v>
      </c>
      <c r="E159" s="157" t="str">
        <f>VLOOKUP(Ruimtestaat[[#This Row],[Code]],Locaties[#All],6,FALSE)</f>
        <v>Den Haag</v>
      </c>
      <c r="F159" s="33" t="s">
        <v>1801</v>
      </c>
      <c r="G159" s="33" t="s">
        <v>1624</v>
      </c>
      <c r="H159" s="21" t="s">
        <v>1844</v>
      </c>
      <c r="I159" s="62" t="s">
        <v>1845</v>
      </c>
      <c r="J159" s="21">
        <v>2</v>
      </c>
      <c r="K159" s="62" t="str">
        <f>VLOOKUP(Ruimtestaat[[#This Row],[Ruimte code]],Ruimtegroepen[[#All],[Code]:[Ruimte omschrijving]],2,FALSE)</f>
        <v>Kantoren</v>
      </c>
      <c r="L159" s="33" t="s">
        <v>101</v>
      </c>
      <c r="M159" s="367" t="s">
        <v>2495</v>
      </c>
      <c r="N159" s="140">
        <v>34.450000000000003</v>
      </c>
      <c r="O159" s="140"/>
      <c r="P159" s="125" t="str">
        <f>VLOOKUP(Ruimtestaat[[#This Row],[Ruimte code]],Ruimtegroepen[],4,FALSE)</f>
        <v>Bu</v>
      </c>
      <c r="R159" s="33">
        <v>42</v>
      </c>
      <c r="S159" s="33" t="s">
        <v>18</v>
      </c>
      <c r="T159" s="33">
        <f>IF(R159&gt;0,IF(RIGHT(Ruimtestaat[[#This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59" s="33">
        <f>IF(T159&gt;0,VLOOKUP($J159,Ruimtegroepen[],3,FALSE)*VLOOKUP($L159,Vloersoorten[],3,FALSE)*VLOOKUP($S159,Frequenties[],3,FALSE)*VLOOKUP($A159,Locaties[],3,FALSE),0)</f>
        <v>0</v>
      </c>
      <c r="V159" s="33">
        <f>Ruimtestaat[[#This Row],[Uitvoeringen werkdagen]]*Ruimtestaat[[#This Row],[Oppervlak (netto)]]</f>
        <v>4340.7000000000007</v>
      </c>
      <c r="W159" s="154">
        <f>IF(U159&gt;0,Ruimtestaat[[#This Row],[Prest. (m2 /jaar) werkdagen]]/Ruimtestaat[[#This Row],[Norm (m2/uur) werkdagen]],0)</f>
        <v>0</v>
      </c>
      <c r="X159" s="155">
        <f>Ruimtestaat[[#This Row],[uren / jaar werkdagen]]*Tariefsopbouw!$E$35</f>
        <v>0</v>
      </c>
      <c r="Y159" s="33"/>
      <c r="Z159" s="33">
        <f>IF(Ruimtestaat[[#This Row],[Frequentie weekend]]&gt;0,VALUE(LEFT(Y159,1))*R159,0)</f>
        <v>0</v>
      </c>
      <c r="AA159" s="97">
        <f>IF($Z159&gt;0,VLOOKUP($J159,Ruimtegroepen[],3,FALSE)*VLOOKUP($L159,Vloersoorten[],3,FALSE)*VLOOKUP($Y159,Frequenties[],3,FALSE)*VLOOKUP(Ruimtestaat[[#This Row],[Code]],Locaties[],3,FALSE),0)</f>
        <v>0</v>
      </c>
      <c r="AB159" s="97">
        <f>Ruimtestaat[[#This Row],[Uitvoeringen weekend]]*Ruimtestaat[[#This Row],[Oppervlak (netto)]]</f>
        <v>0</v>
      </c>
      <c r="AC159" s="97">
        <f>IF(AA159&gt;0,Ruimtestaat[[#This Row],[Prest. (m2 /jaar) weekend]]/Ruimtestaat[[#This Row],[Norm (m2/uur) weekend]],0)</f>
        <v>0</v>
      </c>
      <c r="AD159" s="155">
        <f>Ruimtestaat[[#This Row],[uren / jaar weekend]]*Tariefsopbouw!$D$40</f>
        <v>0</v>
      </c>
      <c r="AE159" s="154">
        <f>Ruimtestaat[[#This Row],[Prest. (m2 /jaar) weekend]]+Ruimtestaat[[#This Row],[Prest. (m2 /jaar) werkdagen]]</f>
        <v>4340.7000000000007</v>
      </c>
      <c r="AF159" s="154">
        <f>Ruimtestaat[[#This Row],[uren / jaar weekend]]+Ruimtestaat[[#This Row],[uren / jaar werkdagen]]</f>
        <v>0</v>
      </c>
      <c r="AG159" s="69">
        <f>Ruimtestaat[[#This Row],[kosten / jaar weekend]]+Ruimtestaat[[#This Row],[kosten / jaar werkdagen]]</f>
        <v>0</v>
      </c>
      <c r="AH159" s="69"/>
      <c r="AI159" s="256" t="str">
        <f>IF(Ruimtestaat[[#This Row],[Frequentie werkdagen]]="","",_xlfn.CONCAT(Ruimtestaat[[#This Row],[Ruimte code]],"-",Ruimtestaat[[#This Row],[Frequentie werkdagen]]," ",Ruimtestaat[[#This Row],[Vloer code]]))</f>
        <v>2-3w L</v>
      </c>
      <c r="AJ159" s="300" t="str">
        <f>_xlfn.IFNA(VLOOKUP($AI159,Programma!$F$3:$G$1107,2,0),"")</f>
        <v>_</v>
      </c>
      <c r="AK159" s="300" t="str">
        <f>_xlfn.IFNA(VLOOKUP($AI159,Programma!$F$3:$H$1107,3,0),"")</f>
        <v>_</v>
      </c>
      <c r="AL159" s="300" t="str">
        <f>_xlfn.IFNA(VLOOKUP($AI159,Programma!$F$3:$I$1107,4,0),"")</f>
        <v>2w</v>
      </c>
      <c r="AM159" s="300" t="str">
        <f>_xlfn.IFNA(VLOOKUP($AI159,Programma!$F$3:$J$1107,5,0),"")</f>
        <v>1w</v>
      </c>
      <c r="AN159" s="300" t="str">
        <f>_xlfn.IFNA(VLOOKUP($AI159,Programma!$F$3:$K$1107,6,0),"")</f>
        <v>_</v>
      </c>
      <c r="AO159" s="300" t="str">
        <f>_xlfn.IFNA(VLOOKUP($AI159,Programma!$F$3:$L$1107,7,0),"")</f>
        <v>_</v>
      </c>
      <c r="AP159" s="300" t="str">
        <f>_xlfn.IFNA(VLOOKUP($AI159,Programma!$F$3:$M$1107,8,0),"")</f>
        <v>_</v>
      </c>
      <c r="AQ159" s="300" t="str">
        <f>_xlfn.IFNA(VLOOKUP($AI159,Programma!$F$3:$N$1107,9,0),"")</f>
        <v>_</v>
      </c>
      <c r="AR159" s="300" t="str">
        <f>_xlfn.IFNA(VLOOKUP($AI159,Programma!$F$3:$O$1107,10,0),"")</f>
        <v>3w</v>
      </c>
      <c r="AS159" s="300" t="str">
        <f>_xlfn.IFNA(VLOOKUP($AI159,Programma!$F$3:$P$1107,11,0),"")</f>
        <v>3w</v>
      </c>
      <c r="AT159" s="300" t="str">
        <f>_xlfn.IFNA(VLOOKUP($AI159,Programma!$F$3:$Q$1107,12,0),"")</f>
        <v>1w</v>
      </c>
      <c r="AU159" s="300" t="str">
        <f>_xlfn.IFNA(VLOOKUP($AI159,Programma!$F$3:$R$1107,13,0),"")</f>
        <v>1w</v>
      </c>
      <c r="AV159" s="300" t="str">
        <f>_xlfn.IFNA(VLOOKUP($AI159,Programma!$F$3:$S$1107,14,0),"")</f>
        <v>1m</v>
      </c>
      <c r="AW159" s="300" t="str">
        <f>_xlfn.IFNA(VLOOKUP($AI159,Programma!$F$3:$T$1107,15,0),"")</f>
        <v>2j</v>
      </c>
      <c r="AX159" s="300" t="str">
        <f>_xlfn.IFNA(VLOOKUP($AI159,Programma!$F$3:$U$1107,16,0),"")</f>
        <v>1j</v>
      </c>
      <c r="AY159" s="300" t="str">
        <f>_xlfn.IFNA(VLOOKUP($AI159,Programma!$F$3:$V$1107,17,0),"")</f>
        <v>_</v>
      </c>
      <c r="AZ159" s="300" t="str">
        <f>_xlfn.IFNA(VLOOKUP($AI159,Programma!$F$3:$W$1107,18,0),"")</f>
        <v>_</v>
      </c>
      <c r="BA159" s="300" t="str">
        <f>_xlfn.IFNA(VLOOKUP($AI159,Programma!$F$3:$X$1107,19,0),"")</f>
        <v>_</v>
      </c>
      <c r="BB159" s="300" t="str">
        <f>_xlfn.IFNA(VLOOKUP($AI159,Programma!$F$3:$Y$1107,20,0),"")</f>
        <v>_</v>
      </c>
      <c r="BC159" s="257"/>
      <c r="BD159" s="256" t="str">
        <f>IF(Ruimtestaat[[#This Row],[Frequentie weekend]]="","",_xlfn.CONCAT(Ruimtestaat[[#This Row],[Ruimte code]],"-",Ruimtestaat[[#This Row],[Frequentie weekend]]," ",Ruimtestaat[[#This Row],[Vloer code]]))</f>
        <v/>
      </c>
      <c r="BE159" s="300" t="str">
        <f>_xlfn.IFNA(VLOOKUP($BD159,Programma!$F$3:$G$1107,2,0),"")</f>
        <v/>
      </c>
      <c r="BF159" s="300" t="str">
        <f>_xlfn.IFNA(VLOOKUP($BD159,Programma!$F$3:$H$1107,3,0),"")</f>
        <v/>
      </c>
      <c r="BG159" s="300" t="str">
        <f>_xlfn.IFNA(VLOOKUP($BD159,Programma!$F$3:$I$1107,4,0),"")</f>
        <v/>
      </c>
      <c r="BH159" s="300" t="str">
        <f>_xlfn.IFNA(VLOOKUP($BD159,Programma!$F$3:$J$1107,5,0),"")</f>
        <v/>
      </c>
      <c r="BI159" s="300" t="str">
        <f>_xlfn.IFNA(VLOOKUP($BD159,Programma!$F$3:$K$1107,6,0),"")</f>
        <v/>
      </c>
      <c r="BJ159" s="300" t="str">
        <f>_xlfn.IFNA(VLOOKUP($BD159,Programma!$F$3:$L$1107,7,0),"")</f>
        <v/>
      </c>
      <c r="BK159" s="300" t="str">
        <f>_xlfn.IFNA(VLOOKUP($BD159,Programma!$F$3:$M$1107,8,0),"")</f>
        <v/>
      </c>
      <c r="BL159" s="300" t="str">
        <f>_xlfn.IFNA(VLOOKUP($BD159,Programma!$F$3:$N$1107,9,0),"")</f>
        <v/>
      </c>
      <c r="BM159" s="300" t="str">
        <f>_xlfn.IFNA(VLOOKUP($BD159,Programma!$F$3:$O$1107,10,0),"")</f>
        <v/>
      </c>
      <c r="BN159" s="300" t="str">
        <f>_xlfn.IFNA(VLOOKUP($BD159,Programma!$F$3:$P$1107,11,0),"")</f>
        <v/>
      </c>
      <c r="BO159" s="300" t="str">
        <f>_xlfn.IFNA(VLOOKUP($BD159,Programma!$F$3:$Q$1107,12,0),"")</f>
        <v/>
      </c>
      <c r="BP159" s="300" t="str">
        <f>_xlfn.IFNA(VLOOKUP($BD159,Programma!$F$3:$R$1107,13,0),"")</f>
        <v/>
      </c>
      <c r="BQ159" s="300" t="str">
        <f>_xlfn.IFNA(VLOOKUP($BD159,Programma!$F$3:$S$1107,14,0),"")</f>
        <v/>
      </c>
      <c r="BR159" s="300" t="str">
        <f>_xlfn.IFNA(VLOOKUP($BD159,Programma!$F$3:$T$1107,15,0),"")</f>
        <v/>
      </c>
      <c r="BS159" s="300" t="str">
        <f>_xlfn.IFNA(VLOOKUP($BD159,Programma!$F$3:$U$1107,16,0),"")</f>
        <v/>
      </c>
      <c r="BT159" s="300" t="str">
        <f>_xlfn.IFNA(VLOOKUP($BD159,Programma!$F$3:$V$1107,17,0),"")</f>
        <v/>
      </c>
      <c r="BU159" s="300" t="str">
        <f>_xlfn.IFNA(VLOOKUP($BD159,Programma!$F$3:$W$1107,18,0),"")</f>
        <v/>
      </c>
      <c r="BV159" s="300" t="str">
        <f>_xlfn.IFNA(VLOOKUP($BD159,Programma!$F$3:$X$1107,19,0),"")</f>
        <v/>
      </c>
      <c r="BW159" s="300" t="str">
        <f>_xlfn.IFNA(VLOOKUP($BD159,Programma!$F$3:$Y$1107,20,0),"")</f>
        <v/>
      </c>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row>
    <row r="160" spans="1:220" ht="15" customHeight="1">
      <c r="A160" s="21">
        <v>3</v>
      </c>
      <c r="B160" s="157" t="str">
        <f>VLOOKUP(Ruimtestaat[[#This Row],[Code]],Locaties[[Code]:[Locatie]],2,FALSE)</f>
        <v>'s Gravendreef College - Dependance</v>
      </c>
      <c r="C160" s="157" t="str">
        <f>VLOOKUP(Ruimtestaat[[#This Row],[Code]],Locaties[[#All],[Code]:[Adres]],4,FALSE)</f>
        <v>Henri Faasdreef 200</v>
      </c>
      <c r="D160" s="157" t="str">
        <f>VLOOKUP(Ruimtestaat[[#This Row],[Code]],Locaties[[#All],[Code]:[Postcode]],5,FALSE)</f>
        <v>2492 JP</v>
      </c>
      <c r="E160" s="157" t="str">
        <f>VLOOKUP(Ruimtestaat[[#This Row],[Code]],Locaties[#All],6,FALSE)</f>
        <v>Den Haag</v>
      </c>
      <c r="F160" s="33" t="s">
        <v>1801</v>
      </c>
      <c r="G160" s="33" t="s">
        <v>1624</v>
      </c>
      <c r="H160" s="21" t="s">
        <v>1846</v>
      </c>
      <c r="I160" s="62" t="s">
        <v>1845</v>
      </c>
      <c r="J160" s="21">
        <v>2</v>
      </c>
      <c r="K160" s="62" t="str">
        <f>VLOOKUP(Ruimtestaat[[#This Row],[Ruimte code]],Ruimtegroepen[[#All],[Code]:[Ruimte omschrijving]],2,FALSE)</f>
        <v>Kantoren</v>
      </c>
      <c r="L160" s="33" t="s">
        <v>101</v>
      </c>
      <c r="M160" s="367" t="s">
        <v>2495</v>
      </c>
      <c r="N160" s="140">
        <v>60.17</v>
      </c>
      <c r="O160" s="140"/>
      <c r="P160" s="125" t="str">
        <f>VLOOKUP(Ruimtestaat[[#This Row],[Ruimte code]],Ruimtegroepen[],4,FALSE)</f>
        <v>Bu</v>
      </c>
      <c r="R160" s="33">
        <v>42</v>
      </c>
      <c r="S160" s="33" t="s">
        <v>18</v>
      </c>
      <c r="T160" s="33">
        <f>IF(R160&gt;0,IF(RIGHT(Ruimtestaat[[#This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60" s="33">
        <f>IF(T160&gt;0,VLOOKUP($J160,Ruimtegroepen[],3,FALSE)*VLOOKUP($L160,Vloersoorten[],3,FALSE)*VLOOKUP($S160,Frequenties[],3,FALSE)*VLOOKUP($A160,Locaties[],3,FALSE),0)</f>
        <v>0</v>
      </c>
      <c r="V160" s="33">
        <f>Ruimtestaat[[#This Row],[Uitvoeringen werkdagen]]*Ruimtestaat[[#This Row],[Oppervlak (netto)]]</f>
        <v>7581.42</v>
      </c>
      <c r="W160" s="154">
        <f>IF(U160&gt;0,Ruimtestaat[[#This Row],[Prest. (m2 /jaar) werkdagen]]/Ruimtestaat[[#This Row],[Norm (m2/uur) werkdagen]],0)</f>
        <v>0</v>
      </c>
      <c r="X160" s="155">
        <f>Ruimtestaat[[#This Row],[uren / jaar werkdagen]]*Tariefsopbouw!$E$35</f>
        <v>0</v>
      </c>
      <c r="Y160" s="33"/>
      <c r="Z160" s="33">
        <f>IF(Ruimtestaat[[#This Row],[Frequentie weekend]]&gt;0,VALUE(LEFT(Y160,1))*R160,0)</f>
        <v>0</v>
      </c>
      <c r="AA160" s="97">
        <f>IF($Z160&gt;0,VLOOKUP($J160,Ruimtegroepen[],3,FALSE)*VLOOKUP($L160,Vloersoorten[],3,FALSE)*VLOOKUP($Y160,Frequenties[],3,FALSE)*VLOOKUP(Ruimtestaat[[#This Row],[Code]],Locaties[],3,FALSE),0)</f>
        <v>0</v>
      </c>
      <c r="AB160" s="97">
        <f>Ruimtestaat[[#This Row],[Uitvoeringen weekend]]*Ruimtestaat[[#This Row],[Oppervlak (netto)]]</f>
        <v>0</v>
      </c>
      <c r="AC160" s="97">
        <f>IF(AA160&gt;0,Ruimtestaat[[#This Row],[Prest. (m2 /jaar) weekend]]/Ruimtestaat[[#This Row],[Norm (m2/uur) weekend]],0)</f>
        <v>0</v>
      </c>
      <c r="AD160" s="155">
        <f>Ruimtestaat[[#This Row],[uren / jaar weekend]]*Tariefsopbouw!$D$40</f>
        <v>0</v>
      </c>
      <c r="AE160" s="154">
        <f>Ruimtestaat[[#This Row],[Prest. (m2 /jaar) weekend]]+Ruimtestaat[[#This Row],[Prest. (m2 /jaar) werkdagen]]</f>
        <v>7581.42</v>
      </c>
      <c r="AF160" s="154">
        <f>Ruimtestaat[[#This Row],[uren / jaar weekend]]+Ruimtestaat[[#This Row],[uren / jaar werkdagen]]</f>
        <v>0</v>
      </c>
      <c r="AG160" s="69">
        <f>Ruimtestaat[[#This Row],[kosten / jaar weekend]]+Ruimtestaat[[#This Row],[kosten / jaar werkdagen]]</f>
        <v>0</v>
      </c>
      <c r="AH160" s="69"/>
      <c r="AI160" s="256" t="str">
        <f>IF(Ruimtestaat[[#This Row],[Frequentie werkdagen]]="","",_xlfn.CONCAT(Ruimtestaat[[#This Row],[Ruimte code]],"-",Ruimtestaat[[#This Row],[Frequentie werkdagen]]," ",Ruimtestaat[[#This Row],[Vloer code]]))</f>
        <v>2-3w L</v>
      </c>
      <c r="AJ160" s="300" t="str">
        <f>_xlfn.IFNA(VLOOKUP($AI160,Programma!$F$3:$G$1107,2,0),"")</f>
        <v>_</v>
      </c>
      <c r="AK160" s="300" t="str">
        <f>_xlfn.IFNA(VLOOKUP($AI160,Programma!$F$3:$H$1107,3,0),"")</f>
        <v>_</v>
      </c>
      <c r="AL160" s="300" t="str">
        <f>_xlfn.IFNA(VLOOKUP($AI160,Programma!$F$3:$I$1107,4,0),"")</f>
        <v>2w</v>
      </c>
      <c r="AM160" s="300" t="str">
        <f>_xlfn.IFNA(VLOOKUP($AI160,Programma!$F$3:$J$1107,5,0),"")</f>
        <v>1w</v>
      </c>
      <c r="AN160" s="300" t="str">
        <f>_xlfn.IFNA(VLOOKUP($AI160,Programma!$F$3:$K$1107,6,0),"")</f>
        <v>_</v>
      </c>
      <c r="AO160" s="300" t="str">
        <f>_xlfn.IFNA(VLOOKUP($AI160,Programma!$F$3:$L$1107,7,0),"")</f>
        <v>_</v>
      </c>
      <c r="AP160" s="300" t="str">
        <f>_xlfn.IFNA(VLOOKUP($AI160,Programma!$F$3:$M$1107,8,0),"")</f>
        <v>_</v>
      </c>
      <c r="AQ160" s="300" t="str">
        <f>_xlfn.IFNA(VLOOKUP($AI160,Programma!$F$3:$N$1107,9,0),"")</f>
        <v>_</v>
      </c>
      <c r="AR160" s="300" t="str">
        <f>_xlfn.IFNA(VLOOKUP($AI160,Programma!$F$3:$O$1107,10,0),"")</f>
        <v>3w</v>
      </c>
      <c r="AS160" s="300" t="str">
        <f>_xlfn.IFNA(VLOOKUP($AI160,Programma!$F$3:$P$1107,11,0),"")</f>
        <v>3w</v>
      </c>
      <c r="AT160" s="300" t="str">
        <f>_xlfn.IFNA(VLOOKUP($AI160,Programma!$F$3:$Q$1107,12,0),"")</f>
        <v>1w</v>
      </c>
      <c r="AU160" s="300" t="str">
        <f>_xlfn.IFNA(VLOOKUP($AI160,Programma!$F$3:$R$1107,13,0),"")</f>
        <v>1w</v>
      </c>
      <c r="AV160" s="300" t="str">
        <f>_xlfn.IFNA(VLOOKUP($AI160,Programma!$F$3:$S$1107,14,0),"")</f>
        <v>1m</v>
      </c>
      <c r="AW160" s="300" t="str">
        <f>_xlfn.IFNA(VLOOKUP($AI160,Programma!$F$3:$T$1107,15,0),"")</f>
        <v>2j</v>
      </c>
      <c r="AX160" s="300" t="str">
        <f>_xlfn.IFNA(VLOOKUP($AI160,Programma!$F$3:$U$1107,16,0),"")</f>
        <v>1j</v>
      </c>
      <c r="AY160" s="300" t="str">
        <f>_xlfn.IFNA(VLOOKUP($AI160,Programma!$F$3:$V$1107,17,0),"")</f>
        <v>_</v>
      </c>
      <c r="AZ160" s="300" t="str">
        <f>_xlfn.IFNA(VLOOKUP($AI160,Programma!$F$3:$W$1107,18,0),"")</f>
        <v>_</v>
      </c>
      <c r="BA160" s="300" t="str">
        <f>_xlfn.IFNA(VLOOKUP($AI160,Programma!$F$3:$X$1107,19,0),"")</f>
        <v>_</v>
      </c>
      <c r="BB160" s="300" t="str">
        <f>_xlfn.IFNA(VLOOKUP($AI160,Programma!$F$3:$Y$1107,20,0),"")</f>
        <v>_</v>
      </c>
      <c r="BC160" s="257"/>
      <c r="BD160" s="256" t="str">
        <f>IF(Ruimtestaat[[#This Row],[Frequentie weekend]]="","",_xlfn.CONCAT(Ruimtestaat[[#This Row],[Ruimte code]],"-",Ruimtestaat[[#This Row],[Frequentie weekend]]," ",Ruimtestaat[[#This Row],[Vloer code]]))</f>
        <v/>
      </c>
      <c r="BE160" s="300" t="str">
        <f>_xlfn.IFNA(VLOOKUP($BD160,Programma!$F$3:$G$1107,2,0),"")</f>
        <v/>
      </c>
      <c r="BF160" s="300" t="str">
        <f>_xlfn.IFNA(VLOOKUP($BD160,Programma!$F$3:$H$1107,3,0),"")</f>
        <v/>
      </c>
      <c r="BG160" s="300" t="str">
        <f>_xlfn.IFNA(VLOOKUP($BD160,Programma!$F$3:$I$1107,4,0),"")</f>
        <v/>
      </c>
      <c r="BH160" s="300" t="str">
        <f>_xlfn.IFNA(VLOOKUP($BD160,Programma!$F$3:$J$1107,5,0),"")</f>
        <v/>
      </c>
      <c r="BI160" s="300" t="str">
        <f>_xlfn.IFNA(VLOOKUP($BD160,Programma!$F$3:$K$1107,6,0),"")</f>
        <v/>
      </c>
      <c r="BJ160" s="300" t="str">
        <f>_xlfn.IFNA(VLOOKUP($BD160,Programma!$F$3:$L$1107,7,0),"")</f>
        <v/>
      </c>
      <c r="BK160" s="300" t="str">
        <f>_xlfn.IFNA(VLOOKUP($BD160,Programma!$F$3:$M$1107,8,0),"")</f>
        <v/>
      </c>
      <c r="BL160" s="300" t="str">
        <f>_xlfn.IFNA(VLOOKUP($BD160,Programma!$F$3:$N$1107,9,0),"")</f>
        <v/>
      </c>
      <c r="BM160" s="300" t="str">
        <f>_xlfn.IFNA(VLOOKUP($BD160,Programma!$F$3:$O$1107,10,0),"")</f>
        <v/>
      </c>
      <c r="BN160" s="300" t="str">
        <f>_xlfn.IFNA(VLOOKUP($BD160,Programma!$F$3:$P$1107,11,0),"")</f>
        <v/>
      </c>
      <c r="BO160" s="300" t="str">
        <f>_xlfn.IFNA(VLOOKUP($BD160,Programma!$F$3:$Q$1107,12,0),"")</f>
        <v/>
      </c>
      <c r="BP160" s="300" t="str">
        <f>_xlfn.IFNA(VLOOKUP($BD160,Programma!$F$3:$R$1107,13,0),"")</f>
        <v/>
      </c>
      <c r="BQ160" s="300" t="str">
        <f>_xlfn.IFNA(VLOOKUP($BD160,Programma!$F$3:$S$1107,14,0),"")</f>
        <v/>
      </c>
      <c r="BR160" s="300" t="str">
        <f>_xlfn.IFNA(VLOOKUP($BD160,Programma!$F$3:$T$1107,15,0),"")</f>
        <v/>
      </c>
      <c r="BS160" s="300" t="str">
        <f>_xlfn.IFNA(VLOOKUP($BD160,Programma!$F$3:$U$1107,16,0),"")</f>
        <v/>
      </c>
      <c r="BT160" s="300" t="str">
        <f>_xlfn.IFNA(VLOOKUP($BD160,Programma!$F$3:$V$1107,17,0),"")</f>
        <v/>
      </c>
      <c r="BU160" s="300" t="str">
        <f>_xlfn.IFNA(VLOOKUP($BD160,Programma!$F$3:$W$1107,18,0),"")</f>
        <v/>
      </c>
      <c r="BV160" s="300" t="str">
        <f>_xlfn.IFNA(VLOOKUP($BD160,Programma!$F$3:$X$1107,19,0),"")</f>
        <v/>
      </c>
      <c r="BW160" s="300" t="str">
        <f>_xlfn.IFNA(VLOOKUP($BD160,Programma!$F$3:$Y$1107,20,0),"")</f>
        <v/>
      </c>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row>
    <row r="161" spans="1:220" ht="15" customHeight="1">
      <c r="A161" s="21">
        <v>3</v>
      </c>
      <c r="B161" s="157" t="str">
        <f>VLOOKUP(Ruimtestaat[[#This Row],[Code]],Locaties[[Code]:[Locatie]],2,FALSE)</f>
        <v>'s Gravendreef College - Dependance</v>
      </c>
      <c r="C161" s="157" t="str">
        <f>VLOOKUP(Ruimtestaat[[#This Row],[Code]],Locaties[[#All],[Code]:[Adres]],4,FALSE)</f>
        <v>Henri Faasdreef 200</v>
      </c>
      <c r="D161" s="157" t="str">
        <f>VLOOKUP(Ruimtestaat[[#This Row],[Code]],Locaties[[#All],[Code]:[Postcode]],5,FALSE)</f>
        <v>2492 JP</v>
      </c>
      <c r="E161" s="157" t="str">
        <f>VLOOKUP(Ruimtestaat[[#This Row],[Code]],Locaties[#All],6,FALSE)</f>
        <v>Den Haag</v>
      </c>
      <c r="F161" s="33" t="s">
        <v>1801</v>
      </c>
      <c r="G161" s="33" t="s">
        <v>1624</v>
      </c>
      <c r="H161" s="21" t="s">
        <v>1847</v>
      </c>
      <c r="I161" s="62" t="s">
        <v>1845</v>
      </c>
      <c r="J161" s="21">
        <v>20</v>
      </c>
      <c r="K161" s="62" t="str">
        <f>VLOOKUP(Ruimtestaat[[#This Row],[Ruimte code]],Ruimtegroepen[[#All],[Code]:[Ruimte omschrijving]],2,FALSE)</f>
        <v>Niet in Onderhoud</v>
      </c>
      <c r="L161" s="33" t="s">
        <v>101</v>
      </c>
      <c r="M161" s="367" t="s">
        <v>2495</v>
      </c>
      <c r="N161" s="140"/>
      <c r="O161" s="140">
        <v>60.28</v>
      </c>
      <c r="P161" s="125">
        <f>VLOOKUP(Ruimtestaat[[#This Row],[Ruimte code]],Ruimtegroepen[],4,FALSE)</f>
        <v>0</v>
      </c>
      <c r="R161" s="33"/>
      <c r="S161" s="33"/>
      <c r="T161" s="33">
        <f>IF(R161&gt;0,IF(RIGHT(Ruimtestaat[[#This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1" s="33">
        <f>IF(T161&gt;0,VLOOKUP($J161,Ruimtegroepen[],3,FALSE)*VLOOKUP($L161,Vloersoorten[],3,FALSE)*VLOOKUP($S161,Frequenties[],3,FALSE)*VLOOKUP($A161,Locaties[],3,FALSE),0)</f>
        <v>0</v>
      </c>
      <c r="V161" s="33">
        <f>Ruimtestaat[[#This Row],[Uitvoeringen werkdagen]]*Ruimtestaat[[#This Row],[Oppervlak (netto)]]</f>
        <v>0</v>
      </c>
      <c r="W161" s="154">
        <f>IF(U161&gt;0,Ruimtestaat[[#This Row],[Prest. (m2 /jaar) werkdagen]]/Ruimtestaat[[#This Row],[Norm (m2/uur) werkdagen]],0)</f>
        <v>0</v>
      </c>
      <c r="X161" s="155">
        <f>Ruimtestaat[[#This Row],[uren / jaar werkdagen]]*Tariefsopbouw!$E$35</f>
        <v>0</v>
      </c>
      <c r="Y161" s="33"/>
      <c r="Z161" s="33">
        <f>IF(Ruimtestaat[[#This Row],[Frequentie weekend]]&gt;0,VALUE(LEFT(Y161,1))*R161,0)</f>
        <v>0</v>
      </c>
      <c r="AA161" s="97">
        <f>IF($Z161&gt;0,VLOOKUP($J161,Ruimtegroepen[],3,FALSE)*VLOOKUP($L161,Vloersoorten[],3,FALSE)*VLOOKUP($Y161,Frequenties[],3,FALSE)*VLOOKUP(Ruimtestaat[[#This Row],[Code]],Locaties[],3,FALSE),0)</f>
        <v>0</v>
      </c>
      <c r="AB161" s="97">
        <f>Ruimtestaat[[#This Row],[Uitvoeringen weekend]]*Ruimtestaat[[#This Row],[Oppervlak (netto)]]</f>
        <v>0</v>
      </c>
      <c r="AC161" s="97">
        <f>IF(AA161&gt;0,Ruimtestaat[[#This Row],[Prest. (m2 /jaar) weekend]]/Ruimtestaat[[#This Row],[Norm (m2/uur) weekend]],0)</f>
        <v>0</v>
      </c>
      <c r="AD161" s="155">
        <f>Ruimtestaat[[#This Row],[uren / jaar weekend]]*Tariefsopbouw!$D$40</f>
        <v>0</v>
      </c>
      <c r="AE161" s="154">
        <f>Ruimtestaat[[#This Row],[Prest. (m2 /jaar) weekend]]+Ruimtestaat[[#This Row],[Prest. (m2 /jaar) werkdagen]]</f>
        <v>0</v>
      </c>
      <c r="AF161" s="154">
        <f>Ruimtestaat[[#This Row],[uren / jaar weekend]]+Ruimtestaat[[#This Row],[uren / jaar werkdagen]]</f>
        <v>0</v>
      </c>
      <c r="AG161" s="69">
        <f>Ruimtestaat[[#This Row],[kosten / jaar weekend]]+Ruimtestaat[[#This Row],[kosten / jaar werkdagen]]</f>
        <v>0</v>
      </c>
      <c r="AH161" s="69"/>
      <c r="AI161" s="256" t="str">
        <f>IF(Ruimtestaat[[#This Row],[Frequentie werkdagen]]="","",_xlfn.CONCAT(Ruimtestaat[[#This Row],[Ruimte code]],"-",Ruimtestaat[[#This Row],[Frequentie werkdagen]]," ",Ruimtestaat[[#This Row],[Vloer code]]))</f>
        <v/>
      </c>
      <c r="AJ161" s="300" t="str">
        <f>_xlfn.IFNA(VLOOKUP($AI161,Programma!$F$3:$G$1107,2,0),"")</f>
        <v/>
      </c>
      <c r="AK161" s="300" t="str">
        <f>_xlfn.IFNA(VLOOKUP($AI161,Programma!$F$3:$H$1107,3,0),"")</f>
        <v/>
      </c>
      <c r="AL161" s="300" t="str">
        <f>_xlfn.IFNA(VLOOKUP($AI161,Programma!$F$3:$I$1107,4,0),"")</f>
        <v/>
      </c>
      <c r="AM161" s="300" t="str">
        <f>_xlfn.IFNA(VLOOKUP($AI161,Programma!$F$3:$J$1107,5,0),"")</f>
        <v/>
      </c>
      <c r="AN161" s="300" t="str">
        <f>_xlfn.IFNA(VLOOKUP($AI161,Programma!$F$3:$K$1107,6,0),"")</f>
        <v/>
      </c>
      <c r="AO161" s="300" t="str">
        <f>_xlfn.IFNA(VLOOKUP($AI161,Programma!$F$3:$L$1107,7,0),"")</f>
        <v/>
      </c>
      <c r="AP161" s="300" t="str">
        <f>_xlfn.IFNA(VLOOKUP($AI161,Programma!$F$3:$M$1107,8,0),"")</f>
        <v/>
      </c>
      <c r="AQ161" s="300" t="str">
        <f>_xlfn.IFNA(VLOOKUP($AI161,Programma!$F$3:$N$1107,9,0),"")</f>
        <v/>
      </c>
      <c r="AR161" s="300" t="str">
        <f>_xlfn.IFNA(VLOOKUP($AI161,Programma!$F$3:$O$1107,10,0),"")</f>
        <v/>
      </c>
      <c r="AS161" s="300" t="str">
        <f>_xlfn.IFNA(VLOOKUP($AI161,Programma!$F$3:$P$1107,11,0),"")</f>
        <v/>
      </c>
      <c r="AT161" s="300" t="str">
        <f>_xlfn.IFNA(VLOOKUP($AI161,Programma!$F$3:$Q$1107,12,0),"")</f>
        <v/>
      </c>
      <c r="AU161" s="300" t="str">
        <f>_xlfn.IFNA(VLOOKUP($AI161,Programma!$F$3:$R$1107,13,0),"")</f>
        <v/>
      </c>
      <c r="AV161" s="300" t="str">
        <f>_xlfn.IFNA(VLOOKUP($AI161,Programma!$F$3:$S$1107,14,0),"")</f>
        <v/>
      </c>
      <c r="AW161" s="300" t="str">
        <f>_xlfn.IFNA(VLOOKUP($AI161,Programma!$F$3:$T$1107,15,0),"")</f>
        <v/>
      </c>
      <c r="AX161" s="300" t="str">
        <f>_xlfn.IFNA(VLOOKUP($AI161,Programma!$F$3:$U$1107,16,0),"")</f>
        <v/>
      </c>
      <c r="AY161" s="300" t="str">
        <f>_xlfn.IFNA(VLOOKUP($AI161,Programma!$F$3:$V$1107,17,0),"")</f>
        <v/>
      </c>
      <c r="AZ161" s="300" t="str">
        <f>_xlfn.IFNA(VLOOKUP($AI161,Programma!$F$3:$W$1107,18,0),"")</f>
        <v/>
      </c>
      <c r="BA161" s="300" t="str">
        <f>_xlfn.IFNA(VLOOKUP($AI161,Programma!$F$3:$X$1107,19,0),"")</f>
        <v/>
      </c>
      <c r="BB161" s="300" t="str">
        <f>_xlfn.IFNA(VLOOKUP($AI161,Programma!$F$3:$Y$1107,20,0),"")</f>
        <v/>
      </c>
      <c r="BC161" s="257"/>
      <c r="BD161" s="256" t="str">
        <f>IF(Ruimtestaat[[#This Row],[Frequentie weekend]]="","",_xlfn.CONCAT(Ruimtestaat[[#This Row],[Ruimte code]],"-",Ruimtestaat[[#This Row],[Frequentie weekend]]," ",Ruimtestaat[[#This Row],[Vloer code]]))</f>
        <v/>
      </c>
      <c r="BE161" s="300" t="str">
        <f>_xlfn.IFNA(VLOOKUP($BD161,Programma!$F$3:$G$1107,2,0),"")</f>
        <v/>
      </c>
      <c r="BF161" s="300" t="str">
        <f>_xlfn.IFNA(VLOOKUP($BD161,Programma!$F$3:$H$1107,3,0),"")</f>
        <v/>
      </c>
      <c r="BG161" s="300" t="str">
        <f>_xlfn.IFNA(VLOOKUP($BD161,Programma!$F$3:$I$1107,4,0),"")</f>
        <v/>
      </c>
      <c r="BH161" s="300" t="str">
        <f>_xlfn.IFNA(VLOOKUP($BD161,Programma!$F$3:$J$1107,5,0),"")</f>
        <v/>
      </c>
      <c r="BI161" s="300" t="str">
        <f>_xlfn.IFNA(VLOOKUP($BD161,Programma!$F$3:$K$1107,6,0),"")</f>
        <v/>
      </c>
      <c r="BJ161" s="300" t="str">
        <f>_xlfn.IFNA(VLOOKUP($BD161,Programma!$F$3:$L$1107,7,0),"")</f>
        <v/>
      </c>
      <c r="BK161" s="300" t="str">
        <f>_xlfn.IFNA(VLOOKUP($BD161,Programma!$F$3:$M$1107,8,0),"")</f>
        <v/>
      </c>
      <c r="BL161" s="300" t="str">
        <f>_xlfn.IFNA(VLOOKUP($BD161,Programma!$F$3:$N$1107,9,0),"")</f>
        <v/>
      </c>
      <c r="BM161" s="300" t="str">
        <f>_xlfn.IFNA(VLOOKUP($BD161,Programma!$F$3:$O$1107,10,0),"")</f>
        <v/>
      </c>
      <c r="BN161" s="300" t="str">
        <f>_xlfn.IFNA(VLOOKUP($BD161,Programma!$F$3:$P$1107,11,0),"")</f>
        <v/>
      </c>
      <c r="BO161" s="300" t="str">
        <f>_xlfn.IFNA(VLOOKUP($BD161,Programma!$F$3:$Q$1107,12,0),"")</f>
        <v/>
      </c>
      <c r="BP161" s="300" t="str">
        <f>_xlfn.IFNA(VLOOKUP($BD161,Programma!$F$3:$R$1107,13,0),"")</f>
        <v/>
      </c>
      <c r="BQ161" s="300" t="str">
        <f>_xlfn.IFNA(VLOOKUP($BD161,Programma!$F$3:$S$1107,14,0),"")</f>
        <v/>
      </c>
      <c r="BR161" s="300" t="str">
        <f>_xlfn.IFNA(VLOOKUP($BD161,Programma!$F$3:$T$1107,15,0),"")</f>
        <v/>
      </c>
      <c r="BS161" s="300" t="str">
        <f>_xlfn.IFNA(VLOOKUP($BD161,Programma!$F$3:$U$1107,16,0),"")</f>
        <v/>
      </c>
      <c r="BT161" s="300" t="str">
        <f>_xlfn.IFNA(VLOOKUP($BD161,Programma!$F$3:$V$1107,17,0),"")</f>
        <v/>
      </c>
      <c r="BU161" s="300" t="str">
        <f>_xlfn.IFNA(VLOOKUP($BD161,Programma!$F$3:$W$1107,18,0),"")</f>
        <v/>
      </c>
      <c r="BV161" s="300" t="str">
        <f>_xlfn.IFNA(VLOOKUP($BD161,Programma!$F$3:$X$1107,19,0),"")</f>
        <v/>
      </c>
      <c r="BW161" s="300" t="str">
        <f>_xlfn.IFNA(VLOOKUP($BD161,Programma!$F$3:$Y$1107,20,0),"")</f>
        <v/>
      </c>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row>
    <row r="162" spans="1:220" ht="15" customHeight="1">
      <c r="A162" s="21">
        <v>3</v>
      </c>
      <c r="B162" s="157" t="str">
        <f>VLOOKUP(Ruimtestaat[[#This Row],[Code]],Locaties[[Code]:[Locatie]],2,FALSE)</f>
        <v>'s Gravendreef College - Dependance</v>
      </c>
      <c r="C162" s="157" t="str">
        <f>VLOOKUP(Ruimtestaat[[#This Row],[Code]],Locaties[[#All],[Code]:[Adres]],4,FALSE)</f>
        <v>Henri Faasdreef 200</v>
      </c>
      <c r="D162" s="157" t="str">
        <f>VLOOKUP(Ruimtestaat[[#This Row],[Code]],Locaties[[#All],[Code]:[Postcode]],5,FALSE)</f>
        <v>2492 JP</v>
      </c>
      <c r="E162" s="157" t="str">
        <f>VLOOKUP(Ruimtestaat[[#This Row],[Code]],Locaties[#All],6,FALSE)</f>
        <v>Den Haag</v>
      </c>
      <c r="F162" s="33" t="s">
        <v>1801</v>
      </c>
      <c r="G162" s="33" t="s">
        <v>1624</v>
      </c>
      <c r="H162" s="21" t="s">
        <v>1848</v>
      </c>
      <c r="I162" s="62" t="s">
        <v>1845</v>
      </c>
      <c r="J162" s="21">
        <v>20</v>
      </c>
      <c r="K162" s="62" t="str">
        <f>VLOOKUP(Ruimtestaat[[#This Row],[Ruimte code]],Ruimtegroepen[[#All],[Code]:[Ruimte omschrijving]],2,FALSE)</f>
        <v>Niet in Onderhoud</v>
      </c>
      <c r="L162" s="33" t="s">
        <v>101</v>
      </c>
      <c r="M162" s="367" t="s">
        <v>2495</v>
      </c>
      <c r="N162" s="140"/>
      <c r="O162" s="140">
        <v>68.27</v>
      </c>
      <c r="P162" s="125">
        <f>VLOOKUP(Ruimtestaat[[#This Row],[Ruimte code]],Ruimtegroepen[],4,FALSE)</f>
        <v>0</v>
      </c>
      <c r="R162" s="33"/>
      <c r="S162" s="33"/>
      <c r="T162" s="33">
        <f>IF(R162&gt;0,IF(RIGHT(Ruimtestaat[[#This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2" s="33">
        <f>IF(T162&gt;0,VLOOKUP($J162,Ruimtegroepen[],3,FALSE)*VLOOKUP($L162,Vloersoorten[],3,FALSE)*VLOOKUP($S162,Frequenties[],3,FALSE)*VLOOKUP($A162,Locaties[],3,FALSE),0)</f>
        <v>0</v>
      </c>
      <c r="V162" s="33">
        <f>Ruimtestaat[[#This Row],[Uitvoeringen werkdagen]]*Ruimtestaat[[#This Row],[Oppervlak (netto)]]</f>
        <v>0</v>
      </c>
      <c r="W162" s="154">
        <f>IF(U162&gt;0,Ruimtestaat[[#This Row],[Prest. (m2 /jaar) werkdagen]]/Ruimtestaat[[#This Row],[Norm (m2/uur) werkdagen]],0)</f>
        <v>0</v>
      </c>
      <c r="X162" s="155">
        <f>Ruimtestaat[[#This Row],[uren / jaar werkdagen]]*Tariefsopbouw!$E$35</f>
        <v>0</v>
      </c>
      <c r="Y162" s="33"/>
      <c r="Z162" s="33">
        <f>IF(Ruimtestaat[[#This Row],[Frequentie weekend]]&gt;0,VALUE(LEFT(Y162,1))*R162,0)</f>
        <v>0</v>
      </c>
      <c r="AA162" s="97">
        <f>IF($Z162&gt;0,VLOOKUP($J162,Ruimtegroepen[],3,FALSE)*VLOOKUP($L162,Vloersoorten[],3,FALSE)*VLOOKUP($Y162,Frequenties[],3,FALSE)*VLOOKUP(Ruimtestaat[[#This Row],[Code]],Locaties[],3,FALSE),0)</f>
        <v>0</v>
      </c>
      <c r="AB162" s="97">
        <f>Ruimtestaat[[#This Row],[Uitvoeringen weekend]]*Ruimtestaat[[#This Row],[Oppervlak (netto)]]</f>
        <v>0</v>
      </c>
      <c r="AC162" s="97">
        <f>IF(AA162&gt;0,Ruimtestaat[[#This Row],[Prest. (m2 /jaar) weekend]]/Ruimtestaat[[#This Row],[Norm (m2/uur) weekend]],0)</f>
        <v>0</v>
      </c>
      <c r="AD162" s="155">
        <f>Ruimtestaat[[#This Row],[uren / jaar weekend]]*Tariefsopbouw!$D$40</f>
        <v>0</v>
      </c>
      <c r="AE162" s="154">
        <f>Ruimtestaat[[#This Row],[Prest. (m2 /jaar) weekend]]+Ruimtestaat[[#This Row],[Prest. (m2 /jaar) werkdagen]]</f>
        <v>0</v>
      </c>
      <c r="AF162" s="154">
        <f>Ruimtestaat[[#This Row],[uren / jaar weekend]]+Ruimtestaat[[#This Row],[uren / jaar werkdagen]]</f>
        <v>0</v>
      </c>
      <c r="AG162" s="69">
        <f>Ruimtestaat[[#This Row],[kosten / jaar weekend]]+Ruimtestaat[[#This Row],[kosten / jaar werkdagen]]</f>
        <v>0</v>
      </c>
      <c r="AH162" s="69"/>
      <c r="AI162" s="256" t="str">
        <f>IF(Ruimtestaat[[#This Row],[Frequentie werkdagen]]="","",_xlfn.CONCAT(Ruimtestaat[[#This Row],[Ruimte code]],"-",Ruimtestaat[[#This Row],[Frequentie werkdagen]]," ",Ruimtestaat[[#This Row],[Vloer code]]))</f>
        <v/>
      </c>
      <c r="AJ162" s="300" t="str">
        <f>_xlfn.IFNA(VLOOKUP($AI162,Programma!$F$3:$G$1107,2,0),"")</f>
        <v/>
      </c>
      <c r="AK162" s="300" t="str">
        <f>_xlfn.IFNA(VLOOKUP($AI162,Programma!$F$3:$H$1107,3,0),"")</f>
        <v/>
      </c>
      <c r="AL162" s="300" t="str">
        <f>_xlfn.IFNA(VLOOKUP($AI162,Programma!$F$3:$I$1107,4,0),"")</f>
        <v/>
      </c>
      <c r="AM162" s="300" t="str">
        <f>_xlfn.IFNA(VLOOKUP($AI162,Programma!$F$3:$J$1107,5,0),"")</f>
        <v/>
      </c>
      <c r="AN162" s="300" t="str">
        <f>_xlfn.IFNA(VLOOKUP($AI162,Programma!$F$3:$K$1107,6,0),"")</f>
        <v/>
      </c>
      <c r="AO162" s="300" t="str">
        <f>_xlfn.IFNA(VLOOKUP($AI162,Programma!$F$3:$L$1107,7,0),"")</f>
        <v/>
      </c>
      <c r="AP162" s="300" t="str">
        <f>_xlfn.IFNA(VLOOKUP($AI162,Programma!$F$3:$M$1107,8,0),"")</f>
        <v/>
      </c>
      <c r="AQ162" s="300" t="str">
        <f>_xlfn.IFNA(VLOOKUP($AI162,Programma!$F$3:$N$1107,9,0),"")</f>
        <v/>
      </c>
      <c r="AR162" s="300" t="str">
        <f>_xlfn.IFNA(VLOOKUP($AI162,Programma!$F$3:$O$1107,10,0),"")</f>
        <v/>
      </c>
      <c r="AS162" s="300" t="str">
        <f>_xlfn.IFNA(VLOOKUP($AI162,Programma!$F$3:$P$1107,11,0),"")</f>
        <v/>
      </c>
      <c r="AT162" s="300" t="str">
        <f>_xlfn.IFNA(VLOOKUP($AI162,Programma!$F$3:$Q$1107,12,0),"")</f>
        <v/>
      </c>
      <c r="AU162" s="300" t="str">
        <f>_xlfn.IFNA(VLOOKUP($AI162,Programma!$F$3:$R$1107,13,0),"")</f>
        <v/>
      </c>
      <c r="AV162" s="300" t="str">
        <f>_xlfn.IFNA(VLOOKUP($AI162,Programma!$F$3:$S$1107,14,0),"")</f>
        <v/>
      </c>
      <c r="AW162" s="300" t="str">
        <f>_xlfn.IFNA(VLOOKUP($AI162,Programma!$F$3:$T$1107,15,0),"")</f>
        <v/>
      </c>
      <c r="AX162" s="300" t="str">
        <f>_xlfn.IFNA(VLOOKUP($AI162,Programma!$F$3:$U$1107,16,0),"")</f>
        <v/>
      </c>
      <c r="AY162" s="300" t="str">
        <f>_xlfn.IFNA(VLOOKUP($AI162,Programma!$F$3:$V$1107,17,0),"")</f>
        <v/>
      </c>
      <c r="AZ162" s="300" t="str">
        <f>_xlfn.IFNA(VLOOKUP($AI162,Programma!$F$3:$W$1107,18,0),"")</f>
        <v/>
      </c>
      <c r="BA162" s="300" t="str">
        <f>_xlfn.IFNA(VLOOKUP($AI162,Programma!$F$3:$X$1107,19,0),"")</f>
        <v/>
      </c>
      <c r="BB162" s="300" t="str">
        <f>_xlfn.IFNA(VLOOKUP($AI162,Programma!$F$3:$Y$1107,20,0),"")</f>
        <v/>
      </c>
      <c r="BC162" s="257"/>
      <c r="BD162" s="256" t="str">
        <f>IF(Ruimtestaat[[#This Row],[Frequentie weekend]]="","",_xlfn.CONCAT(Ruimtestaat[[#This Row],[Ruimte code]],"-",Ruimtestaat[[#This Row],[Frequentie weekend]]," ",Ruimtestaat[[#This Row],[Vloer code]]))</f>
        <v/>
      </c>
      <c r="BE162" s="300" t="str">
        <f>_xlfn.IFNA(VLOOKUP($BD162,Programma!$F$3:$G$1107,2,0),"")</f>
        <v/>
      </c>
      <c r="BF162" s="300" t="str">
        <f>_xlfn.IFNA(VLOOKUP($BD162,Programma!$F$3:$H$1107,3,0),"")</f>
        <v/>
      </c>
      <c r="BG162" s="300" t="str">
        <f>_xlfn.IFNA(VLOOKUP($BD162,Programma!$F$3:$I$1107,4,0),"")</f>
        <v/>
      </c>
      <c r="BH162" s="300" t="str">
        <f>_xlfn.IFNA(VLOOKUP($BD162,Programma!$F$3:$J$1107,5,0),"")</f>
        <v/>
      </c>
      <c r="BI162" s="300" t="str">
        <f>_xlfn.IFNA(VLOOKUP($BD162,Programma!$F$3:$K$1107,6,0),"")</f>
        <v/>
      </c>
      <c r="BJ162" s="300" t="str">
        <f>_xlfn.IFNA(VLOOKUP($BD162,Programma!$F$3:$L$1107,7,0),"")</f>
        <v/>
      </c>
      <c r="BK162" s="300" t="str">
        <f>_xlfn.IFNA(VLOOKUP($BD162,Programma!$F$3:$M$1107,8,0),"")</f>
        <v/>
      </c>
      <c r="BL162" s="300" t="str">
        <f>_xlfn.IFNA(VLOOKUP($BD162,Programma!$F$3:$N$1107,9,0),"")</f>
        <v/>
      </c>
      <c r="BM162" s="300" t="str">
        <f>_xlfn.IFNA(VLOOKUP($BD162,Programma!$F$3:$O$1107,10,0),"")</f>
        <v/>
      </c>
      <c r="BN162" s="300" t="str">
        <f>_xlfn.IFNA(VLOOKUP($BD162,Programma!$F$3:$P$1107,11,0),"")</f>
        <v/>
      </c>
      <c r="BO162" s="300" t="str">
        <f>_xlfn.IFNA(VLOOKUP($BD162,Programma!$F$3:$Q$1107,12,0),"")</f>
        <v/>
      </c>
      <c r="BP162" s="300" t="str">
        <f>_xlfn.IFNA(VLOOKUP($BD162,Programma!$F$3:$R$1107,13,0),"")</f>
        <v/>
      </c>
      <c r="BQ162" s="300" t="str">
        <f>_xlfn.IFNA(VLOOKUP($BD162,Programma!$F$3:$S$1107,14,0),"")</f>
        <v/>
      </c>
      <c r="BR162" s="300" t="str">
        <f>_xlfn.IFNA(VLOOKUP($BD162,Programma!$F$3:$T$1107,15,0),"")</f>
        <v/>
      </c>
      <c r="BS162" s="300" t="str">
        <f>_xlfn.IFNA(VLOOKUP($BD162,Programma!$F$3:$U$1107,16,0),"")</f>
        <v/>
      </c>
      <c r="BT162" s="300" t="str">
        <f>_xlfn.IFNA(VLOOKUP($BD162,Programma!$F$3:$V$1107,17,0),"")</f>
        <v/>
      </c>
      <c r="BU162" s="300" t="str">
        <f>_xlfn.IFNA(VLOOKUP($BD162,Programma!$F$3:$W$1107,18,0),"")</f>
        <v/>
      </c>
      <c r="BV162" s="300" t="str">
        <f>_xlfn.IFNA(VLOOKUP($BD162,Programma!$F$3:$X$1107,19,0),"")</f>
        <v/>
      </c>
      <c r="BW162" s="300" t="str">
        <f>_xlfn.IFNA(VLOOKUP($BD162,Programma!$F$3:$Y$1107,20,0),"")</f>
        <v/>
      </c>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row>
    <row r="163" spans="1:220" ht="15" customHeight="1">
      <c r="A163" s="21">
        <v>3</v>
      </c>
      <c r="B163" s="157" t="str">
        <f>VLOOKUP(Ruimtestaat[[#This Row],[Code]],Locaties[[Code]:[Locatie]],2,FALSE)</f>
        <v>'s Gravendreef College - Dependance</v>
      </c>
      <c r="C163" s="157" t="str">
        <f>VLOOKUP(Ruimtestaat[[#This Row],[Code]],Locaties[[#All],[Code]:[Adres]],4,FALSE)</f>
        <v>Henri Faasdreef 200</v>
      </c>
      <c r="D163" s="157" t="str">
        <f>VLOOKUP(Ruimtestaat[[#This Row],[Code]],Locaties[[#All],[Code]:[Postcode]],5,FALSE)</f>
        <v>2492 JP</v>
      </c>
      <c r="E163" s="157" t="str">
        <f>VLOOKUP(Ruimtestaat[[#This Row],[Code]],Locaties[#All],6,FALSE)</f>
        <v>Den Haag</v>
      </c>
      <c r="F163" s="33" t="s">
        <v>1801</v>
      </c>
      <c r="G163" s="33" t="s">
        <v>1624</v>
      </c>
      <c r="H163" s="21" t="s">
        <v>1849</v>
      </c>
      <c r="I163" s="62" t="s">
        <v>1805</v>
      </c>
      <c r="J163" s="21">
        <v>20</v>
      </c>
      <c r="K163" s="62" t="str">
        <f>VLOOKUP(Ruimtestaat[[#This Row],[Ruimte code]],Ruimtegroepen[[#All],[Code]:[Ruimte omschrijving]],2,FALSE)</f>
        <v>Niet in Onderhoud</v>
      </c>
      <c r="L163" s="33" t="s">
        <v>101</v>
      </c>
      <c r="M163" s="367" t="s">
        <v>2495</v>
      </c>
      <c r="N163" s="140"/>
      <c r="O163" s="140">
        <v>5.79</v>
      </c>
      <c r="P163" s="125">
        <f>VLOOKUP(Ruimtestaat[[#This Row],[Ruimte code]],Ruimtegroepen[],4,FALSE)</f>
        <v>0</v>
      </c>
      <c r="R163" s="33"/>
      <c r="S163" s="33"/>
      <c r="T163" s="33">
        <f>IF(R163&gt;0,IF(RIGHT(Ruimtestaat[[#This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3" s="33">
        <f>IF(T163&gt;0,VLOOKUP($J163,Ruimtegroepen[],3,FALSE)*VLOOKUP($L163,Vloersoorten[],3,FALSE)*VLOOKUP($S163,Frequenties[],3,FALSE)*VLOOKUP($A163,Locaties[],3,FALSE),0)</f>
        <v>0</v>
      </c>
      <c r="V163" s="33">
        <f>Ruimtestaat[[#This Row],[Uitvoeringen werkdagen]]*Ruimtestaat[[#This Row],[Oppervlak (netto)]]</f>
        <v>0</v>
      </c>
      <c r="W163" s="154">
        <f>IF(U163&gt;0,Ruimtestaat[[#This Row],[Prest. (m2 /jaar) werkdagen]]/Ruimtestaat[[#This Row],[Norm (m2/uur) werkdagen]],0)</f>
        <v>0</v>
      </c>
      <c r="X163" s="155">
        <f>Ruimtestaat[[#This Row],[uren / jaar werkdagen]]*Tariefsopbouw!$E$35</f>
        <v>0</v>
      </c>
      <c r="Y163" s="33"/>
      <c r="Z163" s="33">
        <f>IF(Ruimtestaat[[#This Row],[Frequentie weekend]]&gt;0,VALUE(LEFT(Y163,1))*R163,0)</f>
        <v>0</v>
      </c>
      <c r="AA163" s="97">
        <f>IF($Z163&gt;0,VLOOKUP($J163,Ruimtegroepen[],3,FALSE)*VLOOKUP($L163,Vloersoorten[],3,FALSE)*VLOOKUP($Y163,Frequenties[],3,FALSE)*VLOOKUP(Ruimtestaat[[#This Row],[Code]],Locaties[],3,FALSE),0)</f>
        <v>0</v>
      </c>
      <c r="AB163" s="97">
        <f>Ruimtestaat[[#This Row],[Uitvoeringen weekend]]*Ruimtestaat[[#This Row],[Oppervlak (netto)]]</f>
        <v>0</v>
      </c>
      <c r="AC163" s="97">
        <f>IF(AA163&gt;0,Ruimtestaat[[#This Row],[Prest. (m2 /jaar) weekend]]/Ruimtestaat[[#This Row],[Norm (m2/uur) weekend]],0)</f>
        <v>0</v>
      </c>
      <c r="AD163" s="155">
        <f>Ruimtestaat[[#This Row],[uren / jaar weekend]]*Tariefsopbouw!$D$40</f>
        <v>0</v>
      </c>
      <c r="AE163" s="154">
        <f>Ruimtestaat[[#This Row],[Prest. (m2 /jaar) weekend]]+Ruimtestaat[[#This Row],[Prest. (m2 /jaar) werkdagen]]</f>
        <v>0</v>
      </c>
      <c r="AF163" s="154">
        <f>Ruimtestaat[[#This Row],[uren / jaar weekend]]+Ruimtestaat[[#This Row],[uren / jaar werkdagen]]</f>
        <v>0</v>
      </c>
      <c r="AG163" s="69">
        <f>Ruimtestaat[[#This Row],[kosten / jaar weekend]]+Ruimtestaat[[#This Row],[kosten / jaar werkdagen]]</f>
        <v>0</v>
      </c>
      <c r="AH163" s="69"/>
      <c r="AI163" s="256" t="str">
        <f>IF(Ruimtestaat[[#This Row],[Frequentie werkdagen]]="","",_xlfn.CONCAT(Ruimtestaat[[#This Row],[Ruimte code]],"-",Ruimtestaat[[#This Row],[Frequentie werkdagen]]," ",Ruimtestaat[[#This Row],[Vloer code]]))</f>
        <v/>
      </c>
      <c r="AJ163" s="300" t="str">
        <f>_xlfn.IFNA(VLOOKUP($AI163,Programma!$F$3:$G$1107,2,0),"")</f>
        <v/>
      </c>
      <c r="AK163" s="300" t="str">
        <f>_xlfn.IFNA(VLOOKUP($AI163,Programma!$F$3:$H$1107,3,0),"")</f>
        <v/>
      </c>
      <c r="AL163" s="300" t="str">
        <f>_xlfn.IFNA(VLOOKUP($AI163,Programma!$F$3:$I$1107,4,0),"")</f>
        <v/>
      </c>
      <c r="AM163" s="300" t="str">
        <f>_xlfn.IFNA(VLOOKUP($AI163,Programma!$F$3:$J$1107,5,0),"")</f>
        <v/>
      </c>
      <c r="AN163" s="300" t="str">
        <f>_xlfn.IFNA(VLOOKUP($AI163,Programma!$F$3:$K$1107,6,0),"")</f>
        <v/>
      </c>
      <c r="AO163" s="300" t="str">
        <f>_xlfn.IFNA(VLOOKUP($AI163,Programma!$F$3:$L$1107,7,0),"")</f>
        <v/>
      </c>
      <c r="AP163" s="300" t="str">
        <f>_xlfn.IFNA(VLOOKUP($AI163,Programma!$F$3:$M$1107,8,0),"")</f>
        <v/>
      </c>
      <c r="AQ163" s="300" t="str">
        <f>_xlfn.IFNA(VLOOKUP($AI163,Programma!$F$3:$N$1107,9,0),"")</f>
        <v/>
      </c>
      <c r="AR163" s="300" t="str">
        <f>_xlfn.IFNA(VLOOKUP($AI163,Programma!$F$3:$O$1107,10,0),"")</f>
        <v/>
      </c>
      <c r="AS163" s="300" t="str">
        <f>_xlfn.IFNA(VLOOKUP($AI163,Programma!$F$3:$P$1107,11,0),"")</f>
        <v/>
      </c>
      <c r="AT163" s="300" t="str">
        <f>_xlfn.IFNA(VLOOKUP($AI163,Programma!$F$3:$Q$1107,12,0),"")</f>
        <v/>
      </c>
      <c r="AU163" s="300" t="str">
        <f>_xlfn.IFNA(VLOOKUP($AI163,Programma!$F$3:$R$1107,13,0),"")</f>
        <v/>
      </c>
      <c r="AV163" s="300" t="str">
        <f>_xlfn.IFNA(VLOOKUP($AI163,Programma!$F$3:$S$1107,14,0),"")</f>
        <v/>
      </c>
      <c r="AW163" s="300" t="str">
        <f>_xlfn.IFNA(VLOOKUP($AI163,Programma!$F$3:$T$1107,15,0),"")</f>
        <v/>
      </c>
      <c r="AX163" s="300" t="str">
        <f>_xlfn.IFNA(VLOOKUP($AI163,Programma!$F$3:$U$1107,16,0),"")</f>
        <v/>
      </c>
      <c r="AY163" s="300" t="str">
        <f>_xlfn.IFNA(VLOOKUP($AI163,Programma!$F$3:$V$1107,17,0),"")</f>
        <v/>
      </c>
      <c r="AZ163" s="300" t="str">
        <f>_xlfn.IFNA(VLOOKUP($AI163,Programma!$F$3:$W$1107,18,0),"")</f>
        <v/>
      </c>
      <c r="BA163" s="300" t="str">
        <f>_xlfn.IFNA(VLOOKUP($AI163,Programma!$F$3:$X$1107,19,0),"")</f>
        <v/>
      </c>
      <c r="BB163" s="300" t="str">
        <f>_xlfn.IFNA(VLOOKUP($AI163,Programma!$F$3:$Y$1107,20,0),"")</f>
        <v/>
      </c>
      <c r="BC163" s="257"/>
      <c r="BD163" s="256" t="str">
        <f>IF(Ruimtestaat[[#This Row],[Frequentie weekend]]="","",_xlfn.CONCAT(Ruimtestaat[[#This Row],[Ruimte code]],"-",Ruimtestaat[[#This Row],[Frequentie weekend]]," ",Ruimtestaat[[#This Row],[Vloer code]]))</f>
        <v/>
      </c>
      <c r="BE163" s="300" t="str">
        <f>_xlfn.IFNA(VLOOKUP($BD163,Programma!$F$3:$G$1107,2,0),"")</f>
        <v/>
      </c>
      <c r="BF163" s="300" t="str">
        <f>_xlfn.IFNA(VLOOKUP($BD163,Programma!$F$3:$H$1107,3,0),"")</f>
        <v/>
      </c>
      <c r="BG163" s="300" t="str">
        <f>_xlfn.IFNA(VLOOKUP($BD163,Programma!$F$3:$I$1107,4,0),"")</f>
        <v/>
      </c>
      <c r="BH163" s="300" t="str">
        <f>_xlfn.IFNA(VLOOKUP($BD163,Programma!$F$3:$J$1107,5,0),"")</f>
        <v/>
      </c>
      <c r="BI163" s="300" t="str">
        <f>_xlfn.IFNA(VLOOKUP($BD163,Programma!$F$3:$K$1107,6,0),"")</f>
        <v/>
      </c>
      <c r="BJ163" s="300" t="str">
        <f>_xlfn.IFNA(VLOOKUP($BD163,Programma!$F$3:$L$1107,7,0),"")</f>
        <v/>
      </c>
      <c r="BK163" s="300" t="str">
        <f>_xlfn.IFNA(VLOOKUP($BD163,Programma!$F$3:$M$1107,8,0),"")</f>
        <v/>
      </c>
      <c r="BL163" s="300" t="str">
        <f>_xlfn.IFNA(VLOOKUP($BD163,Programma!$F$3:$N$1107,9,0),"")</f>
        <v/>
      </c>
      <c r="BM163" s="300" t="str">
        <f>_xlfn.IFNA(VLOOKUP($BD163,Programma!$F$3:$O$1107,10,0),"")</f>
        <v/>
      </c>
      <c r="BN163" s="300" t="str">
        <f>_xlfn.IFNA(VLOOKUP($BD163,Programma!$F$3:$P$1107,11,0),"")</f>
        <v/>
      </c>
      <c r="BO163" s="300" t="str">
        <f>_xlfn.IFNA(VLOOKUP($BD163,Programma!$F$3:$Q$1107,12,0),"")</f>
        <v/>
      </c>
      <c r="BP163" s="300" t="str">
        <f>_xlfn.IFNA(VLOOKUP($BD163,Programma!$F$3:$R$1107,13,0),"")</f>
        <v/>
      </c>
      <c r="BQ163" s="300" t="str">
        <f>_xlfn.IFNA(VLOOKUP($BD163,Programma!$F$3:$S$1107,14,0),"")</f>
        <v/>
      </c>
      <c r="BR163" s="300" t="str">
        <f>_xlfn.IFNA(VLOOKUP($BD163,Programma!$F$3:$T$1107,15,0),"")</f>
        <v/>
      </c>
      <c r="BS163" s="300" t="str">
        <f>_xlfn.IFNA(VLOOKUP($BD163,Programma!$F$3:$U$1107,16,0),"")</f>
        <v/>
      </c>
      <c r="BT163" s="300" t="str">
        <f>_xlfn.IFNA(VLOOKUP($BD163,Programma!$F$3:$V$1107,17,0),"")</f>
        <v/>
      </c>
      <c r="BU163" s="300" t="str">
        <f>_xlfn.IFNA(VLOOKUP($BD163,Programma!$F$3:$W$1107,18,0),"")</f>
        <v/>
      </c>
      <c r="BV163" s="300" t="str">
        <f>_xlfn.IFNA(VLOOKUP($BD163,Programma!$F$3:$X$1107,19,0),"")</f>
        <v/>
      </c>
      <c r="BW163" s="300" t="str">
        <f>_xlfn.IFNA(VLOOKUP($BD163,Programma!$F$3:$Y$1107,20,0),"")</f>
        <v/>
      </c>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row>
    <row r="164" spans="1:220" ht="15" customHeight="1">
      <c r="A164" s="21">
        <v>3</v>
      </c>
      <c r="B164" s="157" t="str">
        <f>VLOOKUP(Ruimtestaat[[#This Row],[Code]],Locaties[[Code]:[Locatie]],2,FALSE)</f>
        <v>'s Gravendreef College - Dependance</v>
      </c>
      <c r="C164" s="157" t="str">
        <f>VLOOKUP(Ruimtestaat[[#This Row],[Code]],Locaties[[#All],[Code]:[Adres]],4,FALSE)</f>
        <v>Henri Faasdreef 200</v>
      </c>
      <c r="D164" s="157" t="str">
        <f>VLOOKUP(Ruimtestaat[[#This Row],[Code]],Locaties[[#All],[Code]:[Postcode]],5,FALSE)</f>
        <v>2492 JP</v>
      </c>
      <c r="E164" s="157" t="str">
        <f>VLOOKUP(Ruimtestaat[[#This Row],[Code]],Locaties[#All],6,FALSE)</f>
        <v>Den Haag</v>
      </c>
      <c r="F164" s="33" t="s">
        <v>1801</v>
      </c>
      <c r="G164" s="33" t="s">
        <v>1624</v>
      </c>
      <c r="H164" s="21" t="s">
        <v>1850</v>
      </c>
      <c r="I164" s="62" t="s">
        <v>1644</v>
      </c>
      <c r="J164" s="21">
        <v>20</v>
      </c>
      <c r="K164" s="62" t="str">
        <f>VLOOKUP(Ruimtestaat[[#This Row],[Ruimte code]],Ruimtegroepen[[#All],[Code]:[Ruimte omschrijving]],2,FALSE)</f>
        <v>Niet in Onderhoud</v>
      </c>
      <c r="L164" s="33" t="s">
        <v>101</v>
      </c>
      <c r="M164" s="367" t="s">
        <v>2495</v>
      </c>
      <c r="N164" s="140"/>
      <c r="O164" s="140">
        <v>9.41</v>
      </c>
      <c r="P164" s="125">
        <f>VLOOKUP(Ruimtestaat[[#This Row],[Ruimte code]],Ruimtegroepen[],4,FALSE)</f>
        <v>0</v>
      </c>
      <c r="R164" s="33"/>
      <c r="S164" s="33"/>
      <c r="T164" s="33">
        <f>IF(R164&gt;0,IF(RIGHT(Ruimtestaat[[#This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4" s="33">
        <f>IF(T164&gt;0,VLOOKUP($J164,Ruimtegroepen[],3,FALSE)*VLOOKUP($L164,Vloersoorten[],3,FALSE)*VLOOKUP($S164,Frequenties[],3,FALSE)*VLOOKUP($A164,Locaties[],3,FALSE),0)</f>
        <v>0</v>
      </c>
      <c r="V164" s="33">
        <f>Ruimtestaat[[#This Row],[Uitvoeringen werkdagen]]*Ruimtestaat[[#This Row],[Oppervlak (netto)]]</f>
        <v>0</v>
      </c>
      <c r="W164" s="154">
        <f>IF(U164&gt;0,Ruimtestaat[[#This Row],[Prest. (m2 /jaar) werkdagen]]/Ruimtestaat[[#This Row],[Norm (m2/uur) werkdagen]],0)</f>
        <v>0</v>
      </c>
      <c r="X164" s="155">
        <f>Ruimtestaat[[#This Row],[uren / jaar werkdagen]]*Tariefsopbouw!$E$35</f>
        <v>0</v>
      </c>
      <c r="Y164" s="33"/>
      <c r="Z164" s="33">
        <f>IF(Ruimtestaat[[#This Row],[Frequentie weekend]]&gt;0,VALUE(LEFT(Y164,1))*R164,0)</f>
        <v>0</v>
      </c>
      <c r="AA164" s="97">
        <f>IF($Z164&gt;0,VLOOKUP($J164,Ruimtegroepen[],3,FALSE)*VLOOKUP($L164,Vloersoorten[],3,FALSE)*VLOOKUP($Y164,Frequenties[],3,FALSE)*VLOOKUP(Ruimtestaat[[#This Row],[Code]],Locaties[],3,FALSE),0)</f>
        <v>0</v>
      </c>
      <c r="AB164" s="97">
        <f>Ruimtestaat[[#This Row],[Uitvoeringen weekend]]*Ruimtestaat[[#This Row],[Oppervlak (netto)]]</f>
        <v>0</v>
      </c>
      <c r="AC164" s="97">
        <f>IF(AA164&gt;0,Ruimtestaat[[#This Row],[Prest. (m2 /jaar) weekend]]/Ruimtestaat[[#This Row],[Norm (m2/uur) weekend]],0)</f>
        <v>0</v>
      </c>
      <c r="AD164" s="155">
        <f>Ruimtestaat[[#This Row],[uren / jaar weekend]]*Tariefsopbouw!$D$40</f>
        <v>0</v>
      </c>
      <c r="AE164" s="154">
        <f>Ruimtestaat[[#This Row],[Prest. (m2 /jaar) weekend]]+Ruimtestaat[[#This Row],[Prest. (m2 /jaar) werkdagen]]</f>
        <v>0</v>
      </c>
      <c r="AF164" s="154">
        <f>Ruimtestaat[[#This Row],[uren / jaar weekend]]+Ruimtestaat[[#This Row],[uren / jaar werkdagen]]</f>
        <v>0</v>
      </c>
      <c r="AG164" s="69">
        <f>Ruimtestaat[[#This Row],[kosten / jaar weekend]]+Ruimtestaat[[#This Row],[kosten / jaar werkdagen]]</f>
        <v>0</v>
      </c>
      <c r="AH164" s="69"/>
      <c r="AI164" s="256" t="str">
        <f>IF(Ruimtestaat[[#This Row],[Frequentie werkdagen]]="","",_xlfn.CONCAT(Ruimtestaat[[#This Row],[Ruimte code]],"-",Ruimtestaat[[#This Row],[Frequentie werkdagen]]," ",Ruimtestaat[[#This Row],[Vloer code]]))</f>
        <v/>
      </c>
      <c r="AJ164" s="300" t="str">
        <f>_xlfn.IFNA(VLOOKUP($AI164,Programma!$F$3:$G$1107,2,0),"")</f>
        <v/>
      </c>
      <c r="AK164" s="300" t="str">
        <f>_xlfn.IFNA(VLOOKUP($AI164,Programma!$F$3:$H$1107,3,0),"")</f>
        <v/>
      </c>
      <c r="AL164" s="300" t="str">
        <f>_xlfn.IFNA(VLOOKUP($AI164,Programma!$F$3:$I$1107,4,0),"")</f>
        <v/>
      </c>
      <c r="AM164" s="300" t="str">
        <f>_xlfn.IFNA(VLOOKUP($AI164,Programma!$F$3:$J$1107,5,0),"")</f>
        <v/>
      </c>
      <c r="AN164" s="300" t="str">
        <f>_xlfn.IFNA(VLOOKUP($AI164,Programma!$F$3:$K$1107,6,0),"")</f>
        <v/>
      </c>
      <c r="AO164" s="300" t="str">
        <f>_xlfn.IFNA(VLOOKUP($AI164,Programma!$F$3:$L$1107,7,0),"")</f>
        <v/>
      </c>
      <c r="AP164" s="300" t="str">
        <f>_xlfn.IFNA(VLOOKUP($AI164,Programma!$F$3:$M$1107,8,0),"")</f>
        <v/>
      </c>
      <c r="AQ164" s="300" t="str">
        <f>_xlfn.IFNA(VLOOKUP($AI164,Programma!$F$3:$N$1107,9,0),"")</f>
        <v/>
      </c>
      <c r="AR164" s="300" t="str">
        <f>_xlfn.IFNA(VLOOKUP($AI164,Programma!$F$3:$O$1107,10,0),"")</f>
        <v/>
      </c>
      <c r="AS164" s="300" t="str">
        <f>_xlfn.IFNA(VLOOKUP($AI164,Programma!$F$3:$P$1107,11,0),"")</f>
        <v/>
      </c>
      <c r="AT164" s="300" t="str">
        <f>_xlfn.IFNA(VLOOKUP($AI164,Programma!$F$3:$Q$1107,12,0),"")</f>
        <v/>
      </c>
      <c r="AU164" s="300" t="str">
        <f>_xlfn.IFNA(VLOOKUP($AI164,Programma!$F$3:$R$1107,13,0),"")</f>
        <v/>
      </c>
      <c r="AV164" s="300" t="str">
        <f>_xlfn.IFNA(VLOOKUP($AI164,Programma!$F$3:$S$1107,14,0),"")</f>
        <v/>
      </c>
      <c r="AW164" s="300" t="str">
        <f>_xlfn.IFNA(VLOOKUP($AI164,Programma!$F$3:$T$1107,15,0),"")</f>
        <v/>
      </c>
      <c r="AX164" s="300" t="str">
        <f>_xlfn.IFNA(VLOOKUP($AI164,Programma!$F$3:$U$1107,16,0),"")</f>
        <v/>
      </c>
      <c r="AY164" s="300" t="str">
        <f>_xlfn.IFNA(VLOOKUP($AI164,Programma!$F$3:$V$1107,17,0),"")</f>
        <v/>
      </c>
      <c r="AZ164" s="300" t="str">
        <f>_xlfn.IFNA(VLOOKUP($AI164,Programma!$F$3:$W$1107,18,0),"")</f>
        <v/>
      </c>
      <c r="BA164" s="300" t="str">
        <f>_xlfn.IFNA(VLOOKUP($AI164,Programma!$F$3:$X$1107,19,0),"")</f>
        <v/>
      </c>
      <c r="BB164" s="300" t="str">
        <f>_xlfn.IFNA(VLOOKUP($AI164,Programma!$F$3:$Y$1107,20,0),"")</f>
        <v/>
      </c>
      <c r="BC164" s="257"/>
      <c r="BD164" s="256" t="str">
        <f>IF(Ruimtestaat[[#This Row],[Frequentie weekend]]="","",_xlfn.CONCAT(Ruimtestaat[[#This Row],[Ruimte code]],"-",Ruimtestaat[[#This Row],[Frequentie weekend]]," ",Ruimtestaat[[#This Row],[Vloer code]]))</f>
        <v/>
      </c>
      <c r="BE164" s="300" t="str">
        <f>_xlfn.IFNA(VLOOKUP($BD164,Programma!$F$3:$G$1107,2,0),"")</f>
        <v/>
      </c>
      <c r="BF164" s="300" t="str">
        <f>_xlfn.IFNA(VLOOKUP($BD164,Programma!$F$3:$H$1107,3,0),"")</f>
        <v/>
      </c>
      <c r="BG164" s="300" t="str">
        <f>_xlfn.IFNA(VLOOKUP($BD164,Programma!$F$3:$I$1107,4,0),"")</f>
        <v/>
      </c>
      <c r="BH164" s="300" t="str">
        <f>_xlfn.IFNA(VLOOKUP($BD164,Programma!$F$3:$J$1107,5,0),"")</f>
        <v/>
      </c>
      <c r="BI164" s="300" t="str">
        <f>_xlfn.IFNA(VLOOKUP($BD164,Programma!$F$3:$K$1107,6,0),"")</f>
        <v/>
      </c>
      <c r="BJ164" s="300" t="str">
        <f>_xlfn.IFNA(VLOOKUP($BD164,Programma!$F$3:$L$1107,7,0),"")</f>
        <v/>
      </c>
      <c r="BK164" s="300" t="str">
        <f>_xlfn.IFNA(VLOOKUP($BD164,Programma!$F$3:$M$1107,8,0),"")</f>
        <v/>
      </c>
      <c r="BL164" s="300" t="str">
        <f>_xlfn.IFNA(VLOOKUP($BD164,Programma!$F$3:$N$1107,9,0),"")</f>
        <v/>
      </c>
      <c r="BM164" s="300" t="str">
        <f>_xlfn.IFNA(VLOOKUP($BD164,Programma!$F$3:$O$1107,10,0),"")</f>
        <v/>
      </c>
      <c r="BN164" s="300" t="str">
        <f>_xlfn.IFNA(VLOOKUP($BD164,Programma!$F$3:$P$1107,11,0),"")</f>
        <v/>
      </c>
      <c r="BO164" s="300" t="str">
        <f>_xlfn.IFNA(VLOOKUP($BD164,Programma!$F$3:$Q$1107,12,0),"")</f>
        <v/>
      </c>
      <c r="BP164" s="300" t="str">
        <f>_xlfn.IFNA(VLOOKUP($BD164,Programma!$F$3:$R$1107,13,0),"")</f>
        <v/>
      </c>
      <c r="BQ164" s="300" t="str">
        <f>_xlfn.IFNA(VLOOKUP($BD164,Programma!$F$3:$S$1107,14,0),"")</f>
        <v/>
      </c>
      <c r="BR164" s="300" t="str">
        <f>_xlfn.IFNA(VLOOKUP($BD164,Programma!$F$3:$T$1107,15,0),"")</f>
        <v/>
      </c>
      <c r="BS164" s="300" t="str">
        <f>_xlfn.IFNA(VLOOKUP($BD164,Programma!$F$3:$U$1107,16,0),"")</f>
        <v/>
      </c>
      <c r="BT164" s="300" t="str">
        <f>_xlfn.IFNA(VLOOKUP($BD164,Programma!$F$3:$V$1107,17,0),"")</f>
        <v/>
      </c>
      <c r="BU164" s="300" t="str">
        <f>_xlfn.IFNA(VLOOKUP($BD164,Programma!$F$3:$W$1107,18,0),"")</f>
        <v/>
      </c>
      <c r="BV164" s="300" t="str">
        <f>_xlfn.IFNA(VLOOKUP($BD164,Programma!$F$3:$X$1107,19,0),"")</f>
        <v/>
      </c>
      <c r="BW164" s="300" t="str">
        <f>_xlfn.IFNA(VLOOKUP($BD164,Programma!$F$3:$Y$1107,20,0),"")</f>
        <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row>
    <row r="165" spans="1:220" ht="15" customHeight="1">
      <c r="A165" s="21">
        <v>3</v>
      </c>
      <c r="B165" s="157" t="str">
        <f>VLOOKUP(Ruimtestaat[[#This Row],[Code]],Locaties[[Code]:[Locatie]],2,FALSE)</f>
        <v>'s Gravendreef College - Dependance</v>
      </c>
      <c r="C165" s="157" t="str">
        <f>VLOOKUP(Ruimtestaat[[#This Row],[Code]],Locaties[[#All],[Code]:[Adres]],4,FALSE)</f>
        <v>Henri Faasdreef 200</v>
      </c>
      <c r="D165" s="157" t="str">
        <f>VLOOKUP(Ruimtestaat[[#This Row],[Code]],Locaties[[#All],[Code]:[Postcode]],5,FALSE)</f>
        <v>2492 JP</v>
      </c>
      <c r="E165" s="157" t="str">
        <f>VLOOKUP(Ruimtestaat[[#This Row],[Code]],Locaties[#All],6,FALSE)</f>
        <v>Den Haag</v>
      </c>
      <c r="F165" s="33" t="s">
        <v>1801</v>
      </c>
      <c r="G165" s="33" t="s">
        <v>1624</v>
      </c>
      <c r="H165" s="21" t="s">
        <v>1851</v>
      </c>
      <c r="I165" s="62" t="s">
        <v>1805</v>
      </c>
      <c r="J165" s="21">
        <v>10</v>
      </c>
      <c r="K165" s="62" t="str">
        <f>VLOOKUP(Ruimtestaat[[#This Row],[Ruimte code]],Ruimtegroepen[[#All],[Code]:[Ruimte omschrijving]],2,FALSE)</f>
        <v>Trappenhuizen/lift</v>
      </c>
      <c r="L165" s="33" t="s">
        <v>101</v>
      </c>
      <c r="M165" s="367" t="s">
        <v>2495</v>
      </c>
      <c r="N165" s="140">
        <v>12.64</v>
      </c>
      <c r="O165" s="140"/>
      <c r="P165" s="125" t="str">
        <f>VLOOKUP(Ruimtestaat[[#This Row],[Ruimte code]],Ruimtegroepen[],4,FALSE)</f>
        <v>Ve</v>
      </c>
      <c r="R165" s="33">
        <v>40</v>
      </c>
      <c r="S165" s="33" t="s">
        <v>2</v>
      </c>
      <c r="T165" s="33">
        <f>IF(R165&gt;0,IF(RIGHT(Ruimtestaat[[#This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5" s="33">
        <f>IF(T165&gt;0,VLOOKUP($J165,Ruimtegroepen[],3,FALSE)*VLOOKUP($L165,Vloersoorten[],3,FALSE)*VLOOKUP($S165,Frequenties[],3,FALSE)*VLOOKUP($A165,Locaties[],3,FALSE),0)</f>
        <v>0</v>
      </c>
      <c r="V165" s="33">
        <f>Ruimtestaat[[#This Row],[Uitvoeringen werkdagen]]*Ruimtestaat[[#This Row],[Oppervlak (netto)]]</f>
        <v>2528</v>
      </c>
      <c r="W165" s="154">
        <f>IF(U165&gt;0,Ruimtestaat[[#This Row],[Prest. (m2 /jaar) werkdagen]]/Ruimtestaat[[#This Row],[Norm (m2/uur) werkdagen]],0)</f>
        <v>0</v>
      </c>
      <c r="X165" s="155">
        <f>Ruimtestaat[[#This Row],[uren / jaar werkdagen]]*Tariefsopbouw!$E$35</f>
        <v>0</v>
      </c>
      <c r="Y165" s="33"/>
      <c r="Z165" s="33">
        <f>IF(Ruimtestaat[[#This Row],[Frequentie weekend]]&gt;0,VALUE(LEFT(Y165,1))*R165,0)</f>
        <v>0</v>
      </c>
      <c r="AA165" s="97">
        <f>IF($Z165&gt;0,VLOOKUP($J165,Ruimtegroepen[],3,FALSE)*VLOOKUP($L165,Vloersoorten[],3,FALSE)*VLOOKUP($Y165,Frequenties[],3,FALSE)*VLOOKUP(Ruimtestaat[[#This Row],[Code]],Locaties[],3,FALSE),0)</f>
        <v>0</v>
      </c>
      <c r="AB165" s="97">
        <f>Ruimtestaat[[#This Row],[Uitvoeringen weekend]]*Ruimtestaat[[#This Row],[Oppervlak (netto)]]</f>
        <v>0</v>
      </c>
      <c r="AC165" s="97">
        <f>IF(AA165&gt;0,Ruimtestaat[[#This Row],[Prest. (m2 /jaar) weekend]]/Ruimtestaat[[#This Row],[Norm (m2/uur) weekend]],0)</f>
        <v>0</v>
      </c>
      <c r="AD165" s="155">
        <f>Ruimtestaat[[#This Row],[uren / jaar weekend]]*Tariefsopbouw!$D$40</f>
        <v>0</v>
      </c>
      <c r="AE165" s="154">
        <f>Ruimtestaat[[#This Row],[Prest. (m2 /jaar) weekend]]+Ruimtestaat[[#This Row],[Prest. (m2 /jaar) werkdagen]]</f>
        <v>2528</v>
      </c>
      <c r="AF165" s="154">
        <f>Ruimtestaat[[#This Row],[uren / jaar weekend]]+Ruimtestaat[[#This Row],[uren / jaar werkdagen]]</f>
        <v>0</v>
      </c>
      <c r="AG165" s="69">
        <f>Ruimtestaat[[#This Row],[kosten / jaar weekend]]+Ruimtestaat[[#This Row],[kosten / jaar werkdagen]]</f>
        <v>0</v>
      </c>
      <c r="AH165" s="69"/>
      <c r="AI165" s="256" t="str">
        <f>IF(Ruimtestaat[[#This Row],[Frequentie werkdagen]]="","",_xlfn.CONCAT(Ruimtestaat[[#This Row],[Ruimte code]],"-",Ruimtestaat[[#This Row],[Frequentie werkdagen]]," ",Ruimtestaat[[#This Row],[Vloer code]]))</f>
        <v>10-5w L</v>
      </c>
      <c r="AJ165" s="300" t="str">
        <f>_xlfn.IFNA(VLOOKUP($AI165,Programma!$F$3:$G$1107,2,0),"")</f>
        <v>_</v>
      </c>
      <c r="AK165" s="300" t="str">
        <f>_xlfn.IFNA(VLOOKUP($AI165,Programma!$F$3:$H$1107,3,0),"")</f>
        <v>_</v>
      </c>
      <c r="AL165" s="300" t="str">
        <f>_xlfn.IFNA(VLOOKUP($AI165,Programma!$F$3:$I$1107,4,0),"")</f>
        <v>4w</v>
      </c>
      <c r="AM165" s="300" t="str">
        <f>_xlfn.IFNA(VLOOKUP($AI165,Programma!$F$3:$J$1107,5,0),"")</f>
        <v>1w</v>
      </c>
      <c r="AN165" s="300" t="str">
        <f>_xlfn.IFNA(VLOOKUP($AI165,Programma!$F$3:$K$1107,6,0),"")</f>
        <v>_</v>
      </c>
      <c r="AO165" s="300" t="str">
        <f>_xlfn.IFNA(VLOOKUP($AI165,Programma!$F$3:$L$1107,7,0),"")</f>
        <v>_</v>
      </c>
      <c r="AP165" s="300" t="str">
        <f>_xlfn.IFNA(VLOOKUP($AI165,Programma!$F$3:$M$1107,8,0),"")</f>
        <v>_</v>
      </c>
      <c r="AQ165" s="300" t="str">
        <f>_xlfn.IFNA(VLOOKUP($AI165,Programma!$F$3:$N$1107,9,0),"")</f>
        <v>_</v>
      </c>
      <c r="AR165" s="300" t="str">
        <f>_xlfn.IFNA(VLOOKUP($AI165,Programma!$F$3:$O$1107,10,0),"")</f>
        <v>5w</v>
      </c>
      <c r="AS165" s="300" t="str">
        <f>_xlfn.IFNA(VLOOKUP($AI165,Programma!$F$3:$P$1107,11,0),"")</f>
        <v>5w</v>
      </c>
      <c r="AT165" s="300" t="str">
        <f>_xlfn.IFNA(VLOOKUP($AI165,Programma!$F$3:$Q$1107,12,0),"")</f>
        <v>1w</v>
      </c>
      <c r="AU165" s="300" t="str">
        <f>_xlfn.IFNA(VLOOKUP($AI165,Programma!$F$3:$R$1107,13,0),"")</f>
        <v>1w</v>
      </c>
      <c r="AV165" s="300" t="str">
        <f>_xlfn.IFNA(VLOOKUP($AI165,Programma!$F$3:$S$1107,14,0),"")</f>
        <v>1m</v>
      </c>
      <c r="AW165" s="300" t="str">
        <f>_xlfn.IFNA(VLOOKUP($AI165,Programma!$F$3:$T$1107,15,0),"")</f>
        <v>2j</v>
      </c>
      <c r="AX165" s="300" t="str">
        <f>_xlfn.IFNA(VLOOKUP($AI165,Programma!$F$3:$U$1107,16,0),"")</f>
        <v>1j</v>
      </c>
      <c r="AY165" s="300" t="str">
        <f>_xlfn.IFNA(VLOOKUP($AI165,Programma!$F$3:$V$1107,17,0),"")</f>
        <v>_</v>
      </c>
      <c r="AZ165" s="300" t="str">
        <f>_xlfn.IFNA(VLOOKUP($AI165,Programma!$F$3:$W$1107,18,0),"")</f>
        <v>_</v>
      </c>
      <c r="BA165" s="300" t="str">
        <f>_xlfn.IFNA(VLOOKUP($AI165,Programma!$F$3:$X$1107,19,0),"")</f>
        <v>_</v>
      </c>
      <c r="BB165" s="300" t="str">
        <f>_xlfn.IFNA(VLOOKUP($AI165,Programma!$F$3:$Y$1107,20,0),"")</f>
        <v>_</v>
      </c>
      <c r="BC165" s="257"/>
      <c r="BD165" s="256" t="str">
        <f>IF(Ruimtestaat[[#This Row],[Frequentie weekend]]="","",_xlfn.CONCAT(Ruimtestaat[[#This Row],[Ruimte code]],"-",Ruimtestaat[[#This Row],[Frequentie weekend]]," ",Ruimtestaat[[#This Row],[Vloer code]]))</f>
        <v/>
      </c>
      <c r="BE165" s="300" t="str">
        <f>_xlfn.IFNA(VLOOKUP($BD165,Programma!$F$3:$G$1107,2,0),"")</f>
        <v/>
      </c>
      <c r="BF165" s="300" t="str">
        <f>_xlfn.IFNA(VLOOKUP($BD165,Programma!$F$3:$H$1107,3,0),"")</f>
        <v/>
      </c>
      <c r="BG165" s="300" t="str">
        <f>_xlfn.IFNA(VLOOKUP($BD165,Programma!$F$3:$I$1107,4,0),"")</f>
        <v/>
      </c>
      <c r="BH165" s="300" t="str">
        <f>_xlfn.IFNA(VLOOKUP($BD165,Programma!$F$3:$J$1107,5,0),"")</f>
        <v/>
      </c>
      <c r="BI165" s="300" t="str">
        <f>_xlfn.IFNA(VLOOKUP($BD165,Programma!$F$3:$K$1107,6,0),"")</f>
        <v/>
      </c>
      <c r="BJ165" s="300" t="str">
        <f>_xlfn.IFNA(VLOOKUP($BD165,Programma!$F$3:$L$1107,7,0),"")</f>
        <v/>
      </c>
      <c r="BK165" s="300" t="str">
        <f>_xlfn.IFNA(VLOOKUP($BD165,Programma!$F$3:$M$1107,8,0),"")</f>
        <v/>
      </c>
      <c r="BL165" s="300" t="str">
        <f>_xlfn.IFNA(VLOOKUP($BD165,Programma!$F$3:$N$1107,9,0),"")</f>
        <v/>
      </c>
      <c r="BM165" s="300" t="str">
        <f>_xlfn.IFNA(VLOOKUP($BD165,Programma!$F$3:$O$1107,10,0),"")</f>
        <v/>
      </c>
      <c r="BN165" s="300" t="str">
        <f>_xlfn.IFNA(VLOOKUP($BD165,Programma!$F$3:$P$1107,11,0),"")</f>
        <v/>
      </c>
      <c r="BO165" s="300" t="str">
        <f>_xlfn.IFNA(VLOOKUP($BD165,Programma!$F$3:$Q$1107,12,0),"")</f>
        <v/>
      </c>
      <c r="BP165" s="300" t="str">
        <f>_xlfn.IFNA(VLOOKUP($BD165,Programma!$F$3:$R$1107,13,0),"")</f>
        <v/>
      </c>
      <c r="BQ165" s="300" t="str">
        <f>_xlfn.IFNA(VLOOKUP($BD165,Programma!$F$3:$S$1107,14,0),"")</f>
        <v/>
      </c>
      <c r="BR165" s="300" t="str">
        <f>_xlfn.IFNA(VLOOKUP($BD165,Programma!$F$3:$T$1107,15,0),"")</f>
        <v/>
      </c>
      <c r="BS165" s="300" t="str">
        <f>_xlfn.IFNA(VLOOKUP($BD165,Programma!$F$3:$U$1107,16,0),"")</f>
        <v/>
      </c>
      <c r="BT165" s="300" t="str">
        <f>_xlfn.IFNA(VLOOKUP($BD165,Programma!$F$3:$V$1107,17,0),"")</f>
        <v/>
      </c>
      <c r="BU165" s="300" t="str">
        <f>_xlfn.IFNA(VLOOKUP($BD165,Programma!$F$3:$W$1107,18,0),"")</f>
        <v/>
      </c>
      <c r="BV165" s="300" t="str">
        <f>_xlfn.IFNA(VLOOKUP($BD165,Programma!$F$3:$X$1107,19,0),"")</f>
        <v/>
      </c>
      <c r="BW165" s="300" t="str">
        <f>_xlfn.IFNA(VLOOKUP($BD165,Programma!$F$3:$Y$1107,20,0),"")</f>
        <v/>
      </c>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row>
    <row r="166" spans="1:220" ht="15" customHeight="1">
      <c r="A166" s="21">
        <v>3</v>
      </c>
      <c r="B166" s="157" t="str">
        <f>VLOOKUP(Ruimtestaat[[#This Row],[Code]],Locaties[[Code]:[Locatie]],2,FALSE)</f>
        <v>'s Gravendreef College - Dependance</v>
      </c>
      <c r="C166" s="157" t="str">
        <f>VLOOKUP(Ruimtestaat[[#This Row],[Code]],Locaties[[#All],[Code]:[Adres]],4,FALSE)</f>
        <v>Henri Faasdreef 200</v>
      </c>
      <c r="D166" s="157" t="str">
        <f>VLOOKUP(Ruimtestaat[[#This Row],[Code]],Locaties[[#All],[Code]:[Postcode]],5,FALSE)</f>
        <v>2492 JP</v>
      </c>
      <c r="E166" s="157" t="str">
        <f>VLOOKUP(Ruimtestaat[[#This Row],[Code]],Locaties[#All],6,FALSE)</f>
        <v>Den Haag</v>
      </c>
      <c r="F166" s="33" t="s">
        <v>1801</v>
      </c>
      <c r="G166" s="33" t="s">
        <v>1624</v>
      </c>
      <c r="H166" s="21" t="s">
        <v>1852</v>
      </c>
      <c r="I166" s="62" t="s">
        <v>1761</v>
      </c>
      <c r="J166" s="21">
        <v>20</v>
      </c>
      <c r="K166" s="62" t="str">
        <f>VLOOKUP(Ruimtestaat[[#This Row],[Ruimte code]],Ruimtegroepen[[#All],[Code]:[Ruimte omschrijving]],2,FALSE)</f>
        <v>Niet in Onderhoud</v>
      </c>
      <c r="L166" s="33" t="s">
        <v>101</v>
      </c>
      <c r="M166" s="367" t="s">
        <v>2495</v>
      </c>
      <c r="N166" s="140"/>
      <c r="O166" s="140">
        <v>113.39</v>
      </c>
      <c r="P166" s="125">
        <f>VLOOKUP(Ruimtestaat[[#This Row],[Ruimte code]],Ruimtegroepen[],4,FALSE)</f>
        <v>0</v>
      </c>
      <c r="R166" s="33"/>
      <c r="S166" s="33"/>
      <c r="T166" s="33">
        <f>IF(R166&gt;0,IF(RIGHT(Ruimtestaat[[#This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6" s="33">
        <f>IF(T166&gt;0,VLOOKUP($J166,Ruimtegroepen[],3,FALSE)*VLOOKUP($L166,Vloersoorten[],3,FALSE)*VLOOKUP($S166,Frequenties[],3,FALSE)*VLOOKUP($A166,Locaties[],3,FALSE),0)</f>
        <v>0</v>
      </c>
      <c r="V166" s="33">
        <f>Ruimtestaat[[#This Row],[Uitvoeringen werkdagen]]*Ruimtestaat[[#This Row],[Oppervlak (netto)]]</f>
        <v>0</v>
      </c>
      <c r="W166" s="154">
        <f>IF(U166&gt;0,Ruimtestaat[[#This Row],[Prest. (m2 /jaar) werkdagen]]/Ruimtestaat[[#This Row],[Norm (m2/uur) werkdagen]],0)</f>
        <v>0</v>
      </c>
      <c r="X166" s="155">
        <f>Ruimtestaat[[#This Row],[uren / jaar werkdagen]]*Tariefsopbouw!$E$35</f>
        <v>0</v>
      </c>
      <c r="Y166" s="33"/>
      <c r="Z166" s="33">
        <f>IF(Ruimtestaat[[#This Row],[Frequentie weekend]]&gt;0,VALUE(LEFT(Y166,1))*R166,0)</f>
        <v>0</v>
      </c>
      <c r="AA166" s="97">
        <f>IF($Z166&gt;0,VLOOKUP($J166,Ruimtegroepen[],3,FALSE)*VLOOKUP($L166,Vloersoorten[],3,FALSE)*VLOOKUP($Y166,Frequenties[],3,FALSE)*VLOOKUP(Ruimtestaat[[#This Row],[Code]],Locaties[],3,FALSE),0)</f>
        <v>0</v>
      </c>
      <c r="AB166" s="97">
        <f>Ruimtestaat[[#This Row],[Uitvoeringen weekend]]*Ruimtestaat[[#This Row],[Oppervlak (netto)]]</f>
        <v>0</v>
      </c>
      <c r="AC166" s="97">
        <f>IF(AA166&gt;0,Ruimtestaat[[#This Row],[Prest. (m2 /jaar) weekend]]/Ruimtestaat[[#This Row],[Norm (m2/uur) weekend]],0)</f>
        <v>0</v>
      </c>
      <c r="AD166" s="155">
        <f>Ruimtestaat[[#This Row],[uren / jaar weekend]]*Tariefsopbouw!$D$40</f>
        <v>0</v>
      </c>
      <c r="AE166" s="154">
        <f>Ruimtestaat[[#This Row],[Prest. (m2 /jaar) weekend]]+Ruimtestaat[[#This Row],[Prest. (m2 /jaar) werkdagen]]</f>
        <v>0</v>
      </c>
      <c r="AF166" s="154">
        <f>Ruimtestaat[[#This Row],[uren / jaar weekend]]+Ruimtestaat[[#This Row],[uren / jaar werkdagen]]</f>
        <v>0</v>
      </c>
      <c r="AG166" s="69">
        <f>Ruimtestaat[[#This Row],[kosten / jaar weekend]]+Ruimtestaat[[#This Row],[kosten / jaar werkdagen]]</f>
        <v>0</v>
      </c>
      <c r="AH166" s="69"/>
      <c r="AI166" s="256" t="str">
        <f>IF(Ruimtestaat[[#This Row],[Frequentie werkdagen]]="","",_xlfn.CONCAT(Ruimtestaat[[#This Row],[Ruimte code]],"-",Ruimtestaat[[#This Row],[Frequentie werkdagen]]," ",Ruimtestaat[[#This Row],[Vloer code]]))</f>
        <v/>
      </c>
      <c r="AJ166" s="300" t="str">
        <f>_xlfn.IFNA(VLOOKUP($AI166,Programma!$F$3:$G$1107,2,0),"")</f>
        <v/>
      </c>
      <c r="AK166" s="300" t="str">
        <f>_xlfn.IFNA(VLOOKUP($AI166,Programma!$F$3:$H$1107,3,0),"")</f>
        <v/>
      </c>
      <c r="AL166" s="300" t="str">
        <f>_xlfn.IFNA(VLOOKUP($AI166,Programma!$F$3:$I$1107,4,0),"")</f>
        <v/>
      </c>
      <c r="AM166" s="300" t="str">
        <f>_xlfn.IFNA(VLOOKUP($AI166,Programma!$F$3:$J$1107,5,0),"")</f>
        <v/>
      </c>
      <c r="AN166" s="300" t="str">
        <f>_xlfn.IFNA(VLOOKUP($AI166,Programma!$F$3:$K$1107,6,0),"")</f>
        <v/>
      </c>
      <c r="AO166" s="300" t="str">
        <f>_xlfn.IFNA(VLOOKUP($AI166,Programma!$F$3:$L$1107,7,0),"")</f>
        <v/>
      </c>
      <c r="AP166" s="300" t="str">
        <f>_xlfn.IFNA(VLOOKUP($AI166,Programma!$F$3:$M$1107,8,0),"")</f>
        <v/>
      </c>
      <c r="AQ166" s="300" t="str">
        <f>_xlfn.IFNA(VLOOKUP($AI166,Programma!$F$3:$N$1107,9,0),"")</f>
        <v/>
      </c>
      <c r="AR166" s="300" t="str">
        <f>_xlfn.IFNA(VLOOKUP($AI166,Programma!$F$3:$O$1107,10,0),"")</f>
        <v/>
      </c>
      <c r="AS166" s="300" t="str">
        <f>_xlfn.IFNA(VLOOKUP($AI166,Programma!$F$3:$P$1107,11,0),"")</f>
        <v/>
      </c>
      <c r="AT166" s="300" t="str">
        <f>_xlfn.IFNA(VLOOKUP($AI166,Programma!$F$3:$Q$1107,12,0),"")</f>
        <v/>
      </c>
      <c r="AU166" s="300" t="str">
        <f>_xlfn.IFNA(VLOOKUP($AI166,Programma!$F$3:$R$1107,13,0),"")</f>
        <v/>
      </c>
      <c r="AV166" s="300" t="str">
        <f>_xlfn.IFNA(VLOOKUP($AI166,Programma!$F$3:$S$1107,14,0),"")</f>
        <v/>
      </c>
      <c r="AW166" s="300" t="str">
        <f>_xlfn.IFNA(VLOOKUP($AI166,Programma!$F$3:$T$1107,15,0),"")</f>
        <v/>
      </c>
      <c r="AX166" s="300" t="str">
        <f>_xlfn.IFNA(VLOOKUP($AI166,Programma!$F$3:$U$1107,16,0),"")</f>
        <v/>
      </c>
      <c r="AY166" s="300" t="str">
        <f>_xlfn.IFNA(VLOOKUP($AI166,Programma!$F$3:$V$1107,17,0),"")</f>
        <v/>
      </c>
      <c r="AZ166" s="300" t="str">
        <f>_xlfn.IFNA(VLOOKUP($AI166,Programma!$F$3:$W$1107,18,0),"")</f>
        <v/>
      </c>
      <c r="BA166" s="300" t="str">
        <f>_xlfn.IFNA(VLOOKUP($AI166,Programma!$F$3:$X$1107,19,0),"")</f>
        <v/>
      </c>
      <c r="BB166" s="300" t="str">
        <f>_xlfn.IFNA(VLOOKUP($AI166,Programma!$F$3:$Y$1107,20,0),"")</f>
        <v/>
      </c>
      <c r="BC166" s="257"/>
      <c r="BD166" s="256" t="str">
        <f>IF(Ruimtestaat[[#This Row],[Frequentie weekend]]="","",_xlfn.CONCAT(Ruimtestaat[[#This Row],[Ruimte code]],"-",Ruimtestaat[[#This Row],[Frequentie weekend]]," ",Ruimtestaat[[#This Row],[Vloer code]]))</f>
        <v/>
      </c>
      <c r="BE166" s="300" t="str">
        <f>_xlfn.IFNA(VLOOKUP($BD166,Programma!$F$3:$G$1107,2,0),"")</f>
        <v/>
      </c>
      <c r="BF166" s="300" t="str">
        <f>_xlfn.IFNA(VLOOKUP($BD166,Programma!$F$3:$H$1107,3,0),"")</f>
        <v/>
      </c>
      <c r="BG166" s="300" t="str">
        <f>_xlfn.IFNA(VLOOKUP($BD166,Programma!$F$3:$I$1107,4,0),"")</f>
        <v/>
      </c>
      <c r="BH166" s="300" t="str">
        <f>_xlfn.IFNA(VLOOKUP($BD166,Programma!$F$3:$J$1107,5,0),"")</f>
        <v/>
      </c>
      <c r="BI166" s="300" t="str">
        <f>_xlfn.IFNA(VLOOKUP($BD166,Programma!$F$3:$K$1107,6,0),"")</f>
        <v/>
      </c>
      <c r="BJ166" s="300" t="str">
        <f>_xlfn.IFNA(VLOOKUP($BD166,Programma!$F$3:$L$1107,7,0),"")</f>
        <v/>
      </c>
      <c r="BK166" s="300" t="str">
        <f>_xlfn.IFNA(VLOOKUP($BD166,Programma!$F$3:$M$1107,8,0),"")</f>
        <v/>
      </c>
      <c r="BL166" s="300" t="str">
        <f>_xlfn.IFNA(VLOOKUP($BD166,Programma!$F$3:$N$1107,9,0),"")</f>
        <v/>
      </c>
      <c r="BM166" s="300" t="str">
        <f>_xlfn.IFNA(VLOOKUP($BD166,Programma!$F$3:$O$1107,10,0),"")</f>
        <v/>
      </c>
      <c r="BN166" s="300" t="str">
        <f>_xlfn.IFNA(VLOOKUP($BD166,Programma!$F$3:$P$1107,11,0),"")</f>
        <v/>
      </c>
      <c r="BO166" s="300" t="str">
        <f>_xlfn.IFNA(VLOOKUP($BD166,Programma!$F$3:$Q$1107,12,0),"")</f>
        <v/>
      </c>
      <c r="BP166" s="300" t="str">
        <f>_xlfn.IFNA(VLOOKUP($BD166,Programma!$F$3:$R$1107,13,0),"")</f>
        <v/>
      </c>
      <c r="BQ166" s="300" t="str">
        <f>_xlfn.IFNA(VLOOKUP($BD166,Programma!$F$3:$S$1107,14,0),"")</f>
        <v/>
      </c>
      <c r="BR166" s="300" t="str">
        <f>_xlfn.IFNA(VLOOKUP($BD166,Programma!$F$3:$T$1107,15,0),"")</f>
        <v/>
      </c>
      <c r="BS166" s="300" t="str">
        <f>_xlfn.IFNA(VLOOKUP($BD166,Programma!$F$3:$U$1107,16,0),"")</f>
        <v/>
      </c>
      <c r="BT166" s="300" t="str">
        <f>_xlfn.IFNA(VLOOKUP($BD166,Programma!$F$3:$V$1107,17,0),"")</f>
        <v/>
      </c>
      <c r="BU166" s="300" t="str">
        <f>_xlfn.IFNA(VLOOKUP($BD166,Programma!$F$3:$W$1107,18,0),"")</f>
        <v/>
      </c>
      <c r="BV166" s="300" t="str">
        <f>_xlfn.IFNA(VLOOKUP($BD166,Programma!$F$3:$X$1107,19,0),"")</f>
        <v/>
      </c>
      <c r="BW166" s="300" t="str">
        <f>_xlfn.IFNA(VLOOKUP($BD166,Programma!$F$3:$Y$1107,20,0),"")</f>
        <v/>
      </c>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row>
    <row r="167" spans="1:220" ht="15" customHeight="1">
      <c r="A167" s="21">
        <v>3</v>
      </c>
      <c r="B167" s="157" t="str">
        <f>VLOOKUP(Ruimtestaat[[#This Row],[Code]],Locaties[[Code]:[Locatie]],2,FALSE)</f>
        <v>'s Gravendreef College - Dependance</v>
      </c>
      <c r="C167" s="157" t="str">
        <f>VLOOKUP(Ruimtestaat[[#This Row],[Code]],Locaties[[#All],[Code]:[Adres]],4,FALSE)</f>
        <v>Henri Faasdreef 200</v>
      </c>
      <c r="D167" s="157" t="str">
        <f>VLOOKUP(Ruimtestaat[[#This Row],[Code]],Locaties[[#All],[Code]:[Postcode]],5,FALSE)</f>
        <v>2492 JP</v>
      </c>
      <c r="E167" s="157" t="str">
        <f>VLOOKUP(Ruimtestaat[[#This Row],[Code]],Locaties[#All],6,FALSE)</f>
        <v>Den Haag</v>
      </c>
      <c r="F167" s="33" t="s">
        <v>1801</v>
      </c>
      <c r="G167" s="33" t="s">
        <v>1624</v>
      </c>
      <c r="H167" s="21" t="s">
        <v>1853</v>
      </c>
      <c r="I167" s="62" t="s">
        <v>1845</v>
      </c>
      <c r="J167" s="21">
        <v>20</v>
      </c>
      <c r="K167" s="62" t="str">
        <f>VLOOKUP(Ruimtestaat[[#This Row],[Ruimte code]],Ruimtegroepen[[#All],[Code]:[Ruimte omschrijving]],2,FALSE)</f>
        <v>Niet in Onderhoud</v>
      </c>
      <c r="L167" s="33" t="s">
        <v>101</v>
      </c>
      <c r="M167" s="367" t="s">
        <v>2495</v>
      </c>
      <c r="N167" s="140"/>
      <c r="O167" s="140">
        <v>70.27</v>
      </c>
      <c r="P167" s="125">
        <f>VLOOKUP(Ruimtestaat[[#This Row],[Ruimte code]],Ruimtegroepen[],4,FALSE)</f>
        <v>0</v>
      </c>
      <c r="R167" s="33"/>
      <c r="S167" s="33"/>
      <c r="T167" s="33">
        <f>IF(R167&gt;0,IF(RIGHT(Ruimtestaat[[#This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7" s="33">
        <f>IF(T167&gt;0,VLOOKUP($J167,Ruimtegroepen[],3,FALSE)*VLOOKUP($L167,Vloersoorten[],3,FALSE)*VLOOKUP($S167,Frequenties[],3,FALSE)*VLOOKUP($A167,Locaties[],3,FALSE),0)</f>
        <v>0</v>
      </c>
      <c r="V167" s="33">
        <f>Ruimtestaat[[#This Row],[Uitvoeringen werkdagen]]*Ruimtestaat[[#This Row],[Oppervlak (netto)]]</f>
        <v>0</v>
      </c>
      <c r="W167" s="154">
        <f>IF(U167&gt;0,Ruimtestaat[[#This Row],[Prest. (m2 /jaar) werkdagen]]/Ruimtestaat[[#This Row],[Norm (m2/uur) werkdagen]],0)</f>
        <v>0</v>
      </c>
      <c r="X167" s="155">
        <f>Ruimtestaat[[#This Row],[uren / jaar werkdagen]]*Tariefsopbouw!$E$35</f>
        <v>0</v>
      </c>
      <c r="Y167" s="33"/>
      <c r="Z167" s="33">
        <f>IF(Ruimtestaat[[#This Row],[Frequentie weekend]]&gt;0,VALUE(LEFT(Y167,1))*R167,0)</f>
        <v>0</v>
      </c>
      <c r="AA167" s="97">
        <f>IF($Z167&gt;0,VLOOKUP($J167,Ruimtegroepen[],3,FALSE)*VLOOKUP($L167,Vloersoorten[],3,FALSE)*VLOOKUP($Y167,Frequenties[],3,FALSE)*VLOOKUP(Ruimtestaat[[#This Row],[Code]],Locaties[],3,FALSE),0)</f>
        <v>0</v>
      </c>
      <c r="AB167" s="97">
        <f>Ruimtestaat[[#This Row],[Uitvoeringen weekend]]*Ruimtestaat[[#This Row],[Oppervlak (netto)]]</f>
        <v>0</v>
      </c>
      <c r="AC167" s="97">
        <f>IF(AA167&gt;0,Ruimtestaat[[#This Row],[Prest. (m2 /jaar) weekend]]/Ruimtestaat[[#This Row],[Norm (m2/uur) weekend]],0)</f>
        <v>0</v>
      </c>
      <c r="AD167" s="155">
        <f>Ruimtestaat[[#This Row],[uren / jaar weekend]]*Tariefsopbouw!$D$40</f>
        <v>0</v>
      </c>
      <c r="AE167" s="154">
        <f>Ruimtestaat[[#This Row],[Prest. (m2 /jaar) weekend]]+Ruimtestaat[[#This Row],[Prest. (m2 /jaar) werkdagen]]</f>
        <v>0</v>
      </c>
      <c r="AF167" s="154">
        <f>Ruimtestaat[[#This Row],[uren / jaar weekend]]+Ruimtestaat[[#This Row],[uren / jaar werkdagen]]</f>
        <v>0</v>
      </c>
      <c r="AG167" s="69">
        <f>Ruimtestaat[[#This Row],[kosten / jaar weekend]]+Ruimtestaat[[#This Row],[kosten / jaar werkdagen]]</f>
        <v>0</v>
      </c>
      <c r="AH167" s="69"/>
      <c r="AI167" s="256" t="str">
        <f>IF(Ruimtestaat[[#This Row],[Frequentie werkdagen]]="","",_xlfn.CONCAT(Ruimtestaat[[#This Row],[Ruimte code]],"-",Ruimtestaat[[#This Row],[Frequentie werkdagen]]," ",Ruimtestaat[[#This Row],[Vloer code]]))</f>
        <v/>
      </c>
      <c r="AJ167" s="300" t="str">
        <f>_xlfn.IFNA(VLOOKUP($AI167,Programma!$F$3:$G$1107,2,0),"")</f>
        <v/>
      </c>
      <c r="AK167" s="300" t="str">
        <f>_xlfn.IFNA(VLOOKUP($AI167,Programma!$F$3:$H$1107,3,0),"")</f>
        <v/>
      </c>
      <c r="AL167" s="300" t="str">
        <f>_xlfn.IFNA(VLOOKUP($AI167,Programma!$F$3:$I$1107,4,0),"")</f>
        <v/>
      </c>
      <c r="AM167" s="300" t="str">
        <f>_xlfn.IFNA(VLOOKUP($AI167,Programma!$F$3:$J$1107,5,0),"")</f>
        <v/>
      </c>
      <c r="AN167" s="300" t="str">
        <f>_xlfn.IFNA(VLOOKUP($AI167,Programma!$F$3:$K$1107,6,0),"")</f>
        <v/>
      </c>
      <c r="AO167" s="300" t="str">
        <f>_xlfn.IFNA(VLOOKUP($AI167,Programma!$F$3:$L$1107,7,0),"")</f>
        <v/>
      </c>
      <c r="AP167" s="300" t="str">
        <f>_xlfn.IFNA(VLOOKUP($AI167,Programma!$F$3:$M$1107,8,0),"")</f>
        <v/>
      </c>
      <c r="AQ167" s="300" t="str">
        <f>_xlfn.IFNA(VLOOKUP($AI167,Programma!$F$3:$N$1107,9,0),"")</f>
        <v/>
      </c>
      <c r="AR167" s="300" t="str">
        <f>_xlfn.IFNA(VLOOKUP($AI167,Programma!$F$3:$O$1107,10,0),"")</f>
        <v/>
      </c>
      <c r="AS167" s="300" t="str">
        <f>_xlfn.IFNA(VLOOKUP($AI167,Programma!$F$3:$P$1107,11,0),"")</f>
        <v/>
      </c>
      <c r="AT167" s="300" t="str">
        <f>_xlfn.IFNA(VLOOKUP($AI167,Programma!$F$3:$Q$1107,12,0),"")</f>
        <v/>
      </c>
      <c r="AU167" s="300" t="str">
        <f>_xlfn.IFNA(VLOOKUP($AI167,Programma!$F$3:$R$1107,13,0),"")</f>
        <v/>
      </c>
      <c r="AV167" s="300" t="str">
        <f>_xlfn.IFNA(VLOOKUP($AI167,Programma!$F$3:$S$1107,14,0),"")</f>
        <v/>
      </c>
      <c r="AW167" s="300" t="str">
        <f>_xlfn.IFNA(VLOOKUP($AI167,Programma!$F$3:$T$1107,15,0),"")</f>
        <v/>
      </c>
      <c r="AX167" s="300" t="str">
        <f>_xlfn.IFNA(VLOOKUP($AI167,Programma!$F$3:$U$1107,16,0),"")</f>
        <v/>
      </c>
      <c r="AY167" s="300" t="str">
        <f>_xlfn.IFNA(VLOOKUP($AI167,Programma!$F$3:$V$1107,17,0),"")</f>
        <v/>
      </c>
      <c r="AZ167" s="300" t="str">
        <f>_xlfn.IFNA(VLOOKUP($AI167,Programma!$F$3:$W$1107,18,0),"")</f>
        <v/>
      </c>
      <c r="BA167" s="300" t="str">
        <f>_xlfn.IFNA(VLOOKUP($AI167,Programma!$F$3:$X$1107,19,0),"")</f>
        <v/>
      </c>
      <c r="BB167" s="300" t="str">
        <f>_xlfn.IFNA(VLOOKUP($AI167,Programma!$F$3:$Y$1107,20,0),"")</f>
        <v/>
      </c>
      <c r="BC167" s="257"/>
      <c r="BD167" s="256" t="str">
        <f>IF(Ruimtestaat[[#This Row],[Frequentie weekend]]="","",_xlfn.CONCAT(Ruimtestaat[[#This Row],[Ruimte code]],"-",Ruimtestaat[[#This Row],[Frequentie weekend]]," ",Ruimtestaat[[#This Row],[Vloer code]]))</f>
        <v/>
      </c>
      <c r="BE167" s="300" t="str">
        <f>_xlfn.IFNA(VLOOKUP($BD167,Programma!$F$3:$G$1107,2,0),"")</f>
        <v/>
      </c>
      <c r="BF167" s="300" t="str">
        <f>_xlfn.IFNA(VLOOKUP($BD167,Programma!$F$3:$H$1107,3,0),"")</f>
        <v/>
      </c>
      <c r="BG167" s="300" t="str">
        <f>_xlfn.IFNA(VLOOKUP($BD167,Programma!$F$3:$I$1107,4,0),"")</f>
        <v/>
      </c>
      <c r="BH167" s="300" t="str">
        <f>_xlfn.IFNA(VLOOKUP($BD167,Programma!$F$3:$J$1107,5,0),"")</f>
        <v/>
      </c>
      <c r="BI167" s="300" t="str">
        <f>_xlfn.IFNA(VLOOKUP($BD167,Programma!$F$3:$K$1107,6,0),"")</f>
        <v/>
      </c>
      <c r="BJ167" s="300" t="str">
        <f>_xlfn.IFNA(VLOOKUP($BD167,Programma!$F$3:$L$1107,7,0),"")</f>
        <v/>
      </c>
      <c r="BK167" s="300" t="str">
        <f>_xlfn.IFNA(VLOOKUP($BD167,Programma!$F$3:$M$1107,8,0),"")</f>
        <v/>
      </c>
      <c r="BL167" s="300" t="str">
        <f>_xlfn.IFNA(VLOOKUP($BD167,Programma!$F$3:$N$1107,9,0),"")</f>
        <v/>
      </c>
      <c r="BM167" s="300" t="str">
        <f>_xlfn.IFNA(VLOOKUP($BD167,Programma!$F$3:$O$1107,10,0),"")</f>
        <v/>
      </c>
      <c r="BN167" s="300" t="str">
        <f>_xlfn.IFNA(VLOOKUP($BD167,Programma!$F$3:$P$1107,11,0),"")</f>
        <v/>
      </c>
      <c r="BO167" s="300" t="str">
        <f>_xlfn.IFNA(VLOOKUP($BD167,Programma!$F$3:$Q$1107,12,0),"")</f>
        <v/>
      </c>
      <c r="BP167" s="300" t="str">
        <f>_xlfn.IFNA(VLOOKUP($BD167,Programma!$F$3:$R$1107,13,0),"")</f>
        <v/>
      </c>
      <c r="BQ167" s="300" t="str">
        <f>_xlfn.IFNA(VLOOKUP($BD167,Programma!$F$3:$S$1107,14,0),"")</f>
        <v/>
      </c>
      <c r="BR167" s="300" t="str">
        <f>_xlfn.IFNA(VLOOKUP($BD167,Programma!$F$3:$T$1107,15,0),"")</f>
        <v/>
      </c>
      <c r="BS167" s="300" t="str">
        <f>_xlfn.IFNA(VLOOKUP($BD167,Programma!$F$3:$U$1107,16,0),"")</f>
        <v/>
      </c>
      <c r="BT167" s="300" t="str">
        <f>_xlfn.IFNA(VLOOKUP($BD167,Programma!$F$3:$V$1107,17,0),"")</f>
        <v/>
      </c>
      <c r="BU167" s="300" t="str">
        <f>_xlfn.IFNA(VLOOKUP($BD167,Programma!$F$3:$W$1107,18,0),"")</f>
        <v/>
      </c>
      <c r="BV167" s="300" t="str">
        <f>_xlfn.IFNA(VLOOKUP($BD167,Programma!$F$3:$X$1107,19,0),"")</f>
        <v/>
      </c>
      <c r="BW167" s="300" t="str">
        <f>_xlfn.IFNA(VLOOKUP($BD167,Programma!$F$3:$Y$1107,20,0),"")</f>
        <v/>
      </c>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row>
    <row r="168" spans="1:220" ht="15" customHeight="1">
      <c r="A168" s="21">
        <v>3</v>
      </c>
      <c r="B168" s="157" t="str">
        <f>VLOOKUP(Ruimtestaat[[#This Row],[Code]],Locaties[[Code]:[Locatie]],2,FALSE)</f>
        <v>'s Gravendreef College - Dependance</v>
      </c>
      <c r="C168" s="157" t="str">
        <f>VLOOKUP(Ruimtestaat[[#This Row],[Code]],Locaties[[#All],[Code]:[Adres]],4,FALSE)</f>
        <v>Henri Faasdreef 200</v>
      </c>
      <c r="D168" s="157" t="str">
        <f>VLOOKUP(Ruimtestaat[[#This Row],[Code]],Locaties[[#All],[Code]:[Postcode]],5,FALSE)</f>
        <v>2492 JP</v>
      </c>
      <c r="E168" s="157" t="str">
        <f>VLOOKUP(Ruimtestaat[[#This Row],[Code]],Locaties[#All],6,FALSE)</f>
        <v>Den Haag</v>
      </c>
      <c r="F168" s="33" t="s">
        <v>1801</v>
      </c>
      <c r="G168" s="33" t="s">
        <v>1624</v>
      </c>
      <c r="H168" s="21" t="s">
        <v>1854</v>
      </c>
      <c r="I168" s="62" t="s">
        <v>1855</v>
      </c>
      <c r="J168" s="21">
        <v>5</v>
      </c>
      <c r="K168" s="62" t="str">
        <f>VLOOKUP(Ruimtestaat[[#This Row],[Ruimte code]],Ruimtegroepen[[#All],[Code]:[Ruimte omschrijving]],2,FALSE)</f>
        <v>Sanitair</v>
      </c>
      <c r="L168" s="33" t="s">
        <v>102</v>
      </c>
      <c r="M168" s="367" t="s">
        <v>2502</v>
      </c>
      <c r="N168" s="140">
        <v>6.14</v>
      </c>
      <c r="O168" s="140"/>
      <c r="P168" s="125" t="str">
        <f>VLOOKUP(Ruimtestaat[[#This Row],[Ruimte code]],Ruimtegroepen[],4,FALSE)</f>
        <v>Sa</v>
      </c>
      <c r="R168" s="33">
        <v>40</v>
      </c>
      <c r="S168" s="33" t="s">
        <v>2</v>
      </c>
      <c r="T168" s="33">
        <f>IF(R168&gt;0,IF(RIGHT(Ruimtestaat[[#This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8" s="33">
        <f>IF(T168&gt;0,VLOOKUP($J168,Ruimtegroepen[],3,FALSE)*VLOOKUP($L168,Vloersoorten[],3,FALSE)*VLOOKUP($S168,Frequenties[],3,FALSE)*VLOOKUP($A168,Locaties[],3,FALSE),0)</f>
        <v>0</v>
      </c>
      <c r="V168" s="33">
        <f>Ruimtestaat[[#This Row],[Uitvoeringen werkdagen]]*Ruimtestaat[[#This Row],[Oppervlak (netto)]]</f>
        <v>1228</v>
      </c>
      <c r="W168" s="154">
        <f>IF(U168&gt;0,Ruimtestaat[[#This Row],[Prest. (m2 /jaar) werkdagen]]/Ruimtestaat[[#This Row],[Norm (m2/uur) werkdagen]],0)</f>
        <v>0</v>
      </c>
      <c r="X168" s="155">
        <f>Ruimtestaat[[#This Row],[uren / jaar werkdagen]]*Tariefsopbouw!$E$35</f>
        <v>0</v>
      </c>
      <c r="Y168" s="33"/>
      <c r="Z168" s="33">
        <f>IF(Ruimtestaat[[#This Row],[Frequentie weekend]]&gt;0,VALUE(LEFT(Y168,1))*R168,0)</f>
        <v>0</v>
      </c>
      <c r="AA168" s="97">
        <f>IF($Z168&gt;0,VLOOKUP($J168,Ruimtegroepen[],3,FALSE)*VLOOKUP($L168,Vloersoorten[],3,FALSE)*VLOOKUP($Y168,Frequenties[],3,FALSE)*VLOOKUP(Ruimtestaat[[#This Row],[Code]],Locaties[],3,FALSE),0)</f>
        <v>0</v>
      </c>
      <c r="AB168" s="97">
        <f>Ruimtestaat[[#This Row],[Uitvoeringen weekend]]*Ruimtestaat[[#This Row],[Oppervlak (netto)]]</f>
        <v>0</v>
      </c>
      <c r="AC168" s="97">
        <f>IF(AA168&gt;0,Ruimtestaat[[#This Row],[Prest. (m2 /jaar) weekend]]/Ruimtestaat[[#This Row],[Norm (m2/uur) weekend]],0)</f>
        <v>0</v>
      </c>
      <c r="AD168" s="155">
        <f>Ruimtestaat[[#This Row],[uren / jaar weekend]]*Tariefsopbouw!$D$40</f>
        <v>0</v>
      </c>
      <c r="AE168" s="154">
        <f>Ruimtestaat[[#This Row],[Prest. (m2 /jaar) weekend]]+Ruimtestaat[[#This Row],[Prest. (m2 /jaar) werkdagen]]</f>
        <v>1228</v>
      </c>
      <c r="AF168" s="154">
        <f>Ruimtestaat[[#This Row],[uren / jaar weekend]]+Ruimtestaat[[#This Row],[uren / jaar werkdagen]]</f>
        <v>0</v>
      </c>
      <c r="AG168" s="69">
        <f>Ruimtestaat[[#This Row],[kosten / jaar weekend]]+Ruimtestaat[[#This Row],[kosten / jaar werkdagen]]</f>
        <v>0</v>
      </c>
      <c r="AH168" s="69"/>
      <c r="AI168" s="256" t="str">
        <f>IF(Ruimtestaat[[#This Row],[Frequentie werkdagen]]="","",_xlfn.CONCAT(Ruimtestaat[[#This Row],[Ruimte code]],"-",Ruimtestaat[[#This Row],[Frequentie werkdagen]]," ",Ruimtestaat[[#This Row],[Vloer code]]))</f>
        <v>5-5w S</v>
      </c>
      <c r="AJ168" s="300" t="str">
        <f>_xlfn.IFNA(VLOOKUP($AI168,Programma!$F$3:$G$1107,2,0),"")</f>
        <v>_</v>
      </c>
      <c r="AK168" s="300" t="str">
        <f>_xlfn.IFNA(VLOOKUP($AI168,Programma!$F$3:$H$1107,3,0),"")</f>
        <v>_</v>
      </c>
      <c r="AL168" s="300" t="str">
        <f>_xlfn.IFNA(VLOOKUP($AI168,Programma!$F$3:$I$1107,4,0),"")</f>
        <v>_</v>
      </c>
      <c r="AM168" s="300" t="str">
        <f>_xlfn.IFNA(VLOOKUP($AI168,Programma!$F$3:$J$1107,5,0),"")</f>
        <v>4w</v>
      </c>
      <c r="AN168" s="300" t="str">
        <f>_xlfn.IFNA(VLOOKUP($AI168,Programma!$F$3:$K$1107,6,0),"")</f>
        <v>1w</v>
      </c>
      <c r="AO168" s="300" t="str">
        <f>_xlfn.IFNA(VLOOKUP($AI168,Programma!$F$3:$L$1107,7,0),"")</f>
        <v>_</v>
      </c>
      <c r="AP168" s="300" t="str">
        <f>_xlfn.IFNA(VLOOKUP($AI168,Programma!$F$3:$M$1107,8,0),"")</f>
        <v>_</v>
      </c>
      <c r="AQ168" s="300" t="str">
        <f>_xlfn.IFNA(VLOOKUP($AI168,Programma!$F$3:$N$1107,9,0),"")</f>
        <v>_</v>
      </c>
      <c r="AR168" s="300" t="str">
        <f>_xlfn.IFNA(VLOOKUP($AI168,Programma!$F$3:$O$1107,10,0),"")</f>
        <v>_</v>
      </c>
      <c r="AS168" s="300" t="str">
        <f>_xlfn.IFNA(VLOOKUP($AI168,Programma!$F$3:$P$1107,11,0),"")</f>
        <v>_</v>
      </c>
      <c r="AT168" s="300" t="str">
        <f>_xlfn.IFNA(VLOOKUP($AI168,Programma!$F$3:$Q$1107,12,0),"")</f>
        <v>_</v>
      </c>
      <c r="AU168" s="300" t="str">
        <f>_xlfn.IFNA(VLOOKUP($AI168,Programma!$F$3:$R$1107,13,0),"")</f>
        <v>_</v>
      </c>
      <c r="AV168" s="300" t="str">
        <f>_xlfn.IFNA(VLOOKUP($AI168,Programma!$F$3:$S$1107,14,0),"")</f>
        <v>_</v>
      </c>
      <c r="AW168" s="300" t="str">
        <f>_xlfn.IFNA(VLOOKUP($AI168,Programma!$F$3:$T$1107,15,0),"")</f>
        <v>_</v>
      </c>
      <c r="AX168" s="300" t="str">
        <f>_xlfn.IFNA(VLOOKUP($AI168,Programma!$F$3:$U$1107,16,0),"")</f>
        <v>_</v>
      </c>
      <c r="AY168" s="300" t="str">
        <f>_xlfn.IFNA(VLOOKUP($AI168,Programma!$F$3:$V$1107,17,0),"")</f>
        <v>_</v>
      </c>
      <c r="AZ168" s="300" t="str">
        <f>_xlfn.IFNA(VLOOKUP($AI168,Programma!$F$3:$W$1107,18,0),"")</f>
        <v>4w</v>
      </c>
      <c r="BA168" s="300" t="str">
        <f>_xlfn.IFNA(VLOOKUP($AI168,Programma!$F$3:$X$1107,19,0),"")</f>
        <v>1w</v>
      </c>
      <c r="BB168" s="300" t="str">
        <f>_xlfn.IFNA(VLOOKUP($AI168,Programma!$F$3:$Y$1107,20,0),"")</f>
        <v>_</v>
      </c>
      <c r="BC168" s="257"/>
      <c r="BD168" s="256" t="str">
        <f>IF(Ruimtestaat[[#This Row],[Frequentie weekend]]="","",_xlfn.CONCAT(Ruimtestaat[[#This Row],[Ruimte code]],"-",Ruimtestaat[[#This Row],[Frequentie weekend]]," ",Ruimtestaat[[#This Row],[Vloer code]]))</f>
        <v/>
      </c>
      <c r="BE168" s="300" t="str">
        <f>_xlfn.IFNA(VLOOKUP($BD168,Programma!$F$3:$G$1107,2,0),"")</f>
        <v/>
      </c>
      <c r="BF168" s="300" t="str">
        <f>_xlfn.IFNA(VLOOKUP($BD168,Programma!$F$3:$H$1107,3,0),"")</f>
        <v/>
      </c>
      <c r="BG168" s="300" t="str">
        <f>_xlfn.IFNA(VLOOKUP($BD168,Programma!$F$3:$I$1107,4,0),"")</f>
        <v/>
      </c>
      <c r="BH168" s="300" t="str">
        <f>_xlfn.IFNA(VLOOKUP($BD168,Programma!$F$3:$J$1107,5,0),"")</f>
        <v/>
      </c>
      <c r="BI168" s="300" t="str">
        <f>_xlfn.IFNA(VLOOKUP($BD168,Programma!$F$3:$K$1107,6,0),"")</f>
        <v/>
      </c>
      <c r="BJ168" s="300" t="str">
        <f>_xlfn.IFNA(VLOOKUP($BD168,Programma!$F$3:$L$1107,7,0),"")</f>
        <v/>
      </c>
      <c r="BK168" s="300" t="str">
        <f>_xlfn.IFNA(VLOOKUP($BD168,Programma!$F$3:$M$1107,8,0),"")</f>
        <v/>
      </c>
      <c r="BL168" s="300" t="str">
        <f>_xlfn.IFNA(VLOOKUP($BD168,Programma!$F$3:$N$1107,9,0),"")</f>
        <v/>
      </c>
      <c r="BM168" s="300" t="str">
        <f>_xlfn.IFNA(VLOOKUP($BD168,Programma!$F$3:$O$1107,10,0),"")</f>
        <v/>
      </c>
      <c r="BN168" s="300" t="str">
        <f>_xlfn.IFNA(VLOOKUP($BD168,Programma!$F$3:$P$1107,11,0),"")</f>
        <v/>
      </c>
      <c r="BO168" s="300" t="str">
        <f>_xlfn.IFNA(VLOOKUP($BD168,Programma!$F$3:$Q$1107,12,0),"")</f>
        <v/>
      </c>
      <c r="BP168" s="300" t="str">
        <f>_xlfn.IFNA(VLOOKUP($BD168,Programma!$F$3:$R$1107,13,0),"")</f>
        <v/>
      </c>
      <c r="BQ168" s="300" t="str">
        <f>_xlfn.IFNA(VLOOKUP($BD168,Programma!$F$3:$S$1107,14,0),"")</f>
        <v/>
      </c>
      <c r="BR168" s="300" t="str">
        <f>_xlfn.IFNA(VLOOKUP($BD168,Programma!$F$3:$T$1107,15,0),"")</f>
        <v/>
      </c>
      <c r="BS168" s="300" t="str">
        <f>_xlfn.IFNA(VLOOKUP($BD168,Programma!$F$3:$U$1107,16,0),"")</f>
        <v/>
      </c>
      <c r="BT168" s="300" t="str">
        <f>_xlfn.IFNA(VLOOKUP($BD168,Programma!$F$3:$V$1107,17,0),"")</f>
        <v/>
      </c>
      <c r="BU168" s="300" t="str">
        <f>_xlfn.IFNA(VLOOKUP($BD168,Programma!$F$3:$W$1107,18,0),"")</f>
        <v/>
      </c>
      <c r="BV168" s="300" t="str">
        <f>_xlfn.IFNA(VLOOKUP($BD168,Programma!$F$3:$X$1107,19,0),"")</f>
        <v/>
      </c>
      <c r="BW168" s="300" t="str">
        <f>_xlfn.IFNA(VLOOKUP($BD168,Programma!$F$3:$Y$1107,20,0),"")</f>
        <v/>
      </c>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row>
    <row r="169" spans="1:220" ht="15" customHeight="1">
      <c r="A169" s="21">
        <v>3</v>
      </c>
      <c r="B169" s="157" t="str">
        <f>VLOOKUP(Ruimtestaat[[#This Row],[Code]],Locaties[[Code]:[Locatie]],2,FALSE)</f>
        <v>'s Gravendreef College - Dependance</v>
      </c>
      <c r="C169" s="157" t="str">
        <f>VLOOKUP(Ruimtestaat[[#This Row],[Code]],Locaties[[#All],[Code]:[Adres]],4,FALSE)</f>
        <v>Henri Faasdreef 200</v>
      </c>
      <c r="D169" s="157" t="str">
        <f>VLOOKUP(Ruimtestaat[[#This Row],[Code]],Locaties[[#All],[Code]:[Postcode]],5,FALSE)</f>
        <v>2492 JP</v>
      </c>
      <c r="E169" s="157" t="str">
        <f>VLOOKUP(Ruimtestaat[[#This Row],[Code]],Locaties[#All],6,FALSE)</f>
        <v>Den Haag</v>
      </c>
      <c r="F169" s="33" t="s">
        <v>1801</v>
      </c>
      <c r="G169" s="33" t="s">
        <v>1624</v>
      </c>
      <c r="H169" s="21" t="s">
        <v>1856</v>
      </c>
      <c r="I169" s="62" t="s">
        <v>1828</v>
      </c>
      <c r="J169" s="21">
        <v>5</v>
      </c>
      <c r="K169" s="62" t="str">
        <f>VLOOKUP(Ruimtestaat[[#This Row],[Ruimte code]],Ruimtegroepen[[#All],[Code]:[Ruimte omschrijving]],2,FALSE)</f>
        <v>Sanitair</v>
      </c>
      <c r="L169" s="33" t="s">
        <v>102</v>
      </c>
      <c r="M169" s="367" t="s">
        <v>2502</v>
      </c>
      <c r="N169" s="140">
        <v>5.72</v>
      </c>
      <c r="O169" s="140"/>
      <c r="P169" s="125" t="str">
        <f>VLOOKUP(Ruimtestaat[[#This Row],[Ruimte code]],Ruimtegroepen[],4,FALSE)</f>
        <v>Sa</v>
      </c>
      <c r="R169" s="33">
        <v>40</v>
      </c>
      <c r="S169" s="33" t="s">
        <v>2</v>
      </c>
      <c r="T169" s="33">
        <f>IF(R169&gt;0,IF(RIGHT(Ruimtestaat[[#This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9" s="33">
        <f>IF(T169&gt;0,VLOOKUP($J169,Ruimtegroepen[],3,FALSE)*VLOOKUP($L169,Vloersoorten[],3,FALSE)*VLOOKUP($S169,Frequenties[],3,FALSE)*VLOOKUP($A169,Locaties[],3,FALSE),0)</f>
        <v>0</v>
      </c>
      <c r="V169" s="33">
        <f>Ruimtestaat[[#This Row],[Uitvoeringen werkdagen]]*Ruimtestaat[[#This Row],[Oppervlak (netto)]]</f>
        <v>1144</v>
      </c>
      <c r="W169" s="154">
        <f>IF(U169&gt;0,Ruimtestaat[[#This Row],[Prest. (m2 /jaar) werkdagen]]/Ruimtestaat[[#This Row],[Norm (m2/uur) werkdagen]],0)</f>
        <v>0</v>
      </c>
      <c r="X169" s="155">
        <f>Ruimtestaat[[#This Row],[uren / jaar werkdagen]]*Tariefsopbouw!$E$35</f>
        <v>0</v>
      </c>
      <c r="Y169" s="33"/>
      <c r="Z169" s="33">
        <f>IF(Ruimtestaat[[#This Row],[Frequentie weekend]]&gt;0,VALUE(LEFT(Y169,1))*R169,0)</f>
        <v>0</v>
      </c>
      <c r="AA169" s="97">
        <f>IF($Z169&gt;0,VLOOKUP($J169,Ruimtegroepen[],3,FALSE)*VLOOKUP($L169,Vloersoorten[],3,FALSE)*VLOOKUP($Y169,Frequenties[],3,FALSE)*VLOOKUP(Ruimtestaat[[#This Row],[Code]],Locaties[],3,FALSE),0)</f>
        <v>0</v>
      </c>
      <c r="AB169" s="97">
        <f>Ruimtestaat[[#This Row],[Uitvoeringen weekend]]*Ruimtestaat[[#This Row],[Oppervlak (netto)]]</f>
        <v>0</v>
      </c>
      <c r="AC169" s="97">
        <f>IF(AA169&gt;0,Ruimtestaat[[#This Row],[Prest. (m2 /jaar) weekend]]/Ruimtestaat[[#This Row],[Norm (m2/uur) weekend]],0)</f>
        <v>0</v>
      </c>
      <c r="AD169" s="155">
        <f>Ruimtestaat[[#This Row],[uren / jaar weekend]]*Tariefsopbouw!$D$40</f>
        <v>0</v>
      </c>
      <c r="AE169" s="154">
        <f>Ruimtestaat[[#This Row],[Prest. (m2 /jaar) weekend]]+Ruimtestaat[[#This Row],[Prest. (m2 /jaar) werkdagen]]</f>
        <v>1144</v>
      </c>
      <c r="AF169" s="154">
        <f>Ruimtestaat[[#This Row],[uren / jaar weekend]]+Ruimtestaat[[#This Row],[uren / jaar werkdagen]]</f>
        <v>0</v>
      </c>
      <c r="AG169" s="69">
        <f>Ruimtestaat[[#This Row],[kosten / jaar weekend]]+Ruimtestaat[[#This Row],[kosten / jaar werkdagen]]</f>
        <v>0</v>
      </c>
      <c r="AH169" s="69"/>
      <c r="AI169" s="256" t="str">
        <f>IF(Ruimtestaat[[#This Row],[Frequentie werkdagen]]="","",_xlfn.CONCAT(Ruimtestaat[[#This Row],[Ruimte code]],"-",Ruimtestaat[[#This Row],[Frequentie werkdagen]]," ",Ruimtestaat[[#This Row],[Vloer code]]))</f>
        <v>5-5w S</v>
      </c>
      <c r="AJ169" s="300" t="str">
        <f>_xlfn.IFNA(VLOOKUP($AI169,Programma!$F$3:$G$1107,2,0),"")</f>
        <v>_</v>
      </c>
      <c r="AK169" s="300" t="str">
        <f>_xlfn.IFNA(VLOOKUP($AI169,Programma!$F$3:$H$1107,3,0),"")</f>
        <v>_</v>
      </c>
      <c r="AL169" s="300" t="str">
        <f>_xlfn.IFNA(VLOOKUP($AI169,Programma!$F$3:$I$1107,4,0),"")</f>
        <v>_</v>
      </c>
      <c r="AM169" s="300" t="str">
        <f>_xlfn.IFNA(VLOOKUP($AI169,Programma!$F$3:$J$1107,5,0),"")</f>
        <v>4w</v>
      </c>
      <c r="AN169" s="300" t="str">
        <f>_xlfn.IFNA(VLOOKUP($AI169,Programma!$F$3:$K$1107,6,0),"")</f>
        <v>1w</v>
      </c>
      <c r="AO169" s="300" t="str">
        <f>_xlfn.IFNA(VLOOKUP($AI169,Programma!$F$3:$L$1107,7,0),"")</f>
        <v>_</v>
      </c>
      <c r="AP169" s="300" t="str">
        <f>_xlfn.IFNA(VLOOKUP($AI169,Programma!$F$3:$M$1107,8,0),"")</f>
        <v>_</v>
      </c>
      <c r="AQ169" s="300" t="str">
        <f>_xlfn.IFNA(VLOOKUP($AI169,Programma!$F$3:$N$1107,9,0),"")</f>
        <v>_</v>
      </c>
      <c r="AR169" s="300" t="str">
        <f>_xlfn.IFNA(VLOOKUP($AI169,Programma!$F$3:$O$1107,10,0),"")</f>
        <v>_</v>
      </c>
      <c r="AS169" s="300" t="str">
        <f>_xlfn.IFNA(VLOOKUP($AI169,Programma!$F$3:$P$1107,11,0),"")</f>
        <v>_</v>
      </c>
      <c r="AT169" s="300" t="str">
        <f>_xlfn.IFNA(VLOOKUP($AI169,Programma!$F$3:$Q$1107,12,0),"")</f>
        <v>_</v>
      </c>
      <c r="AU169" s="300" t="str">
        <f>_xlfn.IFNA(VLOOKUP($AI169,Programma!$F$3:$R$1107,13,0),"")</f>
        <v>_</v>
      </c>
      <c r="AV169" s="300" t="str">
        <f>_xlfn.IFNA(VLOOKUP($AI169,Programma!$F$3:$S$1107,14,0),"")</f>
        <v>_</v>
      </c>
      <c r="AW169" s="300" t="str">
        <f>_xlfn.IFNA(VLOOKUP($AI169,Programma!$F$3:$T$1107,15,0),"")</f>
        <v>_</v>
      </c>
      <c r="AX169" s="300" t="str">
        <f>_xlfn.IFNA(VLOOKUP($AI169,Programma!$F$3:$U$1107,16,0),"")</f>
        <v>_</v>
      </c>
      <c r="AY169" s="300" t="str">
        <f>_xlfn.IFNA(VLOOKUP($AI169,Programma!$F$3:$V$1107,17,0),"")</f>
        <v>_</v>
      </c>
      <c r="AZ169" s="300" t="str">
        <f>_xlfn.IFNA(VLOOKUP($AI169,Programma!$F$3:$W$1107,18,0),"")</f>
        <v>4w</v>
      </c>
      <c r="BA169" s="300" t="str">
        <f>_xlfn.IFNA(VLOOKUP($AI169,Programma!$F$3:$X$1107,19,0),"")</f>
        <v>1w</v>
      </c>
      <c r="BB169" s="300" t="str">
        <f>_xlfn.IFNA(VLOOKUP($AI169,Programma!$F$3:$Y$1107,20,0),"")</f>
        <v>_</v>
      </c>
      <c r="BC169" s="257"/>
      <c r="BD169" s="256" t="str">
        <f>IF(Ruimtestaat[[#This Row],[Frequentie weekend]]="","",_xlfn.CONCAT(Ruimtestaat[[#This Row],[Ruimte code]],"-",Ruimtestaat[[#This Row],[Frequentie weekend]]," ",Ruimtestaat[[#This Row],[Vloer code]]))</f>
        <v/>
      </c>
      <c r="BE169" s="300" t="str">
        <f>_xlfn.IFNA(VLOOKUP($BD169,Programma!$F$3:$G$1107,2,0),"")</f>
        <v/>
      </c>
      <c r="BF169" s="300" t="str">
        <f>_xlfn.IFNA(VLOOKUP($BD169,Programma!$F$3:$H$1107,3,0),"")</f>
        <v/>
      </c>
      <c r="BG169" s="300" t="str">
        <f>_xlfn.IFNA(VLOOKUP($BD169,Programma!$F$3:$I$1107,4,0),"")</f>
        <v/>
      </c>
      <c r="BH169" s="300" t="str">
        <f>_xlfn.IFNA(VLOOKUP($BD169,Programma!$F$3:$J$1107,5,0),"")</f>
        <v/>
      </c>
      <c r="BI169" s="300" t="str">
        <f>_xlfn.IFNA(VLOOKUP($BD169,Programma!$F$3:$K$1107,6,0),"")</f>
        <v/>
      </c>
      <c r="BJ169" s="300" t="str">
        <f>_xlfn.IFNA(VLOOKUP($BD169,Programma!$F$3:$L$1107,7,0),"")</f>
        <v/>
      </c>
      <c r="BK169" s="300" t="str">
        <f>_xlfn.IFNA(VLOOKUP($BD169,Programma!$F$3:$M$1107,8,0),"")</f>
        <v/>
      </c>
      <c r="BL169" s="300" t="str">
        <f>_xlfn.IFNA(VLOOKUP($BD169,Programma!$F$3:$N$1107,9,0),"")</f>
        <v/>
      </c>
      <c r="BM169" s="300" t="str">
        <f>_xlfn.IFNA(VLOOKUP($BD169,Programma!$F$3:$O$1107,10,0),"")</f>
        <v/>
      </c>
      <c r="BN169" s="300" t="str">
        <f>_xlfn.IFNA(VLOOKUP($BD169,Programma!$F$3:$P$1107,11,0),"")</f>
        <v/>
      </c>
      <c r="BO169" s="300" t="str">
        <f>_xlfn.IFNA(VLOOKUP($BD169,Programma!$F$3:$Q$1107,12,0),"")</f>
        <v/>
      </c>
      <c r="BP169" s="300" t="str">
        <f>_xlfn.IFNA(VLOOKUP($BD169,Programma!$F$3:$R$1107,13,0),"")</f>
        <v/>
      </c>
      <c r="BQ169" s="300" t="str">
        <f>_xlfn.IFNA(VLOOKUP($BD169,Programma!$F$3:$S$1107,14,0),"")</f>
        <v/>
      </c>
      <c r="BR169" s="300" t="str">
        <f>_xlfn.IFNA(VLOOKUP($BD169,Programma!$F$3:$T$1107,15,0),"")</f>
        <v/>
      </c>
      <c r="BS169" s="300" t="str">
        <f>_xlfn.IFNA(VLOOKUP($BD169,Programma!$F$3:$U$1107,16,0),"")</f>
        <v/>
      </c>
      <c r="BT169" s="300" t="str">
        <f>_xlfn.IFNA(VLOOKUP($BD169,Programma!$F$3:$V$1107,17,0),"")</f>
        <v/>
      </c>
      <c r="BU169" s="300" t="str">
        <f>_xlfn.IFNA(VLOOKUP($BD169,Programma!$F$3:$W$1107,18,0),"")</f>
        <v/>
      </c>
      <c r="BV169" s="300" t="str">
        <f>_xlfn.IFNA(VLOOKUP($BD169,Programma!$F$3:$X$1107,19,0),"")</f>
        <v/>
      </c>
      <c r="BW169" s="300" t="str">
        <f>_xlfn.IFNA(VLOOKUP($BD169,Programma!$F$3:$Y$1107,20,0),"")</f>
        <v/>
      </c>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row>
    <row r="170" spans="1:220" ht="15" customHeight="1">
      <c r="A170" s="21">
        <v>3</v>
      </c>
      <c r="B170" s="157" t="str">
        <f>VLOOKUP(Ruimtestaat[[#This Row],[Code]],Locaties[[Code]:[Locatie]],2,FALSE)</f>
        <v>'s Gravendreef College - Dependance</v>
      </c>
      <c r="C170" s="157" t="str">
        <f>VLOOKUP(Ruimtestaat[[#This Row],[Code]],Locaties[[#All],[Code]:[Adres]],4,FALSE)</f>
        <v>Henri Faasdreef 200</v>
      </c>
      <c r="D170" s="157" t="str">
        <f>VLOOKUP(Ruimtestaat[[#This Row],[Code]],Locaties[[#All],[Code]:[Postcode]],5,FALSE)</f>
        <v>2492 JP</v>
      </c>
      <c r="E170" s="157" t="str">
        <f>VLOOKUP(Ruimtestaat[[#This Row],[Code]],Locaties[#All],6,FALSE)</f>
        <v>Den Haag</v>
      </c>
      <c r="F170" s="33" t="s">
        <v>1801</v>
      </c>
      <c r="G170" s="33" t="s">
        <v>1624</v>
      </c>
      <c r="H170" s="21" t="s">
        <v>1852</v>
      </c>
      <c r="I170" s="62" t="s">
        <v>1761</v>
      </c>
      <c r="J170" s="21">
        <v>6</v>
      </c>
      <c r="K170" s="62" t="str">
        <f>VLOOKUP(Ruimtestaat[[#This Row],[Ruimte code]],Ruimtegroepen[[#All],[Code]:[Ruimte omschrijving]],2,FALSE)</f>
        <v>Gangen/hallen</v>
      </c>
      <c r="L170" s="33" t="s">
        <v>101</v>
      </c>
      <c r="M170" s="367" t="s">
        <v>2495</v>
      </c>
      <c r="N170" s="140">
        <v>100.05</v>
      </c>
      <c r="O170" s="140"/>
      <c r="P170" s="125" t="str">
        <f>VLOOKUP(Ruimtestaat[[#This Row],[Ruimte code]],Ruimtegroepen[],4,FALSE)</f>
        <v>Ve</v>
      </c>
      <c r="R170" s="33">
        <v>40</v>
      </c>
      <c r="S170" s="33" t="s">
        <v>2</v>
      </c>
      <c r="T170" s="33">
        <f>IF(R170&gt;0,IF(RIGHT(Ruimtestaat[[#This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0" s="33">
        <f>IF(T170&gt;0,VLOOKUP($J170,Ruimtegroepen[],3,FALSE)*VLOOKUP($L170,Vloersoorten[],3,FALSE)*VLOOKUP($S170,Frequenties[],3,FALSE)*VLOOKUP($A170,Locaties[],3,FALSE),0)</f>
        <v>0</v>
      </c>
      <c r="V170" s="33">
        <f>Ruimtestaat[[#This Row],[Uitvoeringen werkdagen]]*Ruimtestaat[[#This Row],[Oppervlak (netto)]]</f>
        <v>20010</v>
      </c>
      <c r="W170" s="154">
        <f>IF(U170&gt;0,Ruimtestaat[[#This Row],[Prest. (m2 /jaar) werkdagen]]/Ruimtestaat[[#This Row],[Norm (m2/uur) werkdagen]],0)</f>
        <v>0</v>
      </c>
      <c r="X170" s="155">
        <f>Ruimtestaat[[#This Row],[uren / jaar werkdagen]]*Tariefsopbouw!$E$35</f>
        <v>0</v>
      </c>
      <c r="Y170" s="33"/>
      <c r="Z170" s="33">
        <f>IF(Ruimtestaat[[#This Row],[Frequentie weekend]]&gt;0,VALUE(LEFT(Y170,1))*R170,0)</f>
        <v>0</v>
      </c>
      <c r="AA170" s="97">
        <f>IF($Z170&gt;0,VLOOKUP($J170,Ruimtegroepen[],3,FALSE)*VLOOKUP($L170,Vloersoorten[],3,FALSE)*VLOOKUP($Y170,Frequenties[],3,FALSE)*VLOOKUP(Ruimtestaat[[#This Row],[Code]],Locaties[],3,FALSE),0)</f>
        <v>0</v>
      </c>
      <c r="AB170" s="97">
        <f>Ruimtestaat[[#This Row],[Uitvoeringen weekend]]*Ruimtestaat[[#This Row],[Oppervlak (netto)]]</f>
        <v>0</v>
      </c>
      <c r="AC170" s="97">
        <f>IF(AA170&gt;0,Ruimtestaat[[#This Row],[Prest. (m2 /jaar) weekend]]/Ruimtestaat[[#This Row],[Norm (m2/uur) weekend]],0)</f>
        <v>0</v>
      </c>
      <c r="AD170" s="155">
        <f>Ruimtestaat[[#This Row],[uren / jaar weekend]]*Tariefsopbouw!$D$40</f>
        <v>0</v>
      </c>
      <c r="AE170" s="154">
        <f>Ruimtestaat[[#This Row],[Prest. (m2 /jaar) weekend]]+Ruimtestaat[[#This Row],[Prest. (m2 /jaar) werkdagen]]</f>
        <v>20010</v>
      </c>
      <c r="AF170" s="154">
        <f>Ruimtestaat[[#This Row],[uren / jaar weekend]]+Ruimtestaat[[#This Row],[uren / jaar werkdagen]]</f>
        <v>0</v>
      </c>
      <c r="AG170" s="69">
        <f>Ruimtestaat[[#This Row],[kosten / jaar weekend]]+Ruimtestaat[[#This Row],[kosten / jaar werkdagen]]</f>
        <v>0</v>
      </c>
      <c r="AH170" s="69"/>
      <c r="AI170" s="256" t="str">
        <f>IF(Ruimtestaat[[#This Row],[Frequentie werkdagen]]="","",_xlfn.CONCAT(Ruimtestaat[[#This Row],[Ruimte code]],"-",Ruimtestaat[[#This Row],[Frequentie werkdagen]]," ",Ruimtestaat[[#This Row],[Vloer code]]))</f>
        <v>6-5w L</v>
      </c>
      <c r="AJ170" s="300" t="str">
        <f>_xlfn.IFNA(VLOOKUP($AI170,Programma!$F$3:$G$1107,2,0),"")</f>
        <v>_</v>
      </c>
      <c r="AK170" s="300" t="str">
        <f>_xlfn.IFNA(VLOOKUP($AI170,Programma!$F$3:$H$1107,3,0),"")</f>
        <v>_</v>
      </c>
      <c r="AL170" s="300" t="str">
        <f>_xlfn.IFNA(VLOOKUP($AI170,Programma!$F$3:$I$1107,4,0),"")</f>
        <v>_</v>
      </c>
      <c r="AM170" s="300" t="str">
        <f>_xlfn.IFNA(VLOOKUP($AI170,Programma!$F$3:$J$1107,5,0),"")</f>
        <v>5w</v>
      </c>
      <c r="AN170" s="300" t="str">
        <f>_xlfn.IFNA(VLOOKUP($AI170,Programma!$F$3:$K$1107,6,0),"")</f>
        <v>_</v>
      </c>
      <c r="AO170" s="300" t="str">
        <f>_xlfn.IFNA(VLOOKUP($AI170,Programma!$F$3:$L$1107,7,0),"")</f>
        <v>_</v>
      </c>
      <c r="AP170" s="300" t="str">
        <f>_xlfn.IFNA(VLOOKUP($AI170,Programma!$F$3:$M$1107,8,0),"")</f>
        <v>_</v>
      </c>
      <c r="AQ170" s="300" t="str">
        <f>_xlfn.IFNA(VLOOKUP($AI170,Programma!$F$3:$N$1107,9,0),"")</f>
        <v>_</v>
      </c>
      <c r="AR170" s="300" t="str">
        <f>_xlfn.IFNA(VLOOKUP($AI170,Programma!$F$3:$O$1107,10,0),"")</f>
        <v>5w</v>
      </c>
      <c r="AS170" s="300" t="str">
        <f>_xlfn.IFNA(VLOOKUP($AI170,Programma!$F$3:$P$1107,11,0),"")</f>
        <v>5w</v>
      </c>
      <c r="AT170" s="300" t="str">
        <f>_xlfn.IFNA(VLOOKUP($AI170,Programma!$F$3:$Q$1107,12,0),"")</f>
        <v>1w</v>
      </c>
      <c r="AU170" s="300" t="str">
        <f>_xlfn.IFNA(VLOOKUP($AI170,Programma!$F$3:$R$1107,13,0),"")</f>
        <v>1w</v>
      </c>
      <c r="AV170" s="300" t="str">
        <f>_xlfn.IFNA(VLOOKUP($AI170,Programma!$F$3:$S$1107,14,0),"")</f>
        <v>1m</v>
      </c>
      <c r="AW170" s="300" t="str">
        <f>_xlfn.IFNA(VLOOKUP($AI170,Programma!$F$3:$T$1107,15,0),"")</f>
        <v>2j</v>
      </c>
      <c r="AX170" s="300" t="str">
        <f>_xlfn.IFNA(VLOOKUP($AI170,Programma!$F$3:$U$1107,16,0),"")</f>
        <v>1j</v>
      </c>
      <c r="AY170" s="300" t="str">
        <f>_xlfn.IFNA(VLOOKUP($AI170,Programma!$F$3:$V$1107,17,0),"")</f>
        <v>_</v>
      </c>
      <c r="AZ170" s="300" t="str">
        <f>_xlfn.IFNA(VLOOKUP($AI170,Programma!$F$3:$W$1107,18,0),"")</f>
        <v>_</v>
      </c>
      <c r="BA170" s="300" t="str">
        <f>_xlfn.IFNA(VLOOKUP($AI170,Programma!$F$3:$X$1107,19,0),"")</f>
        <v>_</v>
      </c>
      <c r="BB170" s="300" t="str">
        <f>_xlfn.IFNA(VLOOKUP($AI170,Programma!$F$3:$Y$1107,20,0),"")</f>
        <v>_</v>
      </c>
      <c r="BC170" s="257"/>
      <c r="BD170" s="256" t="str">
        <f>IF(Ruimtestaat[[#This Row],[Frequentie weekend]]="","",_xlfn.CONCAT(Ruimtestaat[[#This Row],[Ruimte code]],"-",Ruimtestaat[[#This Row],[Frequentie weekend]]," ",Ruimtestaat[[#This Row],[Vloer code]]))</f>
        <v/>
      </c>
      <c r="BE170" s="300" t="str">
        <f>_xlfn.IFNA(VLOOKUP($BD170,Programma!$F$3:$G$1107,2,0),"")</f>
        <v/>
      </c>
      <c r="BF170" s="300" t="str">
        <f>_xlfn.IFNA(VLOOKUP($BD170,Programma!$F$3:$H$1107,3,0),"")</f>
        <v/>
      </c>
      <c r="BG170" s="300" t="str">
        <f>_xlfn.IFNA(VLOOKUP($BD170,Programma!$F$3:$I$1107,4,0),"")</f>
        <v/>
      </c>
      <c r="BH170" s="300" t="str">
        <f>_xlfn.IFNA(VLOOKUP($BD170,Programma!$F$3:$J$1107,5,0),"")</f>
        <v/>
      </c>
      <c r="BI170" s="300" t="str">
        <f>_xlfn.IFNA(VLOOKUP($BD170,Programma!$F$3:$K$1107,6,0),"")</f>
        <v/>
      </c>
      <c r="BJ170" s="300" t="str">
        <f>_xlfn.IFNA(VLOOKUP($BD170,Programma!$F$3:$L$1107,7,0),"")</f>
        <v/>
      </c>
      <c r="BK170" s="300" t="str">
        <f>_xlfn.IFNA(VLOOKUP($BD170,Programma!$F$3:$M$1107,8,0),"")</f>
        <v/>
      </c>
      <c r="BL170" s="300" t="str">
        <f>_xlfn.IFNA(VLOOKUP($BD170,Programma!$F$3:$N$1107,9,0),"")</f>
        <v/>
      </c>
      <c r="BM170" s="300" t="str">
        <f>_xlfn.IFNA(VLOOKUP($BD170,Programma!$F$3:$O$1107,10,0),"")</f>
        <v/>
      </c>
      <c r="BN170" s="300" t="str">
        <f>_xlfn.IFNA(VLOOKUP($BD170,Programma!$F$3:$P$1107,11,0),"")</f>
        <v/>
      </c>
      <c r="BO170" s="300" t="str">
        <f>_xlfn.IFNA(VLOOKUP($BD170,Programma!$F$3:$Q$1107,12,0),"")</f>
        <v/>
      </c>
      <c r="BP170" s="300" t="str">
        <f>_xlfn.IFNA(VLOOKUP($BD170,Programma!$F$3:$R$1107,13,0),"")</f>
        <v/>
      </c>
      <c r="BQ170" s="300" t="str">
        <f>_xlfn.IFNA(VLOOKUP($BD170,Programma!$F$3:$S$1107,14,0),"")</f>
        <v/>
      </c>
      <c r="BR170" s="300" t="str">
        <f>_xlfn.IFNA(VLOOKUP($BD170,Programma!$F$3:$T$1107,15,0),"")</f>
        <v/>
      </c>
      <c r="BS170" s="300" t="str">
        <f>_xlfn.IFNA(VLOOKUP($BD170,Programma!$F$3:$U$1107,16,0),"")</f>
        <v/>
      </c>
      <c r="BT170" s="300" t="str">
        <f>_xlfn.IFNA(VLOOKUP($BD170,Programma!$F$3:$V$1107,17,0),"")</f>
        <v/>
      </c>
      <c r="BU170" s="300" t="str">
        <f>_xlfn.IFNA(VLOOKUP($BD170,Programma!$F$3:$W$1107,18,0),"")</f>
        <v/>
      </c>
      <c r="BV170" s="300" t="str">
        <f>_xlfn.IFNA(VLOOKUP($BD170,Programma!$F$3:$X$1107,19,0),"")</f>
        <v/>
      </c>
      <c r="BW170" s="300" t="str">
        <f>_xlfn.IFNA(VLOOKUP($BD170,Programma!$F$3:$Y$1107,20,0),"")</f>
        <v/>
      </c>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row>
    <row r="171" spans="1:220" ht="15" customHeight="1">
      <c r="A171" s="21">
        <v>3</v>
      </c>
      <c r="B171" s="157" t="str">
        <f>VLOOKUP(Ruimtestaat[[#This Row],[Code]],Locaties[[Code]:[Locatie]],2,FALSE)</f>
        <v>'s Gravendreef College - Dependance</v>
      </c>
      <c r="C171" s="157" t="str">
        <f>VLOOKUP(Ruimtestaat[[#This Row],[Code]],Locaties[[#All],[Code]:[Adres]],4,FALSE)</f>
        <v>Henri Faasdreef 200</v>
      </c>
      <c r="D171" s="157" t="str">
        <f>VLOOKUP(Ruimtestaat[[#This Row],[Code]],Locaties[[#All],[Code]:[Postcode]],5,FALSE)</f>
        <v>2492 JP</v>
      </c>
      <c r="E171" s="157" t="str">
        <f>VLOOKUP(Ruimtestaat[[#This Row],[Code]],Locaties[#All],6,FALSE)</f>
        <v>Den Haag</v>
      </c>
      <c r="F171" s="33" t="s">
        <v>1801</v>
      </c>
      <c r="G171" s="33" t="s">
        <v>1624</v>
      </c>
      <c r="H171" s="21" t="s">
        <v>1857</v>
      </c>
      <c r="I171" s="62" t="s">
        <v>1770</v>
      </c>
      <c r="J171" s="21">
        <v>20</v>
      </c>
      <c r="K171" s="62" t="str">
        <f>VLOOKUP(Ruimtestaat[[#This Row],[Ruimte code]],Ruimtegroepen[[#All],[Code]:[Ruimte omschrijving]],2,FALSE)</f>
        <v>Niet in Onderhoud</v>
      </c>
      <c r="L171" s="33" t="s">
        <v>102</v>
      </c>
      <c r="M171" s="367" t="s">
        <v>2499</v>
      </c>
      <c r="N171" s="140"/>
      <c r="O171" s="140">
        <v>12.77</v>
      </c>
      <c r="P171" s="125">
        <f>VLOOKUP(Ruimtestaat[[#This Row],[Ruimte code]],Ruimtegroepen[],4,FALSE)</f>
        <v>0</v>
      </c>
      <c r="R171" s="33"/>
      <c r="S171" s="33"/>
      <c r="T171" s="33">
        <f>IF(R171&gt;0,IF(RIGHT(Ruimtestaat[[#This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1" s="33">
        <f>IF(T171&gt;0,VLOOKUP($J171,Ruimtegroepen[],3,FALSE)*VLOOKUP($L171,Vloersoorten[],3,FALSE)*VLOOKUP($S171,Frequenties[],3,FALSE)*VLOOKUP($A171,Locaties[],3,FALSE),0)</f>
        <v>0</v>
      </c>
      <c r="V171" s="33">
        <f>Ruimtestaat[[#This Row],[Uitvoeringen werkdagen]]*Ruimtestaat[[#This Row],[Oppervlak (netto)]]</f>
        <v>0</v>
      </c>
      <c r="W171" s="154">
        <f>IF(U171&gt;0,Ruimtestaat[[#This Row],[Prest. (m2 /jaar) werkdagen]]/Ruimtestaat[[#This Row],[Norm (m2/uur) werkdagen]],0)</f>
        <v>0</v>
      </c>
      <c r="X171" s="155">
        <f>Ruimtestaat[[#This Row],[uren / jaar werkdagen]]*Tariefsopbouw!$E$35</f>
        <v>0</v>
      </c>
      <c r="Y171" s="33"/>
      <c r="Z171" s="33">
        <f>IF(Ruimtestaat[[#This Row],[Frequentie weekend]]&gt;0,VALUE(LEFT(Y171,1))*R171,0)</f>
        <v>0</v>
      </c>
      <c r="AA171" s="97">
        <f>IF($Z171&gt;0,VLOOKUP($J171,Ruimtegroepen[],3,FALSE)*VLOOKUP($L171,Vloersoorten[],3,FALSE)*VLOOKUP($Y171,Frequenties[],3,FALSE)*VLOOKUP(Ruimtestaat[[#This Row],[Code]],Locaties[],3,FALSE),0)</f>
        <v>0</v>
      </c>
      <c r="AB171" s="97">
        <f>Ruimtestaat[[#This Row],[Uitvoeringen weekend]]*Ruimtestaat[[#This Row],[Oppervlak (netto)]]</f>
        <v>0</v>
      </c>
      <c r="AC171" s="97">
        <f>IF(AA171&gt;0,Ruimtestaat[[#This Row],[Prest. (m2 /jaar) weekend]]/Ruimtestaat[[#This Row],[Norm (m2/uur) weekend]],0)</f>
        <v>0</v>
      </c>
      <c r="AD171" s="155">
        <f>Ruimtestaat[[#This Row],[uren / jaar weekend]]*Tariefsopbouw!$D$40</f>
        <v>0</v>
      </c>
      <c r="AE171" s="154">
        <f>Ruimtestaat[[#This Row],[Prest. (m2 /jaar) weekend]]+Ruimtestaat[[#This Row],[Prest. (m2 /jaar) werkdagen]]</f>
        <v>0</v>
      </c>
      <c r="AF171" s="154">
        <f>Ruimtestaat[[#This Row],[uren / jaar weekend]]+Ruimtestaat[[#This Row],[uren / jaar werkdagen]]</f>
        <v>0</v>
      </c>
      <c r="AG171" s="69">
        <f>Ruimtestaat[[#This Row],[kosten / jaar weekend]]+Ruimtestaat[[#This Row],[kosten / jaar werkdagen]]</f>
        <v>0</v>
      </c>
      <c r="AH171" s="69"/>
      <c r="AI171" s="256" t="str">
        <f>IF(Ruimtestaat[[#This Row],[Frequentie werkdagen]]="","",_xlfn.CONCAT(Ruimtestaat[[#This Row],[Ruimte code]],"-",Ruimtestaat[[#This Row],[Frequentie werkdagen]]," ",Ruimtestaat[[#This Row],[Vloer code]]))</f>
        <v/>
      </c>
      <c r="AJ171" s="300" t="str">
        <f>_xlfn.IFNA(VLOOKUP($AI171,Programma!$F$3:$G$1107,2,0),"")</f>
        <v/>
      </c>
      <c r="AK171" s="300" t="str">
        <f>_xlfn.IFNA(VLOOKUP($AI171,Programma!$F$3:$H$1107,3,0),"")</f>
        <v/>
      </c>
      <c r="AL171" s="300" t="str">
        <f>_xlfn.IFNA(VLOOKUP($AI171,Programma!$F$3:$I$1107,4,0),"")</f>
        <v/>
      </c>
      <c r="AM171" s="300" t="str">
        <f>_xlfn.IFNA(VLOOKUP($AI171,Programma!$F$3:$J$1107,5,0),"")</f>
        <v/>
      </c>
      <c r="AN171" s="300" t="str">
        <f>_xlfn.IFNA(VLOOKUP($AI171,Programma!$F$3:$K$1107,6,0),"")</f>
        <v/>
      </c>
      <c r="AO171" s="300" t="str">
        <f>_xlfn.IFNA(VLOOKUP($AI171,Programma!$F$3:$L$1107,7,0),"")</f>
        <v/>
      </c>
      <c r="AP171" s="300" t="str">
        <f>_xlfn.IFNA(VLOOKUP($AI171,Programma!$F$3:$M$1107,8,0),"")</f>
        <v/>
      </c>
      <c r="AQ171" s="300" t="str">
        <f>_xlfn.IFNA(VLOOKUP($AI171,Programma!$F$3:$N$1107,9,0),"")</f>
        <v/>
      </c>
      <c r="AR171" s="300" t="str">
        <f>_xlfn.IFNA(VLOOKUP($AI171,Programma!$F$3:$O$1107,10,0),"")</f>
        <v/>
      </c>
      <c r="AS171" s="300" t="str">
        <f>_xlfn.IFNA(VLOOKUP($AI171,Programma!$F$3:$P$1107,11,0),"")</f>
        <v/>
      </c>
      <c r="AT171" s="300" t="str">
        <f>_xlfn.IFNA(VLOOKUP($AI171,Programma!$F$3:$Q$1107,12,0),"")</f>
        <v/>
      </c>
      <c r="AU171" s="300" t="str">
        <f>_xlfn.IFNA(VLOOKUP($AI171,Programma!$F$3:$R$1107,13,0),"")</f>
        <v/>
      </c>
      <c r="AV171" s="300" t="str">
        <f>_xlfn.IFNA(VLOOKUP($AI171,Programma!$F$3:$S$1107,14,0),"")</f>
        <v/>
      </c>
      <c r="AW171" s="300" t="str">
        <f>_xlfn.IFNA(VLOOKUP($AI171,Programma!$F$3:$T$1107,15,0),"")</f>
        <v/>
      </c>
      <c r="AX171" s="300" t="str">
        <f>_xlfn.IFNA(VLOOKUP($AI171,Programma!$F$3:$U$1107,16,0),"")</f>
        <v/>
      </c>
      <c r="AY171" s="300" t="str">
        <f>_xlfn.IFNA(VLOOKUP($AI171,Programma!$F$3:$V$1107,17,0),"")</f>
        <v/>
      </c>
      <c r="AZ171" s="300" t="str">
        <f>_xlfn.IFNA(VLOOKUP($AI171,Programma!$F$3:$W$1107,18,0),"")</f>
        <v/>
      </c>
      <c r="BA171" s="300" t="str">
        <f>_xlfn.IFNA(VLOOKUP($AI171,Programma!$F$3:$X$1107,19,0),"")</f>
        <v/>
      </c>
      <c r="BB171" s="300" t="str">
        <f>_xlfn.IFNA(VLOOKUP($AI171,Programma!$F$3:$Y$1107,20,0),"")</f>
        <v/>
      </c>
      <c r="BC171" s="257"/>
      <c r="BD171" s="256" t="str">
        <f>IF(Ruimtestaat[[#This Row],[Frequentie weekend]]="","",_xlfn.CONCAT(Ruimtestaat[[#This Row],[Ruimte code]],"-",Ruimtestaat[[#This Row],[Frequentie weekend]]," ",Ruimtestaat[[#This Row],[Vloer code]]))</f>
        <v/>
      </c>
      <c r="BE171" s="300" t="str">
        <f>_xlfn.IFNA(VLOOKUP($BD171,Programma!$F$3:$G$1107,2,0),"")</f>
        <v/>
      </c>
      <c r="BF171" s="300" t="str">
        <f>_xlfn.IFNA(VLOOKUP($BD171,Programma!$F$3:$H$1107,3,0),"")</f>
        <v/>
      </c>
      <c r="BG171" s="300" t="str">
        <f>_xlfn.IFNA(VLOOKUP($BD171,Programma!$F$3:$I$1107,4,0),"")</f>
        <v/>
      </c>
      <c r="BH171" s="300" t="str">
        <f>_xlfn.IFNA(VLOOKUP($BD171,Programma!$F$3:$J$1107,5,0),"")</f>
        <v/>
      </c>
      <c r="BI171" s="300" t="str">
        <f>_xlfn.IFNA(VLOOKUP($BD171,Programma!$F$3:$K$1107,6,0),"")</f>
        <v/>
      </c>
      <c r="BJ171" s="300" t="str">
        <f>_xlfn.IFNA(VLOOKUP($BD171,Programma!$F$3:$L$1107,7,0),"")</f>
        <v/>
      </c>
      <c r="BK171" s="300" t="str">
        <f>_xlfn.IFNA(VLOOKUP($BD171,Programma!$F$3:$M$1107,8,0),"")</f>
        <v/>
      </c>
      <c r="BL171" s="300" t="str">
        <f>_xlfn.IFNA(VLOOKUP($BD171,Programma!$F$3:$N$1107,9,0),"")</f>
        <v/>
      </c>
      <c r="BM171" s="300" t="str">
        <f>_xlfn.IFNA(VLOOKUP($BD171,Programma!$F$3:$O$1107,10,0),"")</f>
        <v/>
      </c>
      <c r="BN171" s="300" t="str">
        <f>_xlfn.IFNA(VLOOKUP($BD171,Programma!$F$3:$P$1107,11,0),"")</f>
        <v/>
      </c>
      <c r="BO171" s="300" t="str">
        <f>_xlfn.IFNA(VLOOKUP($BD171,Programma!$F$3:$Q$1107,12,0),"")</f>
        <v/>
      </c>
      <c r="BP171" s="300" t="str">
        <f>_xlfn.IFNA(VLOOKUP($BD171,Programma!$F$3:$R$1107,13,0),"")</f>
        <v/>
      </c>
      <c r="BQ171" s="300" t="str">
        <f>_xlfn.IFNA(VLOOKUP($BD171,Programma!$F$3:$S$1107,14,0),"")</f>
        <v/>
      </c>
      <c r="BR171" s="300" t="str">
        <f>_xlfn.IFNA(VLOOKUP($BD171,Programma!$F$3:$T$1107,15,0),"")</f>
        <v/>
      </c>
      <c r="BS171" s="300" t="str">
        <f>_xlfn.IFNA(VLOOKUP($BD171,Programma!$F$3:$U$1107,16,0),"")</f>
        <v/>
      </c>
      <c r="BT171" s="300" t="str">
        <f>_xlfn.IFNA(VLOOKUP($BD171,Programma!$F$3:$V$1107,17,0),"")</f>
        <v/>
      </c>
      <c r="BU171" s="300" t="str">
        <f>_xlfn.IFNA(VLOOKUP($BD171,Programma!$F$3:$W$1107,18,0),"")</f>
        <v/>
      </c>
      <c r="BV171" s="300" t="str">
        <f>_xlfn.IFNA(VLOOKUP($BD171,Programma!$F$3:$X$1107,19,0),"")</f>
        <v/>
      </c>
      <c r="BW171" s="300" t="str">
        <f>_xlfn.IFNA(VLOOKUP($BD171,Programma!$F$3:$Y$1107,20,0),"")</f>
        <v/>
      </c>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row>
    <row r="172" spans="1:220" ht="15" customHeight="1">
      <c r="A172" s="21">
        <v>3</v>
      </c>
      <c r="B172" s="157" t="str">
        <f>VLOOKUP(Ruimtestaat[[#This Row],[Code]],Locaties[[Code]:[Locatie]],2,FALSE)</f>
        <v>'s Gravendreef College - Dependance</v>
      </c>
      <c r="C172" s="157" t="str">
        <f>VLOOKUP(Ruimtestaat[[#This Row],[Code]],Locaties[[#All],[Code]:[Adres]],4,FALSE)</f>
        <v>Henri Faasdreef 200</v>
      </c>
      <c r="D172" s="157" t="str">
        <f>VLOOKUP(Ruimtestaat[[#This Row],[Code]],Locaties[[#All],[Code]:[Postcode]],5,FALSE)</f>
        <v>2492 JP</v>
      </c>
      <c r="E172" s="157" t="str">
        <f>VLOOKUP(Ruimtestaat[[#This Row],[Code]],Locaties[#All],6,FALSE)</f>
        <v>Den Haag</v>
      </c>
      <c r="F172" s="33" t="s">
        <v>1801</v>
      </c>
      <c r="G172" s="33" t="s">
        <v>1624</v>
      </c>
      <c r="H172" s="21" t="s">
        <v>1858</v>
      </c>
      <c r="I172" s="62" t="s">
        <v>1644</v>
      </c>
      <c r="J172" s="21">
        <v>1</v>
      </c>
      <c r="K172" s="62" t="str">
        <f>VLOOKUP(Ruimtestaat[[#This Row],[Ruimte code]],Ruimtegroepen[[#All],[Code]:[Ruimte omschrijving]],2,FALSE)</f>
        <v>Magazijnen/bergingen</v>
      </c>
      <c r="L172" s="33" t="s">
        <v>101</v>
      </c>
      <c r="M172" s="367" t="s">
        <v>2495</v>
      </c>
      <c r="N172" s="140">
        <v>8.48</v>
      </c>
      <c r="O172" s="140"/>
      <c r="P172" s="125" t="str">
        <f>VLOOKUP(Ruimtestaat[[#This Row],[Ruimte code]],Ruimtegroepen[],4,FALSE)</f>
        <v>Ve</v>
      </c>
      <c r="R172" s="33">
        <v>40</v>
      </c>
      <c r="S172" s="33" t="s">
        <v>16</v>
      </c>
      <c r="T172" s="33">
        <f>IF(R172&gt;0,IF(RIGHT(Ruimtestaat[[#This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72" s="33">
        <f>IF(T172&gt;0,VLOOKUP($J172,Ruimtegroepen[],3,FALSE)*VLOOKUP($L172,Vloersoorten[],3,FALSE)*VLOOKUP($S172,Frequenties[],3,FALSE)*VLOOKUP($A172,Locaties[],3,FALSE),0)</f>
        <v>0</v>
      </c>
      <c r="V172" s="33">
        <f>Ruimtestaat[[#This Row],[Uitvoeringen werkdagen]]*Ruimtestaat[[#This Row],[Oppervlak (netto)]]</f>
        <v>101.76</v>
      </c>
      <c r="W172" s="154">
        <f>IF(U172&gt;0,Ruimtestaat[[#This Row],[Prest. (m2 /jaar) werkdagen]]/Ruimtestaat[[#This Row],[Norm (m2/uur) werkdagen]],0)</f>
        <v>0</v>
      </c>
      <c r="X172" s="155">
        <f>Ruimtestaat[[#This Row],[uren / jaar werkdagen]]*Tariefsopbouw!$E$35</f>
        <v>0</v>
      </c>
      <c r="Y172" s="33"/>
      <c r="Z172" s="33">
        <f>IF(Ruimtestaat[[#This Row],[Frequentie weekend]]&gt;0,VALUE(LEFT(Y172,1))*R172,0)</f>
        <v>0</v>
      </c>
      <c r="AA172" s="97">
        <f>IF($Z172&gt;0,VLOOKUP($J172,Ruimtegroepen[],3,FALSE)*VLOOKUP($L172,Vloersoorten[],3,FALSE)*VLOOKUP($Y172,Frequenties[],3,FALSE)*VLOOKUP(Ruimtestaat[[#This Row],[Code]],Locaties[],3,FALSE),0)</f>
        <v>0</v>
      </c>
      <c r="AB172" s="97">
        <f>Ruimtestaat[[#This Row],[Uitvoeringen weekend]]*Ruimtestaat[[#This Row],[Oppervlak (netto)]]</f>
        <v>0</v>
      </c>
      <c r="AC172" s="97">
        <f>IF(AA172&gt;0,Ruimtestaat[[#This Row],[Prest. (m2 /jaar) weekend]]/Ruimtestaat[[#This Row],[Norm (m2/uur) weekend]],0)</f>
        <v>0</v>
      </c>
      <c r="AD172" s="155">
        <f>Ruimtestaat[[#This Row],[uren / jaar weekend]]*Tariefsopbouw!$D$40</f>
        <v>0</v>
      </c>
      <c r="AE172" s="154">
        <f>Ruimtestaat[[#This Row],[Prest. (m2 /jaar) weekend]]+Ruimtestaat[[#This Row],[Prest. (m2 /jaar) werkdagen]]</f>
        <v>101.76</v>
      </c>
      <c r="AF172" s="154">
        <f>Ruimtestaat[[#This Row],[uren / jaar weekend]]+Ruimtestaat[[#This Row],[uren / jaar werkdagen]]</f>
        <v>0</v>
      </c>
      <c r="AG172" s="69">
        <f>Ruimtestaat[[#This Row],[kosten / jaar weekend]]+Ruimtestaat[[#This Row],[kosten / jaar werkdagen]]</f>
        <v>0</v>
      </c>
      <c r="AH172" s="69"/>
      <c r="AI172" s="256" t="str">
        <f>IF(Ruimtestaat[[#This Row],[Frequentie werkdagen]]="","",_xlfn.CONCAT(Ruimtestaat[[#This Row],[Ruimte code]],"-",Ruimtestaat[[#This Row],[Frequentie werkdagen]]," ",Ruimtestaat[[#This Row],[Vloer code]]))</f>
        <v>1-1m L</v>
      </c>
      <c r="AJ172" s="363" t="str">
        <f>_xlfn.IFNA(VLOOKUP($AI172,Programma!$F$3:$G$1107,2,0),"")</f>
        <v>_</v>
      </c>
      <c r="AK172" s="363" t="str">
        <f>_xlfn.IFNA(VLOOKUP($AI172,Programma!$F$3:$H$1107,3,0),"")</f>
        <v>_</v>
      </c>
      <c r="AL172" s="363" t="str">
        <f>_xlfn.IFNA(VLOOKUP($AI172,Programma!$F$3:$I$1107,4,0),"")</f>
        <v>1m</v>
      </c>
      <c r="AM172" s="363" t="str">
        <f>_xlfn.IFNA(VLOOKUP($AI172,Programma!$F$3:$J$1107,5,0),"")</f>
        <v>1m</v>
      </c>
      <c r="AN172" s="363" t="str">
        <f>_xlfn.IFNA(VLOOKUP($AI172,Programma!$F$3:$K$1107,6,0),"")</f>
        <v>_</v>
      </c>
      <c r="AO172" s="363" t="str">
        <f>_xlfn.IFNA(VLOOKUP($AI172,Programma!$F$3:$L$1107,7,0),"")</f>
        <v>_</v>
      </c>
      <c r="AP172" s="363" t="str">
        <f>_xlfn.IFNA(VLOOKUP($AI172,Programma!$F$3:$M$1107,8,0),"")</f>
        <v>_</v>
      </c>
      <c r="AQ172" s="363" t="str">
        <f>_xlfn.IFNA(VLOOKUP($AI172,Programma!$F$3:$N$1107,9,0),"")</f>
        <v>_</v>
      </c>
      <c r="AR172" s="363" t="str">
        <f>_xlfn.IFNA(VLOOKUP($AI172,Programma!$F$3:$O$1107,10,0),"")</f>
        <v>_</v>
      </c>
      <c r="AS172" s="363" t="str">
        <f>_xlfn.IFNA(VLOOKUP($AI172,Programma!$F$3:$P$1107,11,0),"")</f>
        <v>_</v>
      </c>
      <c r="AT172" s="363" t="str">
        <f>_xlfn.IFNA(VLOOKUP($AI172,Programma!$F$3:$Q$1107,12,0),"")</f>
        <v>_</v>
      </c>
      <c r="AU172" s="363" t="str">
        <f>_xlfn.IFNA(VLOOKUP($AI172,Programma!$F$3:$R$1107,13,0),"")</f>
        <v>_</v>
      </c>
      <c r="AV172" s="363" t="str">
        <f>_xlfn.IFNA(VLOOKUP($AI172,Programma!$F$3:$S$1107,14,0),"")</f>
        <v>1m</v>
      </c>
      <c r="AW172" s="363" t="str">
        <f>_xlfn.IFNA(VLOOKUP($AI172,Programma!$F$3:$T$1107,15,0),"")</f>
        <v>4j</v>
      </c>
      <c r="AX172" s="363" t="str">
        <f>_xlfn.IFNA(VLOOKUP($AI172,Programma!$F$3:$U$1107,16,0),"")</f>
        <v>4j</v>
      </c>
      <c r="AY172" s="363" t="str">
        <f>_xlfn.IFNA(VLOOKUP($AI172,Programma!$F$3:$V$1107,17,0),"")</f>
        <v>_</v>
      </c>
      <c r="AZ172" s="363" t="str">
        <f>_xlfn.IFNA(VLOOKUP($AI172,Programma!$F$3:$W$1107,18,0),"")</f>
        <v>_</v>
      </c>
      <c r="BA172" s="363" t="str">
        <f>_xlfn.IFNA(VLOOKUP($AI172,Programma!$F$3:$X$1107,19,0),"")</f>
        <v>_</v>
      </c>
      <c r="BB172" s="363" t="str">
        <f>_xlfn.IFNA(VLOOKUP($AI172,Programma!$F$3:$Y$1107,20,0),"")</f>
        <v>_</v>
      </c>
      <c r="BC172" s="257"/>
      <c r="BD172" s="256" t="str">
        <f>IF(Ruimtestaat[[#This Row],[Frequentie weekend]]="","",_xlfn.CONCAT(Ruimtestaat[[#This Row],[Ruimte code]],"-",Ruimtestaat[[#This Row],[Frequentie weekend]]," ",Ruimtestaat[[#This Row],[Vloer code]]))</f>
        <v/>
      </c>
      <c r="BE172" s="363" t="str">
        <f>_xlfn.IFNA(VLOOKUP($BD172,Programma!$F$3:$G$1107,2,0),"")</f>
        <v/>
      </c>
      <c r="BF172" s="363" t="str">
        <f>_xlfn.IFNA(VLOOKUP($BD172,Programma!$F$3:$H$1107,3,0),"")</f>
        <v/>
      </c>
      <c r="BG172" s="363" t="str">
        <f>_xlfn.IFNA(VLOOKUP($BD172,Programma!$F$3:$I$1107,4,0),"")</f>
        <v/>
      </c>
      <c r="BH172" s="363" t="str">
        <f>_xlfn.IFNA(VLOOKUP($BD172,Programma!$F$3:$J$1107,5,0),"")</f>
        <v/>
      </c>
      <c r="BI172" s="363" t="str">
        <f>_xlfn.IFNA(VLOOKUP($BD172,Programma!$F$3:$K$1107,6,0),"")</f>
        <v/>
      </c>
      <c r="BJ172" s="363" t="str">
        <f>_xlfn.IFNA(VLOOKUP($BD172,Programma!$F$3:$L$1107,7,0),"")</f>
        <v/>
      </c>
      <c r="BK172" s="363" t="str">
        <f>_xlfn.IFNA(VLOOKUP($BD172,Programma!$F$3:$M$1107,8,0),"")</f>
        <v/>
      </c>
      <c r="BL172" s="363" t="str">
        <f>_xlfn.IFNA(VLOOKUP($BD172,Programma!$F$3:$N$1107,9,0),"")</f>
        <v/>
      </c>
      <c r="BM172" s="363" t="str">
        <f>_xlfn.IFNA(VLOOKUP($BD172,Programma!$F$3:$O$1107,10,0),"")</f>
        <v/>
      </c>
      <c r="BN172" s="363" t="str">
        <f>_xlfn.IFNA(VLOOKUP($BD172,Programma!$F$3:$P$1107,11,0),"")</f>
        <v/>
      </c>
      <c r="BO172" s="363" t="str">
        <f>_xlfn.IFNA(VLOOKUP($BD172,Programma!$F$3:$Q$1107,12,0),"")</f>
        <v/>
      </c>
      <c r="BP172" s="363" t="str">
        <f>_xlfn.IFNA(VLOOKUP($BD172,Programma!$F$3:$R$1107,13,0),"")</f>
        <v/>
      </c>
      <c r="BQ172" s="363" t="str">
        <f>_xlfn.IFNA(VLOOKUP($BD172,Programma!$F$3:$S$1107,14,0),"")</f>
        <v/>
      </c>
      <c r="BR172" s="363" t="str">
        <f>_xlfn.IFNA(VLOOKUP($BD172,Programma!$F$3:$T$1107,15,0),"")</f>
        <v/>
      </c>
      <c r="BS172" s="363" t="str">
        <f>_xlfn.IFNA(VLOOKUP($BD172,Programma!$F$3:$U$1107,16,0),"")</f>
        <v/>
      </c>
      <c r="BT172" s="363" t="str">
        <f>_xlfn.IFNA(VLOOKUP($BD172,Programma!$F$3:$V$1107,17,0),"")</f>
        <v/>
      </c>
      <c r="BU172" s="363" t="str">
        <f>_xlfn.IFNA(VLOOKUP($BD172,Programma!$F$3:$W$1107,18,0),"")</f>
        <v/>
      </c>
      <c r="BV172" s="363" t="str">
        <f>_xlfn.IFNA(VLOOKUP($BD172,Programma!$F$3:$X$1107,19,0),"")</f>
        <v/>
      </c>
      <c r="BW172" s="363" t="str">
        <f>_xlfn.IFNA(VLOOKUP($BD172,Programma!$F$3:$Y$1107,20,0),"")</f>
        <v/>
      </c>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row>
    <row r="173" spans="1:220" ht="15" customHeight="1">
      <c r="A173" s="21">
        <v>4</v>
      </c>
      <c r="B173" s="157" t="str">
        <f>VLOOKUP(Ruimtestaat[[#This Row],[Code]],Locaties[[Code]:[Locatie]],2,FALSE)</f>
        <v>Sint-Maartenscollege</v>
      </c>
      <c r="C173" s="157" t="str">
        <f>VLOOKUP(Ruimtestaat[[#This Row],[Code]],Locaties[[#All],[Code]:[Adres]],4,FALSE)</f>
        <v xml:space="preserve">Aart v.d. Leeuwkade 14 </v>
      </c>
      <c r="D173" s="157" t="str">
        <f>VLOOKUP(Ruimtestaat[[#This Row],[Code]],Locaties[[#All],[Code]:[Postcode]],5,FALSE)</f>
        <v>2274 KX</v>
      </c>
      <c r="E173" s="157" t="str">
        <f>VLOOKUP(Ruimtestaat[[#This Row],[Code]],Locaties[#All],6,FALSE)</f>
        <v>Voorburg</v>
      </c>
      <c r="F173" s="33"/>
      <c r="G173" s="33" t="s">
        <v>1859</v>
      </c>
      <c r="H173" s="21">
        <v>-101</v>
      </c>
      <c r="I173" s="62" t="s">
        <v>1860</v>
      </c>
      <c r="J173" s="21">
        <v>20</v>
      </c>
      <c r="K173" s="62" t="str">
        <f>VLOOKUP(Ruimtestaat[[#This Row],[Ruimte code]],Ruimtegroepen[[#All],[Code]:[Ruimte omschrijving]],2,FALSE)</f>
        <v>Niet in Onderhoud</v>
      </c>
      <c r="L173" s="33" t="s">
        <v>102</v>
      </c>
      <c r="M173" s="367" t="s">
        <v>2499</v>
      </c>
      <c r="N173" s="140"/>
      <c r="O173" s="140">
        <v>64</v>
      </c>
      <c r="P173" s="125">
        <f>VLOOKUP(Ruimtestaat[[#This Row],[Ruimte code]],Ruimtegroepen[],4,FALSE)</f>
        <v>0</v>
      </c>
      <c r="Q173" s="125" t="s">
        <v>2532</v>
      </c>
      <c r="R173" s="33"/>
      <c r="S173" s="33"/>
      <c r="T173" s="33">
        <f>IF(R173&gt;0,IF(RIGHT(Ruimtestaat[[#This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3" s="33">
        <f>IF(T173&gt;0,VLOOKUP($J173,Ruimtegroepen[],3,FALSE)*VLOOKUP($L173,Vloersoorten[],3,FALSE)*VLOOKUP($S173,Frequenties[],3,FALSE)*VLOOKUP($A173,Locaties[],3,FALSE),0)</f>
        <v>0</v>
      </c>
      <c r="V173" s="33">
        <f>Ruimtestaat[[#This Row],[Uitvoeringen werkdagen]]*Ruimtestaat[[#This Row],[Oppervlak (netto)]]</f>
        <v>0</v>
      </c>
      <c r="W173" s="154">
        <f>IF(U173&gt;0,Ruimtestaat[[#This Row],[Prest. (m2 /jaar) werkdagen]]/Ruimtestaat[[#This Row],[Norm (m2/uur) werkdagen]],0)</f>
        <v>0</v>
      </c>
      <c r="X173" s="155">
        <f>Ruimtestaat[[#This Row],[uren / jaar werkdagen]]*Tariefsopbouw!$E$35</f>
        <v>0</v>
      </c>
      <c r="Y173" s="33"/>
      <c r="Z173" s="33">
        <f>IF(Ruimtestaat[[#This Row],[Frequentie weekend]]&gt;0,VALUE(LEFT(Y173,1))*R173,0)</f>
        <v>0</v>
      </c>
      <c r="AA173" s="97">
        <f>IF($Z173&gt;0,VLOOKUP($J173,Ruimtegroepen[],3,FALSE)*VLOOKUP($L173,Vloersoorten[],3,FALSE)*VLOOKUP($Y173,Frequenties[],3,FALSE)*VLOOKUP(Ruimtestaat[[#This Row],[Code]],Locaties[],3,FALSE),0)</f>
        <v>0</v>
      </c>
      <c r="AB173" s="97">
        <f>Ruimtestaat[[#This Row],[Uitvoeringen weekend]]*Ruimtestaat[[#This Row],[Oppervlak (netto)]]</f>
        <v>0</v>
      </c>
      <c r="AC173" s="97">
        <f>IF(AA173&gt;0,Ruimtestaat[[#This Row],[Prest. (m2 /jaar) weekend]]/Ruimtestaat[[#This Row],[Norm (m2/uur) weekend]],0)</f>
        <v>0</v>
      </c>
      <c r="AD173" s="155">
        <f>Ruimtestaat[[#This Row],[uren / jaar weekend]]*Tariefsopbouw!$D$40</f>
        <v>0</v>
      </c>
      <c r="AE173" s="154">
        <f>Ruimtestaat[[#This Row],[Prest. (m2 /jaar) weekend]]+Ruimtestaat[[#This Row],[Prest. (m2 /jaar) werkdagen]]</f>
        <v>0</v>
      </c>
      <c r="AF173" s="154">
        <f>Ruimtestaat[[#This Row],[uren / jaar weekend]]+Ruimtestaat[[#This Row],[uren / jaar werkdagen]]</f>
        <v>0</v>
      </c>
      <c r="AG173" s="69">
        <f>Ruimtestaat[[#This Row],[kosten / jaar weekend]]+Ruimtestaat[[#This Row],[kosten / jaar werkdagen]]</f>
        <v>0</v>
      </c>
      <c r="AH173" s="69"/>
      <c r="AI173" s="256" t="str">
        <f>IF(Ruimtestaat[[#This Row],[Frequentie werkdagen]]="","",_xlfn.CONCAT(Ruimtestaat[[#This Row],[Ruimte code]],"-",Ruimtestaat[[#This Row],[Frequentie werkdagen]]," ",Ruimtestaat[[#This Row],[Vloer code]]))</f>
        <v/>
      </c>
      <c r="AJ173" s="363" t="str">
        <f>_xlfn.IFNA(VLOOKUP($AI173,Programma!$F$3:$G$1107,2,0),"")</f>
        <v/>
      </c>
      <c r="AK173" s="363" t="str">
        <f>_xlfn.IFNA(VLOOKUP($AI173,Programma!$F$3:$H$1107,3,0),"")</f>
        <v/>
      </c>
      <c r="AL173" s="363" t="str">
        <f>_xlfn.IFNA(VLOOKUP($AI173,Programma!$F$3:$I$1107,4,0),"")</f>
        <v/>
      </c>
      <c r="AM173" s="363" t="str">
        <f>_xlfn.IFNA(VLOOKUP($AI173,Programma!$F$3:$J$1107,5,0),"")</f>
        <v/>
      </c>
      <c r="AN173" s="363" t="str">
        <f>_xlfn.IFNA(VLOOKUP($AI173,Programma!$F$3:$K$1107,6,0),"")</f>
        <v/>
      </c>
      <c r="AO173" s="363" t="str">
        <f>_xlfn.IFNA(VLOOKUP($AI173,Programma!$F$3:$L$1107,7,0),"")</f>
        <v/>
      </c>
      <c r="AP173" s="363" t="str">
        <f>_xlfn.IFNA(VLOOKUP($AI173,Programma!$F$3:$M$1107,8,0),"")</f>
        <v/>
      </c>
      <c r="AQ173" s="363" t="str">
        <f>_xlfn.IFNA(VLOOKUP($AI173,Programma!$F$3:$N$1107,9,0),"")</f>
        <v/>
      </c>
      <c r="AR173" s="363" t="str">
        <f>_xlfn.IFNA(VLOOKUP($AI173,Programma!$F$3:$O$1107,10,0),"")</f>
        <v/>
      </c>
      <c r="AS173" s="363" t="str">
        <f>_xlfn.IFNA(VLOOKUP($AI173,Programma!$F$3:$P$1107,11,0),"")</f>
        <v/>
      </c>
      <c r="AT173" s="363" t="str">
        <f>_xlfn.IFNA(VLOOKUP($AI173,Programma!$F$3:$Q$1107,12,0),"")</f>
        <v/>
      </c>
      <c r="AU173" s="363" t="str">
        <f>_xlfn.IFNA(VLOOKUP($AI173,Programma!$F$3:$R$1107,13,0),"")</f>
        <v/>
      </c>
      <c r="AV173" s="363" t="str">
        <f>_xlfn.IFNA(VLOOKUP($AI173,Programma!$F$3:$S$1107,14,0),"")</f>
        <v/>
      </c>
      <c r="AW173" s="363" t="str">
        <f>_xlfn.IFNA(VLOOKUP($AI173,Programma!$F$3:$T$1107,15,0),"")</f>
        <v/>
      </c>
      <c r="AX173" s="363" t="str">
        <f>_xlfn.IFNA(VLOOKUP($AI173,Programma!$F$3:$U$1107,16,0),"")</f>
        <v/>
      </c>
      <c r="AY173" s="363" t="str">
        <f>_xlfn.IFNA(VLOOKUP($AI173,Programma!$F$3:$V$1107,17,0),"")</f>
        <v/>
      </c>
      <c r="AZ173" s="363" t="str">
        <f>_xlfn.IFNA(VLOOKUP($AI173,Programma!$F$3:$W$1107,18,0),"")</f>
        <v/>
      </c>
      <c r="BA173" s="363" t="str">
        <f>_xlfn.IFNA(VLOOKUP($AI173,Programma!$F$3:$X$1107,19,0),"")</f>
        <v/>
      </c>
      <c r="BB173" s="363" t="str">
        <f>_xlfn.IFNA(VLOOKUP($AI173,Programma!$F$3:$Y$1107,20,0),"")</f>
        <v/>
      </c>
      <c r="BC173" s="257"/>
      <c r="BD173" s="256" t="str">
        <f>IF(Ruimtestaat[[#This Row],[Frequentie weekend]]="","",_xlfn.CONCAT(Ruimtestaat[[#This Row],[Ruimte code]],"-",Ruimtestaat[[#This Row],[Frequentie weekend]]," ",Ruimtestaat[[#This Row],[Vloer code]]))</f>
        <v/>
      </c>
      <c r="BE173" s="363" t="str">
        <f>_xlfn.IFNA(VLOOKUP($BD173,Programma!$F$3:$G$1107,2,0),"")</f>
        <v/>
      </c>
      <c r="BF173" s="363" t="str">
        <f>_xlfn.IFNA(VLOOKUP($BD173,Programma!$F$3:$H$1107,3,0),"")</f>
        <v/>
      </c>
      <c r="BG173" s="363" t="str">
        <f>_xlfn.IFNA(VLOOKUP($BD173,Programma!$F$3:$I$1107,4,0),"")</f>
        <v/>
      </c>
      <c r="BH173" s="363" t="str">
        <f>_xlfn.IFNA(VLOOKUP($BD173,Programma!$F$3:$J$1107,5,0),"")</f>
        <v/>
      </c>
      <c r="BI173" s="363" t="str">
        <f>_xlfn.IFNA(VLOOKUP($BD173,Programma!$F$3:$K$1107,6,0),"")</f>
        <v/>
      </c>
      <c r="BJ173" s="363" t="str">
        <f>_xlfn.IFNA(VLOOKUP($BD173,Programma!$F$3:$L$1107,7,0),"")</f>
        <v/>
      </c>
      <c r="BK173" s="363" t="str">
        <f>_xlfn.IFNA(VLOOKUP($BD173,Programma!$F$3:$M$1107,8,0),"")</f>
        <v/>
      </c>
      <c r="BL173" s="363" t="str">
        <f>_xlfn.IFNA(VLOOKUP($BD173,Programma!$F$3:$N$1107,9,0),"")</f>
        <v/>
      </c>
      <c r="BM173" s="363" t="str">
        <f>_xlfn.IFNA(VLOOKUP($BD173,Programma!$F$3:$O$1107,10,0),"")</f>
        <v/>
      </c>
      <c r="BN173" s="363" t="str">
        <f>_xlfn.IFNA(VLOOKUP($BD173,Programma!$F$3:$P$1107,11,0),"")</f>
        <v/>
      </c>
      <c r="BO173" s="363" t="str">
        <f>_xlfn.IFNA(VLOOKUP($BD173,Programma!$F$3:$Q$1107,12,0),"")</f>
        <v/>
      </c>
      <c r="BP173" s="363" t="str">
        <f>_xlfn.IFNA(VLOOKUP($BD173,Programma!$F$3:$R$1107,13,0),"")</f>
        <v/>
      </c>
      <c r="BQ173" s="363" t="str">
        <f>_xlfn.IFNA(VLOOKUP($BD173,Programma!$F$3:$S$1107,14,0),"")</f>
        <v/>
      </c>
      <c r="BR173" s="363" t="str">
        <f>_xlfn.IFNA(VLOOKUP($BD173,Programma!$F$3:$T$1107,15,0),"")</f>
        <v/>
      </c>
      <c r="BS173" s="363" t="str">
        <f>_xlfn.IFNA(VLOOKUP($BD173,Programma!$F$3:$U$1107,16,0),"")</f>
        <v/>
      </c>
      <c r="BT173" s="363" t="str">
        <f>_xlfn.IFNA(VLOOKUP($BD173,Programma!$F$3:$V$1107,17,0),"")</f>
        <v/>
      </c>
      <c r="BU173" s="363" t="str">
        <f>_xlfn.IFNA(VLOOKUP($BD173,Programma!$F$3:$W$1107,18,0),"")</f>
        <v/>
      </c>
      <c r="BV173" s="363" t="str">
        <f>_xlfn.IFNA(VLOOKUP($BD173,Programma!$F$3:$X$1107,19,0),"")</f>
        <v/>
      </c>
      <c r="BW173" s="363" t="str">
        <f>_xlfn.IFNA(VLOOKUP($BD173,Programma!$F$3:$Y$1107,20,0),"")</f>
        <v/>
      </c>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row>
    <row r="174" spans="1:220" ht="15" customHeight="1">
      <c r="A174" s="21">
        <v>4</v>
      </c>
      <c r="B174" s="157" t="str">
        <f>VLOOKUP(Ruimtestaat[[#This Row],[Code]],Locaties[[Code]:[Locatie]],2,FALSE)</f>
        <v>Sint-Maartenscollege</v>
      </c>
      <c r="C174" s="157" t="str">
        <f>VLOOKUP(Ruimtestaat[[#This Row],[Code]],Locaties[[#All],[Code]:[Adres]],4,FALSE)</f>
        <v xml:space="preserve">Aart v.d. Leeuwkade 14 </v>
      </c>
      <c r="D174" s="157" t="str">
        <f>VLOOKUP(Ruimtestaat[[#This Row],[Code]],Locaties[[#All],[Code]:[Postcode]],5,FALSE)</f>
        <v>2274 KX</v>
      </c>
      <c r="E174" s="157" t="str">
        <f>VLOOKUP(Ruimtestaat[[#This Row],[Code]],Locaties[#All],6,FALSE)</f>
        <v>Voorburg</v>
      </c>
      <c r="F174" s="33"/>
      <c r="G174" s="33" t="s">
        <v>1859</v>
      </c>
      <c r="H174" s="21">
        <v>-102</v>
      </c>
      <c r="I174" s="62" t="s">
        <v>1860</v>
      </c>
      <c r="J174" s="33">
        <v>20</v>
      </c>
      <c r="K174" s="62" t="str">
        <f>VLOOKUP(Ruimtestaat[[#This Row],[Ruimte code]],Ruimtegroepen[[#All],[Code]:[Ruimte omschrijving]],2,FALSE)</f>
        <v>Niet in Onderhoud</v>
      </c>
      <c r="L174" s="33" t="s">
        <v>102</v>
      </c>
      <c r="M174" s="367" t="s">
        <v>2499</v>
      </c>
      <c r="N174" s="140"/>
      <c r="O174" s="140">
        <v>49</v>
      </c>
      <c r="P174" s="125">
        <f>VLOOKUP(Ruimtestaat[[#This Row],[Ruimte code]],Ruimtegroepen[],4,FALSE)</f>
        <v>0</v>
      </c>
      <c r="Q174" s="125" t="s">
        <v>2534</v>
      </c>
      <c r="R174" s="33"/>
      <c r="S174" s="33"/>
      <c r="T174" s="33">
        <f>IF(R174&gt;0,IF(RIGHT(Ruimtestaat[[#This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4" s="33">
        <f>IF(T174&gt;0,VLOOKUP($J174,Ruimtegroepen[],3,FALSE)*VLOOKUP($L174,Vloersoorten[],3,FALSE)*VLOOKUP($S174,Frequenties[],3,FALSE)*VLOOKUP($A174,Locaties[],3,FALSE),0)</f>
        <v>0</v>
      </c>
      <c r="V174" s="33">
        <f>Ruimtestaat[[#This Row],[Uitvoeringen werkdagen]]*Ruimtestaat[[#This Row],[Oppervlak (netto)]]</f>
        <v>0</v>
      </c>
      <c r="W174" s="154">
        <f>IF(U174&gt;0,Ruimtestaat[[#This Row],[Prest. (m2 /jaar) werkdagen]]/Ruimtestaat[[#This Row],[Norm (m2/uur) werkdagen]],0)</f>
        <v>0</v>
      </c>
      <c r="X174" s="155">
        <f>Ruimtestaat[[#This Row],[uren / jaar werkdagen]]*Tariefsopbouw!$E$35</f>
        <v>0</v>
      </c>
      <c r="Y174" s="33"/>
      <c r="Z174" s="33">
        <f>IF(Ruimtestaat[[#This Row],[Frequentie weekend]]&gt;0,VALUE(LEFT(Y174,1))*R174,0)</f>
        <v>0</v>
      </c>
      <c r="AA174" s="97">
        <f>IF($Z174&gt;0,VLOOKUP($J174,Ruimtegroepen[],3,FALSE)*VLOOKUP($L174,Vloersoorten[],3,FALSE)*VLOOKUP($Y174,Frequenties[],3,FALSE)*VLOOKUP(Ruimtestaat[[#This Row],[Code]],Locaties[],3,FALSE),0)</f>
        <v>0</v>
      </c>
      <c r="AB174" s="97">
        <f>Ruimtestaat[[#This Row],[Uitvoeringen weekend]]*Ruimtestaat[[#This Row],[Oppervlak (netto)]]</f>
        <v>0</v>
      </c>
      <c r="AC174" s="97">
        <f>IF(AA174&gt;0,Ruimtestaat[[#This Row],[Prest. (m2 /jaar) weekend]]/Ruimtestaat[[#This Row],[Norm (m2/uur) weekend]],0)</f>
        <v>0</v>
      </c>
      <c r="AD174" s="155">
        <f>Ruimtestaat[[#This Row],[uren / jaar weekend]]*Tariefsopbouw!$D$40</f>
        <v>0</v>
      </c>
      <c r="AE174" s="154">
        <f>Ruimtestaat[[#This Row],[Prest. (m2 /jaar) weekend]]+Ruimtestaat[[#This Row],[Prest. (m2 /jaar) werkdagen]]</f>
        <v>0</v>
      </c>
      <c r="AF174" s="154">
        <f>Ruimtestaat[[#This Row],[uren / jaar weekend]]+Ruimtestaat[[#This Row],[uren / jaar werkdagen]]</f>
        <v>0</v>
      </c>
      <c r="AG174" s="69">
        <f>Ruimtestaat[[#This Row],[kosten / jaar weekend]]+Ruimtestaat[[#This Row],[kosten / jaar werkdagen]]</f>
        <v>0</v>
      </c>
      <c r="AH174" s="69"/>
      <c r="AI174" s="256" t="str">
        <f>IF(Ruimtestaat[[#This Row],[Frequentie werkdagen]]="","",_xlfn.CONCAT(Ruimtestaat[[#This Row],[Ruimte code]],"-",Ruimtestaat[[#This Row],[Frequentie werkdagen]]," ",Ruimtestaat[[#This Row],[Vloer code]]))</f>
        <v/>
      </c>
      <c r="AJ174" s="363" t="str">
        <f>_xlfn.IFNA(VLOOKUP($AI174,Programma!$F$3:$G$1107,2,0),"")</f>
        <v/>
      </c>
      <c r="AK174" s="363" t="str">
        <f>_xlfn.IFNA(VLOOKUP($AI174,Programma!$F$3:$H$1107,3,0),"")</f>
        <v/>
      </c>
      <c r="AL174" s="363" t="str">
        <f>_xlfn.IFNA(VLOOKUP($AI174,Programma!$F$3:$I$1107,4,0),"")</f>
        <v/>
      </c>
      <c r="AM174" s="363" t="str">
        <f>_xlfn.IFNA(VLOOKUP($AI174,Programma!$F$3:$J$1107,5,0),"")</f>
        <v/>
      </c>
      <c r="AN174" s="363" t="str">
        <f>_xlfn.IFNA(VLOOKUP($AI174,Programma!$F$3:$K$1107,6,0),"")</f>
        <v/>
      </c>
      <c r="AO174" s="363" t="str">
        <f>_xlfn.IFNA(VLOOKUP($AI174,Programma!$F$3:$L$1107,7,0),"")</f>
        <v/>
      </c>
      <c r="AP174" s="363" t="str">
        <f>_xlfn.IFNA(VLOOKUP($AI174,Programma!$F$3:$M$1107,8,0),"")</f>
        <v/>
      </c>
      <c r="AQ174" s="363" t="str">
        <f>_xlfn.IFNA(VLOOKUP($AI174,Programma!$F$3:$N$1107,9,0),"")</f>
        <v/>
      </c>
      <c r="AR174" s="363" t="str">
        <f>_xlfn.IFNA(VLOOKUP($AI174,Programma!$F$3:$O$1107,10,0),"")</f>
        <v/>
      </c>
      <c r="AS174" s="363" t="str">
        <f>_xlfn.IFNA(VLOOKUP($AI174,Programma!$F$3:$P$1107,11,0),"")</f>
        <v/>
      </c>
      <c r="AT174" s="363" t="str">
        <f>_xlfn.IFNA(VLOOKUP($AI174,Programma!$F$3:$Q$1107,12,0),"")</f>
        <v/>
      </c>
      <c r="AU174" s="363" t="str">
        <f>_xlfn.IFNA(VLOOKUP($AI174,Programma!$F$3:$R$1107,13,0),"")</f>
        <v/>
      </c>
      <c r="AV174" s="363" t="str">
        <f>_xlfn.IFNA(VLOOKUP($AI174,Programma!$F$3:$S$1107,14,0),"")</f>
        <v/>
      </c>
      <c r="AW174" s="363" t="str">
        <f>_xlfn.IFNA(VLOOKUP($AI174,Programma!$F$3:$T$1107,15,0),"")</f>
        <v/>
      </c>
      <c r="AX174" s="363" t="str">
        <f>_xlfn.IFNA(VLOOKUP($AI174,Programma!$F$3:$U$1107,16,0),"")</f>
        <v/>
      </c>
      <c r="AY174" s="363" t="str">
        <f>_xlfn.IFNA(VLOOKUP($AI174,Programma!$F$3:$V$1107,17,0),"")</f>
        <v/>
      </c>
      <c r="AZ174" s="363" t="str">
        <f>_xlfn.IFNA(VLOOKUP($AI174,Programma!$F$3:$W$1107,18,0),"")</f>
        <v/>
      </c>
      <c r="BA174" s="363" t="str">
        <f>_xlfn.IFNA(VLOOKUP($AI174,Programma!$F$3:$X$1107,19,0),"")</f>
        <v/>
      </c>
      <c r="BB174" s="363" t="str">
        <f>_xlfn.IFNA(VLOOKUP($AI174,Programma!$F$3:$Y$1107,20,0),"")</f>
        <v/>
      </c>
      <c r="BC174" s="257"/>
      <c r="BD174" s="256" t="str">
        <f>IF(Ruimtestaat[[#This Row],[Frequentie weekend]]="","",_xlfn.CONCAT(Ruimtestaat[[#This Row],[Ruimte code]],"-",Ruimtestaat[[#This Row],[Frequentie weekend]]," ",Ruimtestaat[[#This Row],[Vloer code]]))</f>
        <v/>
      </c>
      <c r="BE174" s="363" t="str">
        <f>_xlfn.IFNA(VLOOKUP($BD174,Programma!$F$3:$G$1107,2,0),"")</f>
        <v/>
      </c>
      <c r="BF174" s="363" t="str">
        <f>_xlfn.IFNA(VLOOKUP($BD174,Programma!$F$3:$H$1107,3,0),"")</f>
        <v/>
      </c>
      <c r="BG174" s="363" t="str">
        <f>_xlfn.IFNA(VLOOKUP($BD174,Programma!$F$3:$I$1107,4,0),"")</f>
        <v/>
      </c>
      <c r="BH174" s="363" t="str">
        <f>_xlfn.IFNA(VLOOKUP($BD174,Programma!$F$3:$J$1107,5,0),"")</f>
        <v/>
      </c>
      <c r="BI174" s="363" t="str">
        <f>_xlfn.IFNA(VLOOKUP($BD174,Programma!$F$3:$K$1107,6,0),"")</f>
        <v/>
      </c>
      <c r="BJ174" s="363" t="str">
        <f>_xlfn.IFNA(VLOOKUP($BD174,Programma!$F$3:$L$1107,7,0),"")</f>
        <v/>
      </c>
      <c r="BK174" s="363" t="str">
        <f>_xlfn.IFNA(VLOOKUP($BD174,Programma!$F$3:$M$1107,8,0),"")</f>
        <v/>
      </c>
      <c r="BL174" s="363" t="str">
        <f>_xlfn.IFNA(VLOOKUP($BD174,Programma!$F$3:$N$1107,9,0),"")</f>
        <v/>
      </c>
      <c r="BM174" s="363" t="str">
        <f>_xlfn.IFNA(VLOOKUP($BD174,Programma!$F$3:$O$1107,10,0),"")</f>
        <v/>
      </c>
      <c r="BN174" s="363" t="str">
        <f>_xlfn.IFNA(VLOOKUP($BD174,Programma!$F$3:$P$1107,11,0),"")</f>
        <v/>
      </c>
      <c r="BO174" s="363" t="str">
        <f>_xlfn.IFNA(VLOOKUP($BD174,Programma!$F$3:$Q$1107,12,0),"")</f>
        <v/>
      </c>
      <c r="BP174" s="363" t="str">
        <f>_xlfn.IFNA(VLOOKUP($BD174,Programma!$F$3:$R$1107,13,0),"")</f>
        <v/>
      </c>
      <c r="BQ174" s="363" t="str">
        <f>_xlfn.IFNA(VLOOKUP($BD174,Programma!$F$3:$S$1107,14,0),"")</f>
        <v/>
      </c>
      <c r="BR174" s="363" t="str">
        <f>_xlfn.IFNA(VLOOKUP($BD174,Programma!$F$3:$T$1107,15,0),"")</f>
        <v/>
      </c>
      <c r="BS174" s="363" t="str">
        <f>_xlfn.IFNA(VLOOKUP($BD174,Programma!$F$3:$U$1107,16,0),"")</f>
        <v/>
      </c>
      <c r="BT174" s="363" t="str">
        <f>_xlfn.IFNA(VLOOKUP($BD174,Programma!$F$3:$V$1107,17,0),"")</f>
        <v/>
      </c>
      <c r="BU174" s="363" t="str">
        <f>_xlfn.IFNA(VLOOKUP($BD174,Programma!$F$3:$W$1107,18,0),"")</f>
        <v/>
      </c>
      <c r="BV174" s="363" t="str">
        <f>_xlfn.IFNA(VLOOKUP($BD174,Programma!$F$3:$X$1107,19,0),"")</f>
        <v/>
      </c>
      <c r="BW174" s="363" t="str">
        <f>_xlfn.IFNA(VLOOKUP($BD174,Programma!$F$3:$Y$1107,20,0),"")</f>
        <v/>
      </c>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row>
    <row r="175" spans="1:220" ht="15" customHeight="1">
      <c r="A175" s="21">
        <v>4</v>
      </c>
      <c r="B175" s="157" t="str">
        <f>VLOOKUP(Ruimtestaat[[#This Row],[Code]],Locaties[[Code]:[Locatie]],2,FALSE)</f>
        <v>Sint-Maartenscollege</v>
      </c>
      <c r="C175" s="157" t="str">
        <f>VLOOKUP(Ruimtestaat[[#This Row],[Code]],Locaties[[#All],[Code]:[Adres]],4,FALSE)</f>
        <v xml:space="preserve">Aart v.d. Leeuwkade 14 </v>
      </c>
      <c r="D175" s="157" t="str">
        <f>VLOOKUP(Ruimtestaat[[#This Row],[Code]],Locaties[[#All],[Code]:[Postcode]],5,FALSE)</f>
        <v>2274 KX</v>
      </c>
      <c r="E175" s="157" t="str">
        <f>VLOOKUP(Ruimtestaat[[#This Row],[Code]],Locaties[#All],6,FALSE)</f>
        <v>Voorburg</v>
      </c>
      <c r="F175" s="33"/>
      <c r="G175" s="33" t="s">
        <v>1859</v>
      </c>
      <c r="H175" s="21">
        <v>-103</v>
      </c>
      <c r="I175" s="62" t="s">
        <v>1860</v>
      </c>
      <c r="J175" s="21">
        <v>20</v>
      </c>
      <c r="K175" s="62" t="str">
        <f>VLOOKUP(Ruimtestaat[[#This Row],[Ruimte code]],Ruimtegroepen[[#All],[Code]:[Ruimte omschrijving]],2,FALSE)</f>
        <v>Niet in Onderhoud</v>
      </c>
      <c r="L175" s="33" t="s">
        <v>102</v>
      </c>
      <c r="M175" s="367" t="s">
        <v>2499</v>
      </c>
      <c r="N175" s="140"/>
      <c r="O175" s="140">
        <v>34</v>
      </c>
      <c r="P175" s="125">
        <f>VLOOKUP(Ruimtestaat[[#This Row],[Ruimte code]],Ruimtegroepen[],4,FALSE)</f>
        <v>0</v>
      </c>
      <c r="Q175" s="125" t="s">
        <v>2534</v>
      </c>
      <c r="R175" s="33"/>
      <c r="S175" s="33"/>
      <c r="T175" s="33">
        <f>IF(R175&gt;0,IF(RIGHT(Ruimtestaat[[#This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5" s="33">
        <f>IF(T175&gt;0,VLOOKUP($J175,Ruimtegroepen[],3,FALSE)*VLOOKUP($L175,Vloersoorten[],3,FALSE)*VLOOKUP($S175,Frequenties[],3,FALSE)*VLOOKUP($A175,Locaties[],3,FALSE),0)</f>
        <v>0</v>
      </c>
      <c r="V175" s="33">
        <f>Ruimtestaat[[#This Row],[Uitvoeringen werkdagen]]*Ruimtestaat[[#This Row],[Oppervlak (netto)]]</f>
        <v>0</v>
      </c>
      <c r="W175" s="154">
        <f>IF(U175&gt;0,Ruimtestaat[[#This Row],[Prest. (m2 /jaar) werkdagen]]/Ruimtestaat[[#This Row],[Norm (m2/uur) werkdagen]],0)</f>
        <v>0</v>
      </c>
      <c r="X175" s="155">
        <f>Ruimtestaat[[#This Row],[uren / jaar werkdagen]]*Tariefsopbouw!$E$35</f>
        <v>0</v>
      </c>
      <c r="Y175" s="33"/>
      <c r="Z175" s="33">
        <f>IF(Ruimtestaat[[#This Row],[Frequentie weekend]]&gt;0,VALUE(LEFT(Y175,1))*R175,0)</f>
        <v>0</v>
      </c>
      <c r="AA175" s="97">
        <f>IF($Z175&gt;0,VLOOKUP($J175,Ruimtegroepen[],3,FALSE)*VLOOKUP($L175,Vloersoorten[],3,FALSE)*VLOOKUP($Y175,Frequenties[],3,FALSE)*VLOOKUP(Ruimtestaat[[#This Row],[Code]],Locaties[],3,FALSE),0)</f>
        <v>0</v>
      </c>
      <c r="AB175" s="97">
        <f>Ruimtestaat[[#This Row],[Uitvoeringen weekend]]*Ruimtestaat[[#This Row],[Oppervlak (netto)]]</f>
        <v>0</v>
      </c>
      <c r="AC175" s="97">
        <f>IF(AA175&gt;0,Ruimtestaat[[#This Row],[Prest. (m2 /jaar) weekend]]/Ruimtestaat[[#This Row],[Norm (m2/uur) weekend]],0)</f>
        <v>0</v>
      </c>
      <c r="AD175" s="155">
        <f>Ruimtestaat[[#This Row],[uren / jaar weekend]]*Tariefsopbouw!$D$40</f>
        <v>0</v>
      </c>
      <c r="AE175" s="154">
        <f>Ruimtestaat[[#This Row],[Prest. (m2 /jaar) weekend]]+Ruimtestaat[[#This Row],[Prest. (m2 /jaar) werkdagen]]</f>
        <v>0</v>
      </c>
      <c r="AF175" s="154">
        <f>Ruimtestaat[[#This Row],[uren / jaar weekend]]+Ruimtestaat[[#This Row],[uren / jaar werkdagen]]</f>
        <v>0</v>
      </c>
      <c r="AG175" s="69">
        <f>Ruimtestaat[[#This Row],[kosten / jaar weekend]]+Ruimtestaat[[#This Row],[kosten / jaar werkdagen]]</f>
        <v>0</v>
      </c>
      <c r="AH175" s="69"/>
      <c r="AI175" s="256" t="str">
        <f>IF(Ruimtestaat[[#This Row],[Frequentie werkdagen]]="","",_xlfn.CONCAT(Ruimtestaat[[#This Row],[Ruimte code]],"-",Ruimtestaat[[#This Row],[Frequentie werkdagen]]," ",Ruimtestaat[[#This Row],[Vloer code]]))</f>
        <v/>
      </c>
      <c r="AJ175" s="363" t="str">
        <f>_xlfn.IFNA(VLOOKUP($AI175,Programma!$F$3:$G$1107,2,0),"")</f>
        <v/>
      </c>
      <c r="AK175" s="363" t="str">
        <f>_xlfn.IFNA(VLOOKUP($AI175,Programma!$F$3:$H$1107,3,0),"")</f>
        <v/>
      </c>
      <c r="AL175" s="363" t="str">
        <f>_xlfn.IFNA(VLOOKUP($AI175,Programma!$F$3:$I$1107,4,0),"")</f>
        <v/>
      </c>
      <c r="AM175" s="363" t="str">
        <f>_xlfn.IFNA(VLOOKUP($AI175,Programma!$F$3:$J$1107,5,0),"")</f>
        <v/>
      </c>
      <c r="AN175" s="363" t="str">
        <f>_xlfn.IFNA(VLOOKUP($AI175,Programma!$F$3:$K$1107,6,0),"")</f>
        <v/>
      </c>
      <c r="AO175" s="363" t="str">
        <f>_xlfn.IFNA(VLOOKUP($AI175,Programma!$F$3:$L$1107,7,0),"")</f>
        <v/>
      </c>
      <c r="AP175" s="363" t="str">
        <f>_xlfn.IFNA(VLOOKUP($AI175,Programma!$F$3:$M$1107,8,0),"")</f>
        <v/>
      </c>
      <c r="AQ175" s="363" t="str">
        <f>_xlfn.IFNA(VLOOKUP($AI175,Programma!$F$3:$N$1107,9,0),"")</f>
        <v/>
      </c>
      <c r="AR175" s="363" t="str">
        <f>_xlfn.IFNA(VLOOKUP($AI175,Programma!$F$3:$O$1107,10,0),"")</f>
        <v/>
      </c>
      <c r="AS175" s="363" t="str">
        <f>_xlfn.IFNA(VLOOKUP($AI175,Programma!$F$3:$P$1107,11,0),"")</f>
        <v/>
      </c>
      <c r="AT175" s="363" t="str">
        <f>_xlfn.IFNA(VLOOKUP($AI175,Programma!$F$3:$Q$1107,12,0),"")</f>
        <v/>
      </c>
      <c r="AU175" s="363" t="str">
        <f>_xlfn.IFNA(VLOOKUP($AI175,Programma!$F$3:$R$1107,13,0),"")</f>
        <v/>
      </c>
      <c r="AV175" s="363" t="str">
        <f>_xlfn.IFNA(VLOOKUP($AI175,Programma!$F$3:$S$1107,14,0),"")</f>
        <v/>
      </c>
      <c r="AW175" s="363" t="str">
        <f>_xlfn.IFNA(VLOOKUP($AI175,Programma!$F$3:$T$1107,15,0),"")</f>
        <v/>
      </c>
      <c r="AX175" s="363" t="str">
        <f>_xlfn.IFNA(VLOOKUP($AI175,Programma!$F$3:$U$1107,16,0),"")</f>
        <v/>
      </c>
      <c r="AY175" s="363" t="str">
        <f>_xlfn.IFNA(VLOOKUP($AI175,Programma!$F$3:$V$1107,17,0),"")</f>
        <v/>
      </c>
      <c r="AZ175" s="363" t="str">
        <f>_xlfn.IFNA(VLOOKUP($AI175,Programma!$F$3:$W$1107,18,0),"")</f>
        <v/>
      </c>
      <c r="BA175" s="363" t="str">
        <f>_xlfn.IFNA(VLOOKUP($AI175,Programma!$F$3:$X$1107,19,0),"")</f>
        <v/>
      </c>
      <c r="BB175" s="363" t="str">
        <f>_xlfn.IFNA(VLOOKUP($AI175,Programma!$F$3:$Y$1107,20,0),"")</f>
        <v/>
      </c>
      <c r="BC175" s="257"/>
      <c r="BD175" s="256" t="str">
        <f>IF(Ruimtestaat[[#This Row],[Frequentie weekend]]="","",_xlfn.CONCAT(Ruimtestaat[[#This Row],[Ruimte code]],"-",Ruimtestaat[[#This Row],[Frequentie weekend]]," ",Ruimtestaat[[#This Row],[Vloer code]]))</f>
        <v/>
      </c>
      <c r="BE175" s="363" t="str">
        <f>_xlfn.IFNA(VLOOKUP($BD175,Programma!$F$3:$G$1107,2,0),"")</f>
        <v/>
      </c>
      <c r="BF175" s="363" t="str">
        <f>_xlfn.IFNA(VLOOKUP($BD175,Programma!$F$3:$H$1107,3,0),"")</f>
        <v/>
      </c>
      <c r="BG175" s="363" t="str">
        <f>_xlfn.IFNA(VLOOKUP($BD175,Programma!$F$3:$I$1107,4,0),"")</f>
        <v/>
      </c>
      <c r="BH175" s="363" t="str">
        <f>_xlfn.IFNA(VLOOKUP($BD175,Programma!$F$3:$J$1107,5,0),"")</f>
        <v/>
      </c>
      <c r="BI175" s="363" t="str">
        <f>_xlfn.IFNA(VLOOKUP($BD175,Programma!$F$3:$K$1107,6,0),"")</f>
        <v/>
      </c>
      <c r="BJ175" s="363" t="str">
        <f>_xlfn.IFNA(VLOOKUP($BD175,Programma!$F$3:$L$1107,7,0),"")</f>
        <v/>
      </c>
      <c r="BK175" s="363" t="str">
        <f>_xlfn.IFNA(VLOOKUP($BD175,Programma!$F$3:$M$1107,8,0),"")</f>
        <v/>
      </c>
      <c r="BL175" s="363" t="str">
        <f>_xlfn.IFNA(VLOOKUP($BD175,Programma!$F$3:$N$1107,9,0),"")</f>
        <v/>
      </c>
      <c r="BM175" s="363" t="str">
        <f>_xlfn.IFNA(VLOOKUP($BD175,Programma!$F$3:$O$1107,10,0),"")</f>
        <v/>
      </c>
      <c r="BN175" s="363" t="str">
        <f>_xlfn.IFNA(VLOOKUP($BD175,Programma!$F$3:$P$1107,11,0),"")</f>
        <v/>
      </c>
      <c r="BO175" s="363" t="str">
        <f>_xlfn.IFNA(VLOOKUP($BD175,Programma!$F$3:$Q$1107,12,0),"")</f>
        <v/>
      </c>
      <c r="BP175" s="363" t="str">
        <f>_xlfn.IFNA(VLOOKUP($BD175,Programma!$F$3:$R$1107,13,0),"")</f>
        <v/>
      </c>
      <c r="BQ175" s="363" t="str">
        <f>_xlfn.IFNA(VLOOKUP($BD175,Programma!$F$3:$S$1107,14,0),"")</f>
        <v/>
      </c>
      <c r="BR175" s="363" t="str">
        <f>_xlfn.IFNA(VLOOKUP($BD175,Programma!$F$3:$T$1107,15,0),"")</f>
        <v/>
      </c>
      <c r="BS175" s="363" t="str">
        <f>_xlfn.IFNA(VLOOKUP($BD175,Programma!$F$3:$U$1107,16,0),"")</f>
        <v/>
      </c>
      <c r="BT175" s="363" t="str">
        <f>_xlfn.IFNA(VLOOKUP($BD175,Programma!$F$3:$V$1107,17,0),"")</f>
        <v/>
      </c>
      <c r="BU175" s="363" t="str">
        <f>_xlfn.IFNA(VLOOKUP($BD175,Programma!$F$3:$W$1107,18,0),"")</f>
        <v/>
      </c>
      <c r="BV175" s="363" t="str">
        <f>_xlfn.IFNA(VLOOKUP($BD175,Programma!$F$3:$X$1107,19,0),"")</f>
        <v/>
      </c>
      <c r="BW175" s="363" t="str">
        <f>_xlfn.IFNA(VLOOKUP($BD175,Programma!$F$3:$Y$1107,20,0),"")</f>
        <v/>
      </c>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row>
    <row r="176" spans="1:220" ht="15" customHeight="1">
      <c r="A176" s="21">
        <v>4</v>
      </c>
      <c r="B176" s="157" t="str">
        <f>VLOOKUP(Ruimtestaat[[#This Row],[Code]],Locaties[[Code]:[Locatie]],2,FALSE)</f>
        <v>Sint-Maartenscollege</v>
      </c>
      <c r="C176" s="157" t="str">
        <f>VLOOKUP(Ruimtestaat[[#This Row],[Code]],Locaties[[#All],[Code]:[Adres]],4,FALSE)</f>
        <v xml:space="preserve">Aart v.d. Leeuwkade 14 </v>
      </c>
      <c r="D176" s="157" t="str">
        <f>VLOOKUP(Ruimtestaat[[#This Row],[Code]],Locaties[[#All],[Code]:[Postcode]],5,FALSE)</f>
        <v>2274 KX</v>
      </c>
      <c r="E176" s="157" t="str">
        <f>VLOOKUP(Ruimtestaat[[#This Row],[Code]],Locaties[#All],6,FALSE)</f>
        <v>Voorburg</v>
      </c>
      <c r="F176" s="33"/>
      <c r="G176" s="33" t="s">
        <v>1859</v>
      </c>
      <c r="H176" s="21">
        <v>-104</v>
      </c>
      <c r="I176" s="62" t="s">
        <v>1861</v>
      </c>
      <c r="J176" s="21">
        <v>20</v>
      </c>
      <c r="K176" s="62" t="str">
        <f>VLOOKUP(Ruimtestaat[[#This Row],[Ruimte code]],Ruimtegroepen[[#All],[Code]:[Ruimte omschrijving]],2,FALSE)</f>
        <v>Niet in Onderhoud</v>
      </c>
      <c r="L176" s="33" t="s">
        <v>102</v>
      </c>
      <c r="M176" s="367" t="s">
        <v>2502</v>
      </c>
      <c r="N176" s="140"/>
      <c r="O176" s="140">
        <v>175</v>
      </c>
      <c r="P176" s="125">
        <f>VLOOKUP(Ruimtestaat[[#This Row],[Ruimte code]],Ruimtegroepen[],4,FALSE)</f>
        <v>0</v>
      </c>
      <c r="Q176" s="125" t="s">
        <v>2535</v>
      </c>
      <c r="R176" s="33"/>
      <c r="S176" s="33"/>
      <c r="T176" s="33">
        <f>IF(R176&gt;0,IF(RIGHT(Ruimtestaat[[#This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6" s="33">
        <f>IF(T176&gt;0,VLOOKUP($J176,Ruimtegroepen[],3,FALSE)*VLOOKUP($L176,Vloersoorten[],3,FALSE)*VLOOKUP($S176,Frequenties[],3,FALSE)*VLOOKUP($A176,Locaties[],3,FALSE),0)</f>
        <v>0</v>
      </c>
      <c r="V176" s="33">
        <f>Ruimtestaat[[#This Row],[Uitvoeringen werkdagen]]*Ruimtestaat[[#This Row],[Oppervlak (netto)]]</f>
        <v>0</v>
      </c>
      <c r="W176" s="154">
        <f>IF(U176&gt;0,Ruimtestaat[[#This Row],[Prest. (m2 /jaar) werkdagen]]/Ruimtestaat[[#This Row],[Norm (m2/uur) werkdagen]],0)</f>
        <v>0</v>
      </c>
      <c r="X176" s="155">
        <f>Ruimtestaat[[#This Row],[uren / jaar werkdagen]]*Tariefsopbouw!$E$35</f>
        <v>0</v>
      </c>
      <c r="Y176" s="33"/>
      <c r="Z176" s="33">
        <f>IF(Ruimtestaat[[#This Row],[Frequentie weekend]]&gt;0,VALUE(LEFT(Y176,1))*R176,0)</f>
        <v>0</v>
      </c>
      <c r="AA176" s="97">
        <f>IF($Z176&gt;0,VLOOKUP($J176,Ruimtegroepen[],3,FALSE)*VLOOKUP($L176,Vloersoorten[],3,FALSE)*VLOOKUP($Y176,Frequenties[],3,FALSE)*VLOOKUP(Ruimtestaat[[#This Row],[Code]],Locaties[],3,FALSE),0)</f>
        <v>0</v>
      </c>
      <c r="AB176" s="97">
        <f>Ruimtestaat[[#This Row],[Uitvoeringen weekend]]*Ruimtestaat[[#This Row],[Oppervlak (netto)]]</f>
        <v>0</v>
      </c>
      <c r="AC176" s="97">
        <f>IF(AA176&gt;0,Ruimtestaat[[#This Row],[Prest. (m2 /jaar) weekend]]/Ruimtestaat[[#This Row],[Norm (m2/uur) weekend]],0)</f>
        <v>0</v>
      </c>
      <c r="AD176" s="155">
        <f>Ruimtestaat[[#This Row],[uren / jaar weekend]]*Tariefsopbouw!$D$40</f>
        <v>0</v>
      </c>
      <c r="AE176" s="154">
        <f>Ruimtestaat[[#This Row],[Prest. (m2 /jaar) weekend]]+Ruimtestaat[[#This Row],[Prest. (m2 /jaar) werkdagen]]</f>
        <v>0</v>
      </c>
      <c r="AF176" s="154">
        <f>Ruimtestaat[[#This Row],[uren / jaar weekend]]+Ruimtestaat[[#This Row],[uren / jaar werkdagen]]</f>
        <v>0</v>
      </c>
      <c r="AG176" s="69">
        <f>Ruimtestaat[[#This Row],[kosten / jaar weekend]]+Ruimtestaat[[#This Row],[kosten / jaar werkdagen]]</f>
        <v>0</v>
      </c>
      <c r="AH176" s="69"/>
      <c r="AI176" s="256" t="str">
        <f>IF(Ruimtestaat[[#This Row],[Frequentie werkdagen]]="","",_xlfn.CONCAT(Ruimtestaat[[#This Row],[Ruimte code]],"-",Ruimtestaat[[#This Row],[Frequentie werkdagen]]," ",Ruimtestaat[[#This Row],[Vloer code]]))</f>
        <v/>
      </c>
      <c r="AJ176" s="363" t="str">
        <f>_xlfn.IFNA(VLOOKUP($AI176,Programma!$F$3:$G$1107,2,0),"")</f>
        <v/>
      </c>
      <c r="AK176" s="363" t="str">
        <f>_xlfn.IFNA(VLOOKUP($AI176,Programma!$F$3:$H$1107,3,0),"")</f>
        <v/>
      </c>
      <c r="AL176" s="363" t="str">
        <f>_xlfn.IFNA(VLOOKUP($AI176,Programma!$F$3:$I$1107,4,0),"")</f>
        <v/>
      </c>
      <c r="AM176" s="363" t="str">
        <f>_xlfn.IFNA(VLOOKUP($AI176,Programma!$F$3:$J$1107,5,0),"")</f>
        <v/>
      </c>
      <c r="AN176" s="363" t="str">
        <f>_xlfn.IFNA(VLOOKUP($AI176,Programma!$F$3:$K$1107,6,0),"")</f>
        <v/>
      </c>
      <c r="AO176" s="363" t="str">
        <f>_xlfn.IFNA(VLOOKUP($AI176,Programma!$F$3:$L$1107,7,0),"")</f>
        <v/>
      </c>
      <c r="AP176" s="363" t="str">
        <f>_xlfn.IFNA(VLOOKUP($AI176,Programma!$F$3:$M$1107,8,0),"")</f>
        <v/>
      </c>
      <c r="AQ176" s="363" t="str">
        <f>_xlfn.IFNA(VLOOKUP($AI176,Programma!$F$3:$N$1107,9,0),"")</f>
        <v/>
      </c>
      <c r="AR176" s="363" t="str">
        <f>_xlfn.IFNA(VLOOKUP($AI176,Programma!$F$3:$O$1107,10,0),"")</f>
        <v/>
      </c>
      <c r="AS176" s="363" t="str">
        <f>_xlfn.IFNA(VLOOKUP($AI176,Programma!$F$3:$P$1107,11,0),"")</f>
        <v/>
      </c>
      <c r="AT176" s="363" t="str">
        <f>_xlfn.IFNA(VLOOKUP($AI176,Programma!$F$3:$Q$1107,12,0),"")</f>
        <v/>
      </c>
      <c r="AU176" s="363" t="str">
        <f>_xlfn.IFNA(VLOOKUP($AI176,Programma!$F$3:$R$1107,13,0),"")</f>
        <v/>
      </c>
      <c r="AV176" s="363" t="str">
        <f>_xlfn.IFNA(VLOOKUP($AI176,Programma!$F$3:$S$1107,14,0),"")</f>
        <v/>
      </c>
      <c r="AW176" s="363" t="str">
        <f>_xlfn.IFNA(VLOOKUP($AI176,Programma!$F$3:$T$1107,15,0),"")</f>
        <v/>
      </c>
      <c r="AX176" s="363" t="str">
        <f>_xlfn.IFNA(VLOOKUP($AI176,Programma!$F$3:$U$1107,16,0),"")</f>
        <v/>
      </c>
      <c r="AY176" s="363" t="str">
        <f>_xlfn.IFNA(VLOOKUP($AI176,Programma!$F$3:$V$1107,17,0),"")</f>
        <v/>
      </c>
      <c r="AZ176" s="363" t="str">
        <f>_xlfn.IFNA(VLOOKUP($AI176,Programma!$F$3:$W$1107,18,0),"")</f>
        <v/>
      </c>
      <c r="BA176" s="363" t="str">
        <f>_xlfn.IFNA(VLOOKUP($AI176,Programma!$F$3:$X$1107,19,0),"")</f>
        <v/>
      </c>
      <c r="BB176" s="363" t="str">
        <f>_xlfn.IFNA(VLOOKUP($AI176,Programma!$F$3:$Y$1107,20,0),"")</f>
        <v/>
      </c>
      <c r="BC176" s="257"/>
      <c r="BD176" s="256" t="str">
        <f>IF(Ruimtestaat[[#This Row],[Frequentie weekend]]="","",_xlfn.CONCAT(Ruimtestaat[[#This Row],[Ruimte code]],"-",Ruimtestaat[[#This Row],[Frequentie weekend]]," ",Ruimtestaat[[#This Row],[Vloer code]]))</f>
        <v/>
      </c>
      <c r="BE176" s="363" t="str">
        <f>_xlfn.IFNA(VLOOKUP($BD176,Programma!$F$3:$G$1107,2,0),"")</f>
        <v/>
      </c>
      <c r="BF176" s="363" t="str">
        <f>_xlfn.IFNA(VLOOKUP($BD176,Programma!$F$3:$H$1107,3,0),"")</f>
        <v/>
      </c>
      <c r="BG176" s="363" t="str">
        <f>_xlfn.IFNA(VLOOKUP($BD176,Programma!$F$3:$I$1107,4,0),"")</f>
        <v/>
      </c>
      <c r="BH176" s="363" t="str">
        <f>_xlfn.IFNA(VLOOKUP($BD176,Programma!$F$3:$J$1107,5,0),"")</f>
        <v/>
      </c>
      <c r="BI176" s="363" t="str">
        <f>_xlfn.IFNA(VLOOKUP($BD176,Programma!$F$3:$K$1107,6,0),"")</f>
        <v/>
      </c>
      <c r="BJ176" s="363" t="str">
        <f>_xlfn.IFNA(VLOOKUP($BD176,Programma!$F$3:$L$1107,7,0),"")</f>
        <v/>
      </c>
      <c r="BK176" s="363" t="str">
        <f>_xlfn.IFNA(VLOOKUP($BD176,Programma!$F$3:$M$1107,8,0),"")</f>
        <v/>
      </c>
      <c r="BL176" s="363" t="str">
        <f>_xlfn.IFNA(VLOOKUP($BD176,Programma!$F$3:$N$1107,9,0),"")</f>
        <v/>
      </c>
      <c r="BM176" s="363" t="str">
        <f>_xlfn.IFNA(VLOOKUP($BD176,Programma!$F$3:$O$1107,10,0),"")</f>
        <v/>
      </c>
      <c r="BN176" s="363" t="str">
        <f>_xlfn.IFNA(VLOOKUP($BD176,Programma!$F$3:$P$1107,11,0),"")</f>
        <v/>
      </c>
      <c r="BO176" s="363" t="str">
        <f>_xlfn.IFNA(VLOOKUP($BD176,Programma!$F$3:$Q$1107,12,0),"")</f>
        <v/>
      </c>
      <c r="BP176" s="363" t="str">
        <f>_xlfn.IFNA(VLOOKUP($BD176,Programma!$F$3:$R$1107,13,0),"")</f>
        <v/>
      </c>
      <c r="BQ176" s="363" t="str">
        <f>_xlfn.IFNA(VLOOKUP($BD176,Programma!$F$3:$S$1107,14,0),"")</f>
        <v/>
      </c>
      <c r="BR176" s="363" t="str">
        <f>_xlfn.IFNA(VLOOKUP($BD176,Programma!$F$3:$T$1107,15,0),"")</f>
        <v/>
      </c>
      <c r="BS176" s="363" t="str">
        <f>_xlfn.IFNA(VLOOKUP($BD176,Programma!$F$3:$U$1107,16,0),"")</f>
        <v/>
      </c>
      <c r="BT176" s="363" t="str">
        <f>_xlfn.IFNA(VLOOKUP($BD176,Programma!$F$3:$V$1107,17,0),"")</f>
        <v/>
      </c>
      <c r="BU176" s="363" t="str">
        <f>_xlfn.IFNA(VLOOKUP($BD176,Programma!$F$3:$W$1107,18,0),"")</f>
        <v/>
      </c>
      <c r="BV176" s="363" t="str">
        <f>_xlfn.IFNA(VLOOKUP($BD176,Programma!$F$3:$X$1107,19,0),"")</f>
        <v/>
      </c>
      <c r="BW176" s="363" t="str">
        <f>_xlfn.IFNA(VLOOKUP($BD176,Programma!$F$3:$Y$1107,20,0),"")</f>
        <v/>
      </c>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row>
    <row r="177" spans="1:220" ht="15" customHeight="1">
      <c r="A177" s="21">
        <v>4</v>
      </c>
      <c r="B177" s="157" t="str">
        <f>VLOOKUP(Ruimtestaat[[#This Row],[Code]],Locaties[[Code]:[Locatie]],2,FALSE)</f>
        <v>Sint-Maartenscollege</v>
      </c>
      <c r="C177" s="157" t="str">
        <f>VLOOKUP(Ruimtestaat[[#This Row],[Code]],Locaties[[#All],[Code]:[Adres]],4,FALSE)</f>
        <v xml:space="preserve">Aart v.d. Leeuwkade 14 </v>
      </c>
      <c r="D177" s="157" t="str">
        <f>VLOOKUP(Ruimtestaat[[#This Row],[Code]],Locaties[[#All],[Code]:[Postcode]],5,FALSE)</f>
        <v>2274 KX</v>
      </c>
      <c r="E177" s="157" t="str">
        <f>VLOOKUP(Ruimtestaat[[#This Row],[Code]],Locaties[#All],6,FALSE)</f>
        <v>Voorburg</v>
      </c>
      <c r="F177" s="33"/>
      <c r="G177" s="33" t="s">
        <v>1632</v>
      </c>
      <c r="H177" s="21">
        <v>1</v>
      </c>
      <c r="I177" s="62" t="s">
        <v>1862</v>
      </c>
      <c r="J177" s="21">
        <v>7</v>
      </c>
      <c r="K177" s="62" t="str">
        <f>VLOOKUP(Ruimtestaat[[#This Row],[Ruimte code]],Ruimtegroepen[[#All],[Code]:[Ruimte omschrijving]],2,FALSE)</f>
        <v>Entree</v>
      </c>
      <c r="L177" s="33" t="s">
        <v>100</v>
      </c>
      <c r="M177" s="367" t="s">
        <v>2493</v>
      </c>
      <c r="N177" s="140">
        <v>13</v>
      </c>
      <c r="O177" s="140"/>
      <c r="P177" s="125" t="str">
        <f>VLOOKUP(Ruimtestaat[[#This Row],[Ruimte code]],Ruimtegroepen[],4,FALSE)</f>
        <v>Ve</v>
      </c>
      <c r="R177" s="33">
        <v>40</v>
      </c>
      <c r="S177" s="33" t="s">
        <v>2</v>
      </c>
      <c r="T177" s="33">
        <f>IF(R177&gt;0,IF(RIGHT(Ruimtestaat[[#This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7" s="33">
        <f>IF(T177&gt;0,VLOOKUP($J177,Ruimtegroepen[],3,FALSE)*VLOOKUP($L177,Vloersoorten[],3,FALSE)*VLOOKUP($S177,Frequenties[],3,FALSE)*VLOOKUP($A177,Locaties[],3,FALSE),0)</f>
        <v>0</v>
      </c>
      <c r="V177" s="33">
        <f>Ruimtestaat[[#This Row],[Uitvoeringen werkdagen]]*Ruimtestaat[[#This Row],[Oppervlak (netto)]]</f>
        <v>2600</v>
      </c>
      <c r="W177" s="154">
        <f>IF(U177&gt;0,Ruimtestaat[[#This Row],[Prest. (m2 /jaar) werkdagen]]/Ruimtestaat[[#This Row],[Norm (m2/uur) werkdagen]],0)</f>
        <v>0</v>
      </c>
      <c r="X177" s="155">
        <f>Ruimtestaat[[#This Row],[uren / jaar werkdagen]]*Tariefsopbouw!$E$35</f>
        <v>0</v>
      </c>
      <c r="Y177" s="33"/>
      <c r="Z177" s="33">
        <f>IF(Ruimtestaat[[#This Row],[Frequentie weekend]]&gt;0,VALUE(LEFT(Y177,1))*R177,0)</f>
        <v>0</v>
      </c>
      <c r="AA177" s="97">
        <f>IF($Z177&gt;0,VLOOKUP($J177,Ruimtegroepen[],3,FALSE)*VLOOKUP($L177,Vloersoorten[],3,FALSE)*VLOOKUP($Y177,Frequenties[],3,FALSE)*VLOOKUP(Ruimtestaat[[#This Row],[Code]],Locaties[],3,FALSE),0)</f>
        <v>0</v>
      </c>
      <c r="AB177" s="97">
        <f>Ruimtestaat[[#This Row],[Uitvoeringen weekend]]*Ruimtestaat[[#This Row],[Oppervlak (netto)]]</f>
        <v>0</v>
      </c>
      <c r="AC177" s="97">
        <f>IF(AA177&gt;0,Ruimtestaat[[#This Row],[Prest. (m2 /jaar) weekend]]/Ruimtestaat[[#This Row],[Norm (m2/uur) weekend]],0)</f>
        <v>0</v>
      </c>
      <c r="AD177" s="155">
        <f>Ruimtestaat[[#This Row],[uren / jaar weekend]]*Tariefsopbouw!$D$40</f>
        <v>0</v>
      </c>
      <c r="AE177" s="154">
        <f>Ruimtestaat[[#This Row],[Prest. (m2 /jaar) weekend]]+Ruimtestaat[[#This Row],[Prest. (m2 /jaar) werkdagen]]</f>
        <v>2600</v>
      </c>
      <c r="AF177" s="154">
        <f>Ruimtestaat[[#This Row],[uren / jaar weekend]]+Ruimtestaat[[#This Row],[uren / jaar werkdagen]]</f>
        <v>0</v>
      </c>
      <c r="AG177" s="69">
        <f>Ruimtestaat[[#This Row],[kosten / jaar weekend]]+Ruimtestaat[[#This Row],[kosten / jaar werkdagen]]</f>
        <v>0</v>
      </c>
      <c r="AH177" s="69"/>
      <c r="AI177" s="256" t="str">
        <f>IF(Ruimtestaat[[#This Row],[Frequentie werkdagen]]="","",_xlfn.CONCAT(Ruimtestaat[[#This Row],[Ruimte code]],"-",Ruimtestaat[[#This Row],[Frequentie werkdagen]]," ",Ruimtestaat[[#This Row],[Vloer code]]))</f>
        <v>7-5w T</v>
      </c>
      <c r="AJ177" s="363" t="str">
        <f>_xlfn.IFNA(VLOOKUP($AI177,Programma!$F$3:$G$1107,2,0),"")</f>
        <v>_</v>
      </c>
      <c r="AK177" s="363" t="str">
        <f>_xlfn.IFNA(VLOOKUP($AI177,Programma!$F$3:$H$1107,3,0),"")</f>
        <v>5w</v>
      </c>
      <c r="AL177" s="363" t="str">
        <f>_xlfn.IFNA(VLOOKUP($AI177,Programma!$F$3:$I$1107,4,0),"")</f>
        <v>_</v>
      </c>
      <c r="AM177" s="363" t="str">
        <f>_xlfn.IFNA(VLOOKUP($AI177,Programma!$F$3:$J$1107,5,0),"")</f>
        <v>_</v>
      </c>
      <c r="AN177" s="363" t="str">
        <f>_xlfn.IFNA(VLOOKUP($AI177,Programma!$F$3:$K$1107,6,0),"")</f>
        <v>_</v>
      </c>
      <c r="AO177" s="363" t="str">
        <f>_xlfn.IFNA(VLOOKUP($AI177,Programma!$F$3:$L$1107,7,0),"")</f>
        <v>_</v>
      </c>
      <c r="AP177" s="363" t="str">
        <f>_xlfn.IFNA(VLOOKUP($AI177,Programma!$F$3:$M$1107,8,0),"")</f>
        <v>_</v>
      </c>
      <c r="AQ177" s="363" t="str">
        <f>_xlfn.IFNA(VLOOKUP($AI177,Programma!$F$3:$N$1107,9,0),"")</f>
        <v>_</v>
      </c>
      <c r="AR177" s="363" t="str">
        <f>_xlfn.IFNA(VLOOKUP($AI177,Programma!$F$3:$O$1107,10,0),"")</f>
        <v>5w</v>
      </c>
      <c r="AS177" s="363" t="str">
        <f>_xlfn.IFNA(VLOOKUP($AI177,Programma!$F$3:$P$1107,11,0),"")</f>
        <v>5w</v>
      </c>
      <c r="AT177" s="363" t="str">
        <f>_xlfn.IFNA(VLOOKUP($AI177,Programma!$F$3:$Q$1107,12,0),"")</f>
        <v>1w</v>
      </c>
      <c r="AU177" s="363" t="str">
        <f>_xlfn.IFNA(VLOOKUP($AI177,Programma!$F$3:$R$1107,13,0),"")</f>
        <v>1w</v>
      </c>
      <c r="AV177" s="363" t="str">
        <f>_xlfn.IFNA(VLOOKUP($AI177,Programma!$F$3:$S$1107,14,0),"")</f>
        <v>1m</v>
      </c>
      <c r="AW177" s="363" t="str">
        <f>_xlfn.IFNA(VLOOKUP($AI177,Programma!$F$3:$T$1107,15,0),"")</f>
        <v>2j</v>
      </c>
      <c r="AX177" s="363" t="str">
        <f>_xlfn.IFNA(VLOOKUP($AI177,Programma!$F$3:$U$1107,16,0),"")</f>
        <v>1j</v>
      </c>
      <c r="AY177" s="363" t="str">
        <f>_xlfn.IFNA(VLOOKUP($AI177,Programma!$F$3:$V$1107,17,0),"")</f>
        <v>_</v>
      </c>
      <c r="AZ177" s="363" t="str">
        <f>_xlfn.IFNA(VLOOKUP($AI177,Programma!$F$3:$W$1107,18,0),"")</f>
        <v>_</v>
      </c>
      <c r="BA177" s="363" t="str">
        <f>_xlfn.IFNA(VLOOKUP($AI177,Programma!$F$3:$X$1107,19,0),"")</f>
        <v>_</v>
      </c>
      <c r="BB177" s="363" t="str">
        <f>_xlfn.IFNA(VLOOKUP($AI177,Programma!$F$3:$Y$1107,20,0),"")</f>
        <v>_</v>
      </c>
      <c r="BC177" s="257"/>
      <c r="BD177" s="256" t="str">
        <f>IF(Ruimtestaat[[#This Row],[Frequentie weekend]]="","",_xlfn.CONCAT(Ruimtestaat[[#This Row],[Ruimte code]],"-",Ruimtestaat[[#This Row],[Frequentie weekend]]," ",Ruimtestaat[[#This Row],[Vloer code]]))</f>
        <v/>
      </c>
      <c r="BE177" s="363" t="str">
        <f>_xlfn.IFNA(VLOOKUP($BD177,Programma!$F$3:$G$1107,2,0),"")</f>
        <v/>
      </c>
      <c r="BF177" s="363" t="str">
        <f>_xlfn.IFNA(VLOOKUP($BD177,Programma!$F$3:$H$1107,3,0),"")</f>
        <v/>
      </c>
      <c r="BG177" s="363" t="str">
        <f>_xlfn.IFNA(VLOOKUP($BD177,Programma!$F$3:$I$1107,4,0),"")</f>
        <v/>
      </c>
      <c r="BH177" s="363" t="str">
        <f>_xlfn.IFNA(VLOOKUP($BD177,Programma!$F$3:$J$1107,5,0),"")</f>
        <v/>
      </c>
      <c r="BI177" s="363" t="str">
        <f>_xlfn.IFNA(VLOOKUP($BD177,Programma!$F$3:$K$1107,6,0),"")</f>
        <v/>
      </c>
      <c r="BJ177" s="363" t="str">
        <f>_xlfn.IFNA(VLOOKUP($BD177,Programma!$F$3:$L$1107,7,0),"")</f>
        <v/>
      </c>
      <c r="BK177" s="363" t="str">
        <f>_xlfn.IFNA(VLOOKUP($BD177,Programma!$F$3:$M$1107,8,0),"")</f>
        <v/>
      </c>
      <c r="BL177" s="363" t="str">
        <f>_xlfn.IFNA(VLOOKUP($BD177,Programma!$F$3:$N$1107,9,0),"")</f>
        <v/>
      </c>
      <c r="BM177" s="363" t="str">
        <f>_xlfn.IFNA(VLOOKUP($BD177,Programma!$F$3:$O$1107,10,0),"")</f>
        <v/>
      </c>
      <c r="BN177" s="363" t="str">
        <f>_xlfn.IFNA(VLOOKUP($BD177,Programma!$F$3:$P$1107,11,0),"")</f>
        <v/>
      </c>
      <c r="BO177" s="363" t="str">
        <f>_xlfn.IFNA(VLOOKUP($BD177,Programma!$F$3:$Q$1107,12,0),"")</f>
        <v/>
      </c>
      <c r="BP177" s="363" t="str">
        <f>_xlfn.IFNA(VLOOKUP($BD177,Programma!$F$3:$R$1107,13,0),"")</f>
        <v/>
      </c>
      <c r="BQ177" s="363" t="str">
        <f>_xlfn.IFNA(VLOOKUP($BD177,Programma!$F$3:$S$1107,14,0),"")</f>
        <v/>
      </c>
      <c r="BR177" s="363" t="str">
        <f>_xlfn.IFNA(VLOOKUP($BD177,Programma!$F$3:$T$1107,15,0),"")</f>
        <v/>
      </c>
      <c r="BS177" s="363" t="str">
        <f>_xlfn.IFNA(VLOOKUP($BD177,Programma!$F$3:$U$1107,16,0),"")</f>
        <v/>
      </c>
      <c r="BT177" s="363" t="str">
        <f>_xlfn.IFNA(VLOOKUP($BD177,Programma!$F$3:$V$1107,17,0),"")</f>
        <v/>
      </c>
      <c r="BU177" s="363" t="str">
        <f>_xlfn.IFNA(VLOOKUP($BD177,Programma!$F$3:$W$1107,18,0),"")</f>
        <v/>
      </c>
      <c r="BV177" s="363" t="str">
        <f>_xlfn.IFNA(VLOOKUP($BD177,Programma!$F$3:$X$1107,19,0),"")</f>
        <v/>
      </c>
      <c r="BW177" s="363" t="str">
        <f>_xlfn.IFNA(VLOOKUP($BD177,Programma!$F$3:$Y$1107,20,0),"")</f>
        <v/>
      </c>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row>
    <row r="178" spans="1:220" ht="15" customHeight="1">
      <c r="A178" s="21">
        <v>4</v>
      </c>
      <c r="B178" s="157" t="str">
        <f>VLOOKUP(Ruimtestaat[[#This Row],[Code]],Locaties[[Code]:[Locatie]],2,FALSE)</f>
        <v>Sint-Maartenscollege</v>
      </c>
      <c r="C178" s="157" t="str">
        <f>VLOOKUP(Ruimtestaat[[#This Row],[Code]],Locaties[[#All],[Code]:[Adres]],4,FALSE)</f>
        <v xml:space="preserve">Aart v.d. Leeuwkade 14 </v>
      </c>
      <c r="D178" s="157" t="str">
        <f>VLOOKUP(Ruimtestaat[[#This Row],[Code]],Locaties[[#All],[Code]:[Postcode]],5,FALSE)</f>
        <v>2274 KX</v>
      </c>
      <c r="E178" s="157" t="str">
        <f>VLOOKUP(Ruimtestaat[[#This Row],[Code]],Locaties[#All],6,FALSE)</f>
        <v>Voorburg</v>
      </c>
      <c r="F178" s="33"/>
      <c r="G178" s="33" t="s">
        <v>1632</v>
      </c>
      <c r="H178" s="21">
        <v>2</v>
      </c>
      <c r="I178" s="62" t="s">
        <v>1863</v>
      </c>
      <c r="J178" s="21">
        <v>2</v>
      </c>
      <c r="K178" s="62" t="str">
        <f>VLOOKUP(Ruimtestaat[[#This Row],[Ruimte code]],Ruimtegroepen[[#All],[Code]:[Ruimte omschrijving]],2,FALSE)</f>
        <v>Kantoren</v>
      </c>
      <c r="L178" s="33" t="s">
        <v>101</v>
      </c>
      <c r="M178" s="367" t="s">
        <v>2495</v>
      </c>
      <c r="N178" s="140">
        <v>32</v>
      </c>
      <c r="O178" s="140"/>
      <c r="P178" s="125" t="str">
        <f>VLOOKUP(Ruimtestaat[[#This Row],[Ruimte code]],Ruimtegroepen[],4,FALSE)</f>
        <v>Bu</v>
      </c>
      <c r="R178" s="33">
        <v>42</v>
      </c>
      <c r="S178" s="33" t="s">
        <v>18</v>
      </c>
      <c r="T178" s="33">
        <f>IF(R178&gt;0,IF(RIGHT(Ruimtestaat[[#This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78" s="33">
        <f>IF(T178&gt;0,VLOOKUP($J178,Ruimtegroepen[],3,FALSE)*VLOOKUP($L178,Vloersoorten[],3,FALSE)*VLOOKUP($S178,Frequenties[],3,FALSE)*VLOOKUP($A178,Locaties[],3,FALSE),0)</f>
        <v>0</v>
      </c>
      <c r="V178" s="33">
        <f>Ruimtestaat[[#This Row],[Uitvoeringen werkdagen]]*Ruimtestaat[[#This Row],[Oppervlak (netto)]]</f>
        <v>4032</v>
      </c>
      <c r="W178" s="154">
        <f>IF(U178&gt;0,Ruimtestaat[[#This Row],[Prest. (m2 /jaar) werkdagen]]/Ruimtestaat[[#This Row],[Norm (m2/uur) werkdagen]],0)</f>
        <v>0</v>
      </c>
      <c r="X178" s="155">
        <f>Ruimtestaat[[#This Row],[uren / jaar werkdagen]]*Tariefsopbouw!$E$35</f>
        <v>0</v>
      </c>
      <c r="Y178" s="33"/>
      <c r="Z178" s="33">
        <f>IF(Ruimtestaat[[#This Row],[Frequentie weekend]]&gt;0,VALUE(LEFT(Y178,1))*R178,0)</f>
        <v>0</v>
      </c>
      <c r="AA178" s="97">
        <f>IF($Z178&gt;0,VLOOKUP($J178,Ruimtegroepen[],3,FALSE)*VLOOKUP($L178,Vloersoorten[],3,FALSE)*VLOOKUP($Y178,Frequenties[],3,FALSE)*VLOOKUP(Ruimtestaat[[#This Row],[Code]],Locaties[],3,FALSE),0)</f>
        <v>0</v>
      </c>
      <c r="AB178" s="97">
        <f>Ruimtestaat[[#This Row],[Uitvoeringen weekend]]*Ruimtestaat[[#This Row],[Oppervlak (netto)]]</f>
        <v>0</v>
      </c>
      <c r="AC178" s="97">
        <f>IF(AA178&gt;0,Ruimtestaat[[#This Row],[Prest. (m2 /jaar) weekend]]/Ruimtestaat[[#This Row],[Norm (m2/uur) weekend]],0)</f>
        <v>0</v>
      </c>
      <c r="AD178" s="155">
        <f>Ruimtestaat[[#This Row],[uren / jaar weekend]]*Tariefsopbouw!$D$40</f>
        <v>0</v>
      </c>
      <c r="AE178" s="154">
        <f>Ruimtestaat[[#This Row],[Prest. (m2 /jaar) weekend]]+Ruimtestaat[[#This Row],[Prest. (m2 /jaar) werkdagen]]</f>
        <v>4032</v>
      </c>
      <c r="AF178" s="154">
        <f>Ruimtestaat[[#This Row],[uren / jaar weekend]]+Ruimtestaat[[#This Row],[uren / jaar werkdagen]]</f>
        <v>0</v>
      </c>
      <c r="AG178" s="69">
        <f>Ruimtestaat[[#This Row],[kosten / jaar weekend]]+Ruimtestaat[[#This Row],[kosten / jaar werkdagen]]</f>
        <v>0</v>
      </c>
      <c r="AH178" s="69"/>
      <c r="AI178" s="256" t="str">
        <f>IF(Ruimtestaat[[#This Row],[Frequentie werkdagen]]="","",_xlfn.CONCAT(Ruimtestaat[[#This Row],[Ruimte code]],"-",Ruimtestaat[[#This Row],[Frequentie werkdagen]]," ",Ruimtestaat[[#This Row],[Vloer code]]))</f>
        <v>2-3w L</v>
      </c>
      <c r="AJ178" s="363" t="str">
        <f>_xlfn.IFNA(VLOOKUP($AI178,Programma!$F$3:$G$1107,2,0),"")</f>
        <v>_</v>
      </c>
      <c r="AK178" s="363" t="str">
        <f>_xlfn.IFNA(VLOOKUP($AI178,Programma!$F$3:$H$1107,3,0),"")</f>
        <v>_</v>
      </c>
      <c r="AL178" s="363" t="str">
        <f>_xlfn.IFNA(VLOOKUP($AI178,Programma!$F$3:$I$1107,4,0),"")</f>
        <v>2w</v>
      </c>
      <c r="AM178" s="363" t="str">
        <f>_xlfn.IFNA(VLOOKUP($AI178,Programma!$F$3:$J$1107,5,0),"")</f>
        <v>1w</v>
      </c>
      <c r="AN178" s="363" t="str">
        <f>_xlfn.IFNA(VLOOKUP($AI178,Programma!$F$3:$K$1107,6,0),"")</f>
        <v>_</v>
      </c>
      <c r="AO178" s="363" t="str">
        <f>_xlfn.IFNA(VLOOKUP($AI178,Programma!$F$3:$L$1107,7,0),"")</f>
        <v>_</v>
      </c>
      <c r="AP178" s="363" t="str">
        <f>_xlfn.IFNA(VLOOKUP($AI178,Programma!$F$3:$M$1107,8,0),"")</f>
        <v>_</v>
      </c>
      <c r="AQ178" s="363" t="str">
        <f>_xlfn.IFNA(VLOOKUP($AI178,Programma!$F$3:$N$1107,9,0),"")</f>
        <v>_</v>
      </c>
      <c r="AR178" s="363" t="str">
        <f>_xlfn.IFNA(VLOOKUP($AI178,Programma!$F$3:$O$1107,10,0),"")</f>
        <v>3w</v>
      </c>
      <c r="AS178" s="363" t="str">
        <f>_xlfn.IFNA(VLOOKUP($AI178,Programma!$F$3:$P$1107,11,0),"")</f>
        <v>3w</v>
      </c>
      <c r="AT178" s="363" t="str">
        <f>_xlfn.IFNA(VLOOKUP($AI178,Programma!$F$3:$Q$1107,12,0),"")</f>
        <v>1w</v>
      </c>
      <c r="AU178" s="363" t="str">
        <f>_xlfn.IFNA(VLOOKUP($AI178,Programma!$F$3:$R$1107,13,0),"")</f>
        <v>1w</v>
      </c>
      <c r="AV178" s="363" t="str">
        <f>_xlfn.IFNA(VLOOKUP($AI178,Programma!$F$3:$S$1107,14,0),"")</f>
        <v>1m</v>
      </c>
      <c r="AW178" s="363" t="str">
        <f>_xlfn.IFNA(VLOOKUP($AI178,Programma!$F$3:$T$1107,15,0),"")</f>
        <v>2j</v>
      </c>
      <c r="AX178" s="363" t="str">
        <f>_xlfn.IFNA(VLOOKUP($AI178,Programma!$F$3:$U$1107,16,0),"")</f>
        <v>1j</v>
      </c>
      <c r="AY178" s="363" t="str">
        <f>_xlfn.IFNA(VLOOKUP($AI178,Programma!$F$3:$V$1107,17,0),"")</f>
        <v>_</v>
      </c>
      <c r="AZ178" s="363" t="str">
        <f>_xlfn.IFNA(VLOOKUP($AI178,Programma!$F$3:$W$1107,18,0),"")</f>
        <v>_</v>
      </c>
      <c r="BA178" s="363" t="str">
        <f>_xlfn.IFNA(VLOOKUP($AI178,Programma!$F$3:$X$1107,19,0),"")</f>
        <v>_</v>
      </c>
      <c r="BB178" s="363" t="str">
        <f>_xlfn.IFNA(VLOOKUP($AI178,Programma!$F$3:$Y$1107,20,0),"")</f>
        <v>_</v>
      </c>
      <c r="BC178" s="257"/>
      <c r="BD178" s="256" t="str">
        <f>IF(Ruimtestaat[[#This Row],[Frequentie weekend]]="","",_xlfn.CONCAT(Ruimtestaat[[#This Row],[Ruimte code]],"-",Ruimtestaat[[#This Row],[Frequentie weekend]]," ",Ruimtestaat[[#This Row],[Vloer code]]))</f>
        <v/>
      </c>
      <c r="BE178" s="363" t="str">
        <f>_xlfn.IFNA(VLOOKUP($BD178,Programma!$F$3:$G$1107,2,0),"")</f>
        <v/>
      </c>
      <c r="BF178" s="363" t="str">
        <f>_xlfn.IFNA(VLOOKUP($BD178,Programma!$F$3:$H$1107,3,0),"")</f>
        <v/>
      </c>
      <c r="BG178" s="363" t="str">
        <f>_xlfn.IFNA(VLOOKUP($BD178,Programma!$F$3:$I$1107,4,0),"")</f>
        <v/>
      </c>
      <c r="BH178" s="363" t="str">
        <f>_xlfn.IFNA(VLOOKUP($BD178,Programma!$F$3:$J$1107,5,0),"")</f>
        <v/>
      </c>
      <c r="BI178" s="363" t="str">
        <f>_xlfn.IFNA(VLOOKUP($BD178,Programma!$F$3:$K$1107,6,0),"")</f>
        <v/>
      </c>
      <c r="BJ178" s="363" t="str">
        <f>_xlfn.IFNA(VLOOKUP($BD178,Programma!$F$3:$L$1107,7,0),"")</f>
        <v/>
      </c>
      <c r="BK178" s="363" t="str">
        <f>_xlfn.IFNA(VLOOKUP($BD178,Programma!$F$3:$M$1107,8,0),"")</f>
        <v/>
      </c>
      <c r="BL178" s="363" t="str">
        <f>_xlfn.IFNA(VLOOKUP($BD178,Programma!$F$3:$N$1107,9,0),"")</f>
        <v/>
      </c>
      <c r="BM178" s="363" t="str">
        <f>_xlfn.IFNA(VLOOKUP($BD178,Programma!$F$3:$O$1107,10,0),"")</f>
        <v/>
      </c>
      <c r="BN178" s="363" t="str">
        <f>_xlfn.IFNA(VLOOKUP($BD178,Programma!$F$3:$P$1107,11,0),"")</f>
        <v/>
      </c>
      <c r="BO178" s="363" t="str">
        <f>_xlfn.IFNA(VLOOKUP($BD178,Programma!$F$3:$Q$1107,12,0),"")</f>
        <v/>
      </c>
      <c r="BP178" s="363" t="str">
        <f>_xlfn.IFNA(VLOOKUP($BD178,Programma!$F$3:$R$1107,13,0),"")</f>
        <v/>
      </c>
      <c r="BQ178" s="363" t="str">
        <f>_xlfn.IFNA(VLOOKUP($BD178,Programma!$F$3:$S$1107,14,0),"")</f>
        <v/>
      </c>
      <c r="BR178" s="363" t="str">
        <f>_xlfn.IFNA(VLOOKUP($BD178,Programma!$F$3:$T$1107,15,0),"")</f>
        <v/>
      </c>
      <c r="BS178" s="363" t="str">
        <f>_xlfn.IFNA(VLOOKUP($BD178,Programma!$F$3:$U$1107,16,0),"")</f>
        <v/>
      </c>
      <c r="BT178" s="363" t="str">
        <f>_xlfn.IFNA(VLOOKUP($BD178,Programma!$F$3:$V$1107,17,0),"")</f>
        <v/>
      </c>
      <c r="BU178" s="363" t="str">
        <f>_xlfn.IFNA(VLOOKUP($BD178,Programma!$F$3:$W$1107,18,0),"")</f>
        <v/>
      </c>
      <c r="BV178" s="363" t="str">
        <f>_xlfn.IFNA(VLOOKUP($BD178,Programma!$F$3:$X$1107,19,0),"")</f>
        <v/>
      </c>
      <c r="BW178" s="363" t="str">
        <f>_xlfn.IFNA(VLOOKUP($BD178,Programma!$F$3:$Y$1107,20,0),"")</f>
        <v/>
      </c>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row>
    <row r="179" spans="1:220" ht="15" customHeight="1">
      <c r="A179" s="21">
        <v>4</v>
      </c>
      <c r="B179" s="157" t="str">
        <f>VLOOKUP(Ruimtestaat[[#This Row],[Code]],Locaties[[Code]:[Locatie]],2,FALSE)</f>
        <v>Sint-Maartenscollege</v>
      </c>
      <c r="C179" s="157" t="str">
        <f>VLOOKUP(Ruimtestaat[[#This Row],[Code]],Locaties[[#All],[Code]:[Adres]],4,FALSE)</f>
        <v xml:space="preserve">Aart v.d. Leeuwkade 14 </v>
      </c>
      <c r="D179" s="157" t="str">
        <f>VLOOKUP(Ruimtestaat[[#This Row],[Code]],Locaties[[#All],[Code]:[Postcode]],5,FALSE)</f>
        <v>2274 KX</v>
      </c>
      <c r="E179" s="157" t="str">
        <f>VLOOKUP(Ruimtestaat[[#This Row],[Code]],Locaties[#All],6,FALSE)</f>
        <v>Voorburg</v>
      </c>
      <c r="F179" s="33"/>
      <c r="G179" s="33" t="s">
        <v>1632</v>
      </c>
      <c r="H179" s="21">
        <v>3</v>
      </c>
      <c r="I179" s="62" t="s">
        <v>1863</v>
      </c>
      <c r="J179" s="21">
        <v>2</v>
      </c>
      <c r="K179" s="62" t="str">
        <f>VLOOKUP(Ruimtestaat[[#This Row],[Ruimte code]],Ruimtegroepen[[#All],[Code]:[Ruimte omschrijving]],2,FALSE)</f>
        <v>Kantoren</v>
      </c>
      <c r="L179" s="33" t="s">
        <v>101</v>
      </c>
      <c r="M179" s="367" t="s">
        <v>2495</v>
      </c>
      <c r="N179" s="140">
        <v>13</v>
      </c>
      <c r="O179" s="140"/>
      <c r="P179" s="125" t="str">
        <f>VLOOKUP(Ruimtestaat[[#This Row],[Ruimte code]],Ruimtegroepen[],4,FALSE)</f>
        <v>Bu</v>
      </c>
      <c r="R179" s="33">
        <v>42</v>
      </c>
      <c r="S179" s="33" t="s">
        <v>18</v>
      </c>
      <c r="T179" s="33">
        <f>IF(R179&gt;0,IF(RIGHT(Ruimtestaat[[#This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79" s="33">
        <f>IF(T179&gt;0,VLOOKUP($J179,Ruimtegroepen[],3,FALSE)*VLOOKUP($L179,Vloersoorten[],3,FALSE)*VLOOKUP($S179,Frequenties[],3,FALSE)*VLOOKUP($A179,Locaties[],3,FALSE),0)</f>
        <v>0</v>
      </c>
      <c r="V179" s="33">
        <f>Ruimtestaat[[#This Row],[Uitvoeringen werkdagen]]*Ruimtestaat[[#This Row],[Oppervlak (netto)]]</f>
        <v>1638</v>
      </c>
      <c r="W179" s="154">
        <f>IF(U179&gt;0,Ruimtestaat[[#This Row],[Prest. (m2 /jaar) werkdagen]]/Ruimtestaat[[#This Row],[Norm (m2/uur) werkdagen]],0)</f>
        <v>0</v>
      </c>
      <c r="X179" s="155">
        <f>Ruimtestaat[[#This Row],[uren / jaar werkdagen]]*Tariefsopbouw!$E$35</f>
        <v>0</v>
      </c>
      <c r="Y179" s="33"/>
      <c r="Z179" s="33">
        <f>IF(Ruimtestaat[[#This Row],[Frequentie weekend]]&gt;0,VALUE(LEFT(Y179,1))*R179,0)</f>
        <v>0</v>
      </c>
      <c r="AA179" s="97">
        <f>IF($Z179&gt;0,VLOOKUP($J179,Ruimtegroepen[],3,FALSE)*VLOOKUP($L179,Vloersoorten[],3,FALSE)*VLOOKUP($Y179,Frequenties[],3,FALSE)*VLOOKUP(Ruimtestaat[[#This Row],[Code]],Locaties[],3,FALSE),0)</f>
        <v>0</v>
      </c>
      <c r="AB179" s="97">
        <f>Ruimtestaat[[#This Row],[Uitvoeringen weekend]]*Ruimtestaat[[#This Row],[Oppervlak (netto)]]</f>
        <v>0</v>
      </c>
      <c r="AC179" s="97">
        <f>IF(AA179&gt;0,Ruimtestaat[[#This Row],[Prest. (m2 /jaar) weekend]]/Ruimtestaat[[#This Row],[Norm (m2/uur) weekend]],0)</f>
        <v>0</v>
      </c>
      <c r="AD179" s="155">
        <f>Ruimtestaat[[#This Row],[uren / jaar weekend]]*Tariefsopbouw!$D$40</f>
        <v>0</v>
      </c>
      <c r="AE179" s="154">
        <f>Ruimtestaat[[#This Row],[Prest. (m2 /jaar) weekend]]+Ruimtestaat[[#This Row],[Prest. (m2 /jaar) werkdagen]]</f>
        <v>1638</v>
      </c>
      <c r="AF179" s="154">
        <f>Ruimtestaat[[#This Row],[uren / jaar weekend]]+Ruimtestaat[[#This Row],[uren / jaar werkdagen]]</f>
        <v>0</v>
      </c>
      <c r="AG179" s="69">
        <f>Ruimtestaat[[#This Row],[kosten / jaar weekend]]+Ruimtestaat[[#This Row],[kosten / jaar werkdagen]]</f>
        <v>0</v>
      </c>
      <c r="AH179" s="69"/>
      <c r="AI179" s="256" t="str">
        <f>IF(Ruimtestaat[[#This Row],[Frequentie werkdagen]]="","",_xlfn.CONCAT(Ruimtestaat[[#This Row],[Ruimte code]],"-",Ruimtestaat[[#This Row],[Frequentie werkdagen]]," ",Ruimtestaat[[#This Row],[Vloer code]]))</f>
        <v>2-3w L</v>
      </c>
      <c r="AJ179" s="363" t="str">
        <f>_xlfn.IFNA(VLOOKUP($AI179,Programma!$F$3:$G$1107,2,0),"")</f>
        <v>_</v>
      </c>
      <c r="AK179" s="363" t="str">
        <f>_xlfn.IFNA(VLOOKUP($AI179,Programma!$F$3:$H$1107,3,0),"")</f>
        <v>_</v>
      </c>
      <c r="AL179" s="363" t="str">
        <f>_xlfn.IFNA(VLOOKUP($AI179,Programma!$F$3:$I$1107,4,0),"")</f>
        <v>2w</v>
      </c>
      <c r="AM179" s="363" t="str">
        <f>_xlfn.IFNA(VLOOKUP($AI179,Programma!$F$3:$J$1107,5,0),"")</f>
        <v>1w</v>
      </c>
      <c r="AN179" s="363" t="str">
        <f>_xlfn.IFNA(VLOOKUP($AI179,Programma!$F$3:$K$1107,6,0),"")</f>
        <v>_</v>
      </c>
      <c r="AO179" s="363" t="str">
        <f>_xlfn.IFNA(VLOOKUP($AI179,Programma!$F$3:$L$1107,7,0),"")</f>
        <v>_</v>
      </c>
      <c r="AP179" s="363" t="str">
        <f>_xlfn.IFNA(VLOOKUP($AI179,Programma!$F$3:$M$1107,8,0),"")</f>
        <v>_</v>
      </c>
      <c r="AQ179" s="363" t="str">
        <f>_xlfn.IFNA(VLOOKUP($AI179,Programma!$F$3:$N$1107,9,0),"")</f>
        <v>_</v>
      </c>
      <c r="AR179" s="363" t="str">
        <f>_xlfn.IFNA(VLOOKUP($AI179,Programma!$F$3:$O$1107,10,0),"")</f>
        <v>3w</v>
      </c>
      <c r="AS179" s="363" t="str">
        <f>_xlfn.IFNA(VLOOKUP($AI179,Programma!$F$3:$P$1107,11,0),"")</f>
        <v>3w</v>
      </c>
      <c r="AT179" s="363" t="str">
        <f>_xlfn.IFNA(VLOOKUP($AI179,Programma!$F$3:$Q$1107,12,0),"")</f>
        <v>1w</v>
      </c>
      <c r="AU179" s="363" t="str">
        <f>_xlfn.IFNA(VLOOKUP($AI179,Programma!$F$3:$R$1107,13,0),"")</f>
        <v>1w</v>
      </c>
      <c r="AV179" s="363" t="str">
        <f>_xlfn.IFNA(VLOOKUP($AI179,Programma!$F$3:$S$1107,14,0),"")</f>
        <v>1m</v>
      </c>
      <c r="AW179" s="363" t="str">
        <f>_xlfn.IFNA(VLOOKUP($AI179,Programma!$F$3:$T$1107,15,0),"")</f>
        <v>2j</v>
      </c>
      <c r="AX179" s="363" t="str">
        <f>_xlfn.IFNA(VLOOKUP($AI179,Programma!$F$3:$U$1107,16,0),"")</f>
        <v>1j</v>
      </c>
      <c r="AY179" s="363" t="str">
        <f>_xlfn.IFNA(VLOOKUP($AI179,Programma!$F$3:$V$1107,17,0),"")</f>
        <v>_</v>
      </c>
      <c r="AZ179" s="363" t="str">
        <f>_xlfn.IFNA(VLOOKUP($AI179,Programma!$F$3:$W$1107,18,0),"")</f>
        <v>_</v>
      </c>
      <c r="BA179" s="363" t="str">
        <f>_xlfn.IFNA(VLOOKUP($AI179,Programma!$F$3:$X$1107,19,0),"")</f>
        <v>_</v>
      </c>
      <c r="BB179" s="363" t="str">
        <f>_xlfn.IFNA(VLOOKUP($AI179,Programma!$F$3:$Y$1107,20,0),"")</f>
        <v>_</v>
      </c>
      <c r="BC179" s="257"/>
      <c r="BD179" s="256" t="str">
        <f>IF(Ruimtestaat[[#This Row],[Frequentie weekend]]="","",_xlfn.CONCAT(Ruimtestaat[[#This Row],[Ruimte code]],"-",Ruimtestaat[[#This Row],[Frequentie weekend]]," ",Ruimtestaat[[#This Row],[Vloer code]]))</f>
        <v/>
      </c>
      <c r="BE179" s="363" t="str">
        <f>_xlfn.IFNA(VLOOKUP($BD179,Programma!$F$3:$G$1107,2,0),"")</f>
        <v/>
      </c>
      <c r="BF179" s="363" t="str">
        <f>_xlfn.IFNA(VLOOKUP($BD179,Programma!$F$3:$H$1107,3,0),"")</f>
        <v/>
      </c>
      <c r="BG179" s="363" t="str">
        <f>_xlfn.IFNA(VLOOKUP($BD179,Programma!$F$3:$I$1107,4,0),"")</f>
        <v/>
      </c>
      <c r="BH179" s="363" t="str">
        <f>_xlfn.IFNA(VLOOKUP($BD179,Programma!$F$3:$J$1107,5,0),"")</f>
        <v/>
      </c>
      <c r="BI179" s="363" t="str">
        <f>_xlfn.IFNA(VLOOKUP($BD179,Programma!$F$3:$K$1107,6,0),"")</f>
        <v/>
      </c>
      <c r="BJ179" s="363" t="str">
        <f>_xlfn.IFNA(VLOOKUP($BD179,Programma!$F$3:$L$1107,7,0),"")</f>
        <v/>
      </c>
      <c r="BK179" s="363" t="str">
        <f>_xlfn.IFNA(VLOOKUP($BD179,Programma!$F$3:$M$1107,8,0),"")</f>
        <v/>
      </c>
      <c r="BL179" s="363" t="str">
        <f>_xlfn.IFNA(VLOOKUP($BD179,Programma!$F$3:$N$1107,9,0),"")</f>
        <v/>
      </c>
      <c r="BM179" s="363" t="str">
        <f>_xlfn.IFNA(VLOOKUP($BD179,Programma!$F$3:$O$1107,10,0),"")</f>
        <v/>
      </c>
      <c r="BN179" s="363" t="str">
        <f>_xlfn.IFNA(VLOOKUP($BD179,Programma!$F$3:$P$1107,11,0),"")</f>
        <v/>
      </c>
      <c r="BO179" s="363" t="str">
        <f>_xlfn.IFNA(VLOOKUP($BD179,Programma!$F$3:$Q$1107,12,0),"")</f>
        <v/>
      </c>
      <c r="BP179" s="363" t="str">
        <f>_xlfn.IFNA(VLOOKUP($BD179,Programma!$F$3:$R$1107,13,0),"")</f>
        <v/>
      </c>
      <c r="BQ179" s="363" t="str">
        <f>_xlfn.IFNA(VLOOKUP($BD179,Programma!$F$3:$S$1107,14,0),"")</f>
        <v/>
      </c>
      <c r="BR179" s="363" t="str">
        <f>_xlfn.IFNA(VLOOKUP($BD179,Programma!$F$3:$T$1107,15,0),"")</f>
        <v/>
      </c>
      <c r="BS179" s="363" t="str">
        <f>_xlfn.IFNA(VLOOKUP($BD179,Programma!$F$3:$U$1107,16,0),"")</f>
        <v/>
      </c>
      <c r="BT179" s="363" t="str">
        <f>_xlfn.IFNA(VLOOKUP($BD179,Programma!$F$3:$V$1107,17,0),"")</f>
        <v/>
      </c>
      <c r="BU179" s="363" t="str">
        <f>_xlfn.IFNA(VLOOKUP($BD179,Programma!$F$3:$W$1107,18,0),"")</f>
        <v/>
      </c>
      <c r="BV179" s="363" t="str">
        <f>_xlfn.IFNA(VLOOKUP($BD179,Programma!$F$3:$X$1107,19,0),"")</f>
        <v/>
      </c>
      <c r="BW179" s="363" t="str">
        <f>_xlfn.IFNA(VLOOKUP($BD179,Programma!$F$3:$Y$1107,20,0),"")</f>
        <v/>
      </c>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row>
    <row r="180" spans="1:220" ht="15" customHeight="1">
      <c r="A180" s="21">
        <v>4</v>
      </c>
      <c r="B180" s="157" t="str">
        <f>VLOOKUP(Ruimtestaat[[#This Row],[Code]],Locaties[[Code]:[Locatie]],2,FALSE)</f>
        <v>Sint-Maartenscollege</v>
      </c>
      <c r="C180" s="157" t="str">
        <f>VLOOKUP(Ruimtestaat[[#This Row],[Code]],Locaties[[#All],[Code]:[Adres]],4,FALSE)</f>
        <v xml:space="preserve">Aart v.d. Leeuwkade 14 </v>
      </c>
      <c r="D180" s="157" t="str">
        <f>VLOOKUP(Ruimtestaat[[#This Row],[Code]],Locaties[[#All],[Code]:[Postcode]],5,FALSE)</f>
        <v>2274 KX</v>
      </c>
      <c r="E180" s="157" t="str">
        <f>VLOOKUP(Ruimtestaat[[#This Row],[Code]],Locaties[#All],6,FALSE)</f>
        <v>Voorburg</v>
      </c>
      <c r="F180" s="33"/>
      <c r="G180" s="33" t="s">
        <v>1632</v>
      </c>
      <c r="H180" s="21">
        <v>4</v>
      </c>
      <c r="I180" s="62" t="s">
        <v>1625</v>
      </c>
      <c r="J180" s="21">
        <v>6</v>
      </c>
      <c r="K180" s="62" t="str">
        <f>VLOOKUP(Ruimtestaat[[#This Row],[Ruimte code]],Ruimtegroepen[[#All],[Code]:[Ruimte omschrijving]],2,FALSE)</f>
        <v>Gangen/hallen</v>
      </c>
      <c r="L180" s="33" t="s">
        <v>101</v>
      </c>
      <c r="M180" s="367" t="s">
        <v>2495</v>
      </c>
      <c r="N180" s="140">
        <v>11</v>
      </c>
      <c r="O180" s="140"/>
      <c r="P180" s="125" t="str">
        <f>VLOOKUP(Ruimtestaat[[#This Row],[Ruimte code]],Ruimtegroepen[],4,FALSE)</f>
        <v>Ve</v>
      </c>
      <c r="R180" s="33">
        <v>40</v>
      </c>
      <c r="S180" s="33" t="s">
        <v>2</v>
      </c>
      <c r="T180" s="33">
        <f>IF(R180&gt;0,IF(RIGHT(Ruimtestaat[[#This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0" s="33">
        <f>IF(T180&gt;0,VLOOKUP($J180,Ruimtegroepen[],3,FALSE)*VLOOKUP($L180,Vloersoorten[],3,FALSE)*VLOOKUP($S180,Frequenties[],3,FALSE)*VLOOKUP($A180,Locaties[],3,FALSE),0)</f>
        <v>0</v>
      </c>
      <c r="V180" s="33">
        <f>Ruimtestaat[[#This Row],[Uitvoeringen werkdagen]]*Ruimtestaat[[#This Row],[Oppervlak (netto)]]</f>
        <v>2200</v>
      </c>
      <c r="W180" s="154">
        <f>IF(U180&gt;0,Ruimtestaat[[#This Row],[Prest. (m2 /jaar) werkdagen]]/Ruimtestaat[[#This Row],[Norm (m2/uur) werkdagen]],0)</f>
        <v>0</v>
      </c>
      <c r="X180" s="155">
        <f>Ruimtestaat[[#This Row],[uren / jaar werkdagen]]*Tariefsopbouw!$E$35</f>
        <v>0</v>
      </c>
      <c r="Y180" s="33"/>
      <c r="Z180" s="33">
        <f>IF(Ruimtestaat[[#This Row],[Frequentie weekend]]&gt;0,VALUE(LEFT(Y180,1))*R180,0)</f>
        <v>0</v>
      </c>
      <c r="AA180" s="97">
        <f>IF($Z180&gt;0,VLOOKUP($J180,Ruimtegroepen[],3,FALSE)*VLOOKUP($L180,Vloersoorten[],3,FALSE)*VLOOKUP($Y180,Frequenties[],3,FALSE)*VLOOKUP(Ruimtestaat[[#This Row],[Code]],Locaties[],3,FALSE),0)</f>
        <v>0</v>
      </c>
      <c r="AB180" s="97">
        <f>Ruimtestaat[[#This Row],[Uitvoeringen weekend]]*Ruimtestaat[[#This Row],[Oppervlak (netto)]]</f>
        <v>0</v>
      </c>
      <c r="AC180" s="97">
        <f>IF(AA180&gt;0,Ruimtestaat[[#This Row],[Prest. (m2 /jaar) weekend]]/Ruimtestaat[[#This Row],[Norm (m2/uur) weekend]],0)</f>
        <v>0</v>
      </c>
      <c r="AD180" s="155">
        <f>Ruimtestaat[[#This Row],[uren / jaar weekend]]*Tariefsopbouw!$D$40</f>
        <v>0</v>
      </c>
      <c r="AE180" s="154">
        <f>Ruimtestaat[[#This Row],[Prest. (m2 /jaar) weekend]]+Ruimtestaat[[#This Row],[Prest. (m2 /jaar) werkdagen]]</f>
        <v>2200</v>
      </c>
      <c r="AF180" s="154">
        <f>Ruimtestaat[[#This Row],[uren / jaar weekend]]+Ruimtestaat[[#This Row],[uren / jaar werkdagen]]</f>
        <v>0</v>
      </c>
      <c r="AG180" s="69">
        <f>Ruimtestaat[[#This Row],[kosten / jaar weekend]]+Ruimtestaat[[#This Row],[kosten / jaar werkdagen]]</f>
        <v>0</v>
      </c>
      <c r="AH180" s="69"/>
      <c r="AI180" s="256" t="str">
        <f>IF(Ruimtestaat[[#This Row],[Frequentie werkdagen]]="","",_xlfn.CONCAT(Ruimtestaat[[#This Row],[Ruimte code]],"-",Ruimtestaat[[#This Row],[Frequentie werkdagen]]," ",Ruimtestaat[[#This Row],[Vloer code]]))</f>
        <v>6-5w L</v>
      </c>
      <c r="AJ180" s="363" t="str">
        <f>_xlfn.IFNA(VLOOKUP($AI180,Programma!$F$3:$G$1107,2,0),"")</f>
        <v>_</v>
      </c>
      <c r="AK180" s="363" t="str">
        <f>_xlfn.IFNA(VLOOKUP($AI180,Programma!$F$3:$H$1107,3,0),"")</f>
        <v>_</v>
      </c>
      <c r="AL180" s="363" t="str">
        <f>_xlfn.IFNA(VLOOKUP($AI180,Programma!$F$3:$I$1107,4,0),"")</f>
        <v>_</v>
      </c>
      <c r="AM180" s="363" t="str">
        <f>_xlfn.IFNA(VLOOKUP($AI180,Programma!$F$3:$J$1107,5,0),"")</f>
        <v>5w</v>
      </c>
      <c r="AN180" s="363" t="str">
        <f>_xlfn.IFNA(VLOOKUP($AI180,Programma!$F$3:$K$1107,6,0),"")</f>
        <v>_</v>
      </c>
      <c r="AO180" s="363" t="str">
        <f>_xlfn.IFNA(VLOOKUP($AI180,Programma!$F$3:$L$1107,7,0),"")</f>
        <v>_</v>
      </c>
      <c r="AP180" s="363" t="str">
        <f>_xlfn.IFNA(VLOOKUP($AI180,Programma!$F$3:$M$1107,8,0),"")</f>
        <v>_</v>
      </c>
      <c r="AQ180" s="363" t="str">
        <f>_xlfn.IFNA(VLOOKUP($AI180,Programma!$F$3:$N$1107,9,0),"")</f>
        <v>_</v>
      </c>
      <c r="AR180" s="363" t="str">
        <f>_xlfn.IFNA(VLOOKUP($AI180,Programma!$F$3:$O$1107,10,0),"")</f>
        <v>5w</v>
      </c>
      <c r="AS180" s="363" t="str">
        <f>_xlfn.IFNA(VLOOKUP($AI180,Programma!$F$3:$P$1107,11,0),"")</f>
        <v>5w</v>
      </c>
      <c r="AT180" s="363" t="str">
        <f>_xlfn.IFNA(VLOOKUP($AI180,Programma!$F$3:$Q$1107,12,0),"")</f>
        <v>1w</v>
      </c>
      <c r="AU180" s="363" t="str">
        <f>_xlfn.IFNA(VLOOKUP($AI180,Programma!$F$3:$R$1107,13,0),"")</f>
        <v>1w</v>
      </c>
      <c r="AV180" s="363" t="str">
        <f>_xlfn.IFNA(VLOOKUP($AI180,Programma!$F$3:$S$1107,14,0),"")</f>
        <v>1m</v>
      </c>
      <c r="AW180" s="363" t="str">
        <f>_xlfn.IFNA(VLOOKUP($AI180,Programma!$F$3:$T$1107,15,0),"")</f>
        <v>2j</v>
      </c>
      <c r="AX180" s="363" t="str">
        <f>_xlfn.IFNA(VLOOKUP($AI180,Programma!$F$3:$U$1107,16,0),"")</f>
        <v>1j</v>
      </c>
      <c r="AY180" s="363" t="str">
        <f>_xlfn.IFNA(VLOOKUP($AI180,Programma!$F$3:$V$1107,17,0),"")</f>
        <v>_</v>
      </c>
      <c r="AZ180" s="363" t="str">
        <f>_xlfn.IFNA(VLOOKUP($AI180,Programma!$F$3:$W$1107,18,0),"")</f>
        <v>_</v>
      </c>
      <c r="BA180" s="363" t="str">
        <f>_xlfn.IFNA(VLOOKUP($AI180,Programma!$F$3:$X$1107,19,0),"")</f>
        <v>_</v>
      </c>
      <c r="BB180" s="363" t="str">
        <f>_xlfn.IFNA(VLOOKUP($AI180,Programma!$F$3:$Y$1107,20,0),"")</f>
        <v>_</v>
      </c>
      <c r="BC180" s="257"/>
      <c r="BD180" s="256" t="str">
        <f>IF(Ruimtestaat[[#This Row],[Frequentie weekend]]="","",_xlfn.CONCAT(Ruimtestaat[[#This Row],[Ruimte code]],"-",Ruimtestaat[[#This Row],[Frequentie weekend]]," ",Ruimtestaat[[#This Row],[Vloer code]]))</f>
        <v/>
      </c>
      <c r="BE180" s="363" t="str">
        <f>_xlfn.IFNA(VLOOKUP($BD180,Programma!$F$3:$G$1107,2,0),"")</f>
        <v/>
      </c>
      <c r="BF180" s="363" t="str">
        <f>_xlfn.IFNA(VLOOKUP($BD180,Programma!$F$3:$H$1107,3,0),"")</f>
        <v/>
      </c>
      <c r="BG180" s="363" t="str">
        <f>_xlfn.IFNA(VLOOKUP($BD180,Programma!$F$3:$I$1107,4,0),"")</f>
        <v/>
      </c>
      <c r="BH180" s="363" t="str">
        <f>_xlfn.IFNA(VLOOKUP($BD180,Programma!$F$3:$J$1107,5,0),"")</f>
        <v/>
      </c>
      <c r="BI180" s="363" t="str">
        <f>_xlfn.IFNA(VLOOKUP($BD180,Programma!$F$3:$K$1107,6,0),"")</f>
        <v/>
      </c>
      <c r="BJ180" s="363" t="str">
        <f>_xlfn.IFNA(VLOOKUP($BD180,Programma!$F$3:$L$1107,7,0),"")</f>
        <v/>
      </c>
      <c r="BK180" s="363" t="str">
        <f>_xlfn.IFNA(VLOOKUP($BD180,Programma!$F$3:$M$1107,8,0),"")</f>
        <v/>
      </c>
      <c r="BL180" s="363" t="str">
        <f>_xlfn.IFNA(VLOOKUP($BD180,Programma!$F$3:$N$1107,9,0),"")</f>
        <v/>
      </c>
      <c r="BM180" s="363" t="str">
        <f>_xlfn.IFNA(VLOOKUP($BD180,Programma!$F$3:$O$1107,10,0),"")</f>
        <v/>
      </c>
      <c r="BN180" s="363" t="str">
        <f>_xlfn.IFNA(VLOOKUP($BD180,Programma!$F$3:$P$1107,11,0),"")</f>
        <v/>
      </c>
      <c r="BO180" s="363" t="str">
        <f>_xlfn.IFNA(VLOOKUP($BD180,Programma!$F$3:$Q$1107,12,0),"")</f>
        <v/>
      </c>
      <c r="BP180" s="363" t="str">
        <f>_xlfn.IFNA(VLOOKUP($BD180,Programma!$F$3:$R$1107,13,0),"")</f>
        <v/>
      </c>
      <c r="BQ180" s="363" t="str">
        <f>_xlfn.IFNA(VLOOKUP($BD180,Programma!$F$3:$S$1107,14,0),"")</f>
        <v/>
      </c>
      <c r="BR180" s="363" t="str">
        <f>_xlfn.IFNA(VLOOKUP($BD180,Programma!$F$3:$T$1107,15,0),"")</f>
        <v/>
      </c>
      <c r="BS180" s="363" t="str">
        <f>_xlfn.IFNA(VLOOKUP($BD180,Programma!$F$3:$U$1107,16,0),"")</f>
        <v/>
      </c>
      <c r="BT180" s="363" t="str">
        <f>_xlfn.IFNA(VLOOKUP($BD180,Programma!$F$3:$V$1107,17,0),"")</f>
        <v/>
      </c>
      <c r="BU180" s="363" t="str">
        <f>_xlfn.IFNA(VLOOKUP($BD180,Programma!$F$3:$W$1107,18,0),"")</f>
        <v/>
      </c>
      <c r="BV180" s="363" t="str">
        <f>_xlfn.IFNA(VLOOKUP($BD180,Programma!$F$3:$X$1107,19,0),"")</f>
        <v/>
      </c>
      <c r="BW180" s="363" t="str">
        <f>_xlfn.IFNA(VLOOKUP($BD180,Programma!$F$3:$Y$1107,20,0),"")</f>
        <v/>
      </c>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row>
    <row r="181" spans="1:220" ht="15" customHeight="1">
      <c r="A181" s="21">
        <v>4</v>
      </c>
      <c r="B181" s="157" t="str">
        <f>VLOOKUP(Ruimtestaat[[#This Row],[Code]],Locaties[[Code]:[Locatie]],2,FALSE)</f>
        <v>Sint-Maartenscollege</v>
      </c>
      <c r="C181" s="157" t="str">
        <f>VLOOKUP(Ruimtestaat[[#This Row],[Code]],Locaties[[#All],[Code]:[Adres]],4,FALSE)</f>
        <v xml:space="preserve">Aart v.d. Leeuwkade 14 </v>
      </c>
      <c r="D181" s="157" t="str">
        <f>VLOOKUP(Ruimtestaat[[#This Row],[Code]],Locaties[[#All],[Code]:[Postcode]],5,FALSE)</f>
        <v>2274 KX</v>
      </c>
      <c r="E181" s="157" t="str">
        <f>VLOOKUP(Ruimtestaat[[#This Row],[Code]],Locaties[#All],6,FALSE)</f>
        <v>Voorburg</v>
      </c>
      <c r="F181" s="33"/>
      <c r="G181" s="33" t="s">
        <v>1632</v>
      </c>
      <c r="H181" s="21">
        <v>5</v>
      </c>
      <c r="I181" s="62" t="s">
        <v>1625</v>
      </c>
      <c r="J181" s="21">
        <v>6</v>
      </c>
      <c r="K181" s="62" t="str">
        <f>VLOOKUP(Ruimtestaat[[#This Row],[Ruimte code]],Ruimtegroepen[[#All],[Code]:[Ruimte omschrijving]],2,FALSE)</f>
        <v>Gangen/hallen</v>
      </c>
      <c r="L181" s="33" t="s">
        <v>101</v>
      </c>
      <c r="M181" s="367" t="s">
        <v>2495</v>
      </c>
      <c r="N181" s="140">
        <v>24</v>
      </c>
      <c r="O181" s="140"/>
      <c r="P181" s="125" t="str">
        <f>VLOOKUP(Ruimtestaat[[#This Row],[Ruimte code]],Ruimtegroepen[],4,FALSE)</f>
        <v>Ve</v>
      </c>
      <c r="R181" s="33">
        <v>40</v>
      </c>
      <c r="S181" s="33" t="s">
        <v>2</v>
      </c>
      <c r="T181" s="33">
        <f>IF(R181&gt;0,IF(RIGHT(Ruimtestaat[[#This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1" s="33">
        <f>IF(T181&gt;0,VLOOKUP($J181,Ruimtegroepen[],3,FALSE)*VLOOKUP($L181,Vloersoorten[],3,FALSE)*VLOOKUP($S181,Frequenties[],3,FALSE)*VLOOKUP($A181,Locaties[],3,FALSE),0)</f>
        <v>0</v>
      </c>
      <c r="V181" s="33">
        <f>Ruimtestaat[[#This Row],[Uitvoeringen werkdagen]]*Ruimtestaat[[#This Row],[Oppervlak (netto)]]</f>
        <v>4800</v>
      </c>
      <c r="W181" s="154">
        <f>IF(U181&gt;0,Ruimtestaat[[#This Row],[Prest. (m2 /jaar) werkdagen]]/Ruimtestaat[[#This Row],[Norm (m2/uur) werkdagen]],0)</f>
        <v>0</v>
      </c>
      <c r="X181" s="155">
        <f>Ruimtestaat[[#This Row],[uren / jaar werkdagen]]*Tariefsopbouw!$E$35</f>
        <v>0</v>
      </c>
      <c r="Y181" s="33"/>
      <c r="Z181" s="33">
        <f>IF(Ruimtestaat[[#This Row],[Frequentie weekend]]&gt;0,VALUE(LEFT(Y181,1))*R181,0)</f>
        <v>0</v>
      </c>
      <c r="AA181" s="97">
        <f>IF($Z181&gt;0,VLOOKUP($J181,Ruimtegroepen[],3,FALSE)*VLOOKUP($L181,Vloersoorten[],3,FALSE)*VLOOKUP($Y181,Frequenties[],3,FALSE)*VLOOKUP(Ruimtestaat[[#This Row],[Code]],Locaties[],3,FALSE),0)</f>
        <v>0</v>
      </c>
      <c r="AB181" s="97">
        <f>Ruimtestaat[[#This Row],[Uitvoeringen weekend]]*Ruimtestaat[[#This Row],[Oppervlak (netto)]]</f>
        <v>0</v>
      </c>
      <c r="AC181" s="97">
        <f>IF(AA181&gt;0,Ruimtestaat[[#This Row],[Prest. (m2 /jaar) weekend]]/Ruimtestaat[[#This Row],[Norm (m2/uur) weekend]],0)</f>
        <v>0</v>
      </c>
      <c r="AD181" s="155">
        <f>Ruimtestaat[[#This Row],[uren / jaar weekend]]*Tariefsopbouw!$D$40</f>
        <v>0</v>
      </c>
      <c r="AE181" s="154">
        <f>Ruimtestaat[[#This Row],[Prest. (m2 /jaar) weekend]]+Ruimtestaat[[#This Row],[Prest. (m2 /jaar) werkdagen]]</f>
        <v>4800</v>
      </c>
      <c r="AF181" s="154">
        <f>Ruimtestaat[[#This Row],[uren / jaar weekend]]+Ruimtestaat[[#This Row],[uren / jaar werkdagen]]</f>
        <v>0</v>
      </c>
      <c r="AG181" s="69">
        <f>Ruimtestaat[[#This Row],[kosten / jaar weekend]]+Ruimtestaat[[#This Row],[kosten / jaar werkdagen]]</f>
        <v>0</v>
      </c>
      <c r="AH181" s="69"/>
      <c r="AI181" s="256" t="str">
        <f>IF(Ruimtestaat[[#This Row],[Frequentie werkdagen]]="","",_xlfn.CONCAT(Ruimtestaat[[#This Row],[Ruimte code]],"-",Ruimtestaat[[#This Row],[Frequentie werkdagen]]," ",Ruimtestaat[[#This Row],[Vloer code]]))</f>
        <v>6-5w L</v>
      </c>
      <c r="AJ181" s="363" t="str">
        <f>_xlfn.IFNA(VLOOKUP($AI181,Programma!$F$3:$G$1107,2,0),"")</f>
        <v>_</v>
      </c>
      <c r="AK181" s="363" t="str">
        <f>_xlfn.IFNA(VLOOKUP($AI181,Programma!$F$3:$H$1107,3,0),"")</f>
        <v>_</v>
      </c>
      <c r="AL181" s="363" t="str">
        <f>_xlfn.IFNA(VLOOKUP($AI181,Programma!$F$3:$I$1107,4,0),"")</f>
        <v>_</v>
      </c>
      <c r="AM181" s="363" t="str">
        <f>_xlfn.IFNA(VLOOKUP($AI181,Programma!$F$3:$J$1107,5,0),"")</f>
        <v>5w</v>
      </c>
      <c r="AN181" s="363" t="str">
        <f>_xlfn.IFNA(VLOOKUP($AI181,Programma!$F$3:$K$1107,6,0),"")</f>
        <v>_</v>
      </c>
      <c r="AO181" s="363" t="str">
        <f>_xlfn.IFNA(VLOOKUP($AI181,Programma!$F$3:$L$1107,7,0),"")</f>
        <v>_</v>
      </c>
      <c r="AP181" s="363" t="str">
        <f>_xlfn.IFNA(VLOOKUP($AI181,Programma!$F$3:$M$1107,8,0),"")</f>
        <v>_</v>
      </c>
      <c r="AQ181" s="363" t="str">
        <f>_xlfn.IFNA(VLOOKUP($AI181,Programma!$F$3:$N$1107,9,0),"")</f>
        <v>_</v>
      </c>
      <c r="AR181" s="363" t="str">
        <f>_xlfn.IFNA(VLOOKUP($AI181,Programma!$F$3:$O$1107,10,0),"")</f>
        <v>5w</v>
      </c>
      <c r="AS181" s="363" t="str">
        <f>_xlfn.IFNA(VLOOKUP($AI181,Programma!$F$3:$P$1107,11,0),"")</f>
        <v>5w</v>
      </c>
      <c r="AT181" s="363" t="str">
        <f>_xlfn.IFNA(VLOOKUP($AI181,Programma!$F$3:$Q$1107,12,0),"")</f>
        <v>1w</v>
      </c>
      <c r="AU181" s="363" t="str">
        <f>_xlfn.IFNA(VLOOKUP($AI181,Programma!$F$3:$R$1107,13,0),"")</f>
        <v>1w</v>
      </c>
      <c r="AV181" s="363" t="str">
        <f>_xlfn.IFNA(VLOOKUP($AI181,Programma!$F$3:$S$1107,14,0),"")</f>
        <v>1m</v>
      </c>
      <c r="AW181" s="363" t="str">
        <f>_xlfn.IFNA(VLOOKUP($AI181,Programma!$F$3:$T$1107,15,0),"")</f>
        <v>2j</v>
      </c>
      <c r="AX181" s="363" t="str">
        <f>_xlfn.IFNA(VLOOKUP($AI181,Programma!$F$3:$U$1107,16,0),"")</f>
        <v>1j</v>
      </c>
      <c r="AY181" s="363" t="str">
        <f>_xlfn.IFNA(VLOOKUP($AI181,Programma!$F$3:$V$1107,17,0),"")</f>
        <v>_</v>
      </c>
      <c r="AZ181" s="363" t="str">
        <f>_xlfn.IFNA(VLOOKUP($AI181,Programma!$F$3:$W$1107,18,0),"")</f>
        <v>_</v>
      </c>
      <c r="BA181" s="363" t="str">
        <f>_xlfn.IFNA(VLOOKUP($AI181,Programma!$F$3:$X$1107,19,0),"")</f>
        <v>_</v>
      </c>
      <c r="BB181" s="363" t="str">
        <f>_xlfn.IFNA(VLOOKUP($AI181,Programma!$F$3:$Y$1107,20,0),"")</f>
        <v>_</v>
      </c>
      <c r="BC181" s="257"/>
      <c r="BD181" s="256" t="str">
        <f>IF(Ruimtestaat[[#This Row],[Frequentie weekend]]="","",_xlfn.CONCAT(Ruimtestaat[[#This Row],[Ruimte code]],"-",Ruimtestaat[[#This Row],[Frequentie weekend]]," ",Ruimtestaat[[#This Row],[Vloer code]]))</f>
        <v/>
      </c>
      <c r="BE181" s="363" t="str">
        <f>_xlfn.IFNA(VLOOKUP($BD181,Programma!$F$3:$G$1107,2,0),"")</f>
        <v/>
      </c>
      <c r="BF181" s="363" t="str">
        <f>_xlfn.IFNA(VLOOKUP($BD181,Programma!$F$3:$H$1107,3,0),"")</f>
        <v/>
      </c>
      <c r="BG181" s="363" t="str">
        <f>_xlfn.IFNA(VLOOKUP($BD181,Programma!$F$3:$I$1107,4,0),"")</f>
        <v/>
      </c>
      <c r="BH181" s="363" t="str">
        <f>_xlfn.IFNA(VLOOKUP($BD181,Programma!$F$3:$J$1107,5,0),"")</f>
        <v/>
      </c>
      <c r="BI181" s="363" t="str">
        <f>_xlfn.IFNA(VLOOKUP($BD181,Programma!$F$3:$K$1107,6,0),"")</f>
        <v/>
      </c>
      <c r="BJ181" s="363" t="str">
        <f>_xlfn.IFNA(VLOOKUP($BD181,Programma!$F$3:$L$1107,7,0),"")</f>
        <v/>
      </c>
      <c r="BK181" s="363" t="str">
        <f>_xlfn.IFNA(VLOOKUP($BD181,Programma!$F$3:$M$1107,8,0),"")</f>
        <v/>
      </c>
      <c r="BL181" s="363" t="str">
        <f>_xlfn.IFNA(VLOOKUP($BD181,Programma!$F$3:$N$1107,9,0),"")</f>
        <v/>
      </c>
      <c r="BM181" s="363" t="str">
        <f>_xlfn.IFNA(VLOOKUP($BD181,Programma!$F$3:$O$1107,10,0),"")</f>
        <v/>
      </c>
      <c r="BN181" s="363" t="str">
        <f>_xlfn.IFNA(VLOOKUP($BD181,Programma!$F$3:$P$1107,11,0),"")</f>
        <v/>
      </c>
      <c r="BO181" s="363" t="str">
        <f>_xlfn.IFNA(VLOOKUP($BD181,Programma!$F$3:$Q$1107,12,0),"")</f>
        <v/>
      </c>
      <c r="BP181" s="363" t="str">
        <f>_xlfn.IFNA(VLOOKUP($BD181,Programma!$F$3:$R$1107,13,0),"")</f>
        <v/>
      </c>
      <c r="BQ181" s="363" t="str">
        <f>_xlfn.IFNA(VLOOKUP($BD181,Programma!$F$3:$S$1107,14,0),"")</f>
        <v/>
      </c>
      <c r="BR181" s="363" t="str">
        <f>_xlfn.IFNA(VLOOKUP($BD181,Programma!$F$3:$T$1107,15,0),"")</f>
        <v/>
      </c>
      <c r="BS181" s="363" t="str">
        <f>_xlfn.IFNA(VLOOKUP($BD181,Programma!$F$3:$U$1107,16,0),"")</f>
        <v/>
      </c>
      <c r="BT181" s="363" t="str">
        <f>_xlfn.IFNA(VLOOKUP($BD181,Programma!$F$3:$V$1107,17,0),"")</f>
        <v/>
      </c>
      <c r="BU181" s="363" t="str">
        <f>_xlfn.IFNA(VLOOKUP($BD181,Programma!$F$3:$W$1107,18,0),"")</f>
        <v/>
      </c>
      <c r="BV181" s="363" t="str">
        <f>_xlfn.IFNA(VLOOKUP($BD181,Programma!$F$3:$X$1107,19,0),"")</f>
        <v/>
      </c>
      <c r="BW181" s="363" t="str">
        <f>_xlfn.IFNA(VLOOKUP($BD181,Programma!$F$3:$Y$1107,20,0),"")</f>
        <v/>
      </c>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row>
    <row r="182" spans="1:220" ht="15" customHeight="1">
      <c r="A182" s="21">
        <v>4</v>
      </c>
      <c r="B182" s="157" t="str">
        <f>VLOOKUP(Ruimtestaat[[#This Row],[Code]],Locaties[[Code]:[Locatie]],2,FALSE)</f>
        <v>Sint-Maartenscollege</v>
      </c>
      <c r="C182" s="157" t="str">
        <f>VLOOKUP(Ruimtestaat[[#This Row],[Code]],Locaties[[#All],[Code]:[Adres]],4,FALSE)</f>
        <v xml:space="preserve">Aart v.d. Leeuwkade 14 </v>
      </c>
      <c r="D182" s="157" t="str">
        <f>VLOOKUP(Ruimtestaat[[#This Row],[Code]],Locaties[[#All],[Code]:[Postcode]],5,FALSE)</f>
        <v>2274 KX</v>
      </c>
      <c r="E182" s="157" t="str">
        <f>VLOOKUP(Ruimtestaat[[#This Row],[Code]],Locaties[#All],6,FALSE)</f>
        <v>Voorburg</v>
      </c>
      <c r="F182" s="33"/>
      <c r="G182" s="33" t="s">
        <v>1632</v>
      </c>
      <c r="H182" s="21">
        <v>6</v>
      </c>
      <c r="I182" s="62" t="s">
        <v>1864</v>
      </c>
      <c r="J182" s="21">
        <v>2</v>
      </c>
      <c r="K182" s="62" t="str">
        <f>VLOOKUP(Ruimtestaat[[#This Row],[Ruimte code]],Ruimtegroepen[[#All],[Code]:[Ruimte omschrijving]],2,FALSE)</f>
        <v>Kantoren</v>
      </c>
      <c r="L182" s="33" t="s">
        <v>101</v>
      </c>
      <c r="M182" s="367" t="s">
        <v>2495</v>
      </c>
      <c r="N182" s="140">
        <v>7</v>
      </c>
      <c r="O182" s="140"/>
      <c r="P182" s="125" t="str">
        <f>VLOOKUP(Ruimtestaat[[#This Row],[Ruimte code]],Ruimtegroepen[],4,FALSE)</f>
        <v>Bu</v>
      </c>
      <c r="R182" s="33">
        <v>42</v>
      </c>
      <c r="S182" s="33" t="s">
        <v>18</v>
      </c>
      <c r="T182" s="33">
        <f>IF(R182&gt;0,IF(RIGHT(Ruimtestaat[[#This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82" s="33">
        <f>IF(T182&gt;0,VLOOKUP($J182,Ruimtegroepen[],3,FALSE)*VLOOKUP($L182,Vloersoorten[],3,FALSE)*VLOOKUP($S182,Frequenties[],3,FALSE)*VLOOKUP($A182,Locaties[],3,FALSE),0)</f>
        <v>0</v>
      </c>
      <c r="V182" s="33">
        <f>Ruimtestaat[[#This Row],[Uitvoeringen werkdagen]]*Ruimtestaat[[#This Row],[Oppervlak (netto)]]</f>
        <v>882</v>
      </c>
      <c r="W182" s="154">
        <f>IF(U182&gt;0,Ruimtestaat[[#This Row],[Prest. (m2 /jaar) werkdagen]]/Ruimtestaat[[#This Row],[Norm (m2/uur) werkdagen]],0)</f>
        <v>0</v>
      </c>
      <c r="X182" s="155">
        <f>Ruimtestaat[[#This Row],[uren / jaar werkdagen]]*Tariefsopbouw!$E$35</f>
        <v>0</v>
      </c>
      <c r="Y182" s="33"/>
      <c r="Z182" s="33">
        <f>IF(Ruimtestaat[[#This Row],[Frequentie weekend]]&gt;0,VALUE(LEFT(Y182,1))*R182,0)</f>
        <v>0</v>
      </c>
      <c r="AA182" s="97">
        <f>IF($Z182&gt;0,VLOOKUP($J182,Ruimtegroepen[],3,FALSE)*VLOOKUP($L182,Vloersoorten[],3,FALSE)*VLOOKUP($Y182,Frequenties[],3,FALSE)*VLOOKUP(Ruimtestaat[[#This Row],[Code]],Locaties[],3,FALSE),0)</f>
        <v>0</v>
      </c>
      <c r="AB182" s="97">
        <f>Ruimtestaat[[#This Row],[Uitvoeringen weekend]]*Ruimtestaat[[#This Row],[Oppervlak (netto)]]</f>
        <v>0</v>
      </c>
      <c r="AC182" s="97">
        <f>IF(AA182&gt;0,Ruimtestaat[[#This Row],[Prest. (m2 /jaar) weekend]]/Ruimtestaat[[#This Row],[Norm (m2/uur) weekend]],0)</f>
        <v>0</v>
      </c>
      <c r="AD182" s="155">
        <f>Ruimtestaat[[#This Row],[uren / jaar weekend]]*Tariefsopbouw!$D$40</f>
        <v>0</v>
      </c>
      <c r="AE182" s="154">
        <f>Ruimtestaat[[#This Row],[Prest. (m2 /jaar) weekend]]+Ruimtestaat[[#This Row],[Prest. (m2 /jaar) werkdagen]]</f>
        <v>882</v>
      </c>
      <c r="AF182" s="154">
        <f>Ruimtestaat[[#This Row],[uren / jaar weekend]]+Ruimtestaat[[#This Row],[uren / jaar werkdagen]]</f>
        <v>0</v>
      </c>
      <c r="AG182" s="69">
        <f>Ruimtestaat[[#This Row],[kosten / jaar weekend]]+Ruimtestaat[[#This Row],[kosten / jaar werkdagen]]</f>
        <v>0</v>
      </c>
      <c r="AH182" s="69"/>
      <c r="AI182" s="256" t="str">
        <f>IF(Ruimtestaat[[#This Row],[Frequentie werkdagen]]="","",_xlfn.CONCAT(Ruimtestaat[[#This Row],[Ruimte code]],"-",Ruimtestaat[[#This Row],[Frequentie werkdagen]]," ",Ruimtestaat[[#This Row],[Vloer code]]))</f>
        <v>2-3w L</v>
      </c>
      <c r="AJ182" s="363" t="str">
        <f>_xlfn.IFNA(VLOOKUP($AI182,Programma!$F$3:$G$1107,2,0),"")</f>
        <v>_</v>
      </c>
      <c r="AK182" s="363" t="str">
        <f>_xlfn.IFNA(VLOOKUP($AI182,Programma!$F$3:$H$1107,3,0),"")</f>
        <v>_</v>
      </c>
      <c r="AL182" s="363" t="str">
        <f>_xlfn.IFNA(VLOOKUP($AI182,Programma!$F$3:$I$1107,4,0),"")</f>
        <v>2w</v>
      </c>
      <c r="AM182" s="363" t="str">
        <f>_xlfn.IFNA(VLOOKUP($AI182,Programma!$F$3:$J$1107,5,0),"")</f>
        <v>1w</v>
      </c>
      <c r="AN182" s="363" t="str">
        <f>_xlfn.IFNA(VLOOKUP($AI182,Programma!$F$3:$K$1107,6,0),"")</f>
        <v>_</v>
      </c>
      <c r="AO182" s="363" t="str">
        <f>_xlfn.IFNA(VLOOKUP($AI182,Programma!$F$3:$L$1107,7,0),"")</f>
        <v>_</v>
      </c>
      <c r="AP182" s="363" t="str">
        <f>_xlfn.IFNA(VLOOKUP($AI182,Programma!$F$3:$M$1107,8,0),"")</f>
        <v>_</v>
      </c>
      <c r="AQ182" s="363" t="str">
        <f>_xlfn.IFNA(VLOOKUP($AI182,Programma!$F$3:$N$1107,9,0),"")</f>
        <v>_</v>
      </c>
      <c r="AR182" s="363" t="str">
        <f>_xlfn.IFNA(VLOOKUP($AI182,Programma!$F$3:$O$1107,10,0),"")</f>
        <v>3w</v>
      </c>
      <c r="AS182" s="363" t="str">
        <f>_xlfn.IFNA(VLOOKUP($AI182,Programma!$F$3:$P$1107,11,0),"")</f>
        <v>3w</v>
      </c>
      <c r="AT182" s="363" t="str">
        <f>_xlfn.IFNA(VLOOKUP($AI182,Programma!$F$3:$Q$1107,12,0),"")</f>
        <v>1w</v>
      </c>
      <c r="AU182" s="363" t="str">
        <f>_xlfn.IFNA(VLOOKUP($AI182,Programma!$F$3:$R$1107,13,0),"")</f>
        <v>1w</v>
      </c>
      <c r="AV182" s="363" t="str">
        <f>_xlfn.IFNA(VLOOKUP($AI182,Programma!$F$3:$S$1107,14,0),"")</f>
        <v>1m</v>
      </c>
      <c r="AW182" s="363" t="str">
        <f>_xlfn.IFNA(VLOOKUP($AI182,Programma!$F$3:$T$1107,15,0),"")</f>
        <v>2j</v>
      </c>
      <c r="AX182" s="363" t="str">
        <f>_xlfn.IFNA(VLOOKUP($AI182,Programma!$F$3:$U$1107,16,0),"")</f>
        <v>1j</v>
      </c>
      <c r="AY182" s="363" t="str">
        <f>_xlfn.IFNA(VLOOKUP($AI182,Programma!$F$3:$V$1107,17,0),"")</f>
        <v>_</v>
      </c>
      <c r="AZ182" s="363" t="str">
        <f>_xlfn.IFNA(VLOOKUP($AI182,Programma!$F$3:$W$1107,18,0),"")</f>
        <v>_</v>
      </c>
      <c r="BA182" s="363" t="str">
        <f>_xlfn.IFNA(VLOOKUP($AI182,Programma!$F$3:$X$1107,19,0),"")</f>
        <v>_</v>
      </c>
      <c r="BB182" s="363" t="str">
        <f>_xlfn.IFNA(VLOOKUP($AI182,Programma!$F$3:$Y$1107,20,0),"")</f>
        <v>_</v>
      </c>
      <c r="BC182" s="257"/>
      <c r="BD182" s="256" t="str">
        <f>IF(Ruimtestaat[[#This Row],[Frequentie weekend]]="","",_xlfn.CONCAT(Ruimtestaat[[#This Row],[Ruimte code]],"-",Ruimtestaat[[#This Row],[Frequentie weekend]]," ",Ruimtestaat[[#This Row],[Vloer code]]))</f>
        <v/>
      </c>
      <c r="BE182" s="363" t="str">
        <f>_xlfn.IFNA(VLOOKUP($BD182,Programma!$F$3:$G$1107,2,0),"")</f>
        <v/>
      </c>
      <c r="BF182" s="363" t="str">
        <f>_xlfn.IFNA(VLOOKUP($BD182,Programma!$F$3:$H$1107,3,0),"")</f>
        <v/>
      </c>
      <c r="BG182" s="363" t="str">
        <f>_xlfn.IFNA(VLOOKUP($BD182,Programma!$F$3:$I$1107,4,0),"")</f>
        <v/>
      </c>
      <c r="BH182" s="363" t="str">
        <f>_xlfn.IFNA(VLOOKUP($BD182,Programma!$F$3:$J$1107,5,0),"")</f>
        <v/>
      </c>
      <c r="BI182" s="363" t="str">
        <f>_xlfn.IFNA(VLOOKUP($BD182,Programma!$F$3:$K$1107,6,0),"")</f>
        <v/>
      </c>
      <c r="BJ182" s="363" t="str">
        <f>_xlfn.IFNA(VLOOKUP($BD182,Programma!$F$3:$L$1107,7,0),"")</f>
        <v/>
      </c>
      <c r="BK182" s="363" t="str">
        <f>_xlfn.IFNA(VLOOKUP($BD182,Programma!$F$3:$M$1107,8,0),"")</f>
        <v/>
      </c>
      <c r="BL182" s="363" t="str">
        <f>_xlfn.IFNA(VLOOKUP($BD182,Programma!$F$3:$N$1107,9,0),"")</f>
        <v/>
      </c>
      <c r="BM182" s="363" t="str">
        <f>_xlfn.IFNA(VLOOKUP($BD182,Programma!$F$3:$O$1107,10,0),"")</f>
        <v/>
      </c>
      <c r="BN182" s="363" t="str">
        <f>_xlfn.IFNA(VLOOKUP($BD182,Programma!$F$3:$P$1107,11,0),"")</f>
        <v/>
      </c>
      <c r="BO182" s="363" t="str">
        <f>_xlfn.IFNA(VLOOKUP($BD182,Programma!$F$3:$Q$1107,12,0),"")</f>
        <v/>
      </c>
      <c r="BP182" s="363" t="str">
        <f>_xlfn.IFNA(VLOOKUP($BD182,Programma!$F$3:$R$1107,13,0),"")</f>
        <v/>
      </c>
      <c r="BQ182" s="363" t="str">
        <f>_xlfn.IFNA(VLOOKUP($BD182,Programma!$F$3:$S$1107,14,0),"")</f>
        <v/>
      </c>
      <c r="BR182" s="363" t="str">
        <f>_xlfn.IFNA(VLOOKUP($BD182,Programma!$F$3:$T$1107,15,0),"")</f>
        <v/>
      </c>
      <c r="BS182" s="363" t="str">
        <f>_xlfn.IFNA(VLOOKUP($BD182,Programma!$F$3:$U$1107,16,0),"")</f>
        <v/>
      </c>
      <c r="BT182" s="363" t="str">
        <f>_xlfn.IFNA(VLOOKUP($BD182,Programma!$F$3:$V$1107,17,0),"")</f>
        <v/>
      </c>
      <c r="BU182" s="363" t="str">
        <f>_xlfn.IFNA(VLOOKUP($BD182,Programma!$F$3:$W$1107,18,0),"")</f>
        <v/>
      </c>
      <c r="BV182" s="363" t="str">
        <f>_xlfn.IFNA(VLOOKUP($BD182,Programma!$F$3:$X$1107,19,0),"")</f>
        <v/>
      </c>
      <c r="BW182" s="363" t="str">
        <f>_xlfn.IFNA(VLOOKUP($BD182,Programma!$F$3:$Y$1107,20,0),"")</f>
        <v/>
      </c>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row>
    <row r="183" spans="1:220" ht="15" customHeight="1">
      <c r="A183" s="21">
        <v>4</v>
      </c>
      <c r="B183" s="157" t="str">
        <f>VLOOKUP(Ruimtestaat[[#This Row],[Code]],Locaties[[Code]:[Locatie]],2,FALSE)</f>
        <v>Sint-Maartenscollege</v>
      </c>
      <c r="C183" s="157" t="str">
        <f>VLOOKUP(Ruimtestaat[[#This Row],[Code]],Locaties[[#All],[Code]:[Adres]],4,FALSE)</f>
        <v xml:space="preserve">Aart v.d. Leeuwkade 14 </v>
      </c>
      <c r="D183" s="157" t="str">
        <f>VLOOKUP(Ruimtestaat[[#This Row],[Code]],Locaties[[#All],[Code]:[Postcode]],5,FALSE)</f>
        <v>2274 KX</v>
      </c>
      <c r="E183" s="157" t="str">
        <f>VLOOKUP(Ruimtestaat[[#This Row],[Code]],Locaties[#All],6,FALSE)</f>
        <v>Voorburg</v>
      </c>
      <c r="F183" s="33"/>
      <c r="G183" s="33" t="s">
        <v>1632</v>
      </c>
      <c r="H183" s="21">
        <v>7</v>
      </c>
      <c r="I183" s="62" t="s">
        <v>1820</v>
      </c>
      <c r="J183" s="21">
        <v>19</v>
      </c>
      <c r="K183" s="62" t="str">
        <f>VLOOKUP(Ruimtestaat[[#This Row],[Ruimte code]],Ruimtegroepen[[#All],[Code]:[Ruimte omschrijving]],2,FALSE)</f>
        <v>kleedruimten</v>
      </c>
      <c r="L183" s="33" t="s">
        <v>102</v>
      </c>
      <c r="M183" s="367" t="s">
        <v>2502</v>
      </c>
      <c r="N183" s="140">
        <v>21</v>
      </c>
      <c r="O183" s="140"/>
      <c r="P183" s="125" t="str">
        <f>VLOOKUP(Ruimtestaat[[#This Row],[Ruimte code]],Ruimtegroepen[],4,FALSE)</f>
        <v>Ve</v>
      </c>
      <c r="R183" s="33">
        <v>40</v>
      </c>
      <c r="S183" s="33" t="s">
        <v>2</v>
      </c>
      <c r="T183" s="33">
        <f>IF(R183&gt;0,IF(RIGHT(Ruimtestaat[[#This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3" s="33">
        <f>IF(T183&gt;0,VLOOKUP($J183,Ruimtegroepen[],3,FALSE)*VLOOKUP($L183,Vloersoorten[],3,FALSE)*VLOOKUP($S183,Frequenties[],3,FALSE)*VLOOKUP($A183,Locaties[],3,FALSE),0)</f>
        <v>0</v>
      </c>
      <c r="V183" s="33">
        <f>Ruimtestaat[[#This Row],[Uitvoeringen werkdagen]]*Ruimtestaat[[#This Row],[Oppervlak (netto)]]</f>
        <v>4200</v>
      </c>
      <c r="W183" s="154">
        <f>IF(U183&gt;0,Ruimtestaat[[#This Row],[Prest. (m2 /jaar) werkdagen]]/Ruimtestaat[[#This Row],[Norm (m2/uur) werkdagen]],0)</f>
        <v>0</v>
      </c>
      <c r="X183" s="155">
        <f>Ruimtestaat[[#This Row],[uren / jaar werkdagen]]*Tariefsopbouw!$E$35</f>
        <v>0</v>
      </c>
      <c r="Y183" s="33"/>
      <c r="Z183" s="33">
        <f>IF(Ruimtestaat[[#This Row],[Frequentie weekend]]&gt;0,VALUE(LEFT(Y183,1))*R183,0)</f>
        <v>0</v>
      </c>
      <c r="AA183" s="97">
        <f>IF($Z183&gt;0,VLOOKUP($J183,Ruimtegroepen[],3,FALSE)*VLOOKUP($L183,Vloersoorten[],3,FALSE)*VLOOKUP($Y183,Frequenties[],3,FALSE)*VLOOKUP(Ruimtestaat[[#This Row],[Code]],Locaties[],3,FALSE),0)</f>
        <v>0</v>
      </c>
      <c r="AB183" s="97">
        <f>Ruimtestaat[[#This Row],[Uitvoeringen weekend]]*Ruimtestaat[[#This Row],[Oppervlak (netto)]]</f>
        <v>0</v>
      </c>
      <c r="AC183" s="97">
        <f>IF(AA183&gt;0,Ruimtestaat[[#This Row],[Prest. (m2 /jaar) weekend]]/Ruimtestaat[[#This Row],[Norm (m2/uur) weekend]],0)</f>
        <v>0</v>
      </c>
      <c r="AD183" s="155">
        <f>Ruimtestaat[[#This Row],[uren / jaar weekend]]*Tariefsopbouw!$D$40</f>
        <v>0</v>
      </c>
      <c r="AE183" s="154">
        <f>Ruimtestaat[[#This Row],[Prest. (m2 /jaar) weekend]]+Ruimtestaat[[#This Row],[Prest. (m2 /jaar) werkdagen]]</f>
        <v>4200</v>
      </c>
      <c r="AF183" s="154">
        <f>Ruimtestaat[[#This Row],[uren / jaar weekend]]+Ruimtestaat[[#This Row],[uren / jaar werkdagen]]</f>
        <v>0</v>
      </c>
      <c r="AG183" s="69">
        <f>Ruimtestaat[[#This Row],[kosten / jaar weekend]]+Ruimtestaat[[#This Row],[kosten / jaar werkdagen]]</f>
        <v>0</v>
      </c>
      <c r="AH183" s="69"/>
      <c r="AI183" s="256" t="str">
        <f>IF(Ruimtestaat[[#This Row],[Frequentie werkdagen]]="","",_xlfn.CONCAT(Ruimtestaat[[#This Row],[Ruimte code]],"-",Ruimtestaat[[#This Row],[Frequentie werkdagen]]," ",Ruimtestaat[[#This Row],[Vloer code]]))</f>
        <v>19-5w S</v>
      </c>
      <c r="AJ183" s="363" t="str">
        <f>_xlfn.IFNA(VLOOKUP($AI183,Programma!$F$3:$G$1107,2,0),"")</f>
        <v>_</v>
      </c>
      <c r="AK183" s="363" t="str">
        <f>_xlfn.IFNA(VLOOKUP($AI183,Programma!$F$3:$H$1107,3,0),"")</f>
        <v>_</v>
      </c>
      <c r="AL183" s="363" t="str">
        <f>_xlfn.IFNA(VLOOKUP($AI183,Programma!$F$3:$I$1107,4,0),"")</f>
        <v>5w</v>
      </c>
      <c r="AM183" s="363" t="str">
        <f>_xlfn.IFNA(VLOOKUP($AI183,Programma!$F$3:$J$1107,5,0),"")</f>
        <v>_</v>
      </c>
      <c r="AN183" s="363" t="str">
        <f>_xlfn.IFNA(VLOOKUP($AI183,Programma!$F$3:$K$1107,6,0),"")</f>
        <v>5w</v>
      </c>
      <c r="AO183" s="363" t="str">
        <f>_xlfn.IFNA(VLOOKUP($AI183,Programma!$F$3:$L$1107,7,0),"")</f>
        <v>_</v>
      </c>
      <c r="AP183" s="363" t="str">
        <f>_xlfn.IFNA(VLOOKUP($AI183,Programma!$F$3:$M$1107,8,0),"")</f>
        <v>_</v>
      </c>
      <c r="AQ183" s="363" t="str">
        <f>_xlfn.IFNA(VLOOKUP($AI183,Programma!$F$3:$N$1107,9,0),"")</f>
        <v>_</v>
      </c>
      <c r="AR183" s="363" t="str">
        <f>_xlfn.IFNA(VLOOKUP($AI183,Programma!$F$3:$O$1107,10,0),"")</f>
        <v>5w</v>
      </c>
      <c r="AS183" s="363" t="str">
        <f>_xlfn.IFNA(VLOOKUP($AI183,Programma!$F$3:$P$1107,11,0),"")</f>
        <v>5w</v>
      </c>
      <c r="AT183" s="363" t="str">
        <f>_xlfn.IFNA(VLOOKUP($AI183,Programma!$F$3:$Q$1107,12,0),"")</f>
        <v>1w</v>
      </c>
      <c r="AU183" s="363" t="str">
        <f>_xlfn.IFNA(VLOOKUP($AI183,Programma!$F$3:$R$1107,13,0),"")</f>
        <v>1w</v>
      </c>
      <c r="AV183" s="363" t="str">
        <f>_xlfn.IFNA(VLOOKUP($AI183,Programma!$F$3:$S$1107,14,0),"")</f>
        <v>1m</v>
      </c>
      <c r="AW183" s="363" t="str">
        <f>_xlfn.IFNA(VLOOKUP($AI183,Programma!$F$3:$T$1107,15,0),"")</f>
        <v>2j</v>
      </c>
      <c r="AX183" s="363" t="str">
        <f>_xlfn.IFNA(VLOOKUP($AI183,Programma!$F$3:$U$1107,16,0),"")</f>
        <v>1j</v>
      </c>
      <c r="AY183" s="363" t="str">
        <f>_xlfn.IFNA(VLOOKUP($AI183,Programma!$F$3:$V$1107,17,0),"")</f>
        <v>_</v>
      </c>
      <c r="AZ183" s="363" t="str">
        <f>_xlfn.IFNA(VLOOKUP($AI183,Programma!$F$3:$W$1107,18,0),"")</f>
        <v>_</v>
      </c>
      <c r="BA183" s="363" t="str">
        <f>_xlfn.IFNA(VLOOKUP($AI183,Programma!$F$3:$X$1107,19,0),"")</f>
        <v>_</v>
      </c>
      <c r="BB183" s="363" t="str">
        <f>_xlfn.IFNA(VLOOKUP($AI183,Programma!$F$3:$Y$1107,20,0),"")</f>
        <v>_</v>
      </c>
      <c r="BC183" s="257"/>
      <c r="BD183" s="256" t="str">
        <f>IF(Ruimtestaat[[#This Row],[Frequentie weekend]]="","",_xlfn.CONCAT(Ruimtestaat[[#This Row],[Ruimte code]],"-",Ruimtestaat[[#This Row],[Frequentie weekend]]," ",Ruimtestaat[[#This Row],[Vloer code]]))</f>
        <v/>
      </c>
      <c r="BE183" s="363" t="str">
        <f>_xlfn.IFNA(VLOOKUP($BD183,Programma!$F$3:$G$1107,2,0),"")</f>
        <v/>
      </c>
      <c r="BF183" s="363" t="str">
        <f>_xlfn.IFNA(VLOOKUP($BD183,Programma!$F$3:$H$1107,3,0),"")</f>
        <v/>
      </c>
      <c r="BG183" s="363" t="str">
        <f>_xlfn.IFNA(VLOOKUP($BD183,Programma!$F$3:$I$1107,4,0),"")</f>
        <v/>
      </c>
      <c r="BH183" s="363" t="str">
        <f>_xlfn.IFNA(VLOOKUP($BD183,Programma!$F$3:$J$1107,5,0),"")</f>
        <v/>
      </c>
      <c r="BI183" s="363" t="str">
        <f>_xlfn.IFNA(VLOOKUP($BD183,Programma!$F$3:$K$1107,6,0),"")</f>
        <v/>
      </c>
      <c r="BJ183" s="363" t="str">
        <f>_xlfn.IFNA(VLOOKUP($BD183,Programma!$F$3:$L$1107,7,0),"")</f>
        <v/>
      </c>
      <c r="BK183" s="363" t="str">
        <f>_xlfn.IFNA(VLOOKUP($BD183,Programma!$F$3:$M$1107,8,0),"")</f>
        <v/>
      </c>
      <c r="BL183" s="363" t="str">
        <f>_xlfn.IFNA(VLOOKUP($BD183,Programma!$F$3:$N$1107,9,0),"")</f>
        <v/>
      </c>
      <c r="BM183" s="363" t="str">
        <f>_xlfn.IFNA(VLOOKUP($BD183,Programma!$F$3:$O$1107,10,0),"")</f>
        <v/>
      </c>
      <c r="BN183" s="363" t="str">
        <f>_xlfn.IFNA(VLOOKUP($BD183,Programma!$F$3:$P$1107,11,0),"")</f>
        <v/>
      </c>
      <c r="BO183" s="363" t="str">
        <f>_xlfn.IFNA(VLOOKUP($BD183,Programma!$F$3:$Q$1107,12,0),"")</f>
        <v/>
      </c>
      <c r="BP183" s="363" t="str">
        <f>_xlfn.IFNA(VLOOKUP($BD183,Programma!$F$3:$R$1107,13,0),"")</f>
        <v/>
      </c>
      <c r="BQ183" s="363" t="str">
        <f>_xlfn.IFNA(VLOOKUP($BD183,Programma!$F$3:$S$1107,14,0),"")</f>
        <v/>
      </c>
      <c r="BR183" s="363" t="str">
        <f>_xlfn.IFNA(VLOOKUP($BD183,Programma!$F$3:$T$1107,15,0),"")</f>
        <v/>
      </c>
      <c r="BS183" s="363" t="str">
        <f>_xlfn.IFNA(VLOOKUP($BD183,Programma!$F$3:$U$1107,16,0),"")</f>
        <v/>
      </c>
      <c r="BT183" s="363" t="str">
        <f>_xlfn.IFNA(VLOOKUP($BD183,Programma!$F$3:$V$1107,17,0),"")</f>
        <v/>
      </c>
      <c r="BU183" s="363" t="str">
        <f>_xlfn.IFNA(VLOOKUP($BD183,Programma!$F$3:$W$1107,18,0),"")</f>
        <v/>
      </c>
      <c r="BV183" s="363" t="str">
        <f>_xlfn.IFNA(VLOOKUP($BD183,Programma!$F$3:$X$1107,19,0),"")</f>
        <v/>
      </c>
      <c r="BW183" s="363" t="str">
        <f>_xlfn.IFNA(VLOOKUP($BD183,Programma!$F$3:$Y$1107,20,0),"")</f>
        <v/>
      </c>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row>
    <row r="184" spans="1:220" ht="15" customHeight="1">
      <c r="A184" s="21">
        <v>4</v>
      </c>
      <c r="B184" s="157" t="str">
        <f>VLOOKUP(Ruimtestaat[[#This Row],[Code]],Locaties[[Code]:[Locatie]],2,FALSE)</f>
        <v>Sint-Maartenscollege</v>
      </c>
      <c r="C184" s="157" t="str">
        <f>VLOOKUP(Ruimtestaat[[#This Row],[Code]],Locaties[[#All],[Code]:[Adres]],4,FALSE)</f>
        <v xml:space="preserve">Aart v.d. Leeuwkade 14 </v>
      </c>
      <c r="D184" s="157" t="str">
        <f>VLOOKUP(Ruimtestaat[[#This Row],[Code]],Locaties[[#All],[Code]:[Postcode]],5,FALSE)</f>
        <v>2274 KX</v>
      </c>
      <c r="E184" s="157" t="str">
        <f>VLOOKUP(Ruimtestaat[[#This Row],[Code]],Locaties[#All],6,FALSE)</f>
        <v>Voorburg</v>
      </c>
      <c r="F184" s="33"/>
      <c r="G184" s="33" t="s">
        <v>1632</v>
      </c>
      <c r="H184" s="21">
        <v>8</v>
      </c>
      <c r="I184" s="62" t="s">
        <v>1865</v>
      </c>
      <c r="J184" s="33">
        <v>5</v>
      </c>
      <c r="K184" s="62" t="str">
        <f>VLOOKUP(Ruimtestaat[[#This Row],[Ruimte code]],Ruimtegroepen[[#All],[Code]:[Ruimte omschrijving]],2,FALSE)</f>
        <v>Sanitair</v>
      </c>
      <c r="L184" s="33" t="s">
        <v>102</v>
      </c>
      <c r="M184" s="367" t="s">
        <v>2502</v>
      </c>
      <c r="N184" s="140">
        <v>20</v>
      </c>
      <c r="O184" s="140"/>
      <c r="P184" s="125" t="str">
        <f>VLOOKUP(Ruimtestaat[[#This Row],[Ruimte code]],Ruimtegroepen[],4,FALSE)</f>
        <v>Sa</v>
      </c>
      <c r="R184" s="33">
        <v>40</v>
      </c>
      <c r="S184" s="33" t="s">
        <v>2</v>
      </c>
      <c r="T184" s="33">
        <f>IF(R184&gt;0,IF(RIGHT(Ruimtestaat[[#This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4" s="33">
        <f>IF(T184&gt;0,VLOOKUP($J184,Ruimtegroepen[],3,FALSE)*VLOOKUP($L184,Vloersoorten[],3,FALSE)*VLOOKUP($S184,Frequenties[],3,FALSE)*VLOOKUP($A184,Locaties[],3,FALSE),0)</f>
        <v>0</v>
      </c>
      <c r="V184" s="33">
        <f>Ruimtestaat[[#This Row],[Uitvoeringen werkdagen]]*Ruimtestaat[[#This Row],[Oppervlak (netto)]]</f>
        <v>4000</v>
      </c>
      <c r="W184" s="154">
        <f>IF(U184&gt;0,Ruimtestaat[[#This Row],[Prest. (m2 /jaar) werkdagen]]/Ruimtestaat[[#This Row],[Norm (m2/uur) werkdagen]],0)</f>
        <v>0</v>
      </c>
      <c r="X184" s="155">
        <f>Ruimtestaat[[#This Row],[uren / jaar werkdagen]]*Tariefsopbouw!$E$35</f>
        <v>0</v>
      </c>
      <c r="Y184" s="33"/>
      <c r="Z184" s="33">
        <f>IF(Ruimtestaat[[#This Row],[Frequentie weekend]]&gt;0,VALUE(LEFT(Y184,1))*R184,0)</f>
        <v>0</v>
      </c>
      <c r="AA184" s="97">
        <f>IF($Z184&gt;0,VLOOKUP($J184,Ruimtegroepen[],3,FALSE)*VLOOKUP($L184,Vloersoorten[],3,FALSE)*VLOOKUP($Y184,Frequenties[],3,FALSE)*VLOOKUP(Ruimtestaat[[#This Row],[Code]],Locaties[],3,FALSE),0)</f>
        <v>0</v>
      </c>
      <c r="AB184" s="97">
        <f>Ruimtestaat[[#This Row],[Uitvoeringen weekend]]*Ruimtestaat[[#This Row],[Oppervlak (netto)]]</f>
        <v>0</v>
      </c>
      <c r="AC184" s="97">
        <f>IF(AA184&gt;0,Ruimtestaat[[#This Row],[Prest. (m2 /jaar) weekend]]/Ruimtestaat[[#This Row],[Norm (m2/uur) weekend]],0)</f>
        <v>0</v>
      </c>
      <c r="AD184" s="155">
        <f>Ruimtestaat[[#This Row],[uren / jaar weekend]]*Tariefsopbouw!$D$40</f>
        <v>0</v>
      </c>
      <c r="AE184" s="154">
        <f>Ruimtestaat[[#This Row],[Prest. (m2 /jaar) weekend]]+Ruimtestaat[[#This Row],[Prest. (m2 /jaar) werkdagen]]</f>
        <v>4000</v>
      </c>
      <c r="AF184" s="154">
        <f>Ruimtestaat[[#This Row],[uren / jaar weekend]]+Ruimtestaat[[#This Row],[uren / jaar werkdagen]]</f>
        <v>0</v>
      </c>
      <c r="AG184" s="69">
        <f>Ruimtestaat[[#This Row],[kosten / jaar weekend]]+Ruimtestaat[[#This Row],[kosten / jaar werkdagen]]</f>
        <v>0</v>
      </c>
      <c r="AH184" s="69"/>
      <c r="AI184" s="256" t="str">
        <f>IF(Ruimtestaat[[#This Row],[Frequentie werkdagen]]="","",_xlfn.CONCAT(Ruimtestaat[[#This Row],[Ruimte code]],"-",Ruimtestaat[[#This Row],[Frequentie werkdagen]]," ",Ruimtestaat[[#This Row],[Vloer code]]))</f>
        <v>5-5w S</v>
      </c>
      <c r="AJ184" s="363" t="str">
        <f>_xlfn.IFNA(VLOOKUP($AI184,Programma!$F$3:$G$1107,2,0),"")</f>
        <v>_</v>
      </c>
      <c r="AK184" s="363" t="str">
        <f>_xlfn.IFNA(VLOOKUP($AI184,Programma!$F$3:$H$1107,3,0),"")</f>
        <v>_</v>
      </c>
      <c r="AL184" s="363" t="str">
        <f>_xlfn.IFNA(VLOOKUP($AI184,Programma!$F$3:$I$1107,4,0),"")</f>
        <v>_</v>
      </c>
      <c r="AM184" s="363" t="str">
        <f>_xlfn.IFNA(VLOOKUP($AI184,Programma!$F$3:$J$1107,5,0),"")</f>
        <v>4w</v>
      </c>
      <c r="AN184" s="363" t="str">
        <f>_xlfn.IFNA(VLOOKUP($AI184,Programma!$F$3:$K$1107,6,0),"")</f>
        <v>1w</v>
      </c>
      <c r="AO184" s="363" t="str">
        <f>_xlfn.IFNA(VLOOKUP($AI184,Programma!$F$3:$L$1107,7,0),"")</f>
        <v>_</v>
      </c>
      <c r="AP184" s="363" t="str">
        <f>_xlfn.IFNA(VLOOKUP($AI184,Programma!$F$3:$M$1107,8,0),"")</f>
        <v>_</v>
      </c>
      <c r="AQ184" s="363" t="str">
        <f>_xlfn.IFNA(VLOOKUP($AI184,Programma!$F$3:$N$1107,9,0),"")</f>
        <v>_</v>
      </c>
      <c r="AR184" s="363" t="str">
        <f>_xlfn.IFNA(VLOOKUP($AI184,Programma!$F$3:$O$1107,10,0),"")</f>
        <v>_</v>
      </c>
      <c r="AS184" s="363" t="str">
        <f>_xlfn.IFNA(VLOOKUP($AI184,Programma!$F$3:$P$1107,11,0),"")</f>
        <v>_</v>
      </c>
      <c r="AT184" s="363" t="str">
        <f>_xlfn.IFNA(VLOOKUP($AI184,Programma!$F$3:$Q$1107,12,0),"")</f>
        <v>_</v>
      </c>
      <c r="AU184" s="363" t="str">
        <f>_xlfn.IFNA(VLOOKUP($AI184,Programma!$F$3:$R$1107,13,0),"")</f>
        <v>_</v>
      </c>
      <c r="AV184" s="363" t="str">
        <f>_xlfn.IFNA(VLOOKUP($AI184,Programma!$F$3:$S$1107,14,0),"")</f>
        <v>_</v>
      </c>
      <c r="AW184" s="363" t="str">
        <f>_xlfn.IFNA(VLOOKUP($AI184,Programma!$F$3:$T$1107,15,0),"")</f>
        <v>_</v>
      </c>
      <c r="AX184" s="363" t="str">
        <f>_xlfn.IFNA(VLOOKUP($AI184,Programma!$F$3:$U$1107,16,0),"")</f>
        <v>_</v>
      </c>
      <c r="AY184" s="363" t="str">
        <f>_xlfn.IFNA(VLOOKUP($AI184,Programma!$F$3:$V$1107,17,0),"")</f>
        <v>_</v>
      </c>
      <c r="AZ184" s="363" t="str">
        <f>_xlfn.IFNA(VLOOKUP($AI184,Programma!$F$3:$W$1107,18,0),"")</f>
        <v>4w</v>
      </c>
      <c r="BA184" s="363" t="str">
        <f>_xlfn.IFNA(VLOOKUP($AI184,Programma!$F$3:$X$1107,19,0),"")</f>
        <v>1w</v>
      </c>
      <c r="BB184" s="363" t="str">
        <f>_xlfn.IFNA(VLOOKUP($AI184,Programma!$F$3:$Y$1107,20,0),"")</f>
        <v>_</v>
      </c>
      <c r="BC184" s="257"/>
      <c r="BD184" s="256" t="str">
        <f>IF(Ruimtestaat[[#This Row],[Frequentie weekend]]="","",_xlfn.CONCAT(Ruimtestaat[[#This Row],[Ruimte code]],"-",Ruimtestaat[[#This Row],[Frequentie weekend]]," ",Ruimtestaat[[#This Row],[Vloer code]]))</f>
        <v/>
      </c>
      <c r="BE184" s="363" t="str">
        <f>_xlfn.IFNA(VLOOKUP($BD184,Programma!$F$3:$G$1107,2,0),"")</f>
        <v/>
      </c>
      <c r="BF184" s="363" t="str">
        <f>_xlfn.IFNA(VLOOKUP($BD184,Programma!$F$3:$H$1107,3,0),"")</f>
        <v/>
      </c>
      <c r="BG184" s="363" t="str">
        <f>_xlfn.IFNA(VLOOKUP($BD184,Programma!$F$3:$I$1107,4,0),"")</f>
        <v/>
      </c>
      <c r="BH184" s="363" t="str">
        <f>_xlfn.IFNA(VLOOKUP($BD184,Programma!$F$3:$J$1107,5,0),"")</f>
        <v/>
      </c>
      <c r="BI184" s="363" t="str">
        <f>_xlfn.IFNA(VLOOKUP($BD184,Programma!$F$3:$K$1107,6,0),"")</f>
        <v/>
      </c>
      <c r="BJ184" s="363" t="str">
        <f>_xlfn.IFNA(VLOOKUP($BD184,Programma!$F$3:$L$1107,7,0),"")</f>
        <v/>
      </c>
      <c r="BK184" s="363" t="str">
        <f>_xlfn.IFNA(VLOOKUP($BD184,Programma!$F$3:$M$1107,8,0),"")</f>
        <v/>
      </c>
      <c r="BL184" s="363" t="str">
        <f>_xlfn.IFNA(VLOOKUP($BD184,Programma!$F$3:$N$1107,9,0),"")</f>
        <v/>
      </c>
      <c r="BM184" s="363" t="str">
        <f>_xlfn.IFNA(VLOOKUP($BD184,Programma!$F$3:$O$1107,10,0),"")</f>
        <v/>
      </c>
      <c r="BN184" s="363" t="str">
        <f>_xlfn.IFNA(VLOOKUP($BD184,Programma!$F$3:$P$1107,11,0),"")</f>
        <v/>
      </c>
      <c r="BO184" s="363" t="str">
        <f>_xlfn.IFNA(VLOOKUP($BD184,Programma!$F$3:$Q$1107,12,0),"")</f>
        <v/>
      </c>
      <c r="BP184" s="363" t="str">
        <f>_xlfn.IFNA(VLOOKUP($BD184,Programma!$F$3:$R$1107,13,0),"")</f>
        <v/>
      </c>
      <c r="BQ184" s="363" t="str">
        <f>_xlfn.IFNA(VLOOKUP($BD184,Programma!$F$3:$S$1107,14,0),"")</f>
        <v/>
      </c>
      <c r="BR184" s="363" t="str">
        <f>_xlfn.IFNA(VLOOKUP($BD184,Programma!$F$3:$T$1107,15,0),"")</f>
        <v/>
      </c>
      <c r="BS184" s="363" t="str">
        <f>_xlfn.IFNA(VLOOKUP($BD184,Programma!$F$3:$U$1107,16,0),"")</f>
        <v/>
      </c>
      <c r="BT184" s="363" t="str">
        <f>_xlfn.IFNA(VLOOKUP($BD184,Programma!$F$3:$V$1107,17,0),"")</f>
        <v/>
      </c>
      <c r="BU184" s="363" t="str">
        <f>_xlfn.IFNA(VLOOKUP($BD184,Programma!$F$3:$W$1107,18,0),"")</f>
        <v/>
      </c>
      <c r="BV184" s="363" t="str">
        <f>_xlfn.IFNA(VLOOKUP($BD184,Programma!$F$3:$X$1107,19,0),"")</f>
        <v/>
      </c>
      <c r="BW184" s="363" t="str">
        <f>_xlfn.IFNA(VLOOKUP($BD184,Programma!$F$3:$Y$1107,20,0),"")</f>
        <v/>
      </c>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row>
    <row r="185" spans="1:220" ht="15" customHeight="1">
      <c r="A185" s="21">
        <v>4</v>
      </c>
      <c r="B185" s="157" t="str">
        <f>VLOOKUP(Ruimtestaat[[#This Row],[Code]],Locaties[[Code]:[Locatie]],2,FALSE)</f>
        <v>Sint-Maartenscollege</v>
      </c>
      <c r="C185" s="157" t="str">
        <f>VLOOKUP(Ruimtestaat[[#This Row],[Code]],Locaties[[#All],[Code]:[Adres]],4,FALSE)</f>
        <v xml:space="preserve">Aart v.d. Leeuwkade 14 </v>
      </c>
      <c r="D185" s="157" t="str">
        <f>VLOOKUP(Ruimtestaat[[#This Row],[Code]],Locaties[[#All],[Code]:[Postcode]],5,FALSE)</f>
        <v>2274 KX</v>
      </c>
      <c r="E185" s="157" t="str">
        <f>VLOOKUP(Ruimtestaat[[#This Row],[Code]],Locaties[#All],6,FALSE)</f>
        <v>Voorburg</v>
      </c>
      <c r="F185" s="33"/>
      <c r="G185" s="33" t="s">
        <v>1632</v>
      </c>
      <c r="H185" s="21">
        <v>9</v>
      </c>
      <c r="I185" s="62" t="s">
        <v>1866</v>
      </c>
      <c r="J185" s="21">
        <v>5</v>
      </c>
      <c r="K185" s="62" t="str">
        <f>VLOOKUP(Ruimtestaat[[#This Row],[Ruimte code]],Ruimtegroepen[[#All],[Code]:[Ruimte omschrijving]],2,FALSE)</f>
        <v>Sanitair</v>
      </c>
      <c r="L185" s="33" t="s">
        <v>102</v>
      </c>
      <c r="M185" s="367" t="s">
        <v>2502</v>
      </c>
      <c r="N185" s="140">
        <v>4</v>
      </c>
      <c r="O185" s="140"/>
      <c r="P185" s="125" t="str">
        <f>VLOOKUP(Ruimtestaat[[#This Row],[Ruimte code]],Ruimtegroepen[],4,FALSE)</f>
        <v>Sa</v>
      </c>
      <c r="R185" s="33">
        <v>40</v>
      </c>
      <c r="S185" s="33" t="s">
        <v>2</v>
      </c>
      <c r="T185" s="33">
        <f>IF(R185&gt;0,IF(RIGHT(Ruimtestaat[[#This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5" s="33">
        <f>IF(T185&gt;0,VLOOKUP($J185,Ruimtegroepen[],3,FALSE)*VLOOKUP($L185,Vloersoorten[],3,FALSE)*VLOOKUP($S185,Frequenties[],3,FALSE)*VLOOKUP($A185,Locaties[],3,FALSE),0)</f>
        <v>0</v>
      </c>
      <c r="V185" s="33">
        <f>Ruimtestaat[[#This Row],[Uitvoeringen werkdagen]]*Ruimtestaat[[#This Row],[Oppervlak (netto)]]</f>
        <v>800</v>
      </c>
      <c r="W185" s="154">
        <f>IF(U185&gt;0,Ruimtestaat[[#This Row],[Prest. (m2 /jaar) werkdagen]]/Ruimtestaat[[#This Row],[Norm (m2/uur) werkdagen]],0)</f>
        <v>0</v>
      </c>
      <c r="X185" s="155">
        <f>Ruimtestaat[[#This Row],[uren / jaar werkdagen]]*Tariefsopbouw!$E$35</f>
        <v>0</v>
      </c>
      <c r="Y185" s="33"/>
      <c r="Z185" s="33">
        <f>IF(Ruimtestaat[[#This Row],[Frequentie weekend]]&gt;0,VALUE(LEFT(Y185,1))*R185,0)</f>
        <v>0</v>
      </c>
      <c r="AA185" s="97">
        <f>IF($Z185&gt;0,VLOOKUP($J185,Ruimtegroepen[],3,FALSE)*VLOOKUP($L185,Vloersoorten[],3,FALSE)*VLOOKUP($Y185,Frequenties[],3,FALSE)*VLOOKUP(Ruimtestaat[[#This Row],[Code]],Locaties[],3,FALSE),0)</f>
        <v>0</v>
      </c>
      <c r="AB185" s="97">
        <f>Ruimtestaat[[#This Row],[Uitvoeringen weekend]]*Ruimtestaat[[#This Row],[Oppervlak (netto)]]</f>
        <v>0</v>
      </c>
      <c r="AC185" s="97">
        <f>IF(AA185&gt;0,Ruimtestaat[[#This Row],[Prest. (m2 /jaar) weekend]]/Ruimtestaat[[#This Row],[Norm (m2/uur) weekend]],0)</f>
        <v>0</v>
      </c>
      <c r="AD185" s="155">
        <f>Ruimtestaat[[#This Row],[uren / jaar weekend]]*Tariefsopbouw!$D$40</f>
        <v>0</v>
      </c>
      <c r="AE185" s="154">
        <f>Ruimtestaat[[#This Row],[Prest. (m2 /jaar) weekend]]+Ruimtestaat[[#This Row],[Prest. (m2 /jaar) werkdagen]]</f>
        <v>800</v>
      </c>
      <c r="AF185" s="154">
        <f>Ruimtestaat[[#This Row],[uren / jaar weekend]]+Ruimtestaat[[#This Row],[uren / jaar werkdagen]]</f>
        <v>0</v>
      </c>
      <c r="AG185" s="69">
        <f>Ruimtestaat[[#This Row],[kosten / jaar weekend]]+Ruimtestaat[[#This Row],[kosten / jaar werkdagen]]</f>
        <v>0</v>
      </c>
      <c r="AH185" s="69"/>
      <c r="AI185" s="256" t="str">
        <f>IF(Ruimtestaat[[#This Row],[Frequentie werkdagen]]="","",_xlfn.CONCAT(Ruimtestaat[[#This Row],[Ruimte code]],"-",Ruimtestaat[[#This Row],[Frequentie werkdagen]]," ",Ruimtestaat[[#This Row],[Vloer code]]))</f>
        <v>5-5w S</v>
      </c>
      <c r="AJ185" s="363" t="str">
        <f>_xlfn.IFNA(VLOOKUP($AI185,Programma!$F$3:$G$1107,2,0),"")</f>
        <v>_</v>
      </c>
      <c r="AK185" s="363" t="str">
        <f>_xlfn.IFNA(VLOOKUP($AI185,Programma!$F$3:$H$1107,3,0),"")</f>
        <v>_</v>
      </c>
      <c r="AL185" s="363" t="str">
        <f>_xlfn.IFNA(VLOOKUP($AI185,Programma!$F$3:$I$1107,4,0),"")</f>
        <v>_</v>
      </c>
      <c r="AM185" s="363" t="str">
        <f>_xlfn.IFNA(VLOOKUP($AI185,Programma!$F$3:$J$1107,5,0),"")</f>
        <v>4w</v>
      </c>
      <c r="AN185" s="363" t="str">
        <f>_xlfn.IFNA(VLOOKUP($AI185,Programma!$F$3:$K$1107,6,0),"")</f>
        <v>1w</v>
      </c>
      <c r="AO185" s="363" t="str">
        <f>_xlfn.IFNA(VLOOKUP($AI185,Programma!$F$3:$L$1107,7,0),"")</f>
        <v>_</v>
      </c>
      <c r="AP185" s="363" t="str">
        <f>_xlfn.IFNA(VLOOKUP($AI185,Programma!$F$3:$M$1107,8,0),"")</f>
        <v>_</v>
      </c>
      <c r="AQ185" s="363" t="str">
        <f>_xlfn.IFNA(VLOOKUP($AI185,Programma!$F$3:$N$1107,9,0),"")</f>
        <v>_</v>
      </c>
      <c r="AR185" s="363" t="str">
        <f>_xlfn.IFNA(VLOOKUP($AI185,Programma!$F$3:$O$1107,10,0),"")</f>
        <v>_</v>
      </c>
      <c r="AS185" s="363" t="str">
        <f>_xlfn.IFNA(VLOOKUP($AI185,Programma!$F$3:$P$1107,11,0),"")</f>
        <v>_</v>
      </c>
      <c r="AT185" s="363" t="str">
        <f>_xlfn.IFNA(VLOOKUP($AI185,Programma!$F$3:$Q$1107,12,0),"")</f>
        <v>_</v>
      </c>
      <c r="AU185" s="363" t="str">
        <f>_xlfn.IFNA(VLOOKUP($AI185,Programma!$F$3:$R$1107,13,0),"")</f>
        <v>_</v>
      </c>
      <c r="AV185" s="363" t="str">
        <f>_xlfn.IFNA(VLOOKUP($AI185,Programma!$F$3:$S$1107,14,0),"")</f>
        <v>_</v>
      </c>
      <c r="AW185" s="363" t="str">
        <f>_xlfn.IFNA(VLOOKUP($AI185,Programma!$F$3:$T$1107,15,0),"")</f>
        <v>_</v>
      </c>
      <c r="AX185" s="363" t="str">
        <f>_xlfn.IFNA(VLOOKUP($AI185,Programma!$F$3:$U$1107,16,0),"")</f>
        <v>_</v>
      </c>
      <c r="AY185" s="363" t="str">
        <f>_xlfn.IFNA(VLOOKUP($AI185,Programma!$F$3:$V$1107,17,0),"")</f>
        <v>_</v>
      </c>
      <c r="AZ185" s="363" t="str">
        <f>_xlfn.IFNA(VLOOKUP($AI185,Programma!$F$3:$W$1107,18,0),"")</f>
        <v>4w</v>
      </c>
      <c r="BA185" s="363" t="str">
        <f>_xlfn.IFNA(VLOOKUP($AI185,Programma!$F$3:$X$1107,19,0),"")</f>
        <v>1w</v>
      </c>
      <c r="BB185" s="363" t="str">
        <f>_xlfn.IFNA(VLOOKUP($AI185,Programma!$F$3:$Y$1107,20,0),"")</f>
        <v>_</v>
      </c>
      <c r="BC185" s="257"/>
      <c r="BD185" s="256" t="str">
        <f>IF(Ruimtestaat[[#This Row],[Frequentie weekend]]="","",_xlfn.CONCAT(Ruimtestaat[[#This Row],[Ruimte code]],"-",Ruimtestaat[[#This Row],[Frequentie weekend]]," ",Ruimtestaat[[#This Row],[Vloer code]]))</f>
        <v/>
      </c>
      <c r="BE185" s="363" t="str">
        <f>_xlfn.IFNA(VLOOKUP($BD185,Programma!$F$3:$G$1107,2,0),"")</f>
        <v/>
      </c>
      <c r="BF185" s="363" t="str">
        <f>_xlfn.IFNA(VLOOKUP($BD185,Programma!$F$3:$H$1107,3,0),"")</f>
        <v/>
      </c>
      <c r="BG185" s="363" t="str">
        <f>_xlfn.IFNA(VLOOKUP($BD185,Programma!$F$3:$I$1107,4,0),"")</f>
        <v/>
      </c>
      <c r="BH185" s="363" t="str">
        <f>_xlfn.IFNA(VLOOKUP($BD185,Programma!$F$3:$J$1107,5,0),"")</f>
        <v/>
      </c>
      <c r="BI185" s="363" t="str">
        <f>_xlfn.IFNA(VLOOKUP($BD185,Programma!$F$3:$K$1107,6,0),"")</f>
        <v/>
      </c>
      <c r="BJ185" s="363" t="str">
        <f>_xlfn.IFNA(VLOOKUP($BD185,Programma!$F$3:$L$1107,7,0),"")</f>
        <v/>
      </c>
      <c r="BK185" s="363" t="str">
        <f>_xlfn.IFNA(VLOOKUP($BD185,Programma!$F$3:$M$1107,8,0),"")</f>
        <v/>
      </c>
      <c r="BL185" s="363" t="str">
        <f>_xlfn.IFNA(VLOOKUP($BD185,Programma!$F$3:$N$1107,9,0),"")</f>
        <v/>
      </c>
      <c r="BM185" s="363" t="str">
        <f>_xlfn.IFNA(VLOOKUP($BD185,Programma!$F$3:$O$1107,10,0),"")</f>
        <v/>
      </c>
      <c r="BN185" s="363" t="str">
        <f>_xlfn.IFNA(VLOOKUP($BD185,Programma!$F$3:$P$1107,11,0),"")</f>
        <v/>
      </c>
      <c r="BO185" s="363" t="str">
        <f>_xlfn.IFNA(VLOOKUP($BD185,Programma!$F$3:$Q$1107,12,0),"")</f>
        <v/>
      </c>
      <c r="BP185" s="363" t="str">
        <f>_xlfn.IFNA(VLOOKUP($BD185,Programma!$F$3:$R$1107,13,0),"")</f>
        <v/>
      </c>
      <c r="BQ185" s="363" t="str">
        <f>_xlfn.IFNA(VLOOKUP($BD185,Programma!$F$3:$S$1107,14,0),"")</f>
        <v/>
      </c>
      <c r="BR185" s="363" t="str">
        <f>_xlfn.IFNA(VLOOKUP($BD185,Programma!$F$3:$T$1107,15,0),"")</f>
        <v/>
      </c>
      <c r="BS185" s="363" t="str">
        <f>_xlfn.IFNA(VLOOKUP($BD185,Programma!$F$3:$U$1107,16,0),"")</f>
        <v/>
      </c>
      <c r="BT185" s="363" t="str">
        <f>_xlfn.IFNA(VLOOKUP($BD185,Programma!$F$3:$V$1107,17,0),"")</f>
        <v/>
      </c>
      <c r="BU185" s="363" t="str">
        <f>_xlfn.IFNA(VLOOKUP($BD185,Programma!$F$3:$W$1107,18,0),"")</f>
        <v/>
      </c>
      <c r="BV185" s="363" t="str">
        <f>_xlfn.IFNA(VLOOKUP($BD185,Programma!$F$3:$X$1107,19,0),"")</f>
        <v/>
      </c>
      <c r="BW185" s="363" t="str">
        <f>_xlfn.IFNA(VLOOKUP($BD185,Programma!$F$3:$Y$1107,20,0),"")</f>
        <v/>
      </c>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row>
    <row r="186" spans="1:220" ht="15" customHeight="1">
      <c r="A186" s="21">
        <v>4</v>
      </c>
      <c r="B186" s="157" t="str">
        <f>VLOOKUP(Ruimtestaat[[#This Row],[Code]],Locaties[[Code]:[Locatie]],2,FALSE)</f>
        <v>Sint-Maartenscollege</v>
      </c>
      <c r="C186" s="157" t="str">
        <f>VLOOKUP(Ruimtestaat[[#This Row],[Code]],Locaties[[#All],[Code]:[Adres]],4,FALSE)</f>
        <v xml:space="preserve">Aart v.d. Leeuwkade 14 </v>
      </c>
      <c r="D186" s="157" t="str">
        <f>VLOOKUP(Ruimtestaat[[#This Row],[Code]],Locaties[[#All],[Code]:[Postcode]],5,FALSE)</f>
        <v>2274 KX</v>
      </c>
      <c r="E186" s="157" t="str">
        <f>VLOOKUP(Ruimtestaat[[#This Row],[Code]],Locaties[#All],6,FALSE)</f>
        <v>Voorburg</v>
      </c>
      <c r="F186" s="33"/>
      <c r="G186" s="33" t="s">
        <v>1632</v>
      </c>
      <c r="H186" s="21">
        <v>10</v>
      </c>
      <c r="I186" s="62" t="s">
        <v>1867</v>
      </c>
      <c r="J186" s="21">
        <v>18</v>
      </c>
      <c r="K186" s="62" t="str">
        <f>VLOOKUP(Ruimtestaat[[#This Row],[Ruimte code]],Ruimtegroepen[[#All],[Code]:[Ruimte omschrijving]],2,FALSE)</f>
        <v>Gymzaal</v>
      </c>
      <c r="L186" s="33" t="s">
        <v>103</v>
      </c>
      <c r="M186" s="367" t="s">
        <v>2505</v>
      </c>
      <c r="N186" s="140">
        <v>254</v>
      </c>
      <c r="O186" s="140"/>
      <c r="P186" s="125" t="str">
        <f>VLOOKUP(Ruimtestaat[[#This Row],[Ruimte code]],Ruimtegroepen[],4,FALSE)</f>
        <v>Sp</v>
      </c>
      <c r="R186" s="33">
        <v>40</v>
      </c>
      <c r="S186" s="33" t="s">
        <v>2</v>
      </c>
      <c r="T186" s="33">
        <f>IF(R186&gt;0,IF(RIGHT(Ruimtestaat[[#This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6" s="33">
        <f>IF(T186&gt;0,VLOOKUP($J186,Ruimtegroepen[],3,FALSE)*VLOOKUP($L186,Vloersoorten[],3,FALSE)*VLOOKUP($S186,Frequenties[],3,FALSE)*VLOOKUP($A186,Locaties[],3,FALSE),0)</f>
        <v>0</v>
      </c>
      <c r="V186" s="33">
        <f>Ruimtestaat[[#This Row],[Uitvoeringen werkdagen]]*Ruimtestaat[[#This Row],[Oppervlak (netto)]]</f>
        <v>50800</v>
      </c>
      <c r="W186" s="154">
        <f>IF(U186&gt;0,Ruimtestaat[[#This Row],[Prest. (m2 /jaar) werkdagen]]/Ruimtestaat[[#This Row],[Norm (m2/uur) werkdagen]],0)</f>
        <v>0</v>
      </c>
      <c r="X186" s="155">
        <f>Ruimtestaat[[#This Row],[uren / jaar werkdagen]]*Tariefsopbouw!$E$35</f>
        <v>0</v>
      </c>
      <c r="Y186" s="33"/>
      <c r="Z186" s="33">
        <f>IF(Ruimtestaat[[#This Row],[Frequentie weekend]]&gt;0,VALUE(LEFT(Y186,1))*R186,0)</f>
        <v>0</v>
      </c>
      <c r="AA186" s="97">
        <f>IF($Z186&gt;0,VLOOKUP($J186,Ruimtegroepen[],3,FALSE)*VLOOKUP($L186,Vloersoorten[],3,FALSE)*VLOOKUP($Y186,Frequenties[],3,FALSE)*VLOOKUP(Ruimtestaat[[#This Row],[Code]],Locaties[],3,FALSE),0)</f>
        <v>0</v>
      </c>
      <c r="AB186" s="97">
        <f>Ruimtestaat[[#This Row],[Uitvoeringen weekend]]*Ruimtestaat[[#This Row],[Oppervlak (netto)]]</f>
        <v>0</v>
      </c>
      <c r="AC186" s="97">
        <f>IF(AA186&gt;0,Ruimtestaat[[#This Row],[Prest. (m2 /jaar) weekend]]/Ruimtestaat[[#This Row],[Norm (m2/uur) weekend]],0)</f>
        <v>0</v>
      </c>
      <c r="AD186" s="155">
        <f>Ruimtestaat[[#This Row],[uren / jaar weekend]]*Tariefsopbouw!$D$40</f>
        <v>0</v>
      </c>
      <c r="AE186" s="154">
        <f>Ruimtestaat[[#This Row],[Prest. (m2 /jaar) weekend]]+Ruimtestaat[[#This Row],[Prest. (m2 /jaar) werkdagen]]</f>
        <v>50800</v>
      </c>
      <c r="AF186" s="154">
        <f>Ruimtestaat[[#This Row],[uren / jaar weekend]]+Ruimtestaat[[#This Row],[uren / jaar werkdagen]]</f>
        <v>0</v>
      </c>
      <c r="AG186" s="69">
        <f>Ruimtestaat[[#This Row],[kosten / jaar weekend]]+Ruimtestaat[[#This Row],[kosten / jaar werkdagen]]</f>
        <v>0</v>
      </c>
      <c r="AH186" s="69"/>
      <c r="AI186" s="256" t="str">
        <f>IF(Ruimtestaat[[#This Row],[Frequentie werkdagen]]="","",_xlfn.CONCAT(Ruimtestaat[[#This Row],[Ruimte code]],"-",Ruimtestaat[[#This Row],[Frequentie werkdagen]]," ",Ruimtestaat[[#This Row],[Vloer code]]))</f>
        <v>18-5w P</v>
      </c>
      <c r="AJ186" s="300" t="str">
        <f>_xlfn.IFNA(VLOOKUP($AI186,Programma!$F$3:$G$1107,2,0),"")</f>
        <v>_</v>
      </c>
      <c r="AK186" s="300" t="str">
        <f>_xlfn.IFNA(VLOOKUP($AI186,Programma!$F$3:$H$1107,3,0),"")</f>
        <v>_</v>
      </c>
      <c r="AL186" s="300" t="str">
        <f>_xlfn.IFNA(VLOOKUP($AI186,Programma!$F$3:$I$1107,4,0),"")</f>
        <v>4w</v>
      </c>
      <c r="AM186" s="300" t="str">
        <f>_xlfn.IFNA(VLOOKUP($AI186,Programma!$F$3:$J$1107,5,0),"")</f>
        <v>1w</v>
      </c>
      <c r="AN186" s="300" t="str">
        <f>_xlfn.IFNA(VLOOKUP($AI186,Programma!$F$3:$K$1107,6,0),"")</f>
        <v>4j</v>
      </c>
      <c r="AO186" s="300" t="str">
        <f>_xlfn.IFNA(VLOOKUP($AI186,Programma!$F$3:$L$1107,7,0),"")</f>
        <v>_</v>
      </c>
      <c r="AP186" s="300" t="str">
        <f>_xlfn.IFNA(VLOOKUP($AI186,Programma!$F$3:$M$1107,8,0),"")</f>
        <v>_</v>
      </c>
      <c r="AQ186" s="300" t="str">
        <f>_xlfn.IFNA(VLOOKUP($AI186,Programma!$F$3:$N$1107,9,0),"")</f>
        <v>_</v>
      </c>
      <c r="AR186" s="300" t="str">
        <f>_xlfn.IFNA(VLOOKUP($AI186,Programma!$F$3:$O$1107,10,0),"")</f>
        <v>5w</v>
      </c>
      <c r="AS186" s="300" t="str">
        <f>_xlfn.IFNA(VLOOKUP($AI186,Programma!$F$3:$P$1107,11,0),"")</f>
        <v>5w</v>
      </c>
      <c r="AT186" s="300" t="str">
        <f>_xlfn.IFNA(VLOOKUP($AI186,Programma!$F$3:$Q$1107,12,0),"")</f>
        <v>5w</v>
      </c>
      <c r="AU186" s="300" t="str">
        <f>_xlfn.IFNA(VLOOKUP($AI186,Programma!$F$3:$R$1107,13,0),"")</f>
        <v>5w</v>
      </c>
      <c r="AV186" s="300" t="str">
        <f>_xlfn.IFNA(VLOOKUP($AI186,Programma!$F$3:$S$1107,14,0),"")</f>
        <v>1m</v>
      </c>
      <c r="AW186" s="300" t="str">
        <f>_xlfn.IFNA(VLOOKUP($AI186,Programma!$F$3:$T$1107,15,0),"")</f>
        <v>2j</v>
      </c>
      <c r="AX186" s="300" t="str">
        <f>_xlfn.IFNA(VLOOKUP($AI186,Programma!$F$3:$U$1107,16,0),"")</f>
        <v>1j</v>
      </c>
      <c r="AY186" s="300" t="str">
        <f>_xlfn.IFNA(VLOOKUP($AI186,Programma!$F$3:$V$1107,17,0),"")</f>
        <v>_</v>
      </c>
      <c r="AZ186" s="300" t="str">
        <f>_xlfn.IFNA(VLOOKUP($AI186,Programma!$F$3:$W$1107,18,0),"")</f>
        <v>_</v>
      </c>
      <c r="BA186" s="300" t="str">
        <f>_xlfn.IFNA(VLOOKUP($AI186,Programma!$F$3:$X$1107,19,0),"")</f>
        <v>_</v>
      </c>
      <c r="BB186" s="300" t="str">
        <f>_xlfn.IFNA(VLOOKUP($AI186,Programma!$F$3:$Y$1107,20,0),"")</f>
        <v>_</v>
      </c>
      <c r="BC186" s="257"/>
      <c r="BD186" s="256" t="str">
        <f>IF(Ruimtestaat[[#This Row],[Frequentie weekend]]="","",_xlfn.CONCAT(Ruimtestaat[[#This Row],[Ruimte code]],"-",Ruimtestaat[[#This Row],[Frequentie weekend]]," ",Ruimtestaat[[#This Row],[Vloer code]]))</f>
        <v/>
      </c>
      <c r="BE186" s="300" t="str">
        <f>_xlfn.IFNA(VLOOKUP($BD186,Programma!$F$3:$G$1107,2,0),"")</f>
        <v/>
      </c>
      <c r="BF186" s="300" t="str">
        <f>_xlfn.IFNA(VLOOKUP($BD186,Programma!$F$3:$H$1107,3,0),"")</f>
        <v/>
      </c>
      <c r="BG186" s="300" t="str">
        <f>_xlfn.IFNA(VLOOKUP($BD186,Programma!$F$3:$I$1107,4,0),"")</f>
        <v/>
      </c>
      <c r="BH186" s="300" t="str">
        <f>_xlfn.IFNA(VLOOKUP($BD186,Programma!$F$3:$J$1107,5,0),"")</f>
        <v/>
      </c>
      <c r="BI186" s="300" t="str">
        <f>_xlfn.IFNA(VLOOKUP($BD186,Programma!$F$3:$K$1107,6,0),"")</f>
        <v/>
      </c>
      <c r="BJ186" s="300" t="str">
        <f>_xlfn.IFNA(VLOOKUP($BD186,Programma!$F$3:$L$1107,7,0),"")</f>
        <v/>
      </c>
      <c r="BK186" s="300" t="str">
        <f>_xlfn.IFNA(VLOOKUP($BD186,Programma!$F$3:$M$1107,8,0),"")</f>
        <v/>
      </c>
      <c r="BL186" s="300" t="str">
        <f>_xlfn.IFNA(VLOOKUP($BD186,Programma!$F$3:$N$1107,9,0),"")</f>
        <v/>
      </c>
      <c r="BM186" s="300" t="str">
        <f>_xlfn.IFNA(VLOOKUP($BD186,Programma!$F$3:$O$1107,10,0),"")</f>
        <v/>
      </c>
      <c r="BN186" s="300" t="str">
        <f>_xlfn.IFNA(VLOOKUP($BD186,Programma!$F$3:$P$1107,11,0),"")</f>
        <v/>
      </c>
      <c r="BO186" s="300" t="str">
        <f>_xlfn.IFNA(VLOOKUP($BD186,Programma!$F$3:$Q$1107,12,0),"")</f>
        <v/>
      </c>
      <c r="BP186" s="300" t="str">
        <f>_xlfn.IFNA(VLOOKUP($BD186,Programma!$F$3:$R$1107,13,0),"")</f>
        <v/>
      </c>
      <c r="BQ186" s="300" t="str">
        <f>_xlfn.IFNA(VLOOKUP($BD186,Programma!$F$3:$S$1107,14,0),"")</f>
        <v/>
      </c>
      <c r="BR186" s="300" t="str">
        <f>_xlfn.IFNA(VLOOKUP($BD186,Programma!$F$3:$T$1107,15,0),"")</f>
        <v/>
      </c>
      <c r="BS186" s="300" t="str">
        <f>_xlfn.IFNA(VLOOKUP($BD186,Programma!$F$3:$U$1107,16,0),"")</f>
        <v/>
      </c>
      <c r="BT186" s="300" t="str">
        <f>_xlfn.IFNA(VLOOKUP($BD186,Programma!$F$3:$V$1107,17,0),"")</f>
        <v/>
      </c>
      <c r="BU186" s="300" t="str">
        <f>_xlfn.IFNA(VLOOKUP($BD186,Programma!$F$3:$W$1107,18,0),"")</f>
        <v/>
      </c>
      <c r="BV186" s="300" t="str">
        <f>_xlfn.IFNA(VLOOKUP($BD186,Programma!$F$3:$X$1107,19,0),"")</f>
        <v/>
      </c>
      <c r="BW186" s="300" t="str">
        <f>_xlfn.IFNA(VLOOKUP($BD186,Programma!$F$3:$Y$1107,20,0),"")</f>
        <v/>
      </c>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row>
    <row r="187" spans="1:220" ht="15" customHeight="1">
      <c r="A187" s="21">
        <v>4</v>
      </c>
      <c r="B187" s="157" t="str">
        <f>VLOOKUP(Ruimtestaat[[#This Row],[Code]],Locaties[[Code]:[Locatie]],2,FALSE)</f>
        <v>Sint-Maartenscollege</v>
      </c>
      <c r="C187" s="157" t="str">
        <f>VLOOKUP(Ruimtestaat[[#This Row],[Code]],Locaties[[#All],[Code]:[Adres]],4,FALSE)</f>
        <v xml:space="preserve">Aart v.d. Leeuwkade 14 </v>
      </c>
      <c r="D187" s="157" t="str">
        <f>VLOOKUP(Ruimtestaat[[#This Row],[Code]],Locaties[[#All],[Code]:[Postcode]],5,FALSE)</f>
        <v>2274 KX</v>
      </c>
      <c r="E187" s="157" t="str">
        <f>VLOOKUP(Ruimtestaat[[#This Row],[Code]],Locaties[#All],6,FALSE)</f>
        <v>Voorburg</v>
      </c>
      <c r="F187" s="33"/>
      <c r="G187" s="33" t="s">
        <v>1632</v>
      </c>
      <c r="H187" s="21">
        <v>11</v>
      </c>
      <c r="I187" s="62" t="s">
        <v>1287</v>
      </c>
      <c r="J187" s="21">
        <v>17</v>
      </c>
      <c r="K187" s="62" t="str">
        <f>VLOOKUP(Ruimtestaat[[#This Row],[Ruimte code]],Ruimtegroepen[[#All],[Code]:[Ruimte omschrijving]],2,FALSE)</f>
        <v>Toestelberging</v>
      </c>
      <c r="L187" s="33" t="s">
        <v>103</v>
      </c>
      <c r="M187" s="367" t="s">
        <v>2505</v>
      </c>
      <c r="N187" s="140">
        <v>34</v>
      </c>
      <c r="O187" s="140"/>
      <c r="P187" s="125" t="str">
        <f>VLOOKUP(Ruimtestaat[[#This Row],[Ruimte code]],Ruimtegroepen[],4,FALSE)</f>
        <v>Ve</v>
      </c>
      <c r="R187" s="33">
        <v>40</v>
      </c>
      <c r="S187" s="33" t="s">
        <v>16</v>
      </c>
      <c r="T187" s="33">
        <f>IF(R187&gt;0,IF(RIGHT(Ruimtestaat[[#This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87" s="33">
        <f>IF(T187&gt;0,VLOOKUP($J187,Ruimtegroepen[],3,FALSE)*VLOOKUP($L187,Vloersoorten[],3,FALSE)*VLOOKUP($S187,Frequenties[],3,FALSE)*VLOOKUP($A187,Locaties[],3,FALSE),0)</f>
        <v>0</v>
      </c>
      <c r="V187" s="33">
        <f>Ruimtestaat[[#This Row],[Uitvoeringen werkdagen]]*Ruimtestaat[[#This Row],[Oppervlak (netto)]]</f>
        <v>408</v>
      </c>
      <c r="W187" s="154">
        <f>IF(U187&gt;0,Ruimtestaat[[#This Row],[Prest. (m2 /jaar) werkdagen]]/Ruimtestaat[[#This Row],[Norm (m2/uur) werkdagen]],0)</f>
        <v>0</v>
      </c>
      <c r="X187" s="155">
        <f>Ruimtestaat[[#This Row],[uren / jaar werkdagen]]*Tariefsopbouw!$E$35</f>
        <v>0</v>
      </c>
      <c r="Y187" s="33"/>
      <c r="Z187" s="33">
        <f>IF(Ruimtestaat[[#This Row],[Frequentie weekend]]&gt;0,VALUE(LEFT(Y187,1))*R187,0)</f>
        <v>0</v>
      </c>
      <c r="AA187" s="97">
        <f>IF($Z187&gt;0,VLOOKUP($J187,Ruimtegroepen[],3,FALSE)*VLOOKUP($L187,Vloersoorten[],3,FALSE)*VLOOKUP($Y187,Frequenties[],3,FALSE)*VLOOKUP(Ruimtestaat[[#This Row],[Code]],Locaties[],3,FALSE),0)</f>
        <v>0</v>
      </c>
      <c r="AB187" s="97">
        <f>Ruimtestaat[[#This Row],[Uitvoeringen weekend]]*Ruimtestaat[[#This Row],[Oppervlak (netto)]]</f>
        <v>0</v>
      </c>
      <c r="AC187" s="97">
        <f>IF(AA187&gt;0,Ruimtestaat[[#This Row],[Prest. (m2 /jaar) weekend]]/Ruimtestaat[[#This Row],[Norm (m2/uur) weekend]],0)</f>
        <v>0</v>
      </c>
      <c r="AD187" s="155">
        <f>Ruimtestaat[[#This Row],[uren / jaar weekend]]*Tariefsopbouw!$D$40</f>
        <v>0</v>
      </c>
      <c r="AE187" s="154">
        <f>Ruimtestaat[[#This Row],[Prest. (m2 /jaar) weekend]]+Ruimtestaat[[#This Row],[Prest. (m2 /jaar) werkdagen]]</f>
        <v>408</v>
      </c>
      <c r="AF187" s="154">
        <f>Ruimtestaat[[#This Row],[uren / jaar weekend]]+Ruimtestaat[[#This Row],[uren / jaar werkdagen]]</f>
        <v>0</v>
      </c>
      <c r="AG187" s="69">
        <f>Ruimtestaat[[#This Row],[kosten / jaar weekend]]+Ruimtestaat[[#This Row],[kosten / jaar werkdagen]]</f>
        <v>0</v>
      </c>
      <c r="AH187" s="69"/>
      <c r="AI187" s="256" t="str">
        <f>IF(Ruimtestaat[[#This Row],[Frequentie werkdagen]]="","",_xlfn.CONCAT(Ruimtestaat[[#This Row],[Ruimte code]],"-",Ruimtestaat[[#This Row],[Frequentie werkdagen]]," ",Ruimtestaat[[#This Row],[Vloer code]]))</f>
        <v>17-1m P</v>
      </c>
      <c r="AJ187" s="300" t="str">
        <f>_xlfn.IFNA(VLOOKUP($AI187,Programma!$F$3:$G$1107,2,0),"")</f>
        <v>_</v>
      </c>
      <c r="AK187" s="300" t="str">
        <f>_xlfn.IFNA(VLOOKUP($AI187,Programma!$F$3:$H$1107,3,0),"")</f>
        <v>_</v>
      </c>
      <c r="AL187" s="300" t="str">
        <f>_xlfn.IFNA(VLOOKUP($AI187,Programma!$F$3:$I$1107,4,0),"")</f>
        <v>1m</v>
      </c>
      <c r="AM187" s="300" t="str">
        <f>_xlfn.IFNA(VLOOKUP($AI187,Programma!$F$3:$J$1107,5,0),"")</f>
        <v>_</v>
      </c>
      <c r="AN187" s="300" t="str">
        <f>_xlfn.IFNA(VLOOKUP($AI187,Programma!$F$3:$K$1107,6,0),"")</f>
        <v>4j</v>
      </c>
      <c r="AO187" s="300" t="str">
        <f>_xlfn.IFNA(VLOOKUP($AI187,Programma!$F$3:$L$1107,7,0),"")</f>
        <v>_</v>
      </c>
      <c r="AP187" s="300" t="str">
        <f>_xlfn.IFNA(VLOOKUP($AI187,Programma!$F$3:$M$1107,8,0),"")</f>
        <v>_</v>
      </c>
      <c r="AQ187" s="300" t="str">
        <f>_xlfn.IFNA(VLOOKUP($AI187,Programma!$F$3:$N$1107,9,0),"")</f>
        <v>_</v>
      </c>
      <c r="AR187" s="300" t="str">
        <f>_xlfn.IFNA(VLOOKUP($AI187,Programma!$F$3:$O$1107,10,0),"")</f>
        <v>1m</v>
      </c>
      <c r="AS187" s="300" t="str">
        <f>_xlfn.IFNA(VLOOKUP($AI187,Programma!$F$3:$P$1107,11,0),"")</f>
        <v>1m</v>
      </c>
      <c r="AT187" s="300" t="str">
        <f>_xlfn.IFNA(VLOOKUP($AI187,Programma!$F$3:$Q$1107,12,0),"")</f>
        <v>1m</v>
      </c>
      <c r="AU187" s="300" t="str">
        <f>_xlfn.IFNA(VLOOKUP($AI187,Programma!$F$3:$R$1107,13,0),"")</f>
        <v>1m</v>
      </c>
      <c r="AV187" s="300" t="str">
        <f>_xlfn.IFNA(VLOOKUP($AI187,Programma!$F$3:$S$1107,14,0),"")</f>
        <v>1m</v>
      </c>
      <c r="AW187" s="300" t="str">
        <f>_xlfn.IFNA(VLOOKUP($AI187,Programma!$F$3:$T$1107,15,0),"")</f>
        <v>2j</v>
      </c>
      <c r="AX187" s="300" t="str">
        <f>_xlfn.IFNA(VLOOKUP($AI187,Programma!$F$3:$U$1107,16,0),"")</f>
        <v>1j</v>
      </c>
      <c r="AY187" s="300" t="str">
        <f>_xlfn.IFNA(VLOOKUP($AI187,Programma!$F$3:$V$1107,17,0),"")</f>
        <v>_</v>
      </c>
      <c r="AZ187" s="300" t="str">
        <f>_xlfn.IFNA(VLOOKUP($AI187,Programma!$F$3:$W$1107,18,0),"")</f>
        <v>_</v>
      </c>
      <c r="BA187" s="300" t="str">
        <f>_xlfn.IFNA(VLOOKUP($AI187,Programma!$F$3:$X$1107,19,0),"")</f>
        <v>_</v>
      </c>
      <c r="BB187" s="300" t="str">
        <f>_xlfn.IFNA(VLOOKUP($AI187,Programma!$F$3:$Y$1107,20,0),"")</f>
        <v>_</v>
      </c>
      <c r="BC187" s="257"/>
      <c r="BD187" s="256" t="str">
        <f>IF(Ruimtestaat[[#This Row],[Frequentie weekend]]="","",_xlfn.CONCAT(Ruimtestaat[[#This Row],[Ruimte code]],"-",Ruimtestaat[[#This Row],[Frequentie weekend]]," ",Ruimtestaat[[#This Row],[Vloer code]]))</f>
        <v/>
      </c>
      <c r="BE187" s="300" t="str">
        <f>_xlfn.IFNA(VLOOKUP($BD187,Programma!$F$3:$G$1107,2,0),"")</f>
        <v/>
      </c>
      <c r="BF187" s="300" t="str">
        <f>_xlfn.IFNA(VLOOKUP($BD187,Programma!$F$3:$H$1107,3,0),"")</f>
        <v/>
      </c>
      <c r="BG187" s="300" t="str">
        <f>_xlfn.IFNA(VLOOKUP($BD187,Programma!$F$3:$I$1107,4,0),"")</f>
        <v/>
      </c>
      <c r="BH187" s="300" t="str">
        <f>_xlfn.IFNA(VLOOKUP($BD187,Programma!$F$3:$J$1107,5,0),"")</f>
        <v/>
      </c>
      <c r="BI187" s="300" t="str">
        <f>_xlfn.IFNA(VLOOKUP($BD187,Programma!$F$3:$K$1107,6,0),"")</f>
        <v/>
      </c>
      <c r="BJ187" s="300" t="str">
        <f>_xlfn.IFNA(VLOOKUP($BD187,Programma!$F$3:$L$1107,7,0),"")</f>
        <v/>
      </c>
      <c r="BK187" s="300" t="str">
        <f>_xlfn.IFNA(VLOOKUP($BD187,Programma!$F$3:$M$1107,8,0),"")</f>
        <v/>
      </c>
      <c r="BL187" s="300" t="str">
        <f>_xlfn.IFNA(VLOOKUP($BD187,Programma!$F$3:$N$1107,9,0),"")</f>
        <v/>
      </c>
      <c r="BM187" s="300" t="str">
        <f>_xlfn.IFNA(VLOOKUP($BD187,Programma!$F$3:$O$1107,10,0),"")</f>
        <v/>
      </c>
      <c r="BN187" s="300" t="str">
        <f>_xlfn.IFNA(VLOOKUP($BD187,Programma!$F$3:$P$1107,11,0),"")</f>
        <v/>
      </c>
      <c r="BO187" s="300" t="str">
        <f>_xlfn.IFNA(VLOOKUP($BD187,Programma!$F$3:$Q$1107,12,0),"")</f>
        <v/>
      </c>
      <c r="BP187" s="300" t="str">
        <f>_xlfn.IFNA(VLOOKUP($BD187,Programma!$F$3:$R$1107,13,0),"")</f>
        <v/>
      </c>
      <c r="BQ187" s="300" t="str">
        <f>_xlfn.IFNA(VLOOKUP($BD187,Programma!$F$3:$S$1107,14,0),"")</f>
        <v/>
      </c>
      <c r="BR187" s="300" t="str">
        <f>_xlfn.IFNA(VLOOKUP($BD187,Programma!$F$3:$T$1107,15,0),"")</f>
        <v/>
      </c>
      <c r="BS187" s="300" t="str">
        <f>_xlfn.IFNA(VLOOKUP($BD187,Programma!$F$3:$U$1107,16,0),"")</f>
        <v/>
      </c>
      <c r="BT187" s="300" t="str">
        <f>_xlfn.IFNA(VLOOKUP($BD187,Programma!$F$3:$V$1107,17,0),"")</f>
        <v/>
      </c>
      <c r="BU187" s="300" t="str">
        <f>_xlfn.IFNA(VLOOKUP($BD187,Programma!$F$3:$W$1107,18,0),"")</f>
        <v/>
      </c>
      <c r="BV187" s="300" t="str">
        <f>_xlfn.IFNA(VLOOKUP($BD187,Programma!$F$3:$X$1107,19,0),"")</f>
        <v/>
      </c>
      <c r="BW187" s="300" t="str">
        <f>_xlfn.IFNA(VLOOKUP($BD187,Programma!$F$3:$Y$1107,20,0),"")</f>
        <v/>
      </c>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row>
    <row r="188" spans="1:220" ht="15" customHeight="1">
      <c r="A188" s="21">
        <v>4</v>
      </c>
      <c r="B188" s="157" t="str">
        <f>VLOOKUP(Ruimtestaat[[#This Row],[Code]],Locaties[[Code]:[Locatie]],2,FALSE)</f>
        <v>Sint-Maartenscollege</v>
      </c>
      <c r="C188" s="157" t="str">
        <f>VLOOKUP(Ruimtestaat[[#This Row],[Code]],Locaties[[#All],[Code]:[Adres]],4,FALSE)</f>
        <v xml:space="preserve">Aart v.d. Leeuwkade 14 </v>
      </c>
      <c r="D188" s="157" t="str">
        <f>VLOOKUP(Ruimtestaat[[#This Row],[Code]],Locaties[[#All],[Code]:[Postcode]],5,FALSE)</f>
        <v>2274 KX</v>
      </c>
      <c r="E188" s="157" t="str">
        <f>VLOOKUP(Ruimtestaat[[#This Row],[Code]],Locaties[#All],6,FALSE)</f>
        <v>Voorburg</v>
      </c>
      <c r="F188" s="33"/>
      <c r="G188" s="33" t="s">
        <v>1632</v>
      </c>
      <c r="H188" s="21">
        <v>12</v>
      </c>
      <c r="I188" s="62" t="s">
        <v>1868</v>
      </c>
      <c r="J188" s="21">
        <v>6</v>
      </c>
      <c r="K188" s="62" t="str">
        <f>VLOOKUP(Ruimtestaat[[#This Row],[Ruimte code]],Ruimtegroepen[[#All],[Code]:[Ruimte omschrijving]],2,FALSE)</f>
        <v>Gangen/hallen</v>
      </c>
      <c r="L188" s="33" t="s">
        <v>101</v>
      </c>
      <c r="M188" s="367" t="s">
        <v>2495</v>
      </c>
      <c r="N188" s="140">
        <v>56</v>
      </c>
      <c r="O188" s="140"/>
      <c r="P188" s="125" t="str">
        <f>VLOOKUP(Ruimtestaat[[#This Row],[Ruimte code]],Ruimtegroepen[],4,FALSE)</f>
        <v>Ve</v>
      </c>
      <c r="R188" s="33">
        <v>40</v>
      </c>
      <c r="S188" s="33" t="s">
        <v>2</v>
      </c>
      <c r="T188" s="33">
        <f>IF(R188&gt;0,IF(RIGHT(Ruimtestaat[[#This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8" s="33">
        <f>IF(T188&gt;0,VLOOKUP($J188,Ruimtegroepen[],3,FALSE)*VLOOKUP($L188,Vloersoorten[],3,FALSE)*VLOOKUP($S188,Frequenties[],3,FALSE)*VLOOKUP($A188,Locaties[],3,FALSE),0)</f>
        <v>0</v>
      </c>
      <c r="V188" s="33">
        <f>Ruimtestaat[[#This Row],[Uitvoeringen werkdagen]]*Ruimtestaat[[#This Row],[Oppervlak (netto)]]</f>
        <v>11200</v>
      </c>
      <c r="W188" s="154">
        <f>IF(U188&gt;0,Ruimtestaat[[#This Row],[Prest. (m2 /jaar) werkdagen]]/Ruimtestaat[[#This Row],[Norm (m2/uur) werkdagen]],0)</f>
        <v>0</v>
      </c>
      <c r="X188" s="155">
        <f>Ruimtestaat[[#This Row],[uren / jaar werkdagen]]*Tariefsopbouw!$E$35</f>
        <v>0</v>
      </c>
      <c r="Y188" s="33"/>
      <c r="Z188" s="33">
        <f>IF(Ruimtestaat[[#This Row],[Frequentie weekend]]&gt;0,VALUE(LEFT(Y188,1))*R188,0)</f>
        <v>0</v>
      </c>
      <c r="AA188" s="97">
        <f>IF($Z188&gt;0,VLOOKUP($J188,Ruimtegroepen[],3,FALSE)*VLOOKUP($L188,Vloersoorten[],3,FALSE)*VLOOKUP($Y188,Frequenties[],3,FALSE)*VLOOKUP(Ruimtestaat[[#This Row],[Code]],Locaties[],3,FALSE),0)</f>
        <v>0</v>
      </c>
      <c r="AB188" s="97">
        <f>Ruimtestaat[[#This Row],[Uitvoeringen weekend]]*Ruimtestaat[[#This Row],[Oppervlak (netto)]]</f>
        <v>0</v>
      </c>
      <c r="AC188" s="97">
        <f>IF(AA188&gt;0,Ruimtestaat[[#This Row],[Prest. (m2 /jaar) weekend]]/Ruimtestaat[[#This Row],[Norm (m2/uur) weekend]],0)</f>
        <v>0</v>
      </c>
      <c r="AD188" s="155">
        <f>Ruimtestaat[[#This Row],[uren / jaar weekend]]*Tariefsopbouw!$D$40</f>
        <v>0</v>
      </c>
      <c r="AE188" s="154">
        <f>Ruimtestaat[[#This Row],[Prest. (m2 /jaar) weekend]]+Ruimtestaat[[#This Row],[Prest. (m2 /jaar) werkdagen]]</f>
        <v>11200</v>
      </c>
      <c r="AF188" s="154">
        <f>Ruimtestaat[[#This Row],[uren / jaar weekend]]+Ruimtestaat[[#This Row],[uren / jaar werkdagen]]</f>
        <v>0</v>
      </c>
      <c r="AG188" s="69">
        <f>Ruimtestaat[[#This Row],[kosten / jaar weekend]]+Ruimtestaat[[#This Row],[kosten / jaar werkdagen]]</f>
        <v>0</v>
      </c>
      <c r="AH188" s="69"/>
      <c r="AI188" s="256" t="str">
        <f>IF(Ruimtestaat[[#This Row],[Frequentie werkdagen]]="","",_xlfn.CONCAT(Ruimtestaat[[#This Row],[Ruimte code]],"-",Ruimtestaat[[#This Row],[Frequentie werkdagen]]," ",Ruimtestaat[[#This Row],[Vloer code]]))</f>
        <v>6-5w L</v>
      </c>
      <c r="AJ188" s="300" t="str">
        <f>_xlfn.IFNA(VLOOKUP($AI188,Programma!$F$3:$G$1107,2,0),"")</f>
        <v>_</v>
      </c>
      <c r="AK188" s="300" t="str">
        <f>_xlfn.IFNA(VLOOKUP($AI188,Programma!$F$3:$H$1107,3,0),"")</f>
        <v>_</v>
      </c>
      <c r="AL188" s="300" t="str">
        <f>_xlfn.IFNA(VLOOKUP($AI188,Programma!$F$3:$I$1107,4,0),"")</f>
        <v>_</v>
      </c>
      <c r="AM188" s="300" t="str">
        <f>_xlfn.IFNA(VLOOKUP($AI188,Programma!$F$3:$J$1107,5,0),"")</f>
        <v>5w</v>
      </c>
      <c r="AN188" s="300" t="str">
        <f>_xlfn.IFNA(VLOOKUP($AI188,Programma!$F$3:$K$1107,6,0),"")</f>
        <v>_</v>
      </c>
      <c r="AO188" s="300" t="str">
        <f>_xlfn.IFNA(VLOOKUP($AI188,Programma!$F$3:$L$1107,7,0),"")</f>
        <v>_</v>
      </c>
      <c r="AP188" s="300" t="str">
        <f>_xlfn.IFNA(VLOOKUP($AI188,Programma!$F$3:$M$1107,8,0),"")</f>
        <v>_</v>
      </c>
      <c r="AQ188" s="300" t="str">
        <f>_xlfn.IFNA(VLOOKUP($AI188,Programma!$F$3:$N$1107,9,0),"")</f>
        <v>_</v>
      </c>
      <c r="AR188" s="300" t="str">
        <f>_xlfn.IFNA(VLOOKUP($AI188,Programma!$F$3:$O$1107,10,0),"")</f>
        <v>5w</v>
      </c>
      <c r="AS188" s="300" t="str">
        <f>_xlfn.IFNA(VLOOKUP($AI188,Programma!$F$3:$P$1107,11,0),"")</f>
        <v>5w</v>
      </c>
      <c r="AT188" s="300" t="str">
        <f>_xlfn.IFNA(VLOOKUP($AI188,Programma!$F$3:$Q$1107,12,0),"")</f>
        <v>1w</v>
      </c>
      <c r="AU188" s="300" t="str">
        <f>_xlfn.IFNA(VLOOKUP($AI188,Programma!$F$3:$R$1107,13,0),"")</f>
        <v>1w</v>
      </c>
      <c r="AV188" s="300" t="str">
        <f>_xlfn.IFNA(VLOOKUP($AI188,Programma!$F$3:$S$1107,14,0),"")</f>
        <v>1m</v>
      </c>
      <c r="AW188" s="300" t="str">
        <f>_xlfn.IFNA(VLOOKUP($AI188,Programma!$F$3:$T$1107,15,0),"")</f>
        <v>2j</v>
      </c>
      <c r="AX188" s="300" t="str">
        <f>_xlfn.IFNA(VLOOKUP($AI188,Programma!$F$3:$U$1107,16,0),"")</f>
        <v>1j</v>
      </c>
      <c r="AY188" s="300" t="str">
        <f>_xlfn.IFNA(VLOOKUP($AI188,Programma!$F$3:$V$1107,17,0),"")</f>
        <v>_</v>
      </c>
      <c r="AZ188" s="300" t="str">
        <f>_xlfn.IFNA(VLOOKUP($AI188,Programma!$F$3:$W$1107,18,0),"")</f>
        <v>_</v>
      </c>
      <c r="BA188" s="300" t="str">
        <f>_xlfn.IFNA(VLOOKUP($AI188,Programma!$F$3:$X$1107,19,0),"")</f>
        <v>_</v>
      </c>
      <c r="BB188" s="300" t="str">
        <f>_xlfn.IFNA(VLOOKUP($AI188,Programma!$F$3:$Y$1107,20,0),"")</f>
        <v>_</v>
      </c>
      <c r="BC188" s="257"/>
      <c r="BD188" s="256" t="str">
        <f>IF(Ruimtestaat[[#This Row],[Frequentie weekend]]="","",_xlfn.CONCAT(Ruimtestaat[[#This Row],[Ruimte code]],"-",Ruimtestaat[[#This Row],[Frequentie weekend]]," ",Ruimtestaat[[#This Row],[Vloer code]]))</f>
        <v/>
      </c>
      <c r="BE188" s="300" t="str">
        <f>_xlfn.IFNA(VLOOKUP($BD188,Programma!$F$3:$G$1107,2,0),"")</f>
        <v/>
      </c>
      <c r="BF188" s="300" t="str">
        <f>_xlfn.IFNA(VLOOKUP($BD188,Programma!$F$3:$H$1107,3,0),"")</f>
        <v/>
      </c>
      <c r="BG188" s="300" t="str">
        <f>_xlfn.IFNA(VLOOKUP($BD188,Programma!$F$3:$I$1107,4,0),"")</f>
        <v/>
      </c>
      <c r="BH188" s="300" t="str">
        <f>_xlfn.IFNA(VLOOKUP($BD188,Programma!$F$3:$J$1107,5,0),"")</f>
        <v/>
      </c>
      <c r="BI188" s="300" t="str">
        <f>_xlfn.IFNA(VLOOKUP($BD188,Programma!$F$3:$K$1107,6,0),"")</f>
        <v/>
      </c>
      <c r="BJ188" s="300" t="str">
        <f>_xlfn.IFNA(VLOOKUP($BD188,Programma!$F$3:$L$1107,7,0),"")</f>
        <v/>
      </c>
      <c r="BK188" s="300" t="str">
        <f>_xlfn.IFNA(VLOOKUP($BD188,Programma!$F$3:$M$1107,8,0),"")</f>
        <v/>
      </c>
      <c r="BL188" s="300" t="str">
        <f>_xlfn.IFNA(VLOOKUP($BD188,Programma!$F$3:$N$1107,9,0),"")</f>
        <v/>
      </c>
      <c r="BM188" s="300" t="str">
        <f>_xlfn.IFNA(VLOOKUP($BD188,Programma!$F$3:$O$1107,10,0),"")</f>
        <v/>
      </c>
      <c r="BN188" s="300" t="str">
        <f>_xlfn.IFNA(VLOOKUP($BD188,Programma!$F$3:$P$1107,11,0),"")</f>
        <v/>
      </c>
      <c r="BO188" s="300" t="str">
        <f>_xlfn.IFNA(VLOOKUP($BD188,Programma!$F$3:$Q$1107,12,0),"")</f>
        <v/>
      </c>
      <c r="BP188" s="300" t="str">
        <f>_xlfn.IFNA(VLOOKUP($BD188,Programma!$F$3:$R$1107,13,0),"")</f>
        <v/>
      </c>
      <c r="BQ188" s="300" t="str">
        <f>_xlfn.IFNA(VLOOKUP($BD188,Programma!$F$3:$S$1107,14,0),"")</f>
        <v/>
      </c>
      <c r="BR188" s="300" t="str">
        <f>_xlfn.IFNA(VLOOKUP($BD188,Programma!$F$3:$T$1107,15,0),"")</f>
        <v/>
      </c>
      <c r="BS188" s="300" t="str">
        <f>_xlfn.IFNA(VLOOKUP($BD188,Programma!$F$3:$U$1107,16,0),"")</f>
        <v/>
      </c>
      <c r="BT188" s="300" t="str">
        <f>_xlfn.IFNA(VLOOKUP($BD188,Programma!$F$3:$V$1107,17,0),"")</f>
        <v/>
      </c>
      <c r="BU188" s="300" t="str">
        <f>_xlfn.IFNA(VLOOKUP($BD188,Programma!$F$3:$W$1107,18,0),"")</f>
        <v/>
      </c>
      <c r="BV188" s="300" t="str">
        <f>_xlfn.IFNA(VLOOKUP($BD188,Programma!$F$3:$X$1107,19,0),"")</f>
        <v/>
      </c>
      <c r="BW188" s="300" t="str">
        <f>_xlfn.IFNA(VLOOKUP($BD188,Programma!$F$3:$Y$1107,20,0),"")</f>
        <v/>
      </c>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row>
    <row r="189" spans="1:220" ht="15" customHeight="1">
      <c r="A189" s="21">
        <v>4</v>
      </c>
      <c r="B189" s="157" t="str">
        <f>VLOOKUP(Ruimtestaat[[#This Row],[Code]],Locaties[[Code]:[Locatie]],2,FALSE)</f>
        <v>Sint-Maartenscollege</v>
      </c>
      <c r="C189" s="157" t="str">
        <f>VLOOKUP(Ruimtestaat[[#This Row],[Code]],Locaties[[#All],[Code]:[Adres]],4,FALSE)</f>
        <v xml:space="preserve">Aart v.d. Leeuwkade 14 </v>
      </c>
      <c r="D189" s="157" t="str">
        <f>VLOOKUP(Ruimtestaat[[#This Row],[Code]],Locaties[[#All],[Code]:[Postcode]],5,FALSE)</f>
        <v>2274 KX</v>
      </c>
      <c r="E189" s="157" t="str">
        <f>VLOOKUP(Ruimtestaat[[#This Row],[Code]],Locaties[#All],6,FALSE)</f>
        <v>Voorburg</v>
      </c>
      <c r="F189" s="33"/>
      <c r="G189" s="33" t="s">
        <v>1632</v>
      </c>
      <c r="H189" s="21">
        <v>13</v>
      </c>
      <c r="I189" s="62" t="s">
        <v>1756</v>
      </c>
      <c r="J189" s="21">
        <v>10</v>
      </c>
      <c r="K189" s="62" t="str">
        <f>VLOOKUP(Ruimtestaat[[#This Row],[Ruimte code]],Ruimtegroepen[[#All],[Code]:[Ruimte omschrijving]],2,FALSE)</f>
        <v>Trappenhuizen/lift</v>
      </c>
      <c r="L189" s="33" t="s">
        <v>101</v>
      </c>
      <c r="M189" s="367" t="s">
        <v>2495</v>
      </c>
      <c r="N189" s="140">
        <v>56</v>
      </c>
      <c r="O189" s="140"/>
      <c r="P189" s="125" t="str">
        <f>VLOOKUP(Ruimtestaat[[#This Row],[Ruimte code]],Ruimtegroepen[],4,FALSE)</f>
        <v>Ve</v>
      </c>
      <c r="R189" s="33">
        <v>40</v>
      </c>
      <c r="S189" s="33" t="s">
        <v>2</v>
      </c>
      <c r="T189" s="33">
        <f>IF(R189&gt;0,IF(RIGHT(Ruimtestaat[[#This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9" s="33">
        <f>IF(T189&gt;0,VLOOKUP($J189,Ruimtegroepen[],3,FALSE)*VLOOKUP($L189,Vloersoorten[],3,FALSE)*VLOOKUP($S189,Frequenties[],3,FALSE)*VLOOKUP($A189,Locaties[],3,FALSE),0)</f>
        <v>0</v>
      </c>
      <c r="V189" s="33">
        <f>Ruimtestaat[[#This Row],[Uitvoeringen werkdagen]]*Ruimtestaat[[#This Row],[Oppervlak (netto)]]</f>
        <v>11200</v>
      </c>
      <c r="W189" s="154">
        <f>IF(U189&gt;0,Ruimtestaat[[#This Row],[Prest. (m2 /jaar) werkdagen]]/Ruimtestaat[[#This Row],[Norm (m2/uur) werkdagen]],0)</f>
        <v>0</v>
      </c>
      <c r="X189" s="155">
        <f>Ruimtestaat[[#This Row],[uren / jaar werkdagen]]*Tariefsopbouw!$E$35</f>
        <v>0</v>
      </c>
      <c r="Y189" s="33"/>
      <c r="Z189" s="33">
        <f>IF(Ruimtestaat[[#This Row],[Frequentie weekend]]&gt;0,VALUE(LEFT(Y189,1))*R189,0)</f>
        <v>0</v>
      </c>
      <c r="AA189" s="97">
        <f>IF($Z189&gt;0,VLOOKUP($J189,Ruimtegroepen[],3,FALSE)*VLOOKUP($L189,Vloersoorten[],3,FALSE)*VLOOKUP($Y189,Frequenties[],3,FALSE)*VLOOKUP(Ruimtestaat[[#This Row],[Code]],Locaties[],3,FALSE),0)</f>
        <v>0</v>
      </c>
      <c r="AB189" s="97">
        <f>Ruimtestaat[[#This Row],[Uitvoeringen weekend]]*Ruimtestaat[[#This Row],[Oppervlak (netto)]]</f>
        <v>0</v>
      </c>
      <c r="AC189" s="97">
        <f>IF(AA189&gt;0,Ruimtestaat[[#This Row],[Prest. (m2 /jaar) weekend]]/Ruimtestaat[[#This Row],[Norm (m2/uur) weekend]],0)</f>
        <v>0</v>
      </c>
      <c r="AD189" s="155">
        <f>Ruimtestaat[[#This Row],[uren / jaar weekend]]*Tariefsopbouw!$D$40</f>
        <v>0</v>
      </c>
      <c r="AE189" s="154">
        <f>Ruimtestaat[[#This Row],[Prest. (m2 /jaar) weekend]]+Ruimtestaat[[#This Row],[Prest. (m2 /jaar) werkdagen]]</f>
        <v>11200</v>
      </c>
      <c r="AF189" s="154">
        <f>Ruimtestaat[[#This Row],[uren / jaar weekend]]+Ruimtestaat[[#This Row],[uren / jaar werkdagen]]</f>
        <v>0</v>
      </c>
      <c r="AG189" s="69">
        <f>Ruimtestaat[[#This Row],[kosten / jaar weekend]]+Ruimtestaat[[#This Row],[kosten / jaar werkdagen]]</f>
        <v>0</v>
      </c>
      <c r="AH189" s="69"/>
      <c r="AI189" s="256" t="str">
        <f>IF(Ruimtestaat[[#This Row],[Frequentie werkdagen]]="","",_xlfn.CONCAT(Ruimtestaat[[#This Row],[Ruimte code]],"-",Ruimtestaat[[#This Row],[Frequentie werkdagen]]," ",Ruimtestaat[[#This Row],[Vloer code]]))</f>
        <v>10-5w L</v>
      </c>
      <c r="AJ189" s="300" t="str">
        <f>_xlfn.IFNA(VLOOKUP($AI189,Programma!$F$3:$G$1107,2,0),"")</f>
        <v>_</v>
      </c>
      <c r="AK189" s="300" t="str">
        <f>_xlfn.IFNA(VLOOKUP($AI189,Programma!$F$3:$H$1107,3,0),"")</f>
        <v>_</v>
      </c>
      <c r="AL189" s="300" t="str">
        <f>_xlfn.IFNA(VLOOKUP($AI189,Programma!$F$3:$I$1107,4,0),"")</f>
        <v>4w</v>
      </c>
      <c r="AM189" s="300" t="str">
        <f>_xlfn.IFNA(VLOOKUP($AI189,Programma!$F$3:$J$1107,5,0),"")</f>
        <v>1w</v>
      </c>
      <c r="AN189" s="300" t="str">
        <f>_xlfn.IFNA(VLOOKUP($AI189,Programma!$F$3:$K$1107,6,0),"")</f>
        <v>_</v>
      </c>
      <c r="AO189" s="300" t="str">
        <f>_xlfn.IFNA(VLOOKUP($AI189,Programma!$F$3:$L$1107,7,0),"")</f>
        <v>_</v>
      </c>
      <c r="AP189" s="300" t="str">
        <f>_xlfn.IFNA(VLOOKUP($AI189,Programma!$F$3:$M$1107,8,0),"")</f>
        <v>_</v>
      </c>
      <c r="AQ189" s="300" t="str">
        <f>_xlfn.IFNA(VLOOKUP($AI189,Programma!$F$3:$N$1107,9,0),"")</f>
        <v>_</v>
      </c>
      <c r="AR189" s="300" t="str">
        <f>_xlfn.IFNA(VLOOKUP($AI189,Programma!$F$3:$O$1107,10,0),"")</f>
        <v>5w</v>
      </c>
      <c r="AS189" s="300" t="str">
        <f>_xlfn.IFNA(VLOOKUP($AI189,Programma!$F$3:$P$1107,11,0),"")</f>
        <v>5w</v>
      </c>
      <c r="AT189" s="300" t="str">
        <f>_xlfn.IFNA(VLOOKUP($AI189,Programma!$F$3:$Q$1107,12,0),"")</f>
        <v>1w</v>
      </c>
      <c r="AU189" s="300" t="str">
        <f>_xlfn.IFNA(VLOOKUP($AI189,Programma!$F$3:$R$1107,13,0),"")</f>
        <v>1w</v>
      </c>
      <c r="AV189" s="300" t="str">
        <f>_xlfn.IFNA(VLOOKUP($AI189,Programma!$F$3:$S$1107,14,0),"")</f>
        <v>1m</v>
      </c>
      <c r="AW189" s="300" t="str">
        <f>_xlfn.IFNA(VLOOKUP($AI189,Programma!$F$3:$T$1107,15,0),"")</f>
        <v>2j</v>
      </c>
      <c r="AX189" s="300" t="str">
        <f>_xlfn.IFNA(VLOOKUP($AI189,Programma!$F$3:$U$1107,16,0),"")</f>
        <v>1j</v>
      </c>
      <c r="AY189" s="300" t="str">
        <f>_xlfn.IFNA(VLOOKUP($AI189,Programma!$F$3:$V$1107,17,0),"")</f>
        <v>_</v>
      </c>
      <c r="AZ189" s="300" t="str">
        <f>_xlfn.IFNA(VLOOKUP($AI189,Programma!$F$3:$W$1107,18,0),"")</f>
        <v>_</v>
      </c>
      <c r="BA189" s="300" t="str">
        <f>_xlfn.IFNA(VLOOKUP($AI189,Programma!$F$3:$X$1107,19,0),"")</f>
        <v>_</v>
      </c>
      <c r="BB189" s="300" t="str">
        <f>_xlfn.IFNA(VLOOKUP($AI189,Programma!$F$3:$Y$1107,20,0),"")</f>
        <v>_</v>
      </c>
      <c r="BC189" s="257"/>
      <c r="BD189" s="256" t="str">
        <f>IF(Ruimtestaat[[#This Row],[Frequentie weekend]]="","",_xlfn.CONCAT(Ruimtestaat[[#This Row],[Ruimte code]],"-",Ruimtestaat[[#This Row],[Frequentie weekend]]," ",Ruimtestaat[[#This Row],[Vloer code]]))</f>
        <v/>
      </c>
      <c r="BE189" s="300" t="str">
        <f>_xlfn.IFNA(VLOOKUP($BD189,Programma!$F$3:$G$1107,2,0),"")</f>
        <v/>
      </c>
      <c r="BF189" s="300" t="str">
        <f>_xlfn.IFNA(VLOOKUP($BD189,Programma!$F$3:$H$1107,3,0),"")</f>
        <v/>
      </c>
      <c r="BG189" s="300" t="str">
        <f>_xlfn.IFNA(VLOOKUP($BD189,Programma!$F$3:$I$1107,4,0),"")</f>
        <v/>
      </c>
      <c r="BH189" s="300" t="str">
        <f>_xlfn.IFNA(VLOOKUP($BD189,Programma!$F$3:$J$1107,5,0),"")</f>
        <v/>
      </c>
      <c r="BI189" s="300" t="str">
        <f>_xlfn.IFNA(VLOOKUP($BD189,Programma!$F$3:$K$1107,6,0),"")</f>
        <v/>
      </c>
      <c r="BJ189" s="300" t="str">
        <f>_xlfn.IFNA(VLOOKUP($BD189,Programma!$F$3:$L$1107,7,0),"")</f>
        <v/>
      </c>
      <c r="BK189" s="300" t="str">
        <f>_xlfn.IFNA(VLOOKUP($BD189,Programma!$F$3:$M$1107,8,0),"")</f>
        <v/>
      </c>
      <c r="BL189" s="300" t="str">
        <f>_xlfn.IFNA(VLOOKUP($BD189,Programma!$F$3:$N$1107,9,0),"")</f>
        <v/>
      </c>
      <c r="BM189" s="300" t="str">
        <f>_xlfn.IFNA(VLOOKUP($BD189,Programma!$F$3:$O$1107,10,0),"")</f>
        <v/>
      </c>
      <c r="BN189" s="300" t="str">
        <f>_xlfn.IFNA(VLOOKUP($BD189,Programma!$F$3:$P$1107,11,0),"")</f>
        <v/>
      </c>
      <c r="BO189" s="300" t="str">
        <f>_xlfn.IFNA(VLOOKUP($BD189,Programma!$F$3:$Q$1107,12,0),"")</f>
        <v/>
      </c>
      <c r="BP189" s="300" t="str">
        <f>_xlfn.IFNA(VLOOKUP($BD189,Programma!$F$3:$R$1107,13,0),"")</f>
        <v/>
      </c>
      <c r="BQ189" s="300" t="str">
        <f>_xlfn.IFNA(VLOOKUP($BD189,Programma!$F$3:$S$1107,14,0),"")</f>
        <v/>
      </c>
      <c r="BR189" s="300" t="str">
        <f>_xlfn.IFNA(VLOOKUP($BD189,Programma!$F$3:$T$1107,15,0),"")</f>
        <v/>
      </c>
      <c r="BS189" s="300" t="str">
        <f>_xlfn.IFNA(VLOOKUP($BD189,Programma!$F$3:$U$1107,16,0),"")</f>
        <v/>
      </c>
      <c r="BT189" s="300" t="str">
        <f>_xlfn.IFNA(VLOOKUP($BD189,Programma!$F$3:$V$1107,17,0),"")</f>
        <v/>
      </c>
      <c r="BU189" s="300" t="str">
        <f>_xlfn.IFNA(VLOOKUP($BD189,Programma!$F$3:$W$1107,18,0),"")</f>
        <v/>
      </c>
      <c r="BV189" s="300" t="str">
        <f>_xlfn.IFNA(VLOOKUP($BD189,Programma!$F$3:$X$1107,19,0),"")</f>
        <v/>
      </c>
      <c r="BW189" s="300" t="str">
        <f>_xlfn.IFNA(VLOOKUP($BD189,Programma!$F$3:$Y$1107,20,0),"")</f>
        <v/>
      </c>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row>
    <row r="190" spans="1:220" ht="15" customHeight="1">
      <c r="A190" s="21">
        <v>4</v>
      </c>
      <c r="B190" s="157" t="str">
        <f>VLOOKUP(Ruimtestaat[[#This Row],[Code]],Locaties[[Code]:[Locatie]],2,FALSE)</f>
        <v>Sint-Maartenscollege</v>
      </c>
      <c r="C190" s="157" t="str">
        <f>VLOOKUP(Ruimtestaat[[#This Row],[Code]],Locaties[[#All],[Code]:[Adres]],4,FALSE)</f>
        <v xml:space="preserve">Aart v.d. Leeuwkade 14 </v>
      </c>
      <c r="D190" s="157" t="str">
        <f>VLOOKUP(Ruimtestaat[[#This Row],[Code]],Locaties[[#All],[Code]:[Postcode]],5,FALSE)</f>
        <v>2274 KX</v>
      </c>
      <c r="E190" s="157" t="str">
        <f>VLOOKUP(Ruimtestaat[[#This Row],[Code]],Locaties[#All],6,FALSE)</f>
        <v>Voorburg</v>
      </c>
      <c r="F190" s="33"/>
      <c r="G190" s="33" t="s">
        <v>1632</v>
      </c>
      <c r="H190" s="21">
        <v>14</v>
      </c>
      <c r="I190" s="62" t="s">
        <v>1869</v>
      </c>
      <c r="J190" s="21">
        <v>2</v>
      </c>
      <c r="K190" s="62" t="str">
        <f>VLOOKUP(Ruimtestaat[[#This Row],[Ruimte code]],Ruimtegroepen[[#All],[Code]:[Ruimte omschrijving]],2,FALSE)</f>
        <v>Kantoren</v>
      </c>
      <c r="L190" s="33" t="s">
        <v>100</v>
      </c>
      <c r="M190" s="367" t="s">
        <v>2493</v>
      </c>
      <c r="N190" s="140">
        <v>59</v>
      </c>
      <c r="O190" s="140"/>
      <c r="P190" s="125" t="str">
        <f>VLOOKUP(Ruimtestaat[[#This Row],[Ruimte code]],Ruimtegroepen[],4,FALSE)</f>
        <v>Bu</v>
      </c>
      <c r="R190" s="33">
        <v>42</v>
      </c>
      <c r="S190" s="33" t="s">
        <v>18</v>
      </c>
      <c r="T190" s="33">
        <f>IF(R190&gt;0,IF(RIGHT(Ruimtestaat[[#This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90" s="33">
        <f>IF(T190&gt;0,VLOOKUP($J190,Ruimtegroepen[],3,FALSE)*VLOOKUP($L190,Vloersoorten[],3,FALSE)*VLOOKUP($S190,Frequenties[],3,FALSE)*VLOOKUP($A190,Locaties[],3,FALSE),0)</f>
        <v>0</v>
      </c>
      <c r="V190" s="33">
        <f>Ruimtestaat[[#This Row],[Uitvoeringen werkdagen]]*Ruimtestaat[[#This Row],[Oppervlak (netto)]]</f>
        <v>7434</v>
      </c>
      <c r="W190" s="154">
        <f>IF(U190&gt;0,Ruimtestaat[[#This Row],[Prest. (m2 /jaar) werkdagen]]/Ruimtestaat[[#This Row],[Norm (m2/uur) werkdagen]],0)</f>
        <v>0</v>
      </c>
      <c r="X190" s="155">
        <f>Ruimtestaat[[#This Row],[uren / jaar werkdagen]]*Tariefsopbouw!$E$35</f>
        <v>0</v>
      </c>
      <c r="Y190" s="33"/>
      <c r="Z190" s="33">
        <f>IF(Ruimtestaat[[#This Row],[Frequentie weekend]]&gt;0,VALUE(LEFT(Y190,1))*R190,0)</f>
        <v>0</v>
      </c>
      <c r="AA190" s="97">
        <f>IF($Z190&gt;0,VLOOKUP($J190,Ruimtegroepen[],3,FALSE)*VLOOKUP($L190,Vloersoorten[],3,FALSE)*VLOOKUP($Y190,Frequenties[],3,FALSE)*VLOOKUP(Ruimtestaat[[#This Row],[Code]],Locaties[],3,FALSE),0)</f>
        <v>0</v>
      </c>
      <c r="AB190" s="97">
        <f>Ruimtestaat[[#This Row],[Uitvoeringen weekend]]*Ruimtestaat[[#This Row],[Oppervlak (netto)]]</f>
        <v>0</v>
      </c>
      <c r="AC190" s="97">
        <f>IF(AA190&gt;0,Ruimtestaat[[#This Row],[Prest. (m2 /jaar) weekend]]/Ruimtestaat[[#This Row],[Norm (m2/uur) weekend]],0)</f>
        <v>0</v>
      </c>
      <c r="AD190" s="155">
        <f>Ruimtestaat[[#This Row],[uren / jaar weekend]]*Tariefsopbouw!$D$40</f>
        <v>0</v>
      </c>
      <c r="AE190" s="154">
        <f>Ruimtestaat[[#This Row],[Prest. (m2 /jaar) weekend]]+Ruimtestaat[[#This Row],[Prest. (m2 /jaar) werkdagen]]</f>
        <v>7434</v>
      </c>
      <c r="AF190" s="154">
        <f>Ruimtestaat[[#This Row],[uren / jaar weekend]]+Ruimtestaat[[#This Row],[uren / jaar werkdagen]]</f>
        <v>0</v>
      </c>
      <c r="AG190" s="69">
        <f>Ruimtestaat[[#This Row],[kosten / jaar weekend]]+Ruimtestaat[[#This Row],[kosten / jaar werkdagen]]</f>
        <v>0</v>
      </c>
      <c r="AH190" s="69"/>
      <c r="AI190" s="256" t="str">
        <f>IF(Ruimtestaat[[#This Row],[Frequentie werkdagen]]="","",_xlfn.CONCAT(Ruimtestaat[[#This Row],[Ruimte code]],"-",Ruimtestaat[[#This Row],[Frequentie werkdagen]]," ",Ruimtestaat[[#This Row],[Vloer code]]))</f>
        <v>2-3w T</v>
      </c>
      <c r="AJ190" s="300" t="str">
        <f>_xlfn.IFNA(VLOOKUP($AI190,Programma!$F$3:$G$1107,2,0),"")</f>
        <v>2w</v>
      </c>
      <c r="AK190" s="300" t="str">
        <f>_xlfn.IFNA(VLOOKUP($AI190,Programma!$F$3:$H$1107,3,0),"")</f>
        <v>1w</v>
      </c>
      <c r="AL190" s="300" t="str">
        <f>_xlfn.IFNA(VLOOKUP($AI190,Programma!$F$3:$I$1107,4,0),"")</f>
        <v>_</v>
      </c>
      <c r="AM190" s="300" t="str">
        <f>_xlfn.IFNA(VLOOKUP($AI190,Programma!$F$3:$J$1107,5,0),"")</f>
        <v>_</v>
      </c>
      <c r="AN190" s="300" t="str">
        <f>_xlfn.IFNA(VLOOKUP($AI190,Programma!$F$3:$K$1107,6,0),"")</f>
        <v>_</v>
      </c>
      <c r="AO190" s="300" t="str">
        <f>_xlfn.IFNA(VLOOKUP($AI190,Programma!$F$3:$L$1107,7,0),"")</f>
        <v>_</v>
      </c>
      <c r="AP190" s="300" t="str">
        <f>_xlfn.IFNA(VLOOKUP($AI190,Programma!$F$3:$M$1107,8,0),"")</f>
        <v>_</v>
      </c>
      <c r="AQ190" s="300" t="str">
        <f>_xlfn.IFNA(VLOOKUP($AI190,Programma!$F$3:$N$1107,9,0),"")</f>
        <v>_</v>
      </c>
      <c r="AR190" s="300" t="str">
        <f>_xlfn.IFNA(VLOOKUP($AI190,Programma!$F$3:$O$1107,10,0),"")</f>
        <v>3w</v>
      </c>
      <c r="AS190" s="300" t="str">
        <f>_xlfn.IFNA(VLOOKUP($AI190,Programma!$F$3:$P$1107,11,0),"")</f>
        <v>3w</v>
      </c>
      <c r="AT190" s="300" t="str">
        <f>_xlfn.IFNA(VLOOKUP($AI190,Programma!$F$3:$Q$1107,12,0),"")</f>
        <v>1w</v>
      </c>
      <c r="AU190" s="300" t="str">
        <f>_xlfn.IFNA(VLOOKUP($AI190,Programma!$F$3:$R$1107,13,0),"")</f>
        <v>1w</v>
      </c>
      <c r="AV190" s="300" t="str">
        <f>_xlfn.IFNA(VLOOKUP($AI190,Programma!$F$3:$S$1107,14,0),"")</f>
        <v>1m</v>
      </c>
      <c r="AW190" s="300" t="str">
        <f>_xlfn.IFNA(VLOOKUP($AI190,Programma!$F$3:$T$1107,15,0),"")</f>
        <v>2j</v>
      </c>
      <c r="AX190" s="300" t="str">
        <f>_xlfn.IFNA(VLOOKUP($AI190,Programma!$F$3:$U$1107,16,0),"")</f>
        <v>1j</v>
      </c>
      <c r="AY190" s="300" t="str">
        <f>_xlfn.IFNA(VLOOKUP($AI190,Programma!$F$3:$V$1107,17,0),"")</f>
        <v>_</v>
      </c>
      <c r="AZ190" s="300" t="str">
        <f>_xlfn.IFNA(VLOOKUP($AI190,Programma!$F$3:$W$1107,18,0),"")</f>
        <v>_</v>
      </c>
      <c r="BA190" s="300" t="str">
        <f>_xlfn.IFNA(VLOOKUP($AI190,Programma!$F$3:$X$1107,19,0),"")</f>
        <v>_</v>
      </c>
      <c r="BB190" s="300" t="str">
        <f>_xlfn.IFNA(VLOOKUP($AI190,Programma!$F$3:$Y$1107,20,0),"")</f>
        <v>_</v>
      </c>
      <c r="BC190" s="257"/>
      <c r="BD190" s="256" t="str">
        <f>IF(Ruimtestaat[[#This Row],[Frequentie weekend]]="","",_xlfn.CONCAT(Ruimtestaat[[#This Row],[Ruimte code]],"-",Ruimtestaat[[#This Row],[Frequentie weekend]]," ",Ruimtestaat[[#This Row],[Vloer code]]))</f>
        <v/>
      </c>
      <c r="BE190" s="300" t="str">
        <f>_xlfn.IFNA(VLOOKUP($BD190,Programma!$F$3:$G$1107,2,0),"")</f>
        <v/>
      </c>
      <c r="BF190" s="300" t="str">
        <f>_xlfn.IFNA(VLOOKUP($BD190,Programma!$F$3:$H$1107,3,0),"")</f>
        <v/>
      </c>
      <c r="BG190" s="300" t="str">
        <f>_xlfn.IFNA(VLOOKUP($BD190,Programma!$F$3:$I$1107,4,0),"")</f>
        <v/>
      </c>
      <c r="BH190" s="300" t="str">
        <f>_xlfn.IFNA(VLOOKUP($BD190,Programma!$F$3:$J$1107,5,0),"")</f>
        <v/>
      </c>
      <c r="BI190" s="300" t="str">
        <f>_xlfn.IFNA(VLOOKUP($BD190,Programma!$F$3:$K$1107,6,0),"")</f>
        <v/>
      </c>
      <c r="BJ190" s="300" t="str">
        <f>_xlfn.IFNA(VLOOKUP($BD190,Programma!$F$3:$L$1107,7,0),"")</f>
        <v/>
      </c>
      <c r="BK190" s="300" t="str">
        <f>_xlfn.IFNA(VLOOKUP($BD190,Programma!$F$3:$M$1107,8,0),"")</f>
        <v/>
      </c>
      <c r="BL190" s="300" t="str">
        <f>_xlfn.IFNA(VLOOKUP($BD190,Programma!$F$3:$N$1107,9,0),"")</f>
        <v/>
      </c>
      <c r="BM190" s="300" t="str">
        <f>_xlfn.IFNA(VLOOKUP($BD190,Programma!$F$3:$O$1107,10,0),"")</f>
        <v/>
      </c>
      <c r="BN190" s="300" t="str">
        <f>_xlfn.IFNA(VLOOKUP($BD190,Programma!$F$3:$P$1107,11,0),"")</f>
        <v/>
      </c>
      <c r="BO190" s="300" t="str">
        <f>_xlfn.IFNA(VLOOKUP($BD190,Programma!$F$3:$Q$1107,12,0),"")</f>
        <v/>
      </c>
      <c r="BP190" s="300" t="str">
        <f>_xlfn.IFNA(VLOOKUP($BD190,Programma!$F$3:$R$1107,13,0),"")</f>
        <v/>
      </c>
      <c r="BQ190" s="300" t="str">
        <f>_xlfn.IFNA(VLOOKUP($BD190,Programma!$F$3:$S$1107,14,0),"")</f>
        <v/>
      </c>
      <c r="BR190" s="300" t="str">
        <f>_xlfn.IFNA(VLOOKUP($BD190,Programma!$F$3:$T$1107,15,0),"")</f>
        <v/>
      </c>
      <c r="BS190" s="300" t="str">
        <f>_xlfn.IFNA(VLOOKUP($BD190,Programma!$F$3:$U$1107,16,0),"")</f>
        <v/>
      </c>
      <c r="BT190" s="300" t="str">
        <f>_xlfn.IFNA(VLOOKUP($BD190,Programma!$F$3:$V$1107,17,0),"")</f>
        <v/>
      </c>
      <c r="BU190" s="300" t="str">
        <f>_xlfn.IFNA(VLOOKUP($BD190,Programma!$F$3:$W$1107,18,0),"")</f>
        <v/>
      </c>
      <c r="BV190" s="300" t="str">
        <f>_xlfn.IFNA(VLOOKUP($BD190,Programma!$F$3:$X$1107,19,0),"")</f>
        <v/>
      </c>
      <c r="BW190" s="300" t="str">
        <f>_xlfn.IFNA(VLOOKUP($BD190,Programma!$F$3:$Y$1107,20,0),"")</f>
        <v/>
      </c>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row>
    <row r="191" spans="1:220" ht="15" customHeight="1">
      <c r="A191" s="21">
        <v>4</v>
      </c>
      <c r="B191" s="157" t="str">
        <f>VLOOKUP(Ruimtestaat[[#This Row],[Code]],Locaties[[Code]:[Locatie]],2,FALSE)</f>
        <v>Sint-Maartenscollege</v>
      </c>
      <c r="C191" s="157" t="str">
        <f>VLOOKUP(Ruimtestaat[[#This Row],[Code]],Locaties[[#All],[Code]:[Adres]],4,FALSE)</f>
        <v xml:space="preserve">Aart v.d. Leeuwkade 14 </v>
      </c>
      <c r="D191" s="157" t="str">
        <f>VLOOKUP(Ruimtestaat[[#This Row],[Code]],Locaties[[#All],[Code]:[Postcode]],5,FALSE)</f>
        <v>2274 KX</v>
      </c>
      <c r="E191" s="157" t="str">
        <f>VLOOKUP(Ruimtestaat[[#This Row],[Code]],Locaties[#All],6,FALSE)</f>
        <v>Voorburg</v>
      </c>
      <c r="F191" s="33"/>
      <c r="G191" s="33" t="s">
        <v>1632</v>
      </c>
      <c r="H191" s="21">
        <v>15</v>
      </c>
      <c r="I191" s="62" t="s">
        <v>1869</v>
      </c>
      <c r="J191" s="21">
        <v>2</v>
      </c>
      <c r="K191" s="62" t="str">
        <f>VLOOKUP(Ruimtestaat[[#This Row],[Ruimte code]],Ruimtegroepen[[#All],[Code]:[Ruimte omschrijving]],2,FALSE)</f>
        <v>Kantoren</v>
      </c>
      <c r="L191" s="33" t="s">
        <v>100</v>
      </c>
      <c r="M191" s="367" t="s">
        <v>2493</v>
      </c>
      <c r="N191" s="140">
        <v>12</v>
      </c>
      <c r="O191" s="140"/>
      <c r="P191" s="125" t="str">
        <f>VLOOKUP(Ruimtestaat[[#This Row],[Ruimte code]],Ruimtegroepen[],4,FALSE)</f>
        <v>Bu</v>
      </c>
      <c r="R191" s="33">
        <v>42</v>
      </c>
      <c r="S191" s="33" t="s">
        <v>18</v>
      </c>
      <c r="T191" s="33">
        <f>IF(R191&gt;0,IF(RIGHT(Ruimtestaat[[#This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91" s="33">
        <f>IF(T191&gt;0,VLOOKUP($J191,Ruimtegroepen[],3,FALSE)*VLOOKUP($L191,Vloersoorten[],3,FALSE)*VLOOKUP($S191,Frequenties[],3,FALSE)*VLOOKUP($A191,Locaties[],3,FALSE),0)</f>
        <v>0</v>
      </c>
      <c r="V191" s="33">
        <f>Ruimtestaat[[#This Row],[Uitvoeringen werkdagen]]*Ruimtestaat[[#This Row],[Oppervlak (netto)]]</f>
        <v>1512</v>
      </c>
      <c r="W191" s="154">
        <f>IF(U191&gt;0,Ruimtestaat[[#This Row],[Prest. (m2 /jaar) werkdagen]]/Ruimtestaat[[#This Row],[Norm (m2/uur) werkdagen]],0)</f>
        <v>0</v>
      </c>
      <c r="X191" s="155">
        <f>Ruimtestaat[[#This Row],[uren / jaar werkdagen]]*Tariefsopbouw!$E$35</f>
        <v>0</v>
      </c>
      <c r="Y191" s="33"/>
      <c r="Z191" s="33">
        <f>IF(Ruimtestaat[[#This Row],[Frequentie weekend]]&gt;0,VALUE(LEFT(Y191,1))*R191,0)</f>
        <v>0</v>
      </c>
      <c r="AA191" s="97">
        <f>IF($Z191&gt;0,VLOOKUP($J191,Ruimtegroepen[],3,FALSE)*VLOOKUP($L191,Vloersoorten[],3,FALSE)*VLOOKUP($Y191,Frequenties[],3,FALSE)*VLOOKUP(Ruimtestaat[[#This Row],[Code]],Locaties[],3,FALSE),0)</f>
        <v>0</v>
      </c>
      <c r="AB191" s="97">
        <f>Ruimtestaat[[#This Row],[Uitvoeringen weekend]]*Ruimtestaat[[#This Row],[Oppervlak (netto)]]</f>
        <v>0</v>
      </c>
      <c r="AC191" s="97">
        <f>IF(AA191&gt;0,Ruimtestaat[[#This Row],[Prest. (m2 /jaar) weekend]]/Ruimtestaat[[#This Row],[Norm (m2/uur) weekend]],0)</f>
        <v>0</v>
      </c>
      <c r="AD191" s="155">
        <f>Ruimtestaat[[#This Row],[uren / jaar weekend]]*Tariefsopbouw!$D$40</f>
        <v>0</v>
      </c>
      <c r="AE191" s="154">
        <f>Ruimtestaat[[#This Row],[Prest. (m2 /jaar) weekend]]+Ruimtestaat[[#This Row],[Prest. (m2 /jaar) werkdagen]]</f>
        <v>1512</v>
      </c>
      <c r="AF191" s="154">
        <f>Ruimtestaat[[#This Row],[uren / jaar weekend]]+Ruimtestaat[[#This Row],[uren / jaar werkdagen]]</f>
        <v>0</v>
      </c>
      <c r="AG191" s="69">
        <f>Ruimtestaat[[#This Row],[kosten / jaar weekend]]+Ruimtestaat[[#This Row],[kosten / jaar werkdagen]]</f>
        <v>0</v>
      </c>
      <c r="AH191" s="69"/>
      <c r="AI191" s="256" t="str">
        <f>IF(Ruimtestaat[[#This Row],[Frequentie werkdagen]]="","",_xlfn.CONCAT(Ruimtestaat[[#This Row],[Ruimte code]],"-",Ruimtestaat[[#This Row],[Frequentie werkdagen]]," ",Ruimtestaat[[#This Row],[Vloer code]]))</f>
        <v>2-3w T</v>
      </c>
      <c r="AJ191" s="300" t="str">
        <f>_xlfn.IFNA(VLOOKUP($AI191,Programma!$F$3:$G$1107,2,0),"")</f>
        <v>2w</v>
      </c>
      <c r="AK191" s="300" t="str">
        <f>_xlfn.IFNA(VLOOKUP($AI191,Programma!$F$3:$H$1107,3,0),"")</f>
        <v>1w</v>
      </c>
      <c r="AL191" s="300" t="str">
        <f>_xlfn.IFNA(VLOOKUP($AI191,Programma!$F$3:$I$1107,4,0),"")</f>
        <v>_</v>
      </c>
      <c r="AM191" s="300" t="str">
        <f>_xlfn.IFNA(VLOOKUP($AI191,Programma!$F$3:$J$1107,5,0),"")</f>
        <v>_</v>
      </c>
      <c r="AN191" s="300" t="str">
        <f>_xlfn.IFNA(VLOOKUP($AI191,Programma!$F$3:$K$1107,6,0),"")</f>
        <v>_</v>
      </c>
      <c r="AO191" s="300" t="str">
        <f>_xlfn.IFNA(VLOOKUP($AI191,Programma!$F$3:$L$1107,7,0),"")</f>
        <v>_</v>
      </c>
      <c r="AP191" s="300" t="str">
        <f>_xlfn.IFNA(VLOOKUP($AI191,Programma!$F$3:$M$1107,8,0),"")</f>
        <v>_</v>
      </c>
      <c r="AQ191" s="300" t="str">
        <f>_xlfn.IFNA(VLOOKUP($AI191,Programma!$F$3:$N$1107,9,0),"")</f>
        <v>_</v>
      </c>
      <c r="AR191" s="300" t="str">
        <f>_xlfn.IFNA(VLOOKUP($AI191,Programma!$F$3:$O$1107,10,0),"")</f>
        <v>3w</v>
      </c>
      <c r="AS191" s="300" t="str">
        <f>_xlfn.IFNA(VLOOKUP($AI191,Programma!$F$3:$P$1107,11,0),"")</f>
        <v>3w</v>
      </c>
      <c r="AT191" s="300" t="str">
        <f>_xlfn.IFNA(VLOOKUP($AI191,Programma!$F$3:$Q$1107,12,0),"")</f>
        <v>1w</v>
      </c>
      <c r="AU191" s="300" t="str">
        <f>_xlfn.IFNA(VLOOKUP($AI191,Programma!$F$3:$R$1107,13,0),"")</f>
        <v>1w</v>
      </c>
      <c r="AV191" s="300" t="str">
        <f>_xlfn.IFNA(VLOOKUP($AI191,Programma!$F$3:$S$1107,14,0),"")</f>
        <v>1m</v>
      </c>
      <c r="AW191" s="300" t="str">
        <f>_xlfn.IFNA(VLOOKUP($AI191,Programma!$F$3:$T$1107,15,0),"")</f>
        <v>2j</v>
      </c>
      <c r="AX191" s="300" t="str">
        <f>_xlfn.IFNA(VLOOKUP($AI191,Programma!$F$3:$U$1107,16,0),"")</f>
        <v>1j</v>
      </c>
      <c r="AY191" s="300" t="str">
        <f>_xlfn.IFNA(VLOOKUP($AI191,Programma!$F$3:$V$1107,17,0),"")</f>
        <v>_</v>
      </c>
      <c r="AZ191" s="300" t="str">
        <f>_xlfn.IFNA(VLOOKUP($AI191,Programma!$F$3:$W$1107,18,0),"")</f>
        <v>_</v>
      </c>
      <c r="BA191" s="300" t="str">
        <f>_xlfn.IFNA(VLOOKUP($AI191,Programma!$F$3:$X$1107,19,0),"")</f>
        <v>_</v>
      </c>
      <c r="BB191" s="300" t="str">
        <f>_xlfn.IFNA(VLOOKUP($AI191,Programma!$F$3:$Y$1107,20,0),"")</f>
        <v>_</v>
      </c>
      <c r="BC191" s="257"/>
      <c r="BD191" s="256" t="str">
        <f>IF(Ruimtestaat[[#This Row],[Frequentie weekend]]="","",_xlfn.CONCAT(Ruimtestaat[[#This Row],[Ruimte code]],"-",Ruimtestaat[[#This Row],[Frequentie weekend]]," ",Ruimtestaat[[#This Row],[Vloer code]]))</f>
        <v/>
      </c>
      <c r="BE191" s="300" t="str">
        <f>_xlfn.IFNA(VLOOKUP($BD191,Programma!$F$3:$G$1107,2,0),"")</f>
        <v/>
      </c>
      <c r="BF191" s="300" t="str">
        <f>_xlfn.IFNA(VLOOKUP($BD191,Programma!$F$3:$H$1107,3,0),"")</f>
        <v/>
      </c>
      <c r="BG191" s="300" t="str">
        <f>_xlfn.IFNA(VLOOKUP($BD191,Programma!$F$3:$I$1107,4,0),"")</f>
        <v/>
      </c>
      <c r="BH191" s="300" t="str">
        <f>_xlfn.IFNA(VLOOKUP($BD191,Programma!$F$3:$J$1107,5,0),"")</f>
        <v/>
      </c>
      <c r="BI191" s="300" t="str">
        <f>_xlfn.IFNA(VLOOKUP($BD191,Programma!$F$3:$K$1107,6,0),"")</f>
        <v/>
      </c>
      <c r="BJ191" s="300" t="str">
        <f>_xlfn.IFNA(VLOOKUP($BD191,Programma!$F$3:$L$1107,7,0),"")</f>
        <v/>
      </c>
      <c r="BK191" s="300" t="str">
        <f>_xlfn.IFNA(VLOOKUP($BD191,Programma!$F$3:$M$1107,8,0),"")</f>
        <v/>
      </c>
      <c r="BL191" s="300" t="str">
        <f>_xlfn.IFNA(VLOOKUP($BD191,Programma!$F$3:$N$1107,9,0),"")</f>
        <v/>
      </c>
      <c r="BM191" s="300" t="str">
        <f>_xlfn.IFNA(VLOOKUP($BD191,Programma!$F$3:$O$1107,10,0),"")</f>
        <v/>
      </c>
      <c r="BN191" s="300" t="str">
        <f>_xlfn.IFNA(VLOOKUP($BD191,Programma!$F$3:$P$1107,11,0),"")</f>
        <v/>
      </c>
      <c r="BO191" s="300" t="str">
        <f>_xlfn.IFNA(VLOOKUP($BD191,Programma!$F$3:$Q$1107,12,0),"")</f>
        <v/>
      </c>
      <c r="BP191" s="300" t="str">
        <f>_xlfn.IFNA(VLOOKUP($BD191,Programma!$F$3:$R$1107,13,0),"")</f>
        <v/>
      </c>
      <c r="BQ191" s="300" t="str">
        <f>_xlfn.IFNA(VLOOKUP($BD191,Programma!$F$3:$S$1107,14,0),"")</f>
        <v/>
      </c>
      <c r="BR191" s="300" t="str">
        <f>_xlfn.IFNA(VLOOKUP($BD191,Programma!$F$3:$T$1107,15,0),"")</f>
        <v/>
      </c>
      <c r="BS191" s="300" t="str">
        <f>_xlfn.IFNA(VLOOKUP($BD191,Programma!$F$3:$U$1107,16,0),"")</f>
        <v/>
      </c>
      <c r="BT191" s="300" t="str">
        <f>_xlfn.IFNA(VLOOKUP($BD191,Programma!$F$3:$V$1107,17,0),"")</f>
        <v/>
      </c>
      <c r="BU191" s="300" t="str">
        <f>_xlfn.IFNA(VLOOKUP($BD191,Programma!$F$3:$W$1107,18,0),"")</f>
        <v/>
      </c>
      <c r="BV191" s="300" t="str">
        <f>_xlfn.IFNA(VLOOKUP($BD191,Programma!$F$3:$X$1107,19,0),"")</f>
        <v/>
      </c>
      <c r="BW191" s="300" t="str">
        <f>_xlfn.IFNA(VLOOKUP($BD191,Programma!$F$3:$Y$1107,20,0),"")</f>
        <v/>
      </c>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row>
    <row r="192" spans="1:220" ht="15" customHeight="1">
      <c r="A192" s="21">
        <v>4</v>
      </c>
      <c r="B192" s="157" t="str">
        <f>VLOOKUP(Ruimtestaat[[#This Row],[Code]],Locaties[[Code]:[Locatie]],2,FALSE)</f>
        <v>Sint-Maartenscollege</v>
      </c>
      <c r="C192" s="157" t="str">
        <f>VLOOKUP(Ruimtestaat[[#This Row],[Code]],Locaties[[#All],[Code]:[Adres]],4,FALSE)</f>
        <v xml:space="preserve">Aart v.d. Leeuwkade 14 </v>
      </c>
      <c r="D192" s="157" t="str">
        <f>VLOOKUP(Ruimtestaat[[#This Row],[Code]],Locaties[[#All],[Code]:[Postcode]],5,FALSE)</f>
        <v>2274 KX</v>
      </c>
      <c r="E192" s="157" t="str">
        <f>VLOOKUP(Ruimtestaat[[#This Row],[Code]],Locaties[#All],6,FALSE)</f>
        <v>Voorburg</v>
      </c>
      <c r="F192" s="33"/>
      <c r="G192" s="33" t="s">
        <v>1632</v>
      </c>
      <c r="H192" s="21">
        <v>16</v>
      </c>
      <c r="I192" s="62" t="s">
        <v>1870</v>
      </c>
      <c r="J192" s="21">
        <v>2</v>
      </c>
      <c r="K192" s="62" t="str">
        <f>VLOOKUP(Ruimtestaat[[#This Row],[Ruimte code]],Ruimtegroepen[[#All],[Code]:[Ruimte omschrijving]],2,FALSE)</f>
        <v>Kantoren</v>
      </c>
      <c r="L192" s="33" t="s">
        <v>100</v>
      </c>
      <c r="M192" s="367" t="s">
        <v>2493</v>
      </c>
      <c r="N192" s="140">
        <v>28</v>
      </c>
      <c r="O192" s="140"/>
      <c r="P192" s="125" t="str">
        <f>VLOOKUP(Ruimtestaat[[#This Row],[Ruimte code]],Ruimtegroepen[],4,FALSE)</f>
        <v>Bu</v>
      </c>
      <c r="R192" s="33">
        <v>42</v>
      </c>
      <c r="S192" s="33" t="s">
        <v>18</v>
      </c>
      <c r="T192" s="33">
        <f>IF(R192&gt;0,IF(RIGHT(Ruimtestaat[[#This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92" s="33">
        <f>IF(T192&gt;0,VLOOKUP($J192,Ruimtegroepen[],3,FALSE)*VLOOKUP($L192,Vloersoorten[],3,FALSE)*VLOOKUP($S192,Frequenties[],3,FALSE)*VLOOKUP($A192,Locaties[],3,FALSE),0)</f>
        <v>0</v>
      </c>
      <c r="V192" s="33">
        <f>Ruimtestaat[[#This Row],[Uitvoeringen werkdagen]]*Ruimtestaat[[#This Row],[Oppervlak (netto)]]</f>
        <v>3528</v>
      </c>
      <c r="W192" s="154">
        <f>IF(U192&gt;0,Ruimtestaat[[#This Row],[Prest. (m2 /jaar) werkdagen]]/Ruimtestaat[[#This Row],[Norm (m2/uur) werkdagen]],0)</f>
        <v>0</v>
      </c>
      <c r="X192" s="155">
        <f>Ruimtestaat[[#This Row],[uren / jaar werkdagen]]*Tariefsopbouw!$E$35</f>
        <v>0</v>
      </c>
      <c r="Y192" s="33"/>
      <c r="Z192" s="33">
        <f>IF(Ruimtestaat[[#This Row],[Frequentie weekend]]&gt;0,VALUE(LEFT(Y192,1))*R192,0)</f>
        <v>0</v>
      </c>
      <c r="AA192" s="97">
        <f>IF($Z192&gt;0,VLOOKUP($J192,Ruimtegroepen[],3,FALSE)*VLOOKUP($L192,Vloersoorten[],3,FALSE)*VLOOKUP($Y192,Frequenties[],3,FALSE)*VLOOKUP(Ruimtestaat[[#This Row],[Code]],Locaties[],3,FALSE),0)</f>
        <v>0</v>
      </c>
      <c r="AB192" s="97">
        <f>Ruimtestaat[[#This Row],[Uitvoeringen weekend]]*Ruimtestaat[[#This Row],[Oppervlak (netto)]]</f>
        <v>0</v>
      </c>
      <c r="AC192" s="97">
        <f>IF(AA192&gt;0,Ruimtestaat[[#This Row],[Prest. (m2 /jaar) weekend]]/Ruimtestaat[[#This Row],[Norm (m2/uur) weekend]],0)</f>
        <v>0</v>
      </c>
      <c r="AD192" s="155">
        <f>Ruimtestaat[[#This Row],[uren / jaar weekend]]*Tariefsopbouw!$D$40</f>
        <v>0</v>
      </c>
      <c r="AE192" s="154">
        <f>Ruimtestaat[[#This Row],[Prest. (m2 /jaar) weekend]]+Ruimtestaat[[#This Row],[Prest. (m2 /jaar) werkdagen]]</f>
        <v>3528</v>
      </c>
      <c r="AF192" s="154">
        <f>Ruimtestaat[[#This Row],[uren / jaar weekend]]+Ruimtestaat[[#This Row],[uren / jaar werkdagen]]</f>
        <v>0</v>
      </c>
      <c r="AG192" s="69">
        <f>Ruimtestaat[[#This Row],[kosten / jaar weekend]]+Ruimtestaat[[#This Row],[kosten / jaar werkdagen]]</f>
        <v>0</v>
      </c>
      <c r="AH192" s="69"/>
      <c r="AI192" s="256" t="str">
        <f>IF(Ruimtestaat[[#This Row],[Frequentie werkdagen]]="","",_xlfn.CONCAT(Ruimtestaat[[#This Row],[Ruimte code]],"-",Ruimtestaat[[#This Row],[Frequentie werkdagen]]," ",Ruimtestaat[[#This Row],[Vloer code]]))</f>
        <v>2-3w T</v>
      </c>
      <c r="AJ192" s="300" t="str">
        <f>_xlfn.IFNA(VLOOKUP($AI192,Programma!$F$3:$G$1107,2,0),"")</f>
        <v>2w</v>
      </c>
      <c r="AK192" s="300" t="str">
        <f>_xlfn.IFNA(VLOOKUP($AI192,Programma!$F$3:$H$1107,3,0),"")</f>
        <v>1w</v>
      </c>
      <c r="AL192" s="300" t="str">
        <f>_xlfn.IFNA(VLOOKUP($AI192,Programma!$F$3:$I$1107,4,0),"")</f>
        <v>_</v>
      </c>
      <c r="AM192" s="300" t="str">
        <f>_xlfn.IFNA(VLOOKUP($AI192,Programma!$F$3:$J$1107,5,0),"")</f>
        <v>_</v>
      </c>
      <c r="AN192" s="300" t="str">
        <f>_xlfn.IFNA(VLOOKUP($AI192,Programma!$F$3:$K$1107,6,0),"")</f>
        <v>_</v>
      </c>
      <c r="AO192" s="300" t="str">
        <f>_xlfn.IFNA(VLOOKUP($AI192,Programma!$F$3:$L$1107,7,0),"")</f>
        <v>_</v>
      </c>
      <c r="AP192" s="300" t="str">
        <f>_xlfn.IFNA(VLOOKUP($AI192,Programma!$F$3:$M$1107,8,0),"")</f>
        <v>_</v>
      </c>
      <c r="AQ192" s="300" t="str">
        <f>_xlfn.IFNA(VLOOKUP($AI192,Programma!$F$3:$N$1107,9,0),"")</f>
        <v>_</v>
      </c>
      <c r="AR192" s="300" t="str">
        <f>_xlfn.IFNA(VLOOKUP($AI192,Programma!$F$3:$O$1107,10,0),"")</f>
        <v>3w</v>
      </c>
      <c r="AS192" s="300" t="str">
        <f>_xlfn.IFNA(VLOOKUP($AI192,Programma!$F$3:$P$1107,11,0),"")</f>
        <v>3w</v>
      </c>
      <c r="AT192" s="300" t="str">
        <f>_xlfn.IFNA(VLOOKUP($AI192,Programma!$F$3:$Q$1107,12,0),"")</f>
        <v>1w</v>
      </c>
      <c r="AU192" s="300" t="str">
        <f>_xlfn.IFNA(VLOOKUP($AI192,Programma!$F$3:$R$1107,13,0),"")</f>
        <v>1w</v>
      </c>
      <c r="AV192" s="300" t="str">
        <f>_xlfn.IFNA(VLOOKUP($AI192,Programma!$F$3:$S$1107,14,0),"")</f>
        <v>1m</v>
      </c>
      <c r="AW192" s="300" t="str">
        <f>_xlfn.IFNA(VLOOKUP($AI192,Programma!$F$3:$T$1107,15,0),"")</f>
        <v>2j</v>
      </c>
      <c r="AX192" s="300" t="str">
        <f>_xlfn.IFNA(VLOOKUP($AI192,Programma!$F$3:$U$1107,16,0),"")</f>
        <v>1j</v>
      </c>
      <c r="AY192" s="300" t="str">
        <f>_xlfn.IFNA(VLOOKUP($AI192,Programma!$F$3:$V$1107,17,0),"")</f>
        <v>_</v>
      </c>
      <c r="AZ192" s="300" t="str">
        <f>_xlfn.IFNA(VLOOKUP($AI192,Programma!$F$3:$W$1107,18,0),"")</f>
        <v>_</v>
      </c>
      <c r="BA192" s="300" t="str">
        <f>_xlfn.IFNA(VLOOKUP($AI192,Programma!$F$3:$X$1107,19,0),"")</f>
        <v>_</v>
      </c>
      <c r="BB192" s="300" t="str">
        <f>_xlfn.IFNA(VLOOKUP($AI192,Programma!$F$3:$Y$1107,20,0),"")</f>
        <v>_</v>
      </c>
      <c r="BC192" s="257"/>
      <c r="BD192" s="256" t="str">
        <f>IF(Ruimtestaat[[#This Row],[Frequentie weekend]]="","",_xlfn.CONCAT(Ruimtestaat[[#This Row],[Ruimte code]],"-",Ruimtestaat[[#This Row],[Frequentie weekend]]," ",Ruimtestaat[[#This Row],[Vloer code]]))</f>
        <v/>
      </c>
      <c r="BE192" s="300" t="str">
        <f>_xlfn.IFNA(VLOOKUP($BD192,Programma!$F$3:$G$1107,2,0),"")</f>
        <v/>
      </c>
      <c r="BF192" s="300" t="str">
        <f>_xlfn.IFNA(VLOOKUP($BD192,Programma!$F$3:$H$1107,3,0),"")</f>
        <v/>
      </c>
      <c r="BG192" s="300" t="str">
        <f>_xlfn.IFNA(VLOOKUP($BD192,Programma!$F$3:$I$1107,4,0),"")</f>
        <v/>
      </c>
      <c r="BH192" s="300" t="str">
        <f>_xlfn.IFNA(VLOOKUP($BD192,Programma!$F$3:$J$1107,5,0),"")</f>
        <v/>
      </c>
      <c r="BI192" s="300" t="str">
        <f>_xlfn.IFNA(VLOOKUP($BD192,Programma!$F$3:$K$1107,6,0),"")</f>
        <v/>
      </c>
      <c r="BJ192" s="300" t="str">
        <f>_xlfn.IFNA(VLOOKUP($BD192,Programma!$F$3:$L$1107,7,0),"")</f>
        <v/>
      </c>
      <c r="BK192" s="300" t="str">
        <f>_xlfn.IFNA(VLOOKUP($BD192,Programma!$F$3:$M$1107,8,0),"")</f>
        <v/>
      </c>
      <c r="BL192" s="300" t="str">
        <f>_xlfn.IFNA(VLOOKUP($BD192,Programma!$F$3:$N$1107,9,0),"")</f>
        <v/>
      </c>
      <c r="BM192" s="300" t="str">
        <f>_xlfn.IFNA(VLOOKUP($BD192,Programma!$F$3:$O$1107,10,0),"")</f>
        <v/>
      </c>
      <c r="BN192" s="300" t="str">
        <f>_xlfn.IFNA(VLOOKUP($BD192,Programma!$F$3:$P$1107,11,0),"")</f>
        <v/>
      </c>
      <c r="BO192" s="300" t="str">
        <f>_xlfn.IFNA(VLOOKUP($BD192,Programma!$F$3:$Q$1107,12,0),"")</f>
        <v/>
      </c>
      <c r="BP192" s="300" t="str">
        <f>_xlfn.IFNA(VLOOKUP($BD192,Programma!$F$3:$R$1107,13,0),"")</f>
        <v/>
      </c>
      <c r="BQ192" s="300" t="str">
        <f>_xlfn.IFNA(VLOOKUP($BD192,Programma!$F$3:$S$1107,14,0),"")</f>
        <v/>
      </c>
      <c r="BR192" s="300" t="str">
        <f>_xlfn.IFNA(VLOOKUP($BD192,Programma!$F$3:$T$1107,15,0),"")</f>
        <v/>
      </c>
      <c r="BS192" s="300" t="str">
        <f>_xlfn.IFNA(VLOOKUP($BD192,Programma!$F$3:$U$1107,16,0),"")</f>
        <v/>
      </c>
      <c r="BT192" s="300" t="str">
        <f>_xlfn.IFNA(VLOOKUP($BD192,Programma!$F$3:$V$1107,17,0),"")</f>
        <v/>
      </c>
      <c r="BU192" s="300" t="str">
        <f>_xlfn.IFNA(VLOOKUP($BD192,Programma!$F$3:$W$1107,18,0),"")</f>
        <v/>
      </c>
      <c r="BV192" s="300" t="str">
        <f>_xlfn.IFNA(VLOOKUP($BD192,Programma!$F$3:$X$1107,19,0),"")</f>
        <v/>
      </c>
      <c r="BW192" s="300" t="str">
        <f>_xlfn.IFNA(VLOOKUP($BD192,Programma!$F$3:$Y$1107,20,0),"")</f>
        <v/>
      </c>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row>
    <row r="193" spans="1:220" ht="15" customHeight="1">
      <c r="A193" s="21">
        <v>4</v>
      </c>
      <c r="B193" s="157" t="str">
        <f>VLOOKUP(Ruimtestaat[[#This Row],[Code]],Locaties[[Code]:[Locatie]],2,FALSE)</f>
        <v>Sint-Maartenscollege</v>
      </c>
      <c r="C193" s="157" t="str">
        <f>VLOOKUP(Ruimtestaat[[#This Row],[Code]],Locaties[[#All],[Code]:[Adres]],4,FALSE)</f>
        <v xml:space="preserve">Aart v.d. Leeuwkade 14 </v>
      </c>
      <c r="D193" s="157" t="str">
        <f>VLOOKUP(Ruimtestaat[[#This Row],[Code]],Locaties[[#All],[Code]:[Postcode]],5,FALSE)</f>
        <v>2274 KX</v>
      </c>
      <c r="E193" s="157" t="str">
        <f>VLOOKUP(Ruimtestaat[[#This Row],[Code]],Locaties[#All],6,FALSE)</f>
        <v>Voorburg</v>
      </c>
      <c r="F193" s="33"/>
      <c r="G193" s="33" t="s">
        <v>1632</v>
      </c>
      <c r="H193" s="21">
        <v>17</v>
      </c>
      <c r="I193" s="62" t="s">
        <v>1871</v>
      </c>
      <c r="J193" s="21">
        <v>20</v>
      </c>
      <c r="K193" s="62" t="str">
        <f>VLOOKUP(Ruimtestaat[[#This Row],[Ruimte code]],Ruimtegroepen[[#All],[Code]:[Ruimte omschrijving]],2,FALSE)</f>
        <v>Niet in Onderhoud</v>
      </c>
      <c r="L193" s="33" t="s">
        <v>101</v>
      </c>
      <c r="M193" s="367" t="s">
        <v>2495</v>
      </c>
      <c r="N193" s="140">
        <v>395</v>
      </c>
      <c r="O193" s="140"/>
      <c r="P193" s="125">
        <f>VLOOKUP(Ruimtestaat[[#This Row],[Ruimte code]],Ruimtegroepen[],4,FALSE)</f>
        <v>0</v>
      </c>
      <c r="Q193" s="125" t="s">
        <v>2536</v>
      </c>
      <c r="R193" s="33"/>
      <c r="S193" s="33"/>
      <c r="T193" s="33">
        <f>IF(R193&gt;0,IF(RIGHT(Ruimtestaat[[#This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93" s="33">
        <f>IF(T193&gt;0,VLOOKUP($J193,Ruimtegroepen[],3,FALSE)*VLOOKUP($L193,Vloersoorten[],3,FALSE)*VLOOKUP($S193,Frequenties[],3,FALSE)*VLOOKUP($A193,Locaties[],3,FALSE),0)</f>
        <v>0</v>
      </c>
      <c r="V193" s="33">
        <f>Ruimtestaat[[#This Row],[Uitvoeringen werkdagen]]*Ruimtestaat[[#This Row],[Oppervlak (netto)]]</f>
        <v>0</v>
      </c>
      <c r="W193" s="154">
        <f>IF(U193&gt;0,Ruimtestaat[[#This Row],[Prest. (m2 /jaar) werkdagen]]/Ruimtestaat[[#This Row],[Norm (m2/uur) werkdagen]],0)</f>
        <v>0</v>
      </c>
      <c r="X193" s="155">
        <f>Ruimtestaat[[#This Row],[uren / jaar werkdagen]]*Tariefsopbouw!$E$35</f>
        <v>0</v>
      </c>
      <c r="Y193" s="33"/>
      <c r="Z193" s="33">
        <f>IF(Ruimtestaat[[#This Row],[Frequentie weekend]]&gt;0,VALUE(LEFT(Y193,1))*R193,0)</f>
        <v>0</v>
      </c>
      <c r="AA193" s="97">
        <f>IF($Z193&gt;0,VLOOKUP($J193,Ruimtegroepen[],3,FALSE)*VLOOKUP($L193,Vloersoorten[],3,FALSE)*VLOOKUP($Y193,Frequenties[],3,FALSE)*VLOOKUP(Ruimtestaat[[#This Row],[Code]],Locaties[],3,FALSE),0)</f>
        <v>0</v>
      </c>
      <c r="AB193" s="97">
        <f>Ruimtestaat[[#This Row],[Uitvoeringen weekend]]*Ruimtestaat[[#This Row],[Oppervlak (netto)]]</f>
        <v>0</v>
      </c>
      <c r="AC193" s="97">
        <f>IF(AA193&gt;0,Ruimtestaat[[#This Row],[Prest. (m2 /jaar) weekend]]/Ruimtestaat[[#This Row],[Norm (m2/uur) weekend]],0)</f>
        <v>0</v>
      </c>
      <c r="AD193" s="155">
        <f>Ruimtestaat[[#This Row],[uren / jaar weekend]]*Tariefsopbouw!$D$40</f>
        <v>0</v>
      </c>
      <c r="AE193" s="154">
        <f>Ruimtestaat[[#This Row],[Prest. (m2 /jaar) weekend]]+Ruimtestaat[[#This Row],[Prest. (m2 /jaar) werkdagen]]</f>
        <v>0</v>
      </c>
      <c r="AF193" s="154">
        <f>Ruimtestaat[[#This Row],[uren / jaar weekend]]+Ruimtestaat[[#This Row],[uren / jaar werkdagen]]</f>
        <v>0</v>
      </c>
      <c r="AG193" s="69">
        <f>Ruimtestaat[[#This Row],[kosten / jaar weekend]]+Ruimtestaat[[#This Row],[kosten / jaar werkdagen]]</f>
        <v>0</v>
      </c>
      <c r="AH193" s="69"/>
      <c r="AI193" s="256" t="str">
        <f>IF(Ruimtestaat[[#This Row],[Frequentie werkdagen]]="","",_xlfn.CONCAT(Ruimtestaat[[#This Row],[Ruimte code]],"-",Ruimtestaat[[#This Row],[Frequentie werkdagen]]," ",Ruimtestaat[[#This Row],[Vloer code]]))</f>
        <v/>
      </c>
      <c r="AJ193" s="300" t="str">
        <f>_xlfn.IFNA(VLOOKUP($AI193,Programma!$F$3:$G$1107,2,0),"")</f>
        <v/>
      </c>
      <c r="AK193" s="300" t="str">
        <f>_xlfn.IFNA(VLOOKUP($AI193,Programma!$F$3:$H$1107,3,0),"")</f>
        <v/>
      </c>
      <c r="AL193" s="300" t="str">
        <f>_xlfn.IFNA(VLOOKUP($AI193,Programma!$F$3:$I$1107,4,0),"")</f>
        <v/>
      </c>
      <c r="AM193" s="300" t="str">
        <f>_xlfn.IFNA(VLOOKUP($AI193,Programma!$F$3:$J$1107,5,0),"")</f>
        <v/>
      </c>
      <c r="AN193" s="300" t="str">
        <f>_xlfn.IFNA(VLOOKUP($AI193,Programma!$F$3:$K$1107,6,0),"")</f>
        <v/>
      </c>
      <c r="AO193" s="300" t="str">
        <f>_xlfn.IFNA(VLOOKUP($AI193,Programma!$F$3:$L$1107,7,0),"")</f>
        <v/>
      </c>
      <c r="AP193" s="300" t="str">
        <f>_xlfn.IFNA(VLOOKUP($AI193,Programma!$F$3:$M$1107,8,0),"")</f>
        <v/>
      </c>
      <c r="AQ193" s="300" t="str">
        <f>_xlfn.IFNA(VLOOKUP($AI193,Programma!$F$3:$N$1107,9,0),"")</f>
        <v/>
      </c>
      <c r="AR193" s="300" t="str">
        <f>_xlfn.IFNA(VLOOKUP($AI193,Programma!$F$3:$O$1107,10,0),"")</f>
        <v/>
      </c>
      <c r="AS193" s="300" t="str">
        <f>_xlfn.IFNA(VLOOKUP($AI193,Programma!$F$3:$P$1107,11,0),"")</f>
        <v/>
      </c>
      <c r="AT193" s="300" t="str">
        <f>_xlfn.IFNA(VLOOKUP($AI193,Programma!$F$3:$Q$1107,12,0),"")</f>
        <v/>
      </c>
      <c r="AU193" s="300" t="str">
        <f>_xlfn.IFNA(VLOOKUP($AI193,Programma!$F$3:$R$1107,13,0),"")</f>
        <v/>
      </c>
      <c r="AV193" s="300" t="str">
        <f>_xlfn.IFNA(VLOOKUP($AI193,Programma!$F$3:$S$1107,14,0),"")</f>
        <v/>
      </c>
      <c r="AW193" s="300" t="str">
        <f>_xlfn.IFNA(VLOOKUP($AI193,Programma!$F$3:$T$1107,15,0),"")</f>
        <v/>
      </c>
      <c r="AX193" s="300" t="str">
        <f>_xlfn.IFNA(VLOOKUP($AI193,Programma!$F$3:$U$1107,16,0),"")</f>
        <v/>
      </c>
      <c r="AY193" s="300" t="str">
        <f>_xlfn.IFNA(VLOOKUP($AI193,Programma!$F$3:$V$1107,17,0),"")</f>
        <v/>
      </c>
      <c r="AZ193" s="300" t="str">
        <f>_xlfn.IFNA(VLOOKUP($AI193,Programma!$F$3:$W$1107,18,0),"")</f>
        <v/>
      </c>
      <c r="BA193" s="300" t="str">
        <f>_xlfn.IFNA(VLOOKUP($AI193,Programma!$F$3:$X$1107,19,0),"")</f>
        <v/>
      </c>
      <c r="BB193" s="300" t="str">
        <f>_xlfn.IFNA(VLOOKUP($AI193,Programma!$F$3:$Y$1107,20,0),"")</f>
        <v/>
      </c>
      <c r="BC193" s="257"/>
      <c r="BD193" s="256" t="str">
        <f>IF(Ruimtestaat[[#This Row],[Frequentie weekend]]="","",_xlfn.CONCAT(Ruimtestaat[[#This Row],[Ruimte code]],"-",Ruimtestaat[[#This Row],[Frequentie weekend]]," ",Ruimtestaat[[#This Row],[Vloer code]]))</f>
        <v/>
      </c>
      <c r="BE193" s="300" t="str">
        <f>_xlfn.IFNA(VLOOKUP($BD193,Programma!$F$3:$G$1107,2,0),"")</f>
        <v/>
      </c>
      <c r="BF193" s="300" t="str">
        <f>_xlfn.IFNA(VLOOKUP($BD193,Programma!$F$3:$H$1107,3,0),"")</f>
        <v/>
      </c>
      <c r="BG193" s="300" t="str">
        <f>_xlfn.IFNA(VLOOKUP($BD193,Programma!$F$3:$I$1107,4,0),"")</f>
        <v/>
      </c>
      <c r="BH193" s="300" t="str">
        <f>_xlfn.IFNA(VLOOKUP($BD193,Programma!$F$3:$J$1107,5,0),"")</f>
        <v/>
      </c>
      <c r="BI193" s="300" t="str">
        <f>_xlfn.IFNA(VLOOKUP($BD193,Programma!$F$3:$K$1107,6,0),"")</f>
        <v/>
      </c>
      <c r="BJ193" s="300" t="str">
        <f>_xlfn.IFNA(VLOOKUP($BD193,Programma!$F$3:$L$1107,7,0),"")</f>
        <v/>
      </c>
      <c r="BK193" s="300" t="str">
        <f>_xlfn.IFNA(VLOOKUP($BD193,Programma!$F$3:$M$1107,8,0),"")</f>
        <v/>
      </c>
      <c r="BL193" s="300" t="str">
        <f>_xlfn.IFNA(VLOOKUP($BD193,Programma!$F$3:$N$1107,9,0),"")</f>
        <v/>
      </c>
      <c r="BM193" s="300" t="str">
        <f>_xlfn.IFNA(VLOOKUP($BD193,Programma!$F$3:$O$1107,10,0),"")</f>
        <v/>
      </c>
      <c r="BN193" s="300" t="str">
        <f>_xlfn.IFNA(VLOOKUP($BD193,Programma!$F$3:$P$1107,11,0),"")</f>
        <v/>
      </c>
      <c r="BO193" s="300" t="str">
        <f>_xlfn.IFNA(VLOOKUP($BD193,Programma!$F$3:$Q$1107,12,0),"")</f>
        <v/>
      </c>
      <c r="BP193" s="300" t="str">
        <f>_xlfn.IFNA(VLOOKUP($BD193,Programma!$F$3:$R$1107,13,0),"")</f>
        <v/>
      </c>
      <c r="BQ193" s="300" t="str">
        <f>_xlfn.IFNA(VLOOKUP($BD193,Programma!$F$3:$S$1107,14,0),"")</f>
        <v/>
      </c>
      <c r="BR193" s="300" t="str">
        <f>_xlfn.IFNA(VLOOKUP($BD193,Programma!$F$3:$T$1107,15,0),"")</f>
        <v/>
      </c>
      <c r="BS193" s="300" t="str">
        <f>_xlfn.IFNA(VLOOKUP($BD193,Programma!$F$3:$U$1107,16,0),"")</f>
        <v/>
      </c>
      <c r="BT193" s="300" t="str">
        <f>_xlfn.IFNA(VLOOKUP($BD193,Programma!$F$3:$V$1107,17,0),"")</f>
        <v/>
      </c>
      <c r="BU193" s="300" t="str">
        <f>_xlfn.IFNA(VLOOKUP($BD193,Programma!$F$3:$W$1107,18,0),"")</f>
        <v/>
      </c>
      <c r="BV193" s="300" t="str">
        <f>_xlfn.IFNA(VLOOKUP($BD193,Programma!$F$3:$X$1107,19,0),"")</f>
        <v/>
      </c>
      <c r="BW193" s="300" t="str">
        <f>_xlfn.IFNA(VLOOKUP($BD193,Programma!$F$3:$Y$1107,20,0),"")</f>
        <v/>
      </c>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row>
    <row r="194" spans="1:220" ht="15" customHeight="1">
      <c r="A194" s="21">
        <v>4</v>
      </c>
      <c r="B194" s="157" t="str">
        <f>VLOOKUP(Ruimtestaat[[#This Row],[Code]],Locaties[[Code]:[Locatie]],2,FALSE)</f>
        <v>Sint-Maartenscollege</v>
      </c>
      <c r="C194" s="157" t="str">
        <f>VLOOKUP(Ruimtestaat[[#This Row],[Code]],Locaties[[#All],[Code]:[Adres]],4,FALSE)</f>
        <v xml:space="preserve">Aart v.d. Leeuwkade 14 </v>
      </c>
      <c r="D194" s="157" t="str">
        <f>VLOOKUP(Ruimtestaat[[#This Row],[Code]],Locaties[[#All],[Code]:[Postcode]],5,FALSE)</f>
        <v>2274 KX</v>
      </c>
      <c r="E194" s="157" t="str">
        <f>VLOOKUP(Ruimtestaat[[#This Row],[Code]],Locaties[#All],6,FALSE)</f>
        <v>Voorburg</v>
      </c>
      <c r="F194" s="33"/>
      <c r="G194" s="33" t="s">
        <v>1632</v>
      </c>
      <c r="H194" s="21">
        <v>18</v>
      </c>
      <c r="I194" s="62" t="s">
        <v>1872</v>
      </c>
      <c r="J194" s="21">
        <v>20</v>
      </c>
      <c r="K194" s="62" t="str">
        <f>VLOOKUP(Ruimtestaat[[#This Row],[Ruimte code]],Ruimtegroepen[[#All],[Code]:[Ruimte omschrijving]],2,FALSE)</f>
        <v>Niet in Onderhoud</v>
      </c>
      <c r="L194" s="33" t="s">
        <v>101</v>
      </c>
      <c r="M194" s="367" t="s">
        <v>2495</v>
      </c>
      <c r="N194" s="140"/>
      <c r="O194" s="140">
        <v>71</v>
      </c>
      <c r="P194" s="125">
        <f>VLOOKUP(Ruimtestaat[[#This Row],[Ruimte code]],Ruimtegroepen[],4,FALSE)</f>
        <v>0</v>
      </c>
      <c r="R194" s="33"/>
      <c r="S194" s="33"/>
      <c r="T194" s="33">
        <f>IF(R194&gt;0,IF(RIGHT(Ruimtestaat[[#This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94" s="33">
        <f>IF(T194&gt;0,VLOOKUP($J194,Ruimtegroepen[],3,FALSE)*VLOOKUP($L194,Vloersoorten[],3,FALSE)*VLOOKUP($S194,Frequenties[],3,FALSE)*VLOOKUP($A194,Locaties[],3,FALSE),0)</f>
        <v>0</v>
      </c>
      <c r="V194" s="33">
        <f>Ruimtestaat[[#This Row],[Uitvoeringen werkdagen]]*Ruimtestaat[[#This Row],[Oppervlak (netto)]]</f>
        <v>0</v>
      </c>
      <c r="W194" s="154">
        <f>IF(U194&gt;0,Ruimtestaat[[#This Row],[Prest. (m2 /jaar) werkdagen]]/Ruimtestaat[[#This Row],[Norm (m2/uur) werkdagen]],0)</f>
        <v>0</v>
      </c>
      <c r="X194" s="155">
        <f>Ruimtestaat[[#This Row],[uren / jaar werkdagen]]*Tariefsopbouw!$E$35</f>
        <v>0</v>
      </c>
      <c r="Y194" s="33"/>
      <c r="Z194" s="33">
        <f>IF(Ruimtestaat[[#This Row],[Frequentie weekend]]&gt;0,VALUE(LEFT(Y194,1))*R194,0)</f>
        <v>0</v>
      </c>
      <c r="AA194" s="97">
        <f>IF($Z194&gt;0,VLOOKUP($J194,Ruimtegroepen[],3,FALSE)*VLOOKUP($L194,Vloersoorten[],3,FALSE)*VLOOKUP($Y194,Frequenties[],3,FALSE)*VLOOKUP(Ruimtestaat[[#This Row],[Code]],Locaties[],3,FALSE),0)</f>
        <v>0</v>
      </c>
      <c r="AB194" s="97">
        <f>Ruimtestaat[[#This Row],[Uitvoeringen weekend]]*Ruimtestaat[[#This Row],[Oppervlak (netto)]]</f>
        <v>0</v>
      </c>
      <c r="AC194" s="97">
        <f>IF(AA194&gt;0,Ruimtestaat[[#This Row],[Prest. (m2 /jaar) weekend]]/Ruimtestaat[[#This Row],[Norm (m2/uur) weekend]],0)</f>
        <v>0</v>
      </c>
      <c r="AD194" s="155">
        <f>Ruimtestaat[[#This Row],[uren / jaar weekend]]*Tariefsopbouw!$D$40</f>
        <v>0</v>
      </c>
      <c r="AE194" s="154">
        <f>Ruimtestaat[[#This Row],[Prest. (m2 /jaar) weekend]]+Ruimtestaat[[#This Row],[Prest. (m2 /jaar) werkdagen]]</f>
        <v>0</v>
      </c>
      <c r="AF194" s="154">
        <f>Ruimtestaat[[#This Row],[uren / jaar weekend]]+Ruimtestaat[[#This Row],[uren / jaar werkdagen]]</f>
        <v>0</v>
      </c>
      <c r="AG194" s="69">
        <f>Ruimtestaat[[#This Row],[kosten / jaar weekend]]+Ruimtestaat[[#This Row],[kosten / jaar werkdagen]]</f>
        <v>0</v>
      </c>
      <c r="AH194" s="69"/>
      <c r="AI194" s="256" t="str">
        <f>IF(Ruimtestaat[[#This Row],[Frequentie werkdagen]]="","",_xlfn.CONCAT(Ruimtestaat[[#This Row],[Ruimte code]],"-",Ruimtestaat[[#This Row],[Frequentie werkdagen]]," ",Ruimtestaat[[#This Row],[Vloer code]]))</f>
        <v/>
      </c>
      <c r="AJ194" s="300" t="str">
        <f>_xlfn.IFNA(VLOOKUP($AI194,Programma!$F$3:$G$1107,2,0),"")</f>
        <v/>
      </c>
      <c r="AK194" s="300" t="str">
        <f>_xlfn.IFNA(VLOOKUP($AI194,Programma!$F$3:$H$1107,3,0),"")</f>
        <v/>
      </c>
      <c r="AL194" s="300" t="str">
        <f>_xlfn.IFNA(VLOOKUP($AI194,Programma!$F$3:$I$1107,4,0),"")</f>
        <v/>
      </c>
      <c r="AM194" s="300" t="str">
        <f>_xlfn.IFNA(VLOOKUP($AI194,Programma!$F$3:$J$1107,5,0),"")</f>
        <v/>
      </c>
      <c r="AN194" s="300" t="str">
        <f>_xlfn.IFNA(VLOOKUP($AI194,Programma!$F$3:$K$1107,6,0),"")</f>
        <v/>
      </c>
      <c r="AO194" s="300" t="str">
        <f>_xlfn.IFNA(VLOOKUP($AI194,Programma!$F$3:$L$1107,7,0),"")</f>
        <v/>
      </c>
      <c r="AP194" s="300" t="str">
        <f>_xlfn.IFNA(VLOOKUP($AI194,Programma!$F$3:$M$1107,8,0),"")</f>
        <v/>
      </c>
      <c r="AQ194" s="300" t="str">
        <f>_xlfn.IFNA(VLOOKUP($AI194,Programma!$F$3:$N$1107,9,0),"")</f>
        <v/>
      </c>
      <c r="AR194" s="300" t="str">
        <f>_xlfn.IFNA(VLOOKUP($AI194,Programma!$F$3:$O$1107,10,0),"")</f>
        <v/>
      </c>
      <c r="AS194" s="300" t="str">
        <f>_xlfn.IFNA(VLOOKUP($AI194,Programma!$F$3:$P$1107,11,0),"")</f>
        <v/>
      </c>
      <c r="AT194" s="300" t="str">
        <f>_xlfn.IFNA(VLOOKUP($AI194,Programma!$F$3:$Q$1107,12,0),"")</f>
        <v/>
      </c>
      <c r="AU194" s="300" t="str">
        <f>_xlfn.IFNA(VLOOKUP($AI194,Programma!$F$3:$R$1107,13,0),"")</f>
        <v/>
      </c>
      <c r="AV194" s="300" t="str">
        <f>_xlfn.IFNA(VLOOKUP($AI194,Programma!$F$3:$S$1107,14,0),"")</f>
        <v/>
      </c>
      <c r="AW194" s="300" t="str">
        <f>_xlfn.IFNA(VLOOKUP($AI194,Programma!$F$3:$T$1107,15,0),"")</f>
        <v/>
      </c>
      <c r="AX194" s="300" t="str">
        <f>_xlfn.IFNA(VLOOKUP($AI194,Programma!$F$3:$U$1107,16,0),"")</f>
        <v/>
      </c>
      <c r="AY194" s="300" t="str">
        <f>_xlfn.IFNA(VLOOKUP($AI194,Programma!$F$3:$V$1107,17,0),"")</f>
        <v/>
      </c>
      <c r="AZ194" s="300" t="str">
        <f>_xlfn.IFNA(VLOOKUP($AI194,Programma!$F$3:$W$1107,18,0),"")</f>
        <v/>
      </c>
      <c r="BA194" s="300" t="str">
        <f>_xlfn.IFNA(VLOOKUP($AI194,Programma!$F$3:$X$1107,19,0),"")</f>
        <v/>
      </c>
      <c r="BB194" s="300" t="str">
        <f>_xlfn.IFNA(VLOOKUP($AI194,Programma!$F$3:$Y$1107,20,0),"")</f>
        <v/>
      </c>
      <c r="BC194" s="257"/>
      <c r="BD194" s="256" t="str">
        <f>IF(Ruimtestaat[[#This Row],[Frequentie weekend]]="","",_xlfn.CONCAT(Ruimtestaat[[#This Row],[Ruimte code]],"-",Ruimtestaat[[#This Row],[Frequentie weekend]]," ",Ruimtestaat[[#This Row],[Vloer code]]))</f>
        <v/>
      </c>
      <c r="BE194" s="300" t="str">
        <f>_xlfn.IFNA(VLOOKUP($BD194,Programma!$F$3:$G$1107,2,0),"")</f>
        <v/>
      </c>
      <c r="BF194" s="300" t="str">
        <f>_xlfn.IFNA(VLOOKUP($BD194,Programma!$F$3:$H$1107,3,0),"")</f>
        <v/>
      </c>
      <c r="BG194" s="300" t="str">
        <f>_xlfn.IFNA(VLOOKUP($BD194,Programma!$F$3:$I$1107,4,0),"")</f>
        <v/>
      </c>
      <c r="BH194" s="300" t="str">
        <f>_xlfn.IFNA(VLOOKUP($BD194,Programma!$F$3:$J$1107,5,0),"")</f>
        <v/>
      </c>
      <c r="BI194" s="300" t="str">
        <f>_xlfn.IFNA(VLOOKUP($BD194,Programma!$F$3:$K$1107,6,0),"")</f>
        <v/>
      </c>
      <c r="BJ194" s="300" t="str">
        <f>_xlfn.IFNA(VLOOKUP($BD194,Programma!$F$3:$L$1107,7,0),"")</f>
        <v/>
      </c>
      <c r="BK194" s="300" t="str">
        <f>_xlfn.IFNA(VLOOKUP($BD194,Programma!$F$3:$M$1107,8,0),"")</f>
        <v/>
      </c>
      <c r="BL194" s="300" t="str">
        <f>_xlfn.IFNA(VLOOKUP($BD194,Programma!$F$3:$N$1107,9,0),"")</f>
        <v/>
      </c>
      <c r="BM194" s="300" t="str">
        <f>_xlfn.IFNA(VLOOKUP($BD194,Programma!$F$3:$O$1107,10,0),"")</f>
        <v/>
      </c>
      <c r="BN194" s="300" t="str">
        <f>_xlfn.IFNA(VLOOKUP($BD194,Programma!$F$3:$P$1107,11,0),"")</f>
        <v/>
      </c>
      <c r="BO194" s="300" t="str">
        <f>_xlfn.IFNA(VLOOKUP($BD194,Programma!$F$3:$Q$1107,12,0),"")</f>
        <v/>
      </c>
      <c r="BP194" s="300" t="str">
        <f>_xlfn.IFNA(VLOOKUP($BD194,Programma!$F$3:$R$1107,13,0),"")</f>
        <v/>
      </c>
      <c r="BQ194" s="300" t="str">
        <f>_xlfn.IFNA(VLOOKUP($BD194,Programma!$F$3:$S$1107,14,0),"")</f>
        <v/>
      </c>
      <c r="BR194" s="300" t="str">
        <f>_xlfn.IFNA(VLOOKUP($BD194,Programma!$F$3:$T$1107,15,0),"")</f>
        <v/>
      </c>
      <c r="BS194" s="300" t="str">
        <f>_xlfn.IFNA(VLOOKUP($BD194,Programma!$F$3:$U$1107,16,0),"")</f>
        <v/>
      </c>
      <c r="BT194" s="300" t="str">
        <f>_xlfn.IFNA(VLOOKUP($BD194,Programma!$F$3:$V$1107,17,0),"")</f>
        <v/>
      </c>
      <c r="BU194" s="300" t="str">
        <f>_xlfn.IFNA(VLOOKUP($BD194,Programma!$F$3:$W$1107,18,0),"")</f>
        <v/>
      </c>
      <c r="BV194" s="300" t="str">
        <f>_xlfn.IFNA(VLOOKUP($BD194,Programma!$F$3:$X$1107,19,0),"")</f>
        <v/>
      </c>
      <c r="BW194" s="300" t="str">
        <f>_xlfn.IFNA(VLOOKUP($BD194,Programma!$F$3:$Y$1107,20,0),"")</f>
        <v/>
      </c>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row>
    <row r="195" spans="1:220" ht="15" customHeight="1">
      <c r="A195" s="21">
        <v>4</v>
      </c>
      <c r="B195" s="157" t="str">
        <f>VLOOKUP(Ruimtestaat[[#This Row],[Code]],Locaties[[Code]:[Locatie]],2,FALSE)</f>
        <v>Sint-Maartenscollege</v>
      </c>
      <c r="C195" s="157" t="str">
        <f>VLOOKUP(Ruimtestaat[[#This Row],[Code]],Locaties[[#All],[Code]:[Adres]],4,FALSE)</f>
        <v xml:space="preserve">Aart v.d. Leeuwkade 14 </v>
      </c>
      <c r="D195" s="157" t="str">
        <f>VLOOKUP(Ruimtestaat[[#This Row],[Code]],Locaties[[#All],[Code]:[Postcode]],5,FALSE)</f>
        <v>2274 KX</v>
      </c>
      <c r="E195" s="157" t="str">
        <f>VLOOKUP(Ruimtestaat[[#This Row],[Code]],Locaties[#All],6,FALSE)</f>
        <v>Voorburg</v>
      </c>
      <c r="F195" s="33"/>
      <c r="G195" s="33" t="s">
        <v>1632</v>
      </c>
      <c r="H195" s="21">
        <v>19</v>
      </c>
      <c r="I195" s="62" t="s">
        <v>1873</v>
      </c>
      <c r="J195" s="21">
        <v>6</v>
      </c>
      <c r="K195" s="62" t="str">
        <f>VLOOKUP(Ruimtestaat[[#This Row],[Ruimte code]],Ruimtegroepen[[#All],[Code]:[Ruimte omschrijving]],2,FALSE)</f>
        <v>Gangen/hallen</v>
      </c>
      <c r="L195" s="33" t="s">
        <v>100</v>
      </c>
      <c r="M195" s="367" t="s">
        <v>2493</v>
      </c>
      <c r="N195" s="140">
        <v>8</v>
      </c>
      <c r="O195" s="140"/>
      <c r="P195" s="125" t="str">
        <f>VLOOKUP(Ruimtestaat[[#This Row],[Ruimte code]],Ruimtegroepen[],4,FALSE)</f>
        <v>Ve</v>
      </c>
      <c r="R195" s="33">
        <v>40</v>
      </c>
      <c r="S195" s="33" t="s">
        <v>2</v>
      </c>
      <c r="T195" s="33">
        <f>IF(R195&gt;0,IF(RIGHT(Ruimtestaat[[#This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5" s="33">
        <f>IF(T195&gt;0,VLOOKUP($J195,Ruimtegroepen[],3,FALSE)*VLOOKUP($L195,Vloersoorten[],3,FALSE)*VLOOKUP($S195,Frequenties[],3,FALSE)*VLOOKUP($A195,Locaties[],3,FALSE),0)</f>
        <v>0</v>
      </c>
      <c r="V195" s="33">
        <f>Ruimtestaat[[#This Row],[Uitvoeringen werkdagen]]*Ruimtestaat[[#This Row],[Oppervlak (netto)]]</f>
        <v>1600</v>
      </c>
      <c r="W195" s="154">
        <f>IF(U195&gt;0,Ruimtestaat[[#This Row],[Prest. (m2 /jaar) werkdagen]]/Ruimtestaat[[#This Row],[Norm (m2/uur) werkdagen]],0)</f>
        <v>0</v>
      </c>
      <c r="X195" s="155">
        <f>Ruimtestaat[[#This Row],[uren / jaar werkdagen]]*Tariefsopbouw!$E$35</f>
        <v>0</v>
      </c>
      <c r="Y195" s="33"/>
      <c r="Z195" s="33">
        <f>IF(Ruimtestaat[[#This Row],[Frequentie weekend]]&gt;0,VALUE(LEFT(Y195,1))*R195,0)</f>
        <v>0</v>
      </c>
      <c r="AA195" s="97">
        <f>IF($Z195&gt;0,VLOOKUP($J195,Ruimtegroepen[],3,FALSE)*VLOOKUP($L195,Vloersoorten[],3,FALSE)*VLOOKUP($Y195,Frequenties[],3,FALSE)*VLOOKUP(Ruimtestaat[[#This Row],[Code]],Locaties[],3,FALSE),0)</f>
        <v>0</v>
      </c>
      <c r="AB195" s="97">
        <f>Ruimtestaat[[#This Row],[Uitvoeringen weekend]]*Ruimtestaat[[#This Row],[Oppervlak (netto)]]</f>
        <v>0</v>
      </c>
      <c r="AC195" s="97">
        <f>IF(AA195&gt;0,Ruimtestaat[[#This Row],[Prest. (m2 /jaar) weekend]]/Ruimtestaat[[#This Row],[Norm (m2/uur) weekend]],0)</f>
        <v>0</v>
      </c>
      <c r="AD195" s="155">
        <f>Ruimtestaat[[#This Row],[uren / jaar weekend]]*Tariefsopbouw!$D$40</f>
        <v>0</v>
      </c>
      <c r="AE195" s="154">
        <f>Ruimtestaat[[#This Row],[Prest. (m2 /jaar) weekend]]+Ruimtestaat[[#This Row],[Prest. (m2 /jaar) werkdagen]]</f>
        <v>1600</v>
      </c>
      <c r="AF195" s="154">
        <f>Ruimtestaat[[#This Row],[uren / jaar weekend]]+Ruimtestaat[[#This Row],[uren / jaar werkdagen]]</f>
        <v>0</v>
      </c>
      <c r="AG195" s="69">
        <f>Ruimtestaat[[#This Row],[kosten / jaar weekend]]+Ruimtestaat[[#This Row],[kosten / jaar werkdagen]]</f>
        <v>0</v>
      </c>
      <c r="AH195" s="69"/>
      <c r="AI195" s="256" t="str">
        <f>IF(Ruimtestaat[[#This Row],[Frequentie werkdagen]]="","",_xlfn.CONCAT(Ruimtestaat[[#This Row],[Ruimte code]],"-",Ruimtestaat[[#This Row],[Frequentie werkdagen]]," ",Ruimtestaat[[#This Row],[Vloer code]]))</f>
        <v>6-5w T</v>
      </c>
      <c r="AJ195" s="300" t="str">
        <f>_xlfn.IFNA(VLOOKUP($AI195,Programma!$F$3:$G$1107,2,0),"")</f>
        <v>_</v>
      </c>
      <c r="AK195" s="300" t="str">
        <f>_xlfn.IFNA(VLOOKUP($AI195,Programma!$F$3:$H$1107,3,0),"")</f>
        <v>5w</v>
      </c>
      <c r="AL195" s="300" t="str">
        <f>_xlfn.IFNA(VLOOKUP($AI195,Programma!$F$3:$I$1107,4,0),"")</f>
        <v>_</v>
      </c>
      <c r="AM195" s="300" t="str">
        <f>_xlfn.IFNA(VLOOKUP($AI195,Programma!$F$3:$J$1107,5,0),"")</f>
        <v>_</v>
      </c>
      <c r="AN195" s="300" t="str">
        <f>_xlfn.IFNA(VLOOKUP($AI195,Programma!$F$3:$K$1107,6,0),"")</f>
        <v>_</v>
      </c>
      <c r="AO195" s="300" t="str">
        <f>_xlfn.IFNA(VLOOKUP($AI195,Programma!$F$3:$L$1107,7,0),"")</f>
        <v>_</v>
      </c>
      <c r="AP195" s="300" t="str">
        <f>_xlfn.IFNA(VLOOKUP($AI195,Programma!$F$3:$M$1107,8,0),"")</f>
        <v>_</v>
      </c>
      <c r="AQ195" s="300" t="str">
        <f>_xlfn.IFNA(VLOOKUP($AI195,Programma!$F$3:$N$1107,9,0),"")</f>
        <v>_</v>
      </c>
      <c r="AR195" s="300" t="str">
        <f>_xlfn.IFNA(VLOOKUP($AI195,Programma!$F$3:$O$1107,10,0),"")</f>
        <v>5w</v>
      </c>
      <c r="AS195" s="300" t="str">
        <f>_xlfn.IFNA(VLOOKUP($AI195,Programma!$F$3:$P$1107,11,0),"")</f>
        <v>5w</v>
      </c>
      <c r="AT195" s="300" t="str">
        <f>_xlfn.IFNA(VLOOKUP($AI195,Programma!$F$3:$Q$1107,12,0),"")</f>
        <v>1w</v>
      </c>
      <c r="AU195" s="300" t="str">
        <f>_xlfn.IFNA(VLOOKUP($AI195,Programma!$F$3:$R$1107,13,0),"")</f>
        <v>1w</v>
      </c>
      <c r="AV195" s="300" t="str">
        <f>_xlfn.IFNA(VLOOKUP($AI195,Programma!$F$3:$S$1107,14,0),"")</f>
        <v>1m</v>
      </c>
      <c r="AW195" s="300" t="str">
        <f>_xlfn.IFNA(VLOOKUP($AI195,Programma!$F$3:$T$1107,15,0),"")</f>
        <v>2j</v>
      </c>
      <c r="AX195" s="300" t="str">
        <f>_xlfn.IFNA(VLOOKUP($AI195,Programma!$F$3:$U$1107,16,0),"")</f>
        <v>1j</v>
      </c>
      <c r="AY195" s="300" t="str">
        <f>_xlfn.IFNA(VLOOKUP($AI195,Programma!$F$3:$V$1107,17,0),"")</f>
        <v>_</v>
      </c>
      <c r="AZ195" s="300" t="str">
        <f>_xlfn.IFNA(VLOOKUP($AI195,Programma!$F$3:$W$1107,18,0),"")</f>
        <v>_</v>
      </c>
      <c r="BA195" s="300" t="str">
        <f>_xlfn.IFNA(VLOOKUP($AI195,Programma!$F$3:$X$1107,19,0),"")</f>
        <v>_</v>
      </c>
      <c r="BB195" s="300" t="str">
        <f>_xlfn.IFNA(VLOOKUP($AI195,Programma!$F$3:$Y$1107,20,0),"")</f>
        <v>_</v>
      </c>
      <c r="BC195" s="257"/>
      <c r="BD195" s="256" t="str">
        <f>IF(Ruimtestaat[[#This Row],[Frequentie weekend]]="","",_xlfn.CONCAT(Ruimtestaat[[#This Row],[Ruimte code]],"-",Ruimtestaat[[#This Row],[Frequentie weekend]]," ",Ruimtestaat[[#This Row],[Vloer code]]))</f>
        <v/>
      </c>
      <c r="BE195" s="300" t="str">
        <f>_xlfn.IFNA(VLOOKUP($BD195,Programma!$F$3:$G$1107,2,0),"")</f>
        <v/>
      </c>
      <c r="BF195" s="300" t="str">
        <f>_xlfn.IFNA(VLOOKUP($BD195,Programma!$F$3:$H$1107,3,0),"")</f>
        <v/>
      </c>
      <c r="BG195" s="300" t="str">
        <f>_xlfn.IFNA(VLOOKUP($BD195,Programma!$F$3:$I$1107,4,0),"")</f>
        <v/>
      </c>
      <c r="BH195" s="300" t="str">
        <f>_xlfn.IFNA(VLOOKUP($BD195,Programma!$F$3:$J$1107,5,0),"")</f>
        <v/>
      </c>
      <c r="BI195" s="300" t="str">
        <f>_xlfn.IFNA(VLOOKUP($BD195,Programma!$F$3:$K$1107,6,0),"")</f>
        <v/>
      </c>
      <c r="BJ195" s="300" t="str">
        <f>_xlfn.IFNA(VLOOKUP($BD195,Programma!$F$3:$L$1107,7,0),"")</f>
        <v/>
      </c>
      <c r="BK195" s="300" t="str">
        <f>_xlfn.IFNA(VLOOKUP($BD195,Programma!$F$3:$M$1107,8,0),"")</f>
        <v/>
      </c>
      <c r="BL195" s="300" t="str">
        <f>_xlfn.IFNA(VLOOKUP($BD195,Programma!$F$3:$N$1107,9,0),"")</f>
        <v/>
      </c>
      <c r="BM195" s="300" t="str">
        <f>_xlfn.IFNA(VLOOKUP($BD195,Programma!$F$3:$O$1107,10,0),"")</f>
        <v/>
      </c>
      <c r="BN195" s="300" t="str">
        <f>_xlfn.IFNA(VLOOKUP($BD195,Programma!$F$3:$P$1107,11,0),"")</f>
        <v/>
      </c>
      <c r="BO195" s="300" t="str">
        <f>_xlfn.IFNA(VLOOKUP($BD195,Programma!$F$3:$Q$1107,12,0),"")</f>
        <v/>
      </c>
      <c r="BP195" s="300" t="str">
        <f>_xlfn.IFNA(VLOOKUP($BD195,Programma!$F$3:$R$1107,13,0),"")</f>
        <v/>
      </c>
      <c r="BQ195" s="300" t="str">
        <f>_xlfn.IFNA(VLOOKUP($BD195,Programma!$F$3:$S$1107,14,0),"")</f>
        <v/>
      </c>
      <c r="BR195" s="300" t="str">
        <f>_xlfn.IFNA(VLOOKUP($BD195,Programma!$F$3:$T$1107,15,0),"")</f>
        <v/>
      </c>
      <c r="BS195" s="300" t="str">
        <f>_xlfn.IFNA(VLOOKUP($BD195,Programma!$F$3:$U$1107,16,0),"")</f>
        <v/>
      </c>
      <c r="BT195" s="300" t="str">
        <f>_xlfn.IFNA(VLOOKUP($BD195,Programma!$F$3:$V$1107,17,0),"")</f>
        <v/>
      </c>
      <c r="BU195" s="300" t="str">
        <f>_xlfn.IFNA(VLOOKUP($BD195,Programma!$F$3:$W$1107,18,0),"")</f>
        <v/>
      </c>
      <c r="BV195" s="300" t="str">
        <f>_xlfn.IFNA(VLOOKUP($BD195,Programma!$F$3:$X$1107,19,0),"")</f>
        <v/>
      </c>
      <c r="BW195" s="300" t="str">
        <f>_xlfn.IFNA(VLOOKUP($BD195,Programma!$F$3:$Y$1107,20,0),"")</f>
        <v/>
      </c>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row>
    <row r="196" spans="1:220" ht="15" customHeight="1">
      <c r="A196" s="21">
        <v>4</v>
      </c>
      <c r="B196" s="157" t="str">
        <f>VLOOKUP(Ruimtestaat[[#This Row],[Code]],Locaties[[Code]:[Locatie]],2,FALSE)</f>
        <v>Sint-Maartenscollege</v>
      </c>
      <c r="C196" s="157" t="str">
        <f>VLOOKUP(Ruimtestaat[[#This Row],[Code]],Locaties[[#All],[Code]:[Adres]],4,FALSE)</f>
        <v xml:space="preserve">Aart v.d. Leeuwkade 14 </v>
      </c>
      <c r="D196" s="157" t="str">
        <f>VLOOKUP(Ruimtestaat[[#This Row],[Code]],Locaties[[#All],[Code]:[Postcode]],5,FALSE)</f>
        <v>2274 KX</v>
      </c>
      <c r="E196" s="157" t="str">
        <f>VLOOKUP(Ruimtestaat[[#This Row],[Code]],Locaties[#All],6,FALSE)</f>
        <v>Voorburg</v>
      </c>
      <c r="F196" s="33"/>
      <c r="G196" s="33" t="s">
        <v>1632</v>
      </c>
      <c r="H196" s="21">
        <v>20</v>
      </c>
      <c r="I196" s="62" t="s">
        <v>1874</v>
      </c>
      <c r="J196" s="21">
        <v>6</v>
      </c>
      <c r="K196" s="62" t="str">
        <f>VLOOKUP(Ruimtestaat[[#This Row],[Ruimte code]],Ruimtegroepen[[#All],[Code]:[Ruimte omschrijving]],2,FALSE)</f>
        <v>Gangen/hallen</v>
      </c>
      <c r="L196" s="33" t="s">
        <v>101</v>
      </c>
      <c r="M196" s="367" t="s">
        <v>2495</v>
      </c>
      <c r="N196" s="140">
        <v>71</v>
      </c>
      <c r="O196" s="140"/>
      <c r="P196" s="125" t="str">
        <f>VLOOKUP(Ruimtestaat[[#This Row],[Ruimte code]],Ruimtegroepen[],4,FALSE)</f>
        <v>Ve</v>
      </c>
      <c r="R196" s="33">
        <v>40</v>
      </c>
      <c r="S196" s="33" t="s">
        <v>2</v>
      </c>
      <c r="T196" s="33">
        <f>IF(R196&gt;0,IF(RIGHT(Ruimtestaat[[#This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6" s="33">
        <f>IF(T196&gt;0,VLOOKUP($J196,Ruimtegroepen[],3,FALSE)*VLOOKUP($L196,Vloersoorten[],3,FALSE)*VLOOKUP($S196,Frequenties[],3,FALSE)*VLOOKUP($A196,Locaties[],3,FALSE),0)</f>
        <v>0</v>
      </c>
      <c r="V196" s="33">
        <f>Ruimtestaat[[#This Row],[Uitvoeringen werkdagen]]*Ruimtestaat[[#This Row],[Oppervlak (netto)]]</f>
        <v>14200</v>
      </c>
      <c r="W196" s="154">
        <f>IF(U196&gt;0,Ruimtestaat[[#This Row],[Prest. (m2 /jaar) werkdagen]]/Ruimtestaat[[#This Row],[Norm (m2/uur) werkdagen]],0)</f>
        <v>0</v>
      </c>
      <c r="X196" s="155">
        <f>Ruimtestaat[[#This Row],[uren / jaar werkdagen]]*Tariefsopbouw!$E$35</f>
        <v>0</v>
      </c>
      <c r="Y196" s="33"/>
      <c r="Z196" s="33">
        <f>IF(Ruimtestaat[[#This Row],[Frequentie weekend]]&gt;0,VALUE(LEFT(Y196,1))*R196,0)</f>
        <v>0</v>
      </c>
      <c r="AA196" s="97">
        <f>IF($Z196&gt;0,VLOOKUP($J196,Ruimtegroepen[],3,FALSE)*VLOOKUP($L196,Vloersoorten[],3,FALSE)*VLOOKUP($Y196,Frequenties[],3,FALSE)*VLOOKUP(Ruimtestaat[[#This Row],[Code]],Locaties[],3,FALSE),0)</f>
        <v>0</v>
      </c>
      <c r="AB196" s="97">
        <f>Ruimtestaat[[#This Row],[Uitvoeringen weekend]]*Ruimtestaat[[#This Row],[Oppervlak (netto)]]</f>
        <v>0</v>
      </c>
      <c r="AC196" s="97">
        <f>IF(AA196&gt;0,Ruimtestaat[[#This Row],[Prest. (m2 /jaar) weekend]]/Ruimtestaat[[#This Row],[Norm (m2/uur) weekend]],0)</f>
        <v>0</v>
      </c>
      <c r="AD196" s="155">
        <f>Ruimtestaat[[#This Row],[uren / jaar weekend]]*Tariefsopbouw!$D$40</f>
        <v>0</v>
      </c>
      <c r="AE196" s="154">
        <f>Ruimtestaat[[#This Row],[Prest. (m2 /jaar) weekend]]+Ruimtestaat[[#This Row],[Prest. (m2 /jaar) werkdagen]]</f>
        <v>14200</v>
      </c>
      <c r="AF196" s="154">
        <f>Ruimtestaat[[#This Row],[uren / jaar weekend]]+Ruimtestaat[[#This Row],[uren / jaar werkdagen]]</f>
        <v>0</v>
      </c>
      <c r="AG196" s="69">
        <f>Ruimtestaat[[#This Row],[kosten / jaar weekend]]+Ruimtestaat[[#This Row],[kosten / jaar werkdagen]]</f>
        <v>0</v>
      </c>
      <c r="AH196" s="69"/>
      <c r="AI196" s="256" t="str">
        <f>IF(Ruimtestaat[[#This Row],[Frequentie werkdagen]]="","",_xlfn.CONCAT(Ruimtestaat[[#This Row],[Ruimte code]],"-",Ruimtestaat[[#This Row],[Frequentie werkdagen]]," ",Ruimtestaat[[#This Row],[Vloer code]]))</f>
        <v>6-5w L</v>
      </c>
      <c r="AJ196" s="300" t="str">
        <f>_xlfn.IFNA(VLOOKUP($AI196,Programma!$F$3:$G$1107,2,0),"")</f>
        <v>_</v>
      </c>
      <c r="AK196" s="300" t="str">
        <f>_xlfn.IFNA(VLOOKUP($AI196,Programma!$F$3:$H$1107,3,0),"")</f>
        <v>_</v>
      </c>
      <c r="AL196" s="300" t="str">
        <f>_xlfn.IFNA(VLOOKUP($AI196,Programma!$F$3:$I$1107,4,0),"")</f>
        <v>_</v>
      </c>
      <c r="AM196" s="300" t="str">
        <f>_xlfn.IFNA(VLOOKUP($AI196,Programma!$F$3:$J$1107,5,0),"")</f>
        <v>5w</v>
      </c>
      <c r="AN196" s="300" t="str">
        <f>_xlfn.IFNA(VLOOKUP($AI196,Programma!$F$3:$K$1107,6,0),"")</f>
        <v>_</v>
      </c>
      <c r="AO196" s="300" t="str">
        <f>_xlfn.IFNA(VLOOKUP($AI196,Programma!$F$3:$L$1107,7,0),"")</f>
        <v>_</v>
      </c>
      <c r="AP196" s="300" t="str">
        <f>_xlfn.IFNA(VLOOKUP($AI196,Programma!$F$3:$M$1107,8,0),"")</f>
        <v>_</v>
      </c>
      <c r="AQ196" s="300" t="str">
        <f>_xlfn.IFNA(VLOOKUP($AI196,Programma!$F$3:$N$1107,9,0),"")</f>
        <v>_</v>
      </c>
      <c r="AR196" s="300" t="str">
        <f>_xlfn.IFNA(VLOOKUP($AI196,Programma!$F$3:$O$1107,10,0),"")</f>
        <v>5w</v>
      </c>
      <c r="AS196" s="300" t="str">
        <f>_xlfn.IFNA(VLOOKUP($AI196,Programma!$F$3:$P$1107,11,0),"")</f>
        <v>5w</v>
      </c>
      <c r="AT196" s="300" t="str">
        <f>_xlfn.IFNA(VLOOKUP($AI196,Programma!$F$3:$Q$1107,12,0),"")</f>
        <v>1w</v>
      </c>
      <c r="AU196" s="300" t="str">
        <f>_xlfn.IFNA(VLOOKUP($AI196,Programma!$F$3:$R$1107,13,0),"")</f>
        <v>1w</v>
      </c>
      <c r="AV196" s="300" t="str">
        <f>_xlfn.IFNA(VLOOKUP($AI196,Programma!$F$3:$S$1107,14,0),"")</f>
        <v>1m</v>
      </c>
      <c r="AW196" s="300" t="str">
        <f>_xlfn.IFNA(VLOOKUP($AI196,Programma!$F$3:$T$1107,15,0),"")</f>
        <v>2j</v>
      </c>
      <c r="AX196" s="300" t="str">
        <f>_xlfn.IFNA(VLOOKUP($AI196,Programma!$F$3:$U$1107,16,0),"")</f>
        <v>1j</v>
      </c>
      <c r="AY196" s="300" t="str">
        <f>_xlfn.IFNA(VLOOKUP($AI196,Programma!$F$3:$V$1107,17,0),"")</f>
        <v>_</v>
      </c>
      <c r="AZ196" s="300" t="str">
        <f>_xlfn.IFNA(VLOOKUP($AI196,Programma!$F$3:$W$1107,18,0),"")</f>
        <v>_</v>
      </c>
      <c r="BA196" s="300" t="str">
        <f>_xlfn.IFNA(VLOOKUP($AI196,Programma!$F$3:$X$1107,19,0),"")</f>
        <v>_</v>
      </c>
      <c r="BB196" s="300" t="str">
        <f>_xlfn.IFNA(VLOOKUP($AI196,Programma!$F$3:$Y$1107,20,0),"")</f>
        <v>_</v>
      </c>
      <c r="BC196" s="257"/>
      <c r="BD196" s="256" t="str">
        <f>IF(Ruimtestaat[[#This Row],[Frequentie weekend]]="","",_xlfn.CONCAT(Ruimtestaat[[#This Row],[Ruimte code]],"-",Ruimtestaat[[#This Row],[Frequentie weekend]]," ",Ruimtestaat[[#This Row],[Vloer code]]))</f>
        <v/>
      </c>
      <c r="BE196" s="300" t="str">
        <f>_xlfn.IFNA(VLOOKUP($BD196,Programma!$F$3:$G$1107,2,0),"")</f>
        <v/>
      </c>
      <c r="BF196" s="300" t="str">
        <f>_xlfn.IFNA(VLOOKUP($BD196,Programma!$F$3:$H$1107,3,0),"")</f>
        <v/>
      </c>
      <c r="BG196" s="300" t="str">
        <f>_xlfn.IFNA(VLOOKUP($BD196,Programma!$F$3:$I$1107,4,0),"")</f>
        <v/>
      </c>
      <c r="BH196" s="300" t="str">
        <f>_xlfn.IFNA(VLOOKUP($BD196,Programma!$F$3:$J$1107,5,0),"")</f>
        <v/>
      </c>
      <c r="BI196" s="300" t="str">
        <f>_xlfn.IFNA(VLOOKUP($BD196,Programma!$F$3:$K$1107,6,0),"")</f>
        <v/>
      </c>
      <c r="BJ196" s="300" t="str">
        <f>_xlfn.IFNA(VLOOKUP($BD196,Programma!$F$3:$L$1107,7,0),"")</f>
        <v/>
      </c>
      <c r="BK196" s="300" t="str">
        <f>_xlfn.IFNA(VLOOKUP($BD196,Programma!$F$3:$M$1107,8,0),"")</f>
        <v/>
      </c>
      <c r="BL196" s="300" t="str">
        <f>_xlfn.IFNA(VLOOKUP($BD196,Programma!$F$3:$N$1107,9,0),"")</f>
        <v/>
      </c>
      <c r="BM196" s="300" t="str">
        <f>_xlfn.IFNA(VLOOKUP($BD196,Programma!$F$3:$O$1107,10,0),"")</f>
        <v/>
      </c>
      <c r="BN196" s="300" t="str">
        <f>_xlfn.IFNA(VLOOKUP($BD196,Programma!$F$3:$P$1107,11,0),"")</f>
        <v/>
      </c>
      <c r="BO196" s="300" t="str">
        <f>_xlfn.IFNA(VLOOKUP($BD196,Programma!$F$3:$Q$1107,12,0),"")</f>
        <v/>
      </c>
      <c r="BP196" s="300" t="str">
        <f>_xlfn.IFNA(VLOOKUP($BD196,Programma!$F$3:$R$1107,13,0),"")</f>
        <v/>
      </c>
      <c r="BQ196" s="300" t="str">
        <f>_xlfn.IFNA(VLOOKUP($BD196,Programma!$F$3:$S$1107,14,0),"")</f>
        <v/>
      </c>
      <c r="BR196" s="300" t="str">
        <f>_xlfn.IFNA(VLOOKUP($BD196,Programma!$F$3:$T$1107,15,0),"")</f>
        <v/>
      </c>
      <c r="BS196" s="300" t="str">
        <f>_xlfn.IFNA(VLOOKUP($BD196,Programma!$F$3:$U$1107,16,0),"")</f>
        <v/>
      </c>
      <c r="BT196" s="300" t="str">
        <f>_xlfn.IFNA(VLOOKUP($BD196,Programma!$F$3:$V$1107,17,0),"")</f>
        <v/>
      </c>
      <c r="BU196" s="300" t="str">
        <f>_xlfn.IFNA(VLOOKUP($BD196,Programma!$F$3:$W$1107,18,0),"")</f>
        <v/>
      </c>
      <c r="BV196" s="300" t="str">
        <f>_xlfn.IFNA(VLOOKUP($BD196,Programma!$F$3:$X$1107,19,0),"")</f>
        <v/>
      </c>
      <c r="BW196" s="300" t="str">
        <f>_xlfn.IFNA(VLOOKUP($BD196,Programma!$F$3:$Y$1107,20,0),"")</f>
        <v/>
      </c>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row>
    <row r="197" spans="1:220" ht="15" customHeight="1">
      <c r="A197" s="21">
        <v>4</v>
      </c>
      <c r="B197" s="157" t="str">
        <f>VLOOKUP(Ruimtestaat[[#This Row],[Code]],Locaties[[Code]:[Locatie]],2,FALSE)</f>
        <v>Sint-Maartenscollege</v>
      </c>
      <c r="C197" s="157" t="str">
        <f>VLOOKUP(Ruimtestaat[[#This Row],[Code]],Locaties[[#All],[Code]:[Adres]],4,FALSE)</f>
        <v xml:space="preserve">Aart v.d. Leeuwkade 14 </v>
      </c>
      <c r="D197" s="157" t="str">
        <f>VLOOKUP(Ruimtestaat[[#This Row],[Code]],Locaties[[#All],[Code]:[Postcode]],5,FALSE)</f>
        <v>2274 KX</v>
      </c>
      <c r="E197" s="157" t="str">
        <f>VLOOKUP(Ruimtestaat[[#This Row],[Code]],Locaties[#All],6,FALSE)</f>
        <v>Voorburg</v>
      </c>
      <c r="F197" s="33"/>
      <c r="G197" s="33" t="s">
        <v>1632</v>
      </c>
      <c r="H197" s="21">
        <v>21</v>
      </c>
      <c r="I197" s="62" t="s">
        <v>1875</v>
      </c>
      <c r="J197" s="21">
        <v>9</v>
      </c>
      <c r="K197" s="62" t="str">
        <f>VLOOKUP(Ruimtestaat[[#This Row],[Ruimte code]],Ruimtegroepen[[#All],[Code]:[Ruimte omschrijving]],2,FALSE)</f>
        <v>Publieksruimte</v>
      </c>
      <c r="L197" s="33" t="s">
        <v>101</v>
      </c>
      <c r="M197" s="367" t="s">
        <v>2495</v>
      </c>
      <c r="N197" s="140">
        <v>76</v>
      </c>
      <c r="O197" s="140"/>
      <c r="P197" s="125" t="str">
        <f>VLOOKUP(Ruimtestaat[[#This Row],[Ruimte code]],Ruimtegroepen[],4,FALSE)</f>
        <v>Ve</v>
      </c>
      <c r="R197" s="33">
        <v>40</v>
      </c>
      <c r="S197" s="33" t="s">
        <v>2</v>
      </c>
      <c r="T197" s="33">
        <f>IF(R197&gt;0,IF(RIGHT(Ruimtestaat[[#This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7" s="33">
        <f>IF(T197&gt;0,VLOOKUP($J197,Ruimtegroepen[],3,FALSE)*VLOOKUP($L197,Vloersoorten[],3,FALSE)*VLOOKUP($S197,Frequenties[],3,FALSE)*VLOOKUP($A197,Locaties[],3,FALSE),0)</f>
        <v>0</v>
      </c>
      <c r="V197" s="33">
        <f>Ruimtestaat[[#This Row],[Uitvoeringen werkdagen]]*Ruimtestaat[[#This Row],[Oppervlak (netto)]]</f>
        <v>15200</v>
      </c>
      <c r="W197" s="154">
        <f>IF(U197&gt;0,Ruimtestaat[[#This Row],[Prest. (m2 /jaar) werkdagen]]/Ruimtestaat[[#This Row],[Norm (m2/uur) werkdagen]],0)</f>
        <v>0</v>
      </c>
      <c r="X197" s="155">
        <f>Ruimtestaat[[#This Row],[uren / jaar werkdagen]]*Tariefsopbouw!$E$35</f>
        <v>0</v>
      </c>
      <c r="Y197" s="33"/>
      <c r="Z197" s="33">
        <f>IF(Ruimtestaat[[#This Row],[Frequentie weekend]]&gt;0,VALUE(LEFT(Y197,1))*R197,0)</f>
        <v>0</v>
      </c>
      <c r="AA197" s="97">
        <f>IF($Z197&gt;0,VLOOKUP($J197,Ruimtegroepen[],3,FALSE)*VLOOKUP($L197,Vloersoorten[],3,FALSE)*VLOOKUP($Y197,Frequenties[],3,FALSE)*VLOOKUP(Ruimtestaat[[#This Row],[Code]],Locaties[],3,FALSE),0)</f>
        <v>0</v>
      </c>
      <c r="AB197" s="97">
        <f>Ruimtestaat[[#This Row],[Uitvoeringen weekend]]*Ruimtestaat[[#This Row],[Oppervlak (netto)]]</f>
        <v>0</v>
      </c>
      <c r="AC197" s="97">
        <f>IF(AA197&gt;0,Ruimtestaat[[#This Row],[Prest. (m2 /jaar) weekend]]/Ruimtestaat[[#This Row],[Norm (m2/uur) weekend]],0)</f>
        <v>0</v>
      </c>
      <c r="AD197" s="155">
        <f>Ruimtestaat[[#This Row],[uren / jaar weekend]]*Tariefsopbouw!$D$40</f>
        <v>0</v>
      </c>
      <c r="AE197" s="154">
        <f>Ruimtestaat[[#This Row],[Prest. (m2 /jaar) weekend]]+Ruimtestaat[[#This Row],[Prest. (m2 /jaar) werkdagen]]</f>
        <v>15200</v>
      </c>
      <c r="AF197" s="154">
        <f>Ruimtestaat[[#This Row],[uren / jaar weekend]]+Ruimtestaat[[#This Row],[uren / jaar werkdagen]]</f>
        <v>0</v>
      </c>
      <c r="AG197" s="69">
        <f>Ruimtestaat[[#This Row],[kosten / jaar weekend]]+Ruimtestaat[[#This Row],[kosten / jaar werkdagen]]</f>
        <v>0</v>
      </c>
      <c r="AH197" s="69"/>
      <c r="AI197" s="256" t="str">
        <f>IF(Ruimtestaat[[#This Row],[Frequentie werkdagen]]="","",_xlfn.CONCAT(Ruimtestaat[[#This Row],[Ruimte code]],"-",Ruimtestaat[[#This Row],[Frequentie werkdagen]]," ",Ruimtestaat[[#This Row],[Vloer code]]))</f>
        <v>9-5w L</v>
      </c>
      <c r="AJ197" s="300" t="str">
        <f>_xlfn.IFNA(VLOOKUP($AI197,Programma!$F$3:$G$1107,2,0),"")</f>
        <v>_</v>
      </c>
      <c r="AK197" s="300" t="str">
        <f>_xlfn.IFNA(VLOOKUP($AI197,Programma!$F$3:$H$1107,3,0),"")</f>
        <v>_</v>
      </c>
      <c r="AL197" s="300" t="str">
        <f>_xlfn.IFNA(VLOOKUP($AI197,Programma!$F$3:$I$1107,4,0),"")</f>
        <v>4w</v>
      </c>
      <c r="AM197" s="300" t="str">
        <f>_xlfn.IFNA(VLOOKUP($AI197,Programma!$F$3:$J$1107,5,0),"")</f>
        <v>1w</v>
      </c>
      <c r="AN197" s="300" t="str">
        <f>_xlfn.IFNA(VLOOKUP($AI197,Programma!$F$3:$K$1107,6,0),"")</f>
        <v>_</v>
      </c>
      <c r="AO197" s="300" t="str">
        <f>_xlfn.IFNA(VLOOKUP($AI197,Programma!$F$3:$L$1107,7,0),"")</f>
        <v>_</v>
      </c>
      <c r="AP197" s="300" t="str">
        <f>_xlfn.IFNA(VLOOKUP($AI197,Programma!$F$3:$M$1107,8,0),"")</f>
        <v>_</v>
      </c>
      <c r="AQ197" s="300" t="str">
        <f>_xlfn.IFNA(VLOOKUP($AI197,Programma!$F$3:$N$1107,9,0),"")</f>
        <v>_</v>
      </c>
      <c r="AR197" s="300" t="str">
        <f>_xlfn.IFNA(VLOOKUP($AI197,Programma!$F$3:$O$1107,10,0),"")</f>
        <v>5w</v>
      </c>
      <c r="AS197" s="300" t="str">
        <f>_xlfn.IFNA(VLOOKUP($AI197,Programma!$F$3:$P$1107,11,0),"")</f>
        <v>5w</v>
      </c>
      <c r="AT197" s="300" t="str">
        <f>_xlfn.IFNA(VLOOKUP($AI197,Programma!$F$3:$Q$1107,12,0),"")</f>
        <v>1w</v>
      </c>
      <c r="AU197" s="300" t="str">
        <f>_xlfn.IFNA(VLOOKUP($AI197,Programma!$F$3:$R$1107,13,0),"")</f>
        <v>1w</v>
      </c>
      <c r="AV197" s="300" t="str">
        <f>_xlfn.IFNA(VLOOKUP($AI197,Programma!$F$3:$S$1107,14,0),"")</f>
        <v>1m</v>
      </c>
      <c r="AW197" s="300" t="str">
        <f>_xlfn.IFNA(VLOOKUP($AI197,Programma!$F$3:$T$1107,15,0),"")</f>
        <v>2j</v>
      </c>
      <c r="AX197" s="300" t="str">
        <f>_xlfn.IFNA(VLOOKUP($AI197,Programma!$F$3:$U$1107,16,0),"")</f>
        <v>1j</v>
      </c>
      <c r="AY197" s="300" t="str">
        <f>_xlfn.IFNA(VLOOKUP($AI197,Programma!$F$3:$V$1107,17,0),"")</f>
        <v>_</v>
      </c>
      <c r="AZ197" s="300" t="str">
        <f>_xlfn.IFNA(VLOOKUP($AI197,Programma!$F$3:$W$1107,18,0),"")</f>
        <v>_</v>
      </c>
      <c r="BA197" s="300" t="str">
        <f>_xlfn.IFNA(VLOOKUP($AI197,Programma!$F$3:$X$1107,19,0),"")</f>
        <v>_</v>
      </c>
      <c r="BB197" s="300" t="str">
        <f>_xlfn.IFNA(VLOOKUP($AI197,Programma!$F$3:$Y$1107,20,0),"")</f>
        <v>_</v>
      </c>
      <c r="BC197" s="257"/>
      <c r="BD197" s="256" t="str">
        <f>IF(Ruimtestaat[[#This Row],[Frequentie weekend]]="","",_xlfn.CONCAT(Ruimtestaat[[#This Row],[Ruimte code]],"-",Ruimtestaat[[#This Row],[Frequentie weekend]]," ",Ruimtestaat[[#This Row],[Vloer code]]))</f>
        <v/>
      </c>
      <c r="BE197" s="300" t="str">
        <f>_xlfn.IFNA(VLOOKUP($BD197,Programma!$F$3:$G$1107,2,0),"")</f>
        <v/>
      </c>
      <c r="BF197" s="300" t="str">
        <f>_xlfn.IFNA(VLOOKUP($BD197,Programma!$F$3:$H$1107,3,0),"")</f>
        <v/>
      </c>
      <c r="BG197" s="300" t="str">
        <f>_xlfn.IFNA(VLOOKUP($BD197,Programma!$F$3:$I$1107,4,0),"")</f>
        <v/>
      </c>
      <c r="BH197" s="300" t="str">
        <f>_xlfn.IFNA(VLOOKUP($BD197,Programma!$F$3:$J$1107,5,0),"")</f>
        <v/>
      </c>
      <c r="BI197" s="300" t="str">
        <f>_xlfn.IFNA(VLOOKUP($BD197,Programma!$F$3:$K$1107,6,0),"")</f>
        <v/>
      </c>
      <c r="BJ197" s="300" t="str">
        <f>_xlfn.IFNA(VLOOKUP($BD197,Programma!$F$3:$L$1107,7,0),"")</f>
        <v/>
      </c>
      <c r="BK197" s="300" t="str">
        <f>_xlfn.IFNA(VLOOKUP($BD197,Programma!$F$3:$M$1107,8,0),"")</f>
        <v/>
      </c>
      <c r="BL197" s="300" t="str">
        <f>_xlfn.IFNA(VLOOKUP($BD197,Programma!$F$3:$N$1107,9,0),"")</f>
        <v/>
      </c>
      <c r="BM197" s="300" t="str">
        <f>_xlfn.IFNA(VLOOKUP($BD197,Programma!$F$3:$O$1107,10,0),"")</f>
        <v/>
      </c>
      <c r="BN197" s="300" t="str">
        <f>_xlfn.IFNA(VLOOKUP($BD197,Programma!$F$3:$P$1107,11,0),"")</f>
        <v/>
      </c>
      <c r="BO197" s="300" t="str">
        <f>_xlfn.IFNA(VLOOKUP($BD197,Programma!$F$3:$Q$1107,12,0),"")</f>
        <v/>
      </c>
      <c r="BP197" s="300" t="str">
        <f>_xlfn.IFNA(VLOOKUP($BD197,Programma!$F$3:$R$1107,13,0),"")</f>
        <v/>
      </c>
      <c r="BQ197" s="300" t="str">
        <f>_xlfn.IFNA(VLOOKUP($BD197,Programma!$F$3:$S$1107,14,0),"")</f>
        <v/>
      </c>
      <c r="BR197" s="300" t="str">
        <f>_xlfn.IFNA(VLOOKUP($BD197,Programma!$F$3:$T$1107,15,0),"")</f>
        <v/>
      </c>
      <c r="BS197" s="300" t="str">
        <f>_xlfn.IFNA(VLOOKUP($BD197,Programma!$F$3:$U$1107,16,0),"")</f>
        <v/>
      </c>
      <c r="BT197" s="300" t="str">
        <f>_xlfn.IFNA(VLOOKUP($BD197,Programma!$F$3:$V$1107,17,0),"")</f>
        <v/>
      </c>
      <c r="BU197" s="300" t="str">
        <f>_xlfn.IFNA(VLOOKUP($BD197,Programma!$F$3:$W$1107,18,0),"")</f>
        <v/>
      </c>
      <c r="BV197" s="300" t="str">
        <f>_xlfn.IFNA(VLOOKUP($BD197,Programma!$F$3:$X$1107,19,0),"")</f>
        <v/>
      </c>
      <c r="BW197" s="300" t="str">
        <f>_xlfn.IFNA(VLOOKUP($BD197,Programma!$F$3:$Y$1107,20,0),"")</f>
        <v/>
      </c>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row>
    <row r="198" spans="1:220" ht="15" customHeight="1">
      <c r="A198" s="21">
        <v>4</v>
      </c>
      <c r="B198" s="157" t="str">
        <f>VLOOKUP(Ruimtestaat[[#This Row],[Code]],Locaties[[Code]:[Locatie]],2,FALSE)</f>
        <v>Sint-Maartenscollege</v>
      </c>
      <c r="C198" s="157" t="str">
        <f>VLOOKUP(Ruimtestaat[[#This Row],[Code]],Locaties[[#All],[Code]:[Adres]],4,FALSE)</f>
        <v xml:space="preserve">Aart v.d. Leeuwkade 14 </v>
      </c>
      <c r="D198" s="157" t="str">
        <f>VLOOKUP(Ruimtestaat[[#This Row],[Code]],Locaties[[#All],[Code]:[Postcode]],5,FALSE)</f>
        <v>2274 KX</v>
      </c>
      <c r="E198" s="157" t="str">
        <f>VLOOKUP(Ruimtestaat[[#This Row],[Code]],Locaties[#All],6,FALSE)</f>
        <v>Voorburg</v>
      </c>
      <c r="F198" s="33"/>
      <c r="G198" s="33" t="s">
        <v>1632</v>
      </c>
      <c r="H198" s="21">
        <v>22</v>
      </c>
      <c r="I198" s="62" t="s">
        <v>1638</v>
      </c>
      <c r="J198" s="21">
        <v>6</v>
      </c>
      <c r="K198" s="62" t="str">
        <f>VLOOKUP(Ruimtestaat[[#This Row],[Ruimte code]],Ruimtegroepen[[#All],[Code]:[Ruimte omschrijving]],2,FALSE)</f>
        <v>Gangen/hallen</v>
      </c>
      <c r="L198" s="33" t="s">
        <v>102</v>
      </c>
      <c r="M198" s="367" t="s">
        <v>2502</v>
      </c>
      <c r="N198" s="140">
        <v>4</v>
      </c>
      <c r="O198" s="140"/>
      <c r="P198" s="125" t="str">
        <f>VLOOKUP(Ruimtestaat[[#This Row],[Ruimte code]],Ruimtegroepen[],4,FALSE)</f>
        <v>Ve</v>
      </c>
      <c r="R198" s="33">
        <v>40</v>
      </c>
      <c r="S198" s="33" t="s">
        <v>2</v>
      </c>
      <c r="T198" s="33">
        <f>IF(R198&gt;0,IF(RIGHT(Ruimtestaat[[#This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8" s="33">
        <f>IF(T198&gt;0,VLOOKUP($J198,Ruimtegroepen[],3,FALSE)*VLOOKUP($L198,Vloersoorten[],3,FALSE)*VLOOKUP($S198,Frequenties[],3,FALSE)*VLOOKUP($A198,Locaties[],3,FALSE),0)</f>
        <v>0</v>
      </c>
      <c r="V198" s="33">
        <f>Ruimtestaat[[#This Row],[Uitvoeringen werkdagen]]*Ruimtestaat[[#This Row],[Oppervlak (netto)]]</f>
        <v>800</v>
      </c>
      <c r="W198" s="154">
        <f>IF(U198&gt;0,Ruimtestaat[[#This Row],[Prest. (m2 /jaar) werkdagen]]/Ruimtestaat[[#This Row],[Norm (m2/uur) werkdagen]],0)</f>
        <v>0</v>
      </c>
      <c r="X198" s="155">
        <f>Ruimtestaat[[#This Row],[uren / jaar werkdagen]]*Tariefsopbouw!$E$35</f>
        <v>0</v>
      </c>
      <c r="Y198" s="33"/>
      <c r="Z198" s="33">
        <f>IF(Ruimtestaat[[#This Row],[Frequentie weekend]]&gt;0,VALUE(LEFT(Y198,1))*R198,0)</f>
        <v>0</v>
      </c>
      <c r="AA198" s="97">
        <f>IF($Z198&gt;0,VLOOKUP($J198,Ruimtegroepen[],3,FALSE)*VLOOKUP($L198,Vloersoorten[],3,FALSE)*VLOOKUP($Y198,Frequenties[],3,FALSE)*VLOOKUP(Ruimtestaat[[#This Row],[Code]],Locaties[],3,FALSE),0)</f>
        <v>0</v>
      </c>
      <c r="AB198" s="97">
        <f>Ruimtestaat[[#This Row],[Uitvoeringen weekend]]*Ruimtestaat[[#This Row],[Oppervlak (netto)]]</f>
        <v>0</v>
      </c>
      <c r="AC198" s="97">
        <f>IF(AA198&gt;0,Ruimtestaat[[#This Row],[Prest. (m2 /jaar) weekend]]/Ruimtestaat[[#This Row],[Norm (m2/uur) weekend]],0)</f>
        <v>0</v>
      </c>
      <c r="AD198" s="155">
        <f>Ruimtestaat[[#This Row],[uren / jaar weekend]]*Tariefsopbouw!$D$40</f>
        <v>0</v>
      </c>
      <c r="AE198" s="154">
        <f>Ruimtestaat[[#This Row],[Prest. (m2 /jaar) weekend]]+Ruimtestaat[[#This Row],[Prest. (m2 /jaar) werkdagen]]</f>
        <v>800</v>
      </c>
      <c r="AF198" s="154">
        <f>Ruimtestaat[[#This Row],[uren / jaar weekend]]+Ruimtestaat[[#This Row],[uren / jaar werkdagen]]</f>
        <v>0</v>
      </c>
      <c r="AG198" s="69">
        <f>Ruimtestaat[[#This Row],[kosten / jaar weekend]]+Ruimtestaat[[#This Row],[kosten / jaar werkdagen]]</f>
        <v>0</v>
      </c>
      <c r="AH198" s="69"/>
      <c r="AI198" s="256" t="str">
        <f>IF(Ruimtestaat[[#This Row],[Frequentie werkdagen]]="","",_xlfn.CONCAT(Ruimtestaat[[#This Row],[Ruimte code]],"-",Ruimtestaat[[#This Row],[Frequentie werkdagen]]," ",Ruimtestaat[[#This Row],[Vloer code]]))</f>
        <v>6-5w S</v>
      </c>
      <c r="AJ198" s="300" t="str">
        <f>_xlfn.IFNA(VLOOKUP($AI198,Programma!$F$3:$G$1107,2,0),"")</f>
        <v>_</v>
      </c>
      <c r="AK198" s="300" t="str">
        <f>_xlfn.IFNA(VLOOKUP($AI198,Programma!$F$3:$H$1107,3,0),"")</f>
        <v>_</v>
      </c>
      <c r="AL198" s="300" t="str">
        <f>_xlfn.IFNA(VLOOKUP($AI198,Programma!$F$3:$I$1107,4,0),"")</f>
        <v>5w</v>
      </c>
      <c r="AM198" s="300" t="str">
        <f>_xlfn.IFNA(VLOOKUP($AI198,Programma!$F$3:$J$1107,5,0),"")</f>
        <v>_</v>
      </c>
      <c r="AN198" s="300" t="str">
        <f>_xlfn.IFNA(VLOOKUP($AI198,Programma!$F$3:$K$1107,6,0),"")</f>
        <v>5w</v>
      </c>
      <c r="AO198" s="300" t="str">
        <f>_xlfn.IFNA(VLOOKUP($AI198,Programma!$F$3:$L$1107,7,0),"")</f>
        <v>_</v>
      </c>
      <c r="AP198" s="300" t="str">
        <f>_xlfn.IFNA(VLOOKUP($AI198,Programma!$F$3:$M$1107,8,0),"")</f>
        <v>_</v>
      </c>
      <c r="AQ198" s="300" t="str">
        <f>_xlfn.IFNA(VLOOKUP($AI198,Programma!$F$3:$N$1107,9,0),"")</f>
        <v>_</v>
      </c>
      <c r="AR198" s="300" t="str">
        <f>_xlfn.IFNA(VLOOKUP($AI198,Programma!$F$3:$O$1107,10,0),"")</f>
        <v>5w</v>
      </c>
      <c r="AS198" s="300" t="str">
        <f>_xlfn.IFNA(VLOOKUP($AI198,Programma!$F$3:$P$1107,11,0),"")</f>
        <v>5w</v>
      </c>
      <c r="AT198" s="300" t="str">
        <f>_xlfn.IFNA(VLOOKUP($AI198,Programma!$F$3:$Q$1107,12,0),"")</f>
        <v>1w</v>
      </c>
      <c r="AU198" s="300" t="str">
        <f>_xlfn.IFNA(VLOOKUP($AI198,Programma!$F$3:$R$1107,13,0),"")</f>
        <v>1w</v>
      </c>
      <c r="AV198" s="300" t="str">
        <f>_xlfn.IFNA(VLOOKUP($AI198,Programma!$F$3:$S$1107,14,0),"")</f>
        <v>1m</v>
      </c>
      <c r="AW198" s="300" t="str">
        <f>_xlfn.IFNA(VLOOKUP($AI198,Programma!$F$3:$T$1107,15,0),"")</f>
        <v>2j</v>
      </c>
      <c r="AX198" s="300" t="str">
        <f>_xlfn.IFNA(VLOOKUP($AI198,Programma!$F$3:$U$1107,16,0),"")</f>
        <v>1j</v>
      </c>
      <c r="AY198" s="300" t="str">
        <f>_xlfn.IFNA(VLOOKUP($AI198,Programma!$F$3:$V$1107,17,0),"")</f>
        <v>_</v>
      </c>
      <c r="AZ198" s="300" t="str">
        <f>_xlfn.IFNA(VLOOKUP($AI198,Programma!$F$3:$W$1107,18,0),"")</f>
        <v>_</v>
      </c>
      <c r="BA198" s="300" t="str">
        <f>_xlfn.IFNA(VLOOKUP($AI198,Programma!$F$3:$X$1107,19,0),"")</f>
        <v>_</v>
      </c>
      <c r="BB198" s="300" t="str">
        <f>_xlfn.IFNA(VLOOKUP($AI198,Programma!$F$3:$Y$1107,20,0),"")</f>
        <v>_</v>
      </c>
      <c r="BC198" s="257"/>
      <c r="BD198" s="256" t="str">
        <f>IF(Ruimtestaat[[#This Row],[Frequentie weekend]]="","",_xlfn.CONCAT(Ruimtestaat[[#This Row],[Ruimte code]],"-",Ruimtestaat[[#This Row],[Frequentie weekend]]," ",Ruimtestaat[[#This Row],[Vloer code]]))</f>
        <v/>
      </c>
      <c r="BE198" s="300" t="str">
        <f>_xlfn.IFNA(VLOOKUP($BD198,Programma!$F$3:$G$1107,2,0),"")</f>
        <v/>
      </c>
      <c r="BF198" s="300" t="str">
        <f>_xlfn.IFNA(VLOOKUP($BD198,Programma!$F$3:$H$1107,3,0),"")</f>
        <v/>
      </c>
      <c r="BG198" s="300" t="str">
        <f>_xlfn.IFNA(VLOOKUP($BD198,Programma!$F$3:$I$1107,4,0),"")</f>
        <v/>
      </c>
      <c r="BH198" s="300" t="str">
        <f>_xlfn.IFNA(VLOOKUP($BD198,Programma!$F$3:$J$1107,5,0),"")</f>
        <v/>
      </c>
      <c r="BI198" s="300" t="str">
        <f>_xlfn.IFNA(VLOOKUP($BD198,Programma!$F$3:$K$1107,6,0),"")</f>
        <v/>
      </c>
      <c r="BJ198" s="300" t="str">
        <f>_xlfn.IFNA(VLOOKUP($BD198,Programma!$F$3:$L$1107,7,0),"")</f>
        <v/>
      </c>
      <c r="BK198" s="300" t="str">
        <f>_xlfn.IFNA(VLOOKUP($BD198,Programma!$F$3:$M$1107,8,0),"")</f>
        <v/>
      </c>
      <c r="BL198" s="300" t="str">
        <f>_xlfn.IFNA(VLOOKUP($BD198,Programma!$F$3:$N$1107,9,0),"")</f>
        <v/>
      </c>
      <c r="BM198" s="300" t="str">
        <f>_xlfn.IFNA(VLOOKUP($BD198,Programma!$F$3:$O$1107,10,0),"")</f>
        <v/>
      </c>
      <c r="BN198" s="300" t="str">
        <f>_xlfn.IFNA(VLOOKUP($BD198,Programma!$F$3:$P$1107,11,0),"")</f>
        <v/>
      </c>
      <c r="BO198" s="300" t="str">
        <f>_xlfn.IFNA(VLOOKUP($BD198,Programma!$F$3:$Q$1107,12,0),"")</f>
        <v/>
      </c>
      <c r="BP198" s="300" t="str">
        <f>_xlfn.IFNA(VLOOKUP($BD198,Programma!$F$3:$R$1107,13,0),"")</f>
        <v/>
      </c>
      <c r="BQ198" s="300" t="str">
        <f>_xlfn.IFNA(VLOOKUP($BD198,Programma!$F$3:$S$1107,14,0),"")</f>
        <v/>
      </c>
      <c r="BR198" s="300" t="str">
        <f>_xlfn.IFNA(VLOOKUP($BD198,Programma!$F$3:$T$1107,15,0),"")</f>
        <v/>
      </c>
      <c r="BS198" s="300" t="str">
        <f>_xlfn.IFNA(VLOOKUP($BD198,Programma!$F$3:$U$1107,16,0),"")</f>
        <v/>
      </c>
      <c r="BT198" s="300" t="str">
        <f>_xlfn.IFNA(VLOOKUP($BD198,Programma!$F$3:$V$1107,17,0),"")</f>
        <v/>
      </c>
      <c r="BU198" s="300" t="str">
        <f>_xlfn.IFNA(VLOOKUP($BD198,Programma!$F$3:$W$1107,18,0),"")</f>
        <v/>
      </c>
      <c r="BV198" s="300" t="str">
        <f>_xlfn.IFNA(VLOOKUP($BD198,Programma!$F$3:$X$1107,19,0),"")</f>
        <v/>
      </c>
      <c r="BW198" s="300" t="str">
        <f>_xlfn.IFNA(VLOOKUP($BD198,Programma!$F$3:$Y$1107,20,0),"")</f>
        <v/>
      </c>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row>
    <row r="199" spans="1:220" ht="15" customHeight="1">
      <c r="A199" s="21">
        <v>4</v>
      </c>
      <c r="B199" s="157" t="str">
        <f>VLOOKUP(Ruimtestaat[[#This Row],[Code]],Locaties[[Code]:[Locatie]],2,FALSE)</f>
        <v>Sint-Maartenscollege</v>
      </c>
      <c r="C199" s="157" t="str">
        <f>VLOOKUP(Ruimtestaat[[#This Row],[Code]],Locaties[[#All],[Code]:[Adres]],4,FALSE)</f>
        <v xml:space="preserve">Aart v.d. Leeuwkade 14 </v>
      </c>
      <c r="D199" s="157" t="str">
        <f>VLOOKUP(Ruimtestaat[[#This Row],[Code]],Locaties[[#All],[Code]:[Postcode]],5,FALSE)</f>
        <v>2274 KX</v>
      </c>
      <c r="E199" s="157" t="str">
        <f>VLOOKUP(Ruimtestaat[[#This Row],[Code]],Locaties[#All],6,FALSE)</f>
        <v>Voorburg</v>
      </c>
      <c r="F199" s="33"/>
      <c r="G199" s="33" t="s">
        <v>1632</v>
      </c>
      <c r="H199" s="21">
        <v>23</v>
      </c>
      <c r="I199" s="62" t="s">
        <v>1640</v>
      </c>
      <c r="J199" s="21">
        <v>5</v>
      </c>
      <c r="K199" s="62" t="str">
        <f>VLOOKUP(Ruimtestaat[[#This Row],[Ruimte code]],Ruimtegroepen[[#All],[Code]:[Ruimte omschrijving]],2,FALSE)</f>
        <v>Sanitair</v>
      </c>
      <c r="L199" s="33" t="s">
        <v>102</v>
      </c>
      <c r="M199" s="367" t="s">
        <v>2502</v>
      </c>
      <c r="N199" s="140">
        <v>45</v>
      </c>
      <c r="O199" s="140"/>
      <c r="P199" s="125" t="str">
        <f>VLOOKUP(Ruimtestaat[[#This Row],[Ruimte code]],Ruimtegroepen[],4,FALSE)</f>
        <v>Sa</v>
      </c>
      <c r="R199" s="33">
        <v>40</v>
      </c>
      <c r="S199" s="33" t="s">
        <v>2</v>
      </c>
      <c r="T199" s="33">
        <f>IF(R199&gt;0,IF(RIGHT(Ruimtestaat[[#This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9" s="33">
        <f>IF(T199&gt;0,VLOOKUP($J199,Ruimtegroepen[],3,FALSE)*VLOOKUP($L199,Vloersoorten[],3,FALSE)*VLOOKUP($S199,Frequenties[],3,FALSE)*VLOOKUP($A199,Locaties[],3,FALSE),0)</f>
        <v>0</v>
      </c>
      <c r="V199" s="33">
        <f>Ruimtestaat[[#This Row],[Uitvoeringen werkdagen]]*Ruimtestaat[[#This Row],[Oppervlak (netto)]]</f>
        <v>9000</v>
      </c>
      <c r="W199" s="154">
        <f>IF(U199&gt;0,Ruimtestaat[[#This Row],[Prest. (m2 /jaar) werkdagen]]/Ruimtestaat[[#This Row],[Norm (m2/uur) werkdagen]],0)</f>
        <v>0</v>
      </c>
      <c r="X199" s="155">
        <f>Ruimtestaat[[#This Row],[uren / jaar werkdagen]]*Tariefsopbouw!$E$35</f>
        <v>0</v>
      </c>
      <c r="Y199" s="33"/>
      <c r="Z199" s="33">
        <f>IF(Ruimtestaat[[#This Row],[Frequentie weekend]]&gt;0,VALUE(LEFT(Y199,1))*R199,0)</f>
        <v>0</v>
      </c>
      <c r="AA199" s="97">
        <f>IF($Z199&gt;0,VLOOKUP($J199,Ruimtegroepen[],3,FALSE)*VLOOKUP($L199,Vloersoorten[],3,FALSE)*VLOOKUP($Y199,Frequenties[],3,FALSE)*VLOOKUP(Ruimtestaat[[#This Row],[Code]],Locaties[],3,FALSE),0)</f>
        <v>0</v>
      </c>
      <c r="AB199" s="97">
        <f>Ruimtestaat[[#This Row],[Uitvoeringen weekend]]*Ruimtestaat[[#This Row],[Oppervlak (netto)]]</f>
        <v>0</v>
      </c>
      <c r="AC199" s="97">
        <f>IF(AA199&gt;0,Ruimtestaat[[#This Row],[Prest. (m2 /jaar) weekend]]/Ruimtestaat[[#This Row],[Norm (m2/uur) weekend]],0)</f>
        <v>0</v>
      </c>
      <c r="AD199" s="155">
        <f>Ruimtestaat[[#This Row],[uren / jaar weekend]]*Tariefsopbouw!$D$40</f>
        <v>0</v>
      </c>
      <c r="AE199" s="154">
        <f>Ruimtestaat[[#This Row],[Prest. (m2 /jaar) weekend]]+Ruimtestaat[[#This Row],[Prest. (m2 /jaar) werkdagen]]</f>
        <v>9000</v>
      </c>
      <c r="AF199" s="154">
        <f>Ruimtestaat[[#This Row],[uren / jaar weekend]]+Ruimtestaat[[#This Row],[uren / jaar werkdagen]]</f>
        <v>0</v>
      </c>
      <c r="AG199" s="69">
        <f>Ruimtestaat[[#This Row],[kosten / jaar weekend]]+Ruimtestaat[[#This Row],[kosten / jaar werkdagen]]</f>
        <v>0</v>
      </c>
      <c r="AH199" s="69"/>
      <c r="AI199" s="256" t="str">
        <f>IF(Ruimtestaat[[#This Row],[Frequentie werkdagen]]="","",_xlfn.CONCAT(Ruimtestaat[[#This Row],[Ruimte code]],"-",Ruimtestaat[[#This Row],[Frequentie werkdagen]]," ",Ruimtestaat[[#This Row],[Vloer code]]))</f>
        <v>5-5w S</v>
      </c>
      <c r="AJ199" s="300" t="str">
        <f>_xlfn.IFNA(VLOOKUP($AI199,Programma!$F$3:$G$1107,2,0),"")</f>
        <v>_</v>
      </c>
      <c r="AK199" s="300" t="str">
        <f>_xlfn.IFNA(VLOOKUP($AI199,Programma!$F$3:$H$1107,3,0),"")</f>
        <v>_</v>
      </c>
      <c r="AL199" s="300" t="str">
        <f>_xlfn.IFNA(VLOOKUP($AI199,Programma!$F$3:$I$1107,4,0),"")</f>
        <v>_</v>
      </c>
      <c r="AM199" s="300" t="str">
        <f>_xlfn.IFNA(VLOOKUP($AI199,Programma!$F$3:$J$1107,5,0),"")</f>
        <v>4w</v>
      </c>
      <c r="AN199" s="300" t="str">
        <f>_xlfn.IFNA(VLOOKUP($AI199,Programma!$F$3:$K$1107,6,0),"")</f>
        <v>1w</v>
      </c>
      <c r="AO199" s="300" t="str">
        <f>_xlfn.IFNA(VLOOKUP($AI199,Programma!$F$3:$L$1107,7,0),"")</f>
        <v>_</v>
      </c>
      <c r="AP199" s="300" t="str">
        <f>_xlfn.IFNA(VLOOKUP($AI199,Programma!$F$3:$M$1107,8,0),"")</f>
        <v>_</v>
      </c>
      <c r="AQ199" s="300" t="str">
        <f>_xlfn.IFNA(VLOOKUP($AI199,Programma!$F$3:$N$1107,9,0),"")</f>
        <v>_</v>
      </c>
      <c r="AR199" s="300" t="str">
        <f>_xlfn.IFNA(VLOOKUP($AI199,Programma!$F$3:$O$1107,10,0),"")</f>
        <v>_</v>
      </c>
      <c r="AS199" s="300" t="str">
        <f>_xlfn.IFNA(VLOOKUP($AI199,Programma!$F$3:$P$1107,11,0),"")</f>
        <v>_</v>
      </c>
      <c r="AT199" s="300" t="str">
        <f>_xlfn.IFNA(VLOOKUP($AI199,Programma!$F$3:$Q$1107,12,0),"")</f>
        <v>_</v>
      </c>
      <c r="AU199" s="300" t="str">
        <f>_xlfn.IFNA(VLOOKUP($AI199,Programma!$F$3:$R$1107,13,0),"")</f>
        <v>_</v>
      </c>
      <c r="AV199" s="300" t="str">
        <f>_xlfn.IFNA(VLOOKUP($AI199,Programma!$F$3:$S$1107,14,0),"")</f>
        <v>_</v>
      </c>
      <c r="AW199" s="300" t="str">
        <f>_xlfn.IFNA(VLOOKUP($AI199,Programma!$F$3:$T$1107,15,0),"")</f>
        <v>_</v>
      </c>
      <c r="AX199" s="300" t="str">
        <f>_xlfn.IFNA(VLOOKUP($AI199,Programma!$F$3:$U$1107,16,0),"")</f>
        <v>_</v>
      </c>
      <c r="AY199" s="300" t="str">
        <f>_xlfn.IFNA(VLOOKUP($AI199,Programma!$F$3:$V$1107,17,0),"")</f>
        <v>_</v>
      </c>
      <c r="AZ199" s="300" t="str">
        <f>_xlfn.IFNA(VLOOKUP($AI199,Programma!$F$3:$W$1107,18,0),"")</f>
        <v>4w</v>
      </c>
      <c r="BA199" s="300" t="str">
        <f>_xlfn.IFNA(VLOOKUP($AI199,Programma!$F$3:$X$1107,19,0),"")</f>
        <v>1w</v>
      </c>
      <c r="BB199" s="300" t="str">
        <f>_xlfn.IFNA(VLOOKUP($AI199,Programma!$F$3:$Y$1107,20,0),"")</f>
        <v>_</v>
      </c>
      <c r="BC199" s="257"/>
      <c r="BD199" s="256" t="str">
        <f>IF(Ruimtestaat[[#This Row],[Frequentie weekend]]="","",_xlfn.CONCAT(Ruimtestaat[[#This Row],[Ruimte code]],"-",Ruimtestaat[[#This Row],[Frequentie weekend]]," ",Ruimtestaat[[#This Row],[Vloer code]]))</f>
        <v/>
      </c>
      <c r="BE199" s="300" t="str">
        <f>_xlfn.IFNA(VLOOKUP($BD199,Programma!$F$3:$G$1107,2,0),"")</f>
        <v/>
      </c>
      <c r="BF199" s="300" t="str">
        <f>_xlfn.IFNA(VLOOKUP($BD199,Programma!$F$3:$H$1107,3,0),"")</f>
        <v/>
      </c>
      <c r="BG199" s="300" t="str">
        <f>_xlfn.IFNA(VLOOKUP($BD199,Programma!$F$3:$I$1107,4,0),"")</f>
        <v/>
      </c>
      <c r="BH199" s="300" t="str">
        <f>_xlfn.IFNA(VLOOKUP($BD199,Programma!$F$3:$J$1107,5,0),"")</f>
        <v/>
      </c>
      <c r="BI199" s="300" t="str">
        <f>_xlfn.IFNA(VLOOKUP($BD199,Programma!$F$3:$K$1107,6,0),"")</f>
        <v/>
      </c>
      <c r="BJ199" s="300" t="str">
        <f>_xlfn.IFNA(VLOOKUP($BD199,Programma!$F$3:$L$1107,7,0),"")</f>
        <v/>
      </c>
      <c r="BK199" s="300" t="str">
        <f>_xlfn.IFNA(VLOOKUP($BD199,Programma!$F$3:$M$1107,8,0),"")</f>
        <v/>
      </c>
      <c r="BL199" s="300" t="str">
        <f>_xlfn.IFNA(VLOOKUP($BD199,Programma!$F$3:$N$1107,9,0),"")</f>
        <v/>
      </c>
      <c r="BM199" s="300" t="str">
        <f>_xlfn.IFNA(VLOOKUP($BD199,Programma!$F$3:$O$1107,10,0),"")</f>
        <v/>
      </c>
      <c r="BN199" s="300" t="str">
        <f>_xlfn.IFNA(VLOOKUP($BD199,Programma!$F$3:$P$1107,11,0),"")</f>
        <v/>
      </c>
      <c r="BO199" s="300" t="str">
        <f>_xlfn.IFNA(VLOOKUP($BD199,Programma!$F$3:$Q$1107,12,0),"")</f>
        <v/>
      </c>
      <c r="BP199" s="300" t="str">
        <f>_xlfn.IFNA(VLOOKUP($BD199,Programma!$F$3:$R$1107,13,0),"")</f>
        <v/>
      </c>
      <c r="BQ199" s="300" t="str">
        <f>_xlfn.IFNA(VLOOKUP($BD199,Programma!$F$3:$S$1107,14,0),"")</f>
        <v/>
      </c>
      <c r="BR199" s="300" t="str">
        <f>_xlfn.IFNA(VLOOKUP($BD199,Programma!$F$3:$T$1107,15,0),"")</f>
        <v/>
      </c>
      <c r="BS199" s="300" t="str">
        <f>_xlfn.IFNA(VLOOKUP($BD199,Programma!$F$3:$U$1107,16,0),"")</f>
        <v/>
      </c>
      <c r="BT199" s="300" t="str">
        <f>_xlfn.IFNA(VLOOKUP($BD199,Programma!$F$3:$V$1107,17,0),"")</f>
        <v/>
      </c>
      <c r="BU199" s="300" t="str">
        <f>_xlfn.IFNA(VLOOKUP($BD199,Programma!$F$3:$W$1107,18,0),"")</f>
        <v/>
      </c>
      <c r="BV199" s="300" t="str">
        <f>_xlfn.IFNA(VLOOKUP($BD199,Programma!$F$3:$X$1107,19,0),"")</f>
        <v/>
      </c>
      <c r="BW199" s="300" t="str">
        <f>_xlfn.IFNA(VLOOKUP($BD199,Programma!$F$3:$Y$1107,20,0),"")</f>
        <v/>
      </c>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row>
    <row r="200" spans="1:220" ht="15" customHeight="1">
      <c r="A200" s="21">
        <v>4</v>
      </c>
      <c r="B200" s="157" t="str">
        <f>VLOOKUP(Ruimtestaat[[#This Row],[Code]],Locaties[[Code]:[Locatie]],2,FALSE)</f>
        <v>Sint-Maartenscollege</v>
      </c>
      <c r="C200" s="157" t="str">
        <f>VLOOKUP(Ruimtestaat[[#This Row],[Code]],Locaties[[#All],[Code]:[Adres]],4,FALSE)</f>
        <v xml:space="preserve">Aart v.d. Leeuwkade 14 </v>
      </c>
      <c r="D200" s="157" t="str">
        <f>VLOOKUP(Ruimtestaat[[#This Row],[Code]],Locaties[[#All],[Code]:[Postcode]],5,FALSE)</f>
        <v>2274 KX</v>
      </c>
      <c r="E200" s="157" t="str">
        <f>VLOOKUP(Ruimtestaat[[#This Row],[Code]],Locaties[#All],6,FALSE)</f>
        <v>Voorburg</v>
      </c>
      <c r="F200" s="33"/>
      <c r="G200" s="33" t="s">
        <v>1632</v>
      </c>
      <c r="H200" s="21">
        <v>24</v>
      </c>
      <c r="I200" s="62" t="s">
        <v>1639</v>
      </c>
      <c r="J200" s="21">
        <v>5</v>
      </c>
      <c r="K200" s="62" t="str">
        <f>VLOOKUP(Ruimtestaat[[#This Row],[Ruimte code]],Ruimtegroepen[[#All],[Code]:[Ruimte omschrijving]],2,FALSE)</f>
        <v>Sanitair</v>
      </c>
      <c r="L200" s="33" t="s">
        <v>102</v>
      </c>
      <c r="M200" s="367" t="s">
        <v>2502</v>
      </c>
      <c r="N200" s="140">
        <v>47</v>
      </c>
      <c r="O200" s="140"/>
      <c r="P200" s="125" t="str">
        <f>VLOOKUP(Ruimtestaat[[#This Row],[Ruimte code]],Ruimtegroepen[],4,FALSE)</f>
        <v>Sa</v>
      </c>
      <c r="R200" s="33">
        <v>40</v>
      </c>
      <c r="S200" s="33" t="s">
        <v>2</v>
      </c>
      <c r="T200" s="33">
        <f>IF(R200&gt;0,IF(RIGHT(Ruimtestaat[[#This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0" s="33">
        <f>IF(T200&gt;0,VLOOKUP($J200,Ruimtegroepen[],3,FALSE)*VLOOKUP($L200,Vloersoorten[],3,FALSE)*VLOOKUP($S200,Frequenties[],3,FALSE)*VLOOKUP($A200,Locaties[],3,FALSE),0)</f>
        <v>0</v>
      </c>
      <c r="V200" s="33">
        <f>Ruimtestaat[[#This Row],[Uitvoeringen werkdagen]]*Ruimtestaat[[#This Row],[Oppervlak (netto)]]</f>
        <v>9400</v>
      </c>
      <c r="W200" s="154">
        <f>IF(U200&gt;0,Ruimtestaat[[#This Row],[Prest. (m2 /jaar) werkdagen]]/Ruimtestaat[[#This Row],[Norm (m2/uur) werkdagen]],0)</f>
        <v>0</v>
      </c>
      <c r="X200" s="155">
        <f>Ruimtestaat[[#This Row],[uren / jaar werkdagen]]*Tariefsopbouw!$E$35</f>
        <v>0</v>
      </c>
      <c r="Y200" s="33"/>
      <c r="Z200" s="33">
        <f>IF(Ruimtestaat[[#This Row],[Frequentie weekend]]&gt;0,VALUE(LEFT(Y200,1))*R200,0)</f>
        <v>0</v>
      </c>
      <c r="AA200" s="97">
        <f>IF($Z200&gt;0,VLOOKUP($J200,Ruimtegroepen[],3,FALSE)*VLOOKUP($L200,Vloersoorten[],3,FALSE)*VLOOKUP($Y200,Frequenties[],3,FALSE)*VLOOKUP(Ruimtestaat[[#This Row],[Code]],Locaties[],3,FALSE),0)</f>
        <v>0</v>
      </c>
      <c r="AB200" s="97">
        <f>Ruimtestaat[[#This Row],[Uitvoeringen weekend]]*Ruimtestaat[[#This Row],[Oppervlak (netto)]]</f>
        <v>0</v>
      </c>
      <c r="AC200" s="97">
        <f>IF(AA200&gt;0,Ruimtestaat[[#This Row],[Prest. (m2 /jaar) weekend]]/Ruimtestaat[[#This Row],[Norm (m2/uur) weekend]],0)</f>
        <v>0</v>
      </c>
      <c r="AD200" s="155">
        <f>Ruimtestaat[[#This Row],[uren / jaar weekend]]*Tariefsopbouw!$D$40</f>
        <v>0</v>
      </c>
      <c r="AE200" s="154">
        <f>Ruimtestaat[[#This Row],[Prest. (m2 /jaar) weekend]]+Ruimtestaat[[#This Row],[Prest. (m2 /jaar) werkdagen]]</f>
        <v>9400</v>
      </c>
      <c r="AF200" s="154">
        <f>Ruimtestaat[[#This Row],[uren / jaar weekend]]+Ruimtestaat[[#This Row],[uren / jaar werkdagen]]</f>
        <v>0</v>
      </c>
      <c r="AG200" s="69">
        <f>Ruimtestaat[[#This Row],[kosten / jaar weekend]]+Ruimtestaat[[#This Row],[kosten / jaar werkdagen]]</f>
        <v>0</v>
      </c>
      <c r="AH200" s="69"/>
      <c r="AI200" s="256" t="str">
        <f>IF(Ruimtestaat[[#This Row],[Frequentie werkdagen]]="","",_xlfn.CONCAT(Ruimtestaat[[#This Row],[Ruimte code]],"-",Ruimtestaat[[#This Row],[Frequentie werkdagen]]," ",Ruimtestaat[[#This Row],[Vloer code]]))</f>
        <v>5-5w S</v>
      </c>
      <c r="AJ200" s="300" t="str">
        <f>_xlfn.IFNA(VLOOKUP($AI200,Programma!$F$3:$G$1107,2,0),"")</f>
        <v>_</v>
      </c>
      <c r="AK200" s="300" t="str">
        <f>_xlfn.IFNA(VLOOKUP($AI200,Programma!$F$3:$H$1107,3,0),"")</f>
        <v>_</v>
      </c>
      <c r="AL200" s="300" t="str">
        <f>_xlfn.IFNA(VLOOKUP($AI200,Programma!$F$3:$I$1107,4,0),"")</f>
        <v>_</v>
      </c>
      <c r="AM200" s="300" t="str">
        <f>_xlfn.IFNA(VLOOKUP($AI200,Programma!$F$3:$J$1107,5,0),"")</f>
        <v>4w</v>
      </c>
      <c r="AN200" s="300" t="str">
        <f>_xlfn.IFNA(VLOOKUP($AI200,Programma!$F$3:$K$1107,6,0),"")</f>
        <v>1w</v>
      </c>
      <c r="AO200" s="300" t="str">
        <f>_xlfn.IFNA(VLOOKUP($AI200,Programma!$F$3:$L$1107,7,0),"")</f>
        <v>_</v>
      </c>
      <c r="AP200" s="300" t="str">
        <f>_xlfn.IFNA(VLOOKUP($AI200,Programma!$F$3:$M$1107,8,0),"")</f>
        <v>_</v>
      </c>
      <c r="AQ200" s="300" t="str">
        <f>_xlfn.IFNA(VLOOKUP($AI200,Programma!$F$3:$N$1107,9,0),"")</f>
        <v>_</v>
      </c>
      <c r="AR200" s="300" t="str">
        <f>_xlfn.IFNA(VLOOKUP($AI200,Programma!$F$3:$O$1107,10,0),"")</f>
        <v>_</v>
      </c>
      <c r="AS200" s="300" t="str">
        <f>_xlfn.IFNA(VLOOKUP($AI200,Programma!$F$3:$P$1107,11,0),"")</f>
        <v>_</v>
      </c>
      <c r="AT200" s="300" t="str">
        <f>_xlfn.IFNA(VLOOKUP($AI200,Programma!$F$3:$Q$1107,12,0),"")</f>
        <v>_</v>
      </c>
      <c r="AU200" s="300" t="str">
        <f>_xlfn.IFNA(VLOOKUP($AI200,Programma!$F$3:$R$1107,13,0),"")</f>
        <v>_</v>
      </c>
      <c r="AV200" s="300" t="str">
        <f>_xlfn.IFNA(VLOOKUP($AI200,Programma!$F$3:$S$1107,14,0),"")</f>
        <v>_</v>
      </c>
      <c r="AW200" s="300" t="str">
        <f>_xlfn.IFNA(VLOOKUP($AI200,Programma!$F$3:$T$1107,15,0),"")</f>
        <v>_</v>
      </c>
      <c r="AX200" s="300" t="str">
        <f>_xlfn.IFNA(VLOOKUP($AI200,Programma!$F$3:$U$1107,16,0),"")</f>
        <v>_</v>
      </c>
      <c r="AY200" s="300" t="str">
        <f>_xlfn.IFNA(VLOOKUP($AI200,Programma!$F$3:$V$1107,17,0),"")</f>
        <v>_</v>
      </c>
      <c r="AZ200" s="300" t="str">
        <f>_xlfn.IFNA(VLOOKUP($AI200,Programma!$F$3:$W$1107,18,0),"")</f>
        <v>4w</v>
      </c>
      <c r="BA200" s="300" t="str">
        <f>_xlfn.IFNA(VLOOKUP($AI200,Programma!$F$3:$X$1107,19,0),"")</f>
        <v>1w</v>
      </c>
      <c r="BB200" s="300" t="str">
        <f>_xlfn.IFNA(VLOOKUP($AI200,Programma!$F$3:$Y$1107,20,0),"")</f>
        <v>_</v>
      </c>
      <c r="BC200" s="257"/>
      <c r="BD200" s="256" t="str">
        <f>IF(Ruimtestaat[[#This Row],[Frequentie weekend]]="","",_xlfn.CONCAT(Ruimtestaat[[#This Row],[Ruimte code]],"-",Ruimtestaat[[#This Row],[Frequentie weekend]]," ",Ruimtestaat[[#This Row],[Vloer code]]))</f>
        <v/>
      </c>
      <c r="BE200" s="300" t="str">
        <f>_xlfn.IFNA(VLOOKUP($BD200,Programma!$F$3:$G$1107,2,0),"")</f>
        <v/>
      </c>
      <c r="BF200" s="300" t="str">
        <f>_xlfn.IFNA(VLOOKUP($BD200,Programma!$F$3:$H$1107,3,0),"")</f>
        <v/>
      </c>
      <c r="BG200" s="300" t="str">
        <f>_xlfn.IFNA(VLOOKUP($BD200,Programma!$F$3:$I$1107,4,0),"")</f>
        <v/>
      </c>
      <c r="BH200" s="300" t="str">
        <f>_xlfn.IFNA(VLOOKUP($BD200,Programma!$F$3:$J$1107,5,0),"")</f>
        <v/>
      </c>
      <c r="BI200" s="300" t="str">
        <f>_xlfn.IFNA(VLOOKUP($BD200,Programma!$F$3:$K$1107,6,0),"")</f>
        <v/>
      </c>
      <c r="BJ200" s="300" t="str">
        <f>_xlfn.IFNA(VLOOKUP($BD200,Programma!$F$3:$L$1107,7,0),"")</f>
        <v/>
      </c>
      <c r="BK200" s="300" t="str">
        <f>_xlfn.IFNA(VLOOKUP($BD200,Programma!$F$3:$M$1107,8,0),"")</f>
        <v/>
      </c>
      <c r="BL200" s="300" t="str">
        <f>_xlfn.IFNA(VLOOKUP($BD200,Programma!$F$3:$N$1107,9,0),"")</f>
        <v/>
      </c>
      <c r="BM200" s="300" t="str">
        <f>_xlfn.IFNA(VLOOKUP($BD200,Programma!$F$3:$O$1107,10,0),"")</f>
        <v/>
      </c>
      <c r="BN200" s="300" t="str">
        <f>_xlfn.IFNA(VLOOKUP($BD200,Programma!$F$3:$P$1107,11,0),"")</f>
        <v/>
      </c>
      <c r="BO200" s="300" t="str">
        <f>_xlfn.IFNA(VLOOKUP($BD200,Programma!$F$3:$Q$1107,12,0),"")</f>
        <v/>
      </c>
      <c r="BP200" s="300" t="str">
        <f>_xlfn.IFNA(VLOOKUP($BD200,Programma!$F$3:$R$1107,13,0),"")</f>
        <v/>
      </c>
      <c r="BQ200" s="300" t="str">
        <f>_xlfn.IFNA(VLOOKUP($BD200,Programma!$F$3:$S$1107,14,0),"")</f>
        <v/>
      </c>
      <c r="BR200" s="300" t="str">
        <f>_xlfn.IFNA(VLOOKUP($BD200,Programma!$F$3:$T$1107,15,0),"")</f>
        <v/>
      </c>
      <c r="BS200" s="300" t="str">
        <f>_xlfn.IFNA(VLOOKUP($BD200,Programma!$F$3:$U$1107,16,0),"")</f>
        <v/>
      </c>
      <c r="BT200" s="300" t="str">
        <f>_xlfn.IFNA(VLOOKUP($BD200,Programma!$F$3:$V$1107,17,0),"")</f>
        <v/>
      </c>
      <c r="BU200" s="300" t="str">
        <f>_xlfn.IFNA(VLOOKUP($BD200,Programma!$F$3:$W$1107,18,0),"")</f>
        <v/>
      </c>
      <c r="BV200" s="300" t="str">
        <f>_xlfn.IFNA(VLOOKUP($BD200,Programma!$F$3:$X$1107,19,0),"")</f>
        <v/>
      </c>
      <c r="BW200" s="300" t="str">
        <f>_xlfn.IFNA(VLOOKUP($BD200,Programma!$F$3:$Y$1107,20,0),"")</f>
        <v/>
      </c>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row>
    <row r="201" spans="1:220" ht="15" customHeight="1">
      <c r="A201" s="21">
        <v>4</v>
      </c>
      <c r="B201" s="157" t="str">
        <f>VLOOKUP(Ruimtestaat[[#This Row],[Code]],Locaties[[Code]:[Locatie]],2,FALSE)</f>
        <v>Sint-Maartenscollege</v>
      </c>
      <c r="C201" s="157" t="str">
        <f>VLOOKUP(Ruimtestaat[[#This Row],[Code]],Locaties[[#All],[Code]:[Adres]],4,FALSE)</f>
        <v xml:space="preserve">Aart v.d. Leeuwkade 14 </v>
      </c>
      <c r="D201" s="157" t="str">
        <f>VLOOKUP(Ruimtestaat[[#This Row],[Code]],Locaties[[#All],[Code]:[Postcode]],5,FALSE)</f>
        <v>2274 KX</v>
      </c>
      <c r="E201" s="157" t="str">
        <f>VLOOKUP(Ruimtestaat[[#This Row],[Code]],Locaties[#All],6,FALSE)</f>
        <v>Voorburg</v>
      </c>
      <c r="F201" s="33"/>
      <c r="G201" s="33" t="s">
        <v>1632</v>
      </c>
      <c r="H201" s="21">
        <v>25</v>
      </c>
      <c r="I201" s="62" t="s">
        <v>1631</v>
      </c>
      <c r="J201" s="21">
        <v>2</v>
      </c>
      <c r="K201" s="62" t="str">
        <f>VLOOKUP(Ruimtestaat[[#This Row],[Ruimte code]],Ruimtegroepen[[#All],[Code]:[Ruimte omschrijving]],2,FALSE)</f>
        <v>Kantoren</v>
      </c>
      <c r="L201" s="33" t="s">
        <v>101</v>
      </c>
      <c r="M201" s="367" t="s">
        <v>2495</v>
      </c>
      <c r="N201" s="140">
        <v>12</v>
      </c>
      <c r="O201" s="140"/>
      <c r="P201" s="125" t="str">
        <f>VLOOKUP(Ruimtestaat[[#This Row],[Ruimte code]],Ruimtegroepen[],4,FALSE)</f>
        <v>Bu</v>
      </c>
      <c r="R201" s="33">
        <v>42</v>
      </c>
      <c r="S201" s="33" t="s">
        <v>18</v>
      </c>
      <c r="T201" s="33">
        <f>IF(R201&gt;0,IF(RIGHT(Ruimtestaat[[#This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01" s="33">
        <f>IF(T201&gt;0,VLOOKUP($J201,Ruimtegroepen[],3,FALSE)*VLOOKUP($L201,Vloersoorten[],3,FALSE)*VLOOKUP($S201,Frequenties[],3,FALSE)*VLOOKUP($A201,Locaties[],3,FALSE),0)</f>
        <v>0</v>
      </c>
      <c r="V201" s="33">
        <f>Ruimtestaat[[#This Row],[Uitvoeringen werkdagen]]*Ruimtestaat[[#This Row],[Oppervlak (netto)]]</f>
        <v>1512</v>
      </c>
      <c r="W201" s="154">
        <f>IF(U201&gt;0,Ruimtestaat[[#This Row],[Prest. (m2 /jaar) werkdagen]]/Ruimtestaat[[#This Row],[Norm (m2/uur) werkdagen]],0)</f>
        <v>0</v>
      </c>
      <c r="X201" s="155">
        <f>Ruimtestaat[[#This Row],[uren / jaar werkdagen]]*Tariefsopbouw!$E$35</f>
        <v>0</v>
      </c>
      <c r="Y201" s="33"/>
      <c r="Z201" s="33">
        <f>IF(Ruimtestaat[[#This Row],[Frequentie weekend]]&gt;0,VALUE(LEFT(Y201,1))*R201,0)</f>
        <v>0</v>
      </c>
      <c r="AA201" s="97">
        <f>IF($Z201&gt;0,VLOOKUP($J201,Ruimtegroepen[],3,FALSE)*VLOOKUP($L201,Vloersoorten[],3,FALSE)*VLOOKUP($Y201,Frequenties[],3,FALSE)*VLOOKUP(Ruimtestaat[[#This Row],[Code]],Locaties[],3,FALSE),0)</f>
        <v>0</v>
      </c>
      <c r="AB201" s="97">
        <f>Ruimtestaat[[#This Row],[Uitvoeringen weekend]]*Ruimtestaat[[#This Row],[Oppervlak (netto)]]</f>
        <v>0</v>
      </c>
      <c r="AC201" s="97">
        <f>IF(AA201&gt;0,Ruimtestaat[[#This Row],[Prest. (m2 /jaar) weekend]]/Ruimtestaat[[#This Row],[Norm (m2/uur) weekend]],0)</f>
        <v>0</v>
      </c>
      <c r="AD201" s="155">
        <f>Ruimtestaat[[#This Row],[uren / jaar weekend]]*Tariefsopbouw!$D$40</f>
        <v>0</v>
      </c>
      <c r="AE201" s="154">
        <f>Ruimtestaat[[#This Row],[Prest. (m2 /jaar) weekend]]+Ruimtestaat[[#This Row],[Prest. (m2 /jaar) werkdagen]]</f>
        <v>1512</v>
      </c>
      <c r="AF201" s="154">
        <f>Ruimtestaat[[#This Row],[uren / jaar weekend]]+Ruimtestaat[[#This Row],[uren / jaar werkdagen]]</f>
        <v>0</v>
      </c>
      <c r="AG201" s="69">
        <f>Ruimtestaat[[#This Row],[kosten / jaar weekend]]+Ruimtestaat[[#This Row],[kosten / jaar werkdagen]]</f>
        <v>0</v>
      </c>
      <c r="AH201" s="69"/>
      <c r="AI201" s="256" t="str">
        <f>IF(Ruimtestaat[[#This Row],[Frequentie werkdagen]]="","",_xlfn.CONCAT(Ruimtestaat[[#This Row],[Ruimte code]],"-",Ruimtestaat[[#This Row],[Frequentie werkdagen]]," ",Ruimtestaat[[#This Row],[Vloer code]]))</f>
        <v>2-3w L</v>
      </c>
      <c r="AJ201" s="363" t="str">
        <f>_xlfn.IFNA(VLOOKUP($AI201,Programma!$F$3:$G$1107,2,0),"")</f>
        <v>_</v>
      </c>
      <c r="AK201" s="363" t="str">
        <f>_xlfn.IFNA(VLOOKUP($AI201,Programma!$F$3:$H$1107,3,0),"")</f>
        <v>_</v>
      </c>
      <c r="AL201" s="363" t="str">
        <f>_xlfn.IFNA(VLOOKUP($AI201,Programma!$F$3:$I$1107,4,0),"")</f>
        <v>2w</v>
      </c>
      <c r="AM201" s="363" t="str">
        <f>_xlfn.IFNA(VLOOKUP($AI201,Programma!$F$3:$J$1107,5,0),"")</f>
        <v>1w</v>
      </c>
      <c r="AN201" s="363" t="str">
        <f>_xlfn.IFNA(VLOOKUP($AI201,Programma!$F$3:$K$1107,6,0),"")</f>
        <v>_</v>
      </c>
      <c r="AO201" s="363" t="str">
        <f>_xlfn.IFNA(VLOOKUP($AI201,Programma!$F$3:$L$1107,7,0),"")</f>
        <v>_</v>
      </c>
      <c r="AP201" s="363" t="str">
        <f>_xlfn.IFNA(VLOOKUP($AI201,Programma!$F$3:$M$1107,8,0),"")</f>
        <v>_</v>
      </c>
      <c r="AQ201" s="363" t="str">
        <f>_xlfn.IFNA(VLOOKUP($AI201,Programma!$F$3:$N$1107,9,0),"")</f>
        <v>_</v>
      </c>
      <c r="AR201" s="363" t="str">
        <f>_xlfn.IFNA(VLOOKUP($AI201,Programma!$F$3:$O$1107,10,0),"")</f>
        <v>3w</v>
      </c>
      <c r="AS201" s="363" t="str">
        <f>_xlfn.IFNA(VLOOKUP($AI201,Programma!$F$3:$P$1107,11,0),"")</f>
        <v>3w</v>
      </c>
      <c r="AT201" s="363" t="str">
        <f>_xlfn.IFNA(VLOOKUP($AI201,Programma!$F$3:$Q$1107,12,0),"")</f>
        <v>1w</v>
      </c>
      <c r="AU201" s="363" t="str">
        <f>_xlfn.IFNA(VLOOKUP($AI201,Programma!$F$3:$R$1107,13,0),"")</f>
        <v>1w</v>
      </c>
      <c r="AV201" s="363" t="str">
        <f>_xlfn.IFNA(VLOOKUP($AI201,Programma!$F$3:$S$1107,14,0),"")</f>
        <v>1m</v>
      </c>
      <c r="AW201" s="363" t="str">
        <f>_xlfn.IFNA(VLOOKUP($AI201,Programma!$F$3:$T$1107,15,0),"")</f>
        <v>2j</v>
      </c>
      <c r="AX201" s="363" t="str">
        <f>_xlfn.IFNA(VLOOKUP($AI201,Programma!$F$3:$U$1107,16,0),"")</f>
        <v>1j</v>
      </c>
      <c r="AY201" s="363" t="str">
        <f>_xlfn.IFNA(VLOOKUP($AI201,Programma!$F$3:$V$1107,17,0),"")</f>
        <v>_</v>
      </c>
      <c r="AZ201" s="363" t="str">
        <f>_xlfn.IFNA(VLOOKUP($AI201,Programma!$F$3:$W$1107,18,0),"")</f>
        <v>_</v>
      </c>
      <c r="BA201" s="363" t="str">
        <f>_xlfn.IFNA(VLOOKUP($AI201,Programma!$F$3:$X$1107,19,0),"")</f>
        <v>_</v>
      </c>
      <c r="BB201" s="363" t="str">
        <f>_xlfn.IFNA(VLOOKUP($AI201,Programma!$F$3:$Y$1107,20,0),"")</f>
        <v>_</v>
      </c>
      <c r="BC201" s="257"/>
      <c r="BD201" s="256" t="str">
        <f>IF(Ruimtestaat[[#This Row],[Frequentie weekend]]="","",_xlfn.CONCAT(Ruimtestaat[[#This Row],[Ruimte code]],"-",Ruimtestaat[[#This Row],[Frequentie weekend]]," ",Ruimtestaat[[#This Row],[Vloer code]]))</f>
        <v/>
      </c>
      <c r="BE201" s="363" t="str">
        <f>_xlfn.IFNA(VLOOKUP($BD201,Programma!$F$3:$G$1107,2,0),"")</f>
        <v/>
      </c>
      <c r="BF201" s="363" t="str">
        <f>_xlfn.IFNA(VLOOKUP($BD201,Programma!$F$3:$H$1107,3,0),"")</f>
        <v/>
      </c>
      <c r="BG201" s="363" t="str">
        <f>_xlfn.IFNA(VLOOKUP($BD201,Programma!$F$3:$I$1107,4,0),"")</f>
        <v/>
      </c>
      <c r="BH201" s="363" t="str">
        <f>_xlfn.IFNA(VLOOKUP($BD201,Programma!$F$3:$J$1107,5,0),"")</f>
        <v/>
      </c>
      <c r="BI201" s="363" t="str">
        <f>_xlfn.IFNA(VLOOKUP($BD201,Programma!$F$3:$K$1107,6,0),"")</f>
        <v/>
      </c>
      <c r="BJ201" s="363" t="str">
        <f>_xlfn.IFNA(VLOOKUP($BD201,Programma!$F$3:$L$1107,7,0),"")</f>
        <v/>
      </c>
      <c r="BK201" s="363" t="str">
        <f>_xlfn.IFNA(VLOOKUP($BD201,Programma!$F$3:$M$1107,8,0),"")</f>
        <v/>
      </c>
      <c r="BL201" s="363" t="str">
        <f>_xlfn.IFNA(VLOOKUP($BD201,Programma!$F$3:$N$1107,9,0),"")</f>
        <v/>
      </c>
      <c r="BM201" s="363" t="str">
        <f>_xlfn.IFNA(VLOOKUP($BD201,Programma!$F$3:$O$1107,10,0),"")</f>
        <v/>
      </c>
      <c r="BN201" s="363" t="str">
        <f>_xlfn.IFNA(VLOOKUP($BD201,Programma!$F$3:$P$1107,11,0),"")</f>
        <v/>
      </c>
      <c r="BO201" s="363" t="str">
        <f>_xlfn.IFNA(VLOOKUP($BD201,Programma!$F$3:$Q$1107,12,0),"")</f>
        <v/>
      </c>
      <c r="BP201" s="363" t="str">
        <f>_xlfn.IFNA(VLOOKUP($BD201,Programma!$F$3:$R$1107,13,0),"")</f>
        <v/>
      </c>
      <c r="BQ201" s="363" t="str">
        <f>_xlfn.IFNA(VLOOKUP($BD201,Programma!$F$3:$S$1107,14,0),"")</f>
        <v/>
      </c>
      <c r="BR201" s="363" t="str">
        <f>_xlfn.IFNA(VLOOKUP($BD201,Programma!$F$3:$T$1107,15,0),"")</f>
        <v/>
      </c>
      <c r="BS201" s="363" t="str">
        <f>_xlfn.IFNA(VLOOKUP($BD201,Programma!$F$3:$U$1107,16,0),"")</f>
        <v/>
      </c>
      <c r="BT201" s="363" t="str">
        <f>_xlfn.IFNA(VLOOKUP($BD201,Programma!$F$3:$V$1107,17,0),"")</f>
        <v/>
      </c>
      <c r="BU201" s="363" t="str">
        <f>_xlfn.IFNA(VLOOKUP($BD201,Programma!$F$3:$W$1107,18,0),"")</f>
        <v/>
      </c>
      <c r="BV201" s="363" t="str">
        <f>_xlfn.IFNA(VLOOKUP($BD201,Programma!$F$3:$X$1107,19,0),"")</f>
        <v/>
      </c>
      <c r="BW201" s="363" t="str">
        <f>_xlfn.IFNA(VLOOKUP($BD201,Programma!$F$3:$Y$1107,20,0),"")</f>
        <v/>
      </c>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row>
    <row r="202" spans="1:220" ht="15" customHeight="1">
      <c r="A202" s="21">
        <v>4</v>
      </c>
      <c r="B202" s="157" t="str">
        <f>VLOOKUP(Ruimtestaat[[#This Row],[Code]],Locaties[[Code]:[Locatie]],2,FALSE)</f>
        <v>Sint-Maartenscollege</v>
      </c>
      <c r="C202" s="157" t="str">
        <f>VLOOKUP(Ruimtestaat[[#This Row],[Code]],Locaties[[#All],[Code]:[Adres]],4,FALSE)</f>
        <v xml:space="preserve">Aart v.d. Leeuwkade 14 </v>
      </c>
      <c r="D202" s="157" t="str">
        <f>VLOOKUP(Ruimtestaat[[#This Row],[Code]],Locaties[[#All],[Code]:[Postcode]],5,FALSE)</f>
        <v>2274 KX</v>
      </c>
      <c r="E202" s="157" t="str">
        <f>VLOOKUP(Ruimtestaat[[#This Row],[Code]],Locaties[#All],6,FALSE)</f>
        <v>Voorburg</v>
      </c>
      <c r="F202" s="33"/>
      <c r="G202" s="33" t="s">
        <v>1632</v>
      </c>
      <c r="H202" s="21">
        <v>26</v>
      </c>
      <c r="I202" s="62" t="s">
        <v>1631</v>
      </c>
      <c r="J202" s="21">
        <v>2</v>
      </c>
      <c r="K202" s="62" t="str">
        <f>VLOOKUP(Ruimtestaat[[#This Row],[Ruimte code]],Ruimtegroepen[[#All],[Code]:[Ruimte omschrijving]],2,FALSE)</f>
        <v>Kantoren</v>
      </c>
      <c r="L202" s="33" t="s">
        <v>100</v>
      </c>
      <c r="M202" s="367" t="s">
        <v>2493</v>
      </c>
      <c r="N202" s="140">
        <v>23</v>
      </c>
      <c r="O202" s="140"/>
      <c r="P202" s="125" t="str">
        <f>VLOOKUP(Ruimtestaat[[#This Row],[Ruimte code]],Ruimtegroepen[],4,FALSE)</f>
        <v>Bu</v>
      </c>
      <c r="R202" s="33">
        <v>42</v>
      </c>
      <c r="S202" s="33" t="s">
        <v>18</v>
      </c>
      <c r="T202" s="33">
        <f>IF(R202&gt;0,IF(RIGHT(Ruimtestaat[[#This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02" s="33">
        <f>IF(T202&gt;0,VLOOKUP($J202,Ruimtegroepen[],3,FALSE)*VLOOKUP($L202,Vloersoorten[],3,FALSE)*VLOOKUP($S202,Frequenties[],3,FALSE)*VLOOKUP($A202,Locaties[],3,FALSE),0)</f>
        <v>0</v>
      </c>
      <c r="V202" s="33">
        <f>Ruimtestaat[[#This Row],[Uitvoeringen werkdagen]]*Ruimtestaat[[#This Row],[Oppervlak (netto)]]</f>
        <v>2898</v>
      </c>
      <c r="W202" s="154">
        <f>IF(U202&gt;0,Ruimtestaat[[#This Row],[Prest. (m2 /jaar) werkdagen]]/Ruimtestaat[[#This Row],[Norm (m2/uur) werkdagen]],0)</f>
        <v>0</v>
      </c>
      <c r="X202" s="155">
        <f>Ruimtestaat[[#This Row],[uren / jaar werkdagen]]*Tariefsopbouw!$E$35</f>
        <v>0</v>
      </c>
      <c r="Y202" s="33"/>
      <c r="Z202" s="33">
        <f>IF(Ruimtestaat[[#This Row],[Frequentie weekend]]&gt;0,VALUE(LEFT(Y202,1))*R202,0)</f>
        <v>0</v>
      </c>
      <c r="AA202" s="97">
        <f>IF($Z202&gt;0,VLOOKUP($J202,Ruimtegroepen[],3,FALSE)*VLOOKUP($L202,Vloersoorten[],3,FALSE)*VLOOKUP($Y202,Frequenties[],3,FALSE)*VLOOKUP(Ruimtestaat[[#This Row],[Code]],Locaties[],3,FALSE),0)</f>
        <v>0</v>
      </c>
      <c r="AB202" s="97">
        <f>Ruimtestaat[[#This Row],[Uitvoeringen weekend]]*Ruimtestaat[[#This Row],[Oppervlak (netto)]]</f>
        <v>0</v>
      </c>
      <c r="AC202" s="97">
        <f>IF(AA202&gt;0,Ruimtestaat[[#This Row],[Prest. (m2 /jaar) weekend]]/Ruimtestaat[[#This Row],[Norm (m2/uur) weekend]],0)</f>
        <v>0</v>
      </c>
      <c r="AD202" s="155">
        <f>Ruimtestaat[[#This Row],[uren / jaar weekend]]*Tariefsopbouw!$D$40</f>
        <v>0</v>
      </c>
      <c r="AE202" s="154">
        <f>Ruimtestaat[[#This Row],[Prest. (m2 /jaar) weekend]]+Ruimtestaat[[#This Row],[Prest. (m2 /jaar) werkdagen]]</f>
        <v>2898</v>
      </c>
      <c r="AF202" s="154">
        <f>Ruimtestaat[[#This Row],[uren / jaar weekend]]+Ruimtestaat[[#This Row],[uren / jaar werkdagen]]</f>
        <v>0</v>
      </c>
      <c r="AG202" s="69">
        <f>Ruimtestaat[[#This Row],[kosten / jaar weekend]]+Ruimtestaat[[#This Row],[kosten / jaar werkdagen]]</f>
        <v>0</v>
      </c>
      <c r="AH202" s="69"/>
      <c r="AI202" s="256" t="str">
        <f>IF(Ruimtestaat[[#This Row],[Frequentie werkdagen]]="","",_xlfn.CONCAT(Ruimtestaat[[#This Row],[Ruimte code]],"-",Ruimtestaat[[#This Row],[Frequentie werkdagen]]," ",Ruimtestaat[[#This Row],[Vloer code]]))</f>
        <v>2-3w T</v>
      </c>
      <c r="AJ202" s="363" t="str">
        <f>_xlfn.IFNA(VLOOKUP($AI202,Programma!$F$3:$G$1107,2,0),"")</f>
        <v>2w</v>
      </c>
      <c r="AK202" s="363" t="str">
        <f>_xlfn.IFNA(VLOOKUP($AI202,Programma!$F$3:$H$1107,3,0),"")</f>
        <v>1w</v>
      </c>
      <c r="AL202" s="363" t="str">
        <f>_xlfn.IFNA(VLOOKUP($AI202,Programma!$F$3:$I$1107,4,0),"")</f>
        <v>_</v>
      </c>
      <c r="AM202" s="363" t="str">
        <f>_xlfn.IFNA(VLOOKUP($AI202,Programma!$F$3:$J$1107,5,0),"")</f>
        <v>_</v>
      </c>
      <c r="AN202" s="363" t="str">
        <f>_xlfn.IFNA(VLOOKUP($AI202,Programma!$F$3:$K$1107,6,0),"")</f>
        <v>_</v>
      </c>
      <c r="AO202" s="363" t="str">
        <f>_xlfn.IFNA(VLOOKUP($AI202,Programma!$F$3:$L$1107,7,0),"")</f>
        <v>_</v>
      </c>
      <c r="AP202" s="363" t="str">
        <f>_xlfn.IFNA(VLOOKUP($AI202,Programma!$F$3:$M$1107,8,0),"")</f>
        <v>_</v>
      </c>
      <c r="AQ202" s="363" t="str">
        <f>_xlfn.IFNA(VLOOKUP($AI202,Programma!$F$3:$N$1107,9,0),"")</f>
        <v>_</v>
      </c>
      <c r="AR202" s="363" t="str">
        <f>_xlfn.IFNA(VLOOKUP($AI202,Programma!$F$3:$O$1107,10,0),"")</f>
        <v>3w</v>
      </c>
      <c r="AS202" s="363" t="str">
        <f>_xlfn.IFNA(VLOOKUP($AI202,Programma!$F$3:$P$1107,11,0),"")</f>
        <v>3w</v>
      </c>
      <c r="AT202" s="363" t="str">
        <f>_xlfn.IFNA(VLOOKUP($AI202,Programma!$F$3:$Q$1107,12,0),"")</f>
        <v>1w</v>
      </c>
      <c r="AU202" s="363" t="str">
        <f>_xlfn.IFNA(VLOOKUP($AI202,Programma!$F$3:$R$1107,13,0),"")</f>
        <v>1w</v>
      </c>
      <c r="AV202" s="363" t="str">
        <f>_xlfn.IFNA(VLOOKUP($AI202,Programma!$F$3:$S$1107,14,0),"")</f>
        <v>1m</v>
      </c>
      <c r="AW202" s="363" t="str">
        <f>_xlfn.IFNA(VLOOKUP($AI202,Programma!$F$3:$T$1107,15,0),"")</f>
        <v>2j</v>
      </c>
      <c r="AX202" s="363" t="str">
        <f>_xlfn.IFNA(VLOOKUP($AI202,Programma!$F$3:$U$1107,16,0),"")</f>
        <v>1j</v>
      </c>
      <c r="AY202" s="363" t="str">
        <f>_xlfn.IFNA(VLOOKUP($AI202,Programma!$F$3:$V$1107,17,0),"")</f>
        <v>_</v>
      </c>
      <c r="AZ202" s="363" t="str">
        <f>_xlfn.IFNA(VLOOKUP($AI202,Programma!$F$3:$W$1107,18,0),"")</f>
        <v>_</v>
      </c>
      <c r="BA202" s="363" t="str">
        <f>_xlfn.IFNA(VLOOKUP($AI202,Programma!$F$3:$X$1107,19,0),"")</f>
        <v>_</v>
      </c>
      <c r="BB202" s="363" t="str">
        <f>_xlfn.IFNA(VLOOKUP($AI202,Programma!$F$3:$Y$1107,20,0),"")</f>
        <v>_</v>
      </c>
      <c r="BC202" s="257"/>
      <c r="BD202" s="256" t="str">
        <f>IF(Ruimtestaat[[#This Row],[Frequentie weekend]]="","",_xlfn.CONCAT(Ruimtestaat[[#This Row],[Ruimte code]],"-",Ruimtestaat[[#This Row],[Frequentie weekend]]," ",Ruimtestaat[[#This Row],[Vloer code]]))</f>
        <v/>
      </c>
      <c r="BE202" s="363" t="str">
        <f>_xlfn.IFNA(VLOOKUP($BD202,Programma!$F$3:$G$1107,2,0),"")</f>
        <v/>
      </c>
      <c r="BF202" s="363" t="str">
        <f>_xlfn.IFNA(VLOOKUP($BD202,Programma!$F$3:$H$1107,3,0),"")</f>
        <v/>
      </c>
      <c r="BG202" s="363" t="str">
        <f>_xlfn.IFNA(VLOOKUP($BD202,Programma!$F$3:$I$1107,4,0),"")</f>
        <v/>
      </c>
      <c r="BH202" s="363" t="str">
        <f>_xlfn.IFNA(VLOOKUP($BD202,Programma!$F$3:$J$1107,5,0),"")</f>
        <v/>
      </c>
      <c r="BI202" s="363" t="str">
        <f>_xlfn.IFNA(VLOOKUP($BD202,Programma!$F$3:$K$1107,6,0),"")</f>
        <v/>
      </c>
      <c r="BJ202" s="363" t="str">
        <f>_xlfn.IFNA(VLOOKUP($BD202,Programma!$F$3:$L$1107,7,0),"")</f>
        <v/>
      </c>
      <c r="BK202" s="363" t="str">
        <f>_xlfn.IFNA(VLOOKUP($BD202,Programma!$F$3:$M$1107,8,0),"")</f>
        <v/>
      </c>
      <c r="BL202" s="363" t="str">
        <f>_xlfn.IFNA(VLOOKUP($BD202,Programma!$F$3:$N$1107,9,0),"")</f>
        <v/>
      </c>
      <c r="BM202" s="363" t="str">
        <f>_xlfn.IFNA(VLOOKUP($BD202,Programma!$F$3:$O$1107,10,0),"")</f>
        <v/>
      </c>
      <c r="BN202" s="363" t="str">
        <f>_xlfn.IFNA(VLOOKUP($BD202,Programma!$F$3:$P$1107,11,0),"")</f>
        <v/>
      </c>
      <c r="BO202" s="363" t="str">
        <f>_xlfn.IFNA(VLOOKUP($BD202,Programma!$F$3:$Q$1107,12,0),"")</f>
        <v/>
      </c>
      <c r="BP202" s="363" t="str">
        <f>_xlfn.IFNA(VLOOKUP($BD202,Programma!$F$3:$R$1107,13,0),"")</f>
        <v/>
      </c>
      <c r="BQ202" s="363" t="str">
        <f>_xlfn.IFNA(VLOOKUP($BD202,Programma!$F$3:$S$1107,14,0),"")</f>
        <v/>
      </c>
      <c r="BR202" s="363" t="str">
        <f>_xlfn.IFNA(VLOOKUP($BD202,Programma!$F$3:$T$1107,15,0),"")</f>
        <v/>
      </c>
      <c r="BS202" s="363" t="str">
        <f>_xlfn.IFNA(VLOOKUP($BD202,Programma!$F$3:$U$1107,16,0),"")</f>
        <v/>
      </c>
      <c r="BT202" s="363" t="str">
        <f>_xlfn.IFNA(VLOOKUP($BD202,Programma!$F$3:$V$1107,17,0),"")</f>
        <v/>
      </c>
      <c r="BU202" s="363" t="str">
        <f>_xlfn.IFNA(VLOOKUP($BD202,Programma!$F$3:$W$1107,18,0),"")</f>
        <v/>
      </c>
      <c r="BV202" s="363" t="str">
        <f>_xlfn.IFNA(VLOOKUP($BD202,Programma!$F$3:$X$1107,19,0),"")</f>
        <v/>
      </c>
      <c r="BW202" s="363" t="str">
        <f>_xlfn.IFNA(VLOOKUP($BD202,Programma!$F$3:$Y$1107,20,0),"")</f>
        <v/>
      </c>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row>
    <row r="203" spans="1:220" ht="15" customHeight="1">
      <c r="A203" s="21">
        <v>4</v>
      </c>
      <c r="B203" s="157" t="str">
        <f>VLOOKUP(Ruimtestaat[[#This Row],[Code]],Locaties[[Code]:[Locatie]],2,FALSE)</f>
        <v>Sint-Maartenscollege</v>
      </c>
      <c r="C203" s="157" t="str">
        <f>VLOOKUP(Ruimtestaat[[#This Row],[Code]],Locaties[[#All],[Code]:[Adres]],4,FALSE)</f>
        <v xml:space="preserve">Aart v.d. Leeuwkade 14 </v>
      </c>
      <c r="D203" s="157" t="str">
        <f>VLOOKUP(Ruimtestaat[[#This Row],[Code]],Locaties[[#All],[Code]:[Postcode]],5,FALSE)</f>
        <v>2274 KX</v>
      </c>
      <c r="E203" s="157" t="str">
        <f>VLOOKUP(Ruimtestaat[[#This Row],[Code]],Locaties[#All],6,FALSE)</f>
        <v>Voorburg</v>
      </c>
      <c r="F203" s="33"/>
      <c r="G203" s="33" t="s">
        <v>1632</v>
      </c>
      <c r="H203" s="21">
        <v>27</v>
      </c>
      <c r="I203" s="62" t="s">
        <v>1627</v>
      </c>
      <c r="J203" s="21">
        <v>5</v>
      </c>
      <c r="K203" s="62" t="str">
        <f>VLOOKUP(Ruimtestaat[[#This Row],[Ruimte code]],Ruimtegroepen[[#All],[Code]:[Ruimte omschrijving]],2,FALSE)</f>
        <v>Sanitair</v>
      </c>
      <c r="L203" s="33" t="s">
        <v>102</v>
      </c>
      <c r="M203" s="367" t="s">
        <v>2502</v>
      </c>
      <c r="N203" s="140">
        <v>2</v>
      </c>
      <c r="O203" s="140"/>
      <c r="P203" s="125" t="str">
        <f>VLOOKUP(Ruimtestaat[[#This Row],[Ruimte code]],Ruimtegroepen[],4,FALSE)</f>
        <v>Sa</v>
      </c>
      <c r="R203" s="33">
        <v>40</v>
      </c>
      <c r="S203" s="33" t="s">
        <v>2</v>
      </c>
      <c r="T203" s="33">
        <f>IF(R203&gt;0,IF(RIGHT(Ruimtestaat[[#This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3" s="33">
        <f>IF(T203&gt;0,VLOOKUP($J203,Ruimtegroepen[],3,FALSE)*VLOOKUP($L203,Vloersoorten[],3,FALSE)*VLOOKUP($S203,Frequenties[],3,FALSE)*VLOOKUP($A203,Locaties[],3,FALSE),0)</f>
        <v>0</v>
      </c>
      <c r="V203" s="33">
        <f>Ruimtestaat[[#This Row],[Uitvoeringen werkdagen]]*Ruimtestaat[[#This Row],[Oppervlak (netto)]]</f>
        <v>400</v>
      </c>
      <c r="W203" s="154">
        <f>IF(U203&gt;0,Ruimtestaat[[#This Row],[Prest. (m2 /jaar) werkdagen]]/Ruimtestaat[[#This Row],[Norm (m2/uur) werkdagen]],0)</f>
        <v>0</v>
      </c>
      <c r="X203" s="155">
        <f>Ruimtestaat[[#This Row],[uren / jaar werkdagen]]*Tariefsopbouw!$E$35</f>
        <v>0</v>
      </c>
      <c r="Y203" s="33"/>
      <c r="Z203" s="33">
        <f>IF(Ruimtestaat[[#This Row],[Frequentie weekend]]&gt;0,VALUE(LEFT(Y203,1))*R203,0)</f>
        <v>0</v>
      </c>
      <c r="AA203" s="97">
        <f>IF($Z203&gt;0,VLOOKUP($J203,Ruimtegroepen[],3,FALSE)*VLOOKUP($L203,Vloersoorten[],3,FALSE)*VLOOKUP($Y203,Frequenties[],3,FALSE)*VLOOKUP(Ruimtestaat[[#This Row],[Code]],Locaties[],3,FALSE),0)</f>
        <v>0</v>
      </c>
      <c r="AB203" s="97">
        <f>Ruimtestaat[[#This Row],[Uitvoeringen weekend]]*Ruimtestaat[[#This Row],[Oppervlak (netto)]]</f>
        <v>0</v>
      </c>
      <c r="AC203" s="97">
        <f>IF(AA203&gt;0,Ruimtestaat[[#This Row],[Prest. (m2 /jaar) weekend]]/Ruimtestaat[[#This Row],[Norm (m2/uur) weekend]],0)</f>
        <v>0</v>
      </c>
      <c r="AD203" s="155">
        <f>Ruimtestaat[[#This Row],[uren / jaar weekend]]*Tariefsopbouw!$D$40</f>
        <v>0</v>
      </c>
      <c r="AE203" s="154">
        <f>Ruimtestaat[[#This Row],[Prest. (m2 /jaar) weekend]]+Ruimtestaat[[#This Row],[Prest. (m2 /jaar) werkdagen]]</f>
        <v>400</v>
      </c>
      <c r="AF203" s="154">
        <f>Ruimtestaat[[#This Row],[uren / jaar weekend]]+Ruimtestaat[[#This Row],[uren / jaar werkdagen]]</f>
        <v>0</v>
      </c>
      <c r="AG203" s="69">
        <f>Ruimtestaat[[#This Row],[kosten / jaar weekend]]+Ruimtestaat[[#This Row],[kosten / jaar werkdagen]]</f>
        <v>0</v>
      </c>
      <c r="AH203" s="69"/>
      <c r="AI203" s="256" t="str">
        <f>IF(Ruimtestaat[[#This Row],[Frequentie werkdagen]]="","",_xlfn.CONCAT(Ruimtestaat[[#This Row],[Ruimte code]],"-",Ruimtestaat[[#This Row],[Frequentie werkdagen]]," ",Ruimtestaat[[#This Row],[Vloer code]]))</f>
        <v>5-5w S</v>
      </c>
      <c r="AJ203" s="363" t="str">
        <f>_xlfn.IFNA(VLOOKUP($AI203,Programma!$F$3:$G$1107,2,0),"")</f>
        <v>_</v>
      </c>
      <c r="AK203" s="363" t="str">
        <f>_xlfn.IFNA(VLOOKUP($AI203,Programma!$F$3:$H$1107,3,0),"")</f>
        <v>_</v>
      </c>
      <c r="AL203" s="363" t="str">
        <f>_xlfn.IFNA(VLOOKUP($AI203,Programma!$F$3:$I$1107,4,0),"")</f>
        <v>_</v>
      </c>
      <c r="AM203" s="363" t="str">
        <f>_xlfn.IFNA(VLOOKUP($AI203,Programma!$F$3:$J$1107,5,0),"")</f>
        <v>4w</v>
      </c>
      <c r="AN203" s="363" t="str">
        <f>_xlfn.IFNA(VLOOKUP($AI203,Programma!$F$3:$K$1107,6,0),"")</f>
        <v>1w</v>
      </c>
      <c r="AO203" s="363" t="str">
        <f>_xlfn.IFNA(VLOOKUP($AI203,Programma!$F$3:$L$1107,7,0),"")</f>
        <v>_</v>
      </c>
      <c r="AP203" s="363" t="str">
        <f>_xlfn.IFNA(VLOOKUP($AI203,Programma!$F$3:$M$1107,8,0),"")</f>
        <v>_</v>
      </c>
      <c r="AQ203" s="363" t="str">
        <f>_xlfn.IFNA(VLOOKUP($AI203,Programma!$F$3:$N$1107,9,0),"")</f>
        <v>_</v>
      </c>
      <c r="AR203" s="363" t="str">
        <f>_xlfn.IFNA(VLOOKUP($AI203,Programma!$F$3:$O$1107,10,0),"")</f>
        <v>_</v>
      </c>
      <c r="AS203" s="363" t="str">
        <f>_xlfn.IFNA(VLOOKUP($AI203,Programma!$F$3:$P$1107,11,0),"")</f>
        <v>_</v>
      </c>
      <c r="AT203" s="363" t="str">
        <f>_xlfn.IFNA(VLOOKUP($AI203,Programma!$F$3:$Q$1107,12,0),"")</f>
        <v>_</v>
      </c>
      <c r="AU203" s="363" t="str">
        <f>_xlfn.IFNA(VLOOKUP($AI203,Programma!$F$3:$R$1107,13,0),"")</f>
        <v>_</v>
      </c>
      <c r="AV203" s="363" t="str">
        <f>_xlfn.IFNA(VLOOKUP($AI203,Programma!$F$3:$S$1107,14,0),"")</f>
        <v>_</v>
      </c>
      <c r="AW203" s="363" t="str">
        <f>_xlfn.IFNA(VLOOKUP($AI203,Programma!$F$3:$T$1107,15,0),"")</f>
        <v>_</v>
      </c>
      <c r="AX203" s="363" t="str">
        <f>_xlfn.IFNA(VLOOKUP($AI203,Programma!$F$3:$U$1107,16,0),"")</f>
        <v>_</v>
      </c>
      <c r="AY203" s="363" t="str">
        <f>_xlfn.IFNA(VLOOKUP($AI203,Programma!$F$3:$V$1107,17,0),"")</f>
        <v>_</v>
      </c>
      <c r="AZ203" s="363" t="str">
        <f>_xlfn.IFNA(VLOOKUP($AI203,Programma!$F$3:$W$1107,18,0),"")</f>
        <v>4w</v>
      </c>
      <c r="BA203" s="363" t="str">
        <f>_xlfn.IFNA(VLOOKUP($AI203,Programma!$F$3:$X$1107,19,0),"")</f>
        <v>1w</v>
      </c>
      <c r="BB203" s="363" t="str">
        <f>_xlfn.IFNA(VLOOKUP($AI203,Programma!$F$3:$Y$1107,20,0),"")</f>
        <v>_</v>
      </c>
      <c r="BC203" s="257"/>
      <c r="BD203" s="256" t="str">
        <f>IF(Ruimtestaat[[#This Row],[Frequentie weekend]]="","",_xlfn.CONCAT(Ruimtestaat[[#This Row],[Ruimte code]],"-",Ruimtestaat[[#This Row],[Frequentie weekend]]," ",Ruimtestaat[[#This Row],[Vloer code]]))</f>
        <v/>
      </c>
      <c r="BE203" s="363" t="str">
        <f>_xlfn.IFNA(VLOOKUP($BD203,Programma!$F$3:$G$1107,2,0),"")</f>
        <v/>
      </c>
      <c r="BF203" s="363" t="str">
        <f>_xlfn.IFNA(VLOOKUP($BD203,Programma!$F$3:$H$1107,3,0),"")</f>
        <v/>
      </c>
      <c r="BG203" s="363" t="str">
        <f>_xlfn.IFNA(VLOOKUP($BD203,Programma!$F$3:$I$1107,4,0),"")</f>
        <v/>
      </c>
      <c r="BH203" s="363" t="str">
        <f>_xlfn.IFNA(VLOOKUP($BD203,Programma!$F$3:$J$1107,5,0),"")</f>
        <v/>
      </c>
      <c r="BI203" s="363" t="str">
        <f>_xlfn.IFNA(VLOOKUP($BD203,Programma!$F$3:$K$1107,6,0),"")</f>
        <v/>
      </c>
      <c r="BJ203" s="363" t="str">
        <f>_xlfn.IFNA(VLOOKUP($BD203,Programma!$F$3:$L$1107,7,0),"")</f>
        <v/>
      </c>
      <c r="BK203" s="363" t="str">
        <f>_xlfn.IFNA(VLOOKUP($BD203,Programma!$F$3:$M$1107,8,0),"")</f>
        <v/>
      </c>
      <c r="BL203" s="363" t="str">
        <f>_xlfn.IFNA(VLOOKUP($BD203,Programma!$F$3:$N$1107,9,0),"")</f>
        <v/>
      </c>
      <c r="BM203" s="363" t="str">
        <f>_xlfn.IFNA(VLOOKUP($BD203,Programma!$F$3:$O$1107,10,0),"")</f>
        <v/>
      </c>
      <c r="BN203" s="363" t="str">
        <f>_xlfn.IFNA(VLOOKUP($BD203,Programma!$F$3:$P$1107,11,0),"")</f>
        <v/>
      </c>
      <c r="BO203" s="363" t="str">
        <f>_xlfn.IFNA(VLOOKUP($BD203,Programma!$F$3:$Q$1107,12,0),"")</f>
        <v/>
      </c>
      <c r="BP203" s="363" t="str">
        <f>_xlfn.IFNA(VLOOKUP($BD203,Programma!$F$3:$R$1107,13,0),"")</f>
        <v/>
      </c>
      <c r="BQ203" s="363" t="str">
        <f>_xlfn.IFNA(VLOOKUP($BD203,Programma!$F$3:$S$1107,14,0),"")</f>
        <v/>
      </c>
      <c r="BR203" s="363" t="str">
        <f>_xlfn.IFNA(VLOOKUP($BD203,Programma!$F$3:$T$1107,15,0),"")</f>
        <v/>
      </c>
      <c r="BS203" s="363" t="str">
        <f>_xlfn.IFNA(VLOOKUP($BD203,Programma!$F$3:$U$1107,16,0),"")</f>
        <v/>
      </c>
      <c r="BT203" s="363" t="str">
        <f>_xlfn.IFNA(VLOOKUP($BD203,Programma!$F$3:$V$1107,17,0),"")</f>
        <v/>
      </c>
      <c r="BU203" s="363" t="str">
        <f>_xlfn.IFNA(VLOOKUP($BD203,Programma!$F$3:$W$1107,18,0),"")</f>
        <v/>
      </c>
      <c r="BV203" s="363" t="str">
        <f>_xlfn.IFNA(VLOOKUP($BD203,Programma!$F$3:$X$1107,19,0),"")</f>
        <v/>
      </c>
      <c r="BW203" s="363" t="str">
        <f>_xlfn.IFNA(VLOOKUP($BD203,Programma!$F$3:$Y$1107,20,0),"")</f>
        <v/>
      </c>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row>
    <row r="204" spans="1:220" ht="15" customHeight="1">
      <c r="A204" s="21">
        <v>4</v>
      </c>
      <c r="B204" s="157" t="str">
        <f>VLOOKUP(Ruimtestaat[[#This Row],[Code]],Locaties[[Code]:[Locatie]],2,FALSE)</f>
        <v>Sint-Maartenscollege</v>
      </c>
      <c r="C204" s="157" t="str">
        <f>VLOOKUP(Ruimtestaat[[#This Row],[Code]],Locaties[[#All],[Code]:[Adres]],4,FALSE)</f>
        <v xml:space="preserve">Aart v.d. Leeuwkade 14 </v>
      </c>
      <c r="D204" s="157" t="str">
        <f>VLOOKUP(Ruimtestaat[[#This Row],[Code]],Locaties[[#All],[Code]:[Postcode]],5,FALSE)</f>
        <v>2274 KX</v>
      </c>
      <c r="E204" s="157" t="str">
        <f>VLOOKUP(Ruimtestaat[[#This Row],[Code]],Locaties[#All],6,FALSE)</f>
        <v>Voorburg</v>
      </c>
      <c r="F204" s="33"/>
      <c r="G204" s="33" t="s">
        <v>1632</v>
      </c>
      <c r="H204" s="21">
        <v>28</v>
      </c>
      <c r="I204" s="62" t="s">
        <v>1627</v>
      </c>
      <c r="J204" s="21">
        <v>5</v>
      </c>
      <c r="K204" s="62" t="str">
        <f>VLOOKUP(Ruimtestaat[[#This Row],[Ruimte code]],Ruimtegroepen[[#All],[Code]:[Ruimte omschrijving]],2,FALSE)</f>
        <v>Sanitair</v>
      </c>
      <c r="L204" s="33" t="s">
        <v>102</v>
      </c>
      <c r="M204" s="367" t="s">
        <v>2502</v>
      </c>
      <c r="N204" s="140">
        <v>2</v>
      </c>
      <c r="O204" s="140"/>
      <c r="P204" s="125" t="str">
        <f>VLOOKUP(Ruimtestaat[[#This Row],[Ruimte code]],Ruimtegroepen[],4,FALSE)</f>
        <v>Sa</v>
      </c>
      <c r="R204" s="33">
        <v>40</v>
      </c>
      <c r="S204" s="33" t="s">
        <v>2</v>
      </c>
      <c r="T204" s="33">
        <f>IF(R204&gt;0,IF(RIGHT(Ruimtestaat[[#This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4" s="33">
        <f>IF(T204&gt;0,VLOOKUP($J204,Ruimtegroepen[],3,FALSE)*VLOOKUP($L204,Vloersoorten[],3,FALSE)*VLOOKUP($S204,Frequenties[],3,FALSE)*VLOOKUP($A204,Locaties[],3,FALSE),0)</f>
        <v>0</v>
      </c>
      <c r="V204" s="33">
        <f>Ruimtestaat[[#This Row],[Uitvoeringen werkdagen]]*Ruimtestaat[[#This Row],[Oppervlak (netto)]]</f>
        <v>400</v>
      </c>
      <c r="W204" s="154">
        <f>IF(U204&gt;0,Ruimtestaat[[#This Row],[Prest. (m2 /jaar) werkdagen]]/Ruimtestaat[[#This Row],[Norm (m2/uur) werkdagen]],0)</f>
        <v>0</v>
      </c>
      <c r="X204" s="155">
        <f>Ruimtestaat[[#This Row],[uren / jaar werkdagen]]*Tariefsopbouw!$E$35</f>
        <v>0</v>
      </c>
      <c r="Y204" s="33"/>
      <c r="Z204" s="33">
        <f>IF(Ruimtestaat[[#This Row],[Frequentie weekend]]&gt;0,VALUE(LEFT(Y204,1))*R204,0)</f>
        <v>0</v>
      </c>
      <c r="AA204" s="97">
        <f>IF($Z204&gt;0,VLOOKUP($J204,Ruimtegroepen[],3,FALSE)*VLOOKUP($L204,Vloersoorten[],3,FALSE)*VLOOKUP($Y204,Frequenties[],3,FALSE)*VLOOKUP(Ruimtestaat[[#This Row],[Code]],Locaties[],3,FALSE),0)</f>
        <v>0</v>
      </c>
      <c r="AB204" s="97">
        <f>Ruimtestaat[[#This Row],[Uitvoeringen weekend]]*Ruimtestaat[[#This Row],[Oppervlak (netto)]]</f>
        <v>0</v>
      </c>
      <c r="AC204" s="97">
        <f>IF(AA204&gt;0,Ruimtestaat[[#This Row],[Prest. (m2 /jaar) weekend]]/Ruimtestaat[[#This Row],[Norm (m2/uur) weekend]],0)</f>
        <v>0</v>
      </c>
      <c r="AD204" s="155">
        <f>Ruimtestaat[[#This Row],[uren / jaar weekend]]*Tariefsopbouw!$D$40</f>
        <v>0</v>
      </c>
      <c r="AE204" s="154">
        <f>Ruimtestaat[[#This Row],[Prest. (m2 /jaar) weekend]]+Ruimtestaat[[#This Row],[Prest. (m2 /jaar) werkdagen]]</f>
        <v>400</v>
      </c>
      <c r="AF204" s="154">
        <f>Ruimtestaat[[#This Row],[uren / jaar weekend]]+Ruimtestaat[[#This Row],[uren / jaar werkdagen]]</f>
        <v>0</v>
      </c>
      <c r="AG204" s="69">
        <f>Ruimtestaat[[#This Row],[kosten / jaar weekend]]+Ruimtestaat[[#This Row],[kosten / jaar werkdagen]]</f>
        <v>0</v>
      </c>
      <c r="AH204" s="69"/>
      <c r="AI204" s="256" t="str">
        <f>IF(Ruimtestaat[[#This Row],[Frequentie werkdagen]]="","",_xlfn.CONCAT(Ruimtestaat[[#This Row],[Ruimte code]],"-",Ruimtestaat[[#This Row],[Frequentie werkdagen]]," ",Ruimtestaat[[#This Row],[Vloer code]]))</f>
        <v>5-5w S</v>
      </c>
      <c r="AJ204" s="363" t="str">
        <f>_xlfn.IFNA(VLOOKUP($AI204,Programma!$F$3:$G$1107,2,0),"")</f>
        <v>_</v>
      </c>
      <c r="AK204" s="363" t="str">
        <f>_xlfn.IFNA(VLOOKUP($AI204,Programma!$F$3:$H$1107,3,0),"")</f>
        <v>_</v>
      </c>
      <c r="AL204" s="363" t="str">
        <f>_xlfn.IFNA(VLOOKUP($AI204,Programma!$F$3:$I$1107,4,0),"")</f>
        <v>_</v>
      </c>
      <c r="AM204" s="363" t="str">
        <f>_xlfn.IFNA(VLOOKUP($AI204,Programma!$F$3:$J$1107,5,0),"")</f>
        <v>4w</v>
      </c>
      <c r="AN204" s="363" t="str">
        <f>_xlfn.IFNA(VLOOKUP($AI204,Programma!$F$3:$K$1107,6,0),"")</f>
        <v>1w</v>
      </c>
      <c r="AO204" s="363" t="str">
        <f>_xlfn.IFNA(VLOOKUP($AI204,Programma!$F$3:$L$1107,7,0),"")</f>
        <v>_</v>
      </c>
      <c r="AP204" s="363" t="str">
        <f>_xlfn.IFNA(VLOOKUP($AI204,Programma!$F$3:$M$1107,8,0),"")</f>
        <v>_</v>
      </c>
      <c r="AQ204" s="363" t="str">
        <f>_xlfn.IFNA(VLOOKUP($AI204,Programma!$F$3:$N$1107,9,0),"")</f>
        <v>_</v>
      </c>
      <c r="AR204" s="363" t="str">
        <f>_xlfn.IFNA(VLOOKUP($AI204,Programma!$F$3:$O$1107,10,0),"")</f>
        <v>_</v>
      </c>
      <c r="AS204" s="363" t="str">
        <f>_xlfn.IFNA(VLOOKUP($AI204,Programma!$F$3:$P$1107,11,0),"")</f>
        <v>_</v>
      </c>
      <c r="AT204" s="363" t="str">
        <f>_xlfn.IFNA(VLOOKUP($AI204,Programma!$F$3:$Q$1107,12,0),"")</f>
        <v>_</v>
      </c>
      <c r="AU204" s="363" t="str">
        <f>_xlfn.IFNA(VLOOKUP($AI204,Programma!$F$3:$R$1107,13,0),"")</f>
        <v>_</v>
      </c>
      <c r="AV204" s="363" t="str">
        <f>_xlfn.IFNA(VLOOKUP($AI204,Programma!$F$3:$S$1107,14,0),"")</f>
        <v>_</v>
      </c>
      <c r="AW204" s="363" t="str">
        <f>_xlfn.IFNA(VLOOKUP($AI204,Programma!$F$3:$T$1107,15,0),"")</f>
        <v>_</v>
      </c>
      <c r="AX204" s="363" t="str">
        <f>_xlfn.IFNA(VLOOKUP($AI204,Programma!$F$3:$U$1107,16,0),"")</f>
        <v>_</v>
      </c>
      <c r="AY204" s="363" t="str">
        <f>_xlfn.IFNA(VLOOKUP($AI204,Programma!$F$3:$V$1107,17,0),"")</f>
        <v>_</v>
      </c>
      <c r="AZ204" s="363" t="str">
        <f>_xlfn.IFNA(VLOOKUP($AI204,Programma!$F$3:$W$1107,18,0),"")</f>
        <v>4w</v>
      </c>
      <c r="BA204" s="363" t="str">
        <f>_xlfn.IFNA(VLOOKUP($AI204,Programma!$F$3:$X$1107,19,0),"")</f>
        <v>1w</v>
      </c>
      <c r="BB204" s="363" t="str">
        <f>_xlfn.IFNA(VLOOKUP($AI204,Programma!$F$3:$Y$1107,20,0),"")</f>
        <v>_</v>
      </c>
      <c r="BC204" s="257"/>
      <c r="BD204" s="256" t="str">
        <f>IF(Ruimtestaat[[#This Row],[Frequentie weekend]]="","",_xlfn.CONCAT(Ruimtestaat[[#This Row],[Ruimte code]],"-",Ruimtestaat[[#This Row],[Frequentie weekend]]," ",Ruimtestaat[[#This Row],[Vloer code]]))</f>
        <v/>
      </c>
      <c r="BE204" s="363" t="str">
        <f>_xlfn.IFNA(VLOOKUP($BD204,Programma!$F$3:$G$1107,2,0),"")</f>
        <v/>
      </c>
      <c r="BF204" s="363" t="str">
        <f>_xlfn.IFNA(VLOOKUP($BD204,Programma!$F$3:$H$1107,3,0),"")</f>
        <v/>
      </c>
      <c r="BG204" s="363" t="str">
        <f>_xlfn.IFNA(VLOOKUP($BD204,Programma!$F$3:$I$1107,4,0),"")</f>
        <v/>
      </c>
      <c r="BH204" s="363" t="str">
        <f>_xlfn.IFNA(VLOOKUP($BD204,Programma!$F$3:$J$1107,5,0),"")</f>
        <v/>
      </c>
      <c r="BI204" s="363" t="str">
        <f>_xlfn.IFNA(VLOOKUP($BD204,Programma!$F$3:$K$1107,6,0),"")</f>
        <v/>
      </c>
      <c r="BJ204" s="363" t="str">
        <f>_xlfn.IFNA(VLOOKUP($BD204,Programma!$F$3:$L$1107,7,0),"")</f>
        <v/>
      </c>
      <c r="BK204" s="363" t="str">
        <f>_xlfn.IFNA(VLOOKUP($BD204,Programma!$F$3:$M$1107,8,0),"")</f>
        <v/>
      </c>
      <c r="BL204" s="363" t="str">
        <f>_xlfn.IFNA(VLOOKUP($BD204,Programma!$F$3:$N$1107,9,0),"")</f>
        <v/>
      </c>
      <c r="BM204" s="363" t="str">
        <f>_xlfn.IFNA(VLOOKUP($BD204,Programma!$F$3:$O$1107,10,0),"")</f>
        <v/>
      </c>
      <c r="BN204" s="363" t="str">
        <f>_xlfn.IFNA(VLOOKUP($BD204,Programma!$F$3:$P$1107,11,0),"")</f>
        <v/>
      </c>
      <c r="BO204" s="363" t="str">
        <f>_xlfn.IFNA(VLOOKUP($BD204,Programma!$F$3:$Q$1107,12,0),"")</f>
        <v/>
      </c>
      <c r="BP204" s="363" t="str">
        <f>_xlfn.IFNA(VLOOKUP($BD204,Programma!$F$3:$R$1107,13,0),"")</f>
        <v/>
      </c>
      <c r="BQ204" s="363" t="str">
        <f>_xlfn.IFNA(VLOOKUP($BD204,Programma!$F$3:$S$1107,14,0),"")</f>
        <v/>
      </c>
      <c r="BR204" s="363" t="str">
        <f>_xlfn.IFNA(VLOOKUP($BD204,Programma!$F$3:$T$1107,15,0),"")</f>
        <v/>
      </c>
      <c r="BS204" s="363" t="str">
        <f>_xlfn.IFNA(VLOOKUP($BD204,Programma!$F$3:$U$1107,16,0),"")</f>
        <v/>
      </c>
      <c r="BT204" s="363" t="str">
        <f>_xlfn.IFNA(VLOOKUP($BD204,Programma!$F$3:$V$1107,17,0),"")</f>
        <v/>
      </c>
      <c r="BU204" s="363" t="str">
        <f>_xlfn.IFNA(VLOOKUP($BD204,Programma!$F$3:$W$1107,18,0),"")</f>
        <v/>
      </c>
      <c r="BV204" s="363" t="str">
        <f>_xlfn.IFNA(VLOOKUP($BD204,Programma!$F$3:$X$1107,19,0),"")</f>
        <v/>
      </c>
      <c r="BW204" s="363" t="str">
        <f>_xlfn.IFNA(VLOOKUP($BD204,Programma!$F$3:$Y$1107,20,0),"")</f>
        <v/>
      </c>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row>
    <row r="205" spans="1:220" ht="15" customHeight="1">
      <c r="A205" s="21">
        <v>4</v>
      </c>
      <c r="B205" s="157" t="str">
        <f>VLOOKUP(Ruimtestaat[[#This Row],[Code]],Locaties[[Code]:[Locatie]],2,FALSE)</f>
        <v>Sint-Maartenscollege</v>
      </c>
      <c r="C205" s="157" t="str">
        <f>VLOOKUP(Ruimtestaat[[#This Row],[Code]],Locaties[[#All],[Code]:[Adres]],4,FALSE)</f>
        <v xml:space="preserve">Aart v.d. Leeuwkade 14 </v>
      </c>
      <c r="D205" s="157" t="str">
        <f>VLOOKUP(Ruimtestaat[[#This Row],[Code]],Locaties[[#All],[Code]:[Postcode]],5,FALSE)</f>
        <v>2274 KX</v>
      </c>
      <c r="E205" s="157" t="str">
        <f>VLOOKUP(Ruimtestaat[[#This Row],[Code]],Locaties[#All],6,FALSE)</f>
        <v>Voorburg</v>
      </c>
      <c r="F205" s="33"/>
      <c r="G205" s="33" t="s">
        <v>1632</v>
      </c>
      <c r="H205" s="21">
        <v>29</v>
      </c>
      <c r="I205" s="62" t="s">
        <v>1805</v>
      </c>
      <c r="J205" s="21">
        <v>10</v>
      </c>
      <c r="K205" s="62" t="str">
        <f>VLOOKUP(Ruimtestaat[[#This Row],[Ruimte code]],Ruimtegroepen[[#All],[Code]:[Ruimte omschrijving]],2,FALSE)</f>
        <v>Trappenhuizen/lift</v>
      </c>
      <c r="L205" s="33" t="s">
        <v>102</v>
      </c>
      <c r="M205" s="367" t="s">
        <v>2502</v>
      </c>
      <c r="N205" s="140">
        <v>152</v>
      </c>
      <c r="O205" s="140"/>
      <c r="P205" s="125" t="str">
        <f>VLOOKUP(Ruimtestaat[[#This Row],[Ruimte code]],Ruimtegroepen[],4,FALSE)</f>
        <v>Ve</v>
      </c>
      <c r="R205" s="33">
        <v>40</v>
      </c>
      <c r="S205" s="33" t="s">
        <v>2</v>
      </c>
      <c r="T205" s="33">
        <f>IF(R205&gt;0,IF(RIGHT(Ruimtestaat[[#This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5" s="33">
        <f>IF(T205&gt;0,VLOOKUP($J205,Ruimtegroepen[],3,FALSE)*VLOOKUP($L205,Vloersoorten[],3,FALSE)*VLOOKUP($S205,Frequenties[],3,FALSE)*VLOOKUP($A205,Locaties[],3,FALSE),0)</f>
        <v>0</v>
      </c>
      <c r="V205" s="33">
        <f>Ruimtestaat[[#This Row],[Uitvoeringen werkdagen]]*Ruimtestaat[[#This Row],[Oppervlak (netto)]]</f>
        <v>30400</v>
      </c>
      <c r="W205" s="154">
        <f>IF(U205&gt;0,Ruimtestaat[[#This Row],[Prest. (m2 /jaar) werkdagen]]/Ruimtestaat[[#This Row],[Norm (m2/uur) werkdagen]],0)</f>
        <v>0</v>
      </c>
      <c r="X205" s="155">
        <f>Ruimtestaat[[#This Row],[uren / jaar werkdagen]]*Tariefsopbouw!$E$35</f>
        <v>0</v>
      </c>
      <c r="Y205" s="33"/>
      <c r="Z205" s="33">
        <f>IF(Ruimtestaat[[#This Row],[Frequentie weekend]]&gt;0,VALUE(LEFT(Y205,1))*R205,0)</f>
        <v>0</v>
      </c>
      <c r="AA205" s="97">
        <f>IF($Z205&gt;0,VLOOKUP($J205,Ruimtegroepen[],3,FALSE)*VLOOKUP($L205,Vloersoorten[],3,FALSE)*VLOOKUP($Y205,Frequenties[],3,FALSE)*VLOOKUP(Ruimtestaat[[#This Row],[Code]],Locaties[],3,FALSE),0)</f>
        <v>0</v>
      </c>
      <c r="AB205" s="97">
        <f>Ruimtestaat[[#This Row],[Uitvoeringen weekend]]*Ruimtestaat[[#This Row],[Oppervlak (netto)]]</f>
        <v>0</v>
      </c>
      <c r="AC205" s="97">
        <f>IF(AA205&gt;0,Ruimtestaat[[#This Row],[Prest. (m2 /jaar) weekend]]/Ruimtestaat[[#This Row],[Norm (m2/uur) weekend]],0)</f>
        <v>0</v>
      </c>
      <c r="AD205" s="155">
        <f>Ruimtestaat[[#This Row],[uren / jaar weekend]]*Tariefsopbouw!$D$40</f>
        <v>0</v>
      </c>
      <c r="AE205" s="154">
        <f>Ruimtestaat[[#This Row],[Prest. (m2 /jaar) weekend]]+Ruimtestaat[[#This Row],[Prest. (m2 /jaar) werkdagen]]</f>
        <v>30400</v>
      </c>
      <c r="AF205" s="154">
        <f>Ruimtestaat[[#This Row],[uren / jaar weekend]]+Ruimtestaat[[#This Row],[uren / jaar werkdagen]]</f>
        <v>0</v>
      </c>
      <c r="AG205" s="69">
        <f>Ruimtestaat[[#This Row],[kosten / jaar weekend]]+Ruimtestaat[[#This Row],[kosten / jaar werkdagen]]</f>
        <v>0</v>
      </c>
      <c r="AH205" s="69"/>
      <c r="AI205" s="256" t="str">
        <f>IF(Ruimtestaat[[#This Row],[Frequentie werkdagen]]="","",_xlfn.CONCAT(Ruimtestaat[[#This Row],[Ruimte code]],"-",Ruimtestaat[[#This Row],[Frequentie werkdagen]]," ",Ruimtestaat[[#This Row],[Vloer code]]))</f>
        <v>10-5w S</v>
      </c>
      <c r="AJ205" s="363" t="str">
        <f>_xlfn.IFNA(VLOOKUP($AI205,Programma!$F$3:$G$1107,2,0),"")</f>
        <v>_</v>
      </c>
      <c r="AK205" s="363" t="str">
        <f>_xlfn.IFNA(VLOOKUP($AI205,Programma!$F$3:$H$1107,3,0),"")</f>
        <v>_</v>
      </c>
      <c r="AL205" s="363" t="str">
        <f>_xlfn.IFNA(VLOOKUP($AI205,Programma!$F$3:$I$1107,4,0),"")</f>
        <v>4w</v>
      </c>
      <c r="AM205" s="363" t="str">
        <f>_xlfn.IFNA(VLOOKUP($AI205,Programma!$F$3:$J$1107,5,0),"")</f>
        <v>1w</v>
      </c>
      <c r="AN205" s="363" t="str">
        <f>_xlfn.IFNA(VLOOKUP($AI205,Programma!$F$3:$K$1107,6,0),"")</f>
        <v>4j</v>
      </c>
      <c r="AO205" s="363" t="str">
        <f>_xlfn.IFNA(VLOOKUP($AI205,Programma!$F$3:$L$1107,7,0),"")</f>
        <v>_</v>
      </c>
      <c r="AP205" s="363" t="str">
        <f>_xlfn.IFNA(VLOOKUP($AI205,Programma!$F$3:$M$1107,8,0),"")</f>
        <v>_</v>
      </c>
      <c r="AQ205" s="363" t="str">
        <f>_xlfn.IFNA(VLOOKUP($AI205,Programma!$F$3:$N$1107,9,0),"")</f>
        <v>_</v>
      </c>
      <c r="AR205" s="363" t="str">
        <f>_xlfn.IFNA(VLOOKUP($AI205,Programma!$F$3:$O$1107,10,0),"")</f>
        <v>5w</v>
      </c>
      <c r="AS205" s="363" t="str">
        <f>_xlfn.IFNA(VLOOKUP($AI205,Programma!$F$3:$P$1107,11,0),"")</f>
        <v>5w</v>
      </c>
      <c r="AT205" s="363" t="str">
        <f>_xlfn.IFNA(VLOOKUP($AI205,Programma!$F$3:$Q$1107,12,0),"")</f>
        <v>1w</v>
      </c>
      <c r="AU205" s="363" t="str">
        <f>_xlfn.IFNA(VLOOKUP($AI205,Programma!$F$3:$R$1107,13,0),"")</f>
        <v>1w</v>
      </c>
      <c r="AV205" s="363" t="str">
        <f>_xlfn.IFNA(VLOOKUP($AI205,Programma!$F$3:$S$1107,14,0),"")</f>
        <v>1m</v>
      </c>
      <c r="AW205" s="363" t="str">
        <f>_xlfn.IFNA(VLOOKUP($AI205,Programma!$F$3:$T$1107,15,0),"")</f>
        <v>2j</v>
      </c>
      <c r="AX205" s="363" t="str">
        <f>_xlfn.IFNA(VLOOKUP($AI205,Programma!$F$3:$U$1107,16,0),"")</f>
        <v>1j</v>
      </c>
      <c r="AY205" s="363" t="str">
        <f>_xlfn.IFNA(VLOOKUP($AI205,Programma!$F$3:$V$1107,17,0),"")</f>
        <v>_</v>
      </c>
      <c r="AZ205" s="363" t="str">
        <f>_xlfn.IFNA(VLOOKUP($AI205,Programma!$F$3:$W$1107,18,0),"")</f>
        <v>_</v>
      </c>
      <c r="BA205" s="363" t="str">
        <f>_xlfn.IFNA(VLOOKUP($AI205,Programma!$F$3:$X$1107,19,0),"")</f>
        <v>_</v>
      </c>
      <c r="BB205" s="363" t="str">
        <f>_xlfn.IFNA(VLOOKUP($AI205,Programma!$F$3:$Y$1107,20,0),"")</f>
        <v>_</v>
      </c>
      <c r="BC205" s="257"/>
      <c r="BD205" s="256" t="str">
        <f>IF(Ruimtestaat[[#This Row],[Frequentie weekend]]="","",_xlfn.CONCAT(Ruimtestaat[[#This Row],[Ruimte code]],"-",Ruimtestaat[[#This Row],[Frequentie weekend]]," ",Ruimtestaat[[#This Row],[Vloer code]]))</f>
        <v/>
      </c>
      <c r="BE205" s="363" t="str">
        <f>_xlfn.IFNA(VLOOKUP($BD205,Programma!$F$3:$G$1107,2,0),"")</f>
        <v/>
      </c>
      <c r="BF205" s="363" t="str">
        <f>_xlfn.IFNA(VLOOKUP($BD205,Programma!$F$3:$H$1107,3,0),"")</f>
        <v/>
      </c>
      <c r="BG205" s="363" t="str">
        <f>_xlfn.IFNA(VLOOKUP($BD205,Programma!$F$3:$I$1107,4,0),"")</f>
        <v/>
      </c>
      <c r="BH205" s="363" t="str">
        <f>_xlfn.IFNA(VLOOKUP($BD205,Programma!$F$3:$J$1107,5,0),"")</f>
        <v/>
      </c>
      <c r="BI205" s="363" t="str">
        <f>_xlfn.IFNA(VLOOKUP($BD205,Programma!$F$3:$K$1107,6,0),"")</f>
        <v/>
      </c>
      <c r="BJ205" s="363" t="str">
        <f>_xlfn.IFNA(VLOOKUP($BD205,Programma!$F$3:$L$1107,7,0),"")</f>
        <v/>
      </c>
      <c r="BK205" s="363" t="str">
        <f>_xlfn.IFNA(VLOOKUP($BD205,Programma!$F$3:$M$1107,8,0),"")</f>
        <v/>
      </c>
      <c r="BL205" s="363" t="str">
        <f>_xlfn.IFNA(VLOOKUP($BD205,Programma!$F$3:$N$1107,9,0),"")</f>
        <v/>
      </c>
      <c r="BM205" s="363" t="str">
        <f>_xlfn.IFNA(VLOOKUP($BD205,Programma!$F$3:$O$1107,10,0),"")</f>
        <v/>
      </c>
      <c r="BN205" s="363" t="str">
        <f>_xlfn.IFNA(VLOOKUP($BD205,Programma!$F$3:$P$1107,11,0),"")</f>
        <v/>
      </c>
      <c r="BO205" s="363" t="str">
        <f>_xlfn.IFNA(VLOOKUP($BD205,Programma!$F$3:$Q$1107,12,0),"")</f>
        <v/>
      </c>
      <c r="BP205" s="363" t="str">
        <f>_xlfn.IFNA(VLOOKUP($BD205,Programma!$F$3:$R$1107,13,0),"")</f>
        <v/>
      </c>
      <c r="BQ205" s="363" t="str">
        <f>_xlfn.IFNA(VLOOKUP($BD205,Programma!$F$3:$S$1107,14,0),"")</f>
        <v/>
      </c>
      <c r="BR205" s="363" t="str">
        <f>_xlfn.IFNA(VLOOKUP($BD205,Programma!$F$3:$T$1107,15,0),"")</f>
        <v/>
      </c>
      <c r="BS205" s="363" t="str">
        <f>_xlfn.IFNA(VLOOKUP($BD205,Programma!$F$3:$U$1107,16,0),"")</f>
        <v/>
      </c>
      <c r="BT205" s="363" t="str">
        <f>_xlfn.IFNA(VLOOKUP($BD205,Programma!$F$3:$V$1107,17,0),"")</f>
        <v/>
      </c>
      <c r="BU205" s="363" t="str">
        <f>_xlfn.IFNA(VLOOKUP($BD205,Programma!$F$3:$W$1107,18,0),"")</f>
        <v/>
      </c>
      <c r="BV205" s="363" t="str">
        <f>_xlfn.IFNA(VLOOKUP($BD205,Programma!$F$3:$X$1107,19,0),"")</f>
        <v/>
      </c>
      <c r="BW205" s="363" t="str">
        <f>_xlfn.IFNA(VLOOKUP($BD205,Programma!$F$3:$Y$1107,20,0),"")</f>
        <v/>
      </c>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row>
    <row r="206" spans="1:220" ht="15" customHeight="1">
      <c r="A206" s="21">
        <v>4</v>
      </c>
      <c r="B206" s="157" t="str">
        <f>VLOOKUP(Ruimtestaat[[#This Row],[Code]],Locaties[[Code]:[Locatie]],2,FALSE)</f>
        <v>Sint-Maartenscollege</v>
      </c>
      <c r="C206" s="157" t="str">
        <f>VLOOKUP(Ruimtestaat[[#This Row],[Code]],Locaties[[#All],[Code]:[Adres]],4,FALSE)</f>
        <v xml:space="preserve">Aart v.d. Leeuwkade 14 </v>
      </c>
      <c r="D206" s="157" t="str">
        <f>VLOOKUP(Ruimtestaat[[#This Row],[Code]],Locaties[[#All],[Code]:[Postcode]],5,FALSE)</f>
        <v>2274 KX</v>
      </c>
      <c r="E206" s="157" t="str">
        <f>VLOOKUP(Ruimtestaat[[#This Row],[Code]],Locaties[#All],6,FALSE)</f>
        <v>Voorburg</v>
      </c>
      <c r="F206" s="33"/>
      <c r="G206" s="33" t="s">
        <v>1632</v>
      </c>
      <c r="H206" s="21">
        <v>30</v>
      </c>
      <c r="I206" s="62" t="s">
        <v>1805</v>
      </c>
      <c r="J206" s="21">
        <v>10</v>
      </c>
      <c r="K206" s="62" t="str">
        <f>VLOOKUP(Ruimtestaat[[#This Row],[Ruimte code]],Ruimtegroepen[[#All],[Code]:[Ruimte omschrijving]],2,FALSE)</f>
        <v>Trappenhuizen/lift</v>
      </c>
      <c r="L206" s="33" t="s">
        <v>102</v>
      </c>
      <c r="M206" s="367" t="s">
        <v>2502</v>
      </c>
      <c r="N206" s="140">
        <v>115</v>
      </c>
      <c r="O206" s="140"/>
      <c r="P206" s="125" t="str">
        <f>VLOOKUP(Ruimtestaat[[#This Row],[Ruimte code]],Ruimtegroepen[],4,FALSE)</f>
        <v>Ve</v>
      </c>
      <c r="R206" s="33">
        <v>40</v>
      </c>
      <c r="S206" s="33" t="s">
        <v>2</v>
      </c>
      <c r="T206" s="33">
        <f>IF(R206&gt;0,IF(RIGHT(Ruimtestaat[[#This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6" s="33">
        <f>IF(T206&gt;0,VLOOKUP($J206,Ruimtegroepen[],3,FALSE)*VLOOKUP($L206,Vloersoorten[],3,FALSE)*VLOOKUP($S206,Frequenties[],3,FALSE)*VLOOKUP($A206,Locaties[],3,FALSE),0)</f>
        <v>0</v>
      </c>
      <c r="V206" s="33">
        <f>Ruimtestaat[[#This Row],[Uitvoeringen werkdagen]]*Ruimtestaat[[#This Row],[Oppervlak (netto)]]</f>
        <v>23000</v>
      </c>
      <c r="W206" s="154">
        <f>IF(U206&gt;0,Ruimtestaat[[#This Row],[Prest. (m2 /jaar) werkdagen]]/Ruimtestaat[[#This Row],[Norm (m2/uur) werkdagen]],0)</f>
        <v>0</v>
      </c>
      <c r="X206" s="155">
        <f>Ruimtestaat[[#This Row],[uren / jaar werkdagen]]*Tariefsopbouw!$E$35</f>
        <v>0</v>
      </c>
      <c r="Y206" s="33"/>
      <c r="Z206" s="33">
        <f>IF(Ruimtestaat[[#This Row],[Frequentie weekend]]&gt;0,VALUE(LEFT(Y206,1))*R206,0)</f>
        <v>0</v>
      </c>
      <c r="AA206" s="97">
        <f>IF($Z206&gt;0,VLOOKUP($J206,Ruimtegroepen[],3,FALSE)*VLOOKUP($L206,Vloersoorten[],3,FALSE)*VLOOKUP($Y206,Frequenties[],3,FALSE)*VLOOKUP(Ruimtestaat[[#This Row],[Code]],Locaties[],3,FALSE),0)</f>
        <v>0</v>
      </c>
      <c r="AB206" s="97">
        <f>Ruimtestaat[[#This Row],[Uitvoeringen weekend]]*Ruimtestaat[[#This Row],[Oppervlak (netto)]]</f>
        <v>0</v>
      </c>
      <c r="AC206" s="97">
        <f>IF(AA206&gt;0,Ruimtestaat[[#This Row],[Prest. (m2 /jaar) weekend]]/Ruimtestaat[[#This Row],[Norm (m2/uur) weekend]],0)</f>
        <v>0</v>
      </c>
      <c r="AD206" s="155">
        <f>Ruimtestaat[[#This Row],[uren / jaar weekend]]*Tariefsopbouw!$D$40</f>
        <v>0</v>
      </c>
      <c r="AE206" s="154">
        <f>Ruimtestaat[[#This Row],[Prest. (m2 /jaar) weekend]]+Ruimtestaat[[#This Row],[Prest. (m2 /jaar) werkdagen]]</f>
        <v>23000</v>
      </c>
      <c r="AF206" s="154">
        <f>Ruimtestaat[[#This Row],[uren / jaar weekend]]+Ruimtestaat[[#This Row],[uren / jaar werkdagen]]</f>
        <v>0</v>
      </c>
      <c r="AG206" s="69">
        <f>Ruimtestaat[[#This Row],[kosten / jaar weekend]]+Ruimtestaat[[#This Row],[kosten / jaar werkdagen]]</f>
        <v>0</v>
      </c>
      <c r="AH206" s="69"/>
      <c r="AI206" s="256" t="str">
        <f>IF(Ruimtestaat[[#This Row],[Frequentie werkdagen]]="","",_xlfn.CONCAT(Ruimtestaat[[#This Row],[Ruimte code]],"-",Ruimtestaat[[#This Row],[Frequentie werkdagen]]," ",Ruimtestaat[[#This Row],[Vloer code]]))</f>
        <v>10-5w S</v>
      </c>
      <c r="AJ206" s="363" t="str">
        <f>_xlfn.IFNA(VLOOKUP($AI206,Programma!$F$3:$G$1107,2,0),"")</f>
        <v>_</v>
      </c>
      <c r="AK206" s="363" t="str">
        <f>_xlfn.IFNA(VLOOKUP($AI206,Programma!$F$3:$H$1107,3,0),"")</f>
        <v>_</v>
      </c>
      <c r="AL206" s="363" t="str">
        <f>_xlfn.IFNA(VLOOKUP($AI206,Programma!$F$3:$I$1107,4,0),"")</f>
        <v>4w</v>
      </c>
      <c r="AM206" s="363" t="str">
        <f>_xlfn.IFNA(VLOOKUP($AI206,Programma!$F$3:$J$1107,5,0),"")</f>
        <v>1w</v>
      </c>
      <c r="AN206" s="363" t="str">
        <f>_xlfn.IFNA(VLOOKUP($AI206,Programma!$F$3:$K$1107,6,0),"")</f>
        <v>4j</v>
      </c>
      <c r="AO206" s="363" t="str">
        <f>_xlfn.IFNA(VLOOKUP($AI206,Programma!$F$3:$L$1107,7,0),"")</f>
        <v>_</v>
      </c>
      <c r="AP206" s="363" t="str">
        <f>_xlfn.IFNA(VLOOKUP($AI206,Programma!$F$3:$M$1107,8,0),"")</f>
        <v>_</v>
      </c>
      <c r="AQ206" s="363" t="str">
        <f>_xlfn.IFNA(VLOOKUP($AI206,Programma!$F$3:$N$1107,9,0),"")</f>
        <v>_</v>
      </c>
      <c r="AR206" s="363" t="str">
        <f>_xlfn.IFNA(VLOOKUP($AI206,Programma!$F$3:$O$1107,10,0),"")</f>
        <v>5w</v>
      </c>
      <c r="AS206" s="363" t="str">
        <f>_xlfn.IFNA(VLOOKUP($AI206,Programma!$F$3:$P$1107,11,0),"")</f>
        <v>5w</v>
      </c>
      <c r="AT206" s="363" t="str">
        <f>_xlfn.IFNA(VLOOKUP($AI206,Programma!$F$3:$Q$1107,12,0),"")</f>
        <v>1w</v>
      </c>
      <c r="AU206" s="363" t="str">
        <f>_xlfn.IFNA(VLOOKUP($AI206,Programma!$F$3:$R$1107,13,0),"")</f>
        <v>1w</v>
      </c>
      <c r="AV206" s="363" t="str">
        <f>_xlfn.IFNA(VLOOKUP($AI206,Programma!$F$3:$S$1107,14,0),"")</f>
        <v>1m</v>
      </c>
      <c r="AW206" s="363" t="str">
        <f>_xlfn.IFNA(VLOOKUP($AI206,Programma!$F$3:$T$1107,15,0),"")</f>
        <v>2j</v>
      </c>
      <c r="AX206" s="363" t="str">
        <f>_xlfn.IFNA(VLOOKUP($AI206,Programma!$F$3:$U$1107,16,0),"")</f>
        <v>1j</v>
      </c>
      <c r="AY206" s="363" t="str">
        <f>_xlfn.IFNA(VLOOKUP($AI206,Programma!$F$3:$V$1107,17,0),"")</f>
        <v>_</v>
      </c>
      <c r="AZ206" s="363" t="str">
        <f>_xlfn.IFNA(VLOOKUP($AI206,Programma!$F$3:$W$1107,18,0),"")</f>
        <v>_</v>
      </c>
      <c r="BA206" s="363" t="str">
        <f>_xlfn.IFNA(VLOOKUP($AI206,Programma!$F$3:$X$1107,19,0),"")</f>
        <v>_</v>
      </c>
      <c r="BB206" s="363" t="str">
        <f>_xlfn.IFNA(VLOOKUP($AI206,Programma!$F$3:$Y$1107,20,0),"")</f>
        <v>_</v>
      </c>
      <c r="BC206" s="257"/>
      <c r="BD206" s="256" t="str">
        <f>IF(Ruimtestaat[[#This Row],[Frequentie weekend]]="","",_xlfn.CONCAT(Ruimtestaat[[#This Row],[Ruimte code]],"-",Ruimtestaat[[#This Row],[Frequentie weekend]]," ",Ruimtestaat[[#This Row],[Vloer code]]))</f>
        <v/>
      </c>
      <c r="BE206" s="363" t="str">
        <f>_xlfn.IFNA(VLOOKUP($BD206,Programma!$F$3:$G$1107,2,0),"")</f>
        <v/>
      </c>
      <c r="BF206" s="363" t="str">
        <f>_xlfn.IFNA(VLOOKUP($BD206,Programma!$F$3:$H$1107,3,0),"")</f>
        <v/>
      </c>
      <c r="BG206" s="363" t="str">
        <f>_xlfn.IFNA(VLOOKUP($BD206,Programma!$F$3:$I$1107,4,0),"")</f>
        <v/>
      </c>
      <c r="BH206" s="363" t="str">
        <f>_xlfn.IFNA(VLOOKUP($BD206,Programma!$F$3:$J$1107,5,0),"")</f>
        <v/>
      </c>
      <c r="BI206" s="363" t="str">
        <f>_xlfn.IFNA(VLOOKUP($BD206,Programma!$F$3:$K$1107,6,0),"")</f>
        <v/>
      </c>
      <c r="BJ206" s="363" t="str">
        <f>_xlfn.IFNA(VLOOKUP($BD206,Programma!$F$3:$L$1107,7,0),"")</f>
        <v/>
      </c>
      <c r="BK206" s="363" t="str">
        <f>_xlfn.IFNA(VLOOKUP($BD206,Programma!$F$3:$M$1107,8,0),"")</f>
        <v/>
      </c>
      <c r="BL206" s="363" t="str">
        <f>_xlfn.IFNA(VLOOKUP($BD206,Programma!$F$3:$N$1107,9,0),"")</f>
        <v/>
      </c>
      <c r="BM206" s="363" t="str">
        <f>_xlfn.IFNA(VLOOKUP($BD206,Programma!$F$3:$O$1107,10,0),"")</f>
        <v/>
      </c>
      <c r="BN206" s="363" t="str">
        <f>_xlfn.IFNA(VLOOKUP($BD206,Programma!$F$3:$P$1107,11,0),"")</f>
        <v/>
      </c>
      <c r="BO206" s="363" t="str">
        <f>_xlfn.IFNA(VLOOKUP($BD206,Programma!$F$3:$Q$1107,12,0),"")</f>
        <v/>
      </c>
      <c r="BP206" s="363" t="str">
        <f>_xlfn.IFNA(VLOOKUP($BD206,Programma!$F$3:$R$1107,13,0),"")</f>
        <v/>
      </c>
      <c r="BQ206" s="363" t="str">
        <f>_xlfn.IFNA(VLOOKUP($BD206,Programma!$F$3:$S$1107,14,0),"")</f>
        <v/>
      </c>
      <c r="BR206" s="363" t="str">
        <f>_xlfn.IFNA(VLOOKUP($BD206,Programma!$F$3:$T$1107,15,0),"")</f>
        <v/>
      </c>
      <c r="BS206" s="363" t="str">
        <f>_xlfn.IFNA(VLOOKUP($BD206,Programma!$F$3:$U$1107,16,0),"")</f>
        <v/>
      </c>
      <c r="BT206" s="363" t="str">
        <f>_xlfn.IFNA(VLOOKUP($BD206,Programma!$F$3:$V$1107,17,0),"")</f>
        <v/>
      </c>
      <c r="BU206" s="363" t="str">
        <f>_xlfn.IFNA(VLOOKUP($BD206,Programma!$F$3:$W$1107,18,0),"")</f>
        <v/>
      </c>
      <c r="BV206" s="363" t="str">
        <f>_xlfn.IFNA(VLOOKUP($BD206,Programma!$F$3:$X$1107,19,0),"")</f>
        <v/>
      </c>
      <c r="BW206" s="363" t="str">
        <f>_xlfn.IFNA(VLOOKUP($BD206,Programma!$F$3:$Y$1107,20,0),"")</f>
        <v/>
      </c>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row>
    <row r="207" spans="1:220" ht="15" customHeight="1">
      <c r="A207" s="21">
        <v>4</v>
      </c>
      <c r="B207" s="157" t="str">
        <f>VLOOKUP(Ruimtestaat[[#This Row],[Code]],Locaties[[Code]:[Locatie]],2,FALSE)</f>
        <v>Sint-Maartenscollege</v>
      </c>
      <c r="C207" s="157" t="str">
        <f>VLOOKUP(Ruimtestaat[[#This Row],[Code]],Locaties[[#All],[Code]:[Adres]],4,FALSE)</f>
        <v xml:space="preserve">Aart v.d. Leeuwkade 14 </v>
      </c>
      <c r="D207" s="157" t="str">
        <f>VLOOKUP(Ruimtestaat[[#This Row],[Code]],Locaties[[#All],[Code]:[Postcode]],5,FALSE)</f>
        <v>2274 KX</v>
      </c>
      <c r="E207" s="157" t="str">
        <f>VLOOKUP(Ruimtestaat[[#This Row],[Code]],Locaties[#All],6,FALSE)</f>
        <v>Voorburg</v>
      </c>
      <c r="F207" s="33"/>
      <c r="G207" s="33" t="s">
        <v>1632</v>
      </c>
      <c r="I207" s="62" t="s">
        <v>1876</v>
      </c>
      <c r="J207" s="21">
        <v>10</v>
      </c>
      <c r="K207" s="62" t="str">
        <f>VLOOKUP(Ruimtestaat[[#This Row],[Ruimte code]],Ruimtegroepen[[#All],[Code]:[Ruimte omschrijving]],2,FALSE)</f>
        <v>Trappenhuizen/lift</v>
      </c>
      <c r="L207" s="33" t="s">
        <v>101</v>
      </c>
      <c r="M207" s="367" t="s">
        <v>2506</v>
      </c>
      <c r="N207" s="140">
        <v>115</v>
      </c>
      <c r="O207" s="140"/>
      <c r="P207" s="125" t="str">
        <f>VLOOKUP(Ruimtestaat[[#This Row],[Ruimte code]],Ruimtegroepen[],4,FALSE)</f>
        <v>Ve</v>
      </c>
      <c r="R207" s="33">
        <v>40</v>
      </c>
      <c r="S207" s="33" t="s">
        <v>2</v>
      </c>
      <c r="T207" s="33">
        <f>IF(R207&gt;0,IF(RIGHT(Ruimtestaat[[#This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7" s="33">
        <f>IF(T207&gt;0,VLOOKUP($J207,Ruimtegroepen[],3,FALSE)*VLOOKUP($L207,Vloersoorten[],3,FALSE)*VLOOKUP($S207,Frequenties[],3,FALSE)*VLOOKUP($A207,Locaties[],3,FALSE),0)</f>
        <v>0</v>
      </c>
      <c r="V207" s="33">
        <f>Ruimtestaat[[#This Row],[Uitvoeringen werkdagen]]*Ruimtestaat[[#This Row],[Oppervlak (netto)]]</f>
        <v>23000</v>
      </c>
      <c r="W207" s="154">
        <f>IF(U207&gt;0,Ruimtestaat[[#This Row],[Prest. (m2 /jaar) werkdagen]]/Ruimtestaat[[#This Row],[Norm (m2/uur) werkdagen]],0)</f>
        <v>0</v>
      </c>
      <c r="X207" s="155">
        <f>Ruimtestaat[[#This Row],[uren / jaar werkdagen]]*Tariefsopbouw!$E$35</f>
        <v>0</v>
      </c>
      <c r="Y207" s="33"/>
      <c r="Z207" s="33">
        <f>IF(Ruimtestaat[[#This Row],[Frequentie weekend]]&gt;0,VALUE(LEFT(Y207,1))*R207,0)</f>
        <v>0</v>
      </c>
      <c r="AA207" s="97">
        <f>IF($Z207&gt;0,VLOOKUP($J207,Ruimtegroepen[],3,FALSE)*VLOOKUP($L207,Vloersoorten[],3,FALSE)*VLOOKUP($Y207,Frequenties[],3,FALSE)*VLOOKUP(Ruimtestaat[[#This Row],[Code]],Locaties[],3,FALSE),0)</f>
        <v>0</v>
      </c>
      <c r="AB207" s="97">
        <f>Ruimtestaat[[#This Row],[Uitvoeringen weekend]]*Ruimtestaat[[#This Row],[Oppervlak (netto)]]</f>
        <v>0</v>
      </c>
      <c r="AC207" s="97">
        <f>IF(AA207&gt;0,Ruimtestaat[[#This Row],[Prest. (m2 /jaar) weekend]]/Ruimtestaat[[#This Row],[Norm (m2/uur) weekend]],0)</f>
        <v>0</v>
      </c>
      <c r="AD207" s="155">
        <f>Ruimtestaat[[#This Row],[uren / jaar weekend]]*Tariefsopbouw!$D$40</f>
        <v>0</v>
      </c>
      <c r="AE207" s="154">
        <f>Ruimtestaat[[#This Row],[Prest. (m2 /jaar) weekend]]+Ruimtestaat[[#This Row],[Prest. (m2 /jaar) werkdagen]]</f>
        <v>23000</v>
      </c>
      <c r="AF207" s="154">
        <f>Ruimtestaat[[#This Row],[uren / jaar weekend]]+Ruimtestaat[[#This Row],[uren / jaar werkdagen]]</f>
        <v>0</v>
      </c>
      <c r="AG207" s="69">
        <f>Ruimtestaat[[#This Row],[kosten / jaar weekend]]+Ruimtestaat[[#This Row],[kosten / jaar werkdagen]]</f>
        <v>0</v>
      </c>
      <c r="AH207" s="69"/>
      <c r="AI207" s="256" t="str">
        <f>IF(Ruimtestaat[[#This Row],[Frequentie werkdagen]]="","",_xlfn.CONCAT(Ruimtestaat[[#This Row],[Ruimte code]],"-",Ruimtestaat[[#This Row],[Frequentie werkdagen]]," ",Ruimtestaat[[#This Row],[Vloer code]]))</f>
        <v>10-5w L</v>
      </c>
      <c r="AJ207" s="363" t="str">
        <f>_xlfn.IFNA(VLOOKUP($AI207,Programma!$F$3:$G$1107,2,0),"")</f>
        <v>_</v>
      </c>
      <c r="AK207" s="363" t="str">
        <f>_xlfn.IFNA(VLOOKUP($AI207,Programma!$F$3:$H$1107,3,0),"")</f>
        <v>_</v>
      </c>
      <c r="AL207" s="363" t="str">
        <f>_xlfn.IFNA(VLOOKUP($AI207,Programma!$F$3:$I$1107,4,0),"")</f>
        <v>4w</v>
      </c>
      <c r="AM207" s="363" t="str">
        <f>_xlfn.IFNA(VLOOKUP($AI207,Programma!$F$3:$J$1107,5,0),"")</f>
        <v>1w</v>
      </c>
      <c r="AN207" s="363" t="str">
        <f>_xlfn.IFNA(VLOOKUP($AI207,Programma!$F$3:$K$1107,6,0),"")</f>
        <v>_</v>
      </c>
      <c r="AO207" s="363" t="str">
        <f>_xlfn.IFNA(VLOOKUP($AI207,Programma!$F$3:$L$1107,7,0),"")</f>
        <v>_</v>
      </c>
      <c r="AP207" s="363" t="str">
        <f>_xlfn.IFNA(VLOOKUP($AI207,Programma!$F$3:$M$1107,8,0),"")</f>
        <v>_</v>
      </c>
      <c r="AQ207" s="363" t="str">
        <f>_xlfn.IFNA(VLOOKUP($AI207,Programma!$F$3:$N$1107,9,0),"")</f>
        <v>_</v>
      </c>
      <c r="AR207" s="363" t="str">
        <f>_xlfn.IFNA(VLOOKUP($AI207,Programma!$F$3:$O$1107,10,0),"")</f>
        <v>5w</v>
      </c>
      <c r="AS207" s="363" t="str">
        <f>_xlfn.IFNA(VLOOKUP($AI207,Programma!$F$3:$P$1107,11,0),"")</f>
        <v>5w</v>
      </c>
      <c r="AT207" s="363" t="str">
        <f>_xlfn.IFNA(VLOOKUP($AI207,Programma!$F$3:$Q$1107,12,0),"")</f>
        <v>1w</v>
      </c>
      <c r="AU207" s="363" t="str">
        <f>_xlfn.IFNA(VLOOKUP($AI207,Programma!$F$3:$R$1107,13,0),"")</f>
        <v>1w</v>
      </c>
      <c r="AV207" s="363" t="str">
        <f>_xlfn.IFNA(VLOOKUP($AI207,Programma!$F$3:$S$1107,14,0),"")</f>
        <v>1m</v>
      </c>
      <c r="AW207" s="363" t="str">
        <f>_xlfn.IFNA(VLOOKUP($AI207,Programma!$F$3:$T$1107,15,0),"")</f>
        <v>2j</v>
      </c>
      <c r="AX207" s="363" t="str">
        <f>_xlfn.IFNA(VLOOKUP($AI207,Programma!$F$3:$U$1107,16,0),"")</f>
        <v>1j</v>
      </c>
      <c r="AY207" s="363" t="str">
        <f>_xlfn.IFNA(VLOOKUP($AI207,Programma!$F$3:$V$1107,17,0),"")</f>
        <v>_</v>
      </c>
      <c r="AZ207" s="363" t="str">
        <f>_xlfn.IFNA(VLOOKUP($AI207,Programma!$F$3:$W$1107,18,0),"")</f>
        <v>_</v>
      </c>
      <c r="BA207" s="363" t="str">
        <f>_xlfn.IFNA(VLOOKUP($AI207,Programma!$F$3:$X$1107,19,0),"")</f>
        <v>_</v>
      </c>
      <c r="BB207" s="363" t="str">
        <f>_xlfn.IFNA(VLOOKUP($AI207,Programma!$F$3:$Y$1107,20,0),"")</f>
        <v>_</v>
      </c>
      <c r="BC207" s="257"/>
      <c r="BD207" s="256" t="str">
        <f>IF(Ruimtestaat[[#This Row],[Frequentie weekend]]="","",_xlfn.CONCAT(Ruimtestaat[[#This Row],[Ruimte code]],"-",Ruimtestaat[[#This Row],[Frequentie weekend]]," ",Ruimtestaat[[#This Row],[Vloer code]]))</f>
        <v/>
      </c>
      <c r="BE207" s="363" t="str">
        <f>_xlfn.IFNA(VLOOKUP($BD207,Programma!$F$3:$G$1107,2,0),"")</f>
        <v/>
      </c>
      <c r="BF207" s="363" t="str">
        <f>_xlfn.IFNA(VLOOKUP($BD207,Programma!$F$3:$H$1107,3,0),"")</f>
        <v/>
      </c>
      <c r="BG207" s="363" t="str">
        <f>_xlfn.IFNA(VLOOKUP($BD207,Programma!$F$3:$I$1107,4,0),"")</f>
        <v/>
      </c>
      <c r="BH207" s="363" t="str">
        <f>_xlfn.IFNA(VLOOKUP($BD207,Programma!$F$3:$J$1107,5,0),"")</f>
        <v/>
      </c>
      <c r="BI207" s="363" t="str">
        <f>_xlfn.IFNA(VLOOKUP($BD207,Programma!$F$3:$K$1107,6,0),"")</f>
        <v/>
      </c>
      <c r="BJ207" s="363" t="str">
        <f>_xlfn.IFNA(VLOOKUP($BD207,Programma!$F$3:$L$1107,7,0),"")</f>
        <v/>
      </c>
      <c r="BK207" s="363" t="str">
        <f>_xlfn.IFNA(VLOOKUP($BD207,Programma!$F$3:$M$1107,8,0),"")</f>
        <v/>
      </c>
      <c r="BL207" s="363" t="str">
        <f>_xlfn.IFNA(VLOOKUP($BD207,Programma!$F$3:$N$1107,9,0),"")</f>
        <v/>
      </c>
      <c r="BM207" s="363" t="str">
        <f>_xlfn.IFNA(VLOOKUP($BD207,Programma!$F$3:$O$1107,10,0),"")</f>
        <v/>
      </c>
      <c r="BN207" s="363" t="str">
        <f>_xlfn.IFNA(VLOOKUP($BD207,Programma!$F$3:$P$1107,11,0),"")</f>
        <v/>
      </c>
      <c r="BO207" s="363" t="str">
        <f>_xlfn.IFNA(VLOOKUP($BD207,Programma!$F$3:$Q$1107,12,0),"")</f>
        <v/>
      </c>
      <c r="BP207" s="363" t="str">
        <f>_xlfn.IFNA(VLOOKUP($BD207,Programma!$F$3:$R$1107,13,0),"")</f>
        <v/>
      </c>
      <c r="BQ207" s="363" t="str">
        <f>_xlfn.IFNA(VLOOKUP($BD207,Programma!$F$3:$S$1107,14,0),"")</f>
        <v/>
      </c>
      <c r="BR207" s="363" t="str">
        <f>_xlfn.IFNA(VLOOKUP($BD207,Programma!$F$3:$T$1107,15,0),"")</f>
        <v/>
      </c>
      <c r="BS207" s="363" t="str">
        <f>_xlfn.IFNA(VLOOKUP($BD207,Programma!$F$3:$U$1107,16,0),"")</f>
        <v/>
      </c>
      <c r="BT207" s="363" t="str">
        <f>_xlfn.IFNA(VLOOKUP($BD207,Programma!$F$3:$V$1107,17,0),"")</f>
        <v/>
      </c>
      <c r="BU207" s="363" t="str">
        <f>_xlfn.IFNA(VLOOKUP($BD207,Programma!$F$3:$W$1107,18,0),"")</f>
        <v/>
      </c>
      <c r="BV207" s="363" t="str">
        <f>_xlfn.IFNA(VLOOKUP($BD207,Programma!$F$3:$X$1107,19,0),"")</f>
        <v/>
      </c>
      <c r="BW207" s="363" t="str">
        <f>_xlfn.IFNA(VLOOKUP($BD207,Programma!$F$3:$Y$1107,20,0),"")</f>
        <v/>
      </c>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row>
    <row r="208" spans="1:220" ht="15" customHeight="1">
      <c r="A208" s="21">
        <v>4</v>
      </c>
      <c r="B208" s="157" t="str">
        <f>VLOOKUP(Ruimtestaat[[#This Row],[Code]],Locaties[[Code]:[Locatie]],2,FALSE)</f>
        <v>Sint-Maartenscollege</v>
      </c>
      <c r="C208" s="157" t="str">
        <f>VLOOKUP(Ruimtestaat[[#This Row],[Code]],Locaties[[#All],[Code]:[Adres]],4,FALSE)</f>
        <v xml:space="preserve">Aart v.d. Leeuwkade 14 </v>
      </c>
      <c r="D208" s="157" t="str">
        <f>VLOOKUP(Ruimtestaat[[#This Row],[Code]],Locaties[[#All],[Code]:[Postcode]],5,FALSE)</f>
        <v>2274 KX</v>
      </c>
      <c r="E208" s="157" t="str">
        <f>VLOOKUP(Ruimtestaat[[#This Row],[Code]],Locaties[#All],6,FALSE)</f>
        <v>Voorburg</v>
      </c>
      <c r="F208" s="33"/>
      <c r="G208" s="33" t="s">
        <v>1632</v>
      </c>
      <c r="H208" s="21">
        <v>31</v>
      </c>
      <c r="I208" s="62" t="s">
        <v>1637</v>
      </c>
      <c r="J208" s="21">
        <v>10</v>
      </c>
      <c r="K208" s="62" t="str">
        <f>VLOOKUP(Ruimtestaat[[#This Row],[Ruimte code]],Ruimtegroepen[[#All],[Code]:[Ruimte omschrijving]],2,FALSE)</f>
        <v>Trappenhuizen/lift</v>
      </c>
      <c r="L208" s="33" t="s">
        <v>101</v>
      </c>
      <c r="M208" s="367" t="s">
        <v>2495</v>
      </c>
      <c r="N208" s="140">
        <v>3</v>
      </c>
      <c r="O208" s="140"/>
      <c r="P208" s="125" t="str">
        <f>VLOOKUP(Ruimtestaat[[#This Row],[Ruimte code]],Ruimtegroepen[],4,FALSE)</f>
        <v>Ve</v>
      </c>
      <c r="R208" s="33">
        <v>40</v>
      </c>
      <c r="S208" s="33" t="s">
        <v>2</v>
      </c>
      <c r="T208" s="33">
        <f>IF(R208&gt;0,IF(RIGHT(Ruimtestaat[[#This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8" s="33">
        <f>IF(T208&gt;0,VLOOKUP($J208,Ruimtegroepen[],3,FALSE)*VLOOKUP($L208,Vloersoorten[],3,FALSE)*VLOOKUP($S208,Frequenties[],3,FALSE)*VLOOKUP($A208,Locaties[],3,FALSE),0)</f>
        <v>0</v>
      </c>
      <c r="V208" s="33">
        <f>Ruimtestaat[[#This Row],[Uitvoeringen werkdagen]]*Ruimtestaat[[#This Row],[Oppervlak (netto)]]</f>
        <v>600</v>
      </c>
      <c r="W208" s="154">
        <f>IF(U208&gt;0,Ruimtestaat[[#This Row],[Prest. (m2 /jaar) werkdagen]]/Ruimtestaat[[#This Row],[Norm (m2/uur) werkdagen]],0)</f>
        <v>0</v>
      </c>
      <c r="X208" s="155">
        <f>Ruimtestaat[[#This Row],[uren / jaar werkdagen]]*Tariefsopbouw!$E$35</f>
        <v>0</v>
      </c>
      <c r="Y208" s="33"/>
      <c r="Z208" s="33">
        <f>IF(Ruimtestaat[[#This Row],[Frequentie weekend]]&gt;0,VALUE(LEFT(Y208,1))*R208,0)</f>
        <v>0</v>
      </c>
      <c r="AA208" s="97">
        <f>IF($Z208&gt;0,VLOOKUP($J208,Ruimtegroepen[],3,FALSE)*VLOOKUP($L208,Vloersoorten[],3,FALSE)*VLOOKUP($Y208,Frequenties[],3,FALSE)*VLOOKUP(Ruimtestaat[[#This Row],[Code]],Locaties[],3,FALSE),0)</f>
        <v>0</v>
      </c>
      <c r="AB208" s="97">
        <f>Ruimtestaat[[#This Row],[Uitvoeringen weekend]]*Ruimtestaat[[#This Row],[Oppervlak (netto)]]</f>
        <v>0</v>
      </c>
      <c r="AC208" s="97">
        <f>IF(AA208&gt;0,Ruimtestaat[[#This Row],[Prest. (m2 /jaar) weekend]]/Ruimtestaat[[#This Row],[Norm (m2/uur) weekend]],0)</f>
        <v>0</v>
      </c>
      <c r="AD208" s="155">
        <f>Ruimtestaat[[#This Row],[uren / jaar weekend]]*Tariefsopbouw!$D$40</f>
        <v>0</v>
      </c>
      <c r="AE208" s="154">
        <f>Ruimtestaat[[#This Row],[Prest. (m2 /jaar) weekend]]+Ruimtestaat[[#This Row],[Prest. (m2 /jaar) werkdagen]]</f>
        <v>600</v>
      </c>
      <c r="AF208" s="154">
        <f>Ruimtestaat[[#This Row],[uren / jaar weekend]]+Ruimtestaat[[#This Row],[uren / jaar werkdagen]]</f>
        <v>0</v>
      </c>
      <c r="AG208" s="69">
        <f>Ruimtestaat[[#This Row],[kosten / jaar weekend]]+Ruimtestaat[[#This Row],[kosten / jaar werkdagen]]</f>
        <v>0</v>
      </c>
      <c r="AH208" s="69"/>
      <c r="AI208" s="256" t="str">
        <f>IF(Ruimtestaat[[#This Row],[Frequentie werkdagen]]="","",_xlfn.CONCAT(Ruimtestaat[[#This Row],[Ruimte code]],"-",Ruimtestaat[[#This Row],[Frequentie werkdagen]]," ",Ruimtestaat[[#This Row],[Vloer code]]))</f>
        <v>10-5w L</v>
      </c>
      <c r="AJ208" s="300" t="str">
        <f>_xlfn.IFNA(VLOOKUP($AI208,Programma!$F$3:$G$1107,2,0),"")</f>
        <v>_</v>
      </c>
      <c r="AK208" s="300" t="str">
        <f>_xlfn.IFNA(VLOOKUP($AI208,Programma!$F$3:$H$1107,3,0),"")</f>
        <v>_</v>
      </c>
      <c r="AL208" s="300" t="str">
        <f>_xlfn.IFNA(VLOOKUP($AI208,Programma!$F$3:$I$1107,4,0),"")</f>
        <v>4w</v>
      </c>
      <c r="AM208" s="300" t="str">
        <f>_xlfn.IFNA(VLOOKUP($AI208,Programma!$F$3:$J$1107,5,0),"")</f>
        <v>1w</v>
      </c>
      <c r="AN208" s="300" t="str">
        <f>_xlfn.IFNA(VLOOKUP($AI208,Programma!$F$3:$K$1107,6,0),"")</f>
        <v>_</v>
      </c>
      <c r="AO208" s="300" t="str">
        <f>_xlfn.IFNA(VLOOKUP($AI208,Programma!$F$3:$L$1107,7,0),"")</f>
        <v>_</v>
      </c>
      <c r="AP208" s="300" t="str">
        <f>_xlfn.IFNA(VLOOKUP($AI208,Programma!$F$3:$M$1107,8,0),"")</f>
        <v>_</v>
      </c>
      <c r="AQ208" s="300" t="str">
        <f>_xlfn.IFNA(VLOOKUP($AI208,Programma!$F$3:$N$1107,9,0),"")</f>
        <v>_</v>
      </c>
      <c r="AR208" s="300" t="str">
        <f>_xlfn.IFNA(VLOOKUP($AI208,Programma!$F$3:$O$1107,10,0),"")</f>
        <v>5w</v>
      </c>
      <c r="AS208" s="300" t="str">
        <f>_xlfn.IFNA(VLOOKUP($AI208,Programma!$F$3:$P$1107,11,0),"")</f>
        <v>5w</v>
      </c>
      <c r="AT208" s="300" t="str">
        <f>_xlfn.IFNA(VLOOKUP($AI208,Programma!$F$3:$Q$1107,12,0),"")</f>
        <v>1w</v>
      </c>
      <c r="AU208" s="300" t="str">
        <f>_xlfn.IFNA(VLOOKUP($AI208,Programma!$F$3:$R$1107,13,0),"")</f>
        <v>1w</v>
      </c>
      <c r="AV208" s="300" t="str">
        <f>_xlfn.IFNA(VLOOKUP($AI208,Programma!$F$3:$S$1107,14,0),"")</f>
        <v>1m</v>
      </c>
      <c r="AW208" s="300" t="str">
        <f>_xlfn.IFNA(VLOOKUP($AI208,Programma!$F$3:$T$1107,15,0),"")</f>
        <v>2j</v>
      </c>
      <c r="AX208" s="300" t="str">
        <f>_xlfn.IFNA(VLOOKUP($AI208,Programma!$F$3:$U$1107,16,0),"")</f>
        <v>1j</v>
      </c>
      <c r="AY208" s="300" t="str">
        <f>_xlfn.IFNA(VLOOKUP($AI208,Programma!$F$3:$V$1107,17,0),"")</f>
        <v>_</v>
      </c>
      <c r="AZ208" s="300" t="str">
        <f>_xlfn.IFNA(VLOOKUP($AI208,Programma!$F$3:$W$1107,18,0),"")</f>
        <v>_</v>
      </c>
      <c r="BA208" s="300" t="str">
        <f>_xlfn.IFNA(VLOOKUP($AI208,Programma!$F$3:$X$1107,19,0),"")</f>
        <v>_</v>
      </c>
      <c r="BB208" s="300" t="str">
        <f>_xlfn.IFNA(VLOOKUP($AI208,Programma!$F$3:$Y$1107,20,0),"")</f>
        <v>_</v>
      </c>
      <c r="BC208" s="257"/>
      <c r="BD208" s="256" t="str">
        <f>IF(Ruimtestaat[[#This Row],[Frequentie weekend]]="","",_xlfn.CONCAT(Ruimtestaat[[#This Row],[Ruimte code]],"-",Ruimtestaat[[#This Row],[Frequentie weekend]]," ",Ruimtestaat[[#This Row],[Vloer code]]))</f>
        <v/>
      </c>
      <c r="BE208" s="300" t="str">
        <f>_xlfn.IFNA(VLOOKUP($BD208,Programma!$F$3:$G$1107,2,0),"")</f>
        <v/>
      </c>
      <c r="BF208" s="300" t="str">
        <f>_xlfn.IFNA(VLOOKUP($BD208,Programma!$F$3:$H$1107,3,0),"")</f>
        <v/>
      </c>
      <c r="BG208" s="300" t="str">
        <f>_xlfn.IFNA(VLOOKUP($BD208,Programma!$F$3:$I$1107,4,0),"")</f>
        <v/>
      </c>
      <c r="BH208" s="300" t="str">
        <f>_xlfn.IFNA(VLOOKUP($BD208,Programma!$F$3:$J$1107,5,0),"")</f>
        <v/>
      </c>
      <c r="BI208" s="300" t="str">
        <f>_xlfn.IFNA(VLOOKUP($BD208,Programma!$F$3:$K$1107,6,0),"")</f>
        <v/>
      </c>
      <c r="BJ208" s="300" t="str">
        <f>_xlfn.IFNA(VLOOKUP($BD208,Programma!$F$3:$L$1107,7,0),"")</f>
        <v/>
      </c>
      <c r="BK208" s="300" t="str">
        <f>_xlfn.IFNA(VLOOKUP($BD208,Programma!$F$3:$M$1107,8,0),"")</f>
        <v/>
      </c>
      <c r="BL208" s="300" t="str">
        <f>_xlfn.IFNA(VLOOKUP($BD208,Programma!$F$3:$N$1107,9,0),"")</f>
        <v/>
      </c>
      <c r="BM208" s="300" t="str">
        <f>_xlfn.IFNA(VLOOKUP($BD208,Programma!$F$3:$O$1107,10,0),"")</f>
        <v/>
      </c>
      <c r="BN208" s="300" t="str">
        <f>_xlfn.IFNA(VLOOKUP($BD208,Programma!$F$3:$P$1107,11,0),"")</f>
        <v/>
      </c>
      <c r="BO208" s="300" t="str">
        <f>_xlfn.IFNA(VLOOKUP($BD208,Programma!$F$3:$Q$1107,12,0),"")</f>
        <v/>
      </c>
      <c r="BP208" s="300" t="str">
        <f>_xlfn.IFNA(VLOOKUP($BD208,Programma!$F$3:$R$1107,13,0),"")</f>
        <v/>
      </c>
      <c r="BQ208" s="300" t="str">
        <f>_xlfn.IFNA(VLOOKUP($BD208,Programma!$F$3:$S$1107,14,0),"")</f>
        <v/>
      </c>
      <c r="BR208" s="300" t="str">
        <f>_xlfn.IFNA(VLOOKUP($BD208,Programma!$F$3:$T$1107,15,0),"")</f>
        <v/>
      </c>
      <c r="BS208" s="300" t="str">
        <f>_xlfn.IFNA(VLOOKUP($BD208,Programma!$F$3:$U$1107,16,0),"")</f>
        <v/>
      </c>
      <c r="BT208" s="300" t="str">
        <f>_xlfn.IFNA(VLOOKUP($BD208,Programma!$F$3:$V$1107,17,0),"")</f>
        <v/>
      </c>
      <c r="BU208" s="300" t="str">
        <f>_xlfn.IFNA(VLOOKUP($BD208,Programma!$F$3:$W$1107,18,0),"")</f>
        <v/>
      </c>
      <c r="BV208" s="300" t="str">
        <f>_xlfn.IFNA(VLOOKUP($BD208,Programma!$F$3:$X$1107,19,0),"")</f>
        <v/>
      </c>
      <c r="BW208" s="300" t="str">
        <f>_xlfn.IFNA(VLOOKUP($BD208,Programma!$F$3:$Y$1107,20,0),"")</f>
        <v/>
      </c>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row>
    <row r="209" spans="1:220" ht="15" customHeight="1">
      <c r="A209" s="21">
        <v>4</v>
      </c>
      <c r="B209" s="157" t="str">
        <f>VLOOKUP(Ruimtestaat[[#This Row],[Code]],Locaties[[Code]:[Locatie]],2,FALSE)</f>
        <v>Sint-Maartenscollege</v>
      </c>
      <c r="C209" s="157" t="str">
        <f>VLOOKUP(Ruimtestaat[[#This Row],[Code]],Locaties[[#All],[Code]:[Adres]],4,FALSE)</f>
        <v xml:space="preserve">Aart v.d. Leeuwkade 14 </v>
      </c>
      <c r="D209" s="157" t="str">
        <f>VLOOKUP(Ruimtestaat[[#This Row],[Code]],Locaties[[#All],[Code]:[Postcode]],5,FALSE)</f>
        <v>2274 KX</v>
      </c>
      <c r="E209" s="157" t="str">
        <f>VLOOKUP(Ruimtestaat[[#This Row],[Code]],Locaties[#All],6,FALSE)</f>
        <v>Voorburg</v>
      </c>
      <c r="F209" s="33"/>
      <c r="G209" s="33" t="s">
        <v>1632</v>
      </c>
      <c r="H209" s="21">
        <v>32</v>
      </c>
      <c r="I209" s="62" t="s">
        <v>1631</v>
      </c>
      <c r="J209" s="21">
        <v>2</v>
      </c>
      <c r="K209" s="62" t="str">
        <f>VLOOKUP(Ruimtestaat[[#This Row],[Ruimte code]],Ruimtegroepen[[#All],[Code]:[Ruimte omschrijving]],2,FALSE)</f>
        <v>Kantoren</v>
      </c>
      <c r="L209" s="33" t="s">
        <v>100</v>
      </c>
      <c r="M209" s="367" t="s">
        <v>2493</v>
      </c>
      <c r="N209" s="140">
        <v>22</v>
      </c>
      <c r="O209" s="140"/>
      <c r="P209" s="125" t="str">
        <f>VLOOKUP(Ruimtestaat[[#This Row],[Ruimte code]],Ruimtegroepen[],4,FALSE)</f>
        <v>Bu</v>
      </c>
      <c r="R209" s="33">
        <v>42</v>
      </c>
      <c r="S209" s="33" t="s">
        <v>18</v>
      </c>
      <c r="T209" s="33">
        <f>IF(R209&gt;0,IF(RIGHT(Ruimtestaat[[#This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09" s="33">
        <f>IF(T209&gt;0,VLOOKUP($J209,Ruimtegroepen[],3,FALSE)*VLOOKUP($L209,Vloersoorten[],3,FALSE)*VLOOKUP($S209,Frequenties[],3,FALSE)*VLOOKUP($A209,Locaties[],3,FALSE),0)</f>
        <v>0</v>
      </c>
      <c r="V209" s="33">
        <f>Ruimtestaat[[#This Row],[Uitvoeringen werkdagen]]*Ruimtestaat[[#This Row],[Oppervlak (netto)]]</f>
        <v>2772</v>
      </c>
      <c r="W209" s="154">
        <f>IF(U209&gt;0,Ruimtestaat[[#This Row],[Prest. (m2 /jaar) werkdagen]]/Ruimtestaat[[#This Row],[Norm (m2/uur) werkdagen]],0)</f>
        <v>0</v>
      </c>
      <c r="X209" s="155">
        <f>Ruimtestaat[[#This Row],[uren / jaar werkdagen]]*Tariefsopbouw!$E$35</f>
        <v>0</v>
      </c>
      <c r="Y209" s="33"/>
      <c r="Z209" s="33">
        <f>IF(Ruimtestaat[[#This Row],[Frequentie weekend]]&gt;0,VALUE(LEFT(Y209,1))*R209,0)</f>
        <v>0</v>
      </c>
      <c r="AA209" s="97">
        <f>IF($Z209&gt;0,VLOOKUP($J209,Ruimtegroepen[],3,FALSE)*VLOOKUP($L209,Vloersoorten[],3,FALSE)*VLOOKUP($Y209,Frequenties[],3,FALSE)*VLOOKUP(Ruimtestaat[[#This Row],[Code]],Locaties[],3,FALSE),0)</f>
        <v>0</v>
      </c>
      <c r="AB209" s="97">
        <f>Ruimtestaat[[#This Row],[Uitvoeringen weekend]]*Ruimtestaat[[#This Row],[Oppervlak (netto)]]</f>
        <v>0</v>
      </c>
      <c r="AC209" s="97">
        <f>IF(AA209&gt;0,Ruimtestaat[[#This Row],[Prest. (m2 /jaar) weekend]]/Ruimtestaat[[#This Row],[Norm (m2/uur) weekend]],0)</f>
        <v>0</v>
      </c>
      <c r="AD209" s="155">
        <f>Ruimtestaat[[#This Row],[uren / jaar weekend]]*Tariefsopbouw!$D$40</f>
        <v>0</v>
      </c>
      <c r="AE209" s="154">
        <f>Ruimtestaat[[#This Row],[Prest. (m2 /jaar) weekend]]+Ruimtestaat[[#This Row],[Prest. (m2 /jaar) werkdagen]]</f>
        <v>2772</v>
      </c>
      <c r="AF209" s="154">
        <f>Ruimtestaat[[#This Row],[uren / jaar weekend]]+Ruimtestaat[[#This Row],[uren / jaar werkdagen]]</f>
        <v>0</v>
      </c>
      <c r="AG209" s="69">
        <f>Ruimtestaat[[#This Row],[kosten / jaar weekend]]+Ruimtestaat[[#This Row],[kosten / jaar werkdagen]]</f>
        <v>0</v>
      </c>
      <c r="AH209" s="69"/>
      <c r="AI209" s="256" t="str">
        <f>IF(Ruimtestaat[[#This Row],[Frequentie werkdagen]]="","",_xlfn.CONCAT(Ruimtestaat[[#This Row],[Ruimte code]],"-",Ruimtestaat[[#This Row],[Frequentie werkdagen]]," ",Ruimtestaat[[#This Row],[Vloer code]]))</f>
        <v>2-3w T</v>
      </c>
      <c r="AJ209" s="300" t="str">
        <f>_xlfn.IFNA(VLOOKUP($AI209,Programma!$F$3:$G$1107,2,0),"")</f>
        <v>2w</v>
      </c>
      <c r="AK209" s="300" t="str">
        <f>_xlfn.IFNA(VLOOKUP($AI209,Programma!$F$3:$H$1107,3,0),"")</f>
        <v>1w</v>
      </c>
      <c r="AL209" s="300" t="str">
        <f>_xlfn.IFNA(VLOOKUP($AI209,Programma!$F$3:$I$1107,4,0),"")</f>
        <v>_</v>
      </c>
      <c r="AM209" s="300" t="str">
        <f>_xlfn.IFNA(VLOOKUP($AI209,Programma!$F$3:$J$1107,5,0),"")</f>
        <v>_</v>
      </c>
      <c r="AN209" s="300" t="str">
        <f>_xlfn.IFNA(VLOOKUP($AI209,Programma!$F$3:$K$1107,6,0),"")</f>
        <v>_</v>
      </c>
      <c r="AO209" s="300" t="str">
        <f>_xlfn.IFNA(VLOOKUP($AI209,Programma!$F$3:$L$1107,7,0),"")</f>
        <v>_</v>
      </c>
      <c r="AP209" s="300" t="str">
        <f>_xlfn.IFNA(VLOOKUP($AI209,Programma!$F$3:$M$1107,8,0),"")</f>
        <v>_</v>
      </c>
      <c r="AQ209" s="300" t="str">
        <f>_xlfn.IFNA(VLOOKUP($AI209,Programma!$F$3:$N$1107,9,0),"")</f>
        <v>_</v>
      </c>
      <c r="AR209" s="300" t="str">
        <f>_xlfn.IFNA(VLOOKUP($AI209,Programma!$F$3:$O$1107,10,0),"")</f>
        <v>3w</v>
      </c>
      <c r="AS209" s="300" t="str">
        <f>_xlfn.IFNA(VLOOKUP($AI209,Programma!$F$3:$P$1107,11,0),"")</f>
        <v>3w</v>
      </c>
      <c r="AT209" s="300" t="str">
        <f>_xlfn.IFNA(VLOOKUP($AI209,Programma!$F$3:$Q$1107,12,0),"")</f>
        <v>1w</v>
      </c>
      <c r="AU209" s="300" t="str">
        <f>_xlfn.IFNA(VLOOKUP($AI209,Programma!$F$3:$R$1107,13,0),"")</f>
        <v>1w</v>
      </c>
      <c r="AV209" s="300" t="str">
        <f>_xlfn.IFNA(VLOOKUP($AI209,Programma!$F$3:$S$1107,14,0),"")</f>
        <v>1m</v>
      </c>
      <c r="AW209" s="300" t="str">
        <f>_xlfn.IFNA(VLOOKUP($AI209,Programma!$F$3:$T$1107,15,0),"")</f>
        <v>2j</v>
      </c>
      <c r="AX209" s="300" t="str">
        <f>_xlfn.IFNA(VLOOKUP($AI209,Programma!$F$3:$U$1107,16,0),"")</f>
        <v>1j</v>
      </c>
      <c r="AY209" s="300" t="str">
        <f>_xlfn.IFNA(VLOOKUP($AI209,Programma!$F$3:$V$1107,17,0),"")</f>
        <v>_</v>
      </c>
      <c r="AZ209" s="300" t="str">
        <f>_xlfn.IFNA(VLOOKUP($AI209,Programma!$F$3:$W$1107,18,0),"")</f>
        <v>_</v>
      </c>
      <c r="BA209" s="300" t="str">
        <f>_xlfn.IFNA(VLOOKUP($AI209,Programma!$F$3:$X$1107,19,0),"")</f>
        <v>_</v>
      </c>
      <c r="BB209" s="300" t="str">
        <f>_xlfn.IFNA(VLOOKUP($AI209,Programma!$F$3:$Y$1107,20,0),"")</f>
        <v>_</v>
      </c>
      <c r="BC209" s="257"/>
      <c r="BD209" s="256" t="str">
        <f>IF(Ruimtestaat[[#This Row],[Frequentie weekend]]="","",_xlfn.CONCAT(Ruimtestaat[[#This Row],[Ruimte code]],"-",Ruimtestaat[[#This Row],[Frequentie weekend]]," ",Ruimtestaat[[#This Row],[Vloer code]]))</f>
        <v/>
      </c>
      <c r="BE209" s="300" t="str">
        <f>_xlfn.IFNA(VLOOKUP($BD209,Programma!$F$3:$G$1107,2,0),"")</f>
        <v/>
      </c>
      <c r="BF209" s="300" t="str">
        <f>_xlfn.IFNA(VLOOKUP($BD209,Programma!$F$3:$H$1107,3,0),"")</f>
        <v/>
      </c>
      <c r="BG209" s="300" t="str">
        <f>_xlfn.IFNA(VLOOKUP($BD209,Programma!$F$3:$I$1107,4,0),"")</f>
        <v/>
      </c>
      <c r="BH209" s="300" t="str">
        <f>_xlfn.IFNA(VLOOKUP($BD209,Programma!$F$3:$J$1107,5,0),"")</f>
        <v/>
      </c>
      <c r="BI209" s="300" t="str">
        <f>_xlfn.IFNA(VLOOKUP($BD209,Programma!$F$3:$K$1107,6,0),"")</f>
        <v/>
      </c>
      <c r="BJ209" s="300" t="str">
        <f>_xlfn.IFNA(VLOOKUP($BD209,Programma!$F$3:$L$1107,7,0),"")</f>
        <v/>
      </c>
      <c r="BK209" s="300" t="str">
        <f>_xlfn.IFNA(VLOOKUP($BD209,Programma!$F$3:$M$1107,8,0),"")</f>
        <v/>
      </c>
      <c r="BL209" s="300" t="str">
        <f>_xlfn.IFNA(VLOOKUP($BD209,Programma!$F$3:$N$1107,9,0),"")</f>
        <v/>
      </c>
      <c r="BM209" s="300" t="str">
        <f>_xlfn.IFNA(VLOOKUP($BD209,Programma!$F$3:$O$1107,10,0),"")</f>
        <v/>
      </c>
      <c r="BN209" s="300" t="str">
        <f>_xlfn.IFNA(VLOOKUP($BD209,Programma!$F$3:$P$1107,11,0),"")</f>
        <v/>
      </c>
      <c r="BO209" s="300" t="str">
        <f>_xlfn.IFNA(VLOOKUP($BD209,Programma!$F$3:$Q$1107,12,0),"")</f>
        <v/>
      </c>
      <c r="BP209" s="300" t="str">
        <f>_xlfn.IFNA(VLOOKUP($BD209,Programma!$F$3:$R$1107,13,0),"")</f>
        <v/>
      </c>
      <c r="BQ209" s="300" t="str">
        <f>_xlfn.IFNA(VLOOKUP($BD209,Programma!$F$3:$S$1107,14,0),"")</f>
        <v/>
      </c>
      <c r="BR209" s="300" t="str">
        <f>_xlfn.IFNA(VLOOKUP($BD209,Programma!$F$3:$T$1107,15,0),"")</f>
        <v/>
      </c>
      <c r="BS209" s="300" t="str">
        <f>_xlfn.IFNA(VLOOKUP($BD209,Programma!$F$3:$U$1107,16,0),"")</f>
        <v/>
      </c>
      <c r="BT209" s="300" t="str">
        <f>_xlfn.IFNA(VLOOKUP($BD209,Programma!$F$3:$V$1107,17,0),"")</f>
        <v/>
      </c>
      <c r="BU209" s="300" t="str">
        <f>_xlfn.IFNA(VLOOKUP($BD209,Programma!$F$3:$W$1107,18,0),"")</f>
        <v/>
      </c>
      <c r="BV209" s="300" t="str">
        <f>_xlfn.IFNA(VLOOKUP($BD209,Programma!$F$3:$X$1107,19,0),"")</f>
        <v/>
      </c>
      <c r="BW209" s="300" t="str">
        <f>_xlfn.IFNA(VLOOKUP($BD209,Programma!$F$3:$Y$1107,20,0),"")</f>
        <v/>
      </c>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row>
    <row r="210" spans="1:220" ht="15" customHeight="1">
      <c r="A210" s="21">
        <v>4</v>
      </c>
      <c r="B210" s="157" t="str">
        <f>VLOOKUP(Ruimtestaat[[#This Row],[Code]],Locaties[[Code]:[Locatie]],2,FALSE)</f>
        <v>Sint-Maartenscollege</v>
      </c>
      <c r="C210" s="157" t="str">
        <f>VLOOKUP(Ruimtestaat[[#This Row],[Code]],Locaties[[#All],[Code]:[Adres]],4,FALSE)</f>
        <v xml:space="preserve">Aart v.d. Leeuwkade 14 </v>
      </c>
      <c r="D210" s="157" t="str">
        <f>VLOOKUP(Ruimtestaat[[#This Row],[Code]],Locaties[[#All],[Code]:[Postcode]],5,FALSE)</f>
        <v>2274 KX</v>
      </c>
      <c r="E210" s="157" t="str">
        <f>VLOOKUP(Ruimtestaat[[#This Row],[Code]],Locaties[#All],6,FALSE)</f>
        <v>Voorburg</v>
      </c>
      <c r="F210" s="33"/>
      <c r="G210" s="33" t="s">
        <v>1632</v>
      </c>
      <c r="H210" s="21">
        <v>33</v>
      </c>
      <c r="I210" s="62" t="s">
        <v>1631</v>
      </c>
      <c r="J210" s="21">
        <v>2</v>
      </c>
      <c r="K210" s="62" t="str">
        <f>VLOOKUP(Ruimtestaat[[#This Row],[Ruimte code]],Ruimtegroepen[[#All],[Code]:[Ruimte omschrijving]],2,FALSE)</f>
        <v>Kantoren</v>
      </c>
      <c r="L210" s="33" t="s">
        <v>101</v>
      </c>
      <c r="M210" s="367" t="s">
        <v>2495</v>
      </c>
      <c r="N210" s="140">
        <v>28</v>
      </c>
      <c r="O210" s="140"/>
      <c r="P210" s="125" t="str">
        <f>VLOOKUP(Ruimtestaat[[#This Row],[Ruimte code]],Ruimtegroepen[],4,FALSE)</f>
        <v>Bu</v>
      </c>
      <c r="R210" s="33">
        <v>42</v>
      </c>
      <c r="S210" s="33" t="s">
        <v>18</v>
      </c>
      <c r="T210" s="33">
        <f>IF(R210&gt;0,IF(RIGHT(Ruimtestaat[[#This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10" s="33">
        <f>IF(T210&gt;0,VLOOKUP($J210,Ruimtegroepen[],3,FALSE)*VLOOKUP($L210,Vloersoorten[],3,FALSE)*VLOOKUP($S210,Frequenties[],3,FALSE)*VLOOKUP($A210,Locaties[],3,FALSE),0)</f>
        <v>0</v>
      </c>
      <c r="V210" s="33">
        <f>Ruimtestaat[[#This Row],[Uitvoeringen werkdagen]]*Ruimtestaat[[#This Row],[Oppervlak (netto)]]</f>
        <v>3528</v>
      </c>
      <c r="W210" s="154">
        <f>IF(U210&gt;0,Ruimtestaat[[#This Row],[Prest. (m2 /jaar) werkdagen]]/Ruimtestaat[[#This Row],[Norm (m2/uur) werkdagen]],0)</f>
        <v>0</v>
      </c>
      <c r="X210" s="155">
        <f>Ruimtestaat[[#This Row],[uren / jaar werkdagen]]*Tariefsopbouw!$E$35</f>
        <v>0</v>
      </c>
      <c r="Y210" s="33"/>
      <c r="Z210" s="33">
        <f>IF(Ruimtestaat[[#This Row],[Frequentie weekend]]&gt;0,VALUE(LEFT(Y210,1))*R210,0)</f>
        <v>0</v>
      </c>
      <c r="AA210" s="97">
        <f>IF($Z210&gt;0,VLOOKUP($J210,Ruimtegroepen[],3,FALSE)*VLOOKUP($L210,Vloersoorten[],3,FALSE)*VLOOKUP($Y210,Frequenties[],3,FALSE)*VLOOKUP(Ruimtestaat[[#This Row],[Code]],Locaties[],3,FALSE),0)</f>
        <v>0</v>
      </c>
      <c r="AB210" s="97">
        <f>Ruimtestaat[[#This Row],[Uitvoeringen weekend]]*Ruimtestaat[[#This Row],[Oppervlak (netto)]]</f>
        <v>0</v>
      </c>
      <c r="AC210" s="97">
        <f>IF(AA210&gt;0,Ruimtestaat[[#This Row],[Prest. (m2 /jaar) weekend]]/Ruimtestaat[[#This Row],[Norm (m2/uur) weekend]],0)</f>
        <v>0</v>
      </c>
      <c r="AD210" s="155">
        <f>Ruimtestaat[[#This Row],[uren / jaar weekend]]*Tariefsopbouw!$D$40</f>
        <v>0</v>
      </c>
      <c r="AE210" s="154">
        <f>Ruimtestaat[[#This Row],[Prest. (m2 /jaar) weekend]]+Ruimtestaat[[#This Row],[Prest. (m2 /jaar) werkdagen]]</f>
        <v>3528</v>
      </c>
      <c r="AF210" s="154">
        <f>Ruimtestaat[[#This Row],[uren / jaar weekend]]+Ruimtestaat[[#This Row],[uren / jaar werkdagen]]</f>
        <v>0</v>
      </c>
      <c r="AG210" s="69">
        <f>Ruimtestaat[[#This Row],[kosten / jaar weekend]]+Ruimtestaat[[#This Row],[kosten / jaar werkdagen]]</f>
        <v>0</v>
      </c>
      <c r="AH210" s="69"/>
      <c r="AI210" s="256" t="str">
        <f>IF(Ruimtestaat[[#This Row],[Frequentie werkdagen]]="","",_xlfn.CONCAT(Ruimtestaat[[#This Row],[Ruimte code]],"-",Ruimtestaat[[#This Row],[Frequentie werkdagen]]," ",Ruimtestaat[[#This Row],[Vloer code]]))</f>
        <v>2-3w L</v>
      </c>
      <c r="AJ210" s="300" t="str">
        <f>_xlfn.IFNA(VLOOKUP($AI210,Programma!$F$3:$G$1107,2,0),"")</f>
        <v>_</v>
      </c>
      <c r="AK210" s="300" t="str">
        <f>_xlfn.IFNA(VLOOKUP($AI210,Programma!$F$3:$H$1107,3,0),"")</f>
        <v>_</v>
      </c>
      <c r="AL210" s="300" t="str">
        <f>_xlfn.IFNA(VLOOKUP($AI210,Programma!$F$3:$I$1107,4,0),"")</f>
        <v>2w</v>
      </c>
      <c r="AM210" s="300" t="str">
        <f>_xlfn.IFNA(VLOOKUP($AI210,Programma!$F$3:$J$1107,5,0),"")</f>
        <v>1w</v>
      </c>
      <c r="AN210" s="300" t="str">
        <f>_xlfn.IFNA(VLOOKUP($AI210,Programma!$F$3:$K$1107,6,0),"")</f>
        <v>_</v>
      </c>
      <c r="AO210" s="300" t="str">
        <f>_xlfn.IFNA(VLOOKUP($AI210,Programma!$F$3:$L$1107,7,0),"")</f>
        <v>_</v>
      </c>
      <c r="AP210" s="300" t="str">
        <f>_xlfn.IFNA(VLOOKUP($AI210,Programma!$F$3:$M$1107,8,0),"")</f>
        <v>_</v>
      </c>
      <c r="AQ210" s="300" t="str">
        <f>_xlfn.IFNA(VLOOKUP($AI210,Programma!$F$3:$N$1107,9,0),"")</f>
        <v>_</v>
      </c>
      <c r="AR210" s="300" t="str">
        <f>_xlfn.IFNA(VLOOKUP($AI210,Programma!$F$3:$O$1107,10,0),"")</f>
        <v>3w</v>
      </c>
      <c r="AS210" s="300" t="str">
        <f>_xlfn.IFNA(VLOOKUP($AI210,Programma!$F$3:$P$1107,11,0),"")</f>
        <v>3w</v>
      </c>
      <c r="AT210" s="300" t="str">
        <f>_xlfn.IFNA(VLOOKUP($AI210,Programma!$F$3:$Q$1107,12,0),"")</f>
        <v>1w</v>
      </c>
      <c r="AU210" s="300" t="str">
        <f>_xlfn.IFNA(VLOOKUP($AI210,Programma!$F$3:$R$1107,13,0),"")</f>
        <v>1w</v>
      </c>
      <c r="AV210" s="300" t="str">
        <f>_xlfn.IFNA(VLOOKUP($AI210,Programma!$F$3:$S$1107,14,0),"")</f>
        <v>1m</v>
      </c>
      <c r="AW210" s="300" t="str">
        <f>_xlfn.IFNA(VLOOKUP($AI210,Programma!$F$3:$T$1107,15,0),"")</f>
        <v>2j</v>
      </c>
      <c r="AX210" s="300" t="str">
        <f>_xlfn.IFNA(VLOOKUP($AI210,Programma!$F$3:$U$1107,16,0),"")</f>
        <v>1j</v>
      </c>
      <c r="AY210" s="300" t="str">
        <f>_xlfn.IFNA(VLOOKUP($AI210,Programma!$F$3:$V$1107,17,0),"")</f>
        <v>_</v>
      </c>
      <c r="AZ210" s="300" t="str">
        <f>_xlfn.IFNA(VLOOKUP($AI210,Programma!$F$3:$W$1107,18,0),"")</f>
        <v>_</v>
      </c>
      <c r="BA210" s="300" t="str">
        <f>_xlfn.IFNA(VLOOKUP($AI210,Programma!$F$3:$X$1107,19,0),"")</f>
        <v>_</v>
      </c>
      <c r="BB210" s="300" t="str">
        <f>_xlfn.IFNA(VLOOKUP($AI210,Programma!$F$3:$Y$1107,20,0),"")</f>
        <v>_</v>
      </c>
      <c r="BC210" s="257"/>
      <c r="BD210" s="256" t="str">
        <f>IF(Ruimtestaat[[#This Row],[Frequentie weekend]]="","",_xlfn.CONCAT(Ruimtestaat[[#This Row],[Ruimte code]],"-",Ruimtestaat[[#This Row],[Frequentie weekend]]," ",Ruimtestaat[[#This Row],[Vloer code]]))</f>
        <v/>
      </c>
      <c r="BE210" s="300" t="str">
        <f>_xlfn.IFNA(VLOOKUP($BD210,Programma!$F$3:$G$1107,2,0),"")</f>
        <v/>
      </c>
      <c r="BF210" s="300" t="str">
        <f>_xlfn.IFNA(VLOOKUP($BD210,Programma!$F$3:$H$1107,3,0),"")</f>
        <v/>
      </c>
      <c r="BG210" s="300" t="str">
        <f>_xlfn.IFNA(VLOOKUP($BD210,Programma!$F$3:$I$1107,4,0),"")</f>
        <v/>
      </c>
      <c r="BH210" s="300" t="str">
        <f>_xlfn.IFNA(VLOOKUP($BD210,Programma!$F$3:$J$1107,5,0),"")</f>
        <v/>
      </c>
      <c r="BI210" s="300" t="str">
        <f>_xlfn.IFNA(VLOOKUP($BD210,Programma!$F$3:$K$1107,6,0),"")</f>
        <v/>
      </c>
      <c r="BJ210" s="300" t="str">
        <f>_xlfn.IFNA(VLOOKUP($BD210,Programma!$F$3:$L$1107,7,0),"")</f>
        <v/>
      </c>
      <c r="BK210" s="300" t="str">
        <f>_xlfn.IFNA(VLOOKUP($BD210,Programma!$F$3:$M$1107,8,0),"")</f>
        <v/>
      </c>
      <c r="BL210" s="300" t="str">
        <f>_xlfn.IFNA(VLOOKUP($BD210,Programma!$F$3:$N$1107,9,0),"")</f>
        <v/>
      </c>
      <c r="BM210" s="300" t="str">
        <f>_xlfn.IFNA(VLOOKUP($BD210,Programma!$F$3:$O$1107,10,0),"")</f>
        <v/>
      </c>
      <c r="BN210" s="300" t="str">
        <f>_xlfn.IFNA(VLOOKUP($BD210,Programma!$F$3:$P$1107,11,0),"")</f>
        <v/>
      </c>
      <c r="BO210" s="300" t="str">
        <f>_xlfn.IFNA(VLOOKUP($BD210,Programma!$F$3:$Q$1107,12,0),"")</f>
        <v/>
      </c>
      <c r="BP210" s="300" t="str">
        <f>_xlfn.IFNA(VLOOKUP($BD210,Programma!$F$3:$R$1107,13,0),"")</f>
        <v/>
      </c>
      <c r="BQ210" s="300" t="str">
        <f>_xlfn.IFNA(VLOOKUP($BD210,Programma!$F$3:$S$1107,14,0),"")</f>
        <v/>
      </c>
      <c r="BR210" s="300" t="str">
        <f>_xlfn.IFNA(VLOOKUP($BD210,Programma!$F$3:$T$1107,15,0),"")</f>
        <v/>
      </c>
      <c r="BS210" s="300" t="str">
        <f>_xlfn.IFNA(VLOOKUP($BD210,Programma!$F$3:$U$1107,16,0),"")</f>
        <v/>
      </c>
      <c r="BT210" s="300" t="str">
        <f>_xlfn.IFNA(VLOOKUP($BD210,Programma!$F$3:$V$1107,17,0),"")</f>
        <v/>
      </c>
      <c r="BU210" s="300" t="str">
        <f>_xlfn.IFNA(VLOOKUP($BD210,Programma!$F$3:$W$1107,18,0),"")</f>
        <v/>
      </c>
      <c r="BV210" s="300" t="str">
        <f>_xlfn.IFNA(VLOOKUP($BD210,Programma!$F$3:$X$1107,19,0),"")</f>
        <v/>
      </c>
      <c r="BW210" s="300" t="str">
        <f>_xlfn.IFNA(VLOOKUP($BD210,Programma!$F$3:$Y$1107,20,0),"")</f>
        <v/>
      </c>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row>
    <row r="211" spans="1:220" ht="15" customHeight="1">
      <c r="A211" s="21">
        <v>4</v>
      </c>
      <c r="B211" s="157" t="str">
        <f>VLOOKUP(Ruimtestaat[[#This Row],[Code]],Locaties[[Code]:[Locatie]],2,FALSE)</f>
        <v>Sint-Maartenscollege</v>
      </c>
      <c r="C211" s="157" t="str">
        <f>VLOOKUP(Ruimtestaat[[#This Row],[Code]],Locaties[[#All],[Code]:[Adres]],4,FALSE)</f>
        <v xml:space="preserve">Aart v.d. Leeuwkade 14 </v>
      </c>
      <c r="D211" s="157" t="str">
        <f>VLOOKUP(Ruimtestaat[[#This Row],[Code]],Locaties[[#All],[Code]:[Postcode]],5,FALSE)</f>
        <v>2274 KX</v>
      </c>
      <c r="E211" s="157" t="str">
        <f>VLOOKUP(Ruimtestaat[[#This Row],[Code]],Locaties[#All],6,FALSE)</f>
        <v>Voorburg</v>
      </c>
      <c r="F211" s="33"/>
      <c r="G211" s="33" t="s">
        <v>1632</v>
      </c>
      <c r="H211" s="21">
        <v>34</v>
      </c>
      <c r="I211" s="62" t="s">
        <v>1625</v>
      </c>
      <c r="J211" s="21">
        <v>6</v>
      </c>
      <c r="K211" s="62" t="str">
        <f>VLOOKUP(Ruimtestaat[[#This Row],[Ruimte code]],Ruimtegroepen[[#All],[Code]:[Ruimte omschrijving]],2,FALSE)</f>
        <v>Gangen/hallen</v>
      </c>
      <c r="L211" s="33" t="s">
        <v>101</v>
      </c>
      <c r="M211" s="367" t="s">
        <v>2495</v>
      </c>
      <c r="N211" s="140">
        <v>35</v>
      </c>
      <c r="O211" s="140"/>
      <c r="P211" s="125" t="str">
        <f>VLOOKUP(Ruimtestaat[[#This Row],[Ruimte code]],Ruimtegroepen[],4,FALSE)</f>
        <v>Ve</v>
      </c>
      <c r="R211" s="33">
        <v>40</v>
      </c>
      <c r="S211" s="33" t="s">
        <v>2</v>
      </c>
      <c r="T211" s="33">
        <f>IF(R211&gt;0,IF(RIGHT(Ruimtestaat[[#This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1" s="33">
        <f>IF(T211&gt;0,VLOOKUP($J211,Ruimtegroepen[],3,FALSE)*VLOOKUP($L211,Vloersoorten[],3,FALSE)*VLOOKUP($S211,Frequenties[],3,FALSE)*VLOOKUP($A211,Locaties[],3,FALSE),0)</f>
        <v>0</v>
      </c>
      <c r="V211" s="33">
        <f>Ruimtestaat[[#This Row],[Uitvoeringen werkdagen]]*Ruimtestaat[[#This Row],[Oppervlak (netto)]]</f>
        <v>7000</v>
      </c>
      <c r="W211" s="154">
        <f>IF(U211&gt;0,Ruimtestaat[[#This Row],[Prest. (m2 /jaar) werkdagen]]/Ruimtestaat[[#This Row],[Norm (m2/uur) werkdagen]],0)</f>
        <v>0</v>
      </c>
      <c r="X211" s="155">
        <f>Ruimtestaat[[#This Row],[uren / jaar werkdagen]]*Tariefsopbouw!$E$35</f>
        <v>0</v>
      </c>
      <c r="Y211" s="33"/>
      <c r="Z211" s="33">
        <f>IF(Ruimtestaat[[#This Row],[Frequentie weekend]]&gt;0,VALUE(LEFT(Y211,1))*R211,0)</f>
        <v>0</v>
      </c>
      <c r="AA211" s="97">
        <f>IF($Z211&gt;0,VLOOKUP($J211,Ruimtegroepen[],3,FALSE)*VLOOKUP($L211,Vloersoorten[],3,FALSE)*VLOOKUP($Y211,Frequenties[],3,FALSE)*VLOOKUP(Ruimtestaat[[#This Row],[Code]],Locaties[],3,FALSE),0)</f>
        <v>0</v>
      </c>
      <c r="AB211" s="97">
        <f>Ruimtestaat[[#This Row],[Uitvoeringen weekend]]*Ruimtestaat[[#This Row],[Oppervlak (netto)]]</f>
        <v>0</v>
      </c>
      <c r="AC211" s="97">
        <f>IF(AA211&gt;0,Ruimtestaat[[#This Row],[Prest. (m2 /jaar) weekend]]/Ruimtestaat[[#This Row],[Norm (m2/uur) weekend]],0)</f>
        <v>0</v>
      </c>
      <c r="AD211" s="155">
        <f>Ruimtestaat[[#This Row],[uren / jaar weekend]]*Tariefsopbouw!$D$40</f>
        <v>0</v>
      </c>
      <c r="AE211" s="154">
        <f>Ruimtestaat[[#This Row],[Prest. (m2 /jaar) weekend]]+Ruimtestaat[[#This Row],[Prest. (m2 /jaar) werkdagen]]</f>
        <v>7000</v>
      </c>
      <c r="AF211" s="154">
        <f>Ruimtestaat[[#This Row],[uren / jaar weekend]]+Ruimtestaat[[#This Row],[uren / jaar werkdagen]]</f>
        <v>0</v>
      </c>
      <c r="AG211" s="69">
        <f>Ruimtestaat[[#This Row],[kosten / jaar weekend]]+Ruimtestaat[[#This Row],[kosten / jaar werkdagen]]</f>
        <v>0</v>
      </c>
      <c r="AH211" s="69"/>
      <c r="AI211" s="256" t="str">
        <f>IF(Ruimtestaat[[#This Row],[Frequentie werkdagen]]="","",_xlfn.CONCAT(Ruimtestaat[[#This Row],[Ruimte code]],"-",Ruimtestaat[[#This Row],[Frequentie werkdagen]]," ",Ruimtestaat[[#This Row],[Vloer code]]))</f>
        <v>6-5w L</v>
      </c>
      <c r="AJ211" s="300" t="str">
        <f>_xlfn.IFNA(VLOOKUP($AI211,Programma!$F$3:$G$1107,2,0),"")</f>
        <v>_</v>
      </c>
      <c r="AK211" s="300" t="str">
        <f>_xlfn.IFNA(VLOOKUP($AI211,Programma!$F$3:$H$1107,3,0),"")</f>
        <v>_</v>
      </c>
      <c r="AL211" s="300" t="str">
        <f>_xlfn.IFNA(VLOOKUP($AI211,Programma!$F$3:$I$1107,4,0),"")</f>
        <v>_</v>
      </c>
      <c r="AM211" s="300" t="str">
        <f>_xlfn.IFNA(VLOOKUP($AI211,Programma!$F$3:$J$1107,5,0),"")</f>
        <v>5w</v>
      </c>
      <c r="AN211" s="300" t="str">
        <f>_xlfn.IFNA(VLOOKUP($AI211,Programma!$F$3:$K$1107,6,0),"")</f>
        <v>_</v>
      </c>
      <c r="AO211" s="300" t="str">
        <f>_xlfn.IFNA(VLOOKUP($AI211,Programma!$F$3:$L$1107,7,0),"")</f>
        <v>_</v>
      </c>
      <c r="AP211" s="300" t="str">
        <f>_xlfn.IFNA(VLOOKUP($AI211,Programma!$F$3:$M$1107,8,0),"")</f>
        <v>_</v>
      </c>
      <c r="AQ211" s="300" t="str">
        <f>_xlfn.IFNA(VLOOKUP($AI211,Programma!$F$3:$N$1107,9,0),"")</f>
        <v>_</v>
      </c>
      <c r="AR211" s="300" t="str">
        <f>_xlfn.IFNA(VLOOKUP($AI211,Programma!$F$3:$O$1107,10,0),"")</f>
        <v>5w</v>
      </c>
      <c r="AS211" s="300" t="str">
        <f>_xlfn.IFNA(VLOOKUP($AI211,Programma!$F$3:$P$1107,11,0),"")</f>
        <v>5w</v>
      </c>
      <c r="AT211" s="300" t="str">
        <f>_xlfn.IFNA(VLOOKUP($AI211,Programma!$F$3:$Q$1107,12,0),"")</f>
        <v>1w</v>
      </c>
      <c r="AU211" s="300" t="str">
        <f>_xlfn.IFNA(VLOOKUP($AI211,Programma!$F$3:$R$1107,13,0),"")</f>
        <v>1w</v>
      </c>
      <c r="AV211" s="300" t="str">
        <f>_xlfn.IFNA(VLOOKUP($AI211,Programma!$F$3:$S$1107,14,0),"")</f>
        <v>1m</v>
      </c>
      <c r="AW211" s="300" t="str">
        <f>_xlfn.IFNA(VLOOKUP($AI211,Programma!$F$3:$T$1107,15,0),"")</f>
        <v>2j</v>
      </c>
      <c r="AX211" s="300" t="str">
        <f>_xlfn.IFNA(VLOOKUP($AI211,Programma!$F$3:$U$1107,16,0),"")</f>
        <v>1j</v>
      </c>
      <c r="AY211" s="300" t="str">
        <f>_xlfn.IFNA(VLOOKUP($AI211,Programma!$F$3:$V$1107,17,0),"")</f>
        <v>_</v>
      </c>
      <c r="AZ211" s="300" t="str">
        <f>_xlfn.IFNA(VLOOKUP($AI211,Programma!$F$3:$W$1107,18,0),"")</f>
        <v>_</v>
      </c>
      <c r="BA211" s="300" t="str">
        <f>_xlfn.IFNA(VLOOKUP($AI211,Programma!$F$3:$X$1107,19,0),"")</f>
        <v>_</v>
      </c>
      <c r="BB211" s="300" t="str">
        <f>_xlfn.IFNA(VLOOKUP($AI211,Programma!$F$3:$Y$1107,20,0),"")</f>
        <v>_</v>
      </c>
      <c r="BC211" s="257"/>
      <c r="BD211" s="256" t="str">
        <f>IF(Ruimtestaat[[#This Row],[Frequentie weekend]]="","",_xlfn.CONCAT(Ruimtestaat[[#This Row],[Ruimte code]],"-",Ruimtestaat[[#This Row],[Frequentie weekend]]," ",Ruimtestaat[[#This Row],[Vloer code]]))</f>
        <v/>
      </c>
      <c r="BE211" s="300" t="str">
        <f>_xlfn.IFNA(VLOOKUP($BD211,Programma!$F$3:$G$1107,2,0),"")</f>
        <v/>
      </c>
      <c r="BF211" s="300" t="str">
        <f>_xlfn.IFNA(VLOOKUP($BD211,Programma!$F$3:$H$1107,3,0),"")</f>
        <v/>
      </c>
      <c r="BG211" s="300" t="str">
        <f>_xlfn.IFNA(VLOOKUP($BD211,Programma!$F$3:$I$1107,4,0),"")</f>
        <v/>
      </c>
      <c r="BH211" s="300" t="str">
        <f>_xlfn.IFNA(VLOOKUP($BD211,Programma!$F$3:$J$1107,5,0),"")</f>
        <v/>
      </c>
      <c r="BI211" s="300" t="str">
        <f>_xlfn.IFNA(VLOOKUP($BD211,Programma!$F$3:$K$1107,6,0),"")</f>
        <v/>
      </c>
      <c r="BJ211" s="300" t="str">
        <f>_xlfn.IFNA(VLOOKUP($BD211,Programma!$F$3:$L$1107,7,0),"")</f>
        <v/>
      </c>
      <c r="BK211" s="300" t="str">
        <f>_xlfn.IFNA(VLOOKUP($BD211,Programma!$F$3:$M$1107,8,0),"")</f>
        <v/>
      </c>
      <c r="BL211" s="300" t="str">
        <f>_xlfn.IFNA(VLOOKUP($BD211,Programma!$F$3:$N$1107,9,0),"")</f>
        <v/>
      </c>
      <c r="BM211" s="300" t="str">
        <f>_xlfn.IFNA(VLOOKUP($BD211,Programma!$F$3:$O$1107,10,0),"")</f>
        <v/>
      </c>
      <c r="BN211" s="300" t="str">
        <f>_xlfn.IFNA(VLOOKUP($BD211,Programma!$F$3:$P$1107,11,0),"")</f>
        <v/>
      </c>
      <c r="BO211" s="300" t="str">
        <f>_xlfn.IFNA(VLOOKUP($BD211,Programma!$F$3:$Q$1107,12,0),"")</f>
        <v/>
      </c>
      <c r="BP211" s="300" t="str">
        <f>_xlfn.IFNA(VLOOKUP($BD211,Programma!$F$3:$R$1107,13,0),"")</f>
        <v/>
      </c>
      <c r="BQ211" s="300" t="str">
        <f>_xlfn.IFNA(VLOOKUP($BD211,Programma!$F$3:$S$1107,14,0),"")</f>
        <v/>
      </c>
      <c r="BR211" s="300" t="str">
        <f>_xlfn.IFNA(VLOOKUP($BD211,Programma!$F$3:$T$1107,15,0),"")</f>
        <v/>
      </c>
      <c r="BS211" s="300" t="str">
        <f>_xlfn.IFNA(VLOOKUP($BD211,Programma!$F$3:$U$1107,16,0),"")</f>
        <v/>
      </c>
      <c r="BT211" s="300" t="str">
        <f>_xlfn.IFNA(VLOOKUP($BD211,Programma!$F$3:$V$1107,17,0),"")</f>
        <v/>
      </c>
      <c r="BU211" s="300" t="str">
        <f>_xlfn.IFNA(VLOOKUP($BD211,Programma!$F$3:$W$1107,18,0),"")</f>
        <v/>
      </c>
      <c r="BV211" s="300" t="str">
        <f>_xlfn.IFNA(VLOOKUP($BD211,Programma!$F$3:$X$1107,19,0),"")</f>
        <v/>
      </c>
      <c r="BW211" s="300" t="str">
        <f>_xlfn.IFNA(VLOOKUP($BD211,Programma!$F$3:$Y$1107,20,0),"")</f>
        <v/>
      </c>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row>
    <row r="212" spans="1:220" ht="15" customHeight="1">
      <c r="A212" s="21">
        <v>4</v>
      </c>
      <c r="B212" s="157" t="str">
        <f>VLOOKUP(Ruimtestaat[[#This Row],[Code]],Locaties[[Code]:[Locatie]],2,FALSE)</f>
        <v>Sint-Maartenscollege</v>
      </c>
      <c r="C212" s="157" t="str">
        <f>VLOOKUP(Ruimtestaat[[#This Row],[Code]],Locaties[[#All],[Code]:[Adres]],4,FALSE)</f>
        <v xml:space="preserve">Aart v.d. Leeuwkade 14 </v>
      </c>
      <c r="D212" s="157" t="str">
        <f>VLOOKUP(Ruimtestaat[[#This Row],[Code]],Locaties[[#All],[Code]:[Postcode]],5,FALSE)</f>
        <v>2274 KX</v>
      </c>
      <c r="E212" s="157" t="str">
        <f>VLOOKUP(Ruimtestaat[[#This Row],[Code]],Locaties[#All],6,FALSE)</f>
        <v>Voorburg</v>
      </c>
      <c r="F212" s="33"/>
      <c r="G212" s="33" t="s">
        <v>1632</v>
      </c>
      <c r="H212" s="21">
        <v>35</v>
      </c>
      <c r="I212" s="62" t="s">
        <v>1625</v>
      </c>
      <c r="J212" s="21">
        <v>6</v>
      </c>
      <c r="K212" s="62" t="str">
        <f>VLOOKUP(Ruimtestaat[[#This Row],[Ruimte code]],Ruimtegroepen[[#All],[Code]:[Ruimte omschrijving]],2,FALSE)</f>
        <v>Gangen/hallen</v>
      </c>
      <c r="L212" s="33" t="s">
        <v>101</v>
      </c>
      <c r="M212" s="367" t="s">
        <v>2495</v>
      </c>
      <c r="N212" s="140">
        <v>8</v>
      </c>
      <c r="O212" s="140"/>
      <c r="P212" s="125" t="str">
        <f>VLOOKUP(Ruimtestaat[[#This Row],[Ruimte code]],Ruimtegroepen[],4,FALSE)</f>
        <v>Ve</v>
      </c>
      <c r="R212" s="33">
        <v>40</v>
      </c>
      <c r="S212" s="33" t="s">
        <v>2</v>
      </c>
      <c r="T212" s="33">
        <f>IF(R212&gt;0,IF(RIGHT(Ruimtestaat[[#This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2" s="33">
        <f>IF(T212&gt;0,VLOOKUP($J212,Ruimtegroepen[],3,FALSE)*VLOOKUP($L212,Vloersoorten[],3,FALSE)*VLOOKUP($S212,Frequenties[],3,FALSE)*VLOOKUP($A212,Locaties[],3,FALSE),0)</f>
        <v>0</v>
      </c>
      <c r="V212" s="33">
        <f>Ruimtestaat[[#This Row],[Uitvoeringen werkdagen]]*Ruimtestaat[[#This Row],[Oppervlak (netto)]]</f>
        <v>1600</v>
      </c>
      <c r="W212" s="154">
        <f>IF(U212&gt;0,Ruimtestaat[[#This Row],[Prest. (m2 /jaar) werkdagen]]/Ruimtestaat[[#This Row],[Norm (m2/uur) werkdagen]],0)</f>
        <v>0</v>
      </c>
      <c r="X212" s="155">
        <f>Ruimtestaat[[#This Row],[uren / jaar werkdagen]]*Tariefsopbouw!$E$35</f>
        <v>0</v>
      </c>
      <c r="Y212" s="33"/>
      <c r="Z212" s="33">
        <f>IF(Ruimtestaat[[#This Row],[Frequentie weekend]]&gt;0,VALUE(LEFT(Y212,1))*R212,0)</f>
        <v>0</v>
      </c>
      <c r="AA212" s="97">
        <f>IF($Z212&gt;0,VLOOKUP($J212,Ruimtegroepen[],3,FALSE)*VLOOKUP($L212,Vloersoorten[],3,FALSE)*VLOOKUP($Y212,Frequenties[],3,FALSE)*VLOOKUP(Ruimtestaat[[#This Row],[Code]],Locaties[],3,FALSE),0)</f>
        <v>0</v>
      </c>
      <c r="AB212" s="97">
        <f>Ruimtestaat[[#This Row],[Uitvoeringen weekend]]*Ruimtestaat[[#This Row],[Oppervlak (netto)]]</f>
        <v>0</v>
      </c>
      <c r="AC212" s="97">
        <f>IF(AA212&gt;0,Ruimtestaat[[#This Row],[Prest. (m2 /jaar) weekend]]/Ruimtestaat[[#This Row],[Norm (m2/uur) weekend]],0)</f>
        <v>0</v>
      </c>
      <c r="AD212" s="155">
        <f>Ruimtestaat[[#This Row],[uren / jaar weekend]]*Tariefsopbouw!$D$40</f>
        <v>0</v>
      </c>
      <c r="AE212" s="154">
        <f>Ruimtestaat[[#This Row],[Prest. (m2 /jaar) weekend]]+Ruimtestaat[[#This Row],[Prest. (m2 /jaar) werkdagen]]</f>
        <v>1600</v>
      </c>
      <c r="AF212" s="154">
        <f>Ruimtestaat[[#This Row],[uren / jaar weekend]]+Ruimtestaat[[#This Row],[uren / jaar werkdagen]]</f>
        <v>0</v>
      </c>
      <c r="AG212" s="69">
        <f>Ruimtestaat[[#This Row],[kosten / jaar weekend]]+Ruimtestaat[[#This Row],[kosten / jaar werkdagen]]</f>
        <v>0</v>
      </c>
      <c r="AH212" s="69"/>
      <c r="AI212" s="256" t="str">
        <f>IF(Ruimtestaat[[#This Row],[Frequentie werkdagen]]="","",_xlfn.CONCAT(Ruimtestaat[[#This Row],[Ruimte code]],"-",Ruimtestaat[[#This Row],[Frequentie werkdagen]]," ",Ruimtestaat[[#This Row],[Vloer code]]))</f>
        <v>6-5w L</v>
      </c>
      <c r="AJ212" s="300" t="str">
        <f>_xlfn.IFNA(VLOOKUP($AI212,Programma!$F$3:$G$1107,2,0),"")</f>
        <v>_</v>
      </c>
      <c r="AK212" s="300" t="str">
        <f>_xlfn.IFNA(VLOOKUP($AI212,Programma!$F$3:$H$1107,3,0),"")</f>
        <v>_</v>
      </c>
      <c r="AL212" s="300" t="str">
        <f>_xlfn.IFNA(VLOOKUP($AI212,Programma!$F$3:$I$1107,4,0),"")</f>
        <v>_</v>
      </c>
      <c r="AM212" s="300" t="str">
        <f>_xlfn.IFNA(VLOOKUP($AI212,Programma!$F$3:$J$1107,5,0),"")</f>
        <v>5w</v>
      </c>
      <c r="AN212" s="300" t="str">
        <f>_xlfn.IFNA(VLOOKUP($AI212,Programma!$F$3:$K$1107,6,0),"")</f>
        <v>_</v>
      </c>
      <c r="AO212" s="300" t="str">
        <f>_xlfn.IFNA(VLOOKUP($AI212,Programma!$F$3:$L$1107,7,0),"")</f>
        <v>_</v>
      </c>
      <c r="AP212" s="300" t="str">
        <f>_xlfn.IFNA(VLOOKUP($AI212,Programma!$F$3:$M$1107,8,0),"")</f>
        <v>_</v>
      </c>
      <c r="AQ212" s="300" t="str">
        <f>_xlfn.IFNA(VLOOKUP($AI212,Programma!$F$3:$N$1107,9,0),"")</f>
        <v>_</v>
      </c>
      <c r="AR212" s="300" t="str">
        <f>_xlfn.IFNA(VLOOKUP($AI212,Programma!$F$3:$O$1107,10,0),"")</f>
        <v>5w</v>
      </c>
      <c r="AS212" s="300" t="str">
        <f>_xlfn.IFNA(VLOOKUP($AI212,Programma!$F$3:$P$1107,11,0),"")</f>
        <v>5w</v>
      </c>
      <c r="AT212" s="300" t="str">
        <f>_xlfn.IFNA(VLOOKUP($AI212,Programma!$F$3:$Q$1107,12,0),"")</f>
        <v>1w</v>
      </c>
      <c r="AU212" s="300" t="str">
        <f>_xlfn.IFNA(VLOOKUP($AI212,Programma!$F$3:$R$1107,13,0),"")</f>
        <v>1w</v>
      </c>
      <c r="AV212" s="300" t="str">
        <f>_xlfn.IFNA(VLOOKUP($AI212,Programma!$F$3:$S$1107,14,0),"")</f>
        <v>1m</v>
      </c>
      <c r="AW212" s="300" t="str">
        <f>_xlfn.IFNA(VLOOKUP($AI212,Programma!$F$3:$T$1107,15,0),"")</f>
        <v>2j</v>
      </c>
      <c r="AX212" s="300" t="str">
        <f>_xlfn.IFNA(VLOOKUP($AI212,Programma!$F$3:$U$1107,16,0),"")</f>
        <v>1j</v>
      </c>
      <c r="AY212" s="300" t="str">
        <f>_xlfn.IFNA(VLOOKUP($AI212,Programma!$F$3:$V$1107,17,0),"")</f>
        <v>_</v>
      </c>
      <c r="AZ212" s="300" t="str">
        <f>_xlfn.IFNA(VLOOKUP($AI212,Programma!$F$3:$W$1107,18,0),"")</f>
        <v>_</v>
      </c>
      <c r="BA212" s="300" t="str">
        <f>_xlfn.IFNA(VLOOKUP($AI212,Programma!$F$3:$X$1107,19,0),"")</f>
        <v>_</v>
      </c>
      <c r="BB212" s="300" t="str">
        <f>_xlfn.IFNA(VLOOKUP($AI212,Programma!$F$3:$Y$1107,20,0),"")</f>
        <v>_</v>
      </c>
      <c r="BC212" s="257"/>
      <c r="BD212" s="256" t="str">
        <f>IF(Ruimtestaat[[#This Row],[Frequentie weekend]]="","",_xlfn.CONCAT(Ruimtestaat[[#This Row],[Ruimte code]],"-",Ruimtestaat[[#This Row],[Frequentie weekend]]," ",Ruimtestaat[[#This Row],[Vloer code]]))</f>
        <v/>
      </c>
      <c r="BE212" s="300" t="str">
        <f>_xlfn.IFNA(VLOOKUP($BD212,Programma!$F$3:$G$1107,2,0),"")</f>
        <v/>
      </c>
      <c r="BF212" s="300" t="str">
        <f>_xlfn.IFNA(VLOOKUP($BD212,Programma!$F$3:$H$1107,3,0),"")</f>
        <v/>
      </c>
      <c r="BG212" s="300" t="str">
        <f>_xlfn.IFNA(VLOOKUP($BD212,Programma!$F$3:$I$1107,4,0),"")</f>
        <v/>
      </c>
      <c r="BH212" s="300" t="str">
        <f>_xlfn.IFNA(VLOOKUP($BD212,Programma!$F$3:$J$1107,5,0),"")</f>
        <v/>
      </c>
      <c r="BI212" s="300" t="str">
        <f>_xlfn.IFNA(VLOOKUP($BD212,Programma!$F$3:$K$1107,6,0),"")</f>
        <v/>
      </c>
      <c r="BJ212" s="300" t="str">
        <f>_xlfn.IFNA(VLOOKUP($BD212,Programma!$F$3:$L$1107,7,0),"")</f>
        <v/>
      </c>
      <c r="BK212" s="300" t="str">
        <f>_xlfn.IFNA(VLOOKUP($BD212,Programma!$F$3:$M$1107,8,0),"")</f>
        <v/>
      </c>
      <c r="BL212" s="300" t="str">
        <f>_xlfn.IFNA(VLOOKUP($BD212,Programma!$F$3:$N$1107,9,0),"")</f>
        <v/>
      </c>
      <c r="BM212" s="300" t="str">
        <f>_xlfn.IFNA(VLOOKUP($BD212,Programma!$F$3:$O$1107,10,0),"")</f>
        <v/>
      </c>
      <c r="BN212" s="300" t="str">
        <f>_xlfn.IFNA(VLOOKUP($BD212,Programma!$F$3:$P$1107,11,0),"")</f>
        <v/>
      </c>
      <c r="BO212" s="300" t="str">
        <f>_xlfn.IFNA(VLOOKUP($BD212,Programma!$F$3:$Q$1107,12,0),"")</f>
        <v/>
      </c>
      <c r="BP212" s="300" t="str">
        <f>_xlfn.IFNA(VLOOKUP($BD212,Programma!$F$3:$R$1107,13,0),"")</f>
        <v/>
      </c>
      <c r="BQ212" s="300" t="str">
        <f>_xlfn.IFNA(VLOOKUP($BD212,Programma!$F$3:$S$1107,14,0),"")</f>
        <v/>
      </c>
      <c r="BR212" s="300" t="str">
        <f>_xlfn.IFNA(VLOOKUP($BD212,Programma!$F$3:$T$1107,15,0),"")</f>
        <v/>
      </c>
      <c r="BS212" s="300" t="str">
        <f>_xlfn.IFNA(VLOOKUP($BD212,Programma!$F$3:$U$1107,16,0),"")</f>
        <v/>
      </c>
      <c r="BT212" s="300" t="str">
        <f>_xlfn.IFNA(VLOOKUP($BD212,Programma!$F$3:$V$1107,17,0),"")</f>
        <v/>
      </c>
      <c r="BU212" s="300" t="str">
        <f>_xlfn.IFNA(VLOOKUP($BD212,Programma!$F$3:$W$1107,18,0),"")</f>
        <v/>
      </c>
      <c r="BV212" s="300" t="str">
        <f>_xlfn.IFNA(VLOOKUP($BD212,Programma!$F$3:$X$1107,19,0),"")</f>
        <v/>
      </c>
      <c r="BW212" s="300" t="str">
        <f>_xlfn.IFNA(VLOOKUP($BD212,Programma!$F$3:$Y$1107,20,0),"")</f>
        <v/>
      </c>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row>
    <row r="213" spans="1:220" ht="15" customHeight="1">
      <c r="A213" s="21">
        <v>4</v>
      </c>
      <c r="B213" s="157" t="str">
        <f>VLOOKUP(Ruimtestaat[[#This Row],[Code]],Locaties[[Code]:[Locatie]],2,FALSE)</f>
        <v>Sint-Maartenscollege</v>
      </c>
      <c r="C213" s="157" t="str">
        <f>VLOOKUP(Ruimtestaat[[#This Row],[Code]],Locaties[[#All],[Code]:[Adres]],4,FALSE)</f>
        <v xml:space="preserve">Aart v.d. Leeuwkade 14 </v>
      </c>
      <c r="D213" s="157" t="str">
        <f>VLOOKUP(Ruimtestaat[[#This Row],[Code]],Locaties[[#All],[Code]:[Postcode]],5,FALSE)</f>
        <v>2274 KX</v>
      </c>
      <c r="E213" s="157" t="str">
        <f>VLOOKUP(Ruimtestaat[[#This Row],[Code]],Locaties[#All],6,FALSE)</f>
        <v>Voorburg</v>
      </c>
      <c r="F213" s="33"/>
      <c r="G213" s="33" t="s">
        <v>1632</v>
      </c>
      <c r="H213" s="21">
        <v>36</v>
      </c>
      <c r="I213" s="62" t="s">
        <v>1877</v>
      </c>
      <c r="J213" s="21">
        <v>16</v>
      </c>
      <c r="K213" s="62" t="str">
        <f>VLOOKUP(Ruimtestaat[[#This Row],[Ruimte code]],Ruimtegroepen[[#All],[Code]:[Ruimte omschrijving]],2,FALSE)</f>
        <v>Leslokalen theorie</v>
      </c>
      <c r="L213" s="33" t="s">
        <v>101</v>
      </c>
      <c r="M213" s="367" t="s">
        <v>2495</v>
      </c>
      <c r="N213" s="140">
        <v>120</v>
      </c>
      <c r="O213" s="140"/>
      <c r="P213" s="125" t="str">
        <f>VLOOKUP(Ruimtestaat[[#This Row],[Ruimte code]],Ruimtegroepen[],4,FALSE)</f>
        <v>Le</v>
      </c>
      <c r="R213" s="33">
        <v>40</v>
      </c>
      <c r="S213" s="33" t="s">
        <v>2</v>
      </c>
      <c r="T213" s="33">
        <f>IF(R213&gt;0,IF(RIGHT(Ruimtestaat[[#This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3" s="33">
        <f>IF(T213&gt;0,VLOOKUP($J213,Ruimtegroepen[],3,FALSE)*VLOOKUP($L213,Vloersoorten[],3,FALSE)*VLOOKUP($S213,Frequenties[],3,FALSE)*VLOOKUP($A213,Locaties[],3,FALSE),0)</f>
        <v>0</v>
      </c>
      <c r="V213" s="33">
        <f>Ruimtestaat[[#This Row],[Uitvoeringen werkdagen]]*Ruimtestaat[[#This Row],[Oppervlak (netto)]]</f>
        <v>24000</v>
      </c>
      <c r="W213" s="154">
        <f>IF(U213&gt;0,Ruimtestaat[[#This Row],[Prest. (m2 /jaar) werkdagen]]/Ruimtestaat[[#This Row],[Norm (m2/uur) werkdagen]],0)</f>
        <v>0</v>
      </c>
      <c r="X213" s="155">
        <f>Ruimtestaat[[#This Row],[uren / jaar werkdagen]]*Tariefsopbouw!$E$35</f>
        <v>0</v>
      </c>
      <c r="Y213" s="33"/>
      <c r="Z213" s="33">
        <f>IF(Ruimtestaat[[#This Row],[Frequentie weekend]]&gt;0,VALUE(LEFT(Y213,1))*R213,0)</f>
        <v>0</v>
      </c>
      <c r="AA213" s="97">
        <f>IF($Z213&gt;0,VLOOKUP($J213,Ruimtegroepen[],3,FALSE)*VLOOKUP($L213,Vloersoorten[],3,FALSE)*VLOOKUP($Y213,Frequenties[],3,FALSE)*VLOOKUP(Ruimtestaat[[#This Row],[Code]],Locaties[],3,FALSE),0)</f>
        <v>0</v>
      </c>
      <c r="AB213" s="97">
        <f>Ruimtestaat[[#This Row],[Uitvoeringen weekend]]*Ruimtestaat[[#This Row],[Oppervlak (netto)]]</f>
        <v>0</v>
      </c>
      <c r="AC213" s="97">
        <f>IF(AA213&gt;0,Ruimtestaat[[#This Row],[Prest. (m2 /jaar) weekend]]/Ruimtestaat[[#This Row],[Norm (m2/uur) weekend]],0)</f>
        <v>0</v>
      </c>
      <c r="AD213" s="155">
        <f>Ruimtestaat[[#This Row],[uren / jaar weekend]]*Tariefsopbouw!$D$40</f>
        <v>0</v>
      </c>
      <c r="AE213" s="154">
        <f>Ruimtestaat[[#This Row],[Prest. (m2 /jaar) weekend]]+Ruimtestaat[[#This Row],[Prest. (m2 /jaar) werkdagen]]</f>
        <v>24000</v>
      </c>
      <c r="AF213" s="154">
        <f>Ruimtestaat[[#This Row],[uren / jaar weekend]]+Ruimtestaat[[#This Row],[uren / jaar werkdagen]]</f>
        <v>0</v>
      </c>
      <c r="AG213" s="69">
        <f>Ruimtestaat[[#This Row],[kosten / jaar weekend]]+Ruimtestaat[[#This Row],[kosten / jaar werkdagen]]</f>
        <v>0</v>
      </c>
      <c r="AH213" s="69"/>
      <c r="AI213" s="256" t="str">
        <f>IF(Ruimtestaat[[#This Row],[Frequentie werkdagen]]="","",_xlfn.CONCAT(Ruimtestaat[[#This Row],[Ruimte code]],"-",Ruimtestaat[[#This Row],[Frequentie werkdagen]]," ",Ruimtestaat[[#This Row],[Vloer code]]))</f>
        <v>16-5w L</v>
      </c>
      <c r="AJ213" s="300" t="str">
        <f>_xlfn.IFNA(VLOOKUP($AI213,Programma!$F$3:$G$1107,2,0),"")</f>
        <v>_</v>
      </c>
      <c r="AK213" s="300" t="str">
        <f>_xlfn.IFNA(VLOOKUP($AI213,Programma!$F$3:$H$1107,3,0),"")</f>
        <v>_</v>
      </c>
      <c r="AL213" s="300" t="str">
        <f>_xlfn.IFNA(VLOOKUP($AI213,Programma!$F$3:$I$1107,4,0),"")</f>
        <v>4w</v>
      </c>
      <c r="AM213" s="300" t="str">
        <f>_xlfn.IFNA(VLOOKUP($AI213,Programma!$F$3:$J$1107,5,0),"")</f>
        <v>1w</v>
      </c>
      <c r="AN213" s="300" t="str">
        <f>_xlfn.IFNA(VLOOKUP($AI213,Programma!$F$3:$K$1107,6,0),"")</f>
        <v>_</v>
      </c>
      <c r="AO213" s="300" t="str">
        <f>_xlfn.IFNA(VLOOKUP($AI213,Programma!$F$3:$L$1107,7,0),"")</f>
        <v>_</v>
      </c>
      <c r="AP213" s="300" t="str">
        <f>_xlfn.IFNA(VLOOKUP($AI213,Programma!$F$3:$M$1107,8,0),"")</f>
        <v>_</v>
      </c>
      <c r="AQ213" s="300" t="str">
        <f>_xlfn.IFNA(VLOOKUP($AI213,Programma!$F$3:$N$1107,9,0),"")</f>
        <v>_</v>
      </c>
      <c r="AR213" s="300" t="str">
        <f>_xlfn.IFNA(VLOOKUP($AI213,Programma!$F$3:$O$1107,10,0),"")</f>
        <v>5w</v>
      </c>
      <c r="AS213" s="300" t="str">
        <f>_xlfn.IFNA(VLOOKUP($AI213,Programma!$F$3:$P$1107,11,0),"")</f>
        <v>5w</v>
      </c>
      <c r="AT213" s="300" t="str">
        <f>_xlfn.IFNA(VLOOKUP($AI213,Programma!$F$3:$Q$1107,12,0),"")</f>
        <v>1w</v>
      </c>
      <c r="AU213" s="300" t="str">
        <f>_xlfn.IFNA(VLOOKUP($AI213,Programma!$F$3:$R$1107,13,0),"")</f>
        <v>1w</v>
      </c>
      <c r="AV213" s="300" t="str">
        <f>_xlfn.IFNA(VLOOKUP($AI213,Programma!$F$3:$S$1107,14,0),"")</f>
        <v>1m</v>
      </c>
      <c r="AW213" s="300" t="str">
        <f>_xlfn.IFNA(VLOOKUP($AI213,Programma!$F$3:$T$1107,15,0),"")</f>
        <v>2j</v>
      </c>
      <c r="AX213" s="300" t="str">
        <f>_xlfn.IFNA(VLOOKUP($AI213,Programma!$F$3:$U$1107,16,0),"")</f>
        <v>1j</v>
      </c>
      <c r="AY213" s="300" t="str">
        <f>_xlfn.IFNA(VLOOKUP($AI213,Programma!$F$3:$V$1107,17,0),"")</f>
        <v>_</v>
      </c>
      <c r="AZ213" s="300" t="str">
        <f>_xlfn.IFNA(VLOOKUP($AI213,Programma!$F$3:$W$1107,18,0),"")</f>
        <v>_</v>
      </c>
      <c r="BA213" s="300" t="str">
        <f>_xlfn.IFNA(VLOOKUP($AI213,Programma!$F$3:$X$1107,19,0),"")</f>
        <v>_</v>
      </c>
      <c r="BB213" s="300" t="str">
        <f>_xlfn.IFNA(VLOOKUP($AI213,Programma!$F$3:$Y$1107,20,0),"")</f>
        <v>_</v>
      </c>
      <c r="BC213" s="257"/>
      <c r="BD213" s="256" t="str">
        <f>IF(Ruimtestaat[[#This Row],[Frequentie weekend]]="","",_xlfn.CONCAT(Ruimtestaat[[#This Row],[Ruimte code]],"-",Ruimtestaat[[#This Row],[Frequentie weekend]]," ",Ruimtestaat[[#This Row],[Vloer code]]))</f>
        <v/>
      </c>
      <c r="BE213" s="300" t="str">
        <f>_xlfn.IFNA(VLOOKUP($BD213,Programma!$F$3:$G$1107,2,0),"")</f>
        <v/>
      </c>
      <c r="BF213" s="300" t="str">
        <f>_xlfn.IFNA(VLOOKUP($BD213,Programma!$F$3:$H$1107,3,0),"")</f>
        <v/>
      </c>
      <c r="BG213" s="300" t="str">
        <f>_xlfn.IFNA(VLOOKUP($BD213,Programma!$F$3:$I$1107,4,0),"")</f>
        <v/>
      </c>
      <c r="BH213" s="300" t="str">
        <f>_xlfn.IFNA(VLOOKUP($BD213,Programma!$F$3:$J$1107,5,0),"")</f>
        <v/>
      </c>
      <c r="BI213" s="300" t="str">
        <f>_xlfn.IFNA(VLOOKUP($BD213,Programma!$F$3:$K$1107,6,0),"")</f>
        <v/>
      </c>
      <c r="BJ213" s="300" t="str">
        <f>_xlfn.IFNA(VLOOKUP($BD213,Programma!$F$3:$L$1107,7,0),"")</f>
        <v/>
      </c>
      <c r="BK213" s="300" t="str">
        <f>_xlfn.IFNA(VLOOKUP($BD213,Programma!$F$3:$M$1107,8,0),"")</f>
        <v/>
      </c>
      <c r="BL213" s="300" t="str">
        <f>_xlfn.IFNA(VLOOKUP($BD213,Programma!$F$3:$N$1107,9,0),"")</f>
        <v/>
      </c>
      <c r="BM213" s="300" t="str">
        <f>_xlfn.IFNA(VLOOKUP($BD213,Programma!$F$3:$O$1107,10,0),"")</f>
        <v/>
      </c>
      <c r="BN213" s="300" t="str">
        <f>_xlfn.IFNA(VLOOKUP($BD213,Programma!$F$3:$P$1107,11,0),"")</f>
        <v/>
      </c>
      <c r="BO213" s="300" t="str">
        <f>_xlfn.IFNA(VLOOKUP($BD213,Programma!$F$3:$Q$1107,12,0),"")</f>
        <v/>
      </c>
      <c r="BP213" s="300" t="str">
        <f>_xlfn.IFNA(VLOOKUP($BD213,Programma!$F$3:$R$1107,13,0),"")</f>
        <v/>
      </c>
      <c r="BQ213" s="300" t="str">
        <f>_xlfn.IFNA(VLOOKUP($BD213,Programma!$F$3:$S$1107,14,0),"")</f>
        <v/>
      </c>
      <c r="BR213" s="300" t="str">
        <f>_xlfn.IFNA(VLOOKUP($BD213,Programma!$F$3:$T$1107,15,0),"")</f>
        <v/>
      </c>
      <c r="BS213" s="300" t="str">
        <f>_xlfn.IFNA(VLOOKUP($BD213,Programma!$F$3:$U$1107,16,0),"")</f>
        <v/>
      </c>
      <c r="BT213" s="300" t="str">
        <f>_xlfn.IFNA(VLOOKUP($BD213,Programma!$F$3:$V$1107,17,0),"")</f>
        <v/>
      </c>
      <c r="BU213" s="300" t="str">
        <f>_xlfn.IFNA(VLOOKUP($BD213,Programma!$F$3:$W$1107,18,0),"")</f>
        <v/>
      </c>
      <c r="BV213" s="300" t="str">
        <f>_xlfn.IFNA(VLOOKUP($BD213,Programma!$F$3:$X$1107,19,0),"")</f>
        <v/>
      </c>
      <c r="BW213" s="300" t="str">
        <f>_xlfn.IFNA(VLOOKUP($BD213,Programma!$F$3:$Y$1107,20,0),"")</f>
        <v/>
      </c>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row>
    <row r="214" spans="1:220" ht="15" customHeight="1">
      <c r="A214" s="21">
        <v>4</v>
      </c>
      <c r="B214" s="157" t="str">
        <f>VLOOKUP(Ruimtestaat[[#This Row],[Code]],Locaties[[Code]:[Locatie]],2,FALSE)</f>
        <v>Sint-Maartenscollege</v>
      </c>
      <c r="C214" s="157" t="str">
        <f>VLOOKUP(Ruimtestaat[[#This Row],[Code]],Locaties[[#All],[Code]:[Adres]],4,FALSE)</f>
        <v xml:space="preserve">Aart v.d. Leeuwkade 14 </v>
      </c>
      <c r="D214" s="157" t="str">
        <f>VLOOKUP(Ruimtestaat[[#This Row],[Code]],Locaties[[#All],[Code]:[Postcode]],5,FALSE)</f>
        <v>2274 KX</v>
      </c>
      <c r="E214" s="157" t="str">
        <f>VLOOKUP(Ruimtestaat[[#This Row],[Code]],Locaties[#All],6,FALSE)</f>
        <v>Voorburg</v>
      </c>
      <c r="F214" s="33"/>
      <c r="G214" s="33" t="s">
        <v>1632</v>
      </c>
      <c r="H214" s="21">
        <v>37</v>
      </c>
      <c r="I214" s="62" t="s">
        <v>1878</v>
      </c>
      <c r="J214" s="21">
        <v>16</v>
      </c>
      <c r="K214" s="62" t="str">
        <f>VLOOKUP(Ruimtestaat[[#This Row],[Ruimte code]],Ruimtegroepen[[#All],[Code]:[Ruimte omschrijving]],2,FALSE)</f>
        <v>Leslokalen theorie</v>
      </c>
      <c r="L214" s="33" t="s">
        <v>101</v>
      </c>
      <c r="M214" s="367" t="s">
        <v>2495</v>
      </c>
      <c r="N214" s="140">
        <v>128</v>
      </c>
      <c r="O214" s="140"/>
      <c r="P214" s="125" t="str">
        <f>VLOOKUP(Ruimtestaat[[#This Row],[Ruimte code]],Ruimtegroepen[],4,FALSE)</f>
        <v>Le</v>
      </c>
      <c r="R214" s="33">
        <v>40</v>
      </c>
      <c r="S214" s="33" t="s">
        <v>2</v>
      </c>
      <c r="T214" s="33">
        <f>IF(R214&gt;0,IF(RIGHT(Ruimtestaat[[#This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4" s="33">
        <f>IF(T214&gt;0,VLOOKUP($J214,Ruimtegroepen[],3,FALSE)*VLOOKUP($L214,Vloersoorten[],3,FALSE)*VLOOKUP($S214,Frequenties[],3,FALSE)*VLOOKUP($A214,Locaties[],3,FALSE),0)</f>
        <v>0</v>
      </c>
      <c r="V214" s="33">
        <f>Ruimtestaat[[#This Row],[Uitvoeringen werkdagen]]*Ruimtestaat[[#This Row],[Oppervlak (netto)]]</f>
        <v>25600</v>
      </c>
      <c r="W214" s="154">
        <f>IF(U214&gt;0,Ruimtestaat[[#This Row],[Prest. (m2 /jaar) werkdagen]]/Ruimtestaat[[#This Row],[Norm (m2/uur) werkdagen]],0)</f>
        <v>0</v>
      </c>
      <c r="X214" s="155">
        <f>Ruimtestaat[[#This Row],[uren / jaar werkdagen]]*Tariefsopbouw!$E$35</f>
        <v>0</v>
      </c>
      <c r="Y214" s="33"/>
      <c r="Z214" s="33">
        <f>IF(Ruimtestaat[[#This Row],[Frequentie weekend]]&gt;0,VALUE(LEFT(Y214,1))*R214,0)</f>
        <v>0</v>
      </c>
      <c r="AA214" s="97">
        <f>IF($Z214&gt;0,VLOOKUP($J214,Ruimtegroepen[],3,FALSE)*VLOOKUP($L214,Vloersoorten[],3,FALSE)*VLOOKUP($Y214,Frequenties[],3,FALSE)*VLOOKUP(Ruimtestaat[[#This Row],[Code]],Locaties[],3,FALSE),0)</f>
        <v>0</v>
      </c>
      <c r="AB214" s="97">
        <f>Ruimtestaat[[#This Row],[Uitvoeringen weekend]]*Ruimtestaat[[#This Row],[Oppervlak (netto)]]</f>
        <v>0</v>
      </c>
      <c r="AC214" s="97">
        <f>IF(AA214&gt;0,Ruimtestaat[[#This Row],[Prest. (m2 /jaar) weekend]]/Ruimtestaat[[#This Row],[Norm (m2/uur) weekend]],0)</f>
        <v>0</v>
      </c>
      <c r="AD214" s="155">
        <f>Ruimtestaat[[#This Row],[uren / jaar weekend]]*Tariefsopbouw!$D$40</f>
        <v>0</v>
      </c>
      <c r="AE214" s="154">
        <f>Ruimtestaat[[#This Row],[Prest. (m2 /jaar) weekend]]+Ruimtestaat[[#This Row],[Prest. (m2 /jaar) werkdagen]]</f>
        <v>25600</v>
      </c>
      <c r="AF214" s="154">
        <f>Ruimtestaat[[#This Row],[uren / jaar weekend]]+Ruimtestaat[[#This Row],[uren / jaar werkdagen]]</f>
        <v>0</v>
      </c>
      <c r="AG214" s="69">
        <f>Ruimtestaat[[#This Row],[kosten / jaar weekend]]+Ruimtestaat[[#This Row],[kosten / jaar werkdagen]]</f>
        <v>0</v>
      </c>
      <c r="AH214" s="69"/>
      <c r="AI214" s="256" t="str">
        <f>IF(Ruimtestaat[[#This Row],[Frequentie werkdagen]]="","",_xlfn.CONCAT(Ruimtestaat[[#This Row],[Ruimte code]],"-",Ruimtestaat[[#This Row],[Frequentie werkdagen]]," ",Ruimtestaat[[#This Row],[Vloer code]]))</f>
        <v>16-5w L</v>
      </c>
      <c r="AJ214" s="300" t="str">
        <f>_xlfn.IFNA(VLOOKUP($AI214,Programma!$F$3:$G$1107,2,0),"")</f>
        <v>_</v>
      </c>
      <c r="AK214" s="300" t="str">
        <f>_xlfn.IFNA(VLOOKUP($AI214,Programma!$F$3:$H$1107,3,0),"")</f>
        <v>_</v>
      </c>
      <c r="AL214" s="300" t="str">
        <f>_xlfn.IFNA(VLOOKUP($AI214,Programma!$F$3:$I$1107,4,0),"")</f>
        <v>4w</v>
      </c>
      <c r="AM214" s="300" t="str">
        <f>_xlfn.IFNA(VLOOKUP($AI214,Programma!$F$3:$J$1107,5,0),"")</f>
        <v>1w</v>
      </c>
      <c r="AN214" s="300" t="str">
        <f>_xlfn.IFNA(VLOOKUP($AI214,Programma!$F$3:$K$1107,6,0),"")</f>
        <v>_</v>
      </c>
      <c r="AO214" s="300" t="str">
        <f>_xlfn.IFNA(VLOOKUP($AI214,Programma!$F$3:$L$1107,7,0),"")</f>
        <v>_</v>
      </c>
      <c r="AP214" s="300" t="str">
        <f>_xlfn.IFNA(VLOOKUP($AI214,Programma!$F$3:$M$1107,8,0),"")</f>
        <v>_</v>
      </c>
      <c r="AQ214" s="300" t="str">
        <f>_xlfn.IFNA(VLOOKUP($AI214,Programma!$F$3:$N$1107,9,0),"")</f>
        <v>_</v>
      </c>
      <c r="AR214" s="300" t="str">
        <f>_xlfn.IFNA(VLOOKUP($AI214,Programma!$F$3:$O$1107,10,0),"")</f>
        <v>5w</v>
      </c>
      <c r="AS214" s="300" t="str">
        <f>_xlfn.IFNA(VLOOKUP($AI214,Programma!$F$3:$P$1107,11,0),"")</f>
        <v>5w</v>
      </c>
      <c r="AT214" s="300" t="str">
        <f>_xlfn.IFNA(VLOOKUP($AI214,Programma!$F$3:$Q$1107,12,0),"")</f>
        <v>1w</v>
      </c>
      <c r="AU214" s="300" t="str">
        <f>_xlfn.IFNA(VLOOKUP($AI214,Programma!$F$3:$R$1107,13,0),"")</f>
        <v>1w</v>
      </c>
      <c r="AV214" s="300" t="str">
        <f>_xlfn.IFNA(VLOOKUP($AI214,Programma!$F$3:$S$1107,14,0),"")</f>
        <v>1m</v>
      </c>
      <c r="AW214" s="300" t="str">
        <f>_xlfn.IFNA(VLOOKUP($AI214,Programma!$F$3:$T$1107,15,0),"")</f>
        <v>2j</v>
      </c>
      <c r="AX214" s="300" t="str">
        <f>_xlfn.IFNA(VLOOKUP($AI214,Programma!$F$3:$U$1107,16,0),"")</f>
        <v>1j</v>
      </c>
      <c r="AY214" s="300" t="str">
        <f>_xlfn.IFNA(VLOOKUP($AI214,Programma!$F$3:$V$1107,17,0),"")</f>
        <v>_</v>
      </c>
      <c r="AZ214" s="300" t="str">
        <f>_xlfn.IFNA(VLOOKUP($AI214,Programma!$F$3:$W$1107,18,0),"")</f>
        <v>_</v>
      </c>
      <c r="BA214" s="300" t="str">
        <f>_xlfn.IFNA(VLOOKUP($AI214,Programma!$F$3:$X$1107,19,0),"")</f>
        <v>_</v>
      </c>
      <c r="BB214" s="300" t="str">
        <f>_xlfn.IFNA(VLOOKUP($AI214,Programma!$F$3:$Y$1107,20,0),"")</f>
        <v>_</v>
      </c>
      <c r="BC214" s="257"/>
      <c r="BD214" s="256" t="str">
        <f>IF(Ruimtestaat[[#This Row],[Frequentie weekend]]="","",_xlfn.CONCAT(Ruimtestaat[[#This Row],[Ruimte code]],"-",Ruimtestaat[[#This Row],[Frequentie weekend]]," ",Ruimtestaat[[#This Row],[Vloer code]]))</f>
        <v/>
      </c>
      <c r="BE214" s="300" t="str">
        <f>_xlfn.IFNA(VLOOKUP($BD214,Programma!$F$3:$G$1107,2,0),"")</f>
        <v/>
      </c>
      <c r="BF214" s="300" t="str">
        <f>_xlfn.IFNA(VLOOKUP($BD214,Programma!$F$3:$H$1107,3,0),"")</f>
        <v/>
      </c>
      <c r="BG214" s="300" t="str">
        <f>_xlfn.IFNA(VLOOKUP($BD214,Programma!$F$3:$I$1107,4,0),"")</f>
        <v/>
      </c>
      <c r="BH214" s="300" t="str">
        <f>_xlfn.IFNA(VLOOKUP($BD214,Programma!$F$3:$J$1107,5,0),"")</f>
        <v/>
      </c>
      <c r="BI214" s="300" t="str">
        <f>_xlfn.IFNA(VLOOKUP($BD214,Programma!$F$3:$K$1107,6,0),"")</f>
        <v/>
      </c>
      <c r="BJ214" s="300" t="str">
        <f>_xlfn.IFNA(VLOOKUP($BD214,Programma!$F$3:$L$1107,7,0),"")</f>
        <v/>
      </c>
      <c r="BK214" s="300" t="str">
        <f>_xlfn.IFNA(VLOOKUP($BD214,Programma!$F$3:$M$1107,8,0),"")</f>
        <v/>
      </c>
      <c r="BL214" s="300" t="str">
        <f>_xlfn.IFNA(VLOOKUP($BD214,Programma!$F$3:$N$1107,9,0),"")</f>
        <v/>
      </c>
      <c r="BM214" s="300" t="str">
        <f>_xlfn.IFNA(VLOOKUP($BD214,Programma!$F$3:$O$1107,10,0),"")</f>
        <v/>
      </c>
      <c r="BN214" s="300" t="str">
        <f>_xlfn.IFNA(VLOOKUP($BD214,Programma!$F$3:$P$1107,11,0),"")</f>
        <v/>
      </c>
      <c r="BO214" s="300" t="str">
        <f>_xlfn.IFNA(VLOOKUP($BD214,Programma!$F$3:$Q$1107,12,0),"")</f>
        <v/>
      </c>
      <c r="BP214" s="300" t="str">
        <f>_xlfn.IFNA(VLOOKUP($BD214,Programma!$F$3:$R$1107,13,0),"")</f>
        <v/>
      </c>
      <c r="BQ214" s="300" t="str">
        <f>_xlfn.IFNA(VLOOKUP($BD214,Programma!$F$3:$S$1107,14,0),"")</f>
        <v/>
      </c>
      <c r="BR214" s="300" t="str">
        <f>_xlfn.IFNA(VLOOKUP($BD214,Programma!$F$3:$T$1107,15,0),"")</f>
        <v/>
      </c>
      <c r="BS214" s="300" t="str">
        <f>_xlfn.IFNA(VLOOKUP($BD214,Programma!$F$3:$U$1107,16,0),"")</f>
        <v/>
      </c>
      <c r="BT214" s="300" t="str">
        <f>_xlfn.IFNA(VLOOKUP($BD214,Programma!$F$3:$V$1107,17,0),"")</f>
        <v/>
      </c>
      <c r="BU214" s="300" t="str">
        <f>_xlfn.IFNA(VLOOKUP($BD214,Programma!$F$3:$W$1107,18,0),"")</f>
        <v/>
      </c>
      <c r="BV214" s="300" t="str">
        <f>_xlfn.IFNA(VLOOKUP($BD214,Programma!$F$3:$X$1107,19,0),"")</f>
        <v/>
      </c>
      <c r="BW214" s="300" t="str">
        <f>_xlfn.IFNA(VLOOKUP($BD214,Programma!$F$3:$Y$1107,20,0),"")</f>
        <v/>
      </c>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row>
    <row r="215" spans="1:220" ht="15" customHeight="1">
      <c r="A215" s="21">
        <v>4</v>
      </c>
      <c r="B215" s="157" t="str">
        <f>VLOOKUP(Ruimtestaat[[#This Row],[Code]],Locaties[[Code]:[Locatie]],2,FALSE)</f>
        <v>Sint-Maartenscollege</v>
      </c>
      <c r="C215" s="157" t="str">
        <f>VLOOKUP(Ruimtestaat[[#This Row],[Code]],Locaties[[#All],[Code]:[Adres]],4,FALSE)</f>
        <v xml:space="preserve">Aart v.d. Leeuwkade 14 </v>
      </c>
      <c r="D215" s="157" t="str">
        <f>VLOOKUP(Ruimtestaat[[#This Row],[Code]],Locaties[[#All],[Code]:[Postcode]],5,FALSE)</f>
        <v>2274 KX</v>
      </c>
      <c r="E215" s="157" t="str">
        <f>VLOOKUP(Ruimtestaat[[#This Row],[Code]],Locaties[#All],6,FALSE)</f>
        <v>Voorburg</v>
      </c>
      <c r="F215" s="62"/>
      <c r="G215" s="21" t="s">
        <v>1632</v>
      </c>
      <c r="H215" s="21">
        <v>38</v>
      </c>
      <c r="I215" s="62" t="s">
        <v>1879</v>
      </c>
      <c r="J215" s="21">
        <v>20</v>
      </c>
      <c r="K215" s="62" t="str">
        <f>VLOOKUP(Ruimtestaat[[#This Row],[Ruimte code]],Ruimtegroepen[[#All],[Code]:[Ruimte omschrijving]],2,FALSE)</f>
        <v>Niet in Onderhoud</v>
      </c>
      <c r="L215" s="33" t="s">
        <v>102</v>
      </c>
      <c r="M215" s="367" t="s">
        <v>2502</v>
      </c>
      <c r="N215" s="140"/>
      <c r="O215" s="140">
        <v>26</v>
      </c>
      <c r="P215" s="125">
        <f>VLOOKUP(Ruimtestaat[[#This Row],[Ruimte code]],Ruimtegroepen[],4,FALSE)</f>
        <v>0</v>
      </c>
      <c r="R215" s="33"/>
      <c r="S215" s="33"/>
      <c r="T215" s="33">
        <f>IF(R215&gt;0,IF(RIGHT(Ruimtestaat[[#This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15" s="33">
        <f>IF(T215&gt;0,VLOOKUP($J215,Ruimtegroepen[],3,FALSE)*VLOOKUP($L215,Vloersoorten[],3,FALSE)*VLOOKUP($S215,Frequenties[],3,FALSE)*VLOOKUP($A215,Locaties[],3,FALSE),0)</f>
        <v>0</v>
      </c>
      <c r="V215" s="33">
        <f>Ruimtestaat[[#This Row],[Uitvoeringen werkdagen]]*Ruimtestaat[[#This Row],[Oppervlak (netto)]]</f>
        <v>0</v>
      </c>
      <c r="W215" s="154">
        <f>IF(U215&gt;0,Ruimtestaat[[#This Row],[Prest. (m2 /jaar) werkdagen]]/Ruimtestaat[[#This Row],[Norm (m2/uur) werkdagen]],0)</f>
        <v>0</v>
      </c>
      <c r="X215" s="155">
        <f>Ruimtestaat[[#This Row],[uren / jaar werkdagen]]*Tariefsopbouw!$E$35</f>
        <v>0</v>
      </c>
      <c r="Y215" s="33"/>
      <c r="Z215" s="33">
        <f>IF(Ruimtestaat[[#This Row],[Frequentie weekend]]&gt;0,VALUE(LEFT(Y215,1))*R215,0)</f>
        <v>0</v>
      </c>
      <c r="AA215" s="97">
        <f>IF($Z215&gt;0,VLOOKUP($J215,Ruimtegroepen[],3,FALSE)*VLOOKUP($L215,Vloersoorten[],3,FALSE)*VLOOKUP($Y215,Frequenties[],3,FALSE)*VLOOKUP(Ruimtestaat[[#This Row],[Code]],Locaties[],3,FALSE),0)</f>
        <v>0</v>
      </c>
      <c r="AB215" s="97">
        <f>Ruimtestaat[[#This Row],[Uitvoeringen weekend]]*Ruimtestaat[[#This Row],[Oppervlak (netto)]]</f>
        <v>0</v>
      </c>
      <c r="AC215" s="97">
        <f>IF(AA215&gt;0,Ruimtestaat[[#This Row],[Prest. (m2 /jaar) weekend]]/Ruimtestaat[[#This Row],[Norm (m2/uur) weekend]],0)</f>
        <v>0</v>
      </c>
      <c r="AD215" s="155">
        <f>Ruimtestaat[[#This Row],[uren / jaar weekend]]*Tariefsopbouw!$D$40</f>
        <v>0</v>
      </c>
      <c r="AE215" s="154">
        <f>Ruimtestaat[[#This Row],[Prest. (m2 /jaar) weekend]]+Ruimtestaat[[#This Row],[Prest. (m2 /jaar) werkdagen]]</f>
        <v>0</v>
      </c>
      <c r="AF215" s="154">
        <f>Ruimtestaat[[#This Row],[uren / jaar weekend]]+Ruimtestaat[[#This Row],[uren / jaar werkdagen]]</f>
        <v>0</v>
      </c>
      <c r="AG215" s="69">
        <f>Ruimtestaat[[#This Row],[kosten / jaar weekend]]+Ruimtestaat[[#This Row],[kosten / jaar werkdagen]]</f>
        <v>0</v>
      </c>
      <c r="AH215" s="69"/>
      <c r="AI215" s="256" t="str">
        <f>IF(Ruimtestaat[[#This Row],[Frequentie werkdagen]]="","",_xlfn.CONCAT(Ruimtestaat[[#This Row],[Ruimte code]],"-",Ruimtestaat[[#This Row],[Frequentie werkdagen]]," ",Ruimtestaat[[#This Row],[Vloer code]]))</f>
        <v/>
      </c>
      <c r="AJ215" s="300" t="str">
        <f>_xlfn.IFNA(VLOOKUP($AI215,Programma!$F$3:$G$1107,2,0),"")</f>
        <v/>
      </c>
      <c r="AK215" s="300" t="str">
        <f>_xlfn.IFNA(VLOOKUP($AI215,Programma!$F$3:$H$1107,3,0),"")</f>
        <v/>
      </c>
      <c r="AL215" s="300" t="str">
        <f>_xlfn.IFNA(VLOOKUP($AI215,Programma!$F$3:$I$1107,4,0),"")</f>
        <v/>
      </c>
      <c r="AM215" s="300" t="str">
        <f>_xlfn.IFNA(VLOOKUP($AI215,Programma!$F$3:$J$1107,5,0),"")</f>
        <v/>
      </c>
      <c r="AN215" s="300" t="str">
        <f>_xlfn.IFNA(VLOOKUP($AI215,Programma!$F$3:$K$1107,6,0),"")</f>
        <v/>
      </c>
      <c r="AO215" s="300" t="str">
        <f>_xlfn.IFNA(VLOOKUP($AI215,Programma!$F$3:$L$1107,7,0),"")</f>
        <v/>
      </c>
      <c r="AP215" s="300" t="str">
        <f>_xlfn.IFNA(VLOOKUP($AI215,Programma!$F$3:$M$1107,8,0),"")</f>
        <v/>
      </c>
      <c r="AQ215" s="300" t="str">
        <f>_xlfn.IFNA(VLOOKUP($AI215,Programma!$F$3:$N$1107,9,0),"")</f>
        <v/>
      </c>
      <c r="AR215" s="300" t="str">
        <f>_xlfn.IFNA(VLOOKUP($AI215,Programma!$F$3:$O$1107,10,0),"")</f>
        <v/>
      </c>
      <c r="AS215" s="300" t="str">
        <f>_xlfn.IFNA(VLOOKUP($AI215,Programma!$F$3:$P$1107,11,0),"")</f>
        <v/>
      </c>
      <c r="AT215" s="300" t="str">
        <f>_xlfn.IFNA(VLOOKUP($AI215,Programma!$F$3:$Q$1107,12,0),"")</f>
        <v/>
      </c>
      <c r="AU215" s="300" t="str">
        <f>_xlfn.IFNA(VLOOKUP($AI215,Programma!$F$3:$R$1107,13,0),"")</f>
        <v/>
      </c>
      <c r="AV215" s="300" t="str">
        <f>_xlfn.IFNA(VLOOKUP($AI215,Programma!$F$3:$S$1107,14,0),"")</f>
        <v/>
      </c>
      <c r="AW215" s="300" t="str">
        <f>_xlfn.IFNA(VLOOKUP($AI215,Programma!$F$3:$T$1107,15,0),"")</f>
        <v/>
      </c>
      <c r="AX215" s="300" t="str">
        <f>_xlfn.IFNA(VLOOKUP($AI215,Programma!$F$3:$U$1107,16,0),"")</f>
        <v/>
      </c>
      <c r="AY215" s="300" t="str">
        <f>_xlfn.IFNA(VLOOKUP($AI215,Programma!$F$3:$V$1107,17,0),"")</f>
        <v/>
      </c>
      <c r="AZ215" s="300" t="str">
        <f>_xlfn.IFNA(VLOOKUP($AI215,Programma!$F$3:$W$1107,18,0),"")</f>
        <v/>
      </c>
      <c r="BA215" s="300" t="str">
        <f>_xlfn.IFNA(VLOOKUP($AI215,Programma!$F$3:$X$1107,19,0),"")</f>
        <v/>
      </c>
      <c r="BB215" s="300" t="str">
        <f>_xlfn.IFNA(VLOOKUP($AI215,Programma!$F$3:$Y$1107,20,0),"")</f>
        <v/>
      </c>
      <c r="BC215" s="257"/>
      <c r="BD215" s="256" t="str">
        <f>IF(Ruimtestaat[[#This Row],[Frequentie weekend]]="","",_xlfn.CONCAT(Ruimtestaat[[#This Row],[Ruimte code]],"-",Ruimtestaat[[#This Row],[Frequentie weekend]]," ",Ruimtestaat[[#This Row],[Vloer code]]))</f>
        <v/>
      </c>
      <c r="BE215" s="300" t="str">
        <f>_xlfn.IFNA(VLOOKUP($BD215,Programma!$F$3:$G$1107,2,0),"")</f>
        <v/>
      </c>
      <c r="BF215" s="300" t="str">
        <f>_xlfn.IFNA(VLOOKUP($BD215,Programma!$F$3:$H$1107,3,0),"")</f>
        <v/>
      </c>
      <c r="BG215" s="300" t="str">
        <f>_xlfn.IFNA(VLOOKUP($BD215,Programma!$F$3:$I$1107,4,0),"")</f>
        <v/>
      </c>
      <c r="BH215" s="300" t="str">
        <f>_xlfn.IFNA(VLOOKUP($BD215,Programma!$F$3:$J$1107,5,0),"")</f>
        <v/>
      </c>
      <c r="BI215" s="300" t="str">
        <f>_xlfn.IFNA(VLOOKUP($BD215,Programma!$F$3:$K$1107,6,0),"")</f>
        <v/>
      </c>
      <c r="BJ215" s="300" t="str">
        <f>_xlfn.IFNA(VLOOKUP($BD215,Programma!$F$3:$L$1107,7,0),"")</f>
        <v/>
      </c>
      <c r="BK215" s="300" t="str">
        <f>_xlfn.IFNA(VLOOKUP($BD215,Programma!$F$3:$M$1107,8,0),"")</f>
        <v/>
      </c>
      <c r="BL215" s="300" t="str">
        <f>_xlfn.IFNA(VLOOKUP($BD215,Programma!$F$3:$N$1107,9,0),"")</f>
        <v/>
      </c>
      <c r="BM215" s="300" t="str">
        <f>_xlfn.IFNA(VLOOKUP($BD215,Programma!$F$3:$O$1107,10,0),"")</f>
        <v/>
      </c>
      <c r="BN215" s="300" t="str">
        <f>_xlfn.IFNA(VLOOKUP($BD215,Programma!$F$3:$P$1107,11,0),"")</f>
        <v/>
      </c>
      <c r="BO215" s="300" t="str">
        <f>_xlfn.IFNA(VLOOKUP($BD215,Programma!$F$3:$Q$1107,12,0),"")</f>
        <v/>
      </c>
      <c r="BP215" s="300" t="str">
        <f>_xlfn.IFNA(VLOOKUP($BD215,Programma!$F$3:$R$1107,13,0),"")</f>
        <v/>
      </c>
      <c r="BQ215" s="300" t="str">
        <f>_xlfn.IFNA(VLOOKUP($BD215,Programma!$F$3:$S$1107,14,0),"")</f>
        <v/>
      </c>
      <c r="BR215" s="300" t="str">
        <f>_xlfn.IFNA(VLOOKUP($BD215,Programma!$F$3:$T$1107,15,0),"")</f>
        <v/>
      </c>
      <c r="BS215" s="300" t="str">
        <f>_xlfn.IFNA(VLOOKUP($BD215,Programma!$F$3:$U$1107,16,0),"")</f>
        <v/>
      </c>
      <c r="BT215" s="300" t="str">
        <f>_xlfn.IFNA(VLOOKUP($BD215,Programma!$F$3:$V$1107,17,0),"")</f>
        <v/>
      </c>
      <c r="BU215" s="300" t="str">
        <f>_xlfn.IFNA(VLOOKUP($BD215,Programma!$F$3:$W$1107,18,0),"")</f>
        <v/>
      </c>
      <c r="BV215" s="300" t="str">
        <f>_xlfn.IFNA(VLOOKUP($BD215,Programma!$F$3:$X$1107,19,0),"")</f>
        <v/>
      </c>
      <c r="BW215" s="300" t="str">
        <f>_xlfn.IFNA(VLOOKUP($BD215,Programma!$F$3:$Y$1107,20,0),"")</f>
        <v/>
      </c>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row>
    <row r="216" spans="1:220" ht="15" customHeight="1">
      <c r="A216" s="21">
        <v>4</v>
      </c>
      <c r="B216" s="157" t="str">
        <f>VLOOKUP(Ruimtestaat[[#This Row],[Code]],Locaties[[Code]:[Locatie]],2,FALSE)</f>
        <v>Sint-Maartenscollege</v>
      </c>
      <c r="C216" s="157" t="str">
        <f>VLOOKUP(Ruimtestaat[[#This Row],[Code]],Locaties[[#All],[Code]:[Adres]],4,FALSE)</f>
        <v xml:space="preserve">Aart v.d. Leeuwkade 14 </v>
      </c>
      <c r="D216" s="157" t="str">
        <f>VLOOKUP(Ruimtestaat[[#This Row],[Code]],Locaties[[#All],[Code]:[Postcode]],5,FALSE)</f>
        <v>2274 KX</v>
      </c>
      <c r="E216" s="157" t="str">
        <f>VLOOKUP(Ruimtestaat[[#This Row],[Code]],Locaties[#All],6,FALSE)</f>
        <v>Voorburg</v>
      </c>
      <c r="F216" s="62"/>
      <c r="G216" s="21" t="s">
        <v>1632</v>
      </c>
      <c r="H216" s="21">
        <v>39</v>
      </c>
      <c r="I216" s="62" t="s">
        <v>1652</v>
      </c>
      <c r="J216" s="21">
        <v>20</v>
      </c>
      <c r="K216" s="62" t="str">
        <f>VLOOKUP(Ruimtestaat[[#This Row],[Ruimte code]],Ruimtegroepen[[#All],[Code]:[Ruimte omschrijving]],2,FALSE)</f>
        <v>Niet in Onderhoud</v>
      </c>
      <c r="L216" s="33" t="s">
        <v>101</v>
      </c>
      <c r="M216" s="367" t="s">
        <v>2495</v>
      </c>
      <c r="N216" s="140">
        <v>58</v>
      </c>
      <c r="O216" s="140"/>
      <c r="P216" s="125">
        <f>VLOOKUP(Ruimtestaat[[#This Row],[Ruimte code]],Ruimtegroepen[],4,FALSE)</f>
        <v>0</v>
      </c>
      <c r="Q216" s="125" t="s">
        <v>2536</v>
      </c>
      <c r="R216" s="33"/>
      <c r="S216" s="33"/>
      <c r="T216" s="33">
        <f>IF(R216&gt;0,IF(RIGHT(Ruimtestaat[[#This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16" s="33">
        <f>IF(T216&gt;0,VLOOKUP($J216,Ruimtegroepen[],3,FALSE)*VLOOKUP($L216,Vloersoorten[],3,FALSE)*VLOOKUP($S216,Frequenties[],3,FALSE)*VLOOKUP($A216,Locaties[],3,FALSE),0)</f>
        <v>0</v>
      </c>
      <c r="V216" s="33">
        <f>Ruimtestaat[[#This Row],[Uitvoeringen werkdagen]]*Ruimtestaat[[#This Row],[Oppervlak (netto)]]</f>
        <v>0</v>
      </c>
      <c r="W216" s="154">
        <f>IF(U216&gt;0,Ruimtestaat[[#This Row],[Prest. (m2 /jaar) werkdagen]]/Ruimtestaat[[#This Row],[Norm (m2/uur) werkdagen]],0)</f>
        <v>0</v>
      </c>
      <c r="X216" s="155">
        <f>Ruimtestaat[[#This Row],[uren / jaar werkdagen]]*Tariefsopbouw!$E$35</f>
        <v>0</v>
      </c>
      <c r="Y216" s="33"/>
      <c r="Z216" s="33">
        <f>IF(Ruimtestaat[[#This Row],[Frequentie weekend]]&gt;0,VALUE(LEFT(Y216,1))*R216,0)</f>
        <v>0</v>
      </c>
      <c r="AA216" s="97">
        <f>IF($Z216&gt;0,VLOOKUP($J216,Ruimtegroepen[],3,FALSE)*VLOOKUP($L216,Vloersoorten[],3,FALSE)*VLOOKUP($Y216,Frequenties[],3,FALSE)*VLOOKUP(Ruimtestaat[[#This Row],[Code]],Locaties[],3,FALSE),0)</f>
        <v>0</v>
      </c>
      <c r="AB216" s="97">
        <f>Ruimtestaat[[#This Row],[Uitvoeringen weekend]]*Ruimtestaat[[#This Row],[Oppervlak (netto)]]</f>
        <v>0</v>
      </c>
      <c r="AC216" s="97">
        <f>IF(AA216&gt;0,Ruimtestaat[[#This Row],[Prest. (m2 /jaar) weekend]]/Ruimtestaat[[#This Row],[Norm (m2/uur) weekend]],0)</f>
        <v>0</v>
      </c>
      <c r="AD216" s="155">
        <f>Ruimtestaat[[#This Row],[uren / jaar weekend]]*Tariefsopbouw!$D$40</f>
        <v>0</v>
      </c>
      <c r="AE216" s="154">
        <f>Ruimtestaat[[#This Row],[Prest. (m2 /jaar) weekend]]+Ruimtestaat[[#This Row],[Prest. (m2 /jaar) werkdagen]]</f>
        <v>0</v>
      </c>
      <c r="AF216" s="154">
        <f>Ruimtestaat[[#This Row],[uren / jaar weekend]]+Ruimtestaat[[#This Row],[uren / jaar werkdagen]]</f>
        <v>0</v>
      </c>
      <c r="AG216" s="69">
        <f>Ruimtestaat[[#This Row],[kosten / jaar weekend]]+Ruimtestaat[[#This Row],[kosten / jaar werkdagen]]</f>
        <v>0</v>
      </c>
      <c r="AH216" s="69"/>
      <c r="AI216" s="256" t="str">
        <f>IF(Ruimtestaat[[#This Row],[Frequentie werkdagen]]="","",_xlfn.CONCAT(Ruimtestaat[[#This Row],[Ruimte code]],"-",Ruimtestaat[[#This Row],[Frequentie werkdagen]]," ",Ruimtestaat[[#This Row],[Vloer code]]))</f>
        <v/>
      </c>
      <c r="AJ216" s="300" t="str">
        <f>_xlfn.IFNA(VLOOKUP($AI216,Programma!$F$3:$G$1107,2,0),"")</f>
        <v/>
      </c>
      <c r="AK216" s="300" t="str">
        <f>_xlfn.IFNA(VLOOKUP($AI216,Programma!$F$3:$H$1107,3,0),"")</f>
        <v/>
      </c>
      <c r="AL216" s="300" t="str">
        <f>_xlfn.IFNA(VLOOKUP($AI216,Programma!$F$3:$I$1107,4,0),"")</f>
        <v/>
      </c>
      <c r="AM216" s="300" t="str">
        <f>_xlfn.IFNA(VLOOKUP($AI216,Programma!$F$3:$J$1107,5,0),"")</f>
        <v/>
      </c>
      <c r="AN216" s="300" t="str">
        <f>_xlfn.IFNA(VLOOKUP($AI216,Programma!$F$3:$K$1107,6,0),"")</f>
        <v/>
      </c>
      <c r="AO216" s="300" t="str">
        <f>_xlfn.IFNA(VLOOKUP($AI216,Programma!$F$3:$L$1107,7,0),"")</f>
        <v/>
      </c>
      <c r="AP216" s="300" t="str">
        <f>_xlfn.IFNA(VLOOKUP($AI216,Programma!$F$3:$M$1107,8,0),"")</f>
        <v/>
      </c>
      <c r="AQ216" s="300" t="str">
        <f>_xlfn.IFNA(VLOOKUP($AI216,Programma!$F$3:$N$1107,9,0),"")</f>
        <v/>
      </c>
      <c r="AR216" s="300" t="str">
        <f>_xlfn.IFNA(VLOOKUP($AI216,Programma!$F$3:$O$1107,10,0),"")</f>
        <v/>
      </c>
      <c r="AS216" s="300" t="str">
        <f>_xlfn.IFNA(VLOOKUP($AI216,Programma!$F$3:$P$1107,11,0),"")</f>
        <v/>
      </c>
      <c r="AT216" s="300" t="str">
        <f>_xlfn.IFNA(VLOOKUP($AI216,Programma!$F$3:$Q$1107,12,0),"")</f>
        <v/>
      </c>
      <c r="AU216" s="300" t="str">
        <f>_xlfn.IFNA(VLOOKUP($AI216,Programma!$F$3:$R$1107,13,0),"")</f>
        <v/>
      </c>
      <c r="AV216" s="300" t="str">
        <f>_xlfn.IFNA(VLOOKUP($AI216,Programma!$F$3:$S$1107,14,0),"")</f>
        <v/>
      </c>
      <c r="AW216" s="300" t="str">
        <f>_xlfn.IFNA(VLOOKUP($AI216,Programma!$F$3:$T$1107,15,0),"")</f>
        <v/>
      </c>
      <c r="AX216" s="300" t="str">
        <f>_xlfn.IFNA(VLOOKUP($AI216,Programma!$F$3:$U$1107,16,0),"")</f>
        <v/>
      </c>
      <c r="AY216" s="300" t="str">
        <f>_xlfn.IFNA(VLOOKUP($AI216,Programma!$F$3:$V$1107,17,0),"")</f>
        <v/>
      </c>
      <c r="AZ216" s="300" t="str">
        <f>_xlfn.IFNA(VLOOKUP($AI216,Programma!$F$3:$W$1107,18,0),"")</f>
        <v/>
      </c>
      <c r="BA216" s="300" t="str">
        <f>_xlfn.IFNA(VLOOKUP($AI216,Programma!$F$3:$X$1107,19,0),"")</f>
        <v/>
      </c>
      <c r="BB216" s="300" t="str">
        <f>_xlfn.IFNA(VLOOKUP($AI216,Programma!$F$3:$Y$1107,20,0),"")</f>
        <v/>
      </c>
      <c r="BC216" s="257"/>
      <c r="BD216" s="256" t="str">
        <f>IF(Ruimtestaat[[#This Row],[Frequentie weekend]]="","",_xlfn.CONCAT(Ruimtestaat[[#This Row],[Ruimte code]],"-",Ruimtestaat[[#This Row],[Frequentie weekend]]," ",Ruimtestaat[[#This Row],[Vloer code]]))</f>
        <v/>
      </c>
      <c r="BE216" s="300" t="str">
        <f>_xlfn.IFNA(VLOOKUP($BD216,Programma!$F$3:$G$1107,2,0),"")</f>
        <v/>
      </c>
      <c r="BF216" s="300" t="str">
        <f>_xlfn.IFNA(VLOOKUP($BD216,Programma!$F$3:$H$1107,3,0),"")</f>
        <v/>
      </c>
      <c r="BG216" s="300" t="str">
        <f>_xlfn.IFNA(VLOOKUP($BD216,Programma!$F$3:$I$1107,4,0),"")</f>
        <v/>
      </c>
      <c r="BH216" s="300" t="str">
        <f>_xlfn.IFNA(VLOOKUP($BD216,Programma!$F$3:$J$1107,5,0),"")</f>
        <v/>
      </c>
      <c r="BI216" s="300" t="str">
        <f>_xlfn.IFNA(VLOOKUP($BD216,Programma!$F$3:$K$1107,6,0),"")</f>
        <v/>
      </c>
      <c r="BJ216" s="300" t="str">
        <f>_xlfn.IFNA(VLOOKUP($BD216,Programma!$F$3:$L$1107,7,0),"")</f>
        <v/>
      </c>
      <c r="BK216" s="300" t="str">
        <f>_xlfn.IFNA(VLOOKUP($BD216,Programma!$F$3:$M$1107,8,0),"")</f>
        <v/>
      </c>
      <c r="BL216" s="300" t="str">
        <f>_xlfn.IFNA(VLOOKUP($BD216,Programma!$F$3:$N$1107,9,0),"")</f>
        <v/>
      </c>
      <c r="BM216" s="300" t="str">
        <f>_xlfn.IFNA(VLOOKUP($BD216,Programma!$F$3:$O$1107,10,0),"")</f>
        <v/>
      </c>
      <c r="BN216" s="300" t="str">
        <f>_xlfn.IFNA(VLOOKUP($BD216,Programma!$F$3:$P$1107,11,0),"")</f>
        <v/>
      </c>
      <c r="BO216" s="300" t="str">
        <f>_xlfn.IFNA(VLOOKUP($BD216,Programma!$F$3:$Q$1107,12,0),"")</f>
        <v/>
      </c>
      <c r="BP216" s="300" t="str">
        <f>_xlfn.IFNA(VLOOKUP($BD216,Programma!$F$3:$R$1107,13,0),"")</f>
        <v/>
      </c>
      <c r="BQ216" s="300" t="str">
        <f>_xlfn.IFNA(VLOOKUP($BD216,Programma!$F$3:$S$1107,14,0),"")</f>
        <v/>
      </c>
      <c r="BR216" s="300" t="str">
        <f>_xlfn.IFNA(VLOOKUP($BD216,Programma!$F$3:$T$1107,15,0),"")</f>
        <v/>
      </c>
      <c r="BS216" s="300" t="str">
        <f>_xlfn.IFNA(VLOOKUP($BD216,Programma!$F$3:$U$1107,16,0),"")</f>
        <v/>
      </c>
      <c r="BT216" s="300" t="str">
        <f>_xlfn.IFNA(VLOOKUP($BD216,Programma!$F$3:$V$1107,17,0),"")</f>
        <v/>
      </c>
      <c r="BU216" s="300" t="str">
        <f>_xlfn.IFNA(VLOOKUP($BD216,Programma!$F$3:$W$1107,18,0),"")</f>
        <v/>
      </c>
      <c r="BV216" s="300" t="str">
        <f>_xlfn.IFNA(VLOOKUP($BD216,Programma!$F$3:$X$1107,19,0),"")</f>
        <v/>
      </c>
      <c r="BW216" s="300" t="str">
        <f>_xlfn.IFNA(VLOOKUP($BD216,Programma!$F$3:$Y$1107,20,0),"")</f>
        <v/>
      </c>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row>
    <row r="217" spans="1:220" ht="15" customHeight="1">
      <c r="A217" s="21">
        <v>4</v>
      </c>
      <c r="B217" s="157" t="str">
        <f>VLOOKUP(Ruimtestaat[[#This Row],[Code]],Locaties[[Code]:[Locatie]],2,FALSE)</f>
        <v>Sint-Maartenscollege</v>
      </c>
      <c r="C217" s="157" t="str">
        <f>VLOOKUP(Ruimtestaat[[#This Row],[Code]],Locaties[[#All],[Code]:[Adres]],4,FALSE)</f>
        <v xml:space="preserve">Aart v.d. Leeuwkade 14 </v>
      </c>
      <c r="D217" s="157" t="str">
        <f>VLOOKUP(Ruimtestaat[[#This Row],[Code]],Locaties[[#All],[Code]:[Postcode]],5,FALSE)</f>
        <v>2274 KX</v>
      </c>
      <c r="E217" s="157" t="str">
        <f>VLOOKUP(Ruimtestaat[[#This Row],[Code]],Locaties[#All],6,FALSE)</f>
        <v>Voorburg</v>
      </c>
      <c r="F217" s="62"/>
      <c r="G217" s="21" t="s">
        <v>1632</v>
      </c>
      <c r="H217" s="21">
        <v>40</v>
      </c>
      <c r="I217" s="62" t="s">
        <v>1880</v>
      </c>
      <c r="J217" s="21">
        <v>20</v>
      </c>
      <c r="K217" s="62" t="str">
        <f>VLOOKUP(Ruimtestaat[[#This Row],[Ruimte code]],Ruimtegroepen[[#All],[Code]:[Ruimte omschrijving]],2,FALSE)</f>
        <v>Niet in Onderhoud</v>
      </c>
      <c r="L217" s="33" t="s">
        <v>101</v>
      </c>
      <c r="M217" s="367" t="s">
        <v>2495</v>
      </c>
      <c r="N217" s="140">
        <v>6</v>
      </c>
      <c r="O217" s="140"/>
      <c r="P217" s="125">
        <f>VLOOKUP(Ruimtestaat[[#This Row],[Ruimte code]],Ruimtegroepen[],4,FALSE)</f>
        <v>0</v>
      </c>
      <c r="Q217" s="125" t="s">
        <v>2536</v>
      </c>
      <c r="R217" s="33"/>
      <c r="S217" s="33"/>
      <c r="T217" s="33">
        <f>IF(R217&gt;0,IF(RIGHT(Ruimtestaat[[#This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17" s="33">
        <f>IF(T217&gt;0,VLOOKUP($J217,Ruimtegroepen[],3,FALSE)*VLOOKUP($L217,Vloersoorten[],3,FALSE)*VLOOKUP($S217,Frequenties[],3,FALSE)*VLOOKUP($A217,Locaties[],3,FALSE),0)</f>
        <v>0</v>
      </c>
      <c r="V217" s="33">
        <f>Ruimtestaat[[#This Row],[Uitvoeringen werkdagen]]*Ruimtestaat[[#This Row],[Oppervlak (netto)]]</f>
        <v>0</v>
      </c>
      <c r="W217" s="154">
        <f>IF(U217&gt;0,Ruimtestaat[[#This Row],[Prest. (m2 /jaar) werkdagen]]/Ruimtestaat[[#This Row],[Norm (m2/uur) werkdagen]],0)</f>
        <v>0</v>
      </c>
      <c r="X217" s="155">
        <f>Ruimtestaat[[#This Row],[uren / jaar werkdagen]]*Tariefsopbouw!$E$35</f>
        <v>0</v>
      </c>
      <c r="Y217" s="33"/>
      <c r="Z217" s="33">
        <f>IF(Ruimtestaat[[#This Row],[Frequentie weekend]]&gt;0,VALUE(LEFT(Y217,1))*R217,0)</f>
        <v>0</v>
      </c>
      <c r="AA217" s="97">
        <f>IF($Z217&gt;0,VLOOKUP($J217,Ruimtegroepen[],3,FALSE)*VLOOKUP($L217,Vloersoorten[],3,FALSE)*VLOOKUP($Y217,Frequenties[],3,FALSE)*VLOOKUP(Ruimtestaat[[#This Row],[Code]],Locaties[],3,FALSE),0)</f>
        <v>0</v>
      </c>
      <c r="AB217" s="97">
        <f>Ruimtestaat[[#This Row],[Uitvoeringen weekend]]*Ruimtestaat[[#This Row],[Oppervlak (netto)]]</f>
        <v>0</v>
      </c>
      <c r="AC217" s="97">
        <f>IF(AA217&gt;0,Ruimtestaat[[#This Row],[Prest. (m2 /jaar) weekend]]/Ruimtestaat[[#This Row],[Norm (m2/uur) weekend]],0)</f>
        <v>0</v>
      </c>
      <c r="AD217" s="155">
        <f>Ruimtestaat[[#This Row],[uren / jaar weekend]]*Tariefsopbouw!$D$40</f>
        <v>0</v>
      </c>
      <c r="AE217" s="154">
        <f>Ruimtestaat[[#This Row],[Prest. (m2 /jaar) weekend]]+Ruimtestaat[[#This Row],[Prest. (m2 /jaar) werkdagen]]</f>
        <v>0</v>
      </c>
      <c r="AF217" s="154">
        <f>Ruimtestaat[[#This Row],[uren / jaar weekend]]+Ruimtestaat[[#This Row],[uren / jaar werkdagen]]</f>
        <v>0</v>
      </c>
      <c r="AG217" s="69">
        <f>Ruimtestaat[[#This Row],[kosten / jaar weekend]]+Ruimtestaat[[#This Row],[kosten / jaar werkdagen]]</f>
        <v>0</v>
      </c>
      <c r="AH217" s="69"/>
      <c r="AI217" s="256" t="str">
        <f>IF(Ruimtestaat[[#This Row],[Frequentie werkdagen]]="","",_xlfn.CONCAT(Ruimtestaat[[#This Row],[Ruimte code]],"-",Ruimtestaat[[#This Row],[Frequentie werkdagen]]," ",Ruimtestaat[[#This Row],[Vloer code]]))</f>
        <v/>
      </c>
      <c r="AJ217" s="300" t="str">
        <f>_xlfn.IFNA(VLOOKUP($AI217,Programma!$F$3:$G$1107,2,0),"")</f>
        <v/>
      </c>
      <c r="AK217" s="300" t="str">
        <f>_xlfn.IFNA(VLOOKUP($AI217,Programma!$F$3:$H$1107,3,0),"")</f>
        <v/>
      </c>
      <c r="AL217" s="300" t="str">
        <f>_xlfn.IFNA(VLOOKUP($AI217,Programma!$F$3:$I$1107,4,0),"")</f>
        <v/>
      </c>
      <c r="AM217" s="300" t="str">
        <f>_xlfn.IFNA(VLOOKUP($AI217,Programma!$F$3:$J$1107,5,0),"")</f>
        <v/>
      </c>
      <c r="AN217" s="300" t="str">
        <f>_xlfn.IFNA(VLOOKUP($AI217,Programma!$F$3:$K$1107,6,0),"")</f>
        <v/>
      </c>
      <c r="AO217" s="300" t="str">
        <f>_xlfn.IFNA(VLOOKUP($AI217,Programma!$F$3:$L$1107,7,0),"")</f>
        <v/>
      </c>
      <c r="AP217" s="300" t="str">
        <f>_xlfn.IFNA(VLOOKUP($AI217,Programma!$F$3:$M$1107,8,0),"")</f>
        <v/>
      </c>
      <c r="AQ217" s="300" t="str">
        <f>_xlfn.IFNA(VLOOKUP($AI217,Programma!$F$3:$N$1107,9,0),"")</f>
        <v/>
      </c>
      <c r="AR217" s="300" t="str">
        <f>_xlfn.IFNA(VLOOKUP($AI217,Programma!$F$3:$O$1107,10,0),"")</f>
        <v/>
      </c>
      <c r="AS217" s="300" t="str">
        <f>_xlfn.IFNA(VLOOKUP($AI217,Programma!$F$3:$P$1107,11,0),"")</f>
        <v/>
      </c>
      <c r="AT217" s="300" t="str">
        <f>_xlfn.IFNA(VLOOKUP($AI217,Programma!$F$3:$Q$1107,12,0),"")</f>
        <v/>
      </c>
      <c r="AU217" s="300" t="str">
        <f>_xlfn.IFNA(VLOOKUP($AI217,Programma!$F$3:$R$1107,13,0),"")</f>
        <v/>
      </c>
      <c r="AV217" s="300" t="str">
        <f>_xlfn.IFNA(VLOOKUP($AI217,Programma!$F$3:$S$1107,14,0),"")</f>
        <v/>
      </c>
      <c r="AW217" s="300" t="str">
        <f>_xlfn.IFNA(VLOOKUP($AI217,Programma!$F$3:$T$1107,15,0),"")</f>
        <v/>
      </c>
      <c r="AX217" s="300" t="str">
        <f>_xlfn.IFNA(VLOOKUP($AI217,Programma!$F$3:$U$1107,16,0),"")</f>
        <v/>
      </c>
      <c r="AY217" s="300" t="str">
        <f>_xlfn.IFNA(VLOOKUP($AI217,Programma!$F$3:$V$1107,17,0),"")</f>
        <v/>
      </c>
      <c r="AZ217" s="300" t="str">
        <f>_xlfn.IFNA(VLOOKUP($AI217,Programma!$F$3:$W$1107,18,0),"")</f>
        <v/>
      </c>
      <c r="BA217" s="300" t="str">
        <f>_xlfn.IFNA(VLOOKUP($AI217,Programma!$F$3:$X$1107,19,0),"")</f>
        <v/>
      </c>
      <c r="BB217" s="300" t="str">
        <f>_xlfn.IFNA(VLOOKUP($AI217,Programma!$F$3:$Y$1107,20,0),"")</f>
        <v/>
      </c>
      <c r="BC217" s="257"/>
      <c r="BD217" s="256" t="str">
        <f>IF(Ruimtestaat[[#This Row],[Frequentie weekend]]="","",_xlfn.CONCAT(Ruimtestaat[[#This Row],[Ruimte code]],"-",Ruimtestaat[[#This Row],[Frequentie weekend]]," ",Ruimtestaat[[#This Row],[Vloer code]]))</f>
        <v/>
      </c>
      <c r="BE217" s="300" t="str">
        <f>_xlfn.IFNA(VLOOKUP($BD217,Programma!$F$3:$G$1107,2,0),"")</f>
        <v/>
      </c>
      <c r="BF217" s="300" t="str">
        <f>_xlfn.IFNA(VLOOKUP($BD217,Programma!$F$3:$H$1107,3,0),"")</f>
        <v/>
      </c>
      <c r="BG217" s="300" t="str">
        <f>_xlfn.IFNA(VLOOKUP($BD217,Programma!$F$3:$I$1107,4,0),"")</f>
        <v/>
      </c>
      <c r="BH217" s="300" t="str">
        <f>_xlfn.IFNA(VLOOKUP($BD217,Programma!$F$3:$J$1107,5,0),"")</f>
        <v/>
      </c>
      <c r="BI217" s="300" t="str">
        <f>_xlfn.IFNA(VLOOKUP($BD217,Programma!$F$3:$K$1107,6,0),"")</f>
        <v/>
      </c>
      <c r="BJ217" s="300" t="str">
        <f>_xlfn.IFNA(VLOOKUP($BD217,Programma!$F$3:$L$1107,7,0),"")</f>
        <v/>
      </c>
      <c r="BK217" s="300" t="str">
        <f>_xlfn.IFNA(VLOOKUP($BD217,Programma!$F$3:$M$1107,8,0),"")</f>
        <v/>
      </c>
      <c r="BL217" s="300" t="str">
        <f>_xlfn.IFNA(VLOOKUP($BD217,Programma!$F$3:$N$1107,9,0),"")</f>
        <v/>
      </c>
      <c r="BM217" s="300" t="str">
        <f>_xlfn.IFNA(VLOOKUP($BD217,Programma!$F$3:$O$1107,10,0),"")</f>
        <v/>
      </c>
      <c r="BN217" s="300" t="str">
        <f>_xlfn.IFNA(VLOOKUP($BD217,Programma!$F$3:$P$1107,11,0),"")</f>
        <v/>
      </c>
      <c r="BO217" s="300" t="str">
        <f>_xlfn.IFNA(VLOOKUP($BD217,Programma!$F$3:$Q$1107,12,0),"")</f>
        <v/>
      </c>
      <c r="BP217" s="300" t="str">
        <f>_xlfn.IFNA(VLOOKUP($BD217,Programma!$F$3:$R$1107,13,0),"")</f>
        <v/>
      </c>
      <c r="BQ217" s="300" t="str">
        <f>_xlfn.IFNA(VLOOKUP($BD217,Programma!$F$3:$S$1107,14,0),"")</f>
        <v/>
      </c>
      <c r="BR217" s="300" t="str">
        <f>_xlfn.IFNA(VLOOKUP($BD217,Programma!$F$3:$T$1107,15,0),"")</f>
        <v/>
      </c>
      <c r="BS217" s="300" t="str">
        <f>_xlfn.IFNA(VLOOKUP($BD217,Programma!$F$3:$U$1107,16,0),"")</f>
        <v/>
      </c>
      <c r="BT217" s="300" t="str">
        <f>_xlfn.IFNA(VLOOKUP($BD217,Programma!$F$3:$V$1107,17,0),"")</f>
        <v/>
      </c>
      <c r="BU217" s="300" t="str">
        <f>_xlfn.IFNA(VLOOKUP($BD217,Programma!$F$3:$W$1107,18,0),"")</f>
        <v/>
      </c>
      <c r="BV217" s="300" t="str">
        <f>_xlfn.IFNA(VLOOKUP($BD217,Programma!$F$3:$X$1107,19,0),"")</f>
        <v/>
      </c>
      <c r="BW217" s="300" t="str">
        <f>_xlfn.IFNA(VLOOKUP($BD217,Programma!$F$3:$Y$1107,20,0),"")</f>
        <v/>
      </c>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row>
    <row r="218" spans="1:220" ht="15" customHeight="1">
      <c r="A218" s="21">
        <v>4</v>
      </c>
      <c r="B218" s="157" t="str">
        <f>VLOOKUP(Ruimtestaat[[#This Row],[Code]],Locaties[[Code]:[Locatie]],2,FALSE)</f>
        <v>Sint-Maartenscollege</v>
      </c>
      <c r="C218" s="157" t="str">
        <f>VLOOKUP(Ruimtestaat[[#This Row],[Code]],Locaties[[#All],[Code]:[Adres]],4,FALSE)</f>
        <v xml:space="preserve">Aart v.d. Leeuwkade 14 </v>
      </c>
      <c r="D218" s="157" t="str">
        <f>VLOOKUP(Ruimtestaat[[#This Row],[Code]],Locaties[[#All],[Code]:[Postcode]],5,FALSE)</f>
        <v>2274 KX</v>
      </c>
      <c r="E218" s="157" t="str">
        <f>VLOOKUP(Ruimtestaat[[#This Row],[Code]],Locaties[#All],6,FALSE)</f>
        <v>Voorburg</v>
      </c>
      <c r="F218" s="62"/>
      <c r="G218" s="21" t="s">
        <v>1632</v>
      </c>
      <c r="H218" s="21">
        <v>41</v>
      </c>
      <c r="I218" s="62" t="s">
        <v>1881</v>
      </c>
      <c r="J218" s="21">
        <v>20</v>
      </c>
      <c r="K218" s="62" t="str">
        <f>VLOOKUP(Ruimtestaat[[#This Row],[Ruimte code]],Ruimtegroepen[[#All],[Code]:[Ruimte omschrijving]],2,FALSE)</f>
        <v>Niet in Onderhoud</v>
      </c>
      <c r="L218" s="33" t="s">
        <v>101</v>
      </c>
      <c r="M218" s="367" t="s">
        <v>2495</v>
      </c>
      <c r="N218" s="140">
        <v>37</v>
      </c>
      <c r="O218" s="140"/>
      <c r="P218" s="125">
        <f>VLOOKUP(Ruimtestaat[[#This Row],[Ruimte code]],Ruimtegroepen[],4,FALSE)</f>
        <v>0</v>
      </c>
      <c r="Q218" s="125" t="s">
        <v>2536</v>
      </c>
      <c r="R218" s="33"/>
      <c r="S218" s="33"/>
      <c r="T218" s="33">
        <f>IF(R218&gt;0,IF(RIGHT(Ruimtestaat[[#This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18" s="33">
        <f>IF(T218&gt;0,VLOOKUP($J218,Ruimtegroepen[],3,FALSE)*VLOOKUP($L218,Vloersoorten[],3,FALSE)*VLOOKUP($S218,Frequenties[],3,FALSE)*VLOOKUP($A218,Locaties[],3,FALSE),0)</f>
        <v>0</v>
      </c>
      <c r="V218" s="33">
        <f>Ruimtestaat[[#This Row],[Uitvoeringen werkdagen]]*Ruimtestaat[[#This Row],[Oppervlak (netto)]]</f>
        <v>0</v>
      </c>
      <c r="W218" s="154">
        <f>IF(U218&gt;0,Ruimtestaat[[#This Row],[Prest. (m2 /jaar) werkdagen]]/Ruimtestaat[[#This Row],[Norm (m2/uur) werkdagen]],0)</f>
        <v>0</v>
      </c>
      <c r="X218" s="155">
        <f>Ruimtestaat[[#This Row],[uren / jaar werkdagen]]*Tariefsopbouw!$E$35</f>
        <v>0</v>
      </c>
      <c r="Y218" s="33"/>
      <c r="Z218" s="33">
        <f>IF(Ruimtestaat[[#This Row],[Frequentie weekend]]&gt;0,VALUE(LEFT(Y218,1))*R218,0)</f>
        <v>0</v>
      </c>
      <c r="AA218" s="97">
        <f>IF($Z218&gt;0,VLOOKUP($J218,Ruimtegroepen[],3,FALSE)*VLOOKUP($L218,Vloersoorten[],3,FALSE)*VLOOKUP($Y218,Frequenties[],3,FALSE)*VLOOKUP(Ruimtestaat[[#This Row],[Code]],Locaties[],3,FALSE),0)</f>
        <v>0</v>
      </c>
      <c r="AB218" s="97">
        <f>Ruimtestaat[[#This Row],[Uitvoeringen weekend]]*Ruimtestaat[[#This Row],[Oppervlak (netto)]]</f>
        <v>0</v>
      </c>
      <c r="AC218" s="97">
        <f>IF(AA218&gt;0,Ruimtestaat[[#This Row],[Prest. (m2 /jaar) weekend]]/Ruimtestaat[[#This Row],[Norm (m2/uur) weekend]],0)</f>
        <v>0</v>
      </c>
      <c r="AD218" s="155">
        <f>Ruimtestaat[[#This Row],[uren / jaar weekend]]*Tariefsopbouw!$D$40</f>
        <v>0</v>
      </c>
      <c r="AE218" s="154">
        <f>Ruimtestaat[[#This Row],[Prest. (m2 /jaar) weekend]]+Ruimtestaat[[#This Row],[Prest. (m2 /jaar) werkdagen]]</f>
        <v>0</v>
      </c>
      <c r="AF218" s="154">
        <f>Ruimtestaat[[#This Row],[uren / jaar weekend]]+Ruimtestaat[[#This Row],[uren / jaar werkdagen]]</f>
        <v>0</v>
      </c>
      <c r="AG218" s="69">
        <f>Ruimtestaat[[#This Row],[kosten / jaar weekend]]+Ruimtestaat[[#This Row],[kosten / jaar werkdagen]]</f>
        <v>0</v>
      </c>
      <c r="AH218" s="69"/>
      <c r="AI218" s="256" t="str">
        <f>IF(Ruimtestaat[[#This Row],[Frequentie werkdagen]]="","",_xlfn.CONCAT(Ruimtestaat[[#This Row],[Ruimte code]],"-",Ruimtestaat[[#This Row],[Frequentie werkdagen]]," ",Ruimtestaat[[#This Row],[Vloer code]]))</f>
        <v/>
      </c>
      <c r="AJ218" s="300" t="str">
        <f>_xlfn.IFNA(VLOOKUP($AI218,Programma!$F$3:$G$1107,2,0),"")</f>
        <v/>
      </c>
      <c r="AK218" s="300" t="str">
        <f>_xlfn.IFNA(VLOOKUP($AI218,Programma!$F$3:$H$1107,3,0),"")</f>
        <v/>
      </c>
      <c r="AL218" s="300" t="str">
        <f>_xlfn.IFNA(VLOOKUP($AI218,Programma!$F$3:$I$1107,4,0),"")</f>
        <v/>
      </c>
      <c r="AM218" s="300" t="str">
        <f>_xlfn.IFNA(VLOOKUP($AI218,Programma!$F$3:$J$1107,5,0),"")</f>
        <v/>
      </c>
      <c r="AN218" s="300" t="str">
        <f>_xlfn.IFNA(VLOOKUP($AI218,Programma!$F$3:$K$1107,6,0),"")</f>
        <v/>
      </c>
      <c r="AO218" s="300" t="str">
        <f>_xlfn.IFNA(VLOOKUP($AI218,Programma!$F$3:$L$1107,7,0),"")</f>
        <v/>
      </c>
      <c r="AP218" s="300" t="str">
        <f>_xlfn.IFNA(VLOOKUP($AI218,Programma!$F$3:$M$1107,8,0),"")</f>
        <v/>
      </c>
      <c r="AQ218" s="300" t="str">
        <f>_xlfn.IFNA(VLOOKUP($AI218,Programma!$F$3:$N$1107,9,0),"")</f>
        <v/>
      </c>
      <c r="AR218" s="300" t="str">
        <f>_xlfn.IFNA(VLOOKUP($AI218,Programma!$F$3:$O$1107,10,0),"")</f>
        <v/>
      </c>
      <c r="AS218" s="300" t="str">
        <f>_xlfn.IFNA(VLOOKUP($AI218,Programma!$F$3:$P$1107,11,0),"")</f>
        <v/>
      </c>
      <c r="AT218" s="300" t="str">
        <f>_xlfn.IFNA(VLOOKUP($AI218,Programma!$F$3:$Q$1107,12,0),"")</f>
        <v/>
      </c>
      <c r="AU218" s="300" t="str">
        <f>_xlfn.IFNA(VLOOKUP($AI218,Programma!$F$3:$R$1107,13,0),"")</f>
        <v/>
      </c>
      <c r="AV218" s="300" t="str">
        <f>_xlfn.IFNA(VLOOKUP($AI218,Programma!$F$3:$S$1107,14,0),"")</f>
        <v/>
      </c>
      <c r="AW218" s="300" t="str">
        <f>_xlfn.IFNA(VLOOKUP($AI218,Programma!$F$3:$T$1107,15,0),"")</f>
        <v/>
      </c>
      <c r="AX218" s="300" t="str">
        <f>_xlfn.IFNA(VLOOKUP($AI218,Programma!$F$3:$U$1107,16,0),"")</f>
        <v/>
      </c>
      <c r="AY218" s="300" t="str">
        <f>_xlfn.IFNA(VLOOKUP($AI218,Programma!$F$3:$V$1107,17,0),"")</f>
        <v/>
      </c>
      <c r="AZ218" s="300" t="str">
        <f>_xlfn.IFNA(VLOOKUP($AI218,Programma!$F$3:$W$1107,18,0),"")</f>
        <v/>
      </c>
      <c r="BA218" s="300" t="str">
        <f>_xlfn.IFNA(VLOOKUP($AI218,Programma!$F$3:$X$1107,19,0),"")</f>
        <v/>
      </c>
      <c r="BB218" s="300" t="str">
        <f>_xlfn.IFNA(VLOOKUP($AI218,Programma!$F$3:$Y$1107,20,0),"")</f>
        <v/>
      </c>
      <c r="BC218" s="257"/>
      <c r="BD218" s="256" t="str">
        <f>IF(Ruimtestaat[[#This Row],[Frequentie weekend]]="","",_xlfn.CONCAT(Ruimtestaat[[#This Row],[Ruimte code]],"-",Ruimtestaat[[#This Row],[Frequentie weekend]]," ",Ruimtestaat[[#This Row],[Vloer code]]))</f>
        <v/>
      </c>
      <c r="BE218" s="300" t="str">
        <f>_xlfn.IFNA(VLOOKUP($BD218,Programma!$F$3:$G$1107,2,0),"")</f>
        <v/>
      </c>
      <c r="BF218" s="300" t="str">
        <f>_xlfn.IFNA(VLOOKUP($BD218,Programma!$F$3:$H$1107,3,0),"")</f>
        <v/>
      </c>
      <c r="BG218" s="300" t="str">
        <f>_xlfn.IFNA(VLOOKUP($BD218,Programma!$F$3:$I$1107,4,0),"")</f>
        <v/>
      </c>
      <c r="BH218" s="300" t="str">
        <f>_xlfn.IFNA(VLOOKUP($BD218,Programma!$F$3:$J$1107,5,0),"")</f>
        <v/>
      </c>
      <c r="BI218" s="300" t="str">
        <f>_xlfn.IFNA(VLOOKUP($BD218,Programma!$F$3:$K$1107,6,0),"")</f>
        <v/>
      </c>
      <c r="BJ218" s="300" t="str">
        <f>_xlfn.IFNA(VLOOKUP($BD218,Programma!$F$3:$L$1107,7,0),"")</f>
        <v/>
      </c>
      <c r="BK218" s="300" t="str">
        <f>_xlfn.IFNA(VLOOKUP($BD218,Programma!$F$3:$M$1107,8,0),"")</f>
        <v/>
      </c>
      <c r="BL218" s="300" t="str">
        <f>_xlfn.IFNA(VLOOKUP($BD218,Programma!$F$3:$N$1107,9,0),"")</f>
        <v/>
      </c>
      <c r="BM218" s="300" t="str">
        <f>_xlfn.IFNA(VLOOKUP($BD218,Programma!$F$3:$O$1107,10,0),"")</f>
        <v/>
      </c>
      <c r="BN218" s="300" t="str">
        <f>_xlfn.IFNA(VLOOKUP($BD218,Programma!$F$3:$P$1107,11,0),"")</f>
        <v/>
      </c>
      <c r="BO218" s="300" t="str">
        <f>_xlfn.IFNA(VLOOKUP($BD218,Programma!$F$3:$Q$1107,12,0),"")</f>
        <v/>
      </c>
      <c r="BP218" s="300" t="str">
        <f>_xlfn.IFNA(VLOOKUP($BD218,Programma!$F$3:$R$1107,13,0),"")</f>
        <v/>
      </c>
      <c r="BQ218" s="300" t="str">
        <f>_xlfn.IFNA(VLOOKUP($BD218,Programma!$F$3:$S$1107,14,0),"")</f>
        <v/>
      </c>
      <c r="BR218" s="300" t="str">
        <f>_xlfn.IFNA(VLOOKUP($BD218,Programma!$F$3:$T$1107,15,0),"")</f>
        <v/>
      </c>
      <c r="BS218" s="300" t="str">
        <f>_xlfn.IFNA(VLOOKUP($BD218,Programma!$F$3:$U$1107,16,0),"")</f>
        <v/>
      </c>
      <c r="BT218" s="300" t="str">
        <f>_xlfn.IFNA(VLOOKUP($BD218,Programma!$F$3:$V$1107,17,0),"")</f>
        <v/>
      </c>
      <c r="BU218" s="300" t="str">
        <f>_xlfn.IFNA(VLOOKUP($BD218,Programma!$F$3:$W$1107,18,0),"")</f>
        <v/>
      </c>
      <c r="BV218" s="300" t="str">
        <f>_xlfn.IFNA(VLOOKUP($BD218,Programma!$F$3:$X$1107,19,0),"")</f>
        <v/>
      </c>
      <c r="BW218" s="300" t="str">
        <f>_xlfn.IFNA(VLOOKUP($BD218,Programma!$F$3:$Y$1107,20,0),"")</f>
        <v/>
      </c>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row>
    <row r="219" spans="1:220" ht="15" customHeight="1">
      <c r="A219" s="21">
        <v>4</v>
      </c>
      <c r="B219" s="157" t="str">
        <f>VLOOKUP(Ruimtestaat[[#This Row],[Code]],Locaties[[Code]:[Locatie]],2,FALSE)</f>
        <v>Sint-Maartenscollege</v>
      </c>
      <c r="C219" s="157" t="str">
        <f>VLOOKUP(Ruimtestaat[[#This Row],[Code]],Locaties[[#All],[Code]:[Adres]],4,FALSE)</f>
        <v xml:space="preserve">Aart v.d. Leeuwkade 14 </v>
      </c>
      <c r="D219" s="157" t="str">
        <f>VLOOKUP(Ruimtestaat[[#This Row],[Code]],Locaties[[#All],[Code]:[Postcode]],5,FALSE)</f>
        <v>2274 KX</v>
      </c>
      <c r="E219" s="157" t="str">
        <f>VLOOKUP(Ruimtestaat[[#This Row],[Code]],Locaties[#All],6,FALSE)</f>
        <v>Voorburg</v>
      </c>
      <c r="F219" s="62"/>
      <c r="G219" s="21" t="s">
        <v>1632</v>
      </c>
      <c r="H219" s="21">
        <v>42</v>
      </c>
      <c r="I219" s="62" t="s">
        <v>1625</v>
      </c>
      <c r="J219" s="21">
        <v>6</v>
      </c>
      <c r="K219" s="62" t="str">
        <f>VLOOKUP(Ruimtestaat[[#This Row],[Ruimte code]],Ruimtegroepen[[#All],[Code]:[Ruimte omschrijving]],2,FALSE)</f>
        <v>Gangen/hallen</v>
      </c>
      <c r="L219" s="33" t="s">
        <v>102</v>
      </c>
      <c r="M219" s="367" t="s">
        <v>2502</v>
      </c>
      <c r="N219" s="140">
        <v>80</v>
      </c>
      <c r="O219" s="140"/>
      <c r="P219" s="125" t="str">
        <f>VLOOKUP(Ruimtestaat[[#This Row],[Ruimte code]],Ruimtegroepen[],4,FALSE)</f>
        <v>Ve</v>
      </c>
      <c r="R219" s="33">
        <v>40</v>
      </c>
      <c r="S219" s="33" t="s">
        <v>2</v>
      </c>
      <c r="T219" s="33">
        <f>IF(R219&gt;0,IF(RIGHT(Ruimtestaat[[#This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9" s="33">
        <f>IF(T219&gt;0,VLOOKUP($J219,Ruimtegroepen[],3,FALSE)*VLOOKUP($L219,Vloersoorten[],3,FALSE)*VLOOKUP($S219,Frequenties[],3,FALSE)*VLOOKUP($A219,Locaties[],3,FALSE),0)</f>
        <v>0</v>
      </c>
      <c r="V219" s="33">
        <f>Ruimtestaat[[#This Row],[Uitvoeringen werkdagen]]*Ruimtestaat[[#This Row],[Oppervlak (netto)]]</f>
        <v>16000</v>
      </c>
      <c r="W219" s="154">
        <f>IF(U219&gt;0,Ruimtestaat[[#This Row],[Prest. (m2 /jaar) werkdagen]]/Ruimtestaat[[#This Row],[Norm (m2/uur) werkdagen]],0)</f>
        <v>0</v>
      </c>
      <c r="X219" s="155">
        <f>Ruimtestaat[[#This Row],[uren / jaar werkdagen]]*Tariefsopbouw!$E$35</f>
        <v>0</v>
      </c>
      <c r="Y219" s="33"/>
      <c r="Z219" s="33">
        <f>IF(Ruimtestaat[[#This Row],[Frequentie weekend]]&gt;0,VALUE(LEFT(Y219,1))*R219,0)</f>
        <v>0</v>
      </c>
      <c r="AA219" s="97">
        <f>IF($Z219&gt;0,VLOOKUP($J219,Ruimtegroepen[],3,FALSE)*VLOOKUP($L219,Vloersoorten[],3,FALSE)*VLOOKUP($Y219,Frequenties[],3,FALSE)*VLOOKUP(Ruimtestaat[[#This Row],[Code]],Locaties[],3,FALSE),0)</f>
        <v>0</v>
      </c>
      <c r="AB219" s="97">
        <f>Ruimtestaat[[#This Row],[Uitvoeringen weekend]]*Ruimtestaat[[#This Row],[Oppervlak (netto)]]</f>
        <v>0</v>
      </c>
      <c r="AC219" s="97">
        <f>IF(AA219&gt;0,Ruimtestaat[[#This Row],[Prest. (m2 /jaar) weekend]]/Ruimtestaat[[#This Row],[Norm (m2/uur) weekend]],0)</f>
        <v>0</v>
      </c>
      <c r="AD219" s="155">
        <f>Ruimtestaat[[#This Row],[uren / jaar weekend]]*Tariefsopbouw!$D$40</f>
        <v>0</v>
      </c>
      <c r="AE219" s="154">
        <f>Ruimtestaat[[#This Row],[Prest. (m2 /jaar) weekend]]+Ruimtestaat[[#This Row],[Prest. (m2 /jaar) werkdagen]]</f>
        <v>16000</v>
      </c>
      <c r="AF219" s="154">
        <f>Ruimtestaat[[#This Row],[uren / jaar weekend]]+Ruimtestaat[[#This Row],[uren / jaar werkdagen]]</f>
        <v>0</v>
      </c>
      <c r="AG219" s="69">
        <f>Ruimtestaat[[#This Row],[kosten / jaar weekend]]+Ruimtestaat[[#This Row],[kosten / jaar werkdagen]]</f>
        <v>0</v>
      </c>
      <c r="AH219" s="69"/>
      <c r="AI219" s="256" t="str">
        <f>IF(Ruimtestaat[[#This Row],[Frequentie werkdagen]]="","",_xlfn.CONCAT(Ruimtestaat[[#This Row],[Ruimte code]],"-",Ruimtestaat[[#This Row],[Frequentie werkdagen]]," ",Ruimtestaat[[#This Row],[Vloer code]]))</f>
        <v>6-5w S</v>
      </c>
      <c r="AJ219" s="300" t="str">
        <f>_xlfn.IFNA(VLOOKUP($AI219,Programma!$F$3:$G$1107,2,0),"")</f>
        <v>_</v>
      </c>
      <c r="AK219" s="300" t="str">
        <f>_xlfn.IFNA(VLOOKUP($AI219,Programma!$F$3:$H$1107,3,0),"")</f>
        <v>_</v>
      </c>
      <c r="AL219" s="300" t="str">
        <f>_xlfn.IFNA(VLOOKUP($AI219,Programma!$F$3:$I$1107,4,0),"")</f>
        <v>5w</v>
      </c>
      <c r="AM219" s="300" t="str">
        <f>_xlfn.IFNA(VLOOKUP($AI219,Programma!$F$3:$J$1107,5,0),"")</f>
        <v>_</v>
      </c>
      <c r="AN219" s="300" t="str">
        <f>_xlfn.IFNA(VLOOKUP($AI219,Programma!$F$3:$K$1107,6,0),"")</f>
        <v>5w</v>
      </c>
      <c r="AO219" s="300" t="str">
        <f>_xlfn.IFNA(VLOOKUP($AI219,Programma!$F$3:$L$1107,7,0),"")</f>
        <v>_</v>
      </c>
      <c r="AP219" s="300" t="str">
        <f>_xlfn.IFNA(VLOOKUP($AI219,Programma!$F$3:$M$1107,8,0),"")</f>
        <v>_</v>
      </c>
      <c r="AQ219" s="300" t="str">
        <f>_xlfn.IFNA(VLOOKUP($AI219,Programma!$F$3:$N$1107,9,0),"")</f>
        <v>_</v>
      </c>
      <c r="AR219" s="300" t="str">
        <f>_xlfn.IFNA(VLOOKUP($AI219,Programma!$F$3:$O$1107,10,0),"")</f>
        <v>5w</v>
      </c>
      <c r="AS219" s="300" t="str">
        <f>_xlfn.IFNA(VLOOKUP($AI219,Programma!$F$3:$P$1107,11,0),"")</f>
        <v>5w</v>
      </c>
      <c r="AT219" s="300" t="str">
        <f>_xlfn.IFNA(VLOOKUP($AI219,Programma!$F$3:$Q$1107,12,0),"")</f>
        <v>1w</v>
      </c>
      <c r="AU219" s="300" t="str">
        <f>_xlfn.IFNA(VLOOKUP($AI219,Programma!$F$3:$R$1107,13,0),"")</f>
        <v>1w</v>
      </c>
      <c r="AV219" s="300" t="str">
        <f>_xlfn.IFNA(VLOOKUP($AI219,Programma!$F$3:$S$1107,14,0),"")</f>
        <v>1m</v>
      </c>
      <c r="AW219" s="300" t="str">
        <f>_xlfn.IFNA(VLOOKUP($AI219,Programma!$F$3:$T$1107,15,0),"")</f>
        <v>2j</v>
      </c>
      <c r="AX219" s="300" t="str">
        <f>_xlfn.IFNA(VLOOKUP($AI219,Programma!$F$3:$U$1107,16,0),"")</f>
        <v>1j</v>
      </c>
      <c r="AY219" s="300" t="str">
        <f>_xlfn.IFNA(VLOOKUP($AI219,Programma!$F$3:$V$1107,17,0),"")</f>
        <v>_</v>
      </c>
      <c r="AZ219" s="300" t="str">
        <f>_xlfn.IFNA(VLOOKUP($AI219,Programma!$F$3:$W$1107,18,0),"")</f>
        <v>_</v>
      </c>
      <c r="BA219" s="300" t="str">
        <f>_xlfn.IFNA(VLOOKUP($AI219,Programma!$F$3:$X$1107,19,0),"")</f>
        <v>_</v>
      </c>
      <c r="BB219" s="300" t="str">
        <f>_xlfn.IFNA(VLOOKUP($AI219,Programma!$F$3:$Y$1107,20,0),"")</f>
        <v>_</v>
      </c>
      <c r="BC219" s="257"/>
      <c r="BD219" s="256" t="str">
        <f>IF(Ruimtestaat[[#This Row],[Frequentie weekend]]="","",_xlfn.CONCAT(Ruimtestaat[[#This Row],[Ruimte code]],"-",Ruimtestaat[[#This Row],[Frequentie weekend]]," ",Ruimtestaat[[#This Row],[Vloer code]]))</f>
        <v/>
      </c>
      <c r="BE219" s="300" t="str">
        <f>_xlfn.IFNA(VLOOKUP($BD219,Programma!$F$3:$G$1107,2,0),"")</f>
        <v/>
      </c>
      <c r="BF219" s="300" t="str">
        <f>_xlfn.IFNA(VLOOKUP($BD219,Programma!$F$3:$H$1107,3,0),"")</f>
        <v/>
      </c>
      <c r="BG219" s="300" t="str">
        <f>_xlfn.IFNA(VLOOKUP($BD219,Programma!$F$3:$I$1107,4,0),"")</f>
        <v/>
      </c>
      <c r="BH219" s="300" t="str">
        <f>_xlfn.IFNA(VLOOKUP($BD219,Programma!$F$3:$J$1107,5,0),"")</f>
        <v/>
      </c>
      <c r="BI219" s="300" t="str">
        <f>_xlfn.IFNA(VLOOKUP($BD219,Programma!$F$3:$K$1107,6,0),"")</f>
        <v/>
      </c>
      <c r="BJ219" s="300" t="str">
        <f>_xlfn.IFNA(VLOOKUP($BD219,Programma!$F$3:$L$1107,7,0),"")</f>
        <v/>
      </c>
      <c r="BK219" s="300" t="str">
        <f>_xlfn.IFNA(VLOOKUP($BD219,Programma!$F$3:$M$1107,8,0),"")</f>
        <v/>
      </c>
      <c r="BL219" s="300" t="str">
        <f>_xlfn.IFNA(VLOOKUP($BD219,Programma!$F$3:$N$1107,9,0),"")</f>
        <v/>
      </c>
      <c r="BM219" s="300" t="str">
        <f>_xlfn.IFNA(VLOOKUP($BD219,Programma!$F$3:$O$1107,10,0),"")</f>
        <v/>
      </c>
      <c r="BN219" s="300" t="str">
        <f>_xlfn.IFNA(VLOOKUP($BD219,Programma!$F$3:$P$1107,11,0),"")</f>
        <v/>
      </c>
      <c r="BO219" s="300" t="str">
        <f>_xlfn.IFNA(VLOOKUP($BD219,Programma!$F$3:$Q$1107,12,0),"")</f>
        <v/>
      </c>
      <c r="BP219" s="300" t="str">
        <f>_xlfn.IFNA(VLOOKUP($BD219,Programma!$F$3:$R$1107,13,0),"")</f>
        <v/>
      </c>
      <c r="BQ219" s="300" t="str">
        <f>_xlfn.IFNA(VLOOKUP($BD219,Programma!$F$3:$S$1107,14,0),"")</f>
        <v/>
      </c>
      <c r="BR219" s="300" t="str">
        <f>_xlfn.IFNA(VLOOKUP($BD219,Programma!$F$3:$T$1107,15,0),"")</f>
        <v/>
      </c>
      <c r="BS219" s="300" t="str">
        <f>_xlfn.IFNA(VLOOKUP($BD219,Programma!$F$3:$U$1107,16,0),"")</f>
        <v/>
      </c>
      <c r="BT219" s="300" t="str">
        <f>_xlfn.IFNA(VLOOKUP($BD219,Programma!$F$3:$V$1107,17,0),"")</f>
        <v/>
      </c>
      <c r="BU219" s="300" t="str">
        <f>_xlfn.IFNA(VLOOKUP($BD219,Programma!$F$3:$W$1107,18,0),"")</f>
        <v/>
      </c>
      <c r="BV219" s="300" t="str">
        <f>_xlfn.IFNA(VLOOKUP($BD219,Programma!$F$3:$X$1107,19,0),"")</f>
        <v/>
      </c>
      <c r="BW219" s="300" t="str">
        <f>_xlfn.IFNA(VLOOKUP($BD219,Programma!$F$3:$Y$1107,20,0),"")</f>
        <v/>
      </c>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row>
    <row r="220" spans="1:220" ht="15" customHeight="1">
      <c r="A220" s="21">
        <v>4</v>
      </c>
      <c r="B220" s="157" t="str">
        <f>VLOOKUP(Ruimtestaat[[#This Row],[Code]],Locaties[[Code]:[Locatie]],2,FALSE)</f>
        <v>Sint-Maartenscollege</v>
      </c>
      <c r="C220" s="157" t="str">
        <f>VLOOKUP(Ruimtestaat[[#This Row],[Code]],Locaties[[#All],[Code]:[Adres]],4,FALSE)</f>
        <v xml:space="preserve">Aart v.d. Leeuwkade 14 </v>
      </c>
      <c r="D220" s="157" t="str">
        <f>VLOOKUP(Ruimtestaat[[#This Row],[Code]],Locaties[[#All],[Code]:[Postcode]],5,FALSE)</f>
        <v>2274 KX</v>
      </c>
      <c r="E220" s="157" t="str">
        <f>VLOOKUP(Ruimtestaat[[#This Row],[Code]],Locaties[#All],6,FALSE)</f>
        <v>Voorburg</v>
      </c>
      <c r="F220" s="62"/>
      <c r="G220" s="21" t="s">
        <v>1632</v>
      </c>
      <c r="H220" s="21">
        <v>43</v>
      </c>
      <c r="I220" s="62" t="s">
        <v>1882</v>
      </c>
      <c r="J220" s="21">
        <v>16</v>
      </c>
      <c r="K220" s="62" t="str">
        <f>VLOOKUP(Ruimtestaat[[#This Row],[Ruimte code]],Ruimtegroepen[[#All],[Code]:[Ruimte omschrijving]],2,FALSE)</f>
        <v>Leslokalen theorie</v>
      </c>
      <c r="L220" s="33" t="s">
        <v>101</v>
      </c>
      <c r="M220" s="367" t="s">
        <v>2495</v>
      </c>
      <c r="N220" s="140">
        <v>64</v>
      </c>
      <c r="O220" s="140"/>
      <c r="P220" s="125" t="str">
        <f>VLOOKUP(Ruimtestaat[[#This Row],[Ruimte code]],Ruimtegroepen[],4,FALSE)</f>
        <v>Le</v>
      </c>
      <c r="R220" s="33">
        <v>40</v>
      </c>
      <c r="S220" s="33" t="s">
        <v>2</v>
      </c>
      <c r="T220" s="33">
        <f>IF(R220&gt;0,IF(RIGHT(Ruimtestaat[[#This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0" s="33">
        <f>IF(T220&gt;0,VLOOKUP($J220,Ruimtegroepen[],3,FALSE)*VLOOKUP($L220,Vloersoorten[],3,FALSE)*VLOOKUP($S220,Frequenties[],3,FALSE)*VLOOKUP($A220,Locaties[],3,FALSE),0)</f>
        <v>0</v>
      </c>
      <c r="V220" s="33">
        <f>Ruimtestaat[[#This Row],[Uitvoeringen werkdagen]]*Ruimtestaat[[#This Row],[Oppervlak (netto)]]</f>
        <v>12800</v>
      </c>
      <c r="W220" s="154">
        <f>IF(U220&gt;0,Ruimtestaat[[#This Row],[Prest. (m2 /jaar) werkdagen]]/Ruimtestaat[[#This Row],[Norm (m2/uur) werkdagen]],0)</f>
        <v>0</v>
      </c>
      <c r="X220" s="155">
        <f>Ruimtestaat[[#This Row],[uren / jaar werkdagen]]*Tariefsopbouw!$E$35</f>
        <v>0</v>
      </c>
      <c r="Y220" s="33"/>
      <c r="Z220" s="33">
        <f>IF(Ruimtestaat[[#This Row],[Frequentie weekend]]&gt;0,VALUE(LEFT(Y220,1))*R220,0)</f>
        <v>0</v>
      </c>
      <c r="AA220" s="97">
        <f>IF($Z220&gt;0,VLOOKUP($J220,Ruimtegroepen[],3,FALSE)*VLOOKUP($L220,Vloersoorten[],3,FALSE)*VLOOKUP($Y220,Frequenties[],3,FALSE)*VLOOKUP(Ruimtestaat[[#This Row],[Code]],Locaties[],3,FALSE),0)</f>
        <v>0</v>
      </c>
      <c r="AB220" s="97">
        <f>Ruimtestaat[[#This Row],[Uitvoeringen weekend]]*Ruimtestaat[[#This Row],[Oppervlak (netto)]]</f>
        <v>0</v>
      </c>
      <c r="AC220" s="97">
        <f>IF(AA220&gt;0,Ruimtestaat[[#This Row],[Prest. (m2 /jaar) weekend]]/Ruimtestaat[[#This Row],[Norm (m2/uur) weekend]],0)</f>
        <v>0</v>
      </c>
      <c r="AD220" s="155">
        <f>Ruimtestaat[[#This Row],[uren / jaar weekend]]*Tariefsopbouw!$D$40</f>
        <v>0</v>
      </c>
      <c r="AE220" s="154">
        <f>Ruimtestaat[[#This Row],[Prest. (m2 /jaar) weekend]]+Ruimtestaat[[#This Row],[Prest. (m2 /jaar) werkdagen]]</f>
        <v>12800</v>
      </c>
      <c r="AF220" s="154">
        <f>Ruimtestaat[[#This Row],[uren / jaar weekend]]+Ruimtestaat[[#This Row],[uren / jaar werkdagen]]</f>
        <v>0</v>
      </c>
      <c r="AG220" s="69">
        <f>Ruimtestaat[[#This Row],[kosten / jaar weekend]]+Ruimtestaat[[#This Row],[kosten / jaar werkdagen]]</f>
        <v>0</v>
      </c>
      <c r="AH220" s="69"/>
      <c r="AI220" s="256" t="str">
        <f>IF(Ruimtestaat[[#This Row],[Frequentie werkdagen]]="","",_xlfn.CONCAT(Ruimtestaat[[#This Row],[Ruimte code]],"-",Ruimtestaat[[#This Row],[Frequentie werkdagen]]," ",Ruimtestaat[[#This Row],[Vloer code]]))</f>
        <v>16-5w L</v>
      </c>
      <c r="AJ220" s="300" t="str">
        <f>_xlfn.IFNA(VLOOKUP($AI220,Programma!$F$3:$G$1107,2,0),"")</f>
        <v>_</v>
      </c>
      <c r="AK220" s="300" t="str">
        <f>_xlfn.IFNA(VLOOKUP($AI220,Programma!$F$3:$H$1107,3,0),"")</f>
        <v>_</v>
      </c>
      <c r="AL220" s="300" t="str">
        <f>_xlfn.IFNA(VLOOKUP($AI220,Programma!$F$3:$I$1107,4,0),"")</f>
        <v>4w</v>
      </c>
      <c r="AM220" s="300" t="str">
        <f>_xlfn.IFNA(VLOOKUP($AI220,Programma!$F$3:$J$1107,5,0),"")</f>
        <v>1w</v>
      </c>
      <c r="AN220" s="300" t="str">
        <f>_xlfn.IFNA(VLOOKUP($AI220,Programma!$F$3:$K$1107,6,0),"")</f>
        <v>_</v>
      </c>
      <c r="AO220" s="300" t="str">
        <f>_xlfn.IFNA(VLOOKUP($AI220,Programma!$F$3:$L$1107,7,0),"")</f>
        <v>_</v>
      </c>
      <c r="AP220" s="300" t="str">
        <f>_xlfn.IFNA(VLOOKUP($AI220,Programma!$F$3:$M$1107,8,0),"")</f>
        <v>_</v>
      </c>
      <c r="AQ220" s="300" t="str">
        <f>_xlfn.IFNA(VLOOKUP($AI220,Programma!$F$3:$N$1107,9,0),"")</f>
        <v>_</v>
      </c>
      <c r="AR220" s="300" t="str">
        <f>_xlfn.IFNA(VLOOKUP($AI220,Programma!$F$3:$O$1107,10,0),"")</f>
        <v>5w</v>
      </c>
      <c r="AS220" s="300" t="str">
        <f>_xlfn.IFNA(VLOOKUP($AI220,Programma!$F$3:$P$1107,11,0),"")</f>
        <v>5w</v>
      </c>
      <c r="AT220" s="300" t="str">
        <f>_xlfn.IFNA(VLOOKUP($AI220,Programma!$F$3:$Q$1107,12,0),"")</f>
        <v>1w</v>
      </c>
      <c r="AU220" s="300" t="str">
        <f>_xlfn.IFNA(VLOOKUP($AI220,Programma!$F$3:$R$1107,13,0),"")</f>
        <v>1w</v>
      </c>
      <c r="AV220" s="300" t="str">
        <f>_xlfn.IFNA(VLOOKUP($AI220,Programma!$F$3:$S$1107,14,0),"")</f>
        <v>1m</v>
      </c>
      <c r="AW220" s="300" t="str">
        <f>_xlfn.IFNA(VLOOKUP($AI220,Programma!$F$3:$T$1107,15,0),"")</f>
        <v>2j</v>
      </c>
      <c r="AX220" s="300" t="str">
        <f>_xlfn.IFNA(VLOOKUP($AI220,Programma!$F$3:$U$1107,16,0),"")</f>
        <v>1j</v>
      </c>
      <c r="AY220" s="300" t="str">
        <f>_xlfn.IFNA(VLOOKUP($AI220,Programma!$F$3:$V$1107,17,0),"")</f>
        <v>_</v>
      </c>
      <c r="AZ220" s="300" t="str">
        <f>_xlfn.IFNA(VLOOKUP($AI220,Programma!$F$3:$W$1107,18,0),"")</f>
        <v>_</v>
      </c>
      <c r="BA220" s="300" t="str">
        <f>_xlfn.IFNA(VLOOKUP($AI220,Programma!$F$3:$X$1107,19,0),"")</f>
        <v>_</v>
      </c>
      <c r="BB220" s="300" t="str">
        <f>_xlfn.IFNA(VLOOKUP($AI220,Programma!$F$3:$Y$1107,20,0),"")</f>
        <v>_</v>
      </c>
      <c r="BC220" s="257"/>
      <c r="BD220" s="256" t="str">
        <f>IF(Ruimtestaat[[#This Row],[Frequentie weekend]]="","",_xlfn.CONCAT(Ruimtestaat[[#This Row],[Ruimte code]],"-",Ruimtestaat[[#This Row],[Frequentie weekend]]," ",Ruimtestaat[[#This Row],[Vloer code]]))</f>
        <v/>
      </c>
      <c r="BE220" s="300" t="str">
        <f>_xlfn.IFNA(VLOOKUP($BD220,Programma!$F$3:$G$1107,2,0),"")</f>
        <v/>
      </c>
      <c r="BF220" s="300" t="str">
        <f>_xlfn.IFNA(VLOOKUP($BD220,Programma!$F$3:$H$1107,3,0),"")</f>
        <v/>
      </c>
      <c r="BG220" s="300" t="str">
        <f>_xlfn.IFNA(VLOOKUP($BD220,Programma!$F$3:$I$1107,4,0),"")</f>
        <v/>
      </c>
      <c r="BH220" s="300" t="str">
        <f>_xlfn.IFNA(VLOOKUP($BD220,Programma!$F$3:$J$1107,5,0),"")</f>
        <v/>
      </c>
      <c r="BI220" s="300" t="str">
        <f>_xlfn.IFNA(VLOOKUP($BD220,Programma!$F$3:$K$1107,6,0),"")</f>
        <v/>
      </c>
      <c r="BJ220" s="300" t="str">
        <f>_xlfn.IFNA(VLOOKUP($BD220,Programma!$F$3:$L$1107,7,0),"")</f>
        <v/>
      </c>
      <c r="BK220" s="300" t="str">
        <f>_xlfn.IFNA(VLOOKUP($BD220,Programma!$F$3:$M$1107,8,0),"")</f>
        <v/>
      </c>
      <c r="BL220" s="300" t="str">
        <f>_xlfn.IFNA(VLOOKUP($BD220,Programma!$F$3:$N$1107,9,0),"")</f>
        <v/>
      </c>
      <c r="BM220" s="300" t="str">
        <f>_xlfn.IFNA(VLOOKUP($BD220,Programma!$F$3:$O$1107,10,0),"")</f>
        <v/>
      </c>
      <c r="BN220" s="300" t="str">
        <f>_xlfn.IFNA(VLOOKUP($BD220,Programma!$F$3:$P$1107,11,0),"")</f>
        <v/>
      </c>
      <c r="BO220" s="300" t="str">
        <f>_xlfn.IFNA(VLOOKUP($BD220,Programma!$F$3:$Q$1107,12,0),"")</f>
        <v/>
      </c>
      <c r="BP220" s="300" t="str">
        <f>_xlfn.IFNA(VLOOKUP($BD220,Programma!$F$3:$R$1107,13,0),"")</f>
        <v/>
      </c>
      <c r="BQ220" s="300" t="str">
        <f>_xlfn.IFNA(VLOOKUP($BD220,Programma!$F$3:$S$1107,14,0),"")</f>
        <v/>
      </c>
      <c r="BR220" s="300" t="str">
        <f>_xlfn.IFNA(VLOOKUP($BD220,Programma!$F$3:$T$1107,15,0),"")</f>
        <v/>
      </c>
      <c r="BS220" s="300" t="str">
        <f>_xlfn.IFNA(VLOOKUP($BD220,Programma!$F$3:$U$1107,16,0),"")</f>
        <v/>
      </c>
      <c r="BT220" s="300" t="str">
        <f>_xlfn.IFNA(VLOOKUP($BD220,Programma!$F$3:$V$1107,17,0),"")</f>
        <v/>
      </c>
      <c r="BU220" s="300" t="str">
        <f>_xlfn.IFNA(VLOOKUP($BD220,Programma!$F$3:$W$1107,18,0),"")</f>
        <v/>
      </c>
      <c r="BV220" s="300" t="str">
        <f>_xlfn.IFNA(VLOOKUP($BD220,Programma!$F$3:$X$1107,19,0),"")</f>
        <v/>
      </c>
      <c r="BW220" s="300" t="str">
        <f>_xlfn.IFNA(VLOOKUP($BD220,Programma!$F$3:$Y$1107,20,0),"")</f>
        <v/>
      </c>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row>
    <row r="221" spans="1:220" ht="15" customHeight="1">
      <c r="A221" s="21">
        <v>4</v>
      </c>
      <c r="B221" s="157" t="str">
        <f>VLOOKUP(Ruimtestaat[[#This Row],[Code]],Locaties[[Code]:[Locatie]],2,FALSE)</f>
        <v>Sint-Maartenscollege</v>
      </c>
      <c r="C221" s="157" t="str">
        <f>VLOOKUP(Ruimtestaat[[#This Row],[Code]],Locaties[[#All],[Code]:[Adres]],4,FALSE)</f>
        <v xml:space="preserve">Aart v.d. Leeuwkade 14 </v>
      </c>
      <c r="D221" s="157" t="str">
        <f>VLOOKUP(Ruimtestaat[[#This Row],[Code]],Locaties[[#All],[Code]:[Postcode]],5,FALSE)</f>
        <v>2274 KX</v>
      </c>
      <c r="E221" s="157" t="str">
        <f>VLOOKUP(Ruimtestaat[[#This Row],[Code]],Locaties[#All],6,FALSE)</f>
        <v>Voorburg</v>
      </c>
      <c r="F221" s="62"/>
      <c r="G221" s="21" t="s">
        <v>1632</v>
      </c>
      <c r="H221" s="21">
        <v>44</v>
      </c>
      <c r="I221" s="62" t="s">
        <v>1883</v>
      </c>
      <c r="J221" s="21">
        <v>16</v>
      </c>
      <c r="K221" s="62" t="str">
        <f>VLOOKUP(Ruimtestaat[[#This Row],[Ruimte code]],Ruimtegroepen[[#All],[Code]:[Ruimte omschrijving]],2,FALSE)</f>
        <v>Leslokalen theorie</v>
      </c>
      <c r="L221" s="33" t="s">
        <v>101</v>
      </c>
      <c r="M221" s="367" t="s">
        <v>2495</v>
      </c>
      <c r="N221" s="140">
        <v>76</v>
      </c>
      <c r="O221" s="140"/>
      <c r="P221" s="125" t="str">
        <f>VLOOKUP(Ruimtestaat[[#This Row],[Ruimte code]],Ruimtegroepen[],4,FALSE)</f>
        <v>Le</v>
      </c>
      <c r="R221" s="33">
        <v>40</v>
      </c>
      <c r="S221" s="33" t="s">
        <v>2</v>
      </c>
      <c r="T221" s="33">
        <f>IF(R221&gt;0,IF(RIGHT(Ruimtestaat[[#This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1" s="33">
        <f>IF(T221&gt;0,VLOOKUP($J221,Ruimtegroepen[],3,FALSE)*VLOOKUP($L221,Vloersoorten[],3,FALSE)*VLOOKUP($S221,Frequenties[],3,FALSE)*VLOOKUP($A221,Locaties[],3,FALSE),0)</f>
        <v>0</v>
      </c>
      <c r="V221" s="33">
        <f>Ruimtestaat[[#This Row],[Uitvoeringen werkdagen]]*Ruimtestaat[[#This Row],[Oppervlak (netto)]]</f>
        <v>15200</v>
      </c>
      <c r="W221" s="154">
        <f>IF(U221&gt;0,Ruimtestaat[[#This Row],[Prest. (m2 /jaar) werkdagen]]/Ruimtestaat[[#This Row],[Norm (m2/uur) werkdagen]],0)</f>
        <v>0</v>
      </c>
      <c r="X221" s="155">
        <f>Ruimtestaat[[#This Row],[uren / jaar werkdagen]]*Tariefsopbouw!$E$35</f>
        <v>0</v>
      </c>
      <c r="Y221" s="33"/>
      <c r="Z221" s="33">
        <f>IF(Ruimtestaat[[#This Row],[Frequentie weekend]]&gt;0,VALUE(LEFT(Y221,1))*R221,0)</f>
        <v>0</v>
      </c>
      <c r="AA221" s="97">
        <f>IF($Z221&gt;0,VLOOKUP($J221,Ruimtegroepen[],3,FALSE)*VLOOKUP($L221,Vloersoorten[],3,FALSE)*VLOOKUP($Y221,Frequenties[],3,FALSE)*VLOOKUP(Ruimtestaat[[#This Row],[Code]],Locaties[],3,FALSE),0)</f>
        <v>0</v>
      </c>
      <c r="AB221" s="97">
        <f>Ruimtestaat[[#This Row],[Uitvoeringen weekend]]*Ruimtestaat[[#This Row],[Oppervlak (netto)]]</f>
        <v>0</v>
      </c>
      <c r="AC221" s="97">
        <f>IF(AA221&gt;0,Ruimtestaat[[#This Row],[Prest. (m2 /jaar) weekend]]/Ruimtestaat[[#This Row],[Norm (m2/uur) weekend]],0)</f>
        <v>0</v>
      </c>
      <c r="AD221" s="155">
        <f>Ruimtestaat[[#This Row],[uren / jaar weekend]]*Tariefsopbouw!$D$40</f>
        <v>0</v>
      </c>
      <c r="AE221" s="154">
        <f>Ruimtestaat[[#This Row],[Prest. (m2 /jaar) weekend]]+Ruimtestaat[[#This Row],[Prest. (m2 /jaar) werkdagen]]</f>
        <v>15200</v>
      </c>
      <c r="AF221" s="154">
        <f>Ruimtestaat[[#This Row],[uren / jaar weekend]]+Ruimtestaat[[#This Row],[uren / jaar werkdagen]]</f>
        <v>0</v>
      </c>
      <c r="AG221" s="69">
        <f>Ruimtestaat[[#This Row],[kosten / jaar weekend]]+Ruimtestaat[[#This Row],[kosten / jaar werkdagen]]</f>
        <v>0</v>
      </c>
      <c r="AH221" s="69"/>
      <c r="AI221" s="256" t="str">
        <f>IF(Ruimtestaat[[#This Row],[Frequentie werkdagen]]="","",_xlfn.CONCAT(Ruimtestaat[[#This Row],[Ruimte code]],"-",Ruimtestaat[[#This Row],[Frequentie werkdagen]]," ",Ruimtestaat[[#This Row],[Vloer code]]))</f>
        <v>16-5w L</v>
      </c>
      <c r="AJ221" s="300" t="str">
        <f>_xlfn.IFNA(VLOOKUP($AI221,Programma!$F$3:$G$1107,2,0),"")</f>
        <v>_</v>
      </c>
      <c r="AK221" s="300" t="str">
        <f>_xlfn.IFNA(VLOOKUP($AI221,Programma!$F$3:$H$1107,3,0),"")</f>
        <v>_</v>
      </c>
      <c r="AL221" s="300" t="str">
        <f>_xlfn.IFNA(VLOOKUP($AI221,Programma!$F$3:$I$1107,4,0),"")</f>
        <v>4w</v>
      </c>
      <c r="AM221" s="300" t="str">
        <f>_xlfn.IFNA(VLOOKUP($AI221,Programma!$F$3:$J$1107,5,0),"")</f>
        <v>1w</v>
      </c>
      <c r="AN221" s="300" t="str">
        <f>_xlfn.IFNA(VLOOKUP($AI221,Programma!$F$3:$K$1107,6,0),"")</f>
        <v>_</v>
      </c>
      <c r="AO221" s="300" t="str">
        <f>_xlfn.IFNA(VLOOKUP($AI221,Programma!$F$3:$L$1107,7,0),"")</f>
        <v>_</v>
      </c>
      <c r="AP221" s="300" t="str">
        <f>_xlfn.IFNA(VLOOKUP($AI221,Programma!$F$3:$M$1107,8,0),"")</f>
        <v>_</v>
      </c>
      <c r="AQ221" s="300" t="str">
        <f>_xlfn.IFNA(VLOOKUP($AI221,Programma!$F$3:$N$1107,9,0),"")</f>
        <v>_</v>
      </c>
      <c r="AR221" s="300" t="str">
        <f>_xlfn.IFNA(VLOOKUP($AI221,Programma!$F$3:$O$1107,10,0),"")</f>
        <v>5w</v>
      </c>
      <c r="AS221" s="300" t="str">
        <f>_xlfn.IFNA(VLOOKUP($AI221,Programma!$F$3:$P$1107,11,0),"")</f>
        <v>5w</v>
      </c>
      <c r="AT221" s="300" t="str">
        <f>_xlfn.IFNA(VLOOKUP($AI221,Programma!$F$3:$Q$1107,12,0),"")</f>
        <v>1w</v>
      </c>
      <c r="AU221" s="300" t="str">
        <f>_xlfn.IFNA(VLOOKUP($AI221,Programma!$F$3:$R$1107,13,0),"")</f>
        <v>1w</v>
      </c>
      <c r="AV221" s="300" t="str">
        <f>_xlfn.IFNA(VLOOKUP($AI221,Programma!$F$3:$S$1107,14,0),"")</f>
        <v>1m</v>
      </c>
      <c r="AW221" s="300" t="str">
        <f>_xlfn.IFNA(VLOOKUP($AI221,Programma!$F$3:$T$1107,15,0),"")</f>
        <v>2j</v>
      </c>
      <c r="AX221" s="300" t="str">
        <f>_xlfn.IFNA(VLOOKUP($AI221,Programma!$F$3:$U$1107,16,0),"")</f>
        <v>1j</v>
      </c>
      <c r="AY221" s="300" t="str">
        <f>_xlfn.IFNA(VLOOKUP($AI221,Programma!$F$3:$V$1107,17,0),"")</f>
        <v>_</v>
      </c>
      <c r="AZ221" s="300" t="str">
        <f>_xlfn.IFNA(VLOOKUP($AI221,Programma!$F$3:$W$1107,18,0),"")</f>
        <v>_</v>
      </c>
      <c r="BA221" s="300" t="str">
        <f>_xlfn.IFNA(VLOOKUP($AI221,Programma!$F$3:$X$1107,19,0),"")</f>
        <v>_</v>
      </c>
      <c r="BB221" s="300" t="str">
        <f>_xlfn.IFNA(VLOOKUP($AI221,Programma!$F$3:$Y$1107,20,0),"")</f>
        <v>_</v>
      </c>
      <c r="BC221" s="257"/>
      <c r="BD221" s="256" t="str">
        <f>IF(Ruimtestaat[[#This Row],[Frequentie weekend]]="","",_xlfn.CONCAT(Ruimtestaat[[#This Row],[Ruimte code]],"-",Ruimtestaat[[#This Row],[Frequentie weekend]]," ",Ruimtestaat[[#This Row],[Vloer code]]))</f>
        <v/>
      </c>
      <c r="BE221" s="300" t="str">
        <f>_xlfn.IFNA(VLOOKUP($BD221,Programma!$F$3:$G$1107,2,0),"")</f>
        <v/>
      </c>
      <c r="BF221" s="300" t="str">
        <f>_xlfn.IFNA(VLOOKUP($BD221,Programma!$F$3:$H$1107,3,0),"")</f>
        <v/>
      </c>
      <c r="BG221" s="300" t="str">
        <f>_xlfn.IFNA(VLOOKUP($BD221,Programma!$F$3:$I$1107,4,0),"")</f>
        <v/>
      </c>
      <c r="BH221" s="300" t="str">
        <f>_xlfn.IFNA(VLOOKUP($BD221,Programma!$F$3:$J$1107,5,0),"")</f>
        <v/>
      </c>
      <c r="BI221" s="300" t="str">
        <f>_xlfn.IFNA(VLOOKUP($BD221,Programma!$F$3:$K$1107,6,0),"")</f>
        <v/>
      </c>
      <c r="BJ221" s="300" t="str">
        <f>_xlfn.IFNA(VLOOKUP($BD221,Programma!$F$3:$L$1107,7,0),"")</f>
        <v/>
      </c>
      <c r="BK221" s="300" t="str">
        <f>_xlfn.IFNA(VLOOKUP($BD221,Programma!$F$3:$M$1107,8,0),"")</f>
        <v/>
      </c>
      <c r="BL221" s="300" t="str">
        <f>_xlfn.IFNA(VLOOKUP($BD221,Programma!$F$3:$N$1107,9,0),"")</f>
        <v/>
      </c>
      <c r="BM221" s="300" t="str">
        <f>_xlfn.IFNA(VLOOKUP($BD221,Programma!$F$3:$O$1107,10,0),"")</f>
        <v/>
      </c>
      <c r="BN221" s="300" t="str">
        <f>_xlfn.IFNA(VLOOKUP($BD221,Programma!$F$3:$P$1107,11,0),"")</f>
        <v/>
      </c>
      <c r="BO221" s="300" t="str">
        <f>_xlfn.IFNA(VLOOKUP($BD221,Programma!$F$3:$Q$1107,12,0),"")</f>
        <v/>
      </c>
      <c r="BP221" s="300" t="str">
        <f>_xlfn.IFNA(VLOOKUP($BD221,Programma!$F$3:$R$1107,13,0),"")</f>
        <v/>
      </c>
      <c r="BQ221" s="300" t="str">
        <f>_xlfn.IFNA(VLOOKUP($BD221,Programma!$F$3:$S$1107,14,0),"")</f>
        <v/>
      </c>
      <c r="BR221" s="300" t="str">
        <f>_xlfn.IFNA(VLOOKUP($BD221,Programma!$F$3:$T$1107,15,0),"")</f>
        <v/>
      </c>
      <c r="BS221" s="300" t="str">
        <f>_xlfn.IFNA(VLOOKUP($BD221,Programma!$F$3:$U$1107,16,0),"")</f>
        <v/>
      </c>
      <c r="BT221" s="300" t="str">
        <f>_xlfn.IFNA(VLOOKUP($BD221,Programma!$F$3:$V$1107,17,0),"")</f>
        <v/>
      </c>
      <c r="BU221" s="300" t="str">
        <f>_xlfn.IFNA(VLOOKUP($BD221,Programma!$F$3:$W$1107,18,0),"")</f>
        <v/>
      </c>
      <c r="BV221" s="300" t="str">
        <f>_xlfn.IFNA(VLOOKUP($BD221,Programma!$F$3:$X$1107,19,0),"")</f>
        <v/>
      </c>
      <c r="BW221" s="300" t="str">
        <f>_xlfn.IFNA(VLOOKUP($BD221,Programma!$F$3:$Y$1107,20,0),"")</f>
        <v/>
      </c>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row>
    <row r="222" spans="1:220" ht="15" customHeight="1">
      <c r="A222" s="21">
        <v>4</v>
      </c>
      <c r="B222" s="157" t="str">
        <f>VLOOKUP(Ruimtestaat[[#This Row],[Code]],Locaties[[Code]:[Locatie]],2,FALSE)</f>
        <v>Sint-Maartenscollege</v>
      </c>
      <c r="C222" s="157" t="str">
        <f>VLOOKUP(Ruimtestaat[[#This Row],[Code]],Locaties[[#All],[Code]:[Adres]],4,FALSE)</f>
        <v xml:space="preserve">Aart v.d. Leeuwkade 14 </v>
      </c>
      <c r="D222" s="157" t="str">
        <f>VLOOKUP(Ruimtestaat[[#This Row],[Code]],Locaties[[#All],[Code]:[Postcode]],5,FALSE)</f>
        <v>2274 KX</v>
      </c>
      <c r="E222" s="157" t="str">
        <f>VLOOKUP(Ruimtestaat[[#This Row],[Code]],Locaties[#All],6,FALSE)</f>
        <v>Voorburg</v>
      </c>
      <c r="F222" s="62"/>
      <c r="G222" s="21" t="s">
        <v>1632</v>
      </c>
      <c r="H222" s="21">
        <v>45</v>
      </c>
      <c r="I222" s="62" t="s">
        <v>1884</v>
      </c>
      <c r="J222" s="21">
        <v>14</v>
      </c>
      <c r="K222" s="62" t="str">
        <f>VLOOKUP(Ruimtestaat[[#This Row],[Ruimte code]],Ruimtegroepen[[#All],[Code]:[Ruimte omschrijving]],2,FALSE)</f>
        <v>Praktijklokalen binas/zorg</v>
      </c>
      <c r="L222" s="33" t="s">
        <v>101</v>
      </c>
      <c r="M222" s="367" t="s">
        <v>2495</v>
      </c>
      <c r="N222" s="140">
        <v>38</v>
      </c>
      <c r="O222" s="140"/>
      <c r="P222" s="125" t="str">
        <f>VLOOKUP(Ruimtestaat[[#This Row],[Ruimte code]],Ruimtegroepen[],4,FALSE)</f>
        <v>Le</v>
      </c>
      <c r="R222" s="33">
        <v>40</v>
      </c>
      <c r="S222" s="33" t="s">
        <v>2</v>
      </c>
      <c r="T222" s="33">
        <f>IF(R222&gt;0,IF(RIGHT(Ruimtestaat[[#This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2" s="33">
        <f>IF(T222&gt;0,VLOOKUP($J222,Ruimtegroepen[],3,FALSE)*VLOOKUP($L222,Vloersoorten[],3,FALSE)*VLOOKUP($S222,Frequenties[],3,FALSE)*VLOOKUP($A222,Locaties[],3,FALSE),0)</f>
        <v>0</v>
      </c>
      <c r="V222" s="33">
        <f>Ruimtestaat[[#This Row],[Uitvoeringen werkdagen]]*Ruimtestaat[[#This Row],[Oppervlak (netto)]]</f>
        <v>7600</v>
      </c>
      <c r="W222" s="154">
        <f>IF(U222&gt;0,Ruimtestaat[[#This Row],[Prest. (m2 /jaar) werkdagen]]/Ruimtestaat[[#This Row],[Norm (m2/uur) werkdagen]],0)</f>
        <v>0</v>
      </c>
      <c r="X222" s="155">
        <f>Ruimtestaat[[#This Row],[uren / jaar werkdagen]]*Tariefsopbouw!$E$35</f>
        <v>0</v>
      </c>
      <c r="Y222" s="33"/>
      <c r="Z222" s="33">
        <f>IF(Ruimtestaat[[#This Row],[Frequentie weekend]]&gt;0,VALUE(LEFT(Y222,1))*R222,0)</f>
        <v>0</v>
      </c>
      <c r="AA222" s="97">
        <f>IF($Z222&gt;0,VLOOKUP($J222,Ruimtegroepen[],3,FALSE)*VLOOKUP($L222,Vloersoorten[],3,FALSE)*VLOOKUP($Y222,Frequenties[],3,FALSE)*VLOOKUP(Ruimtestaat[[#This Row],[Code]],Locaties[],3,FALSE),0)</f>
        <v>0</v>
      </c>
      <c r="AB222" s="97">
        <f>Ruimtestaat[[#This Row],[Uitvoeringen weekend]]*Ruimtestaat[[#This Row],[Oppervlak (netto)]]</f>
        <v>0</v>
      </c>
      <c r="AC222" s="97">
        <f>IF(AA222&gt;0,Ruimtestaat[[#This Row],[Prest. (m2 /jaar) weekend]]/Ruimtestaat[[#This Row],[Norm (m2/uur) weekend]],0)</f>
        <v>0</v>
      </c>
      <c r="AD222" s="155">
        <f>Ruimtestaat[[#This Row],[uren / jaar weekend]]*Tariefsopbouw!$D$40</f>
        <v>0</v>
      </c>
      <c r="AE222" s="154">
        <f>Ruimtestaat[[#This Row],[Prest. (m2 /jaar) weekend]]+Ruimtestaat[[#This Row],[Prest. (m2 /jaar) werkdagen]]</f>
        <v>7600</v>
      </c>
      <c r="AF222" s="154">
        <f>Ruimtestaat[[#This Row],[uren / jaar weekend]]+Ruimtestaat[[#This Row],[uren / jaar werkdagen]]</f>
        <v>0</v>
      </c>
      <c r="AG222" s="69">
        <f>Ruimtestaat[[#This Row],[kosten / jaar weekend]]+Ruimtestaat[[#This Row],[kosten / jaar werkdagen]]</f>
        <v>0</v>
      </c>
      <c r="AH222" s="69"/>
      <c r="AI222" s="256" t="str">
        <f>IF(Ruimtestaat[[#This Row],[Frequentie werkdagen]]="","",_xlfn.CONCAT(Ruimtestaat[[#This Row],[Ruimte code]],"-",Ruimtestaat[[#This Row],[Frequentie werkdagen]]," ",Ruimtestaat[[#This Row],[Vloer code]]))</f>
        <v>14-5w L</v>
      </c>
      <c r="AJ222" s="300" t="str">
        <f>_xlfn.IFNA(VLOOKUP($AI222,Programma!$F$3:$G$1107,2,0),"")</f>
        <v>_</v>
      </c>
      <c r="AK222" s="300" t="str">
        <f>_xlfn.IFNA(VLOOKUP($AI222,Programma!$F$3:$H$1107,3,0),"")</f>
        <v>_</v>
      </c>
      <c r="AL222" s="300" t="str">
        <f>_xlfn.IFNA(VLOOKUP($AI222,Programma!$F$3:$I$1107,4,0),"")</f>
        <v>_</v>
      </c>
      <c r="AM222" s="300" t="str">
        <f>_xlfn.IFNA(VLOOKUP($AI222,Programma!$F$3:$J$1107,5,0),"")</f>
        <v>5w</v>
      </c>
      <c r="AN222" s="300" t="str">
        <f>_xlfn.IFNA(VLOOKUP($AI222,Programma!$F$3:$K$1107,6,0),"")</f>
        <v>_</v>
      </c>
      <c r="AO222" s="300" t="str">
        <f>_xlfn.IFNA(VLOOKUP($AI222,Programma!$F$3:$L$1107,7,0),"")</f>
        <v>_</v>
      </c>
      <c r="AP222" s="300" t="str">
        <f>_xlfn.IFNA(VLOOKUP($AI222,Programma!$F$3:$M$1107,8,0),"")</f>
        <v>_</v>
      </c>
      <c r="AQ222" s="300" t="str">
        <f>_xlfn.IFNA(VLOOKUP($AI222,Programma!$F$3:$N$1107,9,0),"")</f>
        <v>_</v>
      </c>
      <c r="AR222" s="300" t="str">
        <f>_xlfn.IFNA(VLOOKUP($AI222,Programma!$F$3:$O$1107,10,0),"")</f>
        <v>5w</v>
      </c>
      <c r="AS222" s="300" t="str">
        <f>_xlfn.IFNA(VLOOKUP($AI222,Programma!$F$3:$P$1107,11,0),"")</f>
        <v>5w</v>
      </c>
      <c r="AT222" s="300" t="str">
        <f>_xlfn.IFNA(VLOOKUP($AI222,Programma!$F$3:$Q$1107,12,0),"")</f>
        <v>1w</v>
      </c>
      <c r="AU222" s="300" t="str">
        <f>_xlfn.IFNA(VLOOKUP($AI222,Programma!$F$3:$R$1107,13,0),"")</f>
        <v>1w</v>
      </c>
      <c r="AV222" s="300" t="str">
        <f>_xlfn.IFNA(VLOOKUP($AI222,Programma!$F$3:$S$1107,14,0),"")</f>
        <v>1m</v>
      </c>
      <c r="AW222" s="300" t="str">
        <f>_xlfn.IFNA(VLOOKUP($AI222,Programma!$F$3:$T$1107,15,0),"")</f>
        <v>2j</v>
      </c>
      <c r="AX222" s="300" t="str">
        <f>_xlfn.IFNA(VLOOKUP($AI222,Programma!$F$3:$U$1107,16,0),"")</f>
        <v>1j</v>
      </c>
      <c r="AY222" s="300" t="str">
        <f>_xlfn.IFNA(VLOOKUP($AI222,Programma!$F$3:$V$1107,17,0),"")</f>
        <v>_</v>
      </c>
      <c r="AZ222" s="300" t="str">
        <f>_xlfn.IFNA(VLOOKUP($AI222,Programma!$F$3:$W$1107,18,0),"")</f>
        <v>_</v>
      </c>
      <c r="BA222" s="300" t="str">
        <f>_xlfn.IFNA(VLOOKUP($AI222,Programma!$F$3:$X$1107,19,0),"")</f>
        <v>_</v>
      </c>
      <c r="BB222" s="300" t="str">
        <f>_xlfn.IFNA(VLOOKUP($AI222,Programma!$F$3:$Y$1107,20,0),"")</f>
        <v>_</v>
      </c>
      <c r="BC222" s="257"/>
      <c r="BD222" s="256" t="str">
        <f>IF(Ruimtestaat[[#This Row],[Frequentie weekend]]="","",_xlfn.CONCAT(Ruimtestaat[[#This Row],[Ruimte code]],"-",Ruimtestaat[[#This Row],[Frequentie weekend]]," ",Ruimtestaat[[#This Row],[Vloer code]]))</f>
        <v/>
      </c>
      <c r="BE222" s="300" t="str">
        <f>_xlfn.IFNA(VLOOKUP($BD222,Programma!$F$3:$G$1107,2,0),"")</f>
        <v/>
      </c>
      <c r="BF222" s="300" t="str">
        <f>_xlfn.IFNA(VLOOKUP($BD222,Programma!$F$3:$H$1107,3,0),"")</f>
        <v/>
      </c>
      <c r="BG222" s="300" t="str">
        <f>_xlfn.IFNA(VLOOKUP($BD222,Programma!$F$3:$I$1107,4,0),"")</f>
        <v/>
      </c>
      <c r="BH222" s="300" t="str">
        <f>_xlfn.IFNA(VLOOKUP($BD222,Programma!$F$3:$J$1107,5,0),"")</f>
        <v/>
      </c>
      <c r="BI222" s="300" t="str">
        <f>_xlfn.IFNA(VLOOKUP($BD222,Programma!$F$3:$K$1107,6,0),"")</f>
        <v/>
      </c>
      <c r="BJ222" s="300" t="str">
        <f>_xlfn.IFNA(VLOOKUP($BD222,Programma!$F$3:$L$1107,7,0),"")</f>
        <v/>
      </c>
      <c r="BK222" s="300" t="str">
        <f>_xlfn.IFNA(VLOOKUP($BD222,Programma!$F$3:$M$1107,8,0),"")</f>
        <v/>
      </c>
      <c r="BL222" s="300" t="str">
        <f>_xlfn.IFNA(VLOOKUP($BD222,Programma!$F$3:$N$1107,9,0),"")</f>
        <v/>
      </c>
      <c r="BM222" s="300" t="str">
        <f>_xlfn.IFNA(VLOOKUP($BD222,Programma!$F$3:$O$1107,10,0),"")</f>
        <v/>
      </c>
      <c r="BN222" s="300" t="str">
        <f>_xlfn.IFNA(VLOOKUP($BD222,Programma!$F$3:$P$1107,11,0),"")</f>
        <v/>
      </c>
      <c r="BO222" s="300" t="str">
        <f>_xlfn.IFNA(VLOOKUP($BD222,Programma!$F$3:$Q$1107,12,0),"")</f>
        <v/>
      </c>
      <c r="BP222" s="300" t="str">
        <f>_xlfn.IFNA(VLOOKUP($BD222,Programma!$F$3:$R$1107,13,0),"")</f>
        <v/>
      </c>
      <c r="BQ222" s="300" t="str">
        <f>_xlfn.IFNA(VLOOKUP($BD222,Programma!$F$3:$S$1107,14,0),"")</f>
        <v/>
      </c>
      <c r="BR222" s="300" t="str">
        <f>_xlfn.IFNA(VLOOKUP($BD222,Programma!$F$3:$T$1107,15,0),"")</f>
        <v/>
      </c>
      <c r="BS222" s="300" t="str">
        <f>_xlfn.IFNA(VLOOKUP($BD222,Programma!$F$3:$U$1107,16,0),"")</f>
        <v/>
      </c>
      <c r="BT222" s="300" t="str">
        <f>_xlfn.IFNA(VLOOKUP($BD222,Programma!$F$3:$V$1107,17,0),"")</f>
        <v/>
      </c>
      <c r="BU222" s="300" t="str">
        <f>_xlfn.IFNA(VLOOKUP($BD222,Programma!$F$3:$W$1107,18,0),"")</f>
        <v/>
      </c>
      <c r="BV222" s="300" t="str">
        <f>_xlfn.IFNA(VLOOKUP($BD222,Programma!$F$3:$X$1107,19,0),"")</f>
        <v/>
      </c>
      <c r="BW222" s="300" t="str">
        <f>_xlfn.IFNA(VLOOKUP($BD222,Programma!$F$3:$Y$1107,20,0),"")</f>
        <v/>
      </c>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row>
    <row r="223" spans="1:220" ht="15" customHeight="1">
      <c r="A223" s="21">
        <v>4</v>
      </c>
      <c r="B223" s="157" t="str">
        <f>VLOOKUP(Ruimtestaat[[#This Row],[Code]],Locaties[[Code]:[Locatie]],2,FALSE)</f>
        <v>Sint-Maartenscollege</v>
      </c>
      <c r="C223" s="157" t="str">
        <f>VLOOKUP(Ruimtestaat[[#This Row],[Code]],Locaties[[#All],[Code]:[Adres]],4,FALSE)</f>
        <v xml:space="preserve">Aart v.d. Leeuwkade 14 </v>
      </c>
      <c r="D223" s="157" t="str">
        <f>VLOOKUP(Ruimtestaat[[#This Row],[Code]],Locaties[[#All],[Code]:[Postcode]],5,FALSE)</f>
        <v>2274 KX</v>
      </c>
      <c r="E223" s="157" t="str">
        <f>VLOOKUP(Ruimtestaat[[#This Row],[Code]],Locaties[#All],6,FALSE)</f>
        <v>Voorburg</v>
      </c>
      <c r="F223" s="62"/>
      <c r="G223" s="21" t="s">
        <v>1632</v>
      </c>
      <c r="H223" s="21">
        <v>46</v>
      </c>
      <c r="I223" s="62" t="s">
        <v>1885</v>
      </c>
      <c r="J223" s="21">
        <v>16</v>
      </c>
      <c r="K223" s="62" t="str">
        <f>VLOOKUP(Ruimtestaat[[#This Row],[Ruimte code]],Ruimtegroepen[[#All],[Code]:[Ruimte omschrijving]],2,FALSE)</f>
        <v>Leslokalen theorie</v>
      </c>
      <c r="L223" s="33" t="s">
        <v>101</v>
      </c>
      <c r="M223" s="367" t="s">
        <v>2495</v>
      </c>
      <c r="N223" s="140">
        <v>64</v>
      </c>
      <c r="O223" s="140"/>
      <c r="P223" s="125" t="str">
        <f>VLOOKUP(Ruimtestaat[[#This Row],[Ruimte code]],Ruimtegroepen[],4,FALSE)</f>
        <v>Le</v>
      </c>
      <c r="R223" s="33">
        <v>40</v>
      </c>
      <c r="S223" s="33" t="s">
        <v>2</v>
      </c>
      <c r="T223" s="33">
        <f>IF(R223&gt;0,IF(RIGHT(Ruimtestaat[[#This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3" s="33">
        <f>IF(T223&gt;0,VLOOKUP($J223,Ruimtegroepen[],3,FALSE)*VLOOKUP($L223,Vloersoorten[],3,FALSE)*VLOOKUP($S223,Frequenties[],3,FALSE)*VLOOKUP($A223,Locaties[],3,FALSE),0)</f>
        <v>0</v>
      </c>
      <c r="V223" s="33">
        <f>Ruimtestaat[[#This Row],[Uitvoeringen werkdagen]]*Ruimtestaat[[#This Row],[Oppervlak (netto)]]</f>
        <v>12800</v>
      </c>
      <c r="W223" s="154">
        <f>IF(U223&gt;0,Ruimtestaat[[#This Row],[Prest. (m2 /jaar) werkdagen]]/Ruimtestaat[[#This Row],[Norm (m2/uur) werkdagen]],0)</f>
        <v>0</v>
      </c>
      <c r="X223" s="155">
        <f>Ruimtestaat[[#This Row],[uren / jaar werkdagen]]*Tariefsopbouw!$E$35</f>
        <v>0</v>
      </c>
      <c r="Y223" s="33"/>
      <c r="Z223" s="33">
        <f>IF(Ruimtestaat[[#This Row],[Frequentie weekend]]&gt;0,VALUE(LEFT(Y223,1))*R223,0)</f>
        <v>0</v>
      </c>
      <c r="AA223" s="97">
        <f>IF($Z223&gt;0,VLOOKUP($J223,Ruimtegroepen[],3,FALSE)*VLOOKUP($L223,Vloersoorten[],3,FALSE)*VLOOKUP($Y223,Frequenties[],3,FALSE)*VLOOKUP(Ruimtestaat[[#This Row],[Code]],Locaties[],3,FALSE),0)</f>
        <v>0</v>
      </c>
      <c r="AB223" s="97">
        <f>Ruimtestaat[[#This Row],[Uitvoeringen weekend]]*Ruimtestaat[[#This Row],[Oppervlak (netto)]]</f>
        <v>0</v>
      </c>
      <c r="AC223" s="97">
        <f>IF(AA223&gt;0,Ruimtestaat[[#This Row],[Prest. (m2 /jaar) weekend]]/Ruimtestaat[[#This Row],[Norm (m2/uur) weekend]],0)</f>
        <v>0</v>
      </c>
      <c r="AD223" s="155">
        <f>Ruimtestaat[[#This Row],[uren / jaar weekend]]*Tariefsopbouw!$D$40</f>
        <v>0</v>
      </c>
      <c r="AE223" s="154">
        <f>Ruimtestaat[[#This Row],[Prest. (m2 /jaar) weekend]]+Ruimtestaat[[#This Row],[Prest. (m2 /jaar) werkdagen]]</f>
        <v>12800</v>
      </c>
      <c r="AF223" s="154">
        <f>Ruimtestaat[[#This Row],[uren / jaar weekend]]+Ruimtestaat[[#This Row],[uren / jaar werkdagen]]</f>
        <v>0</v>
      </c>
      <c r="AG223" s="69">
        <f>Ruimtestaat[[#This Row],[kosten / jaar weekend]]+Ruimtestaat[[#This Row],[kosten / jaar werkdagen]]</f>
        <v>0</v>
      </c>
      <c r="AH223" s="69"/>
      <c r="AI223" s="256" t="str">
        <f>IF(Ruimtestaat[[#This Row],[Frequentie werkdagen]]="","",_xlfn.CONCAT(Ruimtestaat[[#This Row],[Ruimte code]],"-",Ruimtestaat[[#This Row],[Frequentie werkdagen]]," ",Ruimtestaat[[#This Row],[Vloer code]]))</f>
        <v>16-5w L</v>
      </c>
      <c r="AJ223" s="300" t="str">
        <f>_xlfn.IFNA(VLOOKUP($AI223,Programma!$F$3:$G$1107,2,0),"")</f>
        <v>_</v>
      </c>
      <c r="AK223" s="300" t="str">
        <f>_xlfn.IFNA(VLOOKUP($AI223,Programma!$F$3:$H$1107,3,0),"")</f>
        <v>_</v>
      </c>
      <c r="AL223" s="300" t="str">
        <f>_xlfn.IFNA(VLOOKUP($AI223,Programma!$F$3:$I$1107,4,0),"")</f>
        <v>4w</v>
      </c>
      <c r="AM223" s="300" t="str">
        <f>_xlfn.IFNA(VLOOKUP($AI223,Programma!$F$3:$J$1107,5,0),"")</f>
        <v>1w</v>
      </c>
      <c r="AN223" s="300" t="str">
        <f>_xlfn.IFNA(VLOOKUP($AI223,Programma!$F$3:$K$1107,6,0),"")</f>
        <v>_</v>
      </c>
      <c r="AO223" s="300" t="str">
        <f>_xlfn.IFNA(VLOOKUP($AI223,Programma!$F$3:$L$1107,7,0),"")</f>
        <v>_</v>
      </c>
      <c r="AP223" s="300" t="str">
        <f>_xlfn.IFNA(VLOOKUP($AI223,Programma!$F$3:$M$1107,8,0),"")</f>
        <v>_</v>
      </c>
      <c r="AQ223" s="300" t="str">
        <f>_xlfn.IFNA(VLOOKUP($AI223,Programma!$F$3:$N$1107,9,0),"")</f>
        <v>_</v>
      </c>
      <c r="AR223" s="300" t="str">
        <f>_xlfn.IFNA(VLOOKUP($AI223,Programma!$F$3:$O$1107,10,0),"")</f>
        <v>5w</v>
      </c>
      <c r="AS223" s="300" t="str">
        <f>_xlfn.IFNA(VLOOKUP($AI223,Programma!$F$3:$P$1107,11,0),"")</f>
        <v>5w</v>
      </c>
      <c r="AT223" s="300" t="str">
        <f>_xlfn.IFNA(VLOOKUP($AI223,Programma!$F$3:$Q$1107,12,0),"")</f>
        <v>1w</v>
      </c>
      <c r="AU223" s="300" t="str">
        <f>_xlfn.IFNA(VLOOKUP($AI223,Programma!$F$3:$R$1107,13,0),"")</f>
        <v>1w</v>
      </c>
      <c r="AV223" s="300" t="str">
        <f>_xlfn.IFNA(VLOOKUP($AI223,Programma!$F$3:$S$1107,14,0),"")</f>
        <v>1m</v>
      </c>
      <c r="AW223" s="300" t="str">
        <f>_xlfn.IFNA(VLOOKUP($AI223,Programma!$F$3:$T$1107,15,0),"")</f>
        <v>2j</v>
      </c>
      <c r="AX223" s="300" t="str">
        <f>_xlfn.IFNA(VLOOKUP($AI223,Programma!$F$3:$U$1107,16,0),"")</f>
        <v>1j</v>
      </c>
      <c r="AY223" s="300" t="str">
        <f>_xlfn.IFNA(VLOOKUP($AI223,Programma!$F$3:$V$1107,17,0),"")</f>
        <v>_</v>
      </c>
      <c r="AZ223" s="300" t="str">
        <f>_xlfn.IFNA(VLOOKUP($AI223,Programma!$F$3:$W$1107,18,0),"")</f>
        <v>_</v>
      </c>
      <c r="BA223" s="300" t="str">
        <f>_xlfn.IFNA(VLOOKUP($AI223,Programma!$F$3:$X$1107,19,0),"")</f>
        <v>_</v>
      </c>
      <c r="BB223" s="300" t="str">
        <f>_xlfn.IFNA(VLOOKUP($AI223,Programma!$F$3:$Y$1107,20,0),"")</f>
        <v>_</v>
      </c>
      <c r="BC223" s="257"/>
      <c r="BD223" s="256" t="str">
        <f>IF(Ruimtestaat[[#This Row],[Frequentie weekend]]="","",_xlfn.CONCAT(Ruimtestaat[[#This Row],[Ruimte code]],"-",Ruimtestaat[[#This Row],[Frequentie weekend]]," ",Ruimtestaat[[#This Row],[Vloer code]]))</f>
        <v/>
      </c>
      <c r="BE223" s="300" t="str">
        <f>_xlfn.IFNA(VLOOKUP($BD223,Programma!$F$3:$G$1107,2,0),"")</f>
        <v/>
      </c>
      <c r="BF223" s="300" t="str">
        <f>_xlfn.IFNA(VLOOKUP($BD223,Programma!$F$3:$H$1107,3,0),"")</f>
        <v/>
      </c>
      <c r="BG223" s="300" t="str">
        <f>_xlfn.IFNA(VLOOKUP($BD223,Programma!$F$3:$I$1107,4,0),"")</f>
        <v/>
      </c>
      <c r="BH223" s="300" t="str">
        <f>_xlfn.IFNA(VLOOKUP($BD223,Programma!$F$3:$J$1107,5,0),"")</f>
        <v/>
      </c>
      <c r="BI223" s="300" t="str">
        <f>_xlfn.IFNA(VLOOKUP($BD223,Programma!$F$3:$K$1107,6,0),"")</f>
        <v/>
      </c>
      <c r="BJ223" s="300" t="str">
        <f>_xlfn.IFNA(VLOOKUP($BD223,Programma!$F$3:$L$1107,7,0),"")</f>
        <v/>
      </c>
      <c r="BK223" s="300" t="str">
        <f>_xlfn.IFNA(VLOOKUP($BD223,Programma!$F$3:$M$1107,8,0),"")</f>
        <v/>
      </c>
      <c r="BL223" s="300" t="str">
        <f>_xlfn.IFNA(VLOOKUP($BD223,Programma!$F$3:$N$1107,9,0),"")</f>
        <v/>
      </c>
      <c r="BM223" s="300" t="str">
        <f>_xlfn.IFNA(VLOOKUP($BD223,Programma!$F$3:$O$1107,10,0),"")</f>
        <v/>
      </c>
      <c r="BN223" s="300" t="str">
        <f>_xlfn.IFNA(VLOOKUP($BD223,Programma!$F$3:$P$1107,11,0),"")</f>
        <v/>
      </c>
      <c r="BO223" s="300" t="str">
        <f>_xlfn.IFNA(VLOOKUP($BD223,Programma!$F$3:$Q$1107,12,0),"")</f>
        <v/>
      </c>
      <c r="BP223" s="300" t="str">
        <f>_xlfn.IFNA(VLOOKUP($BD223,Programma!$F$3:$R$1107,13,0),"")</f>
        <v/>
      </c>
      <c r="BQ223" s="300" t="str">
        <f>_xlfn.IFNA(VLOOKUP($BD223,Programma!$F$3:$S$1107,14,0),"")</f>
        <v/>
      </c>
      <c r="BR223" s="300" t="str">
        <f>_xlfn.IFNA(VLOOKUP($BD223,Programma!$F$3:$T$1107,15,0),"")</f>
        <v/>
      </c>
      <c r="BS223" s="300" t="str">
        <f>_xlfn.IFNA(VLOOKUP($BD223,Programma!$F$3:$U$1107,16,0),"")</f>
        <v/>
      </c>
      <c r="BT223" s="300" t="str">
        <f>_xlfn.IFNA(VLOOKUP($BD223,Programma!$F$3:$V$1107,17,0),"")</f>
        <v/>
      </c>
      <c r="BU223" s="300" t="str">
        <f>_xlfn.IFNA(VLOOKUP($BD223,Programma!$F$3:$W$1107,18,0),"")</f>
        <v/>
      </c>
      <c r="BV223" s="300" t="str">
        <f>_xlfn.IFNA(VLOOKUP($BD223,Programma!$F$3:$X$1107,19,0),"")</f>
        <v/>
      </c>
      <c r="BW223" s="300" t="str">
        <f>_xlfn.IFNA(VLOOKUP($BD223,Programma!$F$3:$Y$1107,20,0),"")</f>
        <v/>
      </c>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row>
    <row r="224" spans="1:220" ht="15" customHeight="1">
      <c r="A224" s="21">
        <v>4</v>
      </c>
      <c r="B224" s="157" t="str">
        <f>VLOOKUP(Ruimtestaat[[#This Row],[Code]],Locaties[[Code]:[Locatie]],2,FALSE)</f>
        <v>Sint-Maartenscollege</v>
      </c>
      <c r="C224" s="157" t="str">
        <f>VLOOKUP(Ruimtestaat[[#This Row],[Code]],Locaties[[#All],[Code]:[Adres]],4,FALSE)</f>
        <v xml:space="preserve">Aart v.d. Leeuwkade 14 </v>
      </c>
      <c r="D224" s="157" t="str">
        <f>VLOOKUP(Ruimtestaat[[#This Row],[Code]],Locaties[[#All],[Code]:[Postcode]],5,FALSE)</f>
        <v>2274 KX</v>
      </c>
      <c r="E224" s="157" t="str">
        <f>VLOOKUP(Ruimtestaat[[#This Row],[Code]],Locaties[#All],6,FALSE)</f>
        <v>Voorburg</v>
      </c>
      <c r="F224" s="62"/>
      <c r="G224" s="21" t="s">
        <v>1632</v>
      </c>
      <c r="H224" s="21">
        <v>47</v>
      </c>
      <c r="I224" s="62" t="s">
        <v>1886</v>
      </c>
      <c r="J224" s="21">
        <v>16</v>
      </c>
      <c r="K224" s="62" t="str">
        <f>VLOOKUP(Ruimtestaat[[#This Row],[Ruimte code]],Ruimtegroepen[[#All],[Code]:[Ruimte omschrijving]],2,FALSE)</f>
        <v>Leslokalen theorie</v>
      </c>
      <c r="L224" s="33" t="s">
        <v>100</v>
      </c>
      <c r="M224" s="367" t="s">
        <v>2493</v>
      </c>
      <c r="N224" s="140">
        <v>64</v>
      </c>
      <c r="O224" s="140"/>
      <c r="P224" s="125" t="str">
        <f>VLOOKUP(Ruimtestaat[[#This Row],[Ruimte code]],Ruimtegroepen[],4,FALSE)</f>
        <v>Le</v>
      </c>
      <c r="R224" s="33">
        <v>40</v>
      </c>
      <c r="S224" s="33" t="s">
        <v>2</v>
      </c>
      <c r="T224" s="33">
        <f>IF(R224&gt;0,IF(RIGHT(Ruimtestaat[[#This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4" s="33">
        <f>IF(T224&gt;0,VLOOKUP($J224,Ruimtegroepen[],3,FALSE)*VLOOKUP($L224,Vloersoorten[],3,FALSE)*VLOOKUP($S224,Frequenties[],3,FALSE)*VLOOKUP($A224,Locaties[],3,FALSE),0)</f>
        <v>0</v>
      </c>
      <c r="V224" s="33">
        <f>Ruimtestaat[[#This Row],[Uitvoeringen werkdagen]]*Ruimtestaat[[#This Row],[Oppervlak (netto)]]</f>
        <v>12800</v>
      </c>
      <c r="W224" s="154">
        <f>IF(U224&gt;0,Ruimtestaat[[#This Row],[Prest. (m2 /jaar) werkdagen]]/Ruimtestaat[[#This Row],[Norm (m2/uur) werkdagen]],0)</f>
        <v>0</v>
      </c>
      <c r="X224" s="155">
        <f>Ruimtestaat[[#This Row],[uren / jaar werkdagen]]*Tariefsopbouw!$E$35</f>
        <v>0</v>
      </c>
      <c r="Y224" s="33"/>
      <c r="Z224" s="33">
        <f>IF(Ruimtestaat[[#This Row],[Frequentie weekend]]&gt;0,VALUE(LEFT(Y224,1))*R224,0)</f>
        <v>0</v>
      </c>
      <c r="AA224" s="97">
        <f>IF($Z224&gt;0,VLOOKUP($J224,Ruimtegroepen[],3,FALSE)*VLOOKUP($L224,Vloersoorten[],3,FALSE)*VLOOKUP($Y224,Frequenties[],3,FALSE)*VLOOKUP(Ruimtestaat[[#This Row],[Code]],Locaties[],3,FALSE),0)</f>
        <v>0</v>
      </c>
      <c r="AB224" s="97">
        <f>Ruimtestaat[[#This Row],[Uitvoeringen weekend]]*Ruimtestaat[[#This Row],[Oppervlak (netto)]]</f>
        <v>0</v>
      </c>
      <c r="AC224" s="97">
        <f>IF(AA224&gt;0,Ruimtestaat[[#This Row],[Prest. (m2 /jaar) weekend]]/Ruimtestaat[[#This Row],[Norm (m2/uur) weekend]],0)</f>
        <v>0</v>
      </c>
      <c r="AD224" s="155">
        <f>Ruimtestaat[[#This Row],[uren / jaar weekend]]*Tariefsopbouw!$D$40</f>
        <v>0</v>
      </c>
      <c r="AE224" s="154">
        <f>Ruimtestaat[[#This Row],[Prest. (m2 /jaar) weekend]]+Ruimtestaat[[#This Row],[Prest. (m2 /jaar) werkdagen]]</f>
        <v>12800</v>
      </c>
      <c r="AF224" s="154">
        <f>Ruimtestaat[[#This Row],[uren / jaar weekend]]+Ruimtestaat[[#This Row],[uren / jaar werkdagen]]</f>
        <v>0</v>
      </c>
      <c r="AG224" s="69">
        <f>Ruimtestaat[[#This Row],[kosten / jaar weekend]]+Ruimtestaat[[#This Row],[kosten / jaar werkdagen]]</f>
        <v>0</v>
      </c>
      <c r="AH224" s="69"/>
      <c r="AI224" s="256" t="str">
        <f>IF(Ruimtestaat[[#This Row],[Frequentie werkdagen]]="","",_xlfn.CONCAT(Ruimtestaat[[#This Row],[Ruimte code]],"-",Ruimtestaat[[#This Row],[Frequentie werkdagen]]," ",Ruimtestaat[[#This Row],[Vloer code]]))</f>
        <v>16-5w T</v>
      </c>
      <c r="AJ224" s="300" t="str">
        <f>_xlfn.IFNA(VLOOKUP($AI224,Programma!$F$3:$G$1107,2,0),"")</f>
        <v>3w</v>
      </c>
      <c r="AK224" s="300" t="str">
        <f>_xlfn.IFNA(VLOOKUP($AI224,Programma!$F$3:$H$1107,3,0),"")</f>
        <v>2w</v>
      </c>
      <c r="AL224" s="300" t="str">
        <f>_xlfn.IFNA(VLOOKUP($AI224,Programma!$F$3:$I$1107,4,0),"")</f>
        <v>_</v>
      </c>
      <c r="AM224" s="300" t="str">
        <f>_xlfn.IFNA(VLOOKUP($AI224,Programma!$F$3:$J$1107,5,0),"")</f>
        <v>_</v>
      </c>
      <c r="AN224" s="300" t="str">
        <f>_xlfn.IFNA(VLOOKUP($AI224,Programma!$F$3:$K$1107,6,0),"")</f>
        <v>_</v>
      </c>
      <c r="AO224" s="300" t="str">
        <f>_xlfn.IFNA(VLOOKUP($AI224,Programma!$F$3:$L$1107,7,0),"")</f>
        <v>_</v>
      </c>
      <c r="AP224" s="300" t="str">
        <f>_xlfn.IFNA(VLOOKUP($AI224,Programma!$F$3:$M$1107,8,0),"")</f>
        <v>_</v>
      </c>
      <c r="AQ224" s="300" t="str">
        <f>_xlfn.IFNA(VLOOKUP($AI224,Programma!$F$3:$N$1107,9,0),"")</f>
        <v>_</v>
      </c>
      <c r="AR224" s="300" t="str">
        <f>_xlfn.IFNA(VLOOKUP($AI224,Programma!$F$3:$O$1107,10,0),"")</f>
        <v>5w</v>
      </c>
      <c r="AS224" s="300" t="str">
        <f>_xlfn.IFNA(VLOOKUP($AI224,Programma!$F$3:$P$1107,11,0),"")</f>
        <v>5w</v>
      </c>
      <c r="AT224" s="300" t="str">
        <f>_xlfn.IFNA(VLOOKUP($AI224,Programma!$F$3:$Q$1107,12,0),"")</f>
        <v>1w</v>
      </c>
      <c r="AU224" s="300" t="str">
        <f>_xlfn.IFNA(VLOOKUP($AI224,Programma!$F$3:$R$1107,13,0),"")</f>
        <v>1w</v>
      </c>
      <c r="AV224" s="300" t="str">
        <f>_xlfn.IFNA(VLOOKUP($AI224,Programma!$F$3:$S$1107,14,0),"")</f>
        <v>1m</v>
      </c>
      <c r="AW224" s="300" t="str">
        <f>_xlfn.IFNA(VLOOKUP($AI224,Programma!$F$3:$T$1107,15,0),"")</f>
        <v>2j</v>
      </c>
      <c r="AX224" s="300" t="str">
        <f>_xlfn.IFNA(VLOOKUP($AI224,Programma!$F$3:$U$1107,16,0),"")</f>
        <v>1j</v>
      </c>
      <c r="AY224" s="300" t="str">
        <f>_xlfn.IFNA(VLOOKUP($AI224,Programma!$F$3:$V$1107,17,0),"")</f>
        <v>_</v>
      </c>
      <c r="AZ224" s="300" t="str">
        <f>_xlfn.IFNA(VLOOKUP($AI224,Programma!$F$3:$W$1107,18,0),"")</f>
        <v>_</v>
      </c>
      <c r="BA224" s="300" t="str">
        <f>_xlfn.IFNA(VLOOKUP($AI224,Programma!$F$3:$X$1107,19,0),"")</f>
        <v>_</v>
      </c>
      <c r="BB224" s="300" t="str">
        <f>_xlfn.IFNA(VLOOKUP($AI224,Programma!$F$3:$Y$1107,20,0),"")</f>
        <v>_</v>
      </c>
      <c r="BC224" s="257"/>
      <c r="BD224" s="256" t="str">
        <f>IF(Ruimtestaat[[#This Row],[Frequentie weekend]]="","",_xlfn.CONCAT(Ruimtestaat[[#This Row],[Ruimte code]],"-",Ruimtestaat[[#This Row],[Frequentie weekend]]," ",Ruimtestaat[[#This Row],[Vloer code]]))</f>
        <v/>
      </c>
      <c r="BE224" s="300" t="str">
        <f>_xlfn.IFNA(VLOOKUP($BD224,Programma!$F$3:$G$1107,2,0),"")</f>
        <v/>
      </c>
      <c r="BF224" s="300" t="str">
        <f>_xlfn.IFNA(VLOOKUP($BD224,Programma!$F$3:$H$1107,3,0),"")</f>
        <v/>
      </c>
      <c r="BG224" s="300" t="str">
        <f>_xlfn.IFNA(VLOOKUP($BD224,Programma!$F$3:$I$1107,4,0),"")</f>
        <v/>
      </c>
      <c r="BH224" s="300" t="str">
        <f>_xlfn.IFNA(VLOOKUP($BD224,Programma!$F$3:$J$1107,5,0),"")</f>
        <v/>
      </c>
      <c r="BI224" s="300" t="str">
        <f>_xlfn.IFNA(VLOOKUP($BD224,Programma!$F$3:$K$1107,6,0),"")</f>
        <v/>
      </c>
      <c r="BJ224" s="300" t="str">
        <f>_xlfn.IFNA(VLOOKUP($BD224,Programma!$F$3:$L$1107,7,0),"")</f>
        <v/>
      </c>
      <c r="BK224" s="300" t="str">
        <f>_xlfn.IFNA(VLOOKUP($BD224,Programma!$F$3:$M$1107,8,0),"")</f>
        <v/>
      </c>
      <c r="BL224" s="300" t="str">
        <f>_xlfn.IFNA(VLOOKUP($BD224,Programma!$F$3:$N$1107,9,0),"")</f>
        <v/>
      </c>
      <c r="BM224" s="300" t="str">
        <f>_xlfn.IFNA(VLOOKUP($BD224,Programma!$F$3:$O$1107,10,0),"")</f>
        <v/>
      </c>
      <c r="BN224" s="300" t="str">
        <f>_xlfn.IFNA(VLOOKUP($BD224,Programma!$F$3:$P$1107,11,0),"")</f>
        <v/>
      </c>
      <c r="BO224" s="300" t="str">
        <f>_xlfn.IFNA(VLOOKUP($BD224,Programma!$F$3:$Q$1107,12,0),"")</f>
        <v/>
      </c>
      <c r="BP224" s="300" t="str">
        <f>_xlfn.IFNA(VLOOKUP($BD224,Programma!$F$3:$R$1107,13,0),"")</f>
        <v/>
      </c>
      <c r="BQ224" s="300" t="str">
        <f>_xlfn.IFNA(VLOOKUP($BD224,Programma!$F$3:$S$1107,14,0),"")</f>
        <v/>
      </c>
      <c r="BR224" s="300" t="str">
        <f>_xlfn.IFNA(VLOOKUP($BD224,Programma!$F$3:$T$1107,15,0),"")</f>
        <v/>
      </c>
      <c r="BS224" s="300" t="str">
        <f>_xlfn.IFNA(VLOOKUP($BD224,Programma!$F$3:$U$1107,16,0),"")</f>
        <v/>
      </c>
      <c r="BT224" s="300" t="str">
        <f>_xlfn.IFNA(VLOOKUP($BD224,Programma!$F$3:$V$1107,17,0),"")</f>
        <v/>
      </c>
      <c r="BU224" s="300" t="str">
        <f>_xlfn.IFNA(VLOOKUP($BD224,Programma!$F$3:$W$1107,18,0),"")</f>
        <v/>
      </c>
      <c r="BV224" s="300" t="str">
        <f>_xlfn.IFNA(VLOOKUP($BD224,Programma!$F$3:$X$1107,19,0),"")</f>
        <v/>
      </c>
      <c r="BW224" s="300" t="str">
        <f>_xlfn.IFNA(VLOOKUP($BD224,Programma!$F$3:$Y$1107,20,0),"")</f>
        <v/>
      </c>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row>
    <row r="225" spans="1:220" ht="15" customHeight="1">
      <c r="A225" s="21">
        <v>4</v>
      </c>
      <c r="B225" s="157" t="str">
        <f>VLOOKUP(Ruimtestaat[[#This Row],[Code]],Locaties[[Code]:[Locatie]],2,FALSE)</f>
        <v>Sint-Maartenscollege</v>
      </c>
      <c r="C225" s="157" t="str">
        <f>VLOOKUP(Ruimtestaat[[#This Row],[Code]],Locaties[[#All],[Code]:[Adres]],4,FALSE)</f>
        <v xml:space="preserve">Aart v.d. Leeuwkade 14 </v>
      </c>
      <c r="D225" s="157" t="str">
        <f>VLOOKUP(Ruimtestaat[[#This Row],[Code]],Locaties[[#All],[Code]:[Postcode]],5,FALSE)</f>
        <v>2274 KX</v>
      </c>
      <c r="E225" s="157" t="str">
        <f>VLOOKUP(Ruimtestaat[[#This Row],[Code]],Locaties[#All],6,FALSE)</f>
        <v>Voorburg</v>
      </c>
      <c r="F225" s="62"/>
      <c r="G225" s="21" t="s">
        <v>1632</v>
      </c>
      <c r="H225" s="21">
        <v>48</v>
      </c>
      <c r="I225" s="62" t="s">
        <v>1625</v>
      </c>
      <c r="J225" s="21">
        <v>6</v>
      </c>
      <c r="K225" s="62" t="str">
        <f>VLOOKUP(Ruimtestaat[[#This Row],[Ruimte code]],Ruimtegroepen[[#All],[Code]:[Ruimte omschrijving]],2,FALSE)</f>
        <v>Gangen/hallen</v>
      </c>
      <c r="L225" s="33" t="s">
        <v>101</v>
      </c>
      <c r="M225" s="367" t="s">
        <v>2507</v>
      </c>
      <c r="N225" s="140">
        <v>143</v>
      </c>
      <c r="O225" s="140"/>
      <c r="P225" s="125" t="str">
        <f>VLOOKUP(Ruimtestaat[[#This Row],[Ruimte code]],Ruimtegroepen[],4,FALSE)</f>
        <v>Ve</v>
      </c>
      <c r="R225" s="33">
        <v>40</v>
      </c>
      <c r="S225" s="33" t="s">
        <v>2</v>
      </c>
      <c r="T225" s="33">
        <f>IF(R225&gt;0,IF(RIGHT(Ruimtestaat[[#This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5" s="33">
        <f>IF(T225&gt;0,VLOOKUP($J225,Ruimtegroepen[],3,FALSE)*VLOOKUP($L225,Vloersoorten[],3,FALSE)*VLOOKUP($S225,Frequenties[],3,FALSE)*VLOOKUP($A225,Locaties[],3,FALSE),0)</f>
        <v>0</v>
      </c>
      <c r="V225" s="33">
        <f>Ruimtestaat[[#This Row],[Uitvoeringen werkdagen]]*Ruimtestaat[[#This Row],[Oppervlak (netto)]]</f>
        <v>28600</v>
      </c>
      <c r="W225" s="154">
        <f>IF(U225&gt;0,Ruimtestaat[[#This Row],[Prest. (m2 /jaar) werkdagen]]/Ruimtestaat[[#This Row],[Norm (m2/uur) werkdagen]],0)</f>
        <v>0</v>
      </c>
      <c r="X225" s="155">
        <f>Ruimtestaat[[#This Row],[uren / jaar werkdagen]]*Tariefsopbouw!$E$35</f>
        <v>0</v>
      </c>
      <c r="Y225" s="33"/>
      <c r="Z225" s="33">
        <f>IF(Ruimtestaat[[#This Row],[Frequentie weekend]]&gt;0,VALUE(LEFT(Y225,1))*R225,0)</f>
        <v>0</v>
      </c>
      <c r="AA225" s="97">
        <f>IF($Z225&gt;0,VLOOKUP($J225,Ruimtegroepen[],3,FALSE)*VLOOKUP($L225,Vloersoorten[],3,FALSE)*VLOOKUP($Y225,Frequenties[],3,FALSE)*VLOOKUP(Ruimtestaat[[#This Row],[Code]],Locaties[],3,FALSE),0)</f>
        <v>0</v>
      </c>
      <c r="AB225" s="97">
        <f>Ruimtestaat[[#This Row],[Uitvoeringen weekend]]*Ruimtestaat[[#This Row],[Oppervlak (netto)]]</f>
        <v>0</v>
      </c>
      <c r="AC225" s="97">
        <f>IF(AA225&gt;0,Ruimtestaat[[#This Row],[Prest. (m2 /jaar) weekend]]/Ruimtestaat[[#This Row],[Norm (m2/uur) weekend]],0)</f>
        <v>0</v>
      </c>
      <c r="AD225" s="155">
        <f>Ruimtestaat[[#This Row],[uren / jaar weekend]]*Tariefsopbouw!$D$40</f>
        <v>0</v>
      </c>
      <c r="AE225" s="154">
        <f>Ruimtestaat[[#This Row],[Prest. (m2 /jaar) weekend]]+Ruimtestaat[[#This Row],[Prest. (m2 /jaar) werkdagen]]</f>
        <v>28600</v>
      </c>
      <c r="AF225" s="154">
        <f>Ruimtestaat[[#This Row],[uren / jaar weekend]]+Ruimtestaat[[#This Row],[uren / jaar werkdagen]]</f>
        <v>0</v>
      </c>
      <c r="AG225" s="69">
        <f>Ruimtestaat[[#This Row],[kosten / jaar weekend]]+Ruimtestaat[[#This Row],[kosten / jaar werkdagen]]</f>
        <v>0</v>
      </c>
      <c r="AH225" s="69"/>
      <c r="AI225" s="256" t="str">
        <f>IF(Ruimtestaat[[#This Row],[Frequentie werkdagen]]="","",_xlfn.CONCAT(Ruimtestaat[[#This Row],[Ruimte code]],"-",Ruimtestaat[[#This Row],[Frequentie werkdagen]]," ",Ruimtestaat[[#This Row],[Vloer code]]))</f>
        <v>6-5w L</v>
      </c>
      <c r="AJ225" s="300" t="str">
        <f>_xlfn.IFNA(VLOOKUP($AI225,Programma!$F$3:$G$1107,2,0),"")</f>
        <v>_</v>
      </c>
      <c r="AK225" s="300" t="str">
        <f>_xlfn.IFNA(VLOOKUP($AI225,Programma!$F$3:$H$1107,3,0),"")</f>
        <v>_</v>
      </c>
      <c r="AL225" s="300" t="str">
        <f>_xlfn.IFNA(VLOOKUP($AI225,Programma!$F$3:$I$1107,4,0),"")</f>
        <v>_</v>
      </c>
      <c r="AM225" s="300" t="str">
        <f>_xlfn.IFNA(VLOOKUP($AI225,Programma!$F$3:$J$1107,5,0),"")</f>
        <v>5w</v>
      </c>
      <c r="AN225" s="300" t="str">
        <f>_xlfn.IFNA(VLOOKUP($AI225,Programma!$F$3:$K$1107,6,0),"")</f>
        <v>_</v>
      </c>
      <c r="AO225" s="300" t="str">
        <f>_xlfn.IFNA(VLOOKUP($AI225,Programma!$F$3:$L$1107,7,0),"")</f>
        <v>_</v>
      </c>
      <c r="AP225" s="300" t="str">
        <f>_xlfn.IFNA(VLOOKUP($AI225,Programma!$F$3:$M$1107,8,0),"")</f>
        <v>_</v>
      </c>
      <c r="AQ225" s="300" t="str">
        <f>_xlfn.IFNA(VLOOKUP($AI225,Programma!$F$3:$N$1107,9,0),"")</f>
        <v>_</v>
      </c>
      <c r="AR225" s="300" t="str">
        <f>_xlfn.IFNA(VLOOKUP($AI225,Programma!$F$3:$O$1107,10,0),"")</f>
        <v>5w</v>
      </c>
      <c r="AS225" s="300" t="str">
        <f>_xlfn.IFNA(VLOOKUP($AI225,Programma!$F$3:$P$1107,11,0),"")</f>
        <v>5w</v>
      </c>
      <c r="AT225" s="300" t="str">
        <f>_xlfn.IFNA(VLOOKUP($AI225,Programma!$F$3:$Q$1107,12,0),"")</f>
        <v>1w</v>
      </c>
      <c r="AU225" s="300" t="str">
        <f>_xlfn.IFNA(VLOOKUP($AI225,Programma!$F$3:$R$1107,13,0),"")</f>
        <v>1w</v>
      </c>
      <c r="AV225" s="300" t="str">
        <f>_xlfn.IFNA(VLOOKUP($AI225,Programma!$F$3:$S$1107,14,0),"")</f>
        <v>1m</v>
      </c>
      <c r="AW225" s="300" t="str">
        <f>_xlfn.IFNA(VLOOKUP($AI225,Programma!$F$3:$T$1107,15,0),"")</f>
        <v>2j</v>
      </c>
      <c r="AX225" s="300" t="str">
        <f>_xlfn.IFNA(VLOOKUP($AI225,Programma!$F$3:$U$1107,16,0),"")</f>
        <v>1j</v>
      </c>
      <c r="AY225" s="300" t="str">
        <f>_xlfn.IFNA(VLOOKUP($AI225,Programma!$F$3:$V$1107,17,0),"")</f>
        <v>_</v>
      </c>
      <c r="AZ225" s="300" t="str">
        <f>_xlfn.IFNA(VLOOKUP($AI225,Programma!$F$3:$W$1107,18,0),"")</f>
        <v>_</v>
      </c>
      <c r="BA225" s="300" t="str">
        <f>_xlfn.IFNA(VLOOKUP($AI225,Programma!$F$3:$X$1107,19,0),"")</f>
        <v>_</v>
      </c>
      <c r="BB225" s="300" t="str">
        <f>_xlfn.IFNA(VLOOKUP($AI225,Programma!$F$3:$Y$1107,20,0),"")</f>
        <v>_</v>
      </c>
      <c r="BC225" s="257"/>
      <c r="BD225" s="256" t="str">
        <f>IF(Ruimtestaat[[#This Row],[Frequentie weekend]]="","",_xlfn.CONCAT(Ruimtestaat[[#This Row],[Ruimte code]],"-",Ruimtestaat[[#This Row],[Frequentie weekend]]," ",Ruimtestaat[[#This Row],[Vloer code]]))</f>
        <v/>
      </c>
      <c r="BE225" s="300" t="str">
        <f>_xlfn.IFNA(VLOOKUP($BD225,Programma!$F$3:$G$1107,2,0),"")</f>
        <v/>
      </c>
      <c r="BF225" s="300" t="str">
        <f>_xlfn.IFNA(VLOOKUP($BD225,Programma!$F$3:$H$1107,3,0),"")</f>
        <v/>
      </c>
      <c r="BG225" s="300" t="str">
        <f>_xlfn.IFNA(VLOOKUP($BD225,Programma!$F$3:$I$1107,4,0),"")</f>
        <v/>
      </c>
      <c r="BH225" s="300" t="str">
        <f>_xlfn.IFNA(VLOOKUP($BD225,Programma!$F$3:$J$1107,5,0),"")</f>
        <v/>
      </c>
      <c r="BI225" s="300" t="str">
        <f>_xlfn.IFNA(VLOOKUP($BD225,Programma!$F$3:$K$1107,6,0),"")</f>
        <v/>
      </c>
      <c r="BJ225" s="300" t="str">
        <f>_xlfn.IFNA(VLOOKUP($BD225,Programma!$F$3:$L$1107,7,0),"")</f>
        <v/>
      </c>
      <c r="BK225" s="300" t="str">
        <f>_xlfn.IFNA(VLOOKUP($BD225,Programma!$F$3:$M$1107,8,0),"")</f>
        <v/>
      </c>
      <c r="BL225" s="300" t="str">
        <f>_xlfn.IFNA(VLOOKUP($BD225,Programma!$F$3:$N$1107,9,0),"")</f>
        <v/>
      </c>
      <c r="BM225" s="300" t="str">
        <f>_xlfn.IFNA(VLOOKUP($BD225,Programma!$F$3:$O$1107,10,0),"")</f>
        <v/>
      </c>
      <c r="BN225" s="300" t="str">
        <f>_xlfn.IFNA(VLOOKUP($BD225,Programma!$F$3:$P$1107,11,0),"")</f>
        <v/>
      </c>
      <c r="BO225" s="300" t="str">
        <f>_xlfn.IFNA(VLOOKUP($BD225,Programma!$F$3:$Q$1107,12,0),"")</f>
        <v/>
      </c>
      <c r="BP225" s="300" t="str">
        <f>_xlfn.IFNA(VLOOKUP($BD225,Programma!$F$3:$R$1107,13,0),"")</f>
        <v/>
      </c>
      <c r="BQ225" s="300" t="str">
        <f>_xlfn.IFNA(VLOOKUP($BD225,Programma!$F$3:$S$1107,14,0),"")</f>
        <v/>
      </c>
      <c r="BR225" s="300" t="str">
        <f>_xlfn.IFNA(VLOOKUP($BD225,Programma!$F$3:$T$1107,15,0),"")</f>
        <v/>
      </c>
      <c r="BS225" s="300" t="str">
        <f>_xlfn.IFNA(VLOOKUP($BD225,Programma!$F$3:$U$1107,16,0),"")</f>
        <v/>
      </c>
      <c r="BT225" s="300" t="str">
        <f>_xlfn.IFNA(VLOOKUP($BD225,Programma!$F$3:$V$1107,17,0),"")</f>
        <v/>
      </c>
      <c r="BU225" s="300" t="str">
        <f>_xlfn.IFNA(VLOOKUP($BD225,Programma!$F$3:$W$1107,18,0),"")</f>
        <v/>
      </c>
      <c r="BV225" s="300" t="str">
        <f>_xlfn.IFNA(VLOOKUP($BD225,Programma!$F$3:$X$1107,19,0),"")</f>
        <v/>
      </c>
      <c r="BW225" s="300" t="str">
        <f>_xlfn.IFNA(VLOOKUP($BD225,Programma!$F$3:$Y$1107,20,0),"")</f>
        <v/>
      </c>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row>
    <row r="226" spans="1:220" ht="15" customHeight="1">
      <c r="A226" s="21">
        <v>4</v>
      </c>
      <c r="B226" s="157" t="str">
        <f>VLOOKUP(Ruimtestaat[[#This Row],[Code]],Locaties[[Code]:[Locatie]],2,FALSE)</f>
        <v>Sint-Maartenscollege</v>
      </c>
      <c r="C226" s="157" t="str">
        <f>VLOOKUP(Ruimtestaat[[#This Row],[Code]],Locaties[[#All],[Code]:[Adres]],4,FALSE)</f>
        <v xml:space="preserve">Aart v.d. Leeuwkade 14 </v>
      </c>
      <c r="D226" s="157" t="str">
        <f>VLOOKUP(Ruimtestaat[[#This Row],[Code]],Locaties[[#All],[Code]:[Postcode]],5,FALSE)</f>
        <v>2274 KX</v>
      </c>
      <c r="E226" s="157" t="str">
        <f>VLOOKUP(Ruimtestaat[[#This Row],[Code]],Locaties[#All],6,FALSE)</f>
        <v>Voorburg</v>
      </c>
      <c r="F226" s="62"/>
      <c r="G226" s="21" t="s">
        <v>1632</v>
      </c>
      <c r="H226" s="21">
        <v>49</v>
      </c>
      <c r="I226" s="62" t="s">
        <v>1633</v>
      </c>
      <c r="J226" s="21">
        <v>7</v>
      </c>
      <c r="K226" s="62" t="str">
        <f>VLOOKUP(Ruimtestaat[[#This Row],[Ruimte code]],Ruimtegroepen[[#All],[Code]:[Ruimte omschrijving]],2,FALSE)</f>
        <v>Entree</v>
      </c>
      <c r="L226" s="33" t="s">
        <v>102</v>
      </c>
      <c r="M226" s="367" t="s">
        <v>2502</v>
      </c>
      <c r="N226" s="140">
        <v>10</v>
      </c>
      <c r="O226" s="140"/>
      <c r="P226" s="125" t="str">
        <f>VLOOKUP(Ruimtestaat[[#This Row],[Ruimte code]],Ruimtegroepen[],4,FALSE)</f>
        <v>Ve</v>
      </c>
      <c r="R226" s="33">
        <v>40</v>
      </c>
      <c r="S226" s="33" t="s">
        <v>2</v>
      </c>
      <c r="T226" s="33">
        <f>IF(R226&gt;0,IF(RIGHT(Ruimtestaat[[#This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6" s="33">
        <f>IF(T226&gt;0,VLOOKUP($J226,Ruimtegroepen[],3,FALSE)*VLOOKUP($L226,Vloersoorten[],3,FALSE)*VLOOKUP($S226,Frequenties[],3,FALSE)*VLOOKUP($A226,Locaties[],3,FALSE),0)</f>
        <v>0</v>
      </c>
      <c r="V226" s="33">
        <f>Ruimtestaat[[#This Row],[Uitvoeringen werkdagen]]*Ruimtestaat[[#This Row],[Oppervlak (netto)]]</f>
        <v>2000</v>
      </c>
      <c r="W226" s="154">
        <f>IF(U226&gt;0,Ruimtestaat[[#This Row],[Prest. (m2 /jaar) werkdagen]]/Ruimtestaat[[#This Row],[Norm (m2/uur) werkdagen]],0)</f>
        <v>0</v>
      </c>
      <c r="X226" s="155">
        <f>Ruimtestaat[[#This Row],[uren / jaar werkdagen]]*Tariefsopbouw!$E$35</f>
        <v>0</v>
      </c>
      <c r="Y226" s="33"/>
      <c r="Z226" s="33">
        <f>IF(Ruimtestaat[[#This Row],[Frequentie weekend]]&gt;0,VALUE(LEFT(Y226,1))*R226,0)</f>
        <v>0</v>
      </c>
      <c r="AA226" s="97">
        <f>IF($Z226&gt;0,VLOOKUP($J226,Ruimtegroepen[],3,FALSE)*VLOOKUP($L226,Vloersoorten[],3,FALSE)*VLOOKUP($Y226,Frequenties[],3,FALSE)*VLOOKUP(Ruimtestaat[[#This Row],[Code]],Locaties[],3,FALSE),0)</f>
        <v>0</v>
      </c>
      <c r="AB226" s="97">
        <f>Ruimtestaat[[#This Row],[Uitvoeringen weekend]]*Ruimtestaat[[#This Row],[Oppervlak (netto)]]</f>
        <v>0</v>
      </c>
      <c r="AC226" s="97">
        <f>IF(AA226&gt;0,Ruimtestaat[[#This Row],[Prest. (m2 /jaar) weekend]]/Ruimtestaat[[#This Row],[Norm (m2/uur) weekend]],0)</f>
        <v>0</v>
      </c>
      <c r="AD226" s="155">
        <f>Ruimtestaat[[#This Row],[uren / jaar weekend]]*Tariefsopbouw!$D$40</f>
        <v>0</v>
      </c>
      <c r="AE226" s="154">
        <f>Ruimtestaat[[#This Row],[Prest. (m2 /jaar) weekend]]+Ruimtestaat[[#This Row],[Prest. (m2 /jaar) werkdagen]]</f>
        <v>2000</v>
      </c>
      <c r="AF226" s="154">
        <f>Ruimtestaat[[#This Row],[uren / jaar weekend]]+Ruimtestaat[[#This Row],[uren / jaar werkdagen]]</f>
        <v>0</v>
      </c>
      <c r="AG226" s="69">
        <f>Ruimtestaat[[#This Row],[kosten / jaar weekend]]+Ruimtestaat[[#This Row],[kosten / jaar werkdagen]]</f>
        <v>0</v>
      </c>
      <c r="AH226" s="69"/>
      <c r="AI226" s="256" t="str">
        <f>IF(Ruimtestaat[[#This Row],[Frequentie werkdagen]]="","",_xlfn.CONCAT(Ruimtestaat[[#This Row],[Ruimte code]],"-",Ruimtestaat[[#This Row],[Frequentie werkdagen]]," ",Ruimtestaat[[#This Row],[Vloer code]]))</f>
        <v>7-5w S</v>
      </c>
      <c r="AJ226" s="300" t="str">
        <f>_xlfn.IFNA(VLOOKUP($AI226,Programma!$F$3:$G$1107,2,0),"")</f>
        <v>_</v>
      </c>
      <c r="AK226" s="300" t="str">
        <f>_xlfn.IFNA(VLOOKUP($AI226,Programma!$F$3:$H$1107,3,0),"")</f>
        <v>_</v>
      </c>
      <c r="AL226" s="300" t="str">
        <f>_xlfn.IFNA(VLOOKUP($AI226,Programma!$F$3:$I$1107,4,0),"")</f>
        <v>5w</v>
      </c>
      <c r="AM226" s="300" t="str">
        <f>_xlfn.IFNA(VLOOKUP($AI226,Programma!$F$3:$J$1107,5,0),"")</f>
        <v>_</v>
      </c>
      <c r="AN226" s="300" t="str">
        <f>_xlfn.IFNA(VLOOKUP($AI226,Programma!$F$3:$K$1107,6,0),"")</f>
        <v>5w</v>
      </c>
      <c r="AO226" s="300" t="str">
        <f>_xlfn.IFNA(VLOOKUP($AI226,Programma!$F$3:$L$1107,7,0),"")</f>
        <v>_</v>
      </c>
      <c r="AP226" s="300" t="str">
        <f>_xlfn.IFNA(VLOOKUP($AI226,Programma!$F$3:$M$1107,8,0),"")</f>
        <v>_</v>
      </c>
      <c r="AQ226" s="300" t="str">
        <f>_xlfn.IFNA(VLOOKUP($AI226,Programma!$F$3:$N$1107,9,0),"")</f>
        <v>_</v>
      </c>
      <c r="AR226" s="300" t="str">
        <f>_xlfn.IFNA(VLOOKUP($AI226,Programma!$F$3:$O$1107,10,0),"")</f>
        <v>5w</v>
      </c>
      <c r="AS226" s="300" t="str">
        <f>_xlfn.IFNA(VLOOKUP($AI226,Programma!$F$3:$P$1107,11,0),"")</f>
        <v>5w</v>
      </c>
      <c r="AT226" s="300" t="str">
        <f>_xlfn.IFNA(VLOOKUP($AI226,Programma!$F$3:$Q$1107,12,0),"")</f>
        <v>1w</v>
      </c>
      <c r="AU226" s="300" t="str">
        <f>_xlfn.IFNA(VLOOKUP($AI226,Programma!$F$3:$R$1107,13,0),"")</f>
        <v>1w</v>
      </c>
      <c r="AV226" s="300" t="str">
        <f>_xlfn.IFNA(VLOOKUP($AI226,Programma!$F$3:$S$1107,14,0),"")</f>
        <v>1m</v>
      </c>
      <c r="AW226" s="300" t="str">
        <f>_xlfn.IFNA(VLOOKUP($AI226,Programma!$F$3:$T$1107,15,0),"")</f>
        <v>2j</v>
      </c>
      <c r="AX226" s="300" t="str">
        <f>_xlfn.IFNA(VLOOKUP($AI226,Programma!$F$3:$U$1107,16,0),"")</f>
        <v>1j</v>
      </c>
      <c r="AY226" s="300" t="str">
        <f>_xlfn.IFNA(VLOOKUP($AI226,Programma!$F$3:$V$1107,17,0),"")</f>
        <v>_</v>
      </c>
      <c r="AZ226" s="300" t="str">
        <f>_xlfn.IFNA(VLOOKUP($AI226,Programma!$F$3:$W$1107,18,0),"")</f>
        <v>_</v>
      </c>
      <c r="BA226" s="300" t="str">
        <f>_xlfn.IFNA(VLOOKUP($AI226,Programma!$F$3:$X$1107,19,0),"")</f>
        <v>_</v>
      </c>
      <c r="BB226" s="300" t="str">
        <f>_xlfn.IFNA(VLOOKUP($AI226,Programma!$F$3:$Y$1107,20,0),"")</f>
        <v>_</v>
      </c>
      <c r="BC226" s="257"/>
      <c r="BD226" s="256" t="str">
        <f>IF(Ruimtestaat[[#This Row],[Frequentie weekend]]="","",_xlfn.CONCAT(Ruimtestaat[[#This Row],[Ruimte code]],"-",Ruimtestaat[[#This Row],[Frequentie weekend]]," ",Ruimtestaat[[#This Row],[Vloer code]]))</f>
        <v/>
      </c>
      <c r="BE226" s="300" t="str">
        <f>_xlfn.IFNA(VLOOKUP($BD226,Programma!$F$3:$G$1107,2,0),"")</f>
        <v/>
      </c>
      <c r="BF226" s="300" t="str">
        <f>_xlfn.IFNA(VLOOKUP($BD226,Programma!$F$3:$H$1107,3,0),"")</f>
        <v/>
      </c>
      <c r="BG226" s="300" t="str">
        <f>_xlfn.IFNA(VLOOKUP($BD226,Programma!$F$3:$I$1107,4,0),"")</f>
        <v/>
      </c>
      <c r="BH226" s="300" t="str">
        <f>_xlfn.IFNA(VLOOKUP($BD226,Programma!$F$3:$J$1107,5,0),"")</f>
        <v/>
      </c>
      <c r="BI226" s="300" t="str">
        <f>_xlfn.IFNA(VLOOKUP($BD226,Programma!$F$3:$K$1107,6,0),"")</f>
        <v/>
      </c>
      <c r="BJ226" s="300" t="str">
        <f>_xlfn.IFNA(VLOOKUP($BD226,Programma!$F$3:$L$1107,7,0),"")</f>
        <v/>
      </c>
      <c r="BK226" s="300" t="str">
        <f>_xlfn.IFNA(VLOOKUP($BD226,Programma!$F$3:$M$1107,8,0),"")</f>
        <v/>
      </c>
      <c r="BL226" s="300" t="str">
        <f>_xlfn.IFNA(VLOOKUP($BD226,Programma!$F$3:$N$1107,9,0),"")</f>
        <v/>
      </c>
      <c r="BM226" s="300" t="str">
        <f>_xlfn.IFNA(VLOOKUP($BD226,Programma!$F$3:$O$1107,10,0),"")</f>
        <v/>
      </c>
      <c r="BN226" s="300" t="str">
        <f>_xlfn.IFNA(VLOOKUP($BD226,Programma!$F$3:$P$1107,11,0),"")</f>
        <v/>
      </c>
      <c r="BO226" s="300" t="str">
        <f>_xlfn.IFNA(VLOOKUP($BD226,Programma!$F$3:$Q$1107,12,0),"")</f>
        <v/>
      </c>
      <c r="BP226" s="300" t="str">
        <f>_xlfn.IFNA(VLOOKUP($BD226,Programma!$F$3:$R$1107,13,0),"")</f>
        <v/>
      </c>
      <c r="BQ226" s="300" t="str">
        <f>_xlfn.IFNA(VLOOKUP($BD226,Programma!$F$3:$S$1107,14,0),"")</f>
        <v/>
      </c>
      <c r="BR226" s="300" t="str">
        <f>_xlfn.IFNA(VLOOKUP($BD226,Programma!$F$3:$T$1107,15,0),"")</f>
        <v/>
      </c>
      <c r="BS226" s="300" t="str">
        <f>_xlfn.IFNA(VLOOKUP($BD226,Programma!$F$3:$U$1107,16,0),"")</f>
        <v/>
      </c>
      <c r="BT226" s="300" t="str">
        <f>_xlfn.IFNA(VLOOKUP($BD226,Programma!$F$3:$V$1107,17,0),"")</f>
        <v/>
      </c>
      <c r="BU226" s="300" t="str">
        <f>_xlfn.IFNA(VLOOKUP($BD226,Programma!$F$3:$W$1107,18,0),"")</f>
        <v/>
      </c>
      <c r="BV226" s="300" t="str">
        <f>_xlfn.IFNA(VLOOKUP($BD226,Programma!$F$3:$X$1107,19,0),"")</f>
        <v/>
      </c>
      <c r="BW226" s="300" t="str">
        <f>_xlfn.IFNA(VLOOKUP($BD226,Programma!$F$3:$Y$1107,20,0),"")</f>
        <v/>
      </c>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row>
    <row r="227" spans="1:220" ht="15" customHeight="1">
      <c r="A227" s="21">
        <v>4</v>
      </c>
      <c r="B227" s="157" t="str">
        <f>VLOOKUP(Ruimtestaat[[#This Row],[Code]],Locaties[[Code]:[Locatie]],2,FALSE)</f>
        <v>Sint-Maartenscollege</v>
      </c>
      <c r="C227" s="157" t="str">
        <f>VLOOKUP(Ruimtestaat[[#This Row],[Code]],Locaties[[#All],[Code]:[Adres]],4,FALSE)</f>
        <v xml:space="preserve">Aart v.d. Leeuwkade 14 </v>
      </c>
      <c r="D227" s="157" t="str">
        <f>VLOOKUP(Ruimtestaat[[#This Row],[Code]],Locaties[[#All],[Code]:[Postcode]],5,FALSE)</f>
        <v>2274 KX</v>
      </c>
      <c r="E227" s="157" t="str">
        <f>VLOOKUP(Ruimtestaat[[#This Row],[Code]],Locaties[#All],6,FALSE)</f>
        <v>Voorburg</v>
      </c>
      <c r="F227" s="62"/>
      <c r="G227" s="21" t="s">
        <v>1632</v>
      </c>
      <c r="H227" s="21">
        <v>50</v>
      </c>
      <c r="I227" s="62" t="s">
        <v>1625</v>
      </c>
      <c r="J227" s="21">
        <v>6</v>
      </c>
      <c r="K227" s="62" t="str">
        <f>VLOOKUP(Ruimtestaat[[#This Row],[Ruimte code]],Ruimtegroepen[[#All],[Code]:[Ruimte omschrijving]],2,FALSE)</f>
        <v>Gangen/hallen</v>
      </c>
      <c r="L227" s="33" t="s">
        <v>101</v>
      </c>
      <c r="M227" s="367" t="s">
        <v>2495</v>
      </c>
      <c r="N227" s="140">
        <v>8</v>
      </c>
      <c r="O227" s="140"/>
      <c r="P227" s="125" t="str">
        <f>VLOOKUP(Ruimtestaat[[#This Row],[Ruimte code]],Ruimtegroepen[],4,FALSE)</f>
        <v>Ve</v>
      </c>
      <c r="R227" s="33">
        <v>40</v>
      </c>
      <c r="S227" s="33" t="s">
        <v>2</v>
      </c>
      <c r="T227" s="33">
        <f>IF(R227&gt;0,IF(RIGHT(Ruimtestaat[[#This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7" s="33">
        <f>IF(T227&gt;0,VLOOKUP($J227,Ruimtegroepen[],3,FALSE)*VLOOKUP($L227,Vloersoorten[],3,FALSE)*VLOOKUP($S227,Frequenties[],3,FALSE)*VLOOKUP($A227,Locaties[],3,FALSE),0)</f>
        <v>0</v>
      </c>
      <c r="V227" s="33">
        <f>Ruimtestaat[[#This Row],[Uitvoeringen werkdagen]]*Ruimtestaat[[#This Row],[Oppervlak (netto)]]</f>
        <v>1600</v>
      </c>
      <c r="W227" s="154">
        <f>IF(U227&gt;0,Ruimtestaat[[#This Row],[Prest. (m2 /jaar) werkdagen]]/Ruimtestaat[[#This Row],[Norm (m2/uur) werkdagen]],0)</f>
        <v>0</v>
      </c>
      <c r="X227" s="155">
        <f>Ruimtestaat[[#This Row],[uren / jaar werkdagen]]*Tariefsopbouw!$E$35</f>
        <v>0</v>
      </c>
      <c r="Y227" s="33"/>
      <c r="Z227" s="33">
        <f>IF(Ruimtestaat[[#This Row],[Frequentie weekend]]&gt;0,VALUE(LEFT(Y227,1))*R227,0)</f>
        <v>0</v>
      </c>
      <c r="AA227" s="97">
        <f>IF($Z227&gt;0,VLOOKUP($J227,Ruimtegroepen[],3,FALSE)*VLOOKUP($L227,Vloersoorten[],3,FALSE)*VLOOKUP($Y227,Frequenties[],3,FALSE)*VLOOKUP(Ruimtestaat[[#This Row],[Code]],Locaties[],3,FALSE),0)</f>
        <v>0</v>
      </c>
      <c r="AB227" s="97">
        <f>Ruimtestaat[[#This Row],[Uitvoeringen weekend]]*Ruimtestaat[[#This Row],[Oppervlak (netto)]]</f>
        <v>0</v>
      </c>
      <c r="AC227" s="97">
        <f>IF(AA227&gt;0,Ruimtestaat[[#This Row],[Prest. (m2 /jaar) weekend]]/Ruimtestaat[[#This Row],[Norm (m2/uur) weekend]],0)</f>
        <v>0</v>
      </c>
      <c r="AD227" s="155">
        <f>Ruimtestaat[[#This Row],[uren / jaar weekend]]*Tariefsopbouw!$D$40</f>
        <v>0</v>
      </c>
      <c r="AE227" s="154">
        <f>Ruimtestaat[[#This Row],[Prest. (m2 /jaar) weekend]]+Ruimtestaat[[#This Row],[Prest. (m2 /jaar) werkdagen]]</f>
        <v>1600</v>
      </c>
      <c r="AF227" s="154">
        <f>Ruimtestaat[[#This Row],[uren / jaar weekend]]+Ruimtestaat[[#This Row],[uren / jaar werkdagen]]</f>
        <v>0</v>
      </c>
      <c r="AG227" s="69">
        <f>Ruimtestaat[[#This Row],[kosten / jaar weekend]]+Ruimtestaat[[#This Row],[kosten / jaar werkdagen]]</f>
        <v>0</v>
      </c>
      <c r="AH227" s="69"/>
      <c r="AI227" s="256" t="str">
        <f>IF(Ruimtestaat[[#This Row],[Frequentie werkdagen]]="","",_xlfn.CONCAT(Ruimtestaat[[#This Row],[Ruimte code]],"-",Ruimtestaat[[#This Row],[Frequentie werkdagen]]," ",Ruimtestaat[[#This Row],[Vloer code]]))</f>
        <v>6-5w L</v>
      </c>
      <c r="AJ227" s="300" t="str">
        <f>_xlfn.IFNA(VLOOKUP($AI227,Programma!$F$3:$G$1107,2,0),"")</f>
        <v>_</v>
      </c>
      <c r="AK227" s="300" t="str">
        <f>_xlfn.IFNA(VLOOKUP($AI227,Programma!$F$3:$H$1107,3,0),"")</f>
        <v>_</v>
      </c>
      <c r="AL227" s="300" t="str">
        <f>_xlfn.IFNA(VLOOKUP($AI227,Programma!$F$3:$I$1107,4,0),"")</f>
        <v>_</v>
      </c>
      <c r="AM227" s="300" t="str">
        <f>_xlfn.IFNA(VLOOKUP($AI227,Programma!$F$3:$J$1107,5,0),"")</f>
        <v>5w</v>
      </c>
      <c r="AN227" s="300" t="str">
        <f>_xlfn.IFNA(VLOOKUP($AI227,Programma!$F$3:$K$1107,6,0),"")</f>
        <v>_</v>
      </c>
      <c r="AO227" s="300" t="str">
        <f>_xlfn.IFNA(VLOOKUP($AI227,Programma!$F$3:$L$1107,7,0),"")</f>
        <v>_</v>
      </c>
      <c r="AP227" s="300" t="str">
        <f>_xlfn.IFNA(VLOOKUP($AI227,Programma!$F$3:$M$1107,8,0),"")</f>
        <v>_</v>
      </c>
      <c r="AQ227" s="300" t="str">
        <f>_xlfn.IFNA(VLOOKUP($AI227,Programma!$F$3:$N$1107,9,0),"")</f>
        <v>_</v>
      </c>
      <c r="AR227" s="300" t="str">
        <f>_xlfn.IFNA(VLOOKUP($AI227,Programma!$F$3:$O$1107,10,0),"")</f>
        <v>5w</v>
      </c>
      <c r="AS227" s="300" t="str">
        <f>_xlfn.IFNA(VLOOKUP($AI227,Programma!$F$3:$P$1107,11,0),"")</f>
        <v>5w</v>
      </c>
      <c r="AT227" s="300" t="str">
        <f>_xlfn.IFNA(VLOOKUP($AI227,Programma!$F$3:$Q$1107,12,0),"")</f>
        <v>1w</v>
      </c>
      <c r="AU227" s="300" t="str">
        <f>_xlfn.IFNA(VLOOKUP($AI227,Programma!$F$3:$R$1107,13,0),"")</f>
        <v>1w</v>
      </c>
      <c r="AV227" s="300" t="str">
        <f>_xlfn.IFNA(VLOOKUP($AI227,Programma!$F$3:$S$1107,14,0),"")</f>
        <v>1m</v>
      </c>
      <c r="AW227" s="300" t="str">
        <f>_xlfn.IFNA(VLOOKUP($AI227,Programma!$F$3:$T$1107,15,0),"")</f>
        <v>2j</v>
      </c>
      <c r="AX227" s="300" t="str">
        <f>_xlfn.IFNA(VLOOKUP($AI227,Programma!$F$3:$U$1107,16,0),"")</f>
        <v>1j</v>
      </c>
      <c r="AY227" s="300" t="str">
        <f>_xlfn.IFNA(VLOOKUP($AI227,Programma!$F$3:$V$1107,17,0),"")</f>
        <v>_</v>
      </c>
      <c r="AZ227" s="300" t="str">
        <f>_xlfn.IFNA(VLOOKUP($AI227,Programma!$F$3:$W$1107,18,0),"")</f>
        <v>_</v>
      </c>
      <c r="BA227" s="300" t="str">
        <f>_xlfn.IFNA(VLOOKUP($AI227,Programma!$F$3:$X$1107,19,0),"")</f>
        <v>_</v>
      </c>
      <c r="BB227" s="300" t="str">
        <f>_xlfn.IFNA(VLOOKUP($AI227,Programma!$F$3:$Y$1107,20,0),"")</f>
        <v>_</v>
      </c>
      <c r="BC227" s="257"/>
      <c r="BD227" s="256" t="str">
        <f>IF(Ruimtestaat[[#This Row],[Frequentie weekend]]="","",_xlfn.CONCAT(Ruimtestaat[[#This Row],[Ruimte code]],"-",Ruimtestaat[[#This Row],[Frequentie weekend]]," ",Ruimtestaat[[#This Row],[Vloer code]]))</f>
        <v/>
      </c>
      <c r="BE227" s="300" t="str">
        <f>_xlfn.IFNA(VLOOKUP($BD227,Programma!$F$3:$G$1107,2,0),"")</f>
        <v/>
      </c>
      <c r="BF227" s="300" t="str">
        <f>_xlfn.IFNA(VLOOKUP($BD227,Programma!$F$3:$H$1107,3,0),"")</f>
        <v/>
      </c>
      <c r="BG227" s="300" t="str">
        <f>_xlfn.IFNA(VLOOKUP($BD227,Programma!$F$3:$I$1107,4,0),"")</f>
        <v/>
      </c>
      <c r="BH227" s="300" t="str">
        <f>_xlfn.IFNA(VLOOKUP($BD227,Programma!$F$3:$J$1107,5,0),"")</f>
        <v/>
      </c>
      <c r="BI227" s="300" t="str">
        <f>_xlfn.IFNA(VLOOKUP($BD227,Programma!$F$3:$K$1107,6,0),"")</f>
        <v/>
      </c>
      <c r="BJ227" s="300" t="str">
        <f>_xlfn.IFNA(VLOOKUP($BD227,Programma!$F$3:$L$1107,7,0),"")</f>
        <v/>
      </c>
      <c r="BK227" s="300" t="str">
        <f>_xlfn.IFNA(VLOOKUP($BD227,Programma!$F$3:$M$1107,8,0),"")</f>
        <v/>
      </c>
      <c r="BL227" s="300" t="str">
        <f>_xlfn.IFNA(VLOOKUP($BD227,Programma!$F$3:$N$1107,9,0),"")</f>
        <v/>
      </c>
      <c r="BM227" s="300" t="str">
        <f>_xlfn.IFNA(VLOOKUP($BD227,Programma!$F$3:$O$1107,10,0),"")</f>
        <v/>
      </c>
      <c r="BN227" s="300" t="str">
        <f>_xlfn.IFNA(VLOOKUP($BD227,Programma!$F$3:$P$1107,11,0),"")</f>
        <v/>
      </c>
      <c r="BO227" s="300" t="str">
        <f>_xlfn.IFNA(VLOOKUP($BD227,Programma!$F$3:$Q$1107,12,0),"")</f>
        <v/>
      </c>
      <c r="BP227" s="300" t="str">
        <f>_xlfn.IFNA(VLOOKUP($BD227,Programma!$F$3:$R$1107,13,0),"")</f>
        <v/>
      </c>
      <c r="BQ227" s="300" t="str">
        <f>_xlfn.IFNA(VLOOKUP($BD227,Programma!$F$3:$S$1107,14,0),"")</f>
        <v/>
      </c>
      <c r="BR227" s="300" t="str">
        <f>_xlfn.IFNA(VLOOKUP($BD227,Programma!$F$3:$T$1107,15,0),"")</f>
        <v/>
      </c>
      <c r="BS227" s="300" t="str">
        <f>_xlfn.IFNA(VLOOKUP($BD227,Programma!$F$3:$U$1107,16,0),"")</f>
        <v/>
      </c>
      <c r="BT227" s="300" t="str">
        <f>_xlfn.IFNA(VLOOKUP($BD227,Programma!$F$3:$V$1107,17,0),"")</f>
        <v/>
      </c>
      <c r="BU227" s="300" t="str">
        <f>_xlfn.IFNA(VLOOKUP($BD227,Programma!$F$3:$W$1107,18,0),"")</f>
        <v/>
      </c>
      <c r="BV227" s="300" t="str">
        <f>_xlfn.IFNA(VLOOKUP($BD227,Programma!$F$3:$X$1107,19,0),"")</f>
        <v/>
      </c>
      <c r="BW227" s="300" t="str">
        <f>_xlfn.IFNA(VLOOKUP($BD227,Programma!$F$3:$Y$1107,20,0),"")</f>
        <v/>
      </c>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row>
    <row r="228" spans="1:220" ht="15" customHeight="1">
      <c r="A228" s="21">
        <v>4</v>
      </c>
      <c r="B228" s="157" t="str">
        <f>VLOOKUP(Ruimtestaat[[#This Row],[Code]],Locaties[[Code]:[Locatie]],2,FALSE)</f>
        <v>Sint-Maartenscollege</v>
      </c>
      <c r="C228" s="157" t="str">
        <f>VLOOKUP(Ruimtestaat[[#This Row],[Code]],Locaties[[#All],[Code]:[Adres]],4,FALSE)</f>
        <v xml:space="preserve">Aart v.d. Leeuwkade 14 </v>
      </c>
      <c r="D228" s="157" t="str">
        <f>VLOOKUP(Ruimtestaat[[#This Row],[Code]],Locaties[[#All],[Code]:[Postcode]],5,FALSE)</f>
        <v>2274 KX</v>
      </c>
      <c r="E228" s="157" t="str">
        <f>VLOOKUP(Ruimtestaat[[#This Row],[Code]],Locaties[#All],6,FALSE)</f>
        <v>Voorburg</v>
      </c>
      <c r="F228" s="62"/>
      <c r="G228" s="21" t="s">
        <v>1632</v>
      </c>
      <c r="H228" s="21">
        <v>51</v>
      </c>
      <c r="I228" s="62" t="s">
        <v>1887</v>
      </c>
      <c r="J228" s="21">
        <v>6</v>
      </c>
      <c r="K228" s="62" t="str">
        <f>VLOOKUP(Ruimtestaat[[#This Row],[Ruimte code]],Ruimtegroepen[[#All],[Code]:[Ruimte omschrijving]],2,FALSE)</f>
        <v>Gangen/hallen</v>
      </c>
      <c r="L228" s="33" t="s">
        <v>101</v>
      </c>
      <c r="M228" s="367" t="s">
        <v>2495</v>
      </c>
      <c r="N228" s="140">
        <v>142</v>
      </c>
      <c r="O228" s="140"/>
      <c r="P228" s="125" t="str">
        <f>VLOOKUP(Ruimtestaat[[#This Row],[Ruimte code]],Ruimtegroepen[],4,FALSE)</f>
        <v>Ve</v>
      </c>
      <c r="R228" s="33">
        <v>40</v>
      </c>
      <c r="S228" s="33" t="s">
        <v>2</v>
      </c>
      <c r="T228" s="33">
        <f>IF(R228&gt;0,IF(RIGHT(Ruimtestaat[[#This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8" s="33">
        <f>IF(T228&gt;0,VLOOKUP($J228,Ruimtegroepen[],3,FALSE)*VLOOKUP($L228,Vloersoorten[],3,FALSE)*VLOOKUP($S228,Frequenties[],3,FALSE)*VLOOKUP($A228,Locaties[],3,FALSE),0)</f>
        <v>0</v>
      </c>
      <c r="V228" s="33">
        <f>Ruimtestaat[[#This Row],[Uitvoeringen werkdagen]]*Ruimtestaat[[#This Row],[Oppervlak (netto)]]</f>
        <v>28400</v>
      </c>
      <c r="W228" s="154">
        <f>IF(U228&gt;0,Ruimtestaat[[#This Row],[Prest. (m2 /jaar) werkdagen]]/Ruimtestaat[[#This Row],[Norm (m2/uur) werkdagen]],0)</f>
        <v>0</v>
      </c>
      <c r="X228" s="155">
        <f>Ruimtestaat[[#This Row],[uren / jaar werkdagen]]*Tariefsopbouw!$E$35</f>
        <v>0</v>
      </c>
      <c r="Y228" s="33"/>
      <c r="Z228" s="33">
        <f>IF(Ruimtestaat[[#This Row],[Frequentie weekend]]&gt;0,VALUE(LEFT(Y228,1))*R228,0)</f>
        <v>0</v>
      </c>
      <c r="AA228" s="97">
        <f>IF($Z228&gt;0,VLOOKUP($J228,Ruimtegroepen[],3,FALSE)*VLOOKUP($L228,Vloersoorten[],3,FALSE)*VLOOKUP($Y228,Frequenties[],3,FALSE)*VLOOKUP(Ruimtestaat[[#This Row],[Code]],Locaties[],3,FALSE),0)</f>
        <v>0</v>
      </c>
      <c r="AB228" s="97">
        <f>Ruimtestaat[[#This Row],[Uitvoeringen weekend]]*Ruimtestaat[[#This Row],[Oppervlak (netto)]]</f>
        <v>0</v>
      </c>
      <c r="AC228" s="97">
        <f>IF(AA228&gt;0,Ruimtestaat[[#This Row],[Prest. (m2 /jaar) weekend]]/Ruimtestaat[[#This Row],[Norm (m2/uur) weekend]],0)</f>
        <v>0</v>
      </c>
      <c r="AD228" s="155">
        <f>Ruimtestaat[[#This Row],[uren / jaar weekend]]*Tariefsopbouw!$D$40</f>
        <v>0</v>
      </c>
      <c r="AE228" s="154">
        <f>Ruimtestaat[[#This Row],[Prest. (m2 /jaar) weekend]]+Ruimtestaat[[#This Row],[Prest. (m2 /jaar) werkdagen]]</f>
        <v>28400</v>
      </c>
      <c r="AF228" s="154">
        <f>Ruimtestaat[[#This Row],[uren / jaar weekend]]+Ruimtestaat[[#This Row],[uren / jaar werkdagen]]</f>
        <v>0</v>
      </c>
      <c r="AG228" s="69">
        <f>Ruimtestaat[[#This Row],[kosten / jaar weekend]]+Ruimtestaat[[#This Row],[kosten / jaar werkdagen]]</f>
        <v>0</v>
      </c>
      <c r="AH228" s="69"/>
      <c r="AI228" s="256" t="str">
        <f>IF(Ruimtestaat[[#This Row],[Frequentie werkdagen]]="","",_xlfn.CONCAT(Ruimtestaat[[#This Row],[Ruimte code]],"-",Ruimtestaat[[#This Row],[Frequentie werkdagen]]," ",Ruimtestaat[[#This Row],[Vloer code]]))</f>
        <v>6-5w L</v>
      </c>
      <c r="AJ228" s="300" t="str">
        <f>_xlfn.IFNA(VLOOKUP($AI228,Programma!$F$3:$G$1107,2,0),"")</f>
        <v>_</v>
      </c>
      <c r="AK228" s="300" t="str">
        <f>_xlfn.IFNA(VLOOKUP($AI228,Programma!$F$3:$H$1107,3,0),"")</f>
        <v>_</v>
      </c>
      <c r="AL228" s="300" t="str">
        <f>_xlfn.IFNA(VLOOKUP($AI228,Programma!$F$3:$I$1107,4,0),"")</f>
        <v>_</v>
      </c>
      <c r="AM228" s="300" t="str">
        <f>_xlfn.IFNA(VLOOKUP($AI228,Programma!$F$3:$J$1107,5,0),"")</f>
        <v>5w</v>
      </c>
      <c r="AN228" s="300" t="str">
        <f>_xlfn.IFNA(VLOOKUP($AI228,Programma!$F$3:$K$1107,6,0),"")</f>
        <v>_</v>
      </c>
      <c r="AO228" s="300" t="str">
        <f>_xlfn.IFNA(VLOOKUP($AI228,Programma!$F$3:$L$1107,7,0),"")</f>
        <v>_</v>
      </c>
      <c r="AP228" s="300" t="str">
        <f>_xlfn.IFNA(VLOOKUP($AI228,Programma!$F$3:$M$1107,8,0),"")</f>
        <v>_</v>
      </c>
      <c r="AQ228" s="300" t="str">
        <f>_xlfn.IFNA(VLOOKUP($AI228,Programma!$F$3:$N$1107,9,0),"")</f>
        <v>_</v>
      </c>
      <c r="AR228" s="300" t="str">
        <f>_xlfn.IFNA(VLOOKUP($AI228,Programma!$F$3:$O$1107,10,0),"")</f>
        <v>5w</v>
      </c>
      <c r="AS228" s="300" t="str">
        <f>_xlfn.IFNA(VLOOKUP($AI228,Programma!$F$3:$P$1107,11,0),"")</f>
        <v>5w</v>
      </c>
      <c r="AT228" s="300" t="str">
        <f>_xlfn.IFNA(VLOOKUP($AI228,Programma!$F$3:$Q$1107,12,0),"")</f>
        <v>1w</v>
      </c>
      <c r="AU228" s="300" t="str">
        <f>_xlfn.IFNA(VLOOKUP($AI228,Programma!$F$3:$R$1107,13,0),"")</f>
        <v>1w</v>
      </c>
      <c r="AV228" s="300" t="str">
        <f>_xlfn.IFNA(VLOOKUP($AI228,Programma!$F$3:$S$1107,14,0),"")</f>
        <v>1m</v>
      </c>
      <c r="AW228" s="300" t="str">
        <f>_xlfn.IFNA(VLOOKUP($AI228,Programma!$F$3:$T$1107,15,0),"")</f>
        <v>2j</v>
      </c>
      <c r="AX228" s="300" t="str">
        <f>_xlfn.IFNA(VLOOKUP($AI228,Programma!$F$3:$U$1107,16,0),"")</f>
        <v>1j</v>
      </c>
      <c r="AY228" s="300" t="str">
        <f>_xlfn.IFNA(VLOOKUP($AI228,Programma!$F$3:$V$1107,17,0),"")</f>
        <v>_</v>
      </c>
      <c r="AZ228" s="300" t="str">
        <f>_xlfn.IFNA(VLOOKUP($AI228,Programma!$F$3:$W$1107,18,0),"")</f>
        <v>_</v>
      </c>
      <c r="BA228" s="300" t="str">
        <f>_xlfn.IFNA(VLOOKUP($AI228,Programma!$F$3:$X$1107,19,0),"")</f>
        <v>_</v>
      </c>
      <c r="BB228" s="300" t="str">
        <f>_xlfn.IFNA(VLOOKUP($AI228,Programma!$F$3:$Y$1107,20,0),"")</f>
        <v>_</v>
      </c>
      <c r="BC228" s="257"/>
      <c r="BD228" s="256" t="str">
        <f>IF(Ruimtestaat[[#This Row],[Frequentie weekend]]="","",_xlfn.CONCAT(Ruimtestaat[[#This Row],[Ruimte code]],"-",Ruimtestaat[[#This Row],[Frequentie weekend]]," ",Ruimtestaat[[#This Row],[Vloer code]]))</f>
        <v/>
      </c>
      <c r="BE228" s="300" t="str">
        <f>_xlfn.IFNA(VLOOKUP($BD228,Programma!$F$3:$G$1107,2,0),"")</f>
        <v/>
      </c>
      <c r="BF228" s="300" t="str">
        <f>_xlfn.IFNA(VLOOKUP($BD228,Programma!$F$3:$H$1107,3,0),"")</f>
        <v/>
      </c>
      <c r="BG228" s="300" t="str">
        <f>_xlfn.IFNA(VLOOKUP($BD228,Programma!$F$3:$I$1107,4,0),"")</f>
        <v/>
      </c>
      <c r="BH228" s="300" t="str">
        <f>_xlfn.IFNA(VLOOKUP($BD228,Programma!$F$3:$J$1107,5,0),"")</f>
        <v/>
      </c>
      <c r="BI228" s="300" t="str">
        <f>_xlfn.IFNA(VLOOKUP($BD228,Programma!$F$3:$K$1107,6,0),"")</f>
        <v/>
      </c>
      <c r="BJ228" s="300" t="str">
        <f>_xlfn.IFNA(VLOOKUP($BD228,Programma!$F$3:$L$1107,7,0),"")</f>
        <v/>
      </c>
      <c r="BK228" s="300" t="str">
        <f>_xlfn.IFNA(VLOOKUP($BD228,Programma!$F$3:$M$1107,8,0),"")</f>
        <v/>
      </c>
      <c r="BL228" s="300" t="str">
        <f>_xlfn.IFNA(VLOOKUP($BD228,Programma!$F$3:$N$1107,9,0),"")</f>
        <v/>
      </c>
      <c r="BM228" s="300" t="str">
        <f>_xlfn.IFNA(VLOOKUP($BD228,Programma!$F$3:$O$1107,10,0),"")</f>
        <v/>
      </c>
      <c r="BN228" s="300" t="str">
        <f>_xlfn.IFNA(VLOOKUP($BD228,Programma!$F$3:$P$1107,11,0),"")</f>
        <v/>
      </c>
      <c r="BO228" s="300" t="str">
        <f>_xlfn.IFNA(VLOOKUP($BD228,Programma!$F$3:$Q$1107,12,0),"")</f>
        <v/>
      </c>
      <c r="BP228" s="300" t="str">
        <f>_xlfn.IFNA(VLOOKUP($BD228,Programma!$F$3:$R$1107,13,0),"")</f>
        <v/>
      </c>
      <c r="BQ228" s="300" t="str">
        <f>_xlfn.IFNA(VLOOKUP($BD228,Programma!$F$3:$S$1107,14,0),"")</f>
        <v/>
      </c>
      <c r="BR228" s="300" t="str">
        <f>_xlfn.IFNA(VLOOKUP($BD228,Programma!$F$3:$T$1107,15,0),"")</f>
        <v/>
      </c>
      <c r="BS228" s="300" t="str">
        <f>_xlfn.IFNA(VLOOKUP($BD228,Programma!$F$3:$U$1107,16,0),"")</f>
        <v/>
      </c>
      <c r="BT228" s="300" t="str">
        <f>_xlfn.IFNA(VLOOKUP($BD228,Programma!$F$3:$V$1107,17,0),"")</f>
        <v/>
      </c>
      <c r="BU228" s="300" t="str">
        <f>_xlfn.IFNA(VLOOKUP($BD228,Programma!$F$3:$W$1107,18,0),"")</f>
        <v/>
      </c>
      <c r="BV228" s="300" t="str">
        <f>_xlfn.IFNA(VLOOKUP($BD228,Programma!$F$3:$X$1107,19,0),"")</f>
        <v/>
      </c>
      <c r="BW228" s="300" t="str">
        <f>_xlfn.IFNA(VLOOKUP($BD228,Programma!$F$3:$Y$1107,20,0),"")</f>
        <v/>
      </c>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row>
    <row r="229" spans="1:220" ht="15" customHeight="1">
      <c r="A229" s="21">
        <v>4</v>
      </c>
      <c r="B229" s="157" t="str">
        <f>VLOOKUP(Ruimtestaat[[#This Row],[Code]],Locaties[[Code]:[Locatie]],2,FALSE)</f>
        <v>Sint-Maartenscollege</v>
      </c>
      <c r="C229" s="157" t="str">
        <f>VLOOKUP(Ruimtestaat[[#This Row],[Code]],Locaties[[#All],[Code]:[Adres]],4,FALSE)</f>
        <v xml:space="preserve">Aart v.d. Leeuwkade 14 </v>
      </c>
      <c r="D229" s="157" t="str">
        <f>VLOOKUP(Ruimtestaat[[#This Row],[Code]],Locaties[[#All],[Code]:[Postcode]],5,FALSE)</f>
        <v>2274 KX</v>
      </c>
      <c r="E229" s="157" t="str">
        <f>VLOOKUP(Ruimtestaat[[#This Row],[Code]],Locaties[#All],6,FALSE)</f>
        <v>Voorburg</v>
      </c>
      <c r="F229" s="62"/>
      <c r="G229" s="21" t="s">
        <v>1632</v>
      </c>
      <c r="H229" s="21">
        <v>52</v>
      </c>
      <c r="I229" s="62" t="s">
        <v>1630</v>
      </c>
      <c r="J229" s="21">
        <v>12</v>
      </c>
      <c r="K229" s="62" t="str">
        <f>VLOOKUP(Ruimtestaat[[#This Row],[Ruimte code]],Ruimtegroepen[[#All],[Code]:[Ruimte omschrijving]],2,FALSE)</f>
        <v>Kantine</v>
      </c>
      <c r="L229" s="33" t="s">
        <v>101</v>
      </c>
      <c r="M229" s="367" t="s">
        <v>2495</v>
      </c>
      <c r="N229" s="140">
        <v>281</v>
      </c>
      <c r="O229" s="140"/>
      <c r="P229" s="125" t="str">
        <f>VLOOKUP(Ruimtestaat[[#This Row],[Ruimte code]],Ruimtegroepen[],4,FALSE)</f>
        <v>Ve</v>
      </c>
      <c r="R229" s="33">
        <v>40</v>
      </c>
      <c r="S229" s="33" t="s">
        <v>2</v>
      </c>
      <c r="T229" s="33">
        <f>IF(R229&gt;0,IF(RIGHT(Ruimtestaat[[#This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9" s="33">
        <f>IF(T229&gt;0,VLOOKUP($J229,Ruimtegroepen[],3,FALSE)*VLOOKUP($L229,Vloersoorten[],3,FALSE)*VLOOKUP($S229,Frequenties[],3,FALSE)*VLOOKUP($A229,Locaties[],3,FALSE),0)</f>
        <v>0</v>
      </c>
      <c r="V229" s="33">
        <f>Ruimtestaat[[#This Row],[Uitvoeringen werkdagen]]*Ruimtestaat[[#This Row],[Oppervlak (netto)]]</f>
        <v>56200</v>
      </c>
      <c r="W229" s="154">
        <f>IF(U229&gt;0,Ruimtestaat[[#This Row],[Prest. (m2 /jaar) werkdagen]]/Ruimtestaat[[#This Row],[Norm (m2/uur) werkdagen]],0)</f>
        <v>0</v>
      </c>
      <c r="X229" s="155">
        <f>Ruimtestaat[[#This Row],[uren / jaar werkdagen]]*Tariefsopbouw!$E$35</f>
        <v>0</v>
      </c>
      <c r="Y229" s="33"/>
      <c r="Z229" s="33">
        <f>IF(Ruimtestaat[[#This Row],[Frequentie weekend]]&gt;0,VALUE(LEFT(Y229,1))*R229,0)</f>
        <v>0</v>
      </c>
      <c r="AA229" s="97">
        <f>IF($Z229&gt;0,VLOOKUP($J229,Ruimtegroepen[],3,FALSE)*VLOOKUP($L229,Vloersoorten[],3,FALSE)*VLOOKUP($Y229,Frequenties[],3,FALSE)*VLOOKUP(Ruimtestaat[[#This Row],[Code]],Locaties[],3,FALSE),0)</f>
        <v>0</v>
      </c>
      <c r="AB229" s="97">
        <f>Ruimtestaat[[#This Row],[Uitvoeringen weekend]]*Ruimtestaat[[#This Row],[Oppervlak (netto)]]</f>
        <v>0</v>
      </c>
      <c r="AC229" s="97">
        <f>IF(AA229&gt;0,Ruimtestaat[[#This Row],[Prest. (m2 /jaar) weekend]]/Ruimtestaat[[#This Row],[Norm (m2/uur) weekend]],0)</f>
        <v>0</v>
      </c>
      <c r="AD229" s="155">
        <f>Ruimtestaat[[#This Row],[uren / jaar weekend]]*Tariefsopbouw!$D$40</f>
        <v>0</v>
      </c>
      <c r="AE229" s="154">
        <f>Ruimtestaat[[#This Row],[Prest. (m2 /jaar) weekend]]+Ruimtestaat[[#This Row],[Prest. (m2 /jaar) werkdagen]]</f>
        <v>56200</v>
      </c>
      <c r="AF229" s="154">
        <f>Ruimtestaat[[#This Row],[uren / jaar weekend]]+Ruimtestaat[[#This Row],[uren / jaar werkdagen]]</f>
        <v>0</v>
      </c>
      <c r="AG229" s="69">
        <f>Ruimtestaat[[#This Row],[kosten / jaar weekend]]+Ruimtestaat[[#This Row],[kosten / jaar werkdagen]]</f>
        <v>0</v>
      </c>
      <c r="AH229" s="69"/>
      <c r="AI229" s="256" t="str">
        <f>IF(Ruimtestaat[[#This Row],[Frequentie werkdagen]]="","",_xlfn.CONCAT(Ruimtestaat[[#This Row],[Ruimte code]],"-",Ruimtestaat[[#This Row],[Frequentie werkdagen]]," ",Ruimtestaat[[#This Row],[Vloer code]]))</f>
        <v>12-5w L</v>
      </c>
      <c r="AJ229" s="300" t="str">
        <f>_xlfn.IFNA(VLOOKUP($AI229,Programma!$F$3:$G$1107,2,0),"")</f>
        <v>_</v>
      </c>
      <c r="AK229" s="300" t="str">
        <f>_xlfn.IFNA(VLOOKUP($AI229,Programma!$F$3:$H$1107,3,0),"")</f>
        <v>_</v>
      </c>
      <c r="AL229" s="300" t="str">
        <f>_xlfn.IFNA(VLOOKUP($AI229,Programma!$F$3:$I$1107,4,0),"")</f>
        <v>_</v>
      </c>
      <c r="AM229" s="300" t="str">
        <f>_xlfn.IFNA(VLOOKUP($AI229,Programma!$F$3:$J$1107,5,0),"")</f>
        <v>5w</v>
      </c>
      <c r="AN229" s="300" t="str">
        <f>_xlfn.IFNA(VLOOKUP($AI229,Programma!$F$3:$K$1107,6,0),"")</f>
        <v>_</v>
      </c>
      <c r="AO229" s="300" t="str">
        <f>_xlfn.IFNA(VLOOKUP($AI229,Programma!$F$3:$L$1107,7,0),"")</f>
        <v>_</v>
      </c>
      <c r="AP229" s="300" t="str">
        <f>_xlfn.IFNA(VLOOKUP($AI229,Programma!$F$3:$M$1107,8,0),"")</f>
        <v>_</v>
      </c>
      <c r="AQ229" s="300" t="str">
        <f>_xlfn.IFNA(VLOOKUP($AI229,Programma!$F$3:$N$1107,9,0),"")</f>
        <v>_</v>
      </c>
      <c r="AR229" s="300" t="str">
        <f>_xlfn.IFNA(VLOOKUP($AI229,Programma!$F$3:$O$1107,10,0),"")</f>
        <v>5w</v>
      </c>
      <c r="AS229" s="300" t="str">
        <f>_xlfn.IFNA(VLOOKUP($AI229,Programma!$F$3:$P$1107,11,0),"")</f>
        <v>5w</v>
      </c>
      <c r="AT229" s="300" t="str">
        <f>_xlfn.IFNA(VLOOKUP($AI229,Programma!$F$3:$Q$1107,12,0),"")</f>
        <v>1w</v>
      </c>
      <c r="AU229" s="300" t="str">
        <f>_xlfn.IFNA(VLOOKUP($AI229,Programma!$F$3:$R$1107,13,0),"")</f>
        <v>1w</v>
      </c>
      <c r="AV229" s="300" t="str">
        <f>_xlfn.IFNA(VLOOKUP($AI229,Programma!$F$3:$S$1107,14,0),"")</f>
        <v>1m</v>
      </c>
      <c r="AW229" s="300" t="str">
        <f>_xlfn.IFNA(VLOOKUP($AI229,Programma!$F$3:$T$1107,15,0),"")</f>
        <v>2j</v>
      </c>
      <c r="AX229" s="300" t="str">
        <f>_xlfn.IFNA(VLOOKUP($AI229,Programma!$F$3:$U$1107,16,0),"")</f>
        <v>1j</v>
      </c>
      <c r="AY229" s="300" t="str">
        <f>_xlfn.IFNA(VLOOKUP($AI229,Programma!$F$3:$V$1107,17,0),"")</f>
        <v>_</v>
      </c>
      <c r="AZ229" s="300" t="str">
        <f>_xlfn.IFNA(VLOOKUP($AI229,Programma!$F$3:$W$1107,18,0),"")</f>
        <v>_</v>
      </c>
      <c r="BA229" s="300" t="str">
        <f>_xlfn.IFNA(VLOOKUP($AI229,Programma!$F$3:$X$1107,19,0),"")</f>
        <v>_</v>
      </c>
      <c r="BB229" s="300" t="str">
        <f>_xlfn.IFNA(VLOOKUP($AI229,Programma!$F$3:$Y$1107,20,0),"")</f>
        <v>_</v>
      </c>
      <c r="BC229" s="257"/>
      <c r="BD229" s="256" t="str">
        <f>IF(Ruimtestaat[[#This Row],[Frequentie weekend]]="","",_xlfn.CONCAT(Ruimtestaat[[#This Row],[Ruimte code]],"-",Ruimtestaat[[#This Row],[Frequentie weekend]]," ",Ruimtestaat[[#This Row],[Vloer code]]))</f>
        <v/>
      </c>
      <c r="BE229" s="300" t="str">
        <f>_xlfn.IFNA(VLOOKUP($BD229,Programma!$F$3:$G$1107,2,0),"")</f>
        <v/>
      </c>
      <c r="BF229" s="300" t="str">
        <f>_xlfn.IFNA(VLOOKUP($BD229,Programma!$F$3:$H$1107,3,0),"")</f>
        <v/>
      </c>
      <c r="BG229" s="300" t="str">
        <f>_xlfn.IFNA(VLOOKUP($BD229,Programma!$F$3:$I$1107,4,0),"")</f>
        <v/>
      </c>
      <c r="BH229" s="300" t="str">
        <f>_xlfn.IFNA(VLOOKUP($BD229,Programma!$F$3:$J$1107,5,0),"")</f>
        <v/>
      </c>
      <c r="BI229" s="300" t="str">
        <f>_xlfn.IFNA(VLOOKUP($BD229,Programma!$F$3:$K$1107,6,0),"")</f>
        <v/>
      </c>
      <c r="BJ229" s="300" t="str">
        <f>_xlfn.IFNA(VLOOKUP($BD229,Programma!$F$3:$L$1107,7,0),"")</f>
        <v/>
      </c>
      <c r="BK229" s="300" t="str">
        <f>_xlfn.IFNA(VLOOKUP($BD229,Programma!$F$3:$M$1107,8,0),"")</f>
        <v/>
      </c>
      <c r="BL229" s="300" t="str">
        <f>_xlfn.IFNA(VLOOKUP($BD229,Programma!$F$3:$N$1107,9,0),"")</f>
        <v/>
      </c>
      <c r="BM229" s="300" t="str">
        <f>_xlfn.IFNA(VLOOKUP($BD229,Programma!$F$3:$O$1107,10,0),"")</f>
        <v/>
      </c>
      <c r="BN229" s="300" t="str">
        <f>_xlfn.IFNA(VLOOKUP($BD229,Programma!$F$3:$P$1107,11,0),"")</f>
        <v/>
      </c>
      <c r="BO229" s="300" t="str">
        <f>_xlfn.IFNA(VLOOKUP($BD229,Programma!$F$3:$Q$1107,12,0),"")</f>
        <v/>
      </c>
      <c r="BP229" s="300" t="str">
        <f>_xlfn.IFNA(VLOOKUP($BD229,Programma!$F$3:$R$1107,13,0),"")</f>
        <v/>
      </c>
      <c r="BQ229" s="300" t="str">
        <f>_xlfn.IFNA(VLOOKUP($BD229,Programma!$F$3:$S$1107,14,0),"")</f>
        <v/>
      </c>
      <c r="BR229" s="300" t="str">
        <f>_xlfn.IFNA(VLOOKUP($BD229,Programma!$F$3:$T$1107,15,0),"")</f>
        <v/>
      </c>
      <c r="BS229" s="300" t="str">
        <f>_xlfn.IFNA(VLOOKUP($BD229,Programma!$F$3:$U$1107,16,0),"")</f>
        <v/>
      </c>
      <c r="BT229" s="300" t="str">
        <f>_xlfn.IFNA(VLOOKUP($BD229,Programma!$F$3:$V$1107,17,0),"")</f>
        <v/>
      </c>
      <c r="BU229" s="300" t="str">
        <f>_xlfn.IFNA(VLOOKUP($BD229,Programma!$F$3:$W$1107,18,0),"")</f>
        <v/>
      </c>
      <c r="BV229" s="300" t="str">
        <f>_xlfn.IFNA(VLOOKUP($BD229,Programma!$F$3:$X$1107,19,0),"")</f>
        <v/>
      </c>
      <c r="BW229" s="300" t="str">
        <f>_xlfn.IFNA(VLOOKUP($BD229,Programma!$F$3:$Y$1107,20,0),"")</f>
        <v/>
      </c>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row>
    <row r="230" spans="1:220" ht="15" customHeight="1">
      <c r="A230" s="21">
        <v>4</v>
      </c>
      <c r="B230" s="157" t="str">
        <f>VLOOKUP(Ruimtestaat[[#This Row],[Code]],Locaties[[Code]:[Locatie]],2,FALSE)</f>
        <v>Sint-Maartenscollege</v>
      </c>
      <c r="C230" s="157" t="str">
        <f>VLOOKUP(Ruimtestaat[[#This Row],[Code]],Locaties[[#All],[Code]:[Adres]],4,FALSE)</f>
        <v xml:space="preserve">Aart v.d. Leeuwkade 14 </v>
      </c>
      <c r="D230" s="157" t="str">
        <f>VLOOKUP(Ruimtestaat[[#This Row],[Code]],Locaties[[#All],[Code]:[Postcode]],5,FALSE)</f>
        <v>2274 KX</v>
      </c>
      <c r="E230" s="157" t="str">
        <f>VLOOKUP(Ruimtestaat[[#This Row],[Code]],Locaties[#All],6,FALSE)</f>
        <v>Voorburg</v>
      </c>
      <c r="F230" s="62"/>
      <c r="G230" s="21" t="s">
        <v>1632</v>
      </c>
      <c r="H230" s="21">
        <v>53</v>
      </c>
      <c r="I230" s="62" t="s">
        <v>1888</v>
      </c>
      <c r="J230" s="21">
        <v>20</v>
      </c>
      <c r="K230" s="62" t="str">
        <f>VLOOKUP(Ruimtestaat[[#This Row],[Ruimte code]],Ruimtegroepen[[#All],[Code]:[Ruimte omschrijving]],2,FALSE)</f>
        <v>Niet in Onderhoud</v>
      </c>
      <c r="L230" s="33" t="s">
        <v>101</v>
      </c>
      <c r="M230" s="367" t="s">
        <v>2495</v>
      </c>
      <c r="N230" s="140">
        <v>29</v>
      </c>
      <c r="O230" s="140"/>
      <c r="P230" s="125">
        <f>VLOOKUP(Ruimtestaat[[#This Row],[Ruimte code]],Ruimtegroepen[],4,FALSE)</f>
        <v>0</v>
      </c>
      <c r="Q230" s="125" t="s">
        <v>2536</v>
      </c>
      <c r="R230" s="33"/>
      <c r="S230" s="33"/>
      <c r="T230" s="33">
        <f>IF(R230&gt;0,IF(RIGHT(Ruimtestaat[[#This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30" s="33">
        <f>IF(T230&gt;0,VLOOKUP($J230,Ruimtegroepen[],3,FALSE)*VLOOKUP($L230,Vloersoorten[],3,FALSE)*VLOOKUP($S230,Frequenties[],3,FALSE)*VLOOKUP($A230,Locaties[],3,FALSE),0)</f>
        <v>0</v>
      </c>
      <c r="V230" s="33">
        <f>Ruimtestaat[[#This Row],[Uitvoeringen werkdagen]]*Ruimtestaat[[#This Row],[Oppervlak (netto)]]</f>
        <v>0</v>
      </c>
      <c r="W230" s="154">
        <f>IF(U230&gt;0,Ruimtestaat[[#This Row],[Prest. (m2 /jaar) werkdagen]]/Ruimtestaat[[#This Row],[Norm (m2/uur) werkdagen]],0)</f>
        <v>0</v>
      </c>
      <c r="X230" s="155">
        <f>Ruimtestaat[[#This Row],[uren / jaar werkdagen]]*Tariefsopbouw!$E$35</f>
        <v>0</v>
      </c>
      <c r="Y230" s="33"/>
      <c r="Z230" s="33">
        <f>IF(Ruimtestaat[[#This Row],[Frequentie weekend]]&gt;0,VALUE(LEFT(Y230,1))*R230,0)</f>
        <v>0</v>
      </c>
      <c r="AA230" s="97">
        <f>IF($Z230&gt;0,VLOOKUP($J230,Ruimtegroepen[],3,FALSE)*VLOOKUP($L230,Vloersoorten[],3,FALSE)*VLOOKUP($Y230,Frequenties[],3,FALSE)*VLOOKUP(Ruimtestaat[[#This Row],[Code]],Locaties[],3,FALSE),0)</f>
        <v>0</v>
      </c>
      <c r="AB230" s="97">
        <f>Ruimtestaat[[#This Row],[Uitvoeringen weekend]]*Ruimtestaat[[#This Row],[Oppervlak (netto)]]</f>
        <v>0</v>
      </c>
      <c r="AC230" s="97">
        <f>IF(AA230&gt;0,Ruimtestaat[[#This Row],[Prest. (m2 /jaar) weekend]]/Ruimtestaat[[#This Row],[Norm (m2/uur) weekend]],0)</f>
        <v>0</v>
      </c>
      <c r="AD230" s="155">
        <f>Ruimtestaat[[#This Row],[uren / jaar weekend]]*Tariefsopbouw!$D$40</f>
        <v>0</v>
      </c>
      <c r="AE230" s="154">
        <f>Ruimtestaat[[#This Row],[Prest. (m2 /jaar) weekend]]+Ruimtestaat[[#This Row],[Prest. (m2 /jaar) werkdagen]]</f>
        <v>0</v>
      </c>
      <c r="AF230" s="154">
        <f>Ruimtestaat[[#This Row],[uren / jaar weekend]]+Ruimtestaat[[#This Row],[uren / jaar werkdagen]]</f>
        <v>0</v>
      </c>
      <c r="AG230" s="69">
        <f>Ruimtestaat[[#This Row],[kosten / jaar weekend]]+Ruimtestaat[[#This Row],[kosten / jaar werkdagen]]</f>
        <v>0</v>
      </c>
      <c r="AH230" s="69"/>
      <c r="AI230" s="256" t="str">
        <f>IF(Ruimtestaat[[#This Row],[Frequentie werkdagen]]="","",_xlfn.CONCAT(Ruimtestaat[[#This Row],[Ruimte code]],"-",Ruimtestaat[[#This Row],[Frequentie werkdagen]]," ",Ruimtestaat[[#This Row],[Vloer code]]))</f>
        <v/>
      </c>
      <c r="AJ230" s="300" t="str">
        <f>_xlfn.IFNA(VLOOKUP($AI230,Programma!$F$3:$G$1107,2,0),"")</f>
        <v/>
      </c>
      <c r="AK230" s="300" t="str">
        <f>_xlfn.IFNA(VLOOKUP($AI230,Programma!$F$3:$H$1107,3,0),"")</f>
        <v/>
      </c>
      <c r="AL230" s="300" t="str">
        <f>_xlfn.IFNA(VLOOKUP($AI230,Programma!$F$3:$I$1107,4,0),"")</f>
        <v/>
      </c>
      <c r="AM230" s="300" t="str">
        <f>_xlfn.IFNA(VLOOKUP($AI230,Programma!$F$3:$J$1107,5,0),"")</f>
        <v/>
      </c>
      <c r="AN230" s="300" t="str">
        <f>_xlfn.IFNA(VLOOKUP($AI230,Programma!$F$3:$K$1107,6,0),"")</f>
        <v/>
      </c>
      <c r="AO230" s="300" t="str">
        <f>_xlfn.IFNA(VLOOKUP($AI230,Programma!$F$3:$L$1107,7,0),"")</f>
        <v/>
      </c>
      <c r="AP230" s="300" t="str">
        <f>_xlfn.IFNA(VLOOKUP($AI230,Programma!$F$3:$M$1107,8,0),"")</f>
        <v/>
      </c>
      <c r="AQ230" s="300" t="str">
        <f>_xlfn.IFNA(VLOOKUP($AI230,Programma!$F$3:$N$1107,9,0),"")</f>
        <v/>
      </c>
      <c r="AR230" s="300" t="str">
        <f>_xlfn.IFNA(VLOOKUP($AI230,Programma!$F$3:$O$1107,10,0),"")</f>
        <v/>
      </c>
      <c r="AS230" s="300" t="str">
        <f>_xlfn.IFNA(VLOOKUP($AI230,Programma!$F$3:$P$1107,11,0),"")</f>
        <v/>
      </c>
      <c r="AT230" s="300" t="str">
        <f>_xlfn.IFNA(VLOOKUP($AI230,Programma!$F$3:$Q$1107,12,0),"")</f>
        <v/>
      </c>
      <c r="AU230" s="300" t="str">
        <f>_xlfn.IFNA(VLOOKUP($AI230,Programma!$F$3:$R$1107,13,0),"")</f>
        <v/>
      </c>
      <c r="AV230" s="300" t="str">
        <f>_xlfn.IFNA(VLOOKUP($AI230,Programma!$F$3:$S$1107,14,0),"")</f>
        <v/>
      </c>
      <c r="AW230" s="300" t="str">
        <f>_xlfn.IFNA(VLOOKUP($AI230,Programma!$F$3:$T$1107,15,0),"")</f>
        <v/>
      </c>
      <c r="AX230" s="300" t="str">
        <f>_xlfn.IFNA(VLOOKUP($AI230,Programma!$F$3:$U$1107,16,0),"")</f>
        <v/>
      </c>
      <c r="AY230" s="300" t="str">
        <f>_xlfn.IFNA(VLOOKUP($AI230,Programma!$F$3:$V$1107,17,0),"")</f>
        <v/>
      </c>
      <c r="AZ230" s="300" t="str">
        <f>_xlfn.IFNA(VLOOKUP($AI230,Programma!$F$3:$W$1107,18,0),"")</f>
        <v/>
      </c>
      <c r="BA230" s="300" t="str">
        <f>_xlfn.IFNA(VLOOKUP($AI230,Programma!$F$3:$X$1107,19,0),"")</f>
        <v/>
      </c>
      <c r="BB230" s="300" t="str">
        <f>_xlfn.IFNA(VLOOKUP($AI230,Programma!$F$3:$Y$1107,20,0),"")</f>
        <v/>
      </c>
      <c r="BC230" s="257"/>
      <c r="BD230" s="256" t="str">
        <f>IF(Ruimtestaat[[#This Row],[Frequentie weekend]]="","",_xlfn.CONCAT(Ruimtestaat[[#This Row],[Ruimte code]],"-",Ruimtestaat[[#This Row],[Frequentie weekend]]," ",Ruimtestaat[[#This Row],[Vloer code]]))</f>
        <v/>
      </c>
      <c r="BE230" s="300" t="str">
        <f>_xlfn.IFNA(VLOOKUP($BD230,Programma!$F$3:$G$1107,2,0),"")</f>
        <v/>
      </c>
      <c r="BF230" s="300" t="str">
        <f>_xlfn.IFNA(VLOOKUP($BD230,Programma!$F$3:$H$1107,3,0),"")</f>
        <v/>
      </c>
      <c r="BG230" s="300" t="str">
        <f>_xlfn.IFNA(VLOOKUP($BD230,Programma!$F$3:$I$1107,4,0),"")</f>
        <v/>
      </c>
      <c r="BH230" s="300" t="str">
        <f>_xlfn.IFNA(VLOOKUP($BD230,Programma!$F$3:$J$1107,5,0),"")</f>
        <v/>
      </c>
      <c r="BI230" s="300" t="str">
        <f>_xlfn.IFNA(VLOOKUP($BD230,Programma!$F$3:$K$1107,6,0),"")</f>
        <v/>
      </c>
      <c r="BJ230" s="300" t="str">
        <f>_xlfn.IFNA(VLOOKUP($BD230,Programma!$F$3:$L$1107,7,0),"")</f>
        <v/>
      </c>
      <c r="BK230" s="300" t="str">
        <f>_xlfn.IFNA(VLOOKUP($BD230,Programma!$F$3:$M$1107,8,0),"")</f>
        <v/>
      </c>
      <c r="BL230" s="300" t="str">
        <f>_xlfn.IFNA(VLOOKUP($BD230,Programma!$F$3:$N$1107,9,0),"")</f>
        <v/>
      </c>
      <c r="BM230" s="300" t="str">
        <f>_xlfn.IFNA(VLOOKUP($BD230,Programma!$F$3:$O$1107,10,0),"")</f>
        <v/>
      </c>
      <c r="BN230" s="300" t="str">
        <f>_xlfn.IFNA(VLOOKUP($BD230,Programma!$F$3:$P$1107,11,0),"")</f>
        <v/>
      </c>
      <c r="BO230" s="300" t="str">
        <f>_xlfn.IFNA(VLOOKUP($BD230,Programma!$F$3:$Q$1107,12,0),"")</f>
        <v/>
      </c>
      <c r="BP230" s="300" t="str">
        <f>_xlfn.IFNA(VLOOKUP($BD230,Programma!$F$3:$R$1107,13,0),"")</f>
        <v/>
      </c>
      <c r="BQ230" s="300" t="str">
        <f>_xlfn.IFNA(VLOOKUP($BD230,Programma!$F$3:$S$1107,14,0),"")</f>
        <v/>
      </c>
      <c r="BR230" s="300" t="str">
        <f>_xlfn.IFNA(VLOOKUP($BD230,Programma!$F$3:$T$1107,15,0),"")</f>
        <v/>
      </c>
      <c r="BS230" s="300" t="str">
        <f>_xlfn.IFNA(VLOOKUP($BD230,Programma!$F$3:$U$1107,16,0),"")</f>
        <v/>
      </c>
      <c r="BT230" s="300" t="str">
        <f>_xlfn.IFNA(VLOOKUP($BD230,Programma!$F$3:$V$1107,17,0),"")</f>
        <v/>
      </c>
      <c r="BU230" s="300" t="str">
        <f>_xlfn.IFNA(VLOOKUP($BD230,Programma!$F$3:$W$1107,18,0),"")</f>
        <v/>
      </c>
      <c r="BV230" s="300" t="str">
        <f>_xlfn.IFNA(VLOOKUP($BD230,Programma!$F$3:$X$1107,19,0),"")</f>
        <v/>
      </c>
      <c r="BW230" s="300" t="str">
        <f>_xlfn.IFNA(VLOOKUP($BD230,Programma!$F$3:$Y$1107,20,0),"")</f>
        <v/>
      </c>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row>
    <row r="231" spans="1:220" ht="15" customHeight="1">
      <c r="A231" s="21">
        <v>4</v>
      </c>
      <c r="B231" s="157" t="str">
        <f>VLOOKUP(Ruimtestaat[[#This Row],[Code]],Locaties[[Code]:[Locatie]],2,FALSE)</f>
        <v>Sint-Maartenscollege</v>
      </c>
      <c r="C231" s="157" t="str">
        <f>VLOOKUP(Ruimtestaat[[#This Row],[Code]],Locaties[[#All],[Code]:[Adres]],4,FALSE)</f>
        <v xml:space="preserve">Aart v.d. Leeuwkade 14 </v>
      </c>
      <c r="D231" s="157" t="str">
        <f>VLOOKUP(Ruimtestaat[[#This Row],[Code]],Locaties[[#All],[Code]:[Postcode]],5,FALSE)</f>
        <v>2274 KX</v>
      </c>
      <c r="E231" s="157" t="str">
        <f>VLOOKUP(Ruimtestaat[[#This Row],[Code]],Locaties[#All],6,FALSE)</f>
        <v>Voorburg</v>
      </c>
      <c r="F231" s="62"/>
      <c r="G231" s="21" t="s">
        <v>1632</v>
      </c>
      <c r="H231" s="21">
        <v>54</v>
      </c>
      <c r="I231" s="62" t="s">
        <v>1889</v>
      </c>
      <c r="J231" s="21">
        <v>20</v>
      </c>
      <c r="K231" s="62" t="str">
        <f>VLOOKUP(Ruimtestaat[[#This Row],[Ruimte code]],Ruimtegroepen[[#All],[Code]:[Ruimte omschrijving]],2,FALSE)</f>
        <v>Niet in Onderhoud</v>
      </c>
      <c r="L231" s="33" t="s">
        <v>101</v>
      </c>
      <c r="M231" s="367" t="s">
        <v>2495</v>
      </c>
      <c r="N231" s="140">
        <v>15</v>
      </c>
      <c r="O231" s="140"/>
      <c r="P231" s="125">
        <f>VLOOKUP(Ruimtestaat[[#This Row],[Ruimte code]],Ruimtegroepen[],4,FALSE)</f>
        <v>0</v>
      </c>
      <c r="Q231" s="125" t="s">
        <v>2536</v>
      </c>
      <c r="R231" s="33"/>
      <c r="S231" s="33"/>
      <c r="T231" s="33">
        <f>IF(R231&gt;0,IF(RIGHT(Ruimtestaat[[#This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31" s="33">
        <f>IF(T231&gt;0,VLOOKUP($J231,Ruimtegroepen[],3,FALSE)*VLOOKUP($L231,Vloersoorten[],3,FALSE)*VLOOKUP($S231,Frequenties[],3,FALSE)*VLOOKUP($A231,Locaties[],3,FALSE),0)</f>
        <v>0</v>
      </c>
      <c r="V231" s="33">
        <f>Ruimtestaat[[#This Row],[Uitvoeringen werkdagen]]*Ruimtestaat[[#This Row],[Oppervlak (netto)]]</f>
        <v>0</v>
      </c>
      <c r="W231" s="154">
        <f>IF(U231&gt;0,Ruimtestaat[[#This Row],[Prest. (m2 /jaar) werkdagen]]/Ruimtestaat[[#This Row],[Norm (m2/uur) werkdagen]],0)</f>
        <v>0</v>
      </c>
      <c r="X231" s="155">
        <f>Ruimtestaat[[#This Row],[uren / jaar werkdagen]]*Tariefsopbouw!$E$35</f>
        <v>0</v>
      </c>
      <c r="Y231" s="33"/>
      <c r="Z231" s="33">
        <f>IF(Ruimtestaat[[#This Row],[Frequentie weekend]]&gt;0,VALUE(LEFT(Y231,1))*R231,0)</f>
        <v>0</v>
      </c>
      <c r="AA231" s="97">
        <f>IF($Z231&gt;0,VLOOKUP($J231,Ruimtegroepen[],3,FALSE)*VLOOKUP($L231,Vloersoorten[],3,FALSE)*VLOOKUP($Y231,Frequenties[],3,FALSE)*VLOOKUP(Ruimtestaat[[#This Row],[Code]],Locaties[],3,FALSE),0)</f>
        <v>0</v>
      </c>
      <c r="AB231" s="97">
        <f>Ruimtestaat[[#This Row],[Uitvoeringen weekend]]*Ruimtestaat[[#This Row],[Oppervlak (netto)]]</f>
        <v>0</v>
      </c>
      <c r="AC231" s="97">
        <f>IF(AA231&gt;0,Ruimtestaat[[#This Row],[Prest. (m2 /jaar) weekend]]/Ruimtestaat[[#This Row],[Norm (m2/uur) weekend]],0)</f>
        <v>0</v>
      </c>
      <c r="AD231" s="155">
        <f>Ruimtestaat[[#This Row],[uren / jaar weekend]]*Tariefsopbouw!$D$40</f>
        <v>0</v>
      </c>
      <c r="AE231" s="154">
        <f>Ruimtestaat[[#This Row],[Prest. (m2 /jaar) weekend]]+Ruimtestaat[[#This Row],[Prest. (m2 /jaar) werkdagen]]</f>
        <v>0</v>
      </c>
      <c r="AF231" s="154">
        <f>Ruimtestaat[[#This Row],[uren / jaar weekend]]+Ruimtestaat[[#This Row],[uren / jaar werkdagen]]</f>
        <v>0</v>
      </c>
      <c r="AG231" s="69">
        <f>Ruimtestaat[[#This Row],[kosten / jaar weekend]]+Ruimtestaat[[#This Row],[kosten / jaar werkdagen]]</f>
        <v>0</v>
      </c>
      <c r="AH231" s="69"/>
      <c r="AI231" s="256" t="str">
        <f>IF(Ruimtestaat[[#This Row],[Frequentie werkdagen]]="","",_xlfn.CONCAT(Ruimtestaat[[#This Row],[Ruimte code]],"-",Ruimtestaat[[#This Row],[Frequentie werkdagen]]," ",Ruimtestaat[[#This Row],[Vloer code]]))</f>
        <v/>
      </c>
      <c r="AJ231" s="300" t="str">
        <f>_xlfn.IFNA(VLOOKUP($AI231,Programma!$F$3:$G$1107,2,0),"")</f>
        <v/>
      </c>
      <c r="AK231" s="300" t="str">
        <f>_xlfn.IFNA(VLOOKUP($AI231,Programma!$F$3:$H$1107,3,0),"")</f>
        <v/>
      </c>
      <c r="AL231" s="300" t="str">
        <f>_xlfn.IFNA(VLOOKUP($AI231,Programma!$F$3:$I$1107,4,0),"")</f>
        <v/>
      </c>
      <c r="AM231" s="300" t="str">
        <f>_xlfn.IFNA(VLOOKUP($AI231,Programma!$F$3:$J$1107,5,0),"")</f>
        <v/>
      </c>
      <c r="AN231" s="300" t="str">
        <f>_xlfn.IFNA(VLOOKUP($AI231,Programma!$F$3:$K$1107,6,0),"")</f>
        <v/>
      </c>
      <c r="AO231" s="300" t="str">
        <f>_xlfn.IFNA(VLOOKUP($AI231,Programma!$F$3:$L$1107,7,0),"")</f>
        <v/>
      </c>
      <c r="AP231" s="300" t="str">
        <f>_xlfn.IFNA(VLOOKUP($AI231,Programma!$F$3:$M$1107,8,0),"")</f>
        <v/>
      </c>
      <c r="AQ231" s="300" t="str">
        <f>_xlfn.IFNA(VLOOKUP($AI231,Programma!$F$3:$N$1107,9,0),"")</f>
        <v/>
      </c>
      <c r="AR231" s="300" t="str">
        <f>_xlfn.IFNA(VLOOKUP($AI231,Programma!$F$3:$O$1107,10,0),"")</f>
        <v/>
      </c>
      <c r="AS231" s="300" t="str">
        <f>_xlfn.IFNA(VLOOKUP($AI231,Programma!$F$3:$P$1107,11,0),"")</f>
        <v/>
      </c>
      <c r="AT231" s="300" t="str">
        <f>_xlfn.IFNA(VLOOKUP($AI231,Programma!$F$3:$Q$1107,12,0),"")</f>
        <v/>
      </c>
      <c r="AU231" s="300" t="str">
        <f>_xlfn.IFNA(VLOOKUP($AI231,Programma!$F$3:$R$1107,13,0),"")</f>
        <v/>
      </c>
      <c r="AV231" s="300" t="str">
        <f>_xlfn.IFNA(VLOOKUP($AI231,Programma!$F$3:$S$1107,14,0),"")</f>
        <v/>
      </c>
      <c r="AW231" s="300" t="str">
        <f>_xlfn.IFNA(VLOOKUP($AI231,Programma!$F$3:$T$1107,15,0),"")</f>
        <v/>
      </c>
      <c r="AX231" s="300" t="str">
        <f>_xlfn.IFNA(VLOOKUP($AI231,Programma!$F$3:$U$1107,16,0),"")</f>
        <v/>
      </c>
      <c r="AY231" s="300" t="str">
        <f>_xlfn.IFNA(VLOOKUP($AI231,Programma!$F$3:$V$1107,17,0),"")</f>
        <v/>
      </c>
      <c r="AZ231" s="300" t="str">
        <f>_xlfn.IFNA(VLOOKUP($AI231,Programma!$F$3:$W$1107,18,0),"")</f>
        <v/>
      </c>
      <c r="BA231" s="300" t="str">
        <f>_xlfn.IFNA(VLOOKUP($AI231,Programma!$F$3:$X$1107,19,0),"")</f>
        <v/>
      </c>
      <c r="BB231" s="300" t="str">
        <f>_xlfn.IFNA(VLOOKUP($AI231,Programma!$F$3:$Y$1107,20,0),"")</f>
        <v/>
      </c>
      <c r="BC231" s="257"/>
      <c r="BD231" s="256" t="str">
        <f>IF(Ruimtestaat[[#This Row],[Frequentie weekend]]="","",_xlfn.CONCAT(Ruimtestaat[[#This Row],[Ruimte code]],"-",Ruimtestaat[[#This Row],[Frequentie weekend]]," ",Ruimtestaat[[#This Row],[Vloer code]]))</f>
        <v/>
      </c>
      <c r="BE231" s="300" t="str">
        <f>_xlfn.IFNA(VLOOKUP($BD231,Programma!$F$3:$G$1107,2,0),"")</f>
        <v/>
      </c>
      <c r="BF231" s="300" t="str">
        <f>_xlfn.IFNA(VLOOKUP($BD231,Programma!$F$3:$H$1107,3,0),"")</f>
        <v/>
      </c>
      <c r="BG231" s="300" t="str">
        <f>_xlfn.IFNA(VLOOKUP($BD231,Programma!$F$3:$I$1107,4,0),"")</f>
        <v/>
      </c>
      <c r="BH231" s="300" t="str">
        <f>_xlfn.IFNA(VLOOKUP($BD231,Programma!$F$3:$J$1107,5,0),"")</f>
        <v/>
      </c>
      <c r="BI231" s="300" t="str">
        <f>_xlfn.IFNA(VLOOKUP($BD231,Programma!$F$3:$K$1107,6,0),"")</f>
        <v/>
      </c>
      <c r="BJ231" s="300" t="str">
        <f>_xlfn.IFNA(VLOOKUP($BD231,Programma!$F$3:$L$1107,7,0),"")</f>
        <v/>
      </c>
      <c r="BK231" s="300" t="str">
        <f>_xlfn.IFNA(VLOOKUP($BD231,Programma!$F$3:$M$1107,8,0),"")</f>
        <v/>
      </c>
      <c r="BL231" s="300" t="str">
        <f>_xlfn.IFNA(VLOOKUP($BD231,Programma!$F$3:$N$1107,9,0),"")</f>
        <v/>
      </c>
      <c r="BM231" s="300" t="str">
        <f>_xlfn.IFNA(VLOOKUP($BD231,Programma!$F$3:$O$1107,10,0),"")</f>
        <v/>
      </c>
      <c r="BN231" s="300" t="str">
        <f>_xlfn.IFNA(VLOOKUP($BD231,Programma!$F$3:$P$1107,11,0),"")</f>
        <v/>
      </c>
      <c r="BO231" s="300" t="str">
        <f>_xlfn.IFNA(VLOOKUP($BD231,Programma!$F$3:$Q$1107,12,0),"")</f>
        <v/>
      </c>
      <c r="BP231" s="300" t="str">
        <f>_xlfn.IFNA(VLOOKUP($BD231,Programma!$F$3:$R$1107,13,0),"")</f>
        <v/>
      </c>
      <c r="BQ231" s="300" t="str">
        <f>_xlfn.IFNA(VLOOKUP($BD231,Programma!$F$3:$S$1107,14,0),"")</f>
        <v/>
      </c>
      <c r="BR231" s="300" t="str">
        <f>_xlfn.IFNA(VLOOKUP($BD231,Programma!$F$3:$T$1107,15,0),"")</f>
        <v/>
      </c>
      <c r="BS231" s="300" t="str">
        <f>_xlfn.IFNA(VLOOKUP($BD231,Programma!$F$3:$U$1107,16,0),"")</f>
        <v/>
      </c>
      <c r="BT231" s="300" t="str">
        <f>_xlfn.IFNA(VLOOKUP($BD231,Programma!$F$3:$V$1107,17,0),"")</f>
        <v/>
      </c>
      <c r="BU231" s="300" t="str">
        <f>_xlfn.IFNA(VLOOKUP($BD231,Programma!$F$3:$W$1107,18,0),"")</f>
        <v/>
      </c>
      <c r="BV231" s="300" t="str">
        <f>_xlfn.IFNA(VLOOKUP($BD231,Programma!$F$3:$X$1107,19,0),"")</f>
        <v/>
      </c>
      <c r="BW231" s="300" t="str">
        <f>_xlfn.IFNA(VLOOKUP($BD231,Programma!$F$3:$Y$1107,20,0),"")</f>
        <v/>
      </c>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row>
    <row r="232" spans="1:220" ht="15" customHeight="1">
      <c r="A232" s="21">
        <v>4</v>
      </c>
      <c r="B232" s="157" t="str">
        <f>VLOOKUP(Ruimtestaat[[#This Row],[Code]],Locaties[[Code]:[Locatie]],2,FALSE)</f>
        <v>Sint-Maartenscollege</v>
      </c>
      <c r="C232" s="157" t="str">
        <f>VLOOKUP(Ruimtestaat[[#This Row],[Code]],Locaties[[#All],[Code]:[Adres]],4,FALSE)</f>
        <v xml:space="preserve">Aart v.d. Leeuwkade 14 </v>
      </c>
      <c r="D232" s="157" t="str">
        <f>VLOOKUP(Ruimtestaat[[#This Row],[Code]],Locaties[[#All],[Code]:[Postcode]],5,FALSE)</f>
        <v>2274 KX</v>
      </c>
      <c r="E232" s="157" t="str">
        <f>VLOOKUP(Ruimtestaat[[#This Row],[Code]],Locaties[#All],6,FALSE)</f>
        <v>Voorburg</v>
      </c>
      <c r="F232" s="62"/>
      <c r="G232" s="21" t="s">
        <v>1632</v>
      </c>
      <c r="H232" s="21">
        <v>55</v>
      </c>
      <c r="I232" s="62" t="s">
        <v>1890</v>
      </c>
      <c r="J232" s="21">
        <v>20</v>
      </c>
      <c r="K232" s="62" t="str">
        <f>VLOOKUP(Ruimtestaat[[#This Row],[Ruimte code]],Ruimtegroepen[[#All],[Code]:[Ruimte omschrijving]],2,FALSE)</f>
        <v>Niet in Onderhoud</v>
      </c>
      <c r="L232" s="33" t="s">
        <v>102</v>
      </c>
      <c r="M232" s="367" t="s">
        <v>2502</v>
      </c>
      <c r="N232" s="140"/>
      <c r="O232" s="140">
        <v>42</v>
      </c>
      <c r="P232" s="125">
        <f>VLOOKUP(Ruimtestaat[[#This Row],[Ruimte code]],Ruimtegroepen[],4,FALSE)</f>
        <v>0</v>
      </c>
      <c r="R232" s="33"/>
      <c r="S232" s="33"/>
      <c r="T232" s="33">
        <f>IF(R232&gt;0,IF(RIGHT(Ruimtestaat[[#This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32" s="33">
        <f>IF(T232&gt;0,VLOOKUP($J232,Ruimtegroepen[],3,FALSE)*VLOOKUP($L232,Vloersoorten[],3,FALSE)*VLOOKUP($S232,Frequenties[],3,FALSE)*VLOOKUP($A232,Locaties[],3,FALSE),0)</f>
        <v>0</v>
      </c>
      <c r="V232" s="33">
        <f>Ruimtestaat[[#This Row],[Uitvoeringen werkdagen]]*Ruimtestaat[[#This Row],[Oppervlak (netto)]]</f>
        <v>0</v>
      </c>
      <c r="W232" s="154">
        <f>IF(U232&gt;0,Ruimtestaat[[#This Row],[Prest. (m2 /jaar) werkdagen]]/Ruimtestaat[[#This Row],[Norm (m2/uur) werkdagen]],0)</f>
        <v>0</v>
      </c>
      <c r="X232" s="155">
        <f>Ruimtestaat[[#This Row],[uren / jaar werkdagen]]*Tariefsopbouw!$E$35</f>
        <v>0</v>
      </c>
      <c r="Y232" s="33"/>
      <c r="Z232" s="33">
        <f>IF(Ruimtestaat[[#This Row],[Frequentie weekend]]&gt;0,VALUE(LEFT(Y232,1))*R232,0)</f>
        <v>0</v>
      </c>
      <c r="AA232" s="97">
        <f>IF($Z232&gt;0,VLOOKUP($J232,Ruimtegroepen[],3,FALSE)*VLOOKUP($L232,Vloersoorten[],3,FALSE)*VLOOKUP($Y232,Frequenties[],3,FALSE)*VLOOKUP(Ruimtestaat[[#This Row],[Code]],Locaties[],3,FALSE),0)</f>
        <v>0</v>
      </c>
      <c r="AB232" s="97">
        <f>Ruimtestaat[[#This Row],[Uitvoeringen weekend]]*Ruimtestaat[[#This Row],[Oppervlak (netto)]]</f>
        <v>0</v>
      </c>
      <c r="AC232" s="97">
        <f>IF(AA232&gt;0,Ruimtestaat[[#This Row],[Prest. (m2 /jaar) weekend]]/Ruimtestaat[[#This Row],[Norm (m2/uur) weekend]],0)</f>
        <v>0</v>
      </c>
      <c r="AD232" s="155">
        <f>Ruimtestaat[[#This Row],[uren / jaar weekend]]*Tariefsopbouw!$D$40</f>
        <v>0</v>
      </c>
      <c r="AE232" s="154">
        <f>Ruimtestaat[[#This Row],[Prest. (m2 /jaar) weekend]]+Ruimtestaat[[#This Row],[Prest. (m2 /jaar) werkdagen]]</f>
        <v>0</v>
      </c>
      <c r="AF232" s="154">
        <f>Ruimtestaat[[#This Row],[uren / jaar weekend]]+Ruimtestaat[[#This Row],[uren / jaar werkdagen]]</f>
        <v>0</v>
      </c>
      <c r="AG232" s="69">
        <f>Ruimtestaat[[#This Row],[kosten / jaar weekend]]+Ruimtestaat[[#This Row],[kosten / jaar werkdagen]]</f>
        <v>0</v>
      </c>
      <c r="AH232" s="69"/>
      <c r="AI232" s="256" t="str">
        <f>IF(Ruimtestaat[[#This Row],[Frequentie werkdagen]]="","",_xlfn.CONCAT(Ruimtestaat[[#This Row],[Ruimte code]],"-",Ruimtestaat[[#This Row],[Frequentie werkdagen]]," ",Ruimtestaat[[#This Row],[Vloer code]]))</f>
        <v/>
      </c>
      <c r="AJ232" s="300" t="str">
        <f>_xlfn.IFNA(VLOOKUP($AI232,Programma!$F$3:$G$1107,2,0),"")</f>
        <v/>
      </c>
      <c r="AK232" s="300" t="str">
        <f>_xlfn.IFNA(VLOOKUP($AI232,Programma!$F$3:$H$1107,3,0),"")</f>
        <v/>
      </c>
      <c r="AL232" s="300" t="str">
        <f>_xlfn.IFNA(VLOOKUP($AI232,Programma!$F$3:$I$1107,4,0),"")</f>
        <v/>
      </c>
      <c r="AM232" s="300" t="str">
        <f>_xlfn.IFNA(VLOOKUP($AI232,Programma!$F$3:$J$1107,5,0),"")</f>
        <v/>
      </c>
      <c r="AN232" s="300" t="str">
        <f>_xlfn.IFNA(VLOOKUP($AI232,Programma!$F$3:$K$1107,6,0),"")</f>
        <v/>
      </c>
      <c r="AO232" s="300" t="str">
        <f>_xlfn.IFNA(VLOOKUP($AI232,Programma!$F$3:$L$1107,7,0),"")</f>
        <v/>
      </c>
      <c r="AP232" s="300" t="str">
        <f>_xlfn.IFNA(VLOOKUP($AI232,Programma!$F$3:$M$1107,8,0),"")</f>
        <v/>
      </c>
      <c r="AQ232" s="300" t="str">
        <f>_xlfn.IFNA(VLOOKUP($AI232,Programma!$F$3:$N$1107,9,0),"")</f>
        <v/>
      </c>
      <c r="AR232" s="300" t="str">
        <f>_xlfn.IFNA(VLOOKUP($AI232,Programma!$F$3:$O$1107,10,0),"")</f>
        <v/>
      </c>
      <c r="AS232" s="300" t="str">
        <f>_xlfn.IFNA(VLOOKUP($AI232,Programma!$F$3:$P$1107,11,0),"")</f>
        <v/>
      </c>
      <c r="AT232" s="300" t="str">
        <f>_xlfn.IFNA(VLOOKUP($AI232,Programma!$F$3:$Q$1107,12,0),"")</f>
        <v/>
      </c>
      <c r="AU232" s="300" t="str">
        <f>_xlfn.IFNA(VLOOKUP($AI232,Programma!$F$3:$R$1107,13,0),"")</f>
        <v/>
      </c>
      <c r="AV232" s="300" t="str">
        <f>_xlfn.IFNA(VLOOKUP($AI232,Programma!$F$3:$S$1107,14,0),"")</f>
        <v/>
      </c>
      <c r="AW232" s="300" t="str">
        <f>_xlfn.IFNA(VLOOKUP($AI232,Programma!$F$3:$T$1107,15,0),"")</f>
        <v/>
      </c>
      <c r="AX232" s="300" t="str">
        <f>_xlfn.IFNA(VLOOKUP($AI232,Programma!$F$3:$U$1107,16,0),"")</f>
        <v/>
      </c>
      <c r="AY232" s="300" t="str">
        <f>_xlfn.IFNA(VLOOKUP($AI232,Programma!$F$3:$V$1107,17,0),"")</f>
        <v/>
      </c>
      <c r="AZ232" s="300" t="str">
        <f>_xlfn.IFNA(VLOOKUP($AI232,Programma!$F$3:$W$1107,18,0),"")</f>
        <v/>
      </c>
      <c r="BA232" s="300" t="str">
        <f>_xlfn.IFNA(VLOOKUP($AI232,Programma!$F$3:$X$1107,19,0),"")</f>
        <v/>
      </c>
      <c r="BB232" s="300" t="str">
        <f>_xlfn.IFNA(VLOOKUP($AI232,Programma!$F$3:$Y$1107,20,0),"")</f>
        <v/>
      </c>
      <c r="BC232" s="257"/>
      <c r="BD232" s="256" t="str">
        <f>IF(Ruimtestaat[[#This Row],[Frequentie weekend]]="","",_xlfn.CONCAT(Ruimtestaat[[#This Row],[Ruimte code]],"-",Ruimtestaat[[#This Row],[Frequentie weekend]]," ",Ruimtestaat[[#This Row],[Vloer code]]))</f>
        <v/>
      </c>
      <c r="BE232" s="300" t="str">
        <f>_xlfn.IFNA(VLOOKUP($BD232,Programma!$F$3:$G$1107,2,0),"")</f>
        <v/>
      </c>
      <c r="BF232" s="300" t="str">
        <f>_xlfn.IFNA(VLOOKUP($BD232,Programma!$F$3:$H$1107,3,0),"")</f>
        <v/>
      </c>
      <c r="BG232" s="300" t="str">
        <f>_xlfn.IFNA(VLOOKUP($BD232,Programma!$F$3:$I$1107,4,0),"")</f>
        <v/>
      </c>
      <c r="BH232" s="300" t="str">
        <f>_xlfn.IFNA(VLOOKUP($BD232,Programma!$F$3:$J$1107,5,0),"")</f>
        <v/>
      </c>
      <c r="BI232" s="300" t="str">
        <f>_xlfn.IFNA(VLOOKUP($BD232,Programma!$F$3:$K$1107,6,0),"")</f>
        <v/>
      </c>
      <c r="BJ232" s="300" t="str">
        <f>_xlfn.IFNA(VLOOKUP($BD232,Programma!$F$3:$L$1107,7,0),"")</f>
        <v/>
      </c>
      <c r="BK232" s="300" t="str">
        <f>_xlfn.IFNA(VLOOKUP($BD232,Programma!$F$3:$M$1107,8,0),"")</f>
        <v/>
      </c>
      <c r="BL232" s="300" t="str">
        <f>_xlfn.IFNA(VLOOKUP($BD232,Programma!$F$3:$N$1107,9,0),"")</f>
        <v/>
      </c>
      <c r="BM232" s="300" t="str">
        <f>_xlfn.IFNA(VLOOKUP($BD232,Programma!$F$3:$O$1107,10,0),"")</f>
        <v/>
      </c>
      <c r="BN232" s="300" t="str">
        <f>_xlfn.IFNA(VLOOKUP($BD232,Programma!$F$3:$P$1107,11,0),"")</f>
        <v/>
      </c>
      <c r="BO232" s="300" t="str">
        <f>_xlfn.IFNA(VLOOKUP($BD232,Programma!$F$3:$Q$1107,12,0),"")</f>
        <v/>
      </c>
      <c r="BP232" s="300" t="str">
        <f>_xlfn.IFNA(VLOOKUP($BD232,Programma!$F$3:$R$1107,13,0),"")</f>
        <v/>
      </c>
      <c r="BQ232" s="300" t="str">
        <f>_xlfn.IFNA(VLOOKUP($BD232,Programma!$F$3:$S$1107,14,0),"")</f>
        <v/>
      </c>
      <c r="BR232" s="300" t="str">
        <f>_xlfn.IFNA(VLOOKUP($BD232,Programma!$F$3:$T$1107,15,0),"")</f>
        <v/>
      </c>
      <c r="BS232" s="300" t="str">
        <f>_xlfn.IFNA(VLOOKUP($BD232,Programma!$F$3:$U$1107,16,0),"")</f>
        <v/>
      </c>
      <c r="BT232" s="300" t="str">
        <f>_xlfn.IFNA(VLOOKUP($BD232,Programma!$F$3:$V$1107,17,0),"")</f>
        <v/>
      </c>
      <c r="BU232" s="300" t="str">
        <f>_xlfn.IFNA(VLOOKUP($BD232,Programma!$F$3:$W$1107,18,0),"")</f>
        <v/>
      </c>
      <c r="BV232" s="300" t="str">
        <f>_xlfn.IFNA(VLOOKUP($BD232,Programma!$F$3:$X$1107,19,0),"")</f>
        <v/>
      </c>
      <c r="BW232" s="300" t="str">
        <f>_xlfn.IFNA(VLOOKUP($BD232,Programma!$F$3:$Y$1107,20,0),"")</f>
        <v/>
      </c>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row>
    <row r="233" spans="1:220" ht="15" customHeight="1">
      <c r="A233" s="21">
        <v>4</v>
      </c>
      <c r="B233" s="157" t="str">
        <f>VLOOKUP(Ruimtestaat[[#This Row],[Code]],Locaties[[Code]:[Locatie]],2,FALSE)</f>
        <v>Sint-Maartenscollege</v>
      </c>
      <c r="C233" s="157" t="str">
        <f>VLOOKUP(Ruimtestaat[[#This Row],[Code]],Locaties[[#All],[Code]:[Adres]],4,FALSE)</f>
        <v xml:space="preserve">Aart v.d. Leeuwkade 14 </v>
      </c>
      <c r="D233" s="157" t="str">
        <f>VLOOKUP(Ruimtestaat[[#This Row],[Code]],Locaties[[#All],[Code]:[Postcode]],5,FALSE)</f>
        <v>2274 KX</v>
      </c>
      <c r="E233" s="157" t="str">
        <f>VLOOKUP(Ruimtestaat[[#This Row],[Code]],Locaties[#All],6,FALSE)</f>
        <v>Voorburg</v>
      </c>
      <c r="F233" s="62"/>
      <c r="G233" s="21" t="s">
        <v>1632</v>
      </c>
      <c r="H233" s="21">
        <v>56</v>
      </c>
      <c r="I233" s="62" t="s">
        <v>1891</v>
      </c>
      <c r="J233" s="21">
        <v>16</v>
      </c>
      <c r="K233" s="62" t="str">
        <f>VLOOKUP(Ruimtestaat[[#This Row],[Ruimte code]],Ruimtegroepen[[#All],[Code]:[Ruimte omschrijving]],2,FALSE)</f>
        <v>Leslokalen theorie</v>
      </c>
      <c r="L233" s="33" t="s">
        <v>101</v>
      </c>
      <c r="M233" s="367" t="s">
        <v>2495</v>
      </c>
      <c r="N233" s="140">
        <v>153</v>
      </c>
      <c r="O233" s="140"/>
      <c r="P233" s="125" t="str">
        <f>VLOOKUP(Ruimtestaat[[#This Row],[Ruimte code]],Ruimtegroepen[],4,FALSE)</f>
        <v>Le</v>
      </c>
      <c r="R233" s="33">
        <v>40</v>
      </c>
      <c r="S233" s="33" t="s">
        <v>2</v>
      </c>
      <c r="T233" s="33">
        <f>IF(R233&gt;0,IF(RIGHT(Ruimtestaat[[#This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3" s="33">
        <f>IF(T233&gt;0,VLOOKUP($J233,Ruimtegroepen[],3,FALSE)*VLOOKUP($L233,Vloersoorten[],3,FALSE)*VLOOKUP($S233,Frequenties[],3,FALSE)*VLOOKUP($A233,Locaties[],3,FALSE),0)</f>
        <v>0</v>
      </c>
      <c r="V233" s="33">
        <f>Ruimtestaat[[#This Row],[Uitvoeringen werkdagen]]*Ruimtestaat[[#This Row],[Oppervlak (netto)]]</f>
        <v>30600</v>
      </c>
      <c r="W233" s="154">
        <f>IF(U233&gt;0,Ruimtestaat[[#This Row],[Prest. (m2 /jaar) werkdagen]]/Ruimtestaat[[#This Row],[Norm (m2/uur) werkdagen]],0)</f>
        <v>0</v>
      </c>
      <c r="X233" s="155">
        <f>Ruimtestaat[[#This Row],[uren / jaar werkdagen]]*Tariefsopbouw!$E$35</f>
        <v>0</v>
      </c>
      <c r="Y233" s="33"/>
      <c r="Z233" s="33">
        <f>IF(Ruimtestaat[[#This Row],[Frequentie weekend]]&gt;0,VALUE(LEFT(Y233,1))*R233,0)</f>
        <v>0</v>
      </c>
      <c r="AA233" s="97">
        <f>IF($Z233&gt;0,VLOOKUP($J233,Ruimtegroepen[],3,FALSE)*VLOOKUP($L233,Vloersoorten[],3,FALSE)*VLOOKUP($Y233,Frequenties[],3,FALSE)*VLOOKUP(Ruimtestaat[[#This Row],[Code]],Locaties[],3,FALSE),0)</f>
        <v>0</v>
      </c>
      <c r="AB233" s="97">
        <f>Ruimtestaat[[#This Row],[Uitvoeringen weekend]]*Ruimtestaat[[#This Row],[Oppervlak (netto)]]</f>
        <v>0</v>
      </c>
      <c r="AC233" s="97">
        <f>IF(AA233&gt;0,Ruimtestaat[[#This Row],[Prest. (m2 /jaar) weekend]]/Ruimtestaat[[#This Row],[Norm (m2/uur) weekend]],0)</f>
        <v>0</v>
      </c>
      <c r="AD233" s="155">
        <f>Ruimtestaat[[#This Row],[uren / jaar weekend]]*Tariefsopbouw!$D$40</f>
        <v>0</v>
      </c>
      <c r="AE233" s="154">
        <f>Ruimtestaat[[#This Row],[Prest. (m2 /jaar) weekend]]+Ruimtestaat[[#This Row],[Prest. (m2 /jaar) werkdagen]]</f>
        <v>30600</v>
      </c>
      <c r="AF233" s="154">
        <f>Ruimtestaat[[#This Row],[uren / jaar weekend]]+Ruimtestaat[[#This Row],[uren / jaar werkdagen]]</f>
        <v>0</v>
      </c>
      <c r="AG233" s="69">
        <f>Ruimtestaat[[#This Row],[kosten / jaar weekend]]+Ruimtestaat[[#This Row],[kosten / jaar werkdagen]]</f>
        <v>0</v>
      </c>
      <c r="AH233" s="69"/>
      <c r="AI233" s="256" t="str">
        <f>IF(Ruimtestaat[[#This Row],[Frequentie werkdagen]]="","",_xlfn.CONCAT(Ruimtestaat[[#This Row],[Ruimte code]],"-",Ruimtestaat[[#This Row],[Frequentie werkdagen]]," ",Ruimtestaat[[#This Row],[Vloer code]]))</f>
        <v>16-5w L</v>
      </c>
      <c r="AJ233" s="300" t="str">
        <f>_xlfn.IFNA(VLOOKUP($AI233,Programma!$F$3:$G$1107,2,0),"")</f>
        <v>_</v>
      </c>
      <c r="AK233" s="300" t="str">
        <f>_xlfn.IFNA(VLOOKUP($AI233,Programma!$F$3:$H$1107,3,0),"")</f>
        <v>_</v>
      </c>
      <c r="AL233" s="300" t="str">
        <f>_xlfn.IFNA(VLOOKUP($AI233,Programma!$F$3:$I$1107,4,0),"")</f>
        <v>4w</v>
      </c>
      <c r="AM233" s="300" t="str">
        <f>_xlfn.IFNA(VLOOKUP($AI233,Programma!$F$3:$J$1107,5,0),"")</f>
        <v>1w</v>
      </c>
      <c r="AN233" s="300" t="str">
        <f>_xlfn.IFNA(VLOOKUP($AI233,Programma!$F$3:$K$1107,6,0),"")</f>
        <v>_</v>
      </c>
      <c r="AO233" s="300" t="str">
        <f>_xlfn.IFNA(VLOOKUP($AI233,Programma!$F$3:$L$1107,7,0),"")</f>
        <v>_</v>
      </c>
      <c r="AP233" s="300" t="str">
        <f>_xlfn.IFNA(VLOOKUP($AI233,Programma!$F$3:$M$1107,8,0),"")</f>
        <v>_</v>
      </c>
      <c r="AQ233" s="300" t="str">
        <f>_xlfn.IFNA(VLOOKUP($AI233,Programma!$F$3:$N$1107,9,0),"")</f>
        <v>_</v>
      </c>
      <c r="AR233" s="300" t="str">
        <f>_xlfn.IFNA(VLOOKUP($AI233,Programma!$F$3:$O$1107,10,0),"")</f>
        <v>5w</v>
      </c>
      <c r="AS233" s="300" t="str">
        <f>_xlfn.IFNA(VLOOKUP($AI233,Programma!$F$3:$P$1107,11,0),"")</f>
        <v>5w</v>
      </c>
      <c r="AT233" s="300" t="str">
        <f>_xlfn.IFNA(VLOOKUP($AI233,Programma!$F$3:$Q$1107,12,0),"")</f>
        <v>1w</v>
      </c>
      <c r="AU233" s="300" t="str">
        <f>_xlfn.IFNA(VLOOKUP($AI233,Programma!$F$3:$R$1107,13,0),"")</f>
        <v>1w</v>
      </c>
      <c r="AV233" s="300" t="str">
        <f>_xlfn.IFNA(VLOOKUP($AI233,Programma!$F$3:$S$1107,14,0),"")</f>
        <v>1m</v>
      </c>
      <c r="AW233" s="300" t="str">
        <f>_xlfn.IFNA(VLOOKUP($AI233,Programma!$F$3:$T$1107,15,0),"")</f>
        <v>2j</v>
      </c>
      <c r="AX233" s="300" t="str">
        <f>_xlfn.IFNA(VLOOKUP($AI233,Programma!$F$3:$U$1107,16,0),"")</f>
        <v>1j</v>
      </c>
      <c r="AY233" s="300" t="str">
        <f>_xlfn.IFNA(VLOOKUP($AI233,Programma!$F$3:$V$1107,17,0),"")</f>
        <v>_</v>
      </c>
      <c r="AZ233" s="300" t="str">
        <f>_xlfn.IFNA(VLOOKUP($AI233,Programma!$F$3:$W$1107,18,0),"")</f>
        <v>_</v>
      </c>
      <c r="BA233" s="300" t="str">
        <f>_xlfn.IFNA(VLOOKUP($AI233,Programma!$F$3:$X$1107,19,0),"")</f>
        <v>_</v>
      </c>
      <c r="BB233" s="300" t="str">
        <f>_xlfn.IFNA(VLOOKUP($AI233,Programma!$F$3:$Y$1107,20,0),"")</f>
        <v>_</v>
      </c>
      <c r="BC233" s="257"/>
      <c r="BD233" s="256" t="str">
        <f>IF(Ruimtestaat[[#This Row],[Frequentie weekend]]="","",_xlfn.CONCAT(Ruimtestaat[[#This Row],[Ruimte code]],"-",Ruimtestaat[[#This Row],[Frequentie weekend]]," ",Ruimtestaat[[#This Row],[Vloer code]]))</f>
        <v/>
      </c>
      <c r="BE233" s="300" t="str">
        <f>_xlfn.IFNA(VLOOKUP($BD233,Programma!$F$3:$G$1107,2,0),"")</f>
        <v/>
      </c>
      <c r="BF233" s="300" t="str">
        <f>_xlfn.IFNA(VLOOKUP($BD233,Programma!$F$3:$H$1107,3,0),"")</f>
        <v/>
      </c>
      <c r="BG233" s="300" t="str">
        <f>_xlfn.IFNA(VLOOKUP($BD233,Programma!$F$3:$I$1107,4,0),"")</f>
        <v/>
      </c>
      <c r="BH233" s="300" t="str">
        <f>_xlfn.IFNA(VLOOKUP($BD233,Programma!$F$3:$J$1107,5,0),"")</f>
        <v/>
      </c>
      <c r="BI233" s="300" t="str">
        <f>_xlfn.IFNA(VLOOKUP($BD233,Programma!$F$3:$K$1107,6,0),"")</f>
        <v/>
      </c>
      <c r="BJ233" s="300" t="str">
        <f>_xlfn.IFNA(VLOOKUP($BD233,Programma!$F$3:$L$1107,7,0),"")</f>
        <v/>
      </c>
      <c r="BK233" s="300" t="str">
        <f>_xlfn.IFNA(VLOOKUP($BD233,Programma!$F$3:$M$1107,8,0),"")</f>
        <v/>
      </c>
      <c r="BL233" s="300" t="str">
        <f>_xlfn.IFNA(VLOOKUP($BD233,Programma!$F$3:$N$1107,9,0),"")</f>
        <v/>
      </c>
      <c r="BM233" s="300" t="str">
        <f>_xlfn.IFNA(VLOOKUP($BD233,Programma!$F$3:$O$1107,10,0),"")</f>
        <v/>
      </c>
      <c r="BN233" s="300" t="str">
        <f>_xlfn.IFNA(VLOOKUP($BD233,Programma!$F$3:$P$1107,11,0),"")</f>
        <v/>
      </c>
      <c r="BO233" s="300" t="str">
        <f>_xlfn.IFNA(VLOOKUP($BD233,Programma!$F$3:$Q$1107,12,0),"")</f>
        <v/>
      </c>
      <c r="BP233" s="300" t="str">
        <f>_xlfn.IFNA(VLOOKUP($BD233,Programma!$F$3:$R$1107,13,0),"")</f>
        <v/>
      </c>
      <c r="BQ233" s="300" t="str">
        <f>_xlfn.IFNA(VLOOKUP($BD233,Programma!$F$3:$S$1107,14,0),"")</f>
        <v/>
      </c>
      <c r="BR233" s="300" t="str">
        <f>_xlfn.IFNA(VLOOKUP($BD233,Programma!$F$3:$T$1107,15,0),"")</f>
        <v/>
      </c>
      <c r="BS233" s="300" t="str">
        <f>_xlfn.IFNA(VLOOKUP($BD233,Programma!$F$3:$U$1107,16,0),"")</f>
        <v/>
      </c>
      <c r="BT233" s="300" t="str">
        <f>_xlfn.IFNA(VLOOKUP($BD233,Programma!$F$3:$V$1107,17,0),"")</f>
        <v/>
      </c>
      <c r="BU233" s="300" t="str">
        <f>_xlfn.IFNA(VLOOKUP($BD233,Programma!$F$3:$W$1107,18,0),"")</f>
        <v/>
      </c>
      <c r="BV233" s="300" t="str">
        <f>_xlfn.IFNA(VLOOKUP($BD233,Programma!$F$3:$X$1107,19,0),"")</f>
        <v/>
      </c>
      <c r="BW233" s="300" t="str">
        <f>_xlfn.IFNA(VLOOKUP($BD233,Programma!$F$3:$Y$1107,20,0),"")</f>
        <v/>
      </c>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row>
    <row r="234" spans="1:220" ht="15" customHeight="1">
      <c r="A234" s="21">
        <v>4</v>
      </c>
      <c r="B234" s="157" t="str">
        <f>VLOOKUP(Ruimtestaat[[#This Row],[Code]],Locaties[[Code]:[Locatie]],2,FALSE)</f>
        <v>Sint-Maartenscollege</v>
      </c>
      <c r="C234" s="157" t="str">
        <f>VLOOKUP(Ruimtestaat[[#This Row],[Code]],Locaties[[#All],[Code]:[Adres]],4,FALSE)</f>
        <v xml:space="preserve">Aart v.d. Leeuwkade 14 </v>
      </c>
      <c r="D234" s="157" t="str">
        <f>VLOOKUP(Ruimtestaat[[#This Row],[Code]],Locaties[[#All],[Code]:[Postcode]],5,FALSE)</f>
        <v>2274 KX</v>
      </c>
      <c r="E234" s="157" t="str">
        <f>VLOOKUP(Ruimtestaat[[#This Row],[Code]],Locaties[#All],6,FALSE)</f>
        <v>Voorburg</v>
      </c>
      <c r="F234" s="62"/>
      <c r="G234" s="21" t="s">
        <v>1632</v>
      </c>
      <c r="I234" s="62" t="s">
        <v>1892</v>
      </c>
      <c r="J234" s="21">
        <v>4</v>
      </c>
      <c r="K234" s="62" t="str">
        <f>VLOOKUP(Ruimtestaat[[#This Row],[Ruimte code]],Ruimtegroepen[[#All],[Code]:[Ruimte omschrijving]],2,FALSE)</f>
        <v>Vergader/spreekkamers</v>
      </c>
      <c r="L234" s="33" t="s">
        <v>1325</v>
      </c>
      <c r="M234" s="367" t="s">
        <v>267</v>
      </c>
      <c r="N234" s="140">
        <v>35</v>
      </c>
      <c r="O234" s="140"/>
      <c r="P234" s="125" t="str">
        <f>VLOOKUP(Ruimtestaat[[#This Row],[Ruimte code]],Ruimtegroepen[],4,FALSE)</f>
        <v>Bu</v>
      </c>
      <c r="R234" s="33">
        <v>40</v>
      </c>
      <c r="S234" s="33" t="s">
        <v>2</v>
      </c>
      <c r="T234" s="33">
        <f>IF(R234&gt;0,IF(RIGHT(Ruimtestaat[[#This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4" s="33">
        <f>IF(T234&gt;0,VLOOKUP($J234,Ruimtegroepen[],3,FALSE)*VLOOKUP($L234,Vloersoorten[],3,FALSE)*VLOOKUP($S234,Frequenties[],3,FALSE)*VLOOKUP($A234,Locaties[],3,FALSE),0)</f>
        <v>0</v>
      </c>
      <c r="V234" s="33">
        <f>Ruimtestaat[[#This Row],[Uitvoeringen werkdagen]]*Ruimtestaat[[#This Row],[Oppervlak (netto)]]</f>
        <v>7000</v>
      </c>
      <c r="W234" s="154">
        <f>IF(U234&gt;0,Ruimtestaat[[#This Row],[Prest. (m2 /jaar) werkdagen]]/Ruimtestaat[[#This Row],[Norm (m2/uur) werkdagen]],0)</f>
        <v>0</v>
      </c>
      <c r="X234" s="155">
        <f>Ruimtestaat[[#This Row],[uren / jaar werkdagen]]*Tariefsopbouw!$E$35</f>
        <v>0</v>
      </c>
      <c r="Y234" s="33"/>
      <c r="Z234" s="33">
        <f>IF(Ruimtestaat[[#This Row],[Frequentie weekend]]&gt;0,VALUE(LEFT(Y234,1))*R234,0)</f>
        <v>0</v>
      </c>
      <c r="AA234" s="97">
        <f>IF($Z234&gt;0,VLOOKUP($J234,Ruimtegroepen[],3,FALSE)*VLOOKUP($L234,Vloersoorten[],3,FALSE)*VLOOKUP($Y234,Frequenties[],3,FALSE)*VLOOKUP(Ruimtestaat[[#This Row],[Code]],Locaties[],3,FALSE),0)</f>
        <v>0</v>
      </c>
      <c r="AB234" s="97">
        <f>Ruimtestaat[[#This Row],[Uitvoeringen weekend]]*Ruimtestaat[[#This Row],[Oppervlak (netto)]]</f>
        <v>0</v>
      </c>
      <c r="AC234" s="97">
        <f>IF(AA234&gt;0,Ruimtestaat[[#This Row],[Prest. (m2 /jaar) weekend]]/Ruimtestaat[[#This Row],[Norm (m2/uur) weekend]],0)</f>
        <v>0</v>
      </c>
      <c r="AD234" s="155">
        <f>Ruimtestaat[[#This Row],[uren / jaar weekend]]*Tariefsopbouw!$D$40</f>
        <v>0</v>
      </c>
      <c r="AE234" s="154">
        <f>Ruimtestaat[[#This Row],[Prest. (m2 /jaar) weekend]]+Ruimtestaat[[#This Row],[Prest. (m2 /jaar) werkdagen]]</f>
        <v>7000</v>
      </c>
      <c r="AF234" s="154">
        <f>Ruimtestaat[[#This Row],[uren / jaar weekend]]+Ruimtestaat[[#This Row],[uren / jaar werkdagen]]</f>
        <v>0</v>
      </c>
      <c r="AG234" s="69">
        <f>Ruimtestaat[[#This Row],[kosten / jaar weekend]]+Ruimtestaat[[#This Row],[kosten / jaar werkdagen]]</f>
        <v>0</v>
      </c>
      <c r="AH234" s="69"/>
      <c r="AI234" s="256" t="str">
        <f>IF(Ruimtestaat[[#This Row],[Frequentie werkdagen]]="","",_xlfn.CONCAT(Ruimtestaat[[#This Row],[Ruimte code]],"-",Ruimtestaat[[#This Row],[Frequentie werkdagen]]," ",Ruimtestaat[[#This Row],[Vloer code]]))</f>
        <v>4-5w H</v>
      </c>
      <c r="AJ234" s="300" t="str">
        <f>_xlfn.IFNA(VLOOKUP($AI234,Programma!$F$3:$G$1107,2,0),"")</f>
        <v>_</v>
      </c>
      <c r="AK234" s="300" t="str">
        <f>_xlfn.IFNA(VLOOKUP($AI234,Programma!$F$3:$H$1107,3,0),"")</f>
        <v>_</v>
      </c>
      <c r="AL234" s="300" t="str">
        <f>_xlfn.IFNA(VLOOKUP($AI234,Programma!$F$3:$I$1107,4,0),"")</f>
        <v>4w</v>
      </c>
      <c r="AM234" s="300" t="str">
        <f>_xlfn.IFNA(VLOOKUP($AI234,Programma!$F$3:$J$1107,5,0),"")</f>
        <v>1w</v>
      </c>
      <c r="AN234" s="300" t="str">
        <f>_xlfn.IFNA(VLOOKUP($AI234,Programma!$F$3:$K$1107,6,0),"")</f>
        <v>2j</v>
      </c>
      <c r="AO234" s="300" t="str">
        <f>_xlfn.IFNA(VLOOKUP($AI234,Programma!$F$3:$L$1107,7,0),"")</f>
        <v>_</v>
      </c>
      <c r="AP234" s="300" t="str">
        <f>_xlfn.IFNA(VLOOKUP($AI234,Programma!$F$3:$M$1107,8,0),"")</f>
        <v>_</v>
      </c>
      <c r="AQ234" s="300" t="str">
        <f>_xlfn.IFNA(VLOOKUP($AI234,Programma!$F$3:$N$1107,9,0),"")</f>
        <v>_</v>
      </c>
      <c r="AR234" s="300" t="str">
        <f>_xlfn.IFNA(VLOOKUP($AI234,Programma!$F$3:$O$1107,10,0),"")</f>
        <v>5w</v>
      </c>
      <c r="AS234" s="300" t="str">
        <f>_xlfn.IFNA(VLOOKUP($AI234,Programma!$F$3:$P$1107,11,0),"")</f>
        <v>5w</v>
      </c>
      <c r="AT234" s="300" t="str">
        <f>_xlfn.IFNA(VLOOKUP($AI234,Programma!$F$3:$Q$1107,12,0),"")</f>
        <v>1w</v>
      </c>
      <c r="AU234" s="300" t="str">
        <f>_xlfn.IFNA(VLOOKUP($AI234,Programma!$F$3:$R$1107,13,0),"")</f>
        <v>1w</v>
      </c>
      <c r="AV234" s="300" t="str">
        <f>_xlfn.IFNA(VLOOKUP($AI234,Programma!$F$3:$S$1107,14,0),"")</f>
        <v>1m</v>
      </c>
      <c r="AW234" s="300" t="str">
        <f>_xlfn.IFNA(VLOOKUP($AI234,Programma!$F$3:$T$1107,15,0),"")</f>
        <v>2j</v>
      </c>
      <c r="AX234" s="300" t="str">
        <f>_xlfn.IFNA(VLOOKUP($AI234,Programma!$F$3:$U$1107,16,0),"")</f>
        <v>1j</v>
      </c>
      <c r="AY234" s="300" t="str">
        <f>_xlfn.IFNA(VLOOKUP($AI234,Programma!$F$3:$V$1107,17,0),"")</f>
        <v>_</v>
      </c>
      <c r="AZ234" s="300" t="str">
        <f>_xlfn.IFNA(VLOOKUP($AI234,Programma!$F$3:$W$1107,18,0),"")</f>
        <v>_</v>
      </c>
      <c r="BA234" s="300" t="str">
        <f>_xlfn.IFNA(VLOOKUP($AI234,Programma!$F$3:$X$1107,19,0),"")</f>
        <v>_</v>
      </c>
      <c r="BB234" s="300" t="str">
        <f>_xlfn.IFNA(VLOOKUP($AI234,Programma!$F$3:$Y$1107,20,0),"")</f>
        <v>_</v>
      </c>
      <c r="BC234" s="257"/>
      <c r="BD234" s="256" t="str">
        <f>IF(Ruimtestaat[[#This Row],[Frequentie weekend]]="","",_xlfn.CONCAT(Ruimtestaat[[#This Row],[Ruimte code]],"-",Ruimtestaat[[#This Row],[Frequentie weekend]]," ",Ruimtestaat[[#This Row],[Vloer code]]))</f>
        <v/>
      </c>
      <c r="BE234" s="300" t="str">
        <f>_xlfn.IFNA(VLOOKUP($BD234,Programma!$F$3:$G$1107,2,0),"")</f>
        <v/>
      </c>
      <c r="BF234" s="300" t="str">
        <f>_xlfn.IFNA(VLOOKUP($BD234,Programma!$F$3:$H$1107,3,0),"")</f>
        <v/>
      </c>
      <c r="BG234" s="300" t="str">
        <f>_xlfn.IFNA(VLOOKUP($BD234,Programma!$F$3:$I$1107,4,0),"")</f>
        <v/>
      </c>
      <c r="BH234" s="300" t="str">
        <f>_xlfn.IFNA(VLOOKUP($BD234,Programma!$F$3:$J$1107,5,0),"")</f>
        <v/>
      </c>
      <c r="BI234" s="300" t="str">
        <f>_xlfn.IFNA(VLOOKUP($BD234,Programma!$F$3:$K$1107,6,0),"")</f>
        <v/>
      </c>
      <c r="BJ234" s="300" t="str">
        <f>_xlfn.IFNA(VLOOKUP($BD234,Programma!$F$3:$L$1107,7,0),"")</f>
        <v/>
      </c>
      <c r="BK234" s="300" t="str">
        <f>_xlfn.IFNA(VLOOKUP($BD234,Programma!$F$3:$M$1107,8,0),"")</f>
        <v/>
      </c>
      <c r="BL234" s="300" t="str">
        <f>_xlfn.IFNA(VLOOKUP($BD234,Programma!$F$3:$N$1107,9,0),"")</f>
        <v/>
      </c>
      <c r="BM234" s="300" t="str">
        <f>_xlfn.IFNA(VLOOKUP($BD234,Programma!$F$3:$O$1107,10,0),"")</f>
        <v/>
      </c>
      <c r="BN234" s="300" t="str">
        <f>_xlfn.IFNA(VLOOKUP($BD234,Programma!$F$3:$P$1107,11,0),"")</f>
        <v/>
      </c>
      <c r="BO234" s="300" t="str">
        <f>_xlfn.IFNA(VLOOKUP($BD234,Programma!$F$3:$Q$1107,12,0),"")</f>
        <v/>
      </c>
      <c r="BP234" s="300" t="str">
        <f>_xlfn.IFNA(VLOOKUP($BD234,Programma!$F$3:$R$1107,13,0),"")</f>
        <v/>
      </c>
      <c r="BQ234" s="300" t="str">
        <f>_xlfn.IFNA(VLOOKUP($BD234,Programma!$F$3:$S$1107,14,0),"")</f>
        <v/>
      </c>
      <c r="BR234" s="300" t="str">
        <f>_xlfn.IFNA(VLOOKUP($BD234,Programma!$F$3:$T$1107,15,0),"")</f>
        <v/>
      </c>
      <c r="BS234" s="300" t="str">
        <f>_xlfn.IFNA(VLOOKUP($BD234,Programma!$F$3:$U$1107,16,0),"")</f>
        <v/>
      </c>
      <c r="BT234" s="300" t="str">
        <f>_xlfn.IFNA(VLOOKUP($BD234,Programma!$F$3:$V$1107,17,0),"")</f>
        <v/>
      </c>
      <c r="BU234" s="300" t="str">
        <f>_xlfn.IFNA(VLOOKUP($BD234,Programma!$F$3:$W$1107,18,0),"")</f>
        <v/>
      </c>
      <c r="BV234" s="300" t="str">
        <f>_xlfn.IFNA(VLOOKUP($BD234,Programma!$F$3:$X$1107,19,0),"")</f>
        <v/>
      </c>
      <c r="BW234" s="300" t="str">
        <f>_xlfn.IFNA(VLOOKUP($BD234,Programma!$F$3:$Y$1107,20,0),"")</f>
        <v/>
      </c>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row>
    <row r="235" spans="1:220" ht="15" customHeight="1">
      <c r="A235" s="21">
        <v>4</v>
      </c>
      <c r="B235" s="157" t="str">
        <f>VLOOKUP(Ruimtestaat[[#This Row],[Code]],Locaties[[Code]:[Locatie]],2,FALSE)</f>
        <v>Sint-Maartenscollege</v>
      </c>
      <c r="C235" s="157" t="str">
        <f>VLOOKUP(Ruimtestaat[[#This Row],[Code]],Locaties[[#All],[Code]:[Adres]],4,FALSE)</f>
        <v xml:space="preserve">Aart v.d. Leeuwkade 14 </v>
      </c>
      <c r="D235" s="157" t="str">
        <f>VLOOKUP(Ruimtestaat[[#This Row],[Code]],Locaties[[#All],[Code]:[Postcode]],5,FALSE)</f>
        <v>2274 KX</v>
      </c>
      <c r="E235" s="157" t="str">
        <f>VLOOKUP(Ruimtestaat[[#This Row],[Code]],Locaties[#All],6,FALSE)</f>
        <v>Voorburg</v>
      </c>
      <c r="F235" s="62"/>
      <c r="G235" s="21" t="s">
        <v>1624</v>
      </c>
      <c r="H235" s="21" t="s">
        <v>1654</v>
      </c>
      <c r="I235" s="62" t="s">
        <v>1893</v>
      </c>
      <c r="J235" s="21">
        <v>20</v>
      </c>
      <c r="K235" s="62" t="str">
        <f>VLOOKUP(Ruimtestaat[[#This Row],[Ruimte code]],Ruimtegroepen[[#All],[Code]:[Ruimte omschrijving]],2,FALSE)</f>
        <v>Niet in Onderhoud</v>
      </c>
      <c r="L235" s="33" t="s">
        <v>100</v>
      </c>
      <c r="M235" s="367" t="s">
        <v>2493</v>
      </c>
      <c r="N235" s="140"/>
      <c r="O235" s="140">
        <v>46</v>
      </c>
      <c r="P235" s="125">
        <f>VLOOKUP(Ruimtestaat[[#This Row],[Ruimte code]],Ruimtegroepen[],4,FALSE)</f>
        <v>0</v>
      </c>
      <c r="R235" s="33"/>
      <c r="S235" s="33"/>
      <c r="T235" s="33">
        <f>IF(R235&gt;0,IF(RIGHT(Ruimtestaat[[#This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35" s="33">
        <f>IF(T235&gt;0,VLOOKUP($J235,Ruimtegroepen[],3,FALSE)*VLOOKUP($L235,Vloersoorten[],3,FALSE)*VLOOKUP($S235,Frequenties[],3,FALSE)*VLOOKUP($A235,Locaties[],3,FALSE),0)</f>
        <v>0</v>
      </c>
      <c r="V235" s="33">
        <f>Ruimtestaat[[#This Row],[Uitvoeringen werkdagen]]*Ruimtestaat[[#This Row],[Oppervlak (netto)]]</f>
        <v>0</v>
      </c>
      <c r="W235" s="154">
        <f>IF(U235&gt;0,Ruimtestaat[[#This Row],[Prest. (m2 /jaar) werkdagen]]/Ruimtestaat[[#This Row],[Norm (m2/uur) werkdagen]],0)</f>
        <v>0</v>
      </c>
      <c r="X235" s="155">
        <f>Ruimtestaat[[#This Row],[uren / jaar werkdagen]]*Tariefsopbouw!$E$35</f>
        <v>0</v>
      </c>
      <c r="Y235" s="33"/>
      <c r="Z235" s="33">
        <f>IF(Ruimtestaat[[#This Row],[Frequentie weekend]]&gt;0,VALUE(LEFT(Y235,1))*R235,0)</f>
        <v>0</v>
      </c>
      <c r="AA235" s="97">
        <f>IF($Z235&gt;0,VLOOKUP($J235,Ruimtegroepen[],3,FALSE)*VLOOKUP($L235,Vloersoorten[],3,FALSE)*VLOOKUP($Y235,Frequenties[],3,FALSE)*VLOOKUP(Ruimtestaat[[#This Row],[Code]],Locaties[],3,FALSE),0)</f>
        <v>0</v>
      </c>
      <c r="AB235" s="97">
        <f>Ruimtestaat[[#This Row],[Uitvoeringen weekend]]*Ruimtestaat[[#This Row],[Oppervlak (netto)]]</f>
        <v>0</v>
      </c>
      <c r="AC235" s="97">
        <f>IF(AA235&gt;0,Ruimtestaat[[#This Row],[Prest. (m2 /jaar) weekend]]/Ruimtestaat[[#This Row],[Norm (m2/uur) weekend]],0)</f>
        <v>0</v>
      </c>
      <c r="AD235" s="155">
        <f>Ruimtestaat[[#This Row],[uren / jaar weekend]]*Tariefsopbouw!$D$40</f>
        <v>0</v>
      </c>
      <c r="AE235" s="154">
        <f>Ruimtestaat[[#This Row],[Prest. (m2 /jaar) weekend]]+Ruimtestaat[[#This Row],[Prest. (m2 /jaar) werkdagen]]</f>
        <v>0</v>
      </c>
      <c r="AF235" s="154">
        <f>Ruimtestaat[[#This Row],[uren / jaar weekend]]+Ruimtestaat[[#This Row],[uren / jaar werkdagen]]</f>
        <v>0</v>
      </c>
      <c r="AG235" s="69">
        <f>Ruimtestaat[[#This Row],[kosten / jaar weekend]]+Ruimtestaat[[#This Row],[kosten / jaar werkdagen]]</f>
        <v>0</v>
      </c>
      <c r="AH235" s="69"/>
      <c r="AI235" s="256" t="str">
        <f>IF(Ruimtestaat[[#This Row],[Frequentie werkdagen]]="","",_xlfn.CONCAT(Ruimtestaat[[#This Row],[Ruimte code]],"-",Ruimtestaat[[#This Row],[Frequentie werkdagen]]," ",Ruimtestaat[[#This Row],[Vloer code]]))</f>
        <v/>
      </c>
      <c r="AJ235" s="300" t="str">
        <f>_xlfn.IFNA(VLOOKUP($AI235,Programma!$F$3:$G$1107,2,0),"")</f>
        <v/>
      </c>
      <c r="AK235" s="300" t="str">
        <f>_xlfn.IFNA(VLOOKUP($AI235,Programma!$F$3:$H$1107,3,0),"")</f>
        <v/>
      </c>
      <c r="AL235" s="300" t="str">
        <f>_xlfn.IFNA(VLOOKUP($AI235,Programma!$F$3:$I$1107,4,0),"")</f>
        <v/>
      </c>
      <c r="AM235" s="300" t="str">
        <f>_xlfn.IFNA(VLOOKUP($AI235,Programma!$F$3:$J$1107,5,0),"")</f>
        <v/>
      </c>
      <c r="AN235" s="300" t="str">
        <f>_xlfn.IFNA(VLOOKUP($AI235,Programma!$F$3:$K$1107,6,0),"")</f>
        <v/>
      </c>
      <c r="AO235" s="300" t="str">
        <f>_xlfn.IFNA(VLOOKUP($AI235,Programma!$F$3:$L$1107,7,0),"")</f>
        <v/>
      </c>
      <c r="AP235" s="300" t="str">
        <f>_xlfn.IFNA(VLOOKUP($AI235,Programma!$F$3:$M$1107,8,0),"")</f>
        <v/>
      </c>
      <c r="AQ235" s="300" t="str">
        <f>_xlfn.IFNA(VLOOKUP($AI235,Programma!$F$3:$N$1107,9,0),"")</f>
        <v/>
      </c>
      <c r="AR235" s="300" t="str">
        <f>_xlfn.IFNA(VLOOKUP($AI235,Programma!$F$3:$O$1107,10,0),"")</f>
        <v/>
      </c>
      <c r="AS235" s="300" t="str">
        <f>_xlfn.IFNA(VLOOKUP($AI235,Programma!$F$3:$P$1107,11,0),"")</f>
        <v/>
      </c>
      <c r="AT235" s="300" t="str">
        <f>_xlfn.IFNA(VLOOKUP($AI235,Programma!$F$3:$Q$1107,12,0),"")</f>
        <v/>
      </c>
      <c r="AU235" s="300" t="str">
        <f>_xlfn.IFNA(VLOOKUP($AI235,Programma!$F$3:$R$1107,13,0),"")</f>
        <v/>
      </c>
      <c r="AV235" s="300" t="str">
        <f>_xlfn.IFNA(VLOOKUP($AI235,Programma!$F$3:$S$1107,14,0),"")</f>
        <v/>
      </c>
      <c r="AW235" s="300" t="str">
        <f>_xlfn.IFNA(VLOOKUP($AI235,Programma!$F$3:$T$1107,15,0),"")</f>
        <v/>
      </c>
      <c r="AX235" s="300" t="str">
        <f>_xlfn.IFNA(VLOOKUP($AI235,Programma!$F$3:$U$1107,16,0),"")</f>
        <v/>
      </c>
      <c r="AY235" s="300" t="str">
        <f>_xlfn.IFNA(VLOOKUP($AI235,Programma!$F$3:$V$1107,17,0),"")</f>
        <v/>
      </c>
      <c r="AZ235" s="300" t="str">
        <f>_xlfn.IFNA(VLOOKUP($AI235,Programma!$F$3:$W$1107,18,0),"")</f>
        <v/>
      </c>
      <c r="BA235" s="300" t="str">
        <f>_xlfn.IFNA(VLOOKUP($AI235,Programma!$F$3:$X$1107,19,0),"")</f>
        <v/>
      </c>
      <c r="BB235" s="300" t="str">
        <f>_xlfn.IFNA(VLOOKUP($AI235,Programma!$F$3:$Y$1107,20,0),"")</f>
        <v/>
      </c>
      <c r="BC235" s="257"/>
      <c r="BD235" s="256" t="str">
        <f>IF(Ruimtestaat[[#This Row],[Frequentie weekend]]="","",_xlfn.CONCAT(Ruimtestaat[[#This Row],[Ruimte code]],"-",Ruimtestaat[[#This Row],[Frequentie weekend]]," ",Ruimtestaat[[#This Row],[Vloer code]]))</f>
        <v/>
      </c>
      <c r="BE235" s="300" t="str">
        <f>_xlfn.IFNA(VLOOKUP($BD235,Programma!$F$3:$G$1107,2,0),"")</f>
        <v/>
      </c>
      <c r="BF235" s="300" t="str">
        <f>_xlfn.IFNA(VLOOKUP($BD235,Programma!$F$3:$H$1107,3,0),"")</f>
        <v/>
      </c>
      <c r="BG235" s="300" t="str">
        <f>_xlfn.IFNA(VLOOKUP($BD235,Programma!$F$3:$I$1107,4,0),"")</f>
        <v/>
      </c>
      <c r="BH235" s="300" t="str">
        <f>_xlfn.IFNA(VLOOKUP($BD235,Programma!$F$3:$J$1107,5,0),"")</f>
        <v/>
      </c>
      <c r="BI235" s="300" t="str">
        <f>_xlfn.IFNA(VLOOKUP($BD235,Programma!$F$3:$K$1107,6,0),"")</f>
        <v/>
      </c>
      <c r="BJ235" s="300" t="str">
        <f>_xlfn.IFNA(VLOOKUP($BD235,Programma!$F$3:$L$1107,7,0),"")</f>
        <v/>
      </c>
      <c r="BK235" s="300" t="str">
        <f>_xlfn.IFNA(VLOOKUP($BD235,Programma!$F$3:$M$1107,8,0),"")</f>
        <v/>
      </c>
      <c r="BL235" s="300" t="str">
        <f>_xlfn.IFNA(VLOOKUP($BD235,Programma!$F$3:$N$1107,9,0),"")</f>
        <v/>
      </c>
      <c r="BM235" s="300" t="str">
        <f>_xlfn.IFNA(VLOOKUP($BD235,Programma!$F$3:$O$1107,10,0),"")</f>
        <v/>
      </c>
      <c r="BN235" s="300" t="str">
        <f>_xlfn.IFNA(VLOOKUP($BD235,Programma!$F$3:$P$1107,11,0),"")</f>
        <v/>
      </c>
      <c r="BO235" s="300" t="str">
        <f>_xlfn.IFNA(VLOOKUP($BD235,Programma!$F$3:$Q$1107,12,0),"")</f>
        <v/>
      </c>
      <c r="BP235" s="300" t="str">
        <f>_xlfn.IFNA(VLOOKUP($BD235,Programma!$F$3:$R$1107,13,0),"")</f>
        <v/>
      </c>
      <c r="BQ235" s="300" t="str">
        <f>_xlfn.IFNA(VLOOKUP($BD235,Programma!$F$3:$S$1107,14,0),"")</f>
        <v/>
      </c>
      <c r="BR235" s="300" t="str">
        <f>_xlfn.IFNA(VLOOKUP($BD235,Programma!$F$3:$T$1107,15,0),"")</f>
        <v/>
      </c>
      <c r="BS235" s="300" t="str">
        <f>_xlfn.IFNA(VLOOKUP($BD235,Programma!$F$3:$U$1107,16,0),"")</f>
        <v/>
      </c>
      <c r="BT235" s="300" t="str">
        <f>_xlfn.IFNA(VLOOKUP($BD235,Programma!$F$3:$V$1107,17,0),"")</f>
        <v/>
      </c>
      <c r="BU235" s="300" t="str">
        <f>_xlfn.IFNA(VLOOKUP($BD235,Programma!$F$3:$W$1107,18,0),"")</f>
        <v/>
      </c>
      <c r="BV235" s="300" t="str">
        <f>_xlfn.IFNA(VLOOKUP($BD235,Programma!$F$3:$X$1107,19,0),"")</f>
        <v/>
      </c>
      <c r="BW235" s="300" t="str">
        <f>_xlfn.IFNA(VLOOKUP($BD235,Programma!$F$3:$Y$1107,20,0),"")</f>
        <v/>
      </c>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row>
    <row r="236" spans="1:220" ht="15" customHeight="1">
      <c r="A236" s="21">
        <v>4</v>
      </c>
      <c r="B236" s="157" t="str">
        <f>VLOOKUP(Ruimtestaat[[#This Row],[Code]],Locaties[[Code]:[Locatie]],2,FALSE)</f>
        <v>Sint-Maartenscollege</v>
      </c>
      <c r="C236" s="157" t="str">
        <f>VLOOKUP(Ruimtestaat[[#This Row],[Code]],Locaties[[#All],[Code]:[Adres]],4,FALSE)</f>
        <v xml:space="preserve">Aart v.d. Leeuwkade 14 </v>
      </c>
      <c r="D236" s="157" t="str">
        <f>VLOOKUP(Ruimtestaat[[#This Row],[Code]],Locaties[[#All],[Code]:[Postcode]],5,FALSE)</f>
        <v>2274 KX</v>
      </c>
      <c r="E236" s="157" t="str">
        <f>VLOOKUP(Ruimtestaat[[#This Row],[Code]],Locaties[#All],6,FALSE)</f>
        <v>Voorburg</v>
      </c>
      <c r="F236" s="62"/>
      <c r="G236" s="21" t="s">
        <v>1624</v>
      </c>
      <c r="H236" s="21" t="s">
        <v>1656</v>
      </c>
      <c r="I236" s="62" t="s">
        <v>1894</v>
      </c>
      <c r="J236" s="21">
        <v>16</v>
      </c>
      <c r="K236" s="62" t="str">
        <f>VLOOKUP(Ruimtestaat[[#This Row],[Ruimte code]],Ruimtegroepen[[#All],[Code]:[Ruimte omschrijving]],2,FALSE)</f>
        <v>Leslokalen theorie</v>
      </c>
      <c r="L236" s="33" t="s">
        <v>101</v>
      </c>
      <c r="M236" s="367" t="s">
        <v>2495</v>
      </c>
      <c r="N236" s="140">
        <v>50</v>
      </c>
      <c r="O236" s="140"/>
      <c r="P236" s="125" t="str">
        <f>VLOOKUP(Ruimtestaat[[#This Row],[Ruimte code]],Ruimtegroepen[],4,FALSE)</f>
        <v>Le</v>
      </c>
      <c r="R236" s="33">
        <v>40</v>
      </c>
      <c r="S236" s="33" t="s">
        <v>2</v>
      </c>
      <c r="T236" s="33">
        <f>IF(R236&gt;0,IF(RIGHT(Ruimtestaat[[#This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6" s="33">
        <f>IF(T236&gt;0,VLOOKUP($J236,Ruimtegroepen[],3,FALSE)*VLOOKUP($L236,Vloersoorten[],3,FALSE)*VLOOKUP($S236,Frequenties[],3,FALSE)*VLOOKUP($A236,Locaties[],3,FALSE),0)</f>
        <v>0</v>
      </c>
      <c r="V236" s="33">
        <f>Ruimtestaat[[#This Row],[Uitvoeringen werkdagen]]*Ruimtestaat[[#This Row],[Oppervlak (netto)]]</f>
        <v>10000</v>
      </c>
      <c r="W236" s="154">
        <f>IF(U236&gt;0,Ruimtestaat[[#This Row],[Prest. (m2 /jaar) werkdagen]]/Ruimtestaat[[#This Row],[Norm (m2/uur) werkdagen]],0)</f>
        <v>0</v>
      </c>
      <c r="X236" s="155">
        <f>Ruimtestaat[[#This Row],[uren / jaar werkdagen]]*Tariefsopbouw!$E$35</f>
        <v>0</v>
      </c>
      <c r="Y236" s="33"/>
      <c r="Z236" s="33">
        <f>IF(Ruimtestaat[[#This Row],[Frequentie weekend]]&gt;0,VALUE(LEFT(Y236,1))*R236,0)</f>
        <v>0</v>
      </c>
      <c r="AA236" s="97">
        <f>IF($Z236&gt;0,VLOOKUP($J236,Ruimtegroepen[],3,FALSE)*VLOOKUP($L236,Vloersoorten[],3,FALSE)*VLOOKUP($Y236,Frequenties[],3,FALSE)*VLOOKUP(Ruimtestaat[[#This Row],[Code]],Locaties[],3,FALSE),0)</f>
        <v>0</v>
      </c>
      <c r="AB236" s="97">
        <f>Ruimtestaat[[#This Row],[Uitvoeringen weekend]]*Ruimtestaat[[#This Row],[Oppervlak (netto)]]</f>
        <v>0</v>
      </c>
      <c r="AC236" s="97">
        <f>IF(AA236&gt;0,Ruimtestaat[[#This Row],[Prest. (m2 /jaar) weekend]]/Ruimtestaat[[#This Row],[Norm (m2/uur) weekend]],0)</f>
        <v>0</v>
      </c>
      <c r="AD236" s="155">
        <f>Ruimtestaat[[#This Row],[uren / jaar weekend]]*Tariefsopbouw!$D$40</f>
        <v>0</v>
      </c>
      <c r="AE236" s="154">
        <f>Ruimtestaat[[#This Row],[Prest. (m2 /jaar) weekend]]+Ruimtestaat[[#This Row],[Prest. (m2 /jaar) werkdagen]]</f>
        <v>10000</v>
      </c>
      <c r="AF236" s="154">
        <f>Ruimtestaat[[#This Row],[uren / jaar weekend]]+Ruimtestaat[[#This Row],[uren / jaar werkdagen]]</f>
        <v>0</v>
      </c>
      <c r="AG236" s="69">
        <f>Ruimtestaat[[#This Row],[kosten / jaar weekend]]+Ruimtestaat[[#This Row],[kosten / jaar werkdagen]]</f>
        <v>0</v>
      </c>
      <c r="AH236" s="69"/>
      <c r="AI236" s="256" t="str">
        <f>IF(Ruimtestaat[[#This Row],[Frequentie werkdagen]]="","",_xlfn.CONCAT(Ruimtestaat[[#This Row],[Ruimte code]],"-",Ruimtestaat[[#This Row],[Frequentie werkdagen]]," ",Ruimtestaat[[#This Row],[Vloer code]]))</f>
        <v>16-5w L</v>
      </c>
      <c r="AJ236" s="300" t="str">
        <f>_xlfn.IFNA(VLOOKUP($AI236,Programma!$F$3:$G$1107,2,0),"")</f>
        <v>_</v>
      </c>
      <c r="AK236" s="300" t="str">
        <f>_xlfn.IFNA(VLOOKUP($AI236,Programma!$F$3:$H$1107,3,0),"")</f>
        <v>_</v>
      </c>
      <c r="AL236" s="300" t="str">
        <f>_xlfn.IFNA(VLOOKUP($AI236,Programma!$F$3:$I$1107,4,0),"")</f>
        <v>4w</v>
      </c>
      <c r="AM236" s="300" t="str">
        <f>_xlfn.IFNA(VLOOKUP($AI236,Programma!$F$3:$J$1107,5,0),"")</f>
        <v>1w</v>
      </c>
      <c r="AN236" s="300" t="str">
        <f>_xlfn.IFNA(VLOOKUP($AI236,Programma!$F$3:$K$1107,6,0),"")</f>
        <v>_</v>
      </c>
      <c r="AO236" s="300" t="str">
        <f>_xlfn.IFNA(VLOOKUP($AI236,Programma!$F$3:$L$1107,7,0),"")</f>
        <v>_</v>
      </c>
      <c r="AP236" s="300" t="str">
        <f>_xlfn.IFNA(VLOOKUP($AI236,Programma!$F$3:$M$1107,8,0),"")</f>
        <v>_</v>
      </c>
      <c r="AQ236" s="300" t="str">
        <f>_xlfn.IFNA(VLOOKUP($AI236,Programma!$F$3:$N$1107,9,0),"")</f>
        <v>_</v>
      </c>
      <c r="AR236" s="300" t="str">
        <f>_xlfn.IFNA(VLOOKUP($AI236,Programma!$F$3:$O$1107,10,0),"")</f>
        <v>5w</v>
      </c>
      <c r="AS236" s="300" t="str">
        <f>_xlfn.IFNA(VLOOKUP($AI236,Programma!$F$3:$P$1107,11,0),"")</f>
        <v>5w</v>
      </c>
      <c r="AT236" s="300" t="str">
        <f>_xlfn.IFNA(VLOOKUP($AI236,Programma!$F$3:$Q$1107,12,0),"")</f>
        <v>1w</v>
      </c>
      <c r="AU236" s="300" t="str">
        <f>_xlfn.IFNA(VLOOKUP($AI236,Programma!$F$3:$R$1107,13,0),"")</f>
        <v>1w</v>
      </c>
      <c r="AV236" s="300" t="str">
        <f>_xlfn.IFNA(VLOOKUP($AI236,Programma!$F$3:$S$1107,14,0),"")</f>
        <v>1m</v>
      </c>
      <c r="AW236" s="300" t="str">
        <f>_xlfn.IFNA(VLOOKUP($AI236,Programma!$F$3:$T$1107,15,0),"")</f>
        <v>2j</v>
      </c>
      <c r="AX236" s="300" t="str">
        <f>_xlfn.IFNA(VLOOKUP($AI236,Programma!$F$3:$U$1107,16,0),"")</f>
        <v>1j</v>
      </c>
      <c r="AY236" s="300" t="str">
        <f>_xlfn.IFNA(VLOOKUP($AI236,Programma!$F$3:$V$1107,17,0),"")</f>
        <v>_</v>
      </c>
      <c r="AZ236" s="300" t="str">
        <f>_xlfn.IFNA(VLOOKUP($AI236,Programma!$F$3:$W$1107,18,0),"")</f>
        <v>_</v>
      </c>
      <c r="BA236" s="300" t="str">
        <f>_xlfn.IFNA(VLOOKUP($AI236,Programma!$F$3:$X$1107,19,0),"")</f>
        <v>_</v>
      </c>
      <c r="BB236" s="300" t="str">
        <f>_xlfn.IFNA(VLOOKUP($AI236,Programma!$F$3:$Y$1107,20,0),"")</f>
        <v>_</v>
      </c>
      <c r="BC236" s="257"/>
      <c r="BD236" s="256" t="str">
        <f>IF(Ruimtestaat[[#This Row],[Frequentie weekend]]="","",_xlfn.CONCAT(Ruimtestaat[[#This Row],[Ruimte code]],"-",Ruimtestaat[[#This Row],[Frequentie weekend]]," ",Ruimtestaat[[#This Row],[Vloer code]]))</f>
        <v/>
      </c>
      <c r="BE236" s="300" t="str">
        <f>_xlfn.IFNA(VLOOKUP($BD236,Programma!$F$3:$G$1107,2,0),"")</f>
        <v/>
      </c>
      <c r="BF236" s="300" t="str">
        <f>_xlfn.IFNA(VLOOKUP($BD236,Programma!$F$3:$H$1107,3,0),"")</f>
        <v/>
      </c>
      <c r="BG236" s="300" t="str">
        <f>_xlfn.IFNA(VLOOKUP($BD236,Programma!$F$3:$I$1107,4,0),"")</f>
        <v/>
      </c>
      <c r="BH236" s="300" t="str">
        <f>_xlfn.IFNA(VLOOKUP($BD236,Programma!$F$3:$J$1107,5,0),"")</f>
        <v/>
      </c>
      <c r="BI236" s="300" t="str">
        <f>_xlfn.IFNA(VLOOKUP($BD236,Programma!$F$3:$K$1107,6,0),"")</f>
        <v/>
      </c>
      <c r="BJ236" s="300" t="str">
        <f>_xlfn.IFNA(VLOOKUP($BD236,Programma!$F$3:$L$1107,7,0),"")</f>
        <v/>
      </c>
      <c r="BK236" s="300" t="str">
        <f>_xlfn.IFNA(VLOOKUP($BD236,Programma!$F$3:$M$1107,8,0),"")</f>
        <v/>
      </c>
      <c r="BL236" s="300" t="str">
        <f>_xlfn.IFNA(VLOOKUP($BD236,Programma!$F$3:$N$1107,9,0),"")</f>
        <v/>
      </c>
      <c r="BM236" s="300" t="str">
        <f>_xlfn.IFNA(VLOOKUP($BD236,Programma!$F$3:$O$1107,10,0),"")</f>
        <v/>
      </c>
      <c r="BN236" s="300" t="str">
        <f>_xlfn.IFNA(VLOOKUP($BD236,Programma!$F$3:$P$1107,11,0),"")</f>
        <v/>
      </c>
      <c r="BO236" s="300" t="str">
        <f>_xlfn.IFNA(VLOOKUP($BD236,Programma!$F$3:$Q$1107,12,0),"")</f>
        <v/>
      </c>
      <c r="BP236" s="300" t="str">
        <f>_xlfn.IFNA(VLOOKUP($BD236,Programma!$F$3:$R$1107,13,0),"")</f>
        <v/>
      </c>
      <c r="BQ236" s="300" t="str">
        <f>_xlfn.IFNA(VLOOKUP($BD236,Programma!$F$3:$S$1107,14,0),"")</f>
        <v/>
      </c>
      <c r="BR236" s="300" t="str">
        <f>_xlfn.IFNA(VLOOKUP($BD236,Programma!$F$3:$T$1107,15,0),"")</f>
        <v/>
      </c>
      <c r="BS236" s="300" t="str">
        <f>_xlfn.IFNA(VLOOKUP($BD236,Programma!$F$3:$U$1107,16,0),"")</f>
        <v/>
      </c>
      <c r="BT236" s="300" t="str">
        <f>_xlfn.IFNA(VLOOKUP($BD236,Programma!$F$3:$V$1107,17,0),"")</f>
        <v/>
      </c>
      <c r="BU236" s="300" t="str">
        <f>_xlfn.IFNA(VLOOKUP($BD236,Programma!$F$3:$W$1107,18,0),"")</f>
        <v/>
      </c>
      <c r="BV236" s="300" t="str">
        <f>_xlfn.IFNA(VLOOKUP($BD236,Programma!$F$3:$X$1107,19,0),"")</f>
        <v/>
      </c>
      <c r="BW236" s="300" t="str">
        <f>_xlfn.IFNA(VLOOKUP($BD236,Programma!$F$3:$Y$1107,20,0),"")</f>
        <v/>
      </c>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row>
    <row r="237" spans="1:220" ht="15" customHeight="1">
      <c r="A237" s="21">
        <v>4</v>
      </c>
      <c r="B237" s="157" t="str">
        <f>VLOOKUP(Ruimtestaat[[#This Row],[Code]],Locaties[[Code]:[Locatie]],2,FALSE)</f>
        <v>Sint-Maartenscollege</v>
      </c>
      <c r="C237" s="157" t="str">
        <f>VLOOKUP(Ruimtestaat[[#This Row],[Code]],Locaties[[#All],[Code]:[Adres]],4,FALSE)</f>
        <v xml:space="preserve">Aart v.d. Leeuwkade 14 </v>
      </c>
      <c r="D237" s="157" t="str">
        <f>VLOOKUP(Ruimtestaat[[#This Row],[Code]],Locaties[[#All],[Code]:[Postcode]],5,FALSE)</f>
        <v>2274 KX</v>
      </c>
      <c r="E237" s="157" t="str">
        <f>VLOOKUP(Ruimtestaat[[#This Row],[Code]],Locaties[#All],6,FALSE)</f>
        <v>Voorburg</v>
      </c>
      <c r="F237" s="62"/>
      <c r="G237" s="21" t="s">
        <v>1624</v>
      </c>
      <c r="H237" s="21" t="s">
        <v>1658</v>
      </c>
      <c r="I237" s="62" t="s">
        <v>1895</v>
      </c>
      <c r="J237" s="21">
        <v>16</v>
      </c>
      <c r="K237" s="62" t="str">
        <f>VLOOKUP(Ruimtestaat[[#This Row],[Ruimte code]],Ruimtegroepen[[#All],[Code]:[Ruimte omschrijving]],2,FALSE)</f>
        <v>Leslokalen theorie</v>
      </c>
      <c r="L237" s="33" t="s">
        <v>101</v>
      </c>
      <c r="M237" s="367" t="s">
        <v>2495</v>
      </c>
      <c r="N237" s="140">
        <v>50</v>
      </c>
      <c r="O237" s="140"/>
      <c r="P237" s="125" t="str">
        <f>VLOOKUP(Ruimtestaat[[#This Row],[Ruimte code]],Ruimtegroepen[],4,FALSE)</f>
        <v>Le</v>
      </c>
      <c r="R237" s="33">
        <v>40</v>
      </c>
      <c r="S237" s="33" t="s">
        <v>2</v>
      </c>
      <c r="T237" s="33">
        <f>IF(R237&gt;0,IF(RIGHT(Ruimtestaat[[#This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7" s="33">
        <f>IF(T237&gt;0,VLOOKUP($J237,Ruimtegroepen[],3,FALSE)*VLOOKUP($L237,Vloersoorten[],3,FALSE)*VLOOKUP($S237,Frequenties[],3,FALSE)*VLOOKUP($A237,Locaties[],3,FALSE),0)</f>
        <v>0</v>
      </c>
      <c r="V237" s="33">
        <f>Ruimtestaat[[#This Row],[Uitvoeringen werkdagen]]*Ruimtestaat[[#This Row],[Oppervlak (netto)]]</f>
        <v>10000</v>
      </c>
      <c r="W237" s="154">
        <f>IF(U237&gt;0,Ruimtestaat[[#This Row],[Prest. (m2 /jaar) werkdagen]]/Ruimtestaat[[#This Row],[Norm (m2/uur) werkdagen]],0)</f>
        <v>0</v>
      </c>
      <c r="X237" s="155">
        <f>Ruimtestaat[[#This Row],[uren / jaar werkdagen]]*Tariefsopbouw!$E$35</f>
        <v>0</v>
      </c>
      <c r="Y237" s="33"/>
      <c r="Z237" s="33">
        <f>IF(Ruimtestaat[[#This Row],[Frequentie weekend]]&gt;0,VALUE(LEFT(Y237,1))*R237,0)</f>
        <v>0</v>
      </c>
      <c r="AA237" s="97">
        <f>IF($Z237&gt;0,VLOOKUP($J237,Ruimtegroepen[],3,FALSE)*VLOOKUP($L237,Vloersoorten[],3,FALSE)*VLOOKUP($Y237,Frequenties[],3,FALSE)*VLOOKUP(Ruimtestaat[[#This Row],[Code]],Locaties[],3,FALSE),0)</f>
        <v>0</v>
      </c>
      <c r="AB237" s="97">
        <f>Ruimtestaat[[#This Row],[Uitvoeringen weekend]]*Ruimtestaat[[#This Row],[Oppervlak (netto)]]</f>
        <v>0</v>
      </c>
      <c r="AC237" s="97">
        <f>IF(AA237&gt;0,Ruimtestaat[[#This Row],[Prest. (m2 /jaar) weekend]]/Ruimtestaat[[#This Row],[Norm (m2/uur) weekend]],0)</f>
        <v>0</v>
      </c>
      <c r="AD237" s="155">
        <f>Ruimtestaat[[#This Row],[uren / jaar weekend]]*Tariefsopbouw!$D$40</f>
        <v>0</v>
      </c>
      <c r="AE237" s="154">
        <f>Ruimtestaat[[#This Row],[Prest. (m2 /jaar) weekend]]+Ruimtestaat[[#This Row],[Prest. (m2 /jaar) werkdagen]]</f>
        <v>10000</v>
      </c>
      <c r="AF237" s="154">
        <f>Ruimtestaat[[#This Row],[uren / jaar weekend]]+Ruimtestaat[[#This Row],[uren / jaar werkdagen]]</f>
        <v>0</v>
      </c>
      <c r="AG237" s="69">
        <f>Ruimtestaat[[#This Row],[kosten / jaar weekend]]+Ruimtestaat[[#This Row],[kosten / jaar werkdagen]]</f>
        <v>0</v>
      </c>
      <c r="AH237" s="69"/>
      <c r="AI237" s="256" t="str">
        <f>IF(Ruimtestaat[[#This Row],[Frequentie werkdagen]]="","",_xlfn.CONCAT(Ruimtestaat[[#This Row],[Ruimte code]],"-",Ruimtestaat[[#This Row],[Frequentie werkdagen]]," ",Ruimtestaat[[#This Row],[Vloer code]]))</f>
        <v>16-5w L</v>
      </c>
      <c r="AJ237" s="300" t="str">
        <f>_xlfn.IFNA(VLOOKUP($AI237,Programma!$F$3:$G$1107,2,0),"")</f>
        <v>_</v>
      </c>
      <c r="AK237" s="300" t="str">
        <f>_xlfn.IFNA(VLOOKUP($AI237,Programma!$F$3:$H$1107,3,0),"")</f>
        <v>_</v>
      </c>
      <c r="AL237" s="300" t="str">
        <f>_xlfn.IFNA(VLOOKUP($AI237,Programma!$F$3:$I$1107,4,0),"")</f>
        <v>4w</v>
      </c>
      <c r="AM237" s="300" t="str">
        <f>_xlfn.IFNA(VLOOKUP($AI237,Programma!$F$3:$J$1107,5,0),"")</f>
        <v>1w</v>
      </c>
      <c r="AN237" s="300" t="str">
        <f>_xlfn.IFNA(VLOOKUP($AI237,Programma!$F$3:$K$1107,6,0),"")</f>
        <v>_</v>
      </c>
      <c r="AO237" s="300" t="str">
        <f>_xlfn.IFNA(VLOOKUP($AI237,Programma!$F$3:$L$1107,7,0),"")</f>
        <v>_</v>
      </c>
      <c r="AP237" s="300" t="str">
        <f>_xlfn.IFNA(VLOOKUP($AI237,Programma!$F$3:$M$1107,8,0),"")</f>
        <v>_</v>
      </c>
      <c r="AQ237" s="300" t="str">
        <f>_xlfn.IFNA(VLOOKUP($AI237,Programma!$F$3:$N$1107,9,0),"")</f>
        <v>_</v>
      </c>
      <c r="AR237" s="300" t="str">
        <f>_xlfn.IFNA(VLOOKUP($AI237,Programma!$F$3:$O$1107,10,0),"")</f>
        <v>5w</v>
      </c>
      <c r="AS237" s="300" t="str">
        <f>_xlfn.IFNA(VLOOKUP($AI237,Programma!$F$3:$P$1107,11,0),"")</f>
        <v>5w</v>
      </c>
      <c r="AT237" s="300" t="str">
        <f>_xlfn.IFNA(VLOOKUP($AI237,Programma!$F$3:$Q$1107,12,0),"")</f>
        <v>1w</v>
      </c>
      <c r="AU237" s="300" t="str">
        <f>_xlfn.IFNA(VLOOKUP($AI237,Programma!$F$3:$R$1107,13,0),"")</f>
        <v>1w</v>
      </c>
      <c r="AV237" s="300" t="str">
        <f>_xlfn.IFNA(VLOOKUP($AI237,Programma!$F$3:$S$1107,14,0),"")</f>
        <v>1m</v>
      </c>
      <c r="AW237" s="300" t="str">
        <f>_xlfn.IFNA(VLOOKUP($AI237,Programma!$F$3:$T$1107,15,0),"")</f>
        <v>2j</v>
      </c>
      <c r="AX237" s="300" t="str">
        <f>_xlfn.IFNA(VLOOKUP($AI237,Programma!$F$3:$U$1107,16,0),"")</f>
        <v>1j</v>
      </c>
      <c r="AY237" s="300" t="str">
        <f>_xlfn.IFNA(VLOOKUP($AI237,Programma!$F$3:$V$1107,17,0),"")</f>
        <v>_</v>
      </c>
      <c r="AZ237" s="300" t="str">
        <f>_xlfn.IFNA(VLOOKUP($AI237,Programma!$F$3:$W$1107,18,0),"")</f>
        <v>_</v>
      </c>
      <c r="BA237" s="300" t="str">
        <f>_xlfn.IFNA(VLOOKUP($AI237,Programma!$F$3:$X$1107,19,0),"")</f>
        <v>_</v>
      </c>
      <c r="BB237" s="300" t="str">
        <f>_xlfn.IFNA(VLOOKUP($AI237,Programma!$F$3:$Y$1107,20,0),"")</f>
        <v>_</v>
      </c>
      <c r="BC237" s="257"/>
      <c r="BD237" s="256" t="str">
        <f>IF(Ruimtestaat[[#This Row],[Frequentie weekend]]="","",_xlfn.CONCAT(Ruimtestaat[[#This Row],[Ruimte code]],"-",Ruimtestaat[[#This Row],[Frequentie weekend]]," ",Ruimtestaat[[#This Row],[Vloer code]]))</f>
        <v/>
      </c>
      <c r="BE237" s="300" t="str">
        <f>_xlfn.IFNA(VLOOKUP($BD237,Programma!$F$3:$G$1107,2,0),"")</f>
        <v/>
      </c>
      <c r="BF237" s="300" t="str">
        <f>_xlfn.IFNA(VLOOKUP($BD237,Programma!$F$3:$H$1107,3,0),"")</f>
        <v/>
      </c>
      <c r="BG237" s="300" t="str">
        <f>_xlfn.IFNA(VLOOKUP($BD237,Programma!$F$3:$I$1107,4,0),"")</f>
        <v/>
      </c>
      <c r="BH237" s="300" t="str">
        <f>_xlfn.IFNA(VLOOKUP($BD237,Programma!$F$3:$J$1107,5,0),"")</f>
        <v/>
      </c>
      <c r="BI237" s="300" t="str">
        <f>_xlfn.IFNA(VLOOKUP($BD237,Programma!$F$3:$K$1107,6,0),"")</f>
        <v/>
      </c>
      <c r="BJ237" s="300" t="str">
        <f>_xlfn.IFNA(VLOOKUP($BD237,Programma!$F$3:$L$1107,7,0),"")</f>
        <v/>
      </c>
      <c r="BK237" s="300" t="str">
        <f>_xlfn.IFNA(VLOOKUP($BD237,Programma!$F$3:$M$1107,8,0),"")</f>
        <v/>
      </c>
      <c r="BL237" s="300" t="str">
        <f>_xlfn.IFNA(VLOOKUP($BD237,Programma!$F$3:$N$1107,9,0),"")</f>
        <v/>
      </c>
      <c r="BM237" s="300" t="str">
        <f>_xlfn.IFNA(VLOOKUP($BD237,Programma!$F$3:$O$1107,10,0),"")</f>
        <v/>
      </c>
      <c r="BN237" s="300" t="str">
        <f>_xlfn.IFNA(VLOOKUP($BD237,Programma!$F$3:$P$1107,11,0),"")</f>
        <v/>
      </c>
      <c r="BO237" s="300" t="str">
        <f>_xlfn.IFNA(VLOOKUP($BD237,Programma!$F$3:$Q$1107,12,0),"")</f>
        <v/>
      </c>
      <c r="BP237" s="300" t="str">
        <f>_xlfn.IFNA(VLOOKUP($BD237,Programma!$F$3:$R$1107,13,0),"")</f>
        <v/>
      </c>
      <c r="BQ237" s="300" t="str">
        <f>_xlfn.IFNA(VLOOKUP($BD237,Programma!$F$3:$S$1107,14,0),"")</f>
        <v/>
      </c>
      <c r="BR237" s="300" t="str">
        <f>_xlfn.IFNA(VLOOKUP($BD237,Programma!$F$3:$T$1107,15,0),"")</f>
        <v/>
      </c>
      <c r="BS237" s="300" t="str">
        <f>_xlfn.IFNA(VLOOKUP($BD237,Programma!$F$3:$U$1107,16,0),"")</f>
        <v/>
      </c>
      <c r="BT237" s="300" t="str">
        <f>_xlfn.IFNA(VLOOKUP($BD237,Programma!$F$3:$V$1107,17,0),"")</f>
        <v/>
      </c>
      <c r="BU237" s="300" t="str">
        <f>_xlfn.IFNA(VLOOKUP($BD237,Programma!$F$3:$W$1107,18,0),"")</f>
        <v/>
      </c>
      <c r="BV237" s="300" t="str">
        <f>_xlfn.IFNA(VLOOKUP($BD237,Programma!$F$3:$X$1107,19,0),"")</f>
        <v/>
      </c>
      <c r="BW237" s="300" t="str">
        <f>_xlfn.IFNA(VLOOKUP($BD237,Programma!$F$3:$Y$1107,20,0),"")</f>
        <v/>
      </c>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row>
    <row r="238" spans="1:220" ht="15" customHeight="1">
      <c r="A238" s="21">
        <v>4</v>
      </c>
      <c r="B238" s="157" t="str">
        <f>VLOOKUP(Ruimtestaat[[#This Row],[Code]],Locaties[[Code]:[Locatie]],2,FALSE)</f>
        <v>Sint-Maartenscollege</v>
      </c>
      <c r="C238" s="157" t="str">
        <f>VLOOKUP(Ruimtestaat[[#This Row],[Code]],Locaties[[#All],[Code]:[Adres]],4,FALSE)</f>
        <v xml:space="preserve">Aart v.d. Leeuwkade 14 </v>
      </c>
      <c r="D238" s="157" t="str">
        <f>VLOOKUP(Ruimtestaat[[#This Row],[Code]],Locaties[[#All],[Code]:[Postcode]],5,FALSE)</f>
        <v>2274 KX</v>
      </c>
      <c r="E238" s="157" t="str">
        <f>VLOOKUP(Ruimtestaat[[#This Row],[Code]],Locaties[#All],6,FALSE)</f>
        <v>Voorburg</v>
      </c>
      <c r="F238" s="62"/>
      <c r="G238" s="21" t="s">
        <v>1624</v>
      </c>
      <c r="H238" s="21" t="s">
        <v>1659</v>
      </c>
      <c r="I238" s="62" t="s">
        <v>1896</v>
      </c>
      <c r="J238" s="21">
        <v>13</v>
      </c>
      <c r="K238" s="62" t="str">
        <f>VLOOKUP(Ruimtestaat[[#This Row],[Ruimte code]],Ruimtegroepen[[#All],[Code]:[Ruimte omschrijving]],2,FALSE)</f>
        <v>HV/Technieklokaal</v>
      </c>
      <c r="L238" s="33" t="s">
        <v>101</v>
      </c>
      <c r="M238" s="367" t="s">
        <v>2495</v>
      </c>
      <c r="N238" s="140">
        <v>75</v>
      </c>
      <c r="O238" s="140"/>
      <c r="P238" s="125" t="str">
        <f>VLOOKUP(Ruimtestaat[[#This Row],[Ruimte code]],Ruimtegroepen[],4,FALSE)</f>
        <v>Le</v>
      </c>
      <c r="R238" s="33">
        <v>40</v>
      </c>
      <c r="S238" s="33" t="s">
        <v>2</v>
      </c>
      <c r="T238" s="33">
        <f>IF(R238&gt;0,IF(RIGHT(Ruimtestaat[[#This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8" s="33">
        <f>IF(T238&gt;0,VLOOKUP($J238,Ruimtegroepen[],3,FALSE)*VLOOKUP($L238,Vloersoorten[],3,FALSE)*VLOOKUP($S238,Frequenties[],3,FALSE)*VLOOKUP($A238,Locaties[],3,FALSE),0)</f>
        <v>0</v>
      </c>
      <c r="V238" s="33">
        <f>Ruimtestaat[[#This Row],[Uitvoeringen werkdagen]]*Ruimtestaat[[#This Row],[Oppervlak (netto)]]</f>
        <v>15000</v>
      </c>
      <c r="W238" s="154">
        <f>IF(U238&gt;0,Ruimtestaat[[#This Row],[Prest. (m2 /jaar) werkdagen]]/Ruimtestaat[[#This Row],[Norm (m2/uur) werkdagen]],0)</f>
        <v>0</v>
      </c>
      <c r="X238" s="155">
        <f>Ruimtestaat[[#This Row],[uren / jaar werkdagen]]*Tariefsopbouw!$E$35</f>
        <v>0</v>
      </c>
      <c r="Y238" s="33"/>
      <c r="Z238" s="33">
        <f>IF(Ruimtestaat[[#This Row],[Frequentie weekend]]&gt;0,VALUE(LEFT(Y238,1))*R238,0)</f>
        <v>0</v>
      </c>
      <c r="AA238" s="97">
        <f>IF($Z238&gt;0,VLOOKUP($J238,Ruimtegroepen[],3,FALSE)*VLOOKUP($L238,Vloersoorten[],3,FALSE)*VLOOKUP($Y238,Frequenties[],3,FALSE)*VLOOKUP(Ruimtestaat[[#This Row],[Code]],Locaties[],3,FALSE),0)</f>
        <v>0</v>
      </c>
      <c r="AB238" s="97">
        <f>Ruimtestaat[[#This Row],[Uitvoeringen weekend]]*Ruimtestaat[[#This Row],[Oppervlak (netto)]]</f>
        <v>0</v>
      </c>
      <c r="AC238" s="97">
        <f>IF(AA238&gt;0,Ruimtestaat[[#This Row],[Prest. (m2 /jaar) weekend]]/Ruimtestaat[[#This Row],[Norm (m2/uur) weekend]],0)</f>
        <v>0</v>
      </c>
      <c r="AD238" s="155">
        <f>Ruimtestaat[[#This Row],[uren / jaar weekend]]*Tariefsopbouw!$D$40</f>
        <v>0</v>
      </c>
      <c r="AE238" s="154">
        <f>Ruimtestaat[[#This Row],[Prest. (m2 /jaar) weekend]]+Ruimtestaat[[#This Row],[Prest. (m2 /jaar) werkdagen]]</f>
        <v>15000</v>
      </c>
      <c r="AF238" s="154">
        <f>Ruimtestaat[[#This Row],[uren / jaar weekend]]+Ruimtestaat[[#This Row],[uren / jaar werkdagen]]</f>
        <v>0</v>
      </c>
      <c r="AG238" s="69">
        <f>Ruimtestaat[[#This Row],[kosten / jaar weekend]]+Ruimtestaat[[#This Row],[kosten / jaar werkdagen]]</f>
        <v>0</v>
      </c>
      <c r="AH238" s="69"/>
      <c r="AI238" s="256" t="str">
        <f>IF(Ruimtestaat[[#This Row],[Frequentie werkdagen]]="","",_xlfn.CONCAT(Ruimtestaat[[#This Row],[Ruimte code]],"-",Ruimtestaat[[#This Row],[Frequentie werkdagen]]," ",Ruimtestaat[[#This Row],[Vloer code]]))</f>
        <v>13-5w L</v>
      </c>
      <c r="AJ238" s="300" t="str">
        <f>_xlfn.IFNA(VLOOKUP($AI238,Programma!$F$3:$G$1107,2,0),"")</f>
        <v>_</v>
      </c>
      <c r="AK238" s="300" t="str">
        <f>_xlfn.IFNA(VLOOKUP($AI238,Programma!$F$3:$H$1107,3,0),"")</f>
        <v>_</v>
      </c>
      <c r="AL238" s="300" t="str">
        <f>_xlfn.IFNA(VLOOKUP($AI238,Programma!$F$3:$I$1107,4,0),"")</f>
        <v>4w</v>
      </c>
      <c r="AM238" s="300" t="str">
        <f>_xlfn.IFNA(VLOOKUP($AI238,Programma!$F$3:$J$1107,5,0),"")</f>
        <v>1w</v>
      </c>
      <c r="AN238" s="300" t="str">
        <f>_xlfn.IFNA(VLOOKUP($AI238,Programma!$F$3:$K$1107,6,0),"")</f>
        <v>_</v>
      </c>
      <c r="AO238" s="300" t="str">
        <f>_xlfn.IFNA(VLOOKUP($AI238,Programma!$F$3:$L$1107,7,0),"")</f>
        <v>_</v>
      </c>
      <c r="AP238" s="300" t="str">
        <f>_xlfn.IFNA(VLOOKUP($AI238,Programma!$F$3:$M$1107,8,0),"")</f>
        <v>_</v>
      </c>
      <c r="AQ238" s="300" t="str">
        <f>_xlfn.IFNA(VLOOKUP($AI238,Programma!$F$3:$N$1107,9,0),"")</f>
        <v>_</v>
      </c>
      <c r="AR238" s="300" t="str">
        <f>_xlfn.IFNA(VLOOKUP($AI238,Programma!$F$3:$O$1107,10,0),"")</f>
        <v>5w</v>
      </c>
      <c r="AS238" s="300" t="str">
        <f>_xlfn.IFNA(VLOOKUP($AI238,Programma!$F$3:$P$1107,11,0),"")</f>
        <v>5w</v>
      </c>
      <c r="AT238" s="300" t="str">
        <f>_xlfn.IFNA(VLOOKUP($AI238,Programma!$F$3:$Q$1107,12,0),"")</f>
        <v>1w</v>
      </c>
      <c r="AU238" s="300" t="str">
        <f>_xlfn.IFNA(VLOOKUP($AI238,Programma!$F$3:$R$1107,13,0),"")</f>
        <v>1w</v>
      </c>
      <c r="AV238" s="300" t="str">
        <f>_xlfn.IFNA(VLOOKUP($AI238,Programma!$F$3:$S$1107,14,0),"")</f>
        <v>1m</v>
      </c>
      <c r="AW238" s="300" t="str">
        <f>_xlfn.IFNA(VLOOKUP($AI238,Programma!$F$3:$T$1107,15,0),"")</f>
        <v>2j</v>
      </c>
      <c r="AX238" s="300" t="str">
        <f>_xlfn.IFNA(VLOOKUP($AI238,Programma!$F$3:$U$1107,16,0),"")</f>
        <v>1j</v>
      </c>
      <c r="AY238" s="300" t="str">
        <f>_xlfn.IFNA(VLOOKUP($AI238,Programma!$F$3:$V$1107,17,0),"")</f>
        <v>_</v>
      </c>
      <c r="AZ238" s="300" t="str">
        <f>_xlfn.IFNA(VLOOKUP($AI238,Programma!$F$3:$W$1107,18,0),"")</f>
        <v>_</v>
      </c>
      <c r="BA238" s="300" t="str">
        <f>_xlfn.IFNA(VLOOKUP($AI238,Programma!$F$3:$X$1107,19,0),"")</f>
        <v>_</v>
      </c>
      <c r="BB238" s="300" t="str">
        <f>_xlfn.IFNA(VLOOKUP($AI238,Programma!$F$3:$Y$1107,20,0),"")</f>
        <v>_</v>
      </c>
      <c r="BC238" s="257"/>
      <c r="BD238" s="256" t="str">
        <f>IF(Ruimtestaat[[#This Row],[Frequentie weekend]]="","",_xlfn.CONCAT(Ruimtestaat[[#This Row],[Ruimte code]],"-",Ruimtestaat[[#This Row],[Frequentie weekend]]," ",Ruimtestaat[[#This Row],[Vloer code]]))</f>
        <v/>
      </c>
      <c r="BE238" s="300" t="str">
        <f>_xlfn.IFNA(VLOOKUP($BD238,Programma!$F$3:$G$1107,2,0),"")</f>
        <v/>
      </c>
      <c r="BF238" s="300" t="str">
        <f>_xlfn.IFNA(VLOOKUP($BD238,Programma!$F$3:$H$1107,3,0),"")</f>
        <v/>
      </c>
      <c r="BG238" s="300" t="str">
        <f>_xlfn.IFNA(VLOOKUP($BD238,Programma!$F$3:$I$1107,4,0),"")</f>
        <v/>
      </c>
      <c r="BH238" s="300" t="str">
        <f>_xlfn.IFNA(VLOOKUP($BD238,Programma!$F$3:$J$1107,5,0),"")</f>
        <v/>
      </c>
      <c r="BI238" s="300" t="str">
        <f>_xlfn.IFNA(VLOOKUP($BD238,Programma!$F$3:$K$1107,6,0),"")</f>
        <v/>
      </c>
      <c r="BJ238" s="300" t="str">
        <f>_xlfn.IFNA(VLOOKUP($BD238,Programma!$F$3:$L$1107,7,0),"")</f>
        <v/>
      </c>
      <c r="BK238" s="300" t="str">
        <f>_xlfn.IFNA(VLOOKUP($BD238,Programma!$F$3:$M$1107,8,0),"")</f>
        <v/>
      </c>
      <c r="BL238" s="300" t="str">
        <f>_xlfn.IFNA(VLOOKUP($BD238,Programma!$F$3:$N$1107,9,0),"")</f>
        <v/>
      </c>
      <c r="BM238" s="300" t="str">
        <f>_xlfn.IFNA(VLOOKUP($BD238,Programma!$F$3:$O$1107,10,0),"")</f>
        <v/>
      </c>
      <c r="BN238" s="300" t="str">
        <f>_xlfn.IFNA(VLOOKUP($BD238,Programma!$F$3:$P$1107,11,0),"")</f>
        <v/>
      </c>
      <c r="BO238" s="300" t="str">
        <f>_xlfn.IFNA(VLOOKUP($BD238,Programma!$F$3:$Q$1107,12,0),"")</f>
        <v/>
      </c>
      <c r="BP238" s="300" t="str">
        <f>_xlfn.IFNA(VLOOKUP($BD238,Programma!$F$3:$R$1107,13,0),"")</f>
        <v/>
      </c>
      <c r="BQ238" s="300" t="str">
        <f>_xlfn.IFNA(VLOOKUP($BD238,Programma!$F$3:$S$1107,14,0),"")</f>
        <v/>
      </c>
      <c r="BR238" s="300" t="str">
        <f>_xlfn.IFNA(VLOOKUP($BD238,Programma!$F$3:$T$1107,15,0),"")</f>
        <v/>
      </c>
      <c r="BS238" s="300" t="str">
        <f>_xlfn.IFNA(VLOOKUP($BD238,Programma!$F$3:$U$1107,16,0),"")</f>
        <v/>
      </c>
      <c r="BT238" s="300" t="str">
        <f>_xlfn.IFNA(VLOOKUP($BD238,Programma!$F$3:$V$1107,17,0),"")</f>
        <v/>
      </c>
      <c r="BU238" s="300" t="str">
        <f>_xlfn.IFNA(VLOOKUP($BD238,Programma!$F$3:$W$1107,18,0),"")</f>
        <v/>
      </c>
      <c r="BV238" s="300" t="str">
        <f>_xlfn.IFNA(VLOOKUP($BD238,Programma!$F$3:$X$1107,19,0),"")</f>
        <v/>
      </c>
      <c r="BW238" s="300" t="str">
        <f>_xlfn.IFNA(VLOOKUP($BD238,Programma!$F$3:$Y$1107,20,0),"")</f>
        <v/>
      </c>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row>
    <row r="239" spans="1:220" ht="15" customHeight="1">
      <c r="A239" s="21">
        <v>4</v>
      </c>
      <c r="B239" s="157" t="str">
        <f>VLOOKUP(Ruimtestaat[[#This Row],[Code]],Locaties[[Code]:[Locatie]],2,FALSE)</f>
        <v>Sint-Maartenscollege</v>
      </c>
      <c r="C239" s="157" t="str">
        <f>VLOOKUP(Ruimtestaat[[#This Row],[Code]],Locaties[[#All],[Code]:[Adres]],4,FALSE)</f>
        <v xml:space="preserve">Aart v.d. Leeuwkade 14 </v>
      </c>
      <c r="D239" s="157" t="str">
        <f>VLOOKUP(Ruimtestaat[[#This Row],[Code]],Locaties[[#All],[Code]:[Postcode]],5,FALSE)</f>
        <v>2274 KX</v>
      </c>
      <c r="E239" s="157" t="str">
        <f>VLOOKUP(Ruimtestaat[[#This Row],[Code]],Locaties[#All],6,FALSE)</f>
        <v>Voorburg</v>
      </c>
      <c r="F239" s="62"/>
      <c r="G239" s="21" t="s">
        <v>1624</v>
      </c>
      <c r="I239" s="62" t="s">
        <v>1897</v>
      </c>
      <c r="J239" s="21">
        <v>16</v>
      </c>
      <c r="K239" s="62" t="str">
        <f>VLOOKUP(Ruimtestaat[[#This Row],[Ruimte code]],Ruimtegroepen[[#All],[Code]:[Ruimte omschrijving]],2,FALSE)</f>
        <v>Leslokalen theorie</v>
      </c>
      <c r="L239" s="33" t="s">
        <v>101</v>
      </c>
      <c r="M239" s="367" t="s">
        <v>2495</v>
      </c>
      <c r="N239" s="140">
        <v>75</v>
      </c>
      <c r="O239" s="140"/>
      <c r="P239" s="125" t="str">
        <f>VLOOKUP(Ruimtestaat[[#This Row],[Ruimte code]],Ruimtegroepen[],4,FALSE)</f>
        <v>Le</v>
      </c>
      <c r="R239" s="33">
        <v>40</v>
      </c>
      <c r="S239" s="33" t="s">
        <v>2</v>
      </c>
      <c r="T239" s="33">
        <f>IF(R239&gt;0,IF(RIGHT(Ruimtestaat[[#This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9" s="33">
        <f>IF(T239&gt;0,VLOOKUP($J239,Ruimtegroepen[],3,FALSE)*VLOOKUP($L239,Vloersoorten[],3,FALSE)*VLOOKUP($S239,Frequenties[],3,FALSE)*VLOOKUP($A239,Locaties[],3,FALSE),0)</f>
        <v>0</v>
      </c>
      <c r="V239" s="33">
        <f>Ruimtestaat[[#This Row],[Uitvoeringen werkdagen]]*Ruimtestaat[[#This Row],[Oppervlak (netto)]]</f>
        <v>15000</v>
      </c>
      <c r="W239" s="154">
        <f>IF(U239&gt;0,Ruimtestaat[[#This Row],[Prest. (m2 /jaar) werkdagen]]/Ruimtestaat[[#This Row],[Norm (m2/uur) werkdagen]],0)</f>
        <v>0</v>
      </c>
      <c r="X239" s="155">
        <f>Ruimtestaat[[#This Row],[uren / jaar werkdagen]]*Tariefsopbouw!$E$35</f>
        <v>0</v>
      </c>
      <c r="Y239" s="33"/>
      <c r="Z239" s="33">
        <f>IF(Ruimtestaat[[#This Row],[Frequentie weekend]]&gt;0,VALUE(LEFT(Y239,1))*R239,0)</f>
        <v>0</v>
      </c>
      <c r="AA239" s="97">
        <f>IF($Z239&gt;0,VLOOKUP($J239,Ruimtegroepen[],3,FALSE)*VLOOKUP($L239,Vloersoorten[],3,FALSE)*VLOOKUP($Y239,Frequenties[],3,FALSE)*VLOOKUP(Ruimtestaat[[#This Row],[Code]],Locaties[],3,FALSE),0)</f>
        <v>0</v>
      </c>
      <c r="AB239" s="97">
        <f>Ruimtestaat[[#This Row],[Uitvoeringen weekend]]*Ruimtestaat[[#This Row],[Oppervlak (netto)]]</f>
        <v>0</v>
      </c>
      <c r="AC239" s="97">
        <f>IF(AA239&gt;0,Ruimtestaat[[#This Row],[Prest. (m2 /jaar) weekend]]/Ruimtestaat[[#This Row],[Norm (m2/uur) weekend]],0)</f>
        <v>0</v>
      </c>
      <c r="AD239" s="155">
        <f>Ruimtestaat[[#This Row],[uren / jaar weekend]]*Tariefsopbouw!$D$40</f>
        <v>0</v>
      </c>
      <c r="AE239" s="154">
        <f>Ruimtestaat[[#This Row],[Prest. (m2 /jaar) weekend]]+Ruimtestaat[[#This Row],[Prest. (m2 /jaar) werkdagen]]</f>
        <v>15000</v>
      </c>
      <c r="AF239" s="154">
        <f>Ruimtestaat[[#This Row],[uren / jaar weekend]]+Ruimtestaat[[#This Row],[uren / jaar werkdagen]]</f>
        <v>0</v>
      </c>
      <c r="AG239" s="69">
        <f>Ruimtestaat[[#This Row],[kosten / jaar weekend]]+Ruimtestaat[[#This Row],[kosten / jaar werkdagen]]</f>
        <v>0</v>
      </c>
      <c r="AH239" s="69"/>
      <c r="AI239" s="256" t="str">
        <f>IF(Ruimtestaat[[#This Row],[Frequentie werkdagen]]="","",_xlfn.CONCAT(Ruimtestaat[[#This Row],[Ruimte code]],"-",Ruimtestaat[[#This Row],[Frequentie werkdagen]]," ",Ruimtestaat[[#This Row],[Vloer code]]))</f>
        <v>16-5w L</v>
      </c>
      <c r="AJ239" s="300" t="str">
        <f>_xlfn.IFNA(VLOOKUP($AI239,Programma!$F$3:$G$1107,2,0),"")</f>
        <v>_</v>
      </c>
      <c r="AK239" s="300" t="str">
        <f>_xlfn.IFNA(VLOOKUP($AI239,Programma!$F$3:$H$1107,3,0),"")</f>
        <v>_</v>
      </c>
      <c r="AL239" s="300" t="str">
        <f>_xlfn.IFNA(VLOOKUP($AI239,Programma!$F$3:$I$1107,4,0),"")</f>
        <v>4w</v>
      </c>
      <c r="AM239" s="300" t="str">
        <f>_xlfn.IFNA(VLOOKUP($AI239,Programma!$F$3:$J$1107,5,0),"")</f>
        <v>1w</v>
      </c>
      <c r="AN239" s="300" t="str">
        <f>_xlfn.IFNA(VLOOKUP($AI239,Programma!$F$3:$K$1107,6,0),"")</f>
        <v>_</v>
      </c>
      <c r="AO239" s="300" t="str">
        <f>_xlfn.IFNA(VLOOKUP($AI239,Programma!$F$3:$L$1107,7,0),"")</f>
        <v>_</v>
      </c>
      <c r="AP239" s="300" t="str">
        <f>_xlfn.IFNA(VLOOKUP($AI239,Programma!$F$3:$M$1107,8,0),"")</f>
        <v>_</v>
      </c>
      <c r="AQ239" s="300" t="str">
        <f>_xlfn.IFNA(VLOOKUP($AI239,Programma!$F$3:$N$1107,9,0),"")</f>
        <v>_</v>
      </c>
      <c r="AR239" s="300" t="str">
        <f>_xlfn.IFNA(VLOOKUP($AI239,Programma!$F$3:$O$1107,10,0),"")</f>
        <v>5w</v>
      </c>
      <c r="AS239" s="300" t="str">
        <f>_xlfn.IFNA(VLOOKUP($AI239,Programma!$F$3:$P$1107,11,0),"")</f>
        <v>5w</v>
      </c>
      <c r="AT239" s="300" t="str">
        <f>_xlfn.IFNA(VLOOKUP($AI239,Programma!$F$3:$Q$1107,12,0),"")</f>
        <v>1w</v>
      </c>
      <c r="AU239" s="300" t="str">
        <f>_xlfn.IFNA(VLOOKUP($AI239,Programma!$F$3:$R$1107,13,0),"")</f>
        <v>1w</v>
      </c>
      <c r="AV239" s="300" t="str">
        <f>_xlfn.IFNA(VLOOKUP($AI239,Programma!$F$3:$S$1107,14,0),"")</f>
        <v>1m</v>
      </c>
      <c r="AW239" s="300" t="str">
        <f>_xlfn.IFNA(VLOOKUP($AI239,Programma!$F$3:$T$1107,15,0),"")</f>
        <v>2j</v>
      </c>
      <c r="AX239" s="300" t="str">
        <f>_xlfn.IFNA(VLOOKUP($AI239,Programma!$F$3:$U$1107,16,0),"")</f>
        <v>1j</v>
      </c>
      <c r="AY239" s="300" t="str">
        <f>_xlfn.IFNA(VLOOKUP($AI239,Programma!$F$3:$V$1107,17,0),"")</f>
        <v>_</v>
      </c>
      <c r="AZ239" s="300" t="str">
        <f>_xlfn.IFNA(VLOOKUP($AI239,Programma!$F$3:$W$1107,18,0),"")</f>
        <v>_</v>
      </c>
      <c r="BA239" s="300" t="str">
        <f>_xlfn.IFNA(VLOOKUP($AI239,Programma!$F$3:$X$1107,19,0),"")</f>
        <v>_</v>
      </c>
      <c r="BB239" s="300" t="str">
        <f>_xlfn.IFNA(VLOOKUP($AI239,Programma!$F$3:$Y$1107,20,0),"")</f>
        <v>_</v>
      </c>
      <c r="BC239" s="257"/>
      <c r="BD239" s="256" t="str">
        <f>IF(Ruimtestaat[[#This Row],[Frequentie weekend]]="","",_xlfn.CONCAT(Ruimtestaat[[#This Row],[Ruimte code]],"-",Ruimtestaat[[#This Row],[Frequentie weekend]]," ",Ruimtestaat[[#This Row],[Vloer code]]))</f>
        <v/>
      </c>
      <c r="BE239" s="300" t="str">
        <f>_xlfn.IFNA(VLOOKUP($BD239,Programma!$F$3:$G$1107,2,0),"")</f>
        <v/>
      </c>
      <c r="BF239" s="300" t="str">
        <f>_xlfn.IFNA(VLOOKUP($BD239,Programma!$F$3:$H$1107,3,0),"")</f>
        <v/>
      </c>
      <c r="BG239" s="300" t="str">
        <f>_xlfn.IFNA(VLOOKUP($BD239,Programma!$F$3:$I$1107,4,0),"")</f>
        <v/>
      </c>
      <c r="BH239" s="300" t="str">
        <f>_xlfn.IFNA(VLOOKUP($BD239,Programma!$F$3:$J$1107,5,0),"")</f>
        <v/>
      </c>
      <c r="BI239" s="300" t="str">
        <f>_xlfn.IFNA(VLOOKUP($BD239,Programma!$F$3:$K$1107,6,0),"")</f>
        <v/>
      </c>
      <c r="BJ239" s="300" t="str">
        <f>_xlfn.IFNA(VLOOKUP($BD239,Programma!$F$3:$L$1107,7,0),"")</f>
        <v/>
      </c>
      <c r="BK239" s="300" t="str">
        <f>_xlfn.IFNA(VLOOKUP($BD239,Programma!$F$3:$M$1107,8,0),"")</f>
        <v/>
      </c>
      <c r="BL239" s="300" t="str">
        <f>_xlfn.IFNA(VLOOKUP($BD239,Programma!$F$3:$N$1107,9,0),"")</f>
        <v/>
      </c>
      <c r="BM239" s="300" t="str">
        <f>_xlfn.IFNA(VLOOKUP($BD239,Programma!$F$3:$O$1107,10,0),"")</f>
        <v/>
      </c>
      <c r="BN239" s="300" t="str">
        <f>_xlfn.IFNA(VLOOKUP($BD239,Programma!$F$3:$P$1107,11,0),"")</f>
        <v/>
      </c>
      <c r="BO239" s="300" t="str">
        <f>_xlfn.IFNA(VLOOKUP($BD239,Programma!$F$3:$Q$1107,12,0),"")</f>
        <v/>
      </c>
      <c r="BP239" s="300" t="str">
        <f>_xlfn.IFNA(VLOOKUP($BD239,Programma!$F$3:$R$1107,13,0),"")</f>
        <v/>
      </c>
      <c r="BQ239" s="300" t="str">
        <f>_xlfn.IFNA(VLOOKUP($BD239,Programma!$F$3:$S$1107,14,0),"")</f>
        <v/>
      </c>
      <c r="BR239" s="300" t="str">
        <f>_xlfn.IFNA(VLOOKUP($BD239,Programma!$F$3:$T$1107,15,0),"")</f>
        <v/>
      </c>
      <c r="BS239" s="300" t="str">
        <f>_xlfn.IFNA(VLOOKUP($BD239,Programma!$F$3:$U$1107,16,0),"")</f>
        <v/>
      </c>
      <c r="BT239" s="300" t="str">
        <f>_xlfn.IFNA(VLOOKUP($BD239,Programma!$F$3:$V$1107,17,0),"")</f>
        <v/>
      </c>
      <c r="BU239" s="300" t="str">
        <f>_xlfn.IFNA(VLOOKUP($BD239,Programma!$F$3:$W$1107,18,0),"")</f>
        <v/>
      </c>
      <c r="BV239" s="300" t="str">
        <f>_xlfn.IFNA(VLOOKUP($BD239,Programma!$F$3:$X$1107,19,0),"")</f>
        <v/>
      </c>
      <c r="BW239" s="300" t="str">
        <f>_xlfn.IFNA(VLOOKUP($BD239,Programma!$F$3:$Y$1107,20,0),"")</f>
        <v/>
      </c>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row>
    <row r="240" spans="1:220" ht="15" customHeight="1">
      <c r="A240" s="21">
        <v>4</v>
      </c>
      <c r="B240" s="157" t="str">
        <f>VLOOKUP(Ruimtestaat[[#This Row],[Code]],Locaties[[Code]:[Locatie]],2,FALSE)</f>
        <v>Sint-Maartenscollege</v>
      </c>
      <c r="C240" s="157" t="str">
        <f>VLOOKUP(Ruimtestaat[[#This Row],[Code]],Locaties[[#All],[Code]:[Adres]],4,FALSE)</f>
        <v xml:space="preserve">Aart v.d. Leeuwkade 14 </v>
      </c>
      <c r="D240" s="157" t="str">
        <f>VLOOKUP(Ruimtestaat[[#This Row],[Code]],Locaties[[#All],[Code]:[Postcode]],5,FALSE)</f>
        <v>2274 KX</v>
      </c>
      <c r="E240" s="157" t="str">
        <f>VLOOKUP(Ruimtestaat[[#This Row],[Code]],Locaties[#All],6,FALSE)</f>
        <v>Voorburg</v>
      </c>
      <c r="F240" s="62"/>
      <c r="G240" s="21" t="s">
        <v>1624</v>
      </c>
      <c r="H240" s="21" t="s">
        <v>1661</v>
      </c>
      <c r="I240" s="62" t="s">
        <v>1898</v>
      </c>
      <c r="J240" s="21">
        <v>16</v>
      </c>
      <c r="K240" s="62" t="str">
        <f>VLOOKUP(Ruimtestaat[[#This Row],[Ruimte code]],Ruimtegroepen[[#All],[Code]:[Ruimte omschrijving]],2,FALSE)</f>
        <v>Leslokalen theorie</v>
      </c>
      <c r="L240" s="33" t="s">
        <v>101</v>
      </c>
      <c r="M240" s="367" t="s">
        <v>2495</v>
      </c>
      <c r="N240" s="140">
        <v>75</v>
      </c>
      <c r="O240" s="140"/>
      <c r="P240" s="125" t="str">
        <f>VLOOKUP(Ruimtestaat[[#This Row],[Ruimte code]],Ruimtegroepen[],4,FALSE)</f>
        <v>Le</v>
      </c>
      <c r="R240" s="33">
        <v>40</v>
      </c>
      <c r="S240" s="33" t="s">
        <v>2</v>
      </c>
      <c r="T240" s="33">
        <f>IF(R240&gt;0,IF(RIGHT(Ruimtestaat[[#This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0" s="33">
        <f>IF(T240&gt;0,VLOOKUP($J240,Ruimtegroepen[],3,FALSE)*VLOOKUP($L240,Vloersoorten[],3,FALSE)*VLOOKUP($S240,Frequenties[],3,FALSE)*VLOOKUP($A240,Locaties[],3,FALSE),0)</f>
        <v>0</v>
      </c>
      <c r="V240" s="33">
        <f>Ruimtestaat[[#This Row],[Uitvoeringen werkdagen]]*Ruimtestaat[[#This Row],[Oppervlak (netto)]]</f>
        <v>15000</v>
      </c>
      <c r="W240" s="154">
        <f>IF(U240&gt;0,Ruimtestaat[[#This Row],[Prest. (m2 /jaar) werkdagen]]/Ruimtestaat[[#This Row],[Norm (m2/uur) werkdagen]],0)</f>
        <v>0</v>
      </c>
      <c r="X240" s="155">
        <f>Ruimtestaat[[#This Row],[uren / jaar werkdagen]]*Tariefsopbouw!$E$35</f>
        <v>0</v>
      </c>
      <c r="Y240" s="33"/>
      <c r="Z240" s="33">
        <f>IF(Ruimtestaat[[#This Row],[Frequentie weekend]]&gt;0,VALUE(LEFT(Y240,1))*R240,0)</f>
        <v>0</v>
      </c>
      <c r="AA240" s="97">
        <f>IF($Z240&gt;0,VLOOKUP($J240,Ruimtegroepen[],3,FALSE)*VLOOKUP($L240,Vloersoorten[],3,FALSE)*VLOOKUP($Y240,Frequenties[],3,FALSE)*VLOOKUP(Ruimtestaat[[#This Row],[Code]],Locaties[],3,FALSE),0)</f>
        <v>0</v>
      </c>
      <c r="AB240" s="97">
        <f>Ruimtestaat[[#This Row],[Uitvoeringen weekend]]*Ruimtestaat[[#This Row],[Oppervlak (netto)]]</f>
        <v>0</v>
      </c>
      <c r="AC240" s="97">
        <f>IF(AA240&gt;0,Ruimtestaat[[#This Row],[Prest. (m2 /jaar) weekend]]/Ruimtestaat[[#This Row],[Norm (m2/uur) weekend]],0)</f>
        <v>0</v>
      </c>
      <c r="AD240" s="155">
        <f>Ruimtestaat[[#This Row],[uren / jaar weekend]]*Tariefsopbouw!$D$40</f>
        <v>0</v>
      </c>
      <c r="AE240" s="154">
        <f>Ruimtestaat[[#This Row],[Prest. (m2 /jaar) weekend]]+Ruimtestaat[[#This Row],[Prest. (m2 /jaar) werkdagen]]</f>
        <v>15000</v>
      </c>
      <c r="AF240" s="154">
        <f>Ruimtestaat[[#This Row],[uren / jaar weekend]]+Ruimtestaat[[#This Row],[uren / jaar werkdagen]]</f>
        <v>0</v>
      </c>
      <c r="AG240" s="69">
        <f>Ruimtestaat[[#This Row],[kosten / jaar weekend]]+Ruimtestaat[[#This Row],[kosten / jaar werkdagen]]</f>
        <v>0</v>
      </c>
      <c r="AH240" s="69"/>
      <c r="AI240" s="256" t="str">
        <f>IF(Ruimtestaat[[#This Row],[Frequentie werkdagen]]="","",_xlfn.CONCAT(Ruimtestaat[[#This Row],[Ruimte code]],"-",Ruimtestaat[[#This Row],[Frequentie werkdagen]]," ",Ruimtestaat[[#This Row],[Vloer code]]))</f>
        <v>16-5w L</v>
      </c>
      <c r="AJ240" s="300" t="str">
        <f>_xlfn.IFNA(VLOOKUP($AI240,Programma!$F$3:$G$1107,2,0),"")</f>
        <v>_</v>
      </c>
      <c r="AK240" s="300" t="str">
        <f>_xlfn.IFNA(VLOOKUP($AI240,Programma!$F$3:$H$1107,3,0),"")</f>
        <v>_</v>
      </c>
      <c r="AL240" s="300" t="str">
        <f>_xlfn.IFNA(VLOOKUP($AI240,Programma!$F$3:$I$1107,4,0),"")</f>
        <v>4w</v>
      </c>
      <c r="AM240" s="300" t="str">
        <f>_xlfn.IFNA(VLOOKUP($AI240,Programma!$F$3:$J$1107,5,0),"")</f>
        <v>1w</v>
      </c>
      <c r="AN240" s="300" t="str">
        <f>_xlfn.IFNA(VLOOKUP($AI240,Programma!$F$3:$K$1107,6,0),"")</f>
        <v>_</v>
      </c>
      <c r="AO240" s="300" t="str">
        <f>_xlfn.IFNA(VLOOKUP($AI240,Programma!$F$3:$L$1107,7,0),"")</f>
        <v>_</v>
      </c>
      <c r="AP240" s="300" t="str">
        <f>_xlfn.IFNA(VLOOKUP($AI240,Programma!$F$3:$M$1107,8,0),"")</f>
        <v>_</v>
      </c>
      <c r="AQ240" s="300" t="str">
        <f>_xlfn.IFNA(VLOOKUP($AI240,Programma!$F$3:$N$1107,9,0),"")</f>
        <v>_</v>
      </c>
      <c r="AR240" s="300" t="str">
        <f>_xlfn.IFNA(VLOOKUP($AI240,Programma!$F$3:$O$1107,10,0),"")</f>
        <v>5w</v>
      </c>
      <c r="AS240" s="300" t="str">
        <f>_xlfn.IFNA(VLOOKUP($AI240,Programma!$F$3:$P$1107,11,0),"")</f>
        <v>5w</v>
      </c>
      <c r="AT240" s="300" t="str">
        <f>_xlfn.IFNA(VLOOKUP($AI240,Programma!$F$3:$Q$1107,12,0),"")</f>
        <v>1w</v>
      </c>
      <c r="AU240" s="300" t="str">
        <f>_xlfn.IFNA(VLOOKUP($AI240,Programma!$F$3:$R$1107,13,0),"")</f>
        <v>1w</v>
      </c>
      <c r="AV240" s="300" t="str">
        <f>_xlfn.IFNA(VLOOKUP($AI240,Programma!$F$3:$S$1107,14,0),"")</f>
        <v>1m</v>
      </c>
      <c r="AW240" s="300" t="str">
        <f>_xlfn.IFNA(VLOOKUP($AI240,Programma!$F$3:$T$1107,15,0),"")</f>
        <v>2j</v>
      </c>
      <c r="AX240" s="300" t="str">
        <f>_xlfn.IFNA(VLOOKUP($AI240,Programma!$F$3:$U$1107,16,0),"")</f>
        <v>1j</v>
      </c>
      <c r="AY240" s="300" t="str">
        <f>_xlfn.IFNA(VLOOKUP($AI240,Programma!$F$3:$V$1107,17,0),"")</f>
        <v>_</v>
      </c>
      <c r="AZ240" s="300" t="str">
        <f>_xlfn.IFNA(VLOOKUP($AI240,Programma!$F$3:$W$1107,18,0),"")</f>
        <v>_</v>
      </c>
      <c r="BA240" s="300" t="str">
        <f>_xlfn.IFNA(VLOOKUP($AI240,Programma!$F$3:$X$1107,19,0),"")</f>
        <v>_</v>
      </c>
      <c r="BB240" s="300" t="str">
        <f>_xlfn.IFNA(VLOOKUP($AI240,Programma!$F$3:$Y$1107,20,0),"")</f>
        <v>_</v>
      </c>
      <c r="BC240" s="257"/>
      <c r="BD240" s="256" t="str">
        <f>IF(Ruimtestaat[[#This Row],[Frequentie weekend]]="","",_xlfn.CONCAT(Ruimtestaat[[#This Row],[Ruimte code]],"-",Ruimtestaat[[#This Row],[Frequentie weekend]]," ",Ruimtestaat[[#This Row],[Vloer code]]))</f>
        <v/>
      </c>
      <c r="BE240" s="300" t="str">
        <f>_xlfn.IFNA(VLOOKUP($BD240,Programma!$F$3:$G$1107,2,0),"")</f>
        <v/>
      </c>
      <c r="BF240" s="300" t="str">
        <f>_xlfn.IFNA(VLOOKUP($BD240,Programma!$F$3:$H$1107,3,0),"")</f>
        <v/>
      </c>
      <c r="BG240" s="300" t="str">
        <f>_xlfn.IFNA(VLOOKUP($BD240,Programma!$F$3:$I$1107,4,0),"")</f>
        <v/>
      </c>
      <c r="BH240" s="300" t="str">
        <f>_xlfn.IFNA(VLOOKUP($BD240,Programma!$F$3:$J$1107,5,0),"")</f>
        <v/>
      </c>
      <c r="BI240" s="300" t="str">
        <f>_xlfn.IFNA(VLOOKUP($BD240,Programma!$F$3:$K$1107,6,0),"")</f>
        <v/>
      </c>
      <c r="BJ240" s="300" t="str">
        <f>_xlfn.IFNA(VLOOKUP($BD240,Programma!$F$3:$L$1107,7,0),"")</f>
        <v/>
      </c>
      <c r="BK240" s="300" t="str">
        <f>_xlfn.IFNA(VLOOKUP($BD240,Programma!$F$3:$M$1107,8,0),"")</f>
        <v/>
      </c>
      <c r="BL240" s="300" t="str">
        <f>_xlfn.IFNA(VLOOKUP($BD240,Programma!$F$3:$N$1107,9,0),"")</f>
        <v/>
      </c>
      <c r="BM240" s="300" t="str">
        <f>_xlfn.IFNA(VLOOKUP($BD240,Programma!$F$3:$O$1107,10,0),"")</f>
        <v/>
      </c>
      <c r="BN240" s="300" t="str">
        <f>_xlfn.IFNA(VLOOKUP($BD240,Programma!$F$3:$P$1107,11,0),"")</f>
        <v/>
      </c>
      <c r="BO240" s="300" t="str">
        <f>_xlfn.IFNA(VLOOKUP($BD240,Programma!$F$3:$Q$1107,12,0),"")</f>
        <v/>
      </c>
      <c r="BP240" s="300" t="str">
        <f>_xlfn.IFNA(VLOOKUP($BD240,Programma!$F$3:$R$1107,13,0),"")</f>
        <v/>
      </c>
      <c r="BQ240" s="300" t="str">
        <f>_xlfn.IFNA(VLOOKUP($BD240,Programma!$F$3:$S$1107,14,0),"")</f>
        <v/>
      </c>
      <c r="BR240" s="300" t="str">
        <f>_xlfn.IFNA(VLOOKUP($BD240,Programma!$F$3:$T$1107,15,0),"")</f>
        <v/>
      </c>
      <c r="BS240" s="300" t="str">
        <f>_xlfn.IFNA(VLOOKUP($BD240,Programma!$F$3:$U$1107,16,0),"")</f>
        <v/>
      </c>
      <c r="BT240" s="300" t="str">
        <f>_xlfn.IFNA(VLOOKUP($BD240,Programma!$F$3:$V$1107,17,0),"")</f>
        <v/>
      </c>
      <c r="BU240" s="300" t="str">
        <f>_xlfn.IFNA(VLOOKUP($BD240,Programma!$F$3:$W$1107,18,0),"")</f>
        <v/>
      </c>
      <c r="BV240" s="300" t="str">
        <f>_xlfn.IFNA(VLOOKUP($BD240,Programma!$F$3:$X$1107,19,0),"")</f>
        <v/>
      </c>
      <c r="BW240" s="300" t="str">
        <f>_xlfn.IFNA(VLOOKUP($BD240,Programma!$F$3:$Y$1107,20,0),"")</f>
        <v/>
      </c>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row>
    <row r="241" spans="1:220" ht="15" customHeight="1">
      <c r="A241" s="21">
        <v>4</v>
      </c>
      <c r="B241" s="157" t="str">
        <f>VLOOKUP(Ruimtestaat[[#This Row],[Code]],Locaties[[Code]:[Locatie]],2,FALSE)</f>
        <v>Sint-Maartenscollege</v>
      </c>
      <c r="C241" s="157" t="str">
        <f>VLOOKUP(Ruimtestaat[[#This Row],[Code]],Locaties[[#All],[Code]:[Adres]],4,FALSE)</f>
        <v xml:space="preserve">Aart v.d. Leeuwkade 14 </v>
      </c>
      <c r="D241" s="157" t="str">
        <f>VLOOKUP(Ruimtestaat[[#This Row],[Code]],Locaties[[#All],[Code]:[Postcode]],5,FALSE)</f>
        <v>2274 KX</v>
      </c>
      <c r="E241" s="157" t="str">
        <f>VLOOKUP(Ruimtestaat[[#This Row],[Code]],Locaties[#All],6,FALSE)</f>
        <v>Voorburg</v>
      </c>
      <c r="F241" s="62"/>
      <c r="G241" s="21" t="s">
        <v>1624</v>
      </c>
      <c r="H241" s="21" t="s">
        <v>1663</v>
      </c>
      <c r="I241" s="62" t="s">
        <v>1899</v>
      </c>
      <c r="J241" s="21">
        <v>8</v>
      </c>
      <c r="K241" s="62" t="str">
        <f>VLOOKUP(Ruimtestaat[[#This Row],[Ruimte code]],Ruimtegroepen[[#All],[Code]:[Ruimte omschrijving]],2,FALSE)</f>
        <v>Mediatheek / OLC</v>
      </c>
      <c r="L241" s="33" t="s">
        <v>101</v>
      </c>
      <c r="M241" s="367" t="s">
        <v>2495</v>
      </c>
      <c r="N241" s="140">
        <v>374</v>
      </c>
      <c r="O241" s="140"/>
      <c r="P241" s="125" t="str">
        <f>VLOOKUP(Ruimtestaat[[#This Row],[Ruimte code]],Ruimtegroepen[],4,FALSE)</f>
        <v>Le</v>
      </c>
      <c r="R241" s="33">
        <v>40</v>
      </c>
      <c r="S241" s="33" t="s">
        <v>2</v>
      </c>
      <c r="T241" s="33">
        <f>IF(R241&gt;0,IF(RIGHT(Ruimtestaat[[#This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1" s="33">
        <f>IF(T241&gt;0,VLOOKUP($J241,Ruimtegroepen[],3,FALSE)*VLOOKUP($L241,Vloersoorten[],3,FALSE)*VLOOKUP($S241,Frequenties[],3,FALSE)*VLOOKUP($A241,Locaties[],3,FALSE),0)</f>
        <v>0</v>
      </c>
      <c r="V241" s="33">
        <f>Ruimtestaat[[#This Row],[Uitvoeringen werkdagen]]*Ruimtestaat[[#This Row],[Oppervlak (netto)]]</f>
        <v>74800</v>
      </c>
      <c r="W241" s="154">
        <f>IF(U241&gt;0,Ruimtestaat[[#This Row],[Prest. (m2 /jaar) werkdagen]]/Ruimtestaat[[#This Row],[Norm (m2/uur) werkdagen]],0)</f>
        <v>0</v>
      </c>
      <c r="X241" s="155">
        <f>Ruimtestaat[[#This Row],[uren / jaar werkdagen]]*Tariefsopbouw!$E$35</f>
        <v>0</v>
      </c>
      <c r="Y241" s="33"/>
      <c r="Z241" s="33">
        <f>IF(Ruimtestaat[[#This Row],[Frequentie weekend]]&gt;0,VALUE(LEFT(Y241,1))*R241,0)</f>
        <v>0</v>
      </c>
      <c r="AA241" s="97">
        <f>IF($Z241&gt;0,VLOOKUP($J241,Ruimtegroepen[],3,FALSE)*VLOOKUP($L241,Vloersoorten[],3,FALSE)*VLOOKUP($Y241,Frequenties[],3,FALSE)*VLOOKUP(Ruimtestaat[[#This Row],[Code]],Locaties[],3,FALSE),0)</f>
        <v>0</v>
      </c>
      <c r="AB241" s="97">
        <f>Ruimtestaat[[#This Row],[Uitvoeringen weekend]]*Ruimtestaat[[#This Row],[Oppervlak (netto)]]</f>
        <v>0</v>
      </c>
      <c r="AC241" s="97">
        <f>IF(AA241&gt;0,Ruimtestaat[[#This Row],[Prest. (m2 /jaar) weekend]]/Ruimtestaat[[#This Row],[Norm (m2/uur) weekend]],0)</f>
        <v>0</v>
      </c>
      <c r="AD241" s="155">
        <f>Ruimtestaat[[#This Row],[uren / jaar weekend]]*Tariefsopbouw!$D$40</f>
        <v>0</v>
      </c>
      <c r="AE241" s="154">
        <f>Ruimtestaat[[#This Row],[Prest. (m2 /jaar) weekend]]+Ruimtestaat[[#This Row],[Prest. (m2 /jaar) werkdagen]]</f>
        <v>74800</v>
      </c>
      <c r="AF241" s="154">
        <f>Ruimtestaat[[#This Row],[uren / jaar weekend]]+Ruimtestaat[[#This Row],[uren / jaar werkdagen]]</f>
        <v>0</v>
      </c>
      <c r="AG241" s="69">
        <f>Ruimtestaat[[#This Row],[kosten / jaar weekend]]+Ruimtestaat[[#This Row],[kosten / jaar werkdagen]]</f>
        <v>0</v>
      </c>
      <c r="AH241" s="69"/>
      <c r="AI241" s="256" t="str">
        <f>IF(Ruimtestaat[[#This Row],[Frequentie werkdagen]]="","",_xlfn.CONCAT(Ruimtestaat[[#This Row],[Ruimte code]],"-",Ruimtestaat[[#This Row],[Frequentie werkdagen]]," ",Ruimtestaat[[#This Row],[Vloer code]]))</f>
        <v>8-5w L</v>
      </c>
      <c r="AJ241" s="300" t="str">
        <f>_xlfn.IFNA(VLOOKUP($AI241,Programma!$F$3:$G$1107,2,0),"")</f>
        <v>_</v>
      </c>
      <c r="AK241" s="300" t="str">
        <f>_xlfn.IFNA(VLOOKUP($AI241,Programma!$F$3:$H$1107,3,0),"")</f>
        <v>_</v>
      </c>
      <c r="AL241" s="300" t="str">
        <f>_xlfn.IFNA(VLOOKUP($AI241,Programma!$F$3:$I$1107,4,0),"")</f>
        <v>4w</v>
      </c>
      <c r="AM241" s="300" t="str">
        <f>_xlfn.IFNA(VLOOKUP($AI241,Programma!$F$3:$J$1107,5,0),"")</f>
        <v>1w</v>
      </c>
      <c r="AN241" s="300" t="str">
        <f>_xlfn.IFNA(VLOOKUP($AI241,Programma!$F$3:$K$1107,6,0),"")</f>
        <v>_</v>
      </c>
      <c r="AO241" s="300" t="str">
        <f>_xlfn.IFNA(VLOOKUP($AI241,Programma!$F$3:$L$1107,7,0),"")</f>
        <v>_</v>
      </c>
      <c r="AP241" s="300" t="str">
        <f>_xlfn.IFNA(VLOOKUP($AI241,Programma!$F$3:$M$1107,8,0),"")</f>
        <v>_</v>
      </c>
      <c r="AQ241" s="300" t="str">
        <f>_xlfn.IFNA(VLOOKUP($AI241,Programma!$F$3:$N$1107,9,0),"")</f>
        <v>_</v>
      </c>
      <c r="AR241" s="300" t="str">
        <f>_xlfn.IFNA(VLOOKUP($AI241,Programma!$F$3:$O$1107,10,0),"")</f>
        <v>5w</v>
      </c>
      <c r="AS241" s="300" t="str">
        <f>_xlfn.IFNA(VLOOKUP($AI241,Programma!$F$3:$P$1107,11,0),"")</f>
        <v>5w</v>
      </c>
      <c r="AT241" s="300" t="str">
        <f>_xlfn.IFNA(VLOOKUP($AI241,Programma!$F$3:$Q$1107,12,0),"")</f>
        <v>1w</v>
      </c>
      <c r="AU241" s="300" t="str">
        <f>_xlfn.IFNA(VLOOKUP($AI241,Programma!$F$3:$R$1107,13,0),"")</f>
        <v>1w</v>
      </c>
      <c r="AV241" s="300" t="str">
        <f>_xlfn.IFNA(VLOOKUP($AI241,Programma!$F$3:$S$1107,14,0),"")</f>
        <v>1m</v>
      </c>
      <c r="AW241" s="300" t="str">
        <f>_xlfn.IFNA(VLOOKUP($AI241,Programma!$F$3:$T$1107,15,0),"")</f>
        <v>2j</v>
      </c>
      <c r="AX241" s="300" t="str">
        <f>_xlfn.IFNA(VLOOKUP($AI241,Programma!$F$3:$U$1107,16,0),"")</f>
        <v>1j</v>
      </c>
      <c r="AY241" s="300" t="str">
        <f>_xlfn.IFNA(VLOOKUP($AI241,Programma!$F$3:$V$1107,17,0),"")</f>
        <v>_</v>
      </c>
      <c r="AZ241" s="300" t="str">
        <f>_xlfn.IFNA(VLOOKUP($AI241,Programma!$F$3:$W$1107,18,0),"")</f>
        <v>_</v>
      </c>
      <c r="BA241" s="300" t="str">
        <f>_xlfn.IFNA(VLOOKUP($AI241,Programma!$F$3:$X$1107,19,0),"")</f>
        <v>_</v>
      </c>
      <c r="BB241" s="300" t="str">
        <f>_xlfn.IFNA(VLOOKUP($AI241,Programma!$F$3:$Y$1107,20,0),"")</f>
        <v>_</v>
      </c>
      <c r="BC241" s="257"/>
      <c r="BD241" s="256" t="str">
        <f>IF(Ruimtestaat[[#This Row],[Frequentie weekend]]="","",_xlfn.CONCAT(Ruimtestaat[[#This Row],[Ruimte code]],"-",Ruimtestaat[[#This Row],[Frequentie weekend]]," ",Ruimtestaat[[#This Row],[Vloer code]]))</f>
        <v/>
      </c>
      <c r="BE241" s="300" t="str">
        <f>_xlfn.IFNA(VLOOKUP($BD241,Programma!$F$3:$G$1107,2,0),"")</f>
        <v/>
      </c>
      <c r="BF241" s="300" t="str">
        <f>_xlfn.IFNA(VLOOKUP($BD241,Programma!$F$3:$H$1107,3,0),"")</f>
        <v/>
      </c>
      <c r="BG241" s="300" t="str">
        <f>_xlfn.IFNA(VLOOKUP($BD241,Programma!$F$3:$I$1107,4,0),"")</f>
        <v/>
      </c>
      <c r="BH241" s="300" t="str">
        <f>_xlfn.IFNA(VLOOKUP($BD241,Programma!$F$3:$J$1107,5,0),"")</f>
        <v/>
      </c>
      <c r="BI241" s="300" t="str">
        <f>_xlfn.IFNA(VLOOKUP($BD241,Programma!$F$3:$K$1107,6,0),"")</f>
        <v/>
      </c>
      <c r="BJ241" s="300" t="str">
        <f>_xlfn.IFNA(VLOOKUP($BD241,Programma!$F$3:$L$1107,7,0),"")</f>
        <v/>
      </c>
      <c r="BK241" s="300" t="str">
        <f>_xlfn.IFNA(VLOOKUP($BD241,Programma!$F$3:$M$1107,8,0),"")</f>
        <v/>
      </c>
      <c r="BL241" s="300" t="str">
        <f>_xlfn.IFNA(VLOOKUP($BD241,Programma!$F$3:$N$1107,9,0),"")</f>
        <v/>
      </c>
      <c r="BM241" s="300" t="str">
        <f>_xlfn.IFNA(VLOOKUP($BD241,Programma!$F$3:$O$1107,10,0),"")</f>
        <v/>
      </c>
      <c r="BN241" s="300" t="str">
        <f>_xlfn.IFNA(VLOOKUP($BD241,Programma!$F$3:$P$1107,11,0),"")</f>
        <v/>
      </c>
      <c r="BO241" s="300" t="str">
        <f>_xlfn.IFNA(VLOOKUP($BD241,Programma!$F$3:$Q$1107,12,0),"")</f>
        <v/>
      </c>
      <c r="BP241" s="300" t="str">
        <f>_xlfn.IFNA(VLOOKUP($BD241,Programma!$F$3:$R$1107,13,0),"")</f>
        <v/>
      </c>
      <c r="BQ241" s="300" t="str">
        <f>_xlfn.IFNA(VLOOKUP($BD241,Programma!$F$3:$S$1107,14,0),"")</f>
        <v/>
      </c>
      <c r="BR241" s="300" t="str">
        <f>_xlfn.IFNA(VLOOKUP($BD241,Programma!$F$3:$T$1107,15,0),"")</f>
        <v/>
      </c>
      <c r="BS241" s="300" t="str">
        <f>_xlfn.IFNA(VLOOKUP($BD241,Programma!$F$3:$U$1107,16,0),"")</f>
        <v/>
      </c>
      <c r="BT241" s="300" t="str">
        <f>_xlfn.IFNA(VLOOKUP($BD241,Programma!$F$3:$V$1107,17,0),"")</f>
        <v/>
      </c>
      <c r="BU241" s="300" t="str">
        <f>_xlfn.IFNA(VLOOKUP($BD241,Programma!$F$3:$W$1107,18,0),"")</f>
        <v/>
      </c>
      <c r="BV241" s="300" t="str">
        <f>_xlfn.IFNA(VLOOKUP($BD241,Programma!$F$3:$X$1107,19,0),"")</f>
        <v/>
      </c>
      <c r="BW241" s="300" t="str">
        <f>_xlfn.IFNA(VLOOKUP($BD241,Programma!$F$3:$Y$1107,20,0),"")</f>
        <v/>
      </c>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row>
    <row r="242" spans="1:220" ht="15" customHeight="1">
      <c r="A242" s="21">
        <v>4</v>
      </c>
      <c r="B242" s="157" t="str">
        <f>VLOOKUP(Ruimtestaat[[#This Row],[Code]],Locaties[[Code]:[Locatie]],2,FALSE)</f>
        <v>Sint-Maartenscollege</v>
      </c>
      <c r="C242" s="157" t="str">
        <f>VLOOKUP(Ruimtestaat[[#This Row],[Code]],Locaties[[#All],[Code]:[Adres]],4,FALSE)</f>
        <v xml:space="preserve">Aart v.d. Leeuwkade 14 </v>
      </c>
      <c r="D242" s="157" t="str">
        <f>VLOOKUP(Ruimtestaat[[#This Row],[Code]],Locaties[[#All],[Code]:[Postcode]],5,FALSE)</f>
        <v>2274 KX</v>
      </c>
      <c r="E242" s="157" t="str">
        <f>VLOOKUP(Ruimtestaat[[#This Row],[Code]],Locaties[#All],6,FALSE)</f>
        <v>Voorburg</v>
      </c>
      <c r="F242" s="62"/>
      <c r="G242" s="21" t="s">
        <v>1624</v>
      </c>
      <c r="H242" s="21" t="s">
        <v>1664</v>
      </c>
      <c r="I242" s="62" t="s">
        <v>1900</v>
      </c>
      <c r="J242" s="21">
        <v>20</v>
      </c>
      <c r="K242" s="62" t="str">
        <f>VLOOKUP(Ruimtestaat[[#This Row],[Ruimte code]],Ruimtegroepen[[#All],[Code]:[Ruimte omschrijving]],2,FALSE)</f>
        <v>Niet in Onderhoud</v>
      </c>
      <c r="L242" s="33" t="s">
        <v>101</v>
      </c>
      <c r="M242" s="367" t="s">
        <v>2495</v>
      </c>
      <c r="N242" s="140"/>
      <c r="O242" s="140">
        <v>12</v>
      </c>
      <c r="P242" s="125">
        <f>VLOOKUP(Ruimtestaat[[#This Row],[Ruimte code]],Ruimtegroepen[],4,FALSE)</f>
        <v>0</v>
      </c>
      <c r="R242" s="33"/>
      <c r="S242" s="33"/>
      <c r="T242" s="33">
        <f>IF(R242&gt;0,IF(RIGHT(Ruimtestaat[[#This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2" s="33">
        <f>IF(T242&gt;0,VLOOKUP($J242,Ruimtegroepen[],3,FALSE)*VLOOKUP($L242,Vloersoorten[],3,FALSE)*VLOOKUP($S242,Frequenties[],3,FALSE)*VLOOKUP($A242,Locaties[],3,FALSE),0)</f>
        <v>0</v>
      </c>
      <c r="V242" s="33">
        <f>Ruimtestaat[[#This Row],[Uitvoeringen werkdagen]]*Ruimtestaat[[#This Row],[Oppervlak (netto)]]</f>
        <v>0</v>
      </c>
      <c r="W242" s="154">
        <f>IF(U242&gt;0,Ruimtestaat[[#This Row],[Prest. (m2 /jaar) werkdagen]]/Ruimtestaat[[#This Row],[Norm (m2/uur) werkdagen]],0)</f>
        <v>0</v>
      </c>
      <c r="X242" s="155">
        <f>Ruimtestaat[[#This Row],[uren / jaar werkdagen]]*Tariefsopbouw!$E$35</f>
        <v>0</v>
      </c>
      <c r="Y242" s="33"/>
      <c r="Z242" s="33">
        <f>IF(Ruimtestaat[[#This Row],[Frequentie weekend]]&gt;0,VALUE(LEFT(Y242,1))*R242,0)</f>
        <v>0</v>
      </c>
      <c r="AA242" s="97">
        <f>IF($Z242&gt;0,VLOOKUP($J242,Ruimtegroepen[],3,FALSE)*VLOOKUP($L242,Vloersoorten[],3,FALSE)*VLOOKUP($Y242,Frequenties[],3,FALSE)*VLOOKUP(Ruimtestaat[[#This Row],[Code]],Locaties[],3,FALSE),0)</f>
        <v>0</v>
      </c>
      <c r="AB242" s="97">
        <f>Ruimtestaat[[#This Row],[Uitvoeringen weekend]]*Ruimtestaat[[#This Row],[Oppervlak (netto)]]</f>
        <v>0</v>
      </c>
      <c r="AC242" s="97">
        <f>IF(AA242&gt;0,Ruimtestaat[[#This Row],[Prest. (m2 /jaar) weekend]]/Ruimtestaat[[#This Row],[Norm (m2/uur) weekend]],0)</f>
        <v>0</v>
      </c>
      <c r="AD242" s="155">
        <f>Ruimtestaat[[#This Row],[uren / jaar weekend]]*Tariefsopbouw!$D$40</f>
        <v>0</v>
      </c>
      <c r="AE242" s="154">
        <f>Ruimtestaat[[#This Row],[Prest. (m2 /jaar) weekend]]+Ruimtestaat[[#This Row],[Prest. (m2 /jaar) werkdagen]]</f>
        <v>0</v>
      </c>
      <c r="AF242" s="154">
        <f>Ruimtestaat[[#This Row],[uren / jaar weekend]]+Ruimtestaat[[#This Row],[uren / jaar werkdagen]]</f>
        <v>0</v>
      </c>
      <c r="AG242" s="69">
        <f>Ruimtestaat[[#This Row],[kosten / jaar weekend]]+Ruimtestaat[[#This Row],[kosten / jaar werkdagen]]</f>
        <v>0</v>
      </c>
      <c r="AH242" s="69"/>
      <c r="AI242" s="256" t="str">
        <f>IF(Ruimtestaat[[#This Row],[Frequentie werkdagen]]="","",_xlfn.CONCAT(Ruimtestaat[[#This Row],[Ruimte code]],"-",Ruimtestaat[[#This Row],[Frequentie werkdagen]]," ",Ruimtestaat[[#This Row],[Vloer code]]))</f>
        <v/>
      </c>
      <c r="AJ242" s="300" t="str">
        <f>_xlfn.IFNA(VLOOKUP($AI242,Programma!$F$3:$G$1107,2,0),"")</f>
        <v/>
      </c>
      <c r="AK242" s="300" t="str">
        <f>_xlfn.IFNA(VLOOKUP($AI242,Programma!$F$3:$H$1107,3,0),"")</f>
        <v/>
      </c>
      <c r="AL242" s="300" t="str">
        <f>_xlfn.IFNA(VLOOKUP($AI242,Programma!$F$3:$I$1107,4,0),"")</f>
        <v/>
      </c>
      <c r="AM242" s="300" t="str">
        <f>_xlfn.IFNA(VLOOKUP($AI242,Programma!$F$3:$J$1107,5,0),"")</f>
        <v/>
      </c>
      <c r="AN242" s="300" t="str">
        <f>_xlfn.IFNA(VLOOKUP($AI242,Programma!$F$3:$K$1107,6,0),"")</f>
        <v/>
      </c>
      <c r="AO242" s="300" t="str">
        <f>_xlfn.IFNA(VLOOKUP($AI242,Programma!$F$3:$L$1107,7,0),"")</f>
        <v/>
      </c>
      <c r="AP242" s="300" t="str">
        <f>_xlfn.IFNA(VLOOKUP($AI242,Programma!$F$3:$M$1107,8,0),"")</f>
        <v/>
      </c>
      <c r="AQ242" s="300" t="str">
        <f>_xlfn.IFNA(VLOOKUP($AI242,Programma!$F$3:$N$1107,9,0),"")</f>
        <v/>
      </c>
      <c r="AR242" s="300" t="str">
        <f>_xlfn.IFNA(VLOOKUP($AI242,Programma!$F$3:$O$1107,10,0),"")</f>
        <v/>
      </c>
      <c r="AS242" s="300" t="str">
        <f>_xlfn.IFNA(VLOOKUP($AI242,Programma!$F$3:$P$1107,11,0),"")</f>
        <v/>
      </c>
      <c r="AT242" s="300" t="str">
        <f>_xlfn.IFNA(VLOOKUP($AI242,Programma!$F$3:$Q$1107,12,0),"")</f>
        <v/>
      </c>
      <c r="AU242" s="300" t="str">
        <f>_xlfn.IFNA(VLOOKUP($AI242,Programma!$F$3:$R$1107,13,0),"")</f>
        <v/>
      </c>
      <c r="AV242" s="300" t="str">
        <f>_xlfn.IFNA(VLOOKUP($AI242,Programma!$F$3:$S$1107,14,0),"")</f>
        <v/>
      </c>
      <c r="AW242" s="300" t="str">
        <f>_xlfn.IFNA(VLOOKUP($AI242,Programma!$F$3:$T$1107,15,0),"")</f>
        <v/>
      </c>
      <c r="AX242" s="300" t="str">
        <f>_xlfn.IFNA(VLOOKUP($AI242,Programma!$F$3:$U$1107,16,0),"")</f>
        <v/>
      </c>
      <c r="AY242" s="300" t="str">
        <f>_xlfn.IFNA(VLOOKUP($AI242,Programma!$F$3:$V$1107,17,0),"")</f>
        <v/>
      </c>
      <c r="AZ242" s="300" t="str">
        <f>_xlfn.IFNA(VLOOKUP($AI242,Programma!$F$3:$W$1107,18,0),"")</f>
        <v/>
      </c>
      <c r="BA242" s="300" t="str">
        <f>_xlfn.IFNA(VLOOKUP($AI242,Programma!$F$3:$X$1107,19,0),"")</f>
        <v/>
      </c>
      <c r="BB242" s="300" t="str">
        <f>_xlfn.IFNA(VLOOKUP($AI242,Programma!$F$3:$Y$1107,20,0),"")</f>
        <v/>
      </c>
      <c r="BC242" s="257"/>
      <c r="BD242" s="256" t="str">
        <f>IF(Ruimtestaat[[#This Row],[Frequentie weekend]]="","",_xlfn.CONCAT(Ruimtestaat[[#This Row],[Ruimte code]],"-",Ruimtestaat[[#This Row],[Frequentie weekend]]," ",Ruimtestaat[[#This Row],[Vloer code]]))</f>
        <v/>
      </c>
      <c r="BE242" s="300" t="str">
        <f>_xlfn.IFNA(VLOOKUP($BD242,Programma!$F$3:$G$1107,2,0),"")</f>
        <v/>
      </c>
      <c r="BF242" s="300" t="str">
        <f>_xlfn.IFNA(VLOOKUP($BD242,Programma!$F$3:$H$1107,3,0),"")</f>
        <v/>
      </c>
      <c r="BG242" s="300" t="str">
        <f>_xlfn.IFNA(VLOOKUP($BD242,Programma!$F$3:$I$1107,4,0),"")</f>
        <v/>
      </c>
      <c r="BH242" s="300" t="str">
        <f>_xlfn.IFNA(VLOOKUP($BD242,Programma!$F$3:$J$1107,5,0),"")</f>
        <v/>
      </c>
      <c r="BI242" s="300" t="str">
        <f>_xlfn.IFNA(VLOOKUP($BD242,Programma!$F$3:$K$1107,6,0),"")</f>
        <v/>
      </c>
      <c r="BJ242" s="300" t="str">
        <f>_xlfn.IFNA(VLOOKUP($BD242,Programma!$F$3:$L$1107,7,0),"")</f>
        <v/>
      </c>
      <c r="BK242" s="300" t="str">
        <f>_xlfn.IFNA(VLOOKUP($BD242,Programma!$F$3:$M$1107,8,0),"")</f>
        <v/>
      </c>
      <c r="BL242" s="300" t="str">
        <f>_xlfn.IFNA(VLOOKUP($BD242,Programma!$F$3:$N$1107,9,0),"")</f>
        <v/>
      </c>
      <c r="BM242" s="300" t="str">
        <f>_xlfn.IFNA(VLOOKUP($BD242,Programma!$F$3:$O$1107,10,0),"")</f>
        <v/>
      </c>
      <c r="BN242" s="300" t="str">
        <f>_xlfn.IFNA(VLOOKUP($BD242,Programma!$F$3:$P$1107,11,0),"")</f>
        <v/>
      </c>
      <c r="BO242" s="300" t="str">
        <f>_xlfn.IFNA(VLOOKUP($BD242,Programma!$F$3:$Q$1107,12,0),"")</f>
        <v/>
      </c>
      <c r="BP242" s="300" t="str">
        <f>_xlfn.IFNA(VLOOKUP($BD242,Programma!$F$3:$R$1107,13,0),"")</f>
        <v/>
      </c>
      <c r="BQ242" s="300" t="str">
        <f>_xlfn.IFNA(VLOOKUP($BD242,Programma!$F$3:$S$1107,14,0),"")</f>
        <v/>
      </c>
      <c r="BR242" s="300" t="str">
        <f>_xlfn.IFNA(VLOOKUP($BD242,Programma!$F$3:$T$1107,15,0),"")</f>
        <v/>
      </c>
      <c r="BS242" s="300" t="str">
        <f>_xlfn.IFNA(VLOOKUP($BD242,Programma!$F$3:$U$1107,16,0),"")</f>
        <v/>
      </c>
      <c r="BT242" s="300" t="str">
        <f>_xlfn.IFNA(VLOOKUP($BD242,Programma!$F$3:$V$1107,17,0),"")</f>
        <v/>
      </c>
      <c r="BU242" s="300" t="str">
        <f>_xlfn.IFNA(VLOOKUP($BD242,Programma!$F$3:$W$1107,18,0),"")</f>
        <v/>
      </c>
      <c r="BV242" s="300" t="str">
        <f>_xlfn.IFNA(VLOOKUP($BD242,Programma!$F$3:$X$1107,19,0),"")</f>
        <v/>
      </c>
      <c r="BW242" s="300" t="str">
        <f>_xlfn.IFNA(VLOOKUP($BD242,Programma!$F$3:$Y$1107,20,0),"")</f>
        <v/>
      </c>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row>
    <row r="243" spans="1:220" ht="15" customHeight="1">
      <c r="A243" s="21">
        <v>4</v>
      </c>
      <c r="B243" s="157" t="str">
        <f>VLOOKUP(Ruimtestaat[[#This Row],[Code]],Locaties[[Code]:[Locatie]],2,FALSE)</f>
        <v>Sint-Maartenscollege</v>
      </c>
      <c r="C243" s="157" t="str">
        <f>VLOOKUP(Ruimtestaat[[#This Row],[Code]],Locaties[[#All],[Code]:[Adres]],4,FALSE)</f>
        <v xml:space="preserve">Aart v.d. Leeuwkade 14 </v>
      </c>
      <c r="D243" s="157" t="str">
        <f>VLOOKUP(Ruimtestaat[[#This Row],[Code]],Locaties[[#All],[Code]:[Postcode]],5,FALSE)</f>
        <v>2274 KX</v>
      </c>
      <c r="E243" s="157" t="str">
        <f>VLOOKUP(Ruimtestaat[[#This Row],[Code]],Locaties[#All],6,FALSE)</f>
        <v>Voorburg</v>
      </c>
      <c r="F243" s="62"/>
      <c r="G243" s="21" t="s">
        <v>1624</v>
      </c>
      <c r="H243" s="21" t="s">
        <v>1665</v>
      </c>
      <c r="I243" s="62" t="s">
        <v>1625</v>
      </c>
      <c r="J243" s="21">
        <v>6</v>
      </c>
      <c r="K243" s="62" t="str">
        <f>VLOOKUP(Ruimtestaat[[#This Row],[Ruimte code]],Ruimtegroepen[[#All],[Code]:[Ruimte omschrijving]],2,FALSE)</f>
        <v>Gangen/hallen</v>
      </c>
      <c r="L243" s="33" t="s">
        <v>101</v>
      </c>
      <c r="M243" s="367" t="s">
        <v>2495</v>
      </c>
      <c r="N243" s="140">
        <v>75</v>
      </c>
      <c r="O243" s="140"/>
      <c r="P243" s="125" t="str">
        <f>VLOOKUP(Ruimtestaat[[#This Row],[Ruimte code]],Ruimtegroepen[],4,FALSE)</f>
        <v>Ve</v>
      </c>
      <c r="R243" s="33">
        <v>40</v>
      </c>
      <c r="S243" s="33" t="s">
        <v>2</v>
      </c>
      <c r="T243" s="33">
        <f>IF(R243&gt;0,IF(RIGHT(Ruimtestaat[[#This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3" s="33">
        <f>IF(T243&gt;0,VLOOKUP($J243,Ruimtegroepen[],3,FALSE)*VLOOKUP($L243,Vloersoorten[],3,FALSE)*VLOOKUP($S243,Frequenties[],3,FALSE)*VLOOKUP($A243,Locaties[],3,FALSE),0)</f>
        <v>0</v>
      </c>
      <c r="V243" s="33">
        <f>Ruimtestaat[[#This Row],[Uitvoeringen werkdagen]]*Ruimtestaat[[#This Row],[Oppervlak (netto)]]</f>
        <v>15000</v>
      </c>
      <c r="W243" s="154">
        <f>IF(U243&gt;0,Ruimtestaat[[#This Row],[Prest. (m2 /jaar) werkdagen]]/Ruimtestaat[[#This Row],[Norm (m2/uur) werkdagen]],0)</f>
        <v>0</v>
      </c>
      <c r="X243" s="155">
        <f>Ruimtestaat[[#This Row],[uren / jaar werkdagen]]*Tariefsopbouw!$E$35</f>
        <v>0</v>
      </c>
      <c r="Y243" s="33"/>
      <c r="Z243" s="33">
        <f>IF(Ruimtestaat[[#This Row],[Frequentie weekend]]&gt;0,VALUE(LEFT(Y243,1))*R243,0)</f>
        <v>0</v>
      </c>
      <c r="AA243" s="97">
        <f>IF($Z243&gt;0,VLOOKUP($J243,Ruimtegroepen[],3,FALSE)*VLOOKUP($L243,Vloersoorten[],3,FALSE)*VLOOKUP($Y243,Frequenties[],3,FALSE)*VLOOKUP(Ruimtestaat[[#This Row],[Code]],Locaties[],3,FALSE),0)</f>
        <v>0</v>
      </c>
      <c r="AB243" s="97">
        <f>Ruimtestaat[[#This Row],[Uitvoeringen weekend]]*Ruimtestaat[[#This Row],[Oppervlak (netto)]]</f>
        <v>0</v>
      </c>
      <c r="AC243" s="97">
        <f>IF(AA243&gt;0,Ruimtestaat[[#This Row],[Prest. (m2 /jaar) weekend]]/Ruimtestaat[[#This Row],[Norm (m2/uur) weekend]],0)</f>
        <v>0</v>
      </c>
      <c r="AD243" s="155">
        <f>Ruimtestaat[[#This Row],[uren / jaar weekend]]*Tariefsopbouw!$D$40</f>
        <v>0</v>
      </c>
      <c r="AE243" s="154">
        <f>Ruimtestaat[[#This Row],[Prest. (m2 /jaar) weekend]]+Ruimtestaat[[#This Row],[Prest. (m2 /jaar) werkdagen]]</f>
        <v>15000</v>
      </c>
      <c r="AF243" s="154">
        <f>Ruimtestaat[[#This Row],[uren / jaar weekend]]+Ruimtestaat[[#This Row],[uren / jaar werkdagen]]</f>
        <v>0</v>
      </c>
      <c r="AG243" s="69">
        <f>Ruimtestaat[[#This Row],[kosten / jaar weekend]]+Ruimtestaat[[#This Row],[kosten / jaar werkdagen]]</f>
        <v>0</v>
      </c>
      <c r="AH243" s="69"/>
      <c r="AI243" s="256" t="str">
        <f>IF(Ruimtestaat[[#This Row],[Frequentie werkdagen]]="","",_xlfn.CONCAT(Ruimtestaat[[#This Row],[Ruimte code]],"-",Ruimtestaat[[#This Row],[Frequentie werkdagen]]," ",Ruimtestaat[[#This Row],[Vloer code]]))</f>
        <v>6-5w L</v>
      </c>
      <c r="AJ243" s="300" t="str">
        <f>_xlfn.IFNA(VLOOKUP($AI243,Programma!$F$3:$G$1107,2,0),"")</f>
        <v>_</v>
      </c>
      <c r="AK243" s="300" t="str">
        <f>_xlfn.IFNA(VLOOKUP($AI243,Programma!$F$3:$H$1107,3,0),"")</f>
        <v>_</v>
      </c>
      <c r="AL243" s="300" t="str">
        <f>_xlfn.IFNA(VLOOKUP($AI243,Programma!$F$3:$I$1107,4,0),"")</f>
        <v>_</v>
      </c>
      <c r="AM243" s="300" t="str">
        <f>_xlfn.IFNA(VLOOKUP($AI243,Programma!$F$3:$J$1107,5,0),"")</f>
        <v>5w</v>
      </c>
      <c r="AN243" s="300" t="str">
        <f>_xlfn.IFNA(VLOOKUP($AI243,Programma!$F$3:$K$1107,6,0),"")</f>
        <v>_</v>
      </c>
      <c r="AO243" s="300" t="str">
        <f>_xlfn.IFNA(VLOOKUP($AI243,Programma!$F$3:$L$1107,7,0),"")</f>
        <v>_</v>
      </c>
      <c r="AP243" s="300" t="str">
        <f>_xlfn.IFNA(VLOOKUP($AI243,Programma!$F$3:$M$1107,8,0),"")</f>
        <v>_</v>
      </c>
      <c r="AQ243" s="300" t="str">
        <f>_xlfn.IFNA(VLOOKUP($AI243,Programma!$F$3:$N$1107,9,0),"")</f>
        <v>_</v>
      </c>
      <c r="AR243" s="300" t="str">
        <f>_xlfn.IFNA(VLOOKUP($AI243,Programma!$F$3:$O$1107,10,0),"")</f>
        <v>5w</v>
      </c>
      <c r="AS243" s="300" t="str">
        <f>_xlfn.IFNA(VLOOKUP($AI243,Programma!$F$3:$P$1107,11,0),"")</f>
        <v>5w</v>
      </c>
      <c r="AT243" s="300" t="str">
        <f>_xlfn.IFNA(VLOOKUP($AI243,Programma!$F$3:$Q$1107,12,0),"")</f>
        <v>1w</v>
      </c>
      <c r="AU243" s="300" t="str">
        <f>_xlfn.IFNA(VLOOKUP($AI243,Programma!$F$3:$R$1107,13,0),"")</f>
        <v>1w</v>
      </c>
      <c r="AV243" s="300" t="str">
        <f>_xlfn.IFNA(VLOOKUP($AI243,Programma!$F$3:$S$1107,14,0),"")</f>
        <v>1m</v>
      </c>
      <c r="AW243" s="300" t="str">
        <f>_xlfn.IFNA(VLOOKUP($AI243,Programma!$F$3:$T$1107,15,0),"")</f>
        <v>2j</v>
      </c>
      <c r="AX243" s="300" t="str">
        <f>_xlfn.IFNA(VLOOKUP($AI243,Programma!$F$3:$U$1107,16,0),"")</f>
        <v>1j</v>
      </c>
      <c r="AY243" s="300" t="str">
        <f>_xlfn.IFNA(VLOOKUP($AI243,Programma!$F$3:$V$1107,17,0),"")</f>
        <v>_</v>
      </c>
      <c r="AZ243" s="300" t="str">
        <f>_xlfn.IFNA(VLOOKUP($AI243,Programma!$F$3:$W$1107,18,0),"")</f>
        <v>_</v>
      </c>
      <c r="BA243" s="300" t="str">
        <f>_xlfn.IFNA(VLOOKUP($AI243,Programma!$F$3:$X$1107,19,0),"")</f>
        <v>_</v>
      </c>
      <c r="BB243" s="300" t="str">
        <f>_xlfn.IFNA(VLOOKUP($AI243,Programma!$F$3:$Y$1107,20,0),"")</f>
        <v>_</v>
      </c>
      <c r="BC243" s="257"/>
      <c r="BD243" s="256" t="str">
        <f>IF(Ruimtestaat[[#This Row],[Frequentie weekend]]="","",_xlfn.CONCAT(Ruimtestaat[[#This Row],[Ruimte code]],"-",Ruimtestaat[[#This Row],[Frequentie weekend]]," ",Ruimtestaat[[#This Row],[Vloer code]]))</f>
        <v/>
      </c>
      <c r="BE243" s="300" t="str">
        <f>_xlfn.IFNA(VLOOKUP($BD243,Programma!$F$3:$G$1107,2,0),"")</f>
        <v/>
      </c>
      <c r="BF243" s="300" t="str">
        <f>_xlfn.IFNA(VLOOKUP($BD243,Programma!$F$3:$H$1107,3,0),"")</f>
        <v/>
      </c>
      <c r="BG243" s="300" t="str">
        <f>_xlfn.IFNA(VLOOKUP($BD243,Programma!$F$3:$I$1107,4,0),"")</f>
        <v/>
      </c>
      <c r="BH243" s="300" t="str">
        <f>_xlfn.IFNA(VLOOKUP($BD243,Programma!$F$3:$J$1107,5,0),"")</f>
        <v/>
      </c>
      <c r="BI243" s="300" t="str">
        <f>_xlfn.IFNA(VLOOKUP($BD243,Programma!$F$3:$K$1107,6,0),"")</f>
        <v/>
      </c>
      <c r="BJ243" s="300" t="str">
        <f>_xlfn.IFNA(VLOOKUP($BD243,Programma!$F$3:$L$1107,7,0),"")</f>
        <v/>
      </c>
      <c r="BK243" s="300" t="str">
        <f>_xlfn.IFNA(VLOOKUP($BD243,Programma!$F$3:$M$1107,8,0),"")</f>
        <v/>
      </c>
      <c r="BL243" s="300" t="str">
        <f>_xlfn.IFNA(VLOOKUP($BD243,Programma!$F$3:$N$1107,9,0),"")</f>
        <v/>
      </c>
      <c r="BM243" s="300" t="str">
        <f>_xlfn.IFNA(VLOOKUP($BD243,Programma!$F$3:$O$1107,10,0),"")</f>
        <v/>
      </c>
      <c r="BN243" s="300" t="str">
        <f>_xlfn.IFNA(VLOOKUP($BD243,Programma!$F$3:$P$1107,11,0),"")</f>
        <v/>
      </c>
      <c r="BO243" s="300" t="str">
        <f>_xlfn.IFNA(VLOOKUP($BD243,Programma!$F$3:$Q$1107,12,0),"")</f>
        <v/>
      </c>
      <c r="BP243" s="300" t="str">
        <f>_xlfn.IFNA(VLOOKUP($BD243,Programma!$F$3:$R$1107,13,0),"")</f>
        <v/>
      </c>
      <c r="BQ243" s="300" t="str">
        <f>_xlfn.IFNA(VLOOKUP($BD243,Programma!$F$3:$S$1107,14,0),"")</f>
        <v/>
      </c>
      <c r="BR243" s="300" t="str">
        <f>_xlfn.IFNA(VLOOKUP($BD243,Programma!$F$3:$T$1107,15,0),"")</f>
        <v/>
      </c>
      <c r="BS243" s="300" t="str">
        <f>_xlfn.IFNA(VLOOKUP($BD243,Programma!$F$3:$U$1107,16,0),"")</f>
        <v/>
      </c>
      <c r="BT243" s="300" t="str">
        <f>_xlfn.IFNA(VLOOKUP($BD243,Programma!$F$3:$V$1107,17,0),"")</f>
        <v/>
      </c>
      <c r="BU243" s="300" t="str">
        <f>_xlfn.IFNA(VLOOKUP($BD243,Programma!$F$3:$W$1107,18,0),"")</f>
        <v/>
      </c>
      <c r="BV243" s="300" t="str">
        <f>_xlfn.IFNA(VLOOKUP($BD243,Programma!$F$3:$X$1107,19,0),"")</f>
        <v/>
      </c>
      <c r="BW243" s="300" t="str">
        <f>_xlfn.IFNA(VLOOKUP($BD243,Programma!$F$3:$Y$1107,20,0),"")</f>
        <v/>
      </c>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row>
    <row r="244" spans="1:220" ht="15" customHeight="1">
      <c r="A244" s="21">
        <v>4</v>
      </c>
      <c r="B244" s="157" t="str">
        <f>VLOOKUP(Ruimtestaat[[#This Row],[Code]],Locaties[[Code]:[Locatie]],2,FALSE)</f>
        <v>Sint-Maartenscollege</v>
      </c>
      <c r="C244" s="157" t="str">
        <f>VLOOKUP(Ruimtestaat[[#This Row],[Code]],Locaties[[#All],[Code]:[Adres]],4,FALSE)</f>
        <v xml:space="preserve">Aart v.d. Leeuwkade 14 </v>
      </c>
      <c r="D244" s="157" t="str">
        <f>VLOOKUP(Ruimtestaat[[#This Row],[Code]],Locaties[[#All],[Code]:[Postcode]],5,FALSE)</f>
        <v>2274 KX</v>
      </c>
      <c r="E244" s="157" t="str">
        <f>VLOOKUP(Ruimtestaat[[#This Row],[Code]],Locaties[#All],6,FALSE)</f>
        <v>Voorburg</v>
      </c>
      <c r="F244" s="62"/>
      <c r="G244" s="21" t="s">
        <v>1624</v>
      </c>
      <c r="H244" s="21" t="s">
        <v>1666</v>
      </c>
      <c r="I244" s="62" t="s">
        <v>1807</v>
      </c>
      <c r="J244" s="21">
        <v>6</v>
      </c>
      <c r="K244" s="62" t="str">
        <f>VLOOKUP(Ruimtestaat[[#This Row],[Ruimte code]],Ruimtegroepen[[#All],[Code]:[Ruimte omschrijving]],2,FALSE)</f>
        <v>Gangen/hallen</v>
      </c>
      <c r="L244" s="33" t="s">
        <v>101</v>
      </c>
      <c r="M244" s="367" t="s">
        <v>2495</v>
      </c>
      <c r="N244" s="140">
        <v>107</v>
      </c>
      <c r="O244" s="140"/>
      <c r="P244" s="125" t="str">
        <f>VLOOKUP(Ruimtestaat[[#This Row],[Ruimte code]],Ruimtegroepen[],4,FALSE)</f>
        <v>Ve</v>
      </c>
      <c r="R244" s="33">
        <v>40</v>
      </c>
      <c r="S244" s="33" t="s">
        <v>2</v>
      </c>
      <c r="T244" s="33">
        <f>IF(R244&gt;0,IF(RIGHT(Ruimtestaat[[#This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4" s="33">
        <f>IF(T244&gt;0,VLOOKUP($J244,Ruimtegroepen[],3,FALSE)*VLOOKUP($L244,Vloersoorten[],3,FALSE)*VLOOKUP($S244,Frequenties[],3,FALSE)*VLOOKUP($A244,Locaties[],3,FALSE),0)</f>
        <v>0</v>
      </c>
      <c r="V244" s="33">
        <f>Ruimtestaat[[#This Row],[Uitvoeringen werkdagen]]*Ruimtestaat[[#This Row],[Oppervlak (netto)]]</f>
        <v>21400</v>
      </c>
      <c r="W244" s="154">
        <f>IF(U244&gt;0,Ruimtestaat[[#This Row],[Prest. (m2 /jaar) werkdagen]]/Ruimtestaat[[#This Row],[Norm (m2/uur) werkdagen]],0)</f>
        <v>0</v>
      </c>
      <c r="X244" s="155">
        <f>Ruimtestaat[[#This Row],[uren / jaar werkdagen]]*Tariefsopbouw!$E$35</f>
        <v>0</v>
      </c>
      <c r="Y244" s="33"/>
      <c r="Z244" s="33">
        <f>IF(Ruimtestaat[[#This Row],[Frequentie weekend]]&gt;0,VALUE(LEFT(Y244,1))*R244,0)</f>
        <v>0</v>
      </c>
      <c r="AA244" s="97">
        <f>IF($Z244&gt;0,VLOOKUP($J244,Ruimtegroepen[],3,FALSE)*VLOOKUP($L244,Vloersoorten[],3,FALSE)*VLOOKUP($Y244,Frequenties[],3,FALSE)*VLOOKUP(Ruimtestaat[[#This Row],[Code]],Locaties[],3,FALSE),0)</f>
        <v>0</v>
      </c>
      <c r="AB244" s="97">
        <f>Ruimtestaat[[#This Row],[Uitvoeringen weekend]]*Ruimtestaat[[#This Row],[Oppervlak (netto)]]</f>
        <v>0</v>
      </c>
      <c r="AC244" s="97">
        <f>IF(AA244&gt;0,Ruimtestaat[[#This Row],[Prest. (m2 /jaar) weekend]]/Ruimtestaat[[#This Row],[Norm (m2/uur) weekend]],0)</f>
        <v>0</v>
      </c>
      <c r="AD244" s="155">
        <f>Ruimtestaat[[#This Row],[uren / jaar weekend]]*Tariefsopbouw!$D$40</f>
        <v>0</v>
      </c>
      <c r="AE244" s="154">
        <f>Ruimtestaat[[#This Row],[Prest. (m2 /jaar) weekend]]+Ruimtestaat[[#This Row],[Prest. (m2 /jaar) werkdagen]]</f>
        <v>21400</v>
      </c>
      <c r="AF244" s="154">
        <f>Ruimtestaat[[#This Row],[uren / jaar weekend]]+Ruimtestaat[[#This Row],[uren / jaar werkdagen]]</f>
        <v>0</v>
      </c>
      <c r="AG244" s="69">
        <f>Ruimtestaat[[#This Row],[kosten / jaar weekend]]+Ruimtestaat[[#This Row],[kosten / jaar werkdagen]]</f>
        <v>0</v>
      </c>
      <c r="AH244" s="69"/>
      <c r="AI244" s="256" t="str">
        <f>IF(Ruimtestaat[[#This Row],[Frequentie werkdagen]]="","",_xlfn.CONCAT(Ruimtestaat[[#This Row],[Ruimte code]],"-",Ruimtestaat[[#This Row],[Frequentie werkdagen]]," ",Ruimtestaat[[#This Row],[Vloer code]]))</f>
        <v>6-5w L</v>
      </c>
      <c r="AJ244" s="300" t="str">
        <f>_xlfn.IFNA(VLOOKUP($AI244,Programma!$F$3:$G$1107,2,0),"")</f>
        <v>_</v>
      </c>
      <c r="AK244" s="300" t="str">
        <f>_xlfn.IFNA(VLOOKUP($AI244,Programma!$F$3:$H$1107,3,0),"")</f>
        <v>_</v>
      </c>
      <c r="AL244" s="300" t="str">
        <f>_xlfn.IFNA(VLOOKUP($AI244,Programma!$F$3:$I$1107,4,0),"")</f>
        <v>_</v>
      </c>
      <c r="AM244" s="300" t="str">
        <f>_xlfn.IFNA(VLOOKUP($AI244,Programma!$F$3:$J$1107,5,0),"")</f>
        <v>5w</v>
      </c>
      <c r="AN244" s="300" t="str">
        <f>_xlfn.IFNA(VLOOKUP($AI244,Programma!$F$3:$K$1107,6,0),"")</f>
        <v>_</v>
      </c>
      <c r="AO244" s="300" t="str">
        <f>_xlfn.IFNA(VLOOKUP($AI244,Programma!$F$3:$L$1107,7,0),"")</f>
        <v>_</v>
      </c>
      <c r="AP244" s="300" t="str">
        <f>_xlfn.IFNA(VLOOKUP($AI244,Programma!$F$3:$M$1107,8,0),"")</f>
        <v>_</v>
      </c>
      <c r="AQ244" s="300" t="str">
        <f>_xlfn.IFNA(VLOOKUP($AI244,Programma!$F$3:$N$1107,9,0),"")</f>
        <v>_</v>
      </c>
      <c r="AR244" s="300" t="str">
        <f>_xlfn.IFNA(VLOOKUP($AI244,Programma!$F$3:$O$1107,10,0),"")</f>
        <v>5w</v>
      </c>
      <c r="AS244" s="300" t="str">
        <f>_xlfn.IFNA(VLOOKUP($AI244,Programma!$F$3:$P$1107,11,0),"")</f>
        <v>5w</v>
      </c>
      <c r="AT244" s="300" t="str">
        <f>_xlfn.IFNA(VLOOKUP($AI244,Programma!$F$3:$Q$1107,12,0),"")</f>
        <v>1w</v>
      </c>
      <c r="AU244" s="300" t="str">
        <f>_xlfn.IFNA(VLOOKUP($AI244,Programma!$F$3:$R$1107,13,0),"")</f>
        <v>1w</v>
      </c>
      <c r="AV244" s="300" t="str">
        <f>_xlfn.IFNA(VLOOKUP($AI244,Programma!$F$3:$S$1107,14,0),"")</f>
        <v>1m</v>
      </c>
      <c r="AW244" s="300" t="str">
        <f>_xlfn.IFNA(VLOOKUP($AI244,Programma!$F$3:$T$1107,15,0),"")</f>
        <v>2j</v>
      </c>
      <c r="AX244" s="300" t="str">
        <f>_xlfn.IFNA(VLOOKUP($AI244,Programma!$F$3:$U$1107,16,0),"")</f>
        <v>1j</v>
      </c>
      <c r="AY244" s="300" t="str">
        <f>_xlfn.IFNA(VLOOKUP($AI244,Programma!$F$3:$V$1107,17,0),"")</f>
        <v>_</v>
      </c>
      <c r="AZ244" s="300" t="str">
        <f>_xlfn.IFNA(VLOOKUP($AI244,Programma!$F$3:$W$1107,18,0),"")</f>
        <v>_</v>
      </c>
      <c r="BA244" s="300" t="str">
        <f>_xlfn.IFNA(VLOOKUP($AI244,Programma!$F$3:$X$1107,19,0),"")</f>
        <v>_</v>
      </c>
      <c r="BB244" s="300" t="str">
        <f>_xlfn.IFNA(VLOOKUP($AI244,Programma!$F$3:$Y$1107,20,0),"")</f>
        <v>_</v>
      </c>
      <c r="BC244" s="257"/>
      <c r="BD244" s="256" t="str">
        <f>IF(Ruimtestaat[[#This Row],[Frequentie weekend]]="","",_xlfn.CONCAT(Ruimtestaat[[#This Row],[Ruimte code]],"-",Ruimtestaat[[#This Row],[Frequentie weekend]]," ",Ruimtestaat[[#This Row],[Vloer code]]))</f>
        <v/>
      </c>
      <c r="BE244" s="300" t="str">
        <f>_xlfn.IFNA(VLOOKUP($BD244,Programma!$F$3:$G$1107,2,0),"")</f>
        <v/>
      </c>
      <c r="BF244" s="300" t="str">
        <f>_xlfn.IFNA(VLOOKUP($BD244,Programma!$F$3:$H$1107,3,0),"")</f>
        <v/>
      </c>
      <c r="BG244" s="300" t="str">
        <f>_xlfn.IFNA(VLOOKUP($BD244,Programma!$F$3:$I$1107,4,0),"")</f>
        <v/>
      </c>
      <c r="BH244" s="300" t="str">
        <f>_xlfn.IFNA(VLOOKUP($BD244,Programma!$F$3:$J$1107,5,0),"")</f>
        <v/>
      </c>
      <c r="BI244" s="300" t="str">
        <f>_xlfn.IFNA(VLOOKUP($BD244,Programma!$F$3:$K$1107,6,0),"")</f>
        <v/>
      </c>
      <c r="BJ244" s="300" t="str">
        <f>_xlfn.IFNA(VLOOKUP($BD244,Programma!$F$3:$L$1107,7,0),"")</f>
        <v/>
      </c>
      <c r="BK244" s="300" t="str">
        <f>_xlfn.IFNA(VLOOKUP($BD244,Programma!$F$3:$M$1107,8,0),"")</f>
        <v/>
      </c>
      <c r="BL244" s="300" t="str">
        <f>_xlfn.IFNA(VLOOKUP($BD244,Programma!$F$3:$N$1107,9,0),"")</f>
        <v/>
      </c>
      <c r="BM244" s="300" t="str">
        <f>_xlfn.IFNA(VLOOKUP($BD244,Programma!$F$3:$O$1107,10,0),"")</f>
        <v/>
      </c>
      <c r="BN244" s="300" t="str">
        <f>_xlfn.IFNA(VLOOKUP($BD244,Programma!$F$3:$P$1107,11,0),"")</f>
        <v/>
      </c>
      <c r="BO244" s="300" t="str">
        <f>_xlfn.IFNA(VLOOKUP($BD244,Programma!$F$3:$Q$1107,12,0),"")</f>
        <v/>
      </c>
      <c r="BP244" s="300" t="str">
        <f>_xlfn.IFNA(VLOOKUP($BD244,Programma!$F$3:$R$1107,13,0),"")</f>
        <v/>
      </c>
      <c r="BQ244" s="300" t="str">
        <f>_xlfn.IFNA(VLOOKUP($BD244,Programma!$F$3:$S$1107,14,0),"")</f>
        <v/>
      </c>
      <c r="BR244" s="300" t="str">
        <f>_xlfn.IFNA(VLOOKUP($BD244,Programma!$F$3:$T$1107,15,0),"")</f>
        <v/>
      </c>
      <c r="BS244" s="300" t="str">
        <f>_xlfn.IFNA(VLOOKUP($BD244,Programma!$F$3:$U$1107,16,0),"")</f>
        <v/>
      </c>
      <c r="BT244" s="300" t="str">
        <f>_xlfn.IFNA(VLOOKUP($BD244,Programma!$F$3:$V$1107,17,0),"")</f>
        <v/>
      </c>
      <c r="BU244" s="300" t="str">
        <f>_xlfn.IFNA(VLOOKUP($BD244,Programma!$F$3:$W$1107,18,0),"")</f>
        <v/>
      </c>
      <c r="BV244" s="300" t="str">
        <f>_xlfn.IFNA(VLOOKUP($BD244,Programma!$F$3:$X$1107,19,0),"")</f>
        <v/>
      </c>
      <c r="BW244" s="300" t="str">
        <f>_xlfn.IFNA(VLOOKUP($BD244,Programma!$F$3:$Y$1107,20,0),"")</f>
        <v/>
      </c>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row>
    <row r="245" spans="1:220" ht="15" customHeight="1">
      <c r="A245" s="21">
        <v>4</v>
      </c>
      <c r="B245" s="157" t="str">
        <f>VLOOKUP(Ruimtestaat[[#This Row],[Code]],Locaties[[Code]:[Locatie]],2,FALSE)</f>
        <v>Sint-Maartenscollege</v>
      </c>
      <c r="C245" s="157" t="str">
        <f>VLOOKUP(Ruimtestaat[[#This Row],[Code]],Locaties[[#All],[Code]:[Adres]],4,FALSE)</f>
        <v xml:space="preserve">Aart v.d. Leeuwkade 14 </v>
      </c>
      <c r="D245" s="157" t="str">
        <f>VLOOKUP(Ruimtestaat[[#This Row],[Code]],Locaties[[#All],[Code]:[Postcode]],5,FALSE)</f>
        <v>2274 KX</v>
      </c>
      <c r="E245" s="157" t="str">
        <f>VLOOKUP(Ruimtestaat[[#This Row],[Code]],Locaties[#All],6,FALSE)</f>
        <v>Voorburg</v>
      </c>
      <c r="F245" s="62"/>
      <c r="G245" s="21" t="s">
        <v>1624</v>
      </c>
      <c r="H245" s="21" t="s">
        <v>1667</v>
      </c>
      <c r="I245" s="62" t="s">
        <v>1901</v>
      </c>
      <c r="J245" s="21">
        <v>6</v>
      </c>
      <c r="K245" s="62" t="str">
        <f>VLOOKUP(Ruimtestaat[[#This Row],[Ruimte code]],Ruimtegroepen[[#All],[Code]:[Ruimte omschrijving]],2,FALSE)</f>
        <v>Gangen/hallen</v>
      </c>
      <c r="L245" s="33" t="s">
        <v>101</v>
      </c>
      <c r="M245" s="367" t="s">
        <v>2495</v>
      </c>
      <c r="N245" s="140">
        <v>12</v>
      </c>
      <c r="O245" s="140"/>
      <c r="P245" s="125" t="str">
        <f>VLOOKUP(Ruimtestaat[[#This Row],[Ruimte code]],Ruimtegroepen[],4,FALSE)</f>
        <v>Ve</v>
      </c>
      <c r="R245" s="33">
        <v>40</v>
      </c>
      <c r="S245" s="33" t="s">
        <v>2</v>
      </c>
      <c r="T245" s="33">
        <f>IF(R245&gt;0,IF(RIGHT(Ruimtestaat[[#This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5" s="33">
        <f>IF(T245&gt;0,VLOOKUP($J245,Ruimtegroepen[],3,FALSE)*VLOOKUP($L245,Vloersoorten[],3,FALSE)*VLOOKUP($S245,Frequenties[],3,FALSE)*VLOOKUP($A245,Locaties[],3,FALSE),0)</f>
        <v>0</v>
      </c>
      <c r="V245" s="33">
        <f>Ruimtestaat[[#This Row],[Uitvoeringen werkdagen]]*Ruimtestaat[[#This Row],[Oppervlak (netto)]]</f>
        <v>2400</v>
      </c>
      <c r="W245" s="154">
        <f>IF(U245&gt;0,Ruimtestaat[[#This Row],[Prest. (m2 /jaar) werkdagen]]/Ruimtestaat[[#This Row],[Norm (m2/uur) werkdagen]],0)</f>
        <v>0</v>
      </c>
      <c r="X245" s="155">
        <f>Ruimtestaat[[#This Row],[uren / jaar werkdagen]]*Tariefsopbouw!$E$35</f>
        <v>0</v>
      </c>
      <c r="Y245" s="33"/>
      <c r="Z245" s="33">
        <f>IF(Ruimtestaat[[#This Row],[Frequentie weekend]]&gt;0,VALUE(LEFT(Y245,1))*R245,0)</f>
        <v>0</v>
      </c>
      <c r="AA245" s="97">
        <f>IF($Z245&gt;0,VLOOKUP($J245,Ruimtegroepen[],3,FALSE)*VLOOKUP($L245,Vloersoorten[],3,FALSE)*VLOOKUP($Y245,Frequenties[],3,FALSE)*VLOOKUP(Ruimtestaat[[#This Row],[Code]],Locaties[],3,FALSE),0)</f>
        <v>0</v>
      </c>
      <c r="AB245" s="97">
        <f>Ruimtestaat[[#This Row],[Uitvoeringen weekend]]*Ruimtestaat[[#This Row],[Oppervlak (netto)]]</f>
        <v>0</v>
      </c>
      <c r="AC245" s="97">
        <f>IF(AA245&gt;0,Ruimtestaat[[#This Row],[Prest. (m2 /jaar) weekend]]/Ruimtestaat[[#This Row],[Norm (m2/uur) weekend]],0)</f>
        <v>0</v>
      </c>
      <c r="AD245" s="155">
        <f>Ruimtestaat[[#This Row],[uren / jaar weekend]]*Tariefsopbouw!$D$40</f>
        <v>0</v>
      </c>
      <c r="AE245" s="154">
        <f>Ruimtestaat[[#This Row],[Prest. (m2 /jaar) weekend]]+Ruimtestaat[[#This Row],[Prest. (m2 /jaar) werkdagen]]</f>
        <v>2400</v>
      </c>
      <c r="AF245" s="154">
        <f>Ruimtestaat[[#This Row],[uren / jaar weekend]]+Ruimtestaat[[#This Row],[uren / jaar werkdagen]]</f>
        <v>0</v>
      </c>
      <c r="AG245" s="69">
        <f>Ruimtestaat[[#This Row],[kosten / jaar weekend]]+Ruimtestaat[[#This Row],[kosten / jaar werkdagen]]</f>
        <v>0</v>
      </c>
      <c r="AH245" s="69"/>
      <c r="AI245" s="256" t="str">
        <f>IF(Ruimtestaat[[#This Row],[Frequentie werkdagen]]="","",_xlfn.CONCAT(Ruimtestaat[[#This Row],[Ruimte code]],"-",Ruimtestaat[[#This Row],[Frequentie werkdagen]]," ",Ruimtestaat[[#This Row],[Vloer code]]))</f>
        <v>6-5w L</v>
      </c>
      <c r="AJ245" s="300" t="str">
        <f>_xlfn.IFNA(VLOOKUP($AI245,Programma!$F$3:$G$1107,2,0),"")</f>
        <v>_</v>
      </c>
      <c r="AK245" s="300" t="str">
        <f>_xlfn.IFNA(VLOOKUP($AI245,Programma!$F$3:$H$1107,3,0),"")</f>
        <v>_</v>
      </c>
      <c r="AL245" s="300" t="str">
        <f>_xlfn.IFNA(VLOOKUP($AI245,Programma!$F$3:$I$1107,4,0),"")</f>
        <v>_</v>
      </c>
      <c r="AM245" s="300" t="str">
        <f>_xlfn.IFNA(VLOOKUP($AI245,Programma!$F$3:$J$1107,5,0),"")</f>
        <v>5w</v>
      </c>
      <c r="AN245" s="300" t="str">
        <f>_xlfn.IFNA(VLOOKUP($AI245,Programma!$F$3:$K$1107,6,0),"")</f>
        <v>_</v>
      </c>
      <c r="AO245" s="300" t="str">
        <f>_xlfn.IFNA(VLOOKUP($AI245,Programma!$F$3:$L$1107,7,0),"")</f>
        <v>_</v>
      </c>
      <c r="AP245" s="300" t="str">
        <f>_xlfn.IFNA(VLOOKUP($AI245,Programma!$F$3:$M$1107,8,0),"")</f>
        <v>_</v>
      </c>
      <c r="AQ245" s="300" t="str">
        <f>_xlfn.IFNA(VLOOKUP($AI245,Programma!$F$3:$N$1107,9,0),"")</f>
        <v>_</v>
      </c>
      <c r="AR245" s="300" t="str">
        <f>_xlfn.IFNA(VLOOKUP($AI245,Programma!$F$3:$O$1107,10,0),"")</f>
        <v>5w</v>
      </c>
      <c r="AS245" s="300" t="str">
        <f>_xlfn.IFNA(VLOOKUP($AI245,Programma!$F$3:$P$1107,11,0),"")</f>
        <v>5w</v>
      </c>
      <c r="AT245" s="300" t="str">
        <f>_xlfn.IFNA(VLOOKUP($AI245,Programma!$F$3:$Q$1107,12,0),"")</f>
        <v>1w</v>
      </c>
      <c r="AU245" s="300" t="str">
        <f>_xlfn.IFNA(VLOOKUP($AI245,Programma!$F$3:$R$1107,13,0),"")</f>
        <v>1w</v>
      </c>
      <c r="AV245" s="300" t="str">
        <f>_xlfn.IFNA(VLOOKUP($AI245,Programma!$F$3:$S$1107,14,0),"")</f>
        <v>1m</v>
      </c>
      <c r="AW245" s="300" t="str">
        <f>_xlfn.IFNA(VLOOKUP($AI245,Programma!$F$3:$T$1107,15,0),"")</f>
        <v>2j</v>
      </c>
      <c r="AX245" s="300" t="str">
        <f>_xlfn.IFNA(VLOOKUP($AI245,Programma!$F$3:$U$1107,16,0),"")</f>
        <v>1j</v>
      </c>
      <c r="AY245" s="300" t="str">
        <f>_xlfn.IFNA(VLOOKUP($AI245,Programma!$F$3:$V$1107,17,0),"")</f>
        <v>_</v>
      </c>
      <c r="AZ245" s="300" t="str">
        <f>_xlfn.IFNA(VLOOKUP($AI245,Programma!$F$3:$W$1107,18,0),"")</f>
        <v>_</v>
      </c>
      <c r="BA245" s="300" t="str">
        <f>_xlfn.IFNA(VLOOKUP($AI245,Programma!$F$3:$X$1107,19,0),"")</f>
        <v>_</v>
      </c>
      <c r="BB245" s="300" t="str">
        <f>_xlfn.IFNA(VLOOKUP($AI245,Programma!$F$3:$Y$1107,20,0),"")</f>
        <v>_</v>
      </c>
      <c r="BC245" s="257"/>
      <c r="BD245" s="256" t="str">
        <f>IF(Ruimtestaat[[#This Row],[Frequentie weekend]]="","",_xlfn.CONCAT(Ruimtestaat[[#This Row],[Ruimte code]],"-",Ruimtestaat[[#This Row],[Frequentie weekend]]," ",Ruimtestaat[[#This Row],[Vloer code]]))</f>
        <v/>
      </c>
      <c r="BE245" s="300" t="str">
        <f>_xlfn.IFNA(VLOOKUP($BD245,Programma!$F$3:$G$1107,2,0),"")</f>
        <v/>
      </c>
      <c r="BF245" s="300" t="str">
        <f>_xlfn.IFNA(VLOOKUP($BD245,Programma!$F$3:$H$1107,3,0),"")</f>
        <v/>
      </c>
      <c r="BG245" s="300" t="str">
        <f>_xlfn.IFNA(VLOOKUP($BD245,Programma!$F$3:$I$1107,4,0),"")</f>
        <v/>
      </c>
      <c r="BH245" s="300" t="str">
        <f>_xlfn.IFNA(VLOOKUP($BD245,Programma!$F$3:$J$1107,5,0),"")</f>
        <v/>
      </c>
      <c r="BI245" s="300" t="str">
        <f>_xlfn.IFNA(VLOOKUP($BD245,Programma!$F$3:$K$1107,6,0),"")</f>
        <v/>
      </c>
      <c r="BJ245" s="300" t="str">
        <f>_xlfn.IFNA(VLOOKUP($BD245,Programma!$F$3:$L$1107,7,0),"")</f>
        <v/>
      </c>
      <c r="BK245" s="300" t="str">
        <f>_xlfn.IFNA(VLOOKUP($BD245,Programma!$F$3:$M$1107,8,0),"")</f>
        <v/>
      </c>
      <c r="BL245" s="300" t="str">
        <f>_xlfn.IFNA(VLOOKUP($BD245,Programma!$F$3:$N$1107,9,0),"")</f>
        <v/>
      </c>
      <c r="BM245" s="300" t="str">
        <f>_xlfn.IFNA(VLOOKUP($BD245,Programma!$F$3:$O$1107,10,0),"")</f>
        <v/>
      </c>
      <c r="BN245" s="300" t="str">
        <f>_xlfn.IFNA(VLOOKUP($BD245,Programma!$F$3:$P$1107,11,0),"")</f>
        <v/>
      </c>
      <c r="BO245" s="300" t="str">
        <f>_xlfn.IFNA(VLOOKUP($BD245,Programma!$F$3:$Q$1107,12,0),"")</f>
        <v/>
      </c>
      <c r="BP245" s="300" t="str">
        <f>_xlfn.IFNA(VLOOKUP($BD245,Programma!$F$3:$R$1107,13,0),"")</f>
        <v/>
      </c>
      <c r="BQ245" s="300" t="str">
        <f>_xlfn.IFNA(VLOOKUP($BD245,Programma!$F$3:$S$1107,14,0),"")</f>
        <v/>
      </c>
      <c r="BR245" s="300" t="str">
        <f>_xlfn.IFNA(VLOOKUP($BD245,Programma!$F$3:$T$1107,15,0),"")</f>
        <v/>
      </c>
      <c r="BS245" s="300" t="str">
        <f>_xlfn.IFNA(VLOOKUP($BD245,Programma!$F$3:$U$1107,16,0),"")</f>
        <v/>
      </c>
      <c r="BT245" s="300" t="str">
        <f>_xlfn.IFNA(VLOOKUP($BD245,Programma!$F$3:$V$1107,17,0),"")</f>
        <v/>
      </c>
      <c r="BU245" s="300" t="str">
        <f>_xlfn.IFNA(VLOOKUP($BD245,Programma!$F$3:$W$1107,18,0),"")</f>
        <v/>
      </c>
      <c r="BV245" s="300" t="str">
        <f>_xlfn.IFNA(VLOOKUP($BD245,Programma!$F$3:$X$1107,19,0),"")</f>
        <v/>
      </c>
      <c r="BW245" s="300" t="str">
        <f>_xlfn.IFNA(VLOOKUP($BD245,Programma!$F$3:$Y$1107,20,0),"")</f>
        <v/>
      </c>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row>
    <row r="246" spans="1:220" ht="15" customHeight="1">
      <c r="A246" s="21">
        <v>4</v>
      </c>
      <c r="B246" s="157" t="str">
        <f>VLOOKUP(Ruimtestaat[[#This Row],[Code]],Locaties[[Code]:[Locatie]],2,FALSE)</f>
        <v>Sint-Maartenscollege</v>
      </c>
      <c r="C246" s="157" t="str">
        <f>VLOOKUP(Ruimtestaat[[#This Row],[Code]],Locaties[[#All],[Code]:[Adres]],4,FALSE)</f>
        <v xml:space="preserve">Aart v.d. Leeuwkade 14 </v>
      </c>
      <c r="D246" s="157" t="str">
        <f>VLOOKUP(Ruimtestaat[[#This Row],[Code]],Locaties[[#All],[Code]:[Postcode]],5,FALSE)</f>
        <v>2274 KX</v>
      </c>
      <c r="E246" s="157" t="str">
        <f>VLOOKUP(Ruimtestaat[[#This Row],[Code]],Locaties[#All],6,FALSE)</f>
        <v>Voorburg</v>
      </c>
      <c r="F246" s="62"/>
      <c r="G246" s="21" t="s">
        <v>1624</v>
      </c>
      <c r="H246" s="21" t="s">
        <v>1668</v>
      </c>
      <c r="I246" s="62" t="s">
        <v>1625</v>
      </c>
      <c r="J246" s="21">
        <v>6</v>
      </c>
      <c r="K246" s="62" t="str">
        <f>VLOOKUP(Ruimtestaat[[#This Row],[Ruimte code]],Ruimtegroepen[[#All],[Code]:[Ruimte omschrijving]],2,FALSE)</f>
        <v>Gangen/hallen</v>
      </c>
      <c r="L246" s="33" t="s">
        <v>101</v>
      </c>
      <c r="M246" s="367" t="s">
        <v>2495</v>
      </c>
      <c r="N246" s="140">
        <v>175</v>
      </c>
      <c r="O246" s="140"/>
      <c r="P246" s="125" t="str">
        <f>VLOOKUP(Ruimtestaat[[#This Row],[Ruimte code]],Ruimtegroepen[],4,FALSE)</f>
        <v>Ve</v>
      </c>
      <c r="R246" s="33">
        <v>40</v>
      </c>
      <c r="S246" s="33" t="s">
        <v>2</v>
      </c>
      <c r="T246" s="33">
        <f>IF(R246&gt;0,IF(RIGHT(Ruimtestaat[[#This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6" s="33">
        <f>IF(T246&gt;0,VLOOKUP($J246,Ruimtegroepen[],3,FALSE)*VLOOKUP($L246,Vloersoorten[],3,FALSE)*VLOOKUP($S246,Frequenties[],3,FALSE)*VLOOKUP($A246,Locaties[],3,FALSE),0)</f>
        <v>0</v>
      </c>
      <c r="V246" s="33">
        <f>Ruimtestaat[[#This Row],[Uitvoeringen werkdagen]]*Ruimtestaat[[#This Row],[Oppervlak (netto)]]</f>
        <v>35000</v>
      </c>
      <c r="W246" s="154">
        <f>IF(U246&gt;0,Ruimtestaat[[#This Row],[Prest. (m2 /jaar) werkdagen]]/Ruimtestaat[[#This Row],[Norm (m2/uur) werkdagen]],0)</f>
        <v>0</v>
      </c>
      <c r="X246" s="155">
        <f>Ruimtestaat[[#This Row],[uren / jaar werkdagen]]*Tariefsopbouw!$E$35</f>
        <v>0</v>
      </c>
      <c r="Y246" s="33"/>
      <c r="Z246" s="33">
        <f>IF(Ruimtestaat[[#This Row],[Frequentie weekend]]&gt;0,VALUE(LEFT(Y246,1))*R246,0)</f>
        <v>0</v>
      </c>
      <c r="AA246" s="97">
        <f>IF($Z246&gt;0,VLOOKUP($J246,Ruimtegroepen[],3,FALSE)*VLOOKUP($L246,Vloersoorten[],3,FALSE)*VLOOKUP($Y246,Frequenties[],3,FALSE)*VLOOKUP(Ruimtestaat[[#This Row],[Code]],Locaties[],3,FALSE),0)</f>
        <v>0</v>
      </c>
      <c r="AB246" s="97">
        <f>Ruimtestaat[[#This Row],[Uitvoeringen weekend]]*Ruimtestaat[[#This Row],[Oppervlak (netto)]]</f>
        <v>0</v>
      </c>
      <c r="AC246" s="97">
        <f>IF(AA246&gt;0,Ruimtestaat[[#This Row],[Prest. (m2 /jaar) weekend]]/Ruimtestaat[[#This Row],[Norm (m2/uur) weekend]],0)</f>
        <v>0</v>
      </c>
      <c r="AD246" s="155">
        <f>Ruimtestaat[[#This Row],[uren / jaar weekend]]*Tariefsopbouw!$D$40</f>
        <v>0</v>
      </c>
      <c r="AE246" s="154">
        <f>Ruimtestaat[[#This Row],[Prest. (m2 /jaar) weekend]]+Ruimtestaat[[#This Row],[Prest. (m2 /jaar) werkdagen]]</f>
        <v>35000</v>
      </c>
      <c r="AF246" s="154">
        <f>Ruimtestaat[[#This Row],[uren / jaar weekend]]+Ruimtestaat[[#This Row],[uren / jaar werkdagen]]</f>
        <v>0</v>
      </c>
      <c r="AG246" s="69">
        <f>Ruimtestaat[[#This Row],[kosten / jaar weekend]]+Ruimtestaat[[#This Row],[kosten / jaar werkdagen]]</f>
        <v>0</v>
      </c>
      <c r="AH246" s="69"/>
      <c r="AI246" s="256" t="str">
        <f>IF(Ruimtestaat[[#This Row],[Frequentie werkdagen]]="","",_xlfn.CONCAT(Ruimtestaat[[#This Row],[Ruimte code]],"-",Ruimtestaat[[#This Row],[Frequentie werkdagen]]," ",Ruimtestaat[[#This Row],[Vloer code]]))</f>
        <v>6-5w L</v>
      </c>
      <c r="AJ246" s="300" t="str">
        <f>_xlfn.IFNA(VLOOKUP($AI246,Programma!$F$3:$G$1107,2,0),"")</f>
        <v>_</v>
      </c>
      <c r="AK246" s="300" t="str">
        <f>_xlfn.IFNA(VLOOKUP($AI246,Programma!$F$3:$H$1107,3,0),"")</f>
        <v>_</v>
      </c>
      <c r="AL246" s="300" t="str">
        <f>_xlfn.IFNA(VLOOKUP($AI246,Programma!$F$3:$I$1107,4,0),"")</f>
        <v>_</v>
      </c>
      <c r="AM246" s="300" t="str">
        <f>_xlfn.IFNA(VLOOKUP($AI246,Programma!$F$3:$J$1107,5,0),"")</f>
        <v>5w</v>
      </c>
      <c r="AN246" s="300" t="str">
        <f>_xlfn.IFNA(VLOOKUP($AI246,Programma!$F$3:$K$1107,6,0),"")</f>
        <v>_</v>
      </c>
      <c r="AO246" s="300" t="str">
        <f>_xlfn.IFNA(VLOOKUP($AI246,Programma!$F$3:$L$1107,7,0),"")</f>
        <v>_</v>
      </c>
      <c r="AP246" s="300" t="str">
        <f>_xlfn.IFNA(VLOOKUP($AI246,Programma!$F$3:$M$1107,8,0),"")</f>
        <v>_</v>
      </c>
      <c r="AQ246" s="300" t="str">
        <f>_xlfn.IFNA(VLOOKUP($AI246,Programma!$F$3:$N$1107,9,0),"")</f>
        <v>_</v>
      </c>
      <c r="AR246" s="300" t="str">
        <f>_xlfn.IFNA(VLOOKUP($AI246,Programma!$F$3:$O$1107,10,0),"")</f>
        <v>5w</v>
      </c>
      <c r="AS246" s="300" t="str">
        <f>_xlfn.IFNA(VLOOKUP($AI246,Programma!$F$3:$P$1107,11,0),"")</f>
        <v>5w</v>
      </c>
      <c r="AT246" s="300" t="str">
        <f>_xlfn.IFNA(VLOOKUP($AI246,Programma!$F$3:$Q$1107,12,0),"")</f>
        <v>1w</v>
      </c>
      <c r="AU246" s="300" t="str">
        <f>_xlfn.IFNA(VLOOKUP($AI246,Programma!$F$3:$R$1107,13,0),"")</f>
        <v>1w</v>
      </c>
      <c r="AV246" s="300" t="str">
        <f>_xlfn.IFNA(VLOOKUP($AI246,Programma!$F$3:$S$1107,14,0),"")</f>
        <v>1m</v>
      </c>
      <c r="AW246" s="300" t="str">
        <f>_xlfn.IFNA(VLOOKUP($AI246,Programma!$F$3:$T$1107,15,0),"")</f>
        <v>2j</v>
      </c>
      <c r="AX246" s="300" t="str">
        <f>_xlfn.IFNA(VLOOKUP($AI246,Programma!$F$3:$U$1107,16,0),"")</f>
        <v>1j</v>
      </c>
      <c r="AY246" s="300" t="str">
        <f>_xlfn.IFNA(VLOOKUP($AI246,Programma!$F$3:$V$1107,17,0),"")</f>
        <v>_</v>
      </c>
      <c r="AZ246" s="300" t="str">
        <f>_xlfn.IFNA(VLOOKUP($AI246,Programma!$F$3:$W$1107,18,0),"")</f>
        <v>_</v>
      </c>
      <c r="BA246" s="300" t="str">
        <f>_xlfn.IFNA(VLOOKUP($AI246,Programma!$F$3:$X$1107,19,0),"")</f>
        <v>_</v>
      </c>
      <c r="BB246" s="300" t="str">
        <f>_xlfn.IFNA(VLOOKUP($AI246,Programma!$F$3:$Y$1107,20,0),"")</f>
        <v>_</v>
      </c>
      <c r="BC246" s="257"/>
      <c r="BD246" s="256" t="str">
        <f>IF(Ruimtestaat[[#This Row],[Frequentie weekend]]="","",_xlfn.CONCAT(Ruimtestaat[[#This Row],[Ruimte code]],"-",Ruimtestaat[[#This Row],[Frequentie weekend]]," ",Ruimtestaat[[#This Row],[Vloer code]]))</f>
        <v/>
      </c>
      <c r="BE246" s="300" t="str">
        <f>_xlfn.IFNA(VLOOKUP($BD246,Programma!$F$3:$G$1107,2,0),"")</f>
        <v/>
      </c>
      <c r="BF246" s="300" t="str">
        <f>_xlfn.IFNA(VLOOKUP($BD246,Programma!$F$3:$H$1107,3,0),"")</f>
        <v/>
      </c>
      <c r="BG246" s="300" t="str">
        <f>_xlfn.IFNA(VLOOKUP($BD246,Programma!$F$3:$I$1107,4,0),"")</f>
        <v/>
      </c>
      <c r="BH246" s="300" t="str">
        <f>_xlfn.IFNA(VLOOKUP($BD246,Programma!$F$3:$J$1107,5,0),"")</f>
        <v/>
      </c>
      <c r="BI246" s="300" t="str">
        <f>_xlfn.IFNA(VLOOKUP($BD246,Programma!$F$3:$K$1107,6,0),"")</f>
        <v/>
      </c>
      <c r="BJ246" s="300" t="str">
        <f>_xlfn.IFNA(VLOOKUP($BD246,Programma!$F$3:$L$1107,7,0),"")</f>
        <v/>
      </c>
      <c r="BK246" s="300" t="str">
        <f>_xlfn.IFNA(VLOOKUP($BD246,Programma!$F$3:$M$1107,8,0),"")</f>
        <v/>
      </c>
      <c r="BL246" s="300" t="str">
        <f>_xlfn.IFNA(VLOOKUP($BD246,Programma!$F$3:$N$1107,9,0),"")</f>
        <v/>
      </c>
      <c r="BM246" s="300" t="str">
        <f>_xlfn.IFNA(VLOOKUP($BD246,Programma!$F$3:$O$1107,10,0),"")</f>
        <v/>
      </c>
      <c r="BN246" s="300" t="str">
        <f>_xlfn.IFNA(VLOOKUP($BD246,Programma!$F$3:$P$1107,11,0),"")</f>
        <v/>
      </c>
      <c r="BO246" s="300" t="str">
        <f>_xlfn.IFNA(VLOOKUP($BD246,Programma!$F$3:$Q$1107,12,0),"")</f>
        <v/>
      </c>
      <c r="BP246" s="300" t="str">
        <f>_xlfn.IFNA(VLOOKUP($BD246,Programma!$F$3:$R$1107,13,0),"")</f>
        <v/>
      </c>
      <c r="BQ246" s="300" t="str">
        <f>_xlfn.IFNA(VLOOKUP($BD246,Programma!$F$3:$S$1107,14,0),"")</f>
        <v/>
      </c>
      <c r="BR246" s="300" t="str">
        <f>_xlfn.IFNA(VLOOKUP($BD246,Programma!$F$3:$T$1107,15,0),"")</f>
        <v/>
      </c>
      <c r="BS246" s="300" t="str">
        <f>_xlfn.IFNA(VLOOKUP($BD246,Programma!$F$3:$U$1107,16,0),"")</f>
        <v/>
      </c>
      <c r="BT246" s="300" t="str">
        <f>_xlfn.IFNA(VLOOKUP($BD246,Programma!$F$3:$V$1107,17,0),"")</f>
        <v/>
      </c>
      <c r="BU246" s="300" t="str">
        <f>_xlfn.IFNA(VLOOKUP($BD246,Programma!$F$3:$W$1107,18,0),"")</f>
        <v/>
      </c>
      <c r="BV246" s="300" t="str">
        <f>_xlfn.IFNA(VLOOKUP($BD246,Programma!$F$3:$X$1107,19,0),"")</f>
        <v/>
      </c>
      <c r="BW246" s="300" t="str">
        <f>_xlfn.IFNA(VLOOKUP($BD246,Programma!$F$3:$Y$1107,20,0),"")</f>
        <v/>
      </c>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row>
    <row r="247" spans="1:220" ht="15" customHeight="1">
      <c r="A247" s="21">
        <v>4</v>
      </c>
      <c r="B247" s="157" t="str">
        <f>VLOOKUP(Ruimtestaat[[#This Row],[Code]],Locaties[[Code]:[Locatie]],2,FALSE)</f>
        <v>Sint-Maartenscollege</v>
      </c>
      <c r="C247" s="157" t="str">
        <f>VLOOKUP(Ruimtestaat[[#This Row],[Code]],Locaties[[#All],[Code]:[Adres]],4,FALSE)</f>
        <v xml:space="preserve">Aart v.d. Leeuwkade 14 </v>
      </c>
      <c r="D247" s="157" t="str">
        <f>VLOOKUP(Ruimtestaat[[#This Row],[Code]],Locaties[[#All],[Code]:[Postcode]],5,FALSE)</f>
        <v>2274 KX</v>
      </c>
      <c r="E247" s="157" t="str">
        <f>VLOOKUP(Ruimtestaat[[#This Row],[Code]],Locaties[#All],6,FALSE)</f>
        <v>Voorburg</v>
      </c>
      <c r="F247" s="62"/>
      <c r="G247" s="21" t="s">
        <v>1624</v>
      </c>
      <c r="H247" s="21" t="s">
        <v>1670</v>
      </c>
      <c r="I247" s="62" t="s">
        <v>1625</v>
      </c>
      <c r="J247" s="21">
        <v>6</v>
      </c>
      <c r="K247" s="62" t="str">
        <f>VLOOKUP(Ruimtestaat[[#This Row],[Ruimte code]],Ruimtegroepen[[#All],[Code]:[Ruimte omschrijving]],2,FALSE)</f>
        <v>Gangen/hallen</v>
      </c>
      <c r="L247" s="33" t="s">
        <v>101</v>
      </c>
      <c r="M247" s="367" t="s">
        <v>2495</v>
      </c>
      <c r="N247" s="140">
        <v>81</v>
      </c>
      <c r="O247" s="140"/>
      <c r="P247" s="125" t="str">
        <f>VLOOKUP(Ruimtestaat[[#This Row],[Ruimte code]],Ruimtegroepen[],4,FALSE)</f>
        <v>Ve</v>
      </c>
      <c r="R247" s="33">
        <v>40</v>
      </c>
      <c r="S247" s="33" t="s">
        <v>2</v>
      </c>
      <c r="T247" s="33">
        <f>IF(R247&gt;0,IF(RIGHT(Ruimtestaat[[#This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7" s="33">
        <f>IF(T247&gt;0,VLOOKUP($J247,Ruimtegroepen[],3,FALSE)*VLOOKUP($L247,Vloersoorten[],3,FALSE)*VLOOKUP($S247,Frequenties[],3,FALSE)*VLOOKUP($A247,Locaties[],3,FALSE),0)</f>
        <v>0</v>
      </c>
      <c r="V247" s="33">
        <f>Ruimtestaat[[#This Row],[Uitvoeringen werkdagen]]*Ruimtestaat[[#This Row],[Oppervlak (netto)]]</f>
        <v>16200</v>
      </c>
      <c r="W247" s="154">
        <f>IF(U247&gt;0,Ruimtestaat[[#This Row],[Prest. (m2 /jaar) werkdagen]]/Ruimtestaat[[#This Row],[Norm (m2/uur) werkdagen]],0)</f>
        <v>0</v>
      </c>
      <c r="X247" s="155">
        <f>Ruimtestaat[[#This Row],[uren / jaar werkdagen]]*Tariefsopbouw!$E$35</f>
        <v>0</v>
      </c>
      <c r="Y247" s="33"/>
      <c r="Z247" s="33">
        <f>IF(Ruimtestaat[[#This Row],[Frequentie weekend]]&gt;0,VALUE(LEFT(Y247,1))*R247,0)</f>
        <v>0</v>
      </c>
      <c r="AA247" s="97">
        <f>IF($Z247&gt;0,VLOOKUP($J247,Ruimtegroepen[],3,FALSE)*VLOOKUP($L247,Vloersoorten[],3,FALSE)*VLOOKUP($Y247,Frequenties[],3,FALSE)*VLOOKUP(Ruimtestaat[[#This Row],[Code]],Locaties[],3,FALSE),0)</f>
        <v>0</v>
      </c>
      <c r="AB247" s="97">
        <f>Ruimtestaat[[#This Row],[Uitvoeringen weekend]]*Ruimtestaat[[#This Row],[Oppervlak (netto)]]</f>
        <v>0</v>
      </c>
      <c r="AC247" s="97">
        <f>IF(AA247&gt;0,Ruimtestaat[[#This Row],[Prest. (m2 /jaar) weekend]]/Ruimtestaat[[#This Row],[Norm (m2/uur) weekend]],0)</f>
        <v>0</v>
      </c>
      <c r="AD247" s="155">
        <f>Ruimtestaat[[#This Row],[uren / jaar weekend]]*Tariefsopbouw!$D$40</f>
        <v>0</v>
      </c>
      <c r="AE247" s="154">
        <f>Ruimtestaat[[#This Row],[Prest. (m2 /jaar) weekend]]+Ruimtestaat[[#This Row],[Prest. (m2 /jaar) werkdagen]]</f>
        <v>16200</v>
      </c>
      <c r="AF247" s="154">
        <f>Ruimtestaat[[#This Row],[uren / jaar weekend]]+Ruimtestaat[[#This Row],[uren / jaar werkdagen]]</f>
        <v>0</v>
      </c>
      <c r="AG247" s="69">
        <f>Ruimtestaat[[#This Row],[kosten / jaar weekend]]+Ruimtestaat[[#This Row],[kosten / jaar werkdagen]]</f>
        <v>0</v>
      </c>
      <c r="AH247" s="69"/>
      <c r="AI247" s="256" t="str">
        <f>IF(Ruimtestaat[[#This Row],[Frequentie werkdagen]]="","",_xlfn.CONCAT(Ruimtestaat[[#This Row],[Ruimte code]],"-",Ruimtestaat[[#This Row],[Frequentie werkdagen]]," ",Ruimtestaat[[#This Row],[Vloer code]]))</f>
        <v>6-5w L</v>
      </c>
      <c r="AJ247" s="300" t="str">
        <f>_xlfn.IFNA(VLOOKUP($AI247,Programma!$F$3:$G$1107,2,0),"")</f>
        <v>_</v>
      </c>
      <c r="AK247" s="300" t="str">
        <f>_xlfn.IFNA(VLOOKUP($AI247,Programma!$F$3:$H$1107,3,0),"")</f>
        <v>_</v>
      </c>
      <c r="AL247" s="300" t="str">
        <f>_xlfn.IFNA(VLOOKUP($AI247,Programma!$F$3:$I$1107,4,0),"")</f>
        <v>_</v>
      </c>
      <c r="AM247" s="300" t="str">
        <f>_xlfn.IFNA(VLOOKUP($AI247,Programma!$F$3:$J$1107,5,0),"")</f>
        <v>5w</v>
      </c>
      <c r="AN247" s="300" t="str">
        <f>_xlfn.IFNA(VLOOKUP($AI247,Programma!$F$3:$K$1107,6,0),"")</f>
        <v>_</v>
      </c>
      <c r="AO247" s="300" t="str">
        <f>_xlfn.IFNA(VLOOKUP($AI247,Programma!$F$3:$L$1107,7,0),"")</f>
        <v>_</v>
      </c>
      <c r="AP247" s="300" t="str">
        <f>_xlfn.IFNA(VLOOKUP($AI247,Programma!$F$3:$M$1107,8,0),"")</f>
        <v>_</v>
      </c>
      <c r="AQ247" s="300" t="str">
        <f>_xlfn.IFNA(VLOOKUP($AI247,Programma!$F$3:$N$1107,9,0),"")</f>
        <v>_</v>
      </c>
      <c r="AR247" s="300" t="str">
        <f>_xlfn.IFNA(VLOOKUP($AI247,Programma!$F$3:$O$1107,10,0),"")</f>
        <v>5w</v>
      </c>
      <c r="AS247" s="300" t="str">
        <f>_xlfn.IFNA(VLOOKUP($AI247,Programma!$F$3:$P$1107,11,0),"")</f>
        <v>5w</v>
      </c>
      <c r="AT247" s="300" t="str">
        <f>_xlfn.IFNA(VLOOKUP($AI247,Programma!$F$3:$Q$1107,12,0),"")</f>
        <v>1w</v>
      </c>
      <c r="AU247" s="300" t="str">
        <f>_xlfn.IFNA(VLOOKUP($AI247,Programma!$F$3:$R$1107,13,0),"")</f>
        <v>1w</v>
      </c>
      <c r="AV247" s="300" t="str">
        <f>_xlfn.IFNA(VLOOKUP($AI247,Programma!$F$3:$S$1107,14,0),"")</f>
        <v>1m</v>
      </c>
      <c r="AW247" s="300" t="str">
        <f>_xlfn.IFNA(VLOOKUP($AI247,Programma!$F$3:$T$1107,15,0),"")</f>
        <v>2j</v>
      </c>
      <c r="AX247" s="300" t="str">
        <f>_xlfn.IFNA(VLOOKUP($AI247,Programma!$F$3:$U$1107,16,0),"")</f>
        <v>1j</v>
      </c>
      <c r="AY247" s="300" t="str">
        <f>_xlfn.IFNA(VLOOKUP($AI247,Programma!$F$3:$V$1107,17,0),"")</f>
        <v>_</v>
      </c>
      <c r="AZ247" s="300" t="str">
        <f>_xlfn.IFNA(VLOOKUP($AI247,Programma!$F$3:$W$1107,18,0),"")</f>
        <v>_</v>
      </c>
      <c r="BA247" s="300" t="str">
        <f>_xlfn.IFNA(VLOOKUP($AI247,Programma!$F$3:$X$1107,19,0),"")</f>
        <v>_</v>
      </c>
      <c r="BB247" s="300" t="str">
        <f>_xlfn.IFNA(VLOOKUP($AI247,Programma!$F$3:$Y$1107,20,0),"")</f>
        <v>_</v>
      </c>
      <c r="BC247" s="257"/>
      <c r="BD247" s="256" t="str">
        <f>IF(Ruimtestaat[[#This Row],[Frequentie weekend]]="","",_xlfn.CONCAT(Ruimtestaat[[#This Row],[Ruimte code]],"-",Ruimtestaat[[#This Row],[Frequentie weekend]]," ",Ruimtestaat[[#This Row],[Vloer code]]))</f>
        <v/>
      </c>
      <c r="BE247" s="300" t="str">
        <f>_xlfn.IFNA(VLOOKUP($BD247,Programma!$F$3:$G$1107,2,0),"")</f>
        <v/>
      </c>
      <c r="BF247" s="300" t="str">
        <f>_xlfn.IFNA(VLOOKUP($BD247,Programma!$F$3:$H$1107,3,0),"")</f>
        <v/>
      </c>
      <c r="BG247" s="300" t="str">
        <f>_xlfn.IFNA(VLOOKUP($BD247,Programma!$F$3:$I$1107,4,0),"")</f>
        <v/>
      </c>
      <c r="BH247" s="300" t="str">
        <f>_xlfn.IFNA(VLOOKUP($BD247,Programma!$F$3:$J$1107,5,0),"")</f>
        <v/>
      </c>
      <c r="BI247" s="300" t="str">
        <f>_xlfn.IFNA(VLOOKUP($BD247,Programma!$F$3:$K$1107,6,0),"")</f>
        <v/>
      </c>
      <c r="BJ247" s="300" t="str">
        <f>_xlfn.IFNA(VLOOKUP($BD247,Programma!$F$3:$L$1107,7,0),"")</f>
        <v/>
      </c>
      <c r="BK247" s="300" t="str">
        <f>_xlfn.IFNA(VLOOKUP($BD247,Programma!$F$3:$M$1107,8,0),"")</f>
        <v/>
      </c>
      <c r="BL247" s="300" t="str">
        <f>_xlfn.IFNA(VLOOKUP($BD247,Programma!$F$3:$N$1107,9,0),"")</f>
        <v/>
      </c>
      <c r="BM247" s="300" t="str">
        <f>_xlfn.IFNA(VLOOKUP($BD247,Programma!$F$3:$O$1107,10,0),"")</f>
        <v/>
      </c>
      <c r="BN247" s="300" t="str">
        <f>_xlfn.IFNA(VLOOKUP($BD247,Programma!$F$3:$P$1107,11,0),"")</f>
        <v/>
      </c>
      <c r="BO247" s="300" t="str">
        <f>_xlfn.IFNA(VLOOKUP($BD247,Programma!$F$3:$Q$1107,12,0),"")</f>
        <v/>
      </c>
      <c r="BP247" s="300" t="str">
        <f>_xlfn.IFNA(VLOOKUP($BD247,Programma!$F$3:$R$1107,13,0),"")</f>
        <v/>
      </c>
      <c r="BQ247" s="300" t="str">
        <f>_xlfn.IFNA(VLOOKUP($BD247,Programma!$F$3:$S$1107,14,0),"")</f>
        <v/>
      </c>
      <c r="BR247" s="300" t="str">
        <f>_xlfn.IFNA(VLOOKUP($BD247,Programma!$F$3:$T$1107,15,0),"")</f>
        <v/>
      </c>
      <c r="BS247" s="300" t="str">
        <f>_xlfn.IFNA(VLOOKUP($BD247,Programma!$F$3:$U$1107,16,0),"")</f>
        <v/>
      </c>
      <c r="BT247" s="300" t="str">
        <f>_xlfn.IFNA(VLOOKUP($BD247,Programma!$F$3:$V$1107,17,0),"")</f>
        <v/>
      </c>
      <c r="BU247" s="300" t="str">
        <f>_xlfn.IFNA(VLOOKUP($BD247,Programma!$F$3:$W$1107,18,0),"")</f>
        <v/>
      </c>
      <c r="BV247" s="300" t="str">
        <f>_xlfn.IFNA(VLOOKUP($BD247,Programma!$F$3:$X$1107,19,0),"")</f>
        <v/>
      </c>
      <c r="BW247" s="300" t="str">
        <f>_xlfn.IFNA(VLOOKUP($BD247,Programma!$F$3:$Y$1107,20,0),"")</f>
        <v/>
      </c>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row>
    <row r="248" spans="1:220" ht="15" customHeight="1">
      <c r="A248" s="21">
        <v>4</v>
      </c>
      <c r="B248" s="157" t="str">
        <f>VLOOKUP(Ruimtestaat[[#This Row],[Code]],Locaties[[Code]:[Locatie]],2,FALSE)</f>
        <v>Sint-Maartenscollege</v>
      </c>
      <c r="C248" s="157" t="str">
        <f>VLOOKUP(Ruimtestaat[[#This Row],[Code]],Locaties[[#All],[Code]:[Adres]],4,FALSE)</f>
        <v xml:space="preserve">Aart v.d. Leeuwkade 14 </v>
      </c>
      <c r="D248" s="157" t="str">
        <f>VLOOKUP(Ruimtestaat[[#This Row],[Code]],Locaties[[#All],[Code]:[Postcode]],5,FALSE)</f>
        <v>2274 KX</v>
      </c>
      <c r="E248" s="157" t="str">
        <f>VLOOKUP(Ruimtestaat[[#This Row],[Code]],Locaties[#All],6,FALSE)</f>
        <v>Voorburg</v>
      </c>
      <c r="F248" s="62"/>
      <c r="G248" s="21" t="s">
        <v>1624</v>
      </c>
      <c r="H248" s="21" t="s">
        <v>1672</v>
      </c>
      <c r="I248" s="62" t="s">
        <v>1902</v>
      </c>
      <c r="J248" s="21">
        <v>14</v>
      </c>
      <c r="K248" s="62" t="str">
        <f>VLOOKUP(Ruimtestaat[[#This Row],[Ruimte code]],Ruimtegroepen[[#All],[Code]:[Ruimte omschrijving]],2,FALSE)</f>
        <v>Praktijklokalen binas/zorg</v>
      </c>
      <c r="L248" s="33" t="s">
        <v>101</v>
      </c>
      <c r="M248" s="367" t="s">
        <v>2495</v>
      </c>
      <c r="N248" s="140">
        <v>75</v>
      </c>
      <c r="O248" s="140"/>
      <c r="P248" s="125" t="str">
        <f>VLOOKUP(Ruimtestaat[[#This Row],[Ruimte code]],Ruimtegroepen[],4,FALSE)</f>
        <v>Le</v>
      </c>
      <c r="R248" s="33">
        <v>40</v>
      </c>
      <c r="S248" s="33" t="s">
        <v>2</v>
      </c>
      <c r="T248" s="33">
        <f>IF(R248&gt;0,IF(RIGHT(Ruimtestaat[[#This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8" s="33">
        <f>IF(T248&gt;0,VLOOKUP($J248,Ruimtegroepen[],3,FALSE)*VLOOKUP($L248,Vloersoorten[],3,FALSE)*VLOOKUP($S248,Frequenties[],3,FALSE)*VLOOKUP($A248,Locaties[],3,FALSE),0)</f>
        <v>0</v>
      </c>
      <c r="V248" s="33">
        <f>Ruimtestaat[[#This Row],[Uitvoeringen werkdagen]]*Ruimtestaat[[#This Row],[Oppervlak (netto)]]</f>
        <v>15000</v>
      </c>
      <c r="W248" s="154">
        <f>IF(U248&gt;0,Ruimtestaat[[#This Row],[Prest. (m2 /jaar) werkdagen]]/Ruimtestaat[[#This Row],[Norm (m2/uur) werkdagen]],0)</f>
        <v>0</v>
      </c>
      <c r="X248" s="155">
        <f>Ruimtestaat[[#This Row],[uren / jaar werkdagen]]*Tariefsopbouw!$E$35</f>
        <v>0</v>
      </c>
      <c r="Y248" s="33"/>
      <c r="Z248" s="33">
        <f>IF(Ruimtestaat[[#This Row],[Frequentie weekend]]&gt;0,VALUE(LEFT(Y248,1))*R248,0)</f>
        <v>0</v>
      </c>
      <c r="AA248" s="97">
        <f>IF($Z248&gt;0,VLOOKUP($J248,Ruimtegroepen[],3,FALSE)*VLOOKUP($L248,Vloersoorten[],3,FALSE)*VLOOKUP($Y248,Frequenties[],3,FALSE)*VLOOKUP(Ruimtestaat[[#This Row],[Code]],Locaties[],3,FALSE),0)</f>
        <v>0</v>
      </c>
      <c r="AB248" s="97">
        <f>Ruimtestaat[[#This Row],[Uitvoeringen weekend]]*Ruimtestaat[[#This Row],[Oppervlak (netto)]]</f>
        <v>0</v>
      </c>
      <c r="AC248" s="97">
        <f>IF(AA248&gt;0,Ruimtestaat[[#This Row],[Prest. (m2 /jaar) weekend]]/Ruimtestaat[[#This Row],[Norm (m2/uur) weekend]],0)</f>
        <v>0</v>
      </c>
      <c r="AD248" s="155">
        <f>Ruimtestaat[[#This Row],[uren / jaar weekend]]*Tariefsopbouw!$D$40</f>
        <v>0</v>
      </c>
      <c r="AE248" s="154">
        <f>Ruimtestaat[[#This Row],[Prest. (m2 /jaar) weekend]]+Ruimtestaat[[#This Row],[Prest. (m2 /jaar) werkdagen]]</f>
        <v>15000</v>
      </c>
      <c r="AF248" s="154">
        <f>Ruimtestaat[[#This Row],[uren / jaar weekend]]+Ruimtestaat[[#This Row],[uren / jaar werkdagen]]</f>
        <v>0</v>
      </c>
      <c r="AG248" s="69">
        <f>Ruimtestaat[[#This Row],[kosten / jaar weekend]]+Ruimtestaat[[#This Row],[kosten / jaar werkdagen]]</f>
        <v>0</v>
      </c>
      <c r="AH248" s="69"/>
      <c r="AI248" s="256" t="str">
        <f>IF(Ruimtestaat[[#This Row],[Frequentie werkdagen]]="","",_xlfn.CONCAT(Ruimtestaat[[#This Row],[Ruimte code]],"-",Ruimtestaat[[#This Row],[Frequentie werkdagen]]," ",Ruimtestaat[[#This Row],[Vloer code]]))</f>
        <v>14-5w L</v>
      </c>
      <c r="AJ248" s="300" t="str">
        <f>_xlfn.IFNA(VLOOKUP($AI248,Programma!$F$3:$G$1107,2,0),"")</f>
        <v>_</v>
      </c>
      <c r="AK248" s="300" t="str">
        <f>_xlfn.IFNA(VLOOKUP($AI248,Programma!$F$3:$H$1107,3,0),"")</f>
        <v>_</v>
      </c>
      <c r="AL248" s="300" t="str">
        <f>_xlfn.IFNA(VLOOKUP($AI248,Programma!$F$3:$I$1107,4,0),"")</f>
        <v>_</v>
      </c>
      <c r="AM248" s="300" t="str">
        <f>_xlfn.IFNA(VLOOKUP($AI248,Programma!$F$3:$J$1107,5,0),"")</f>
        <v>5w</v>
      </c>
      <c r="AN248" s="300" t="str">
        <f>_xlfn.IFNA(VLOOKUP($AI248,Programma!$F$3:$K$1107,6,0),"")</f>
        <v>_</v>
      </c>
      <c r="AO248" s="300" t="str">
        <f>_xlfn.IFNA(VLOOKUP($AI248,Programma!$F$3:$L$1107,7,0),"")</f>
        <v>_</v>
      </c>
      <c r="AP248" s="300" t="str">
        <f>_xlfn.IFNA(VLOOKUP($AI248,Programma!$F$3:$M$1107,8,0),"")</f>
        <v>_</v>
      </c>
      <c r="AQ248" s="300" t="str">
        <f>_xlfn.IFNA(VLOOKUP($AI248,Programma!$F$3:$N$1107,9,0),"")</f>
        <v>_</v>
      </c>
      <c r="AR248" s="300" t="str">
        <f>_xlfn.IFNA(VLOOKUP($AI248,Programma!$F$3:$O$1107,10,0),"")</f>
        <v>5w</v>
      </c>
      <c r="AS248" s="300" t="str">
        <f>_xlfn.IFNA(VLOOKUP($AI248,Programma!$F$3:$P$1107,11,0),"")</f>
        <v>5w</v>
      </c>
      <c r="AT248" s="300" t="str">
        <f>_xlfn.IFNA(VLOOKUP($AI248,Programma!$F$3:$Q$1107,12,0),"")</f>
        <v>1w</v>
      </c>
      <c r="AU248" s="300" t="str">
        <f>_xlfn.IFNA(VLOOKUP($AI248,Programma!$F$3:$R$1107,13,0),"")</f>
        <v>1w</v>
      </c>
      <c r="AV248" s="300" t="str">
        <f>_xlfn.IFNA(VLOOKUP($AI248,Programma!$F$3:$S$1107,14,0),"")</f>
        <v>1m</v>
      </c>
      <c r="AW248" s="300" t="str">
        <f>_xlfn.IFNA(VLOOKUP($AI248,Programma!$F$3:$T$1107,15,0),"")</f>
        <v>2j</v>
      </c>
      <c r="AX248" s="300" t="str">
        <f>_xlfn.IFNA(VLOOKUP($AI248,Programma!$F$3:$U$1107,16,0),"")</f>
        <v>1j</v>
      </c>
      <c r="AY248" s="300" t="str">
        <f>_xlfn.IFNA(VLOOKUP($AI248,Programma!$F$3:$V$1107,17,0),"")</f>
        <v>_</v>
      </c>
      <c r="AZ248" s="300" t="str">
        <f>_xlfn.IFNA(VLOOKUP($AI248,Programma!$F$3:$W$1107,18,0),"")</f>
        <v>_</v>
      </c>
      <c r="BA248" s="300" t="str">
        <f>_xlfn.IFNA(VLOOKUP($AI248,Programma!$F$3:$X$1107,19,0),"")</f>
        <v>_</v>
      </c>
      <c r="BB248" s="300" t="str">
        <f>_xlfn.IFNA(VLOOKUP($AI248,Programma!$F$3:$Y$1107,20,0),"")</f>
        <v>_</v>
      </c>
      <c r="BC248" s="257"/>
      <c r="BD248" s="256" t="str">
        <f>IF(Ruimtestaat[[#This Row],[Frequentie weekend]]="","",_xlfn.CONCAT(Ruimtestaat[[#This Row],[Ruimte code]],"-",Ruimtestaat[[#This Row],[Frequentie weekend]]," ",Ruimtestaat[[#This Row],[Vloer code]]))</f>
        <v/>
      </c>
      <c r="BE248" s="300" t="str">
        <f>_xlfn.IFNA(VLOOKUP($BD248,Programma!$F$3:$G$1107,2,0),"")</f>
        <v/>
      </c>
      <c r="BF248" s="300" t="str">
        <f>_xlfn.IFNA(VLOOKUP($BD248,Programma!$F$3:$H$1107,3,0),"")</f>
        <v/>
      </c>
      <c r="BG248" s="300" t="str">
        <f>_xlfn.IFNA(VLOOKUP($BD248,Programma!$F$3:$I$1107,4,0),"")</f>
        <v/>
      </c>
      <c r="BH248" s="300" t="str">
        <f>_xlfn.IFNA(VLOOKUP($BD248,Programma!$F$3:$J$1107,5,0),"")</f>
        <v/>
      </c>
      <c r="BI248" s="300" t="str">
        <f>_xlfn.IFNA(VLOOKUP($BD248,Programma!$F$3:$K$1107,6,0),"")</f>
        <v/>
      </c>
      <c r="BJ248" s="300" t="str">
        <f>_xlfn.IFNA(VLOOKUP($BD248,Programma!$F$3:$L$1107,7,0),"")</f>
        <v/>
      </c>
      <c r="BK248" s="300" t="str">
        <f>_xlfn.IFNA(VLOOKUP($BD248,Programma!$F$3:$M$1107,8,0),"")</f>
        <v/>
      </c>
      <c r="BL248" s="300" t="str">
        <f>_xlfn.IFNA(VLOOKUP($BD248,Programma!$F$3:$N$1107,9,0),"")</f>
        <v/>
      </c>
      <c r="BM248" s="300" t="str">
        <f>_xlfn.IFNA(VLOOKUP($BD248,Programma!$F$3:$O$1107,10,0),"")</f>
        <v/>
      </c>
      <c r="BN248" s="300" t="str">
        <f>_xlfn.IFNA(VLOOKUP($BD248,Programma!$F$3:$P$1107,11,0),"")</f>
        <v/>
      </c>
      <c r="BO248" s="300" t="str">
        <f>_xlfn.IFNA(VLOOKUP($BD248,Programma!$F$3:$Q$1107,12,0),"")</f>
        <v/>
      </c>
      <c r="BP248" s="300" t="str">
        <f>_xlfn.IFNA(VLOOKUP($BD248,Programma!$F$3:$R$1107,13,0),"")</f>
        <v/>
      </c>
      <c r="BQ248" s="300" t="str">
        <f>_xlfn.IFNA(VLOOKUP($BD248,Programma!$F$3:$S$1107,14,0),"")</f>
        <v/>
      </c>
      <c r="BR248" s="300" t="str">
        <f>_xlfn.IFNA(VLOOKUP($BD248,Programma!$F$3:$T$1107,15,0),"")</f>
        <v/>
      </c>
      <c r="BS248" s="300" t="str">
        <f>_xlfn.IFNA(VLOOKUP($BD248,Programma!$F$3:$U$1107,16,0),"")</f>
        <v/>
      </c>
      <c r="BT248" s="300" t="str">
        <f>_xlfn.IFNA(VLOOKUP($BD248,Programma!$F$3:$V$1107,17,0),"")</f>
        <v/>
      </c>
      <c r="BU248" s="300" t="str">
        <f>_xlfn.IFNA(VLOOKUP($BD248,Programma!$F$3:$W$1107,18,0),"")</f>
        <v/>
      </c>
      <c r="BV248" s="300" t="str">
        <f>_xlfn.IFNA(VLOOKUP($BD248,Programma!$F$3:$X$1107,19,0),"")</f>
        <v/>
      </c>
      <c r="BW248" s="300" t="str">
        <f>_xlfn.IFNA(VLOOKUP($BD248,Programma!$F$3:$Y$1107,20,0),"")</f>
        <v/>
      </c>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row>
    <row r="249" spans="1:220" ht="15" customHeight="1">
      <c r="A249" s="21">
        <v>4</v>
      </c>
      <c r="B249" s="157" t="str">
        <f>VLOOKUP(Ruimtestaat[[#This Row],[Code]],Locaties[[Code]:[Locatie]],2,FALSE)</f>
        <v>Sint-Maartenscollege</v>
      </c>
      <c r="C249" s="157" t="str">
        <f>VLOOKUP(Ruimtestaat[[#This Row],[Code]],Locaties[[#All],[Code]:[Adres]],4,FALSE)</f>
        <v xml:space="preserve">Aart v.d. Leeuwkade 14 </v>
      </c>
      <c r="D249" s="157" t="str">
        <f>VLOOKUP(Ruimtestaat[[#This Row],[Code]],Locaties[[#All],[Code]:[Postcode]],5,FALSE)</f>
        <v>2274 KX</v>
      </c>
      <c r="E249" s="157" t="str">
        <f>VLOOKUP(Ruimtestaat[[#This Row],[Code]],Locaties[#All],6,FALSE)</f>
        <v>Voorburg</v>
      </c>
      <c r="F249" s="62"/>
      <c r="G249" s="21" t="s">
        <v>1624</v>
      </c>
      <c r="H249" s="21" t="s">
        <v>1674</v>
      </c>
      <c r="I249" s="62" t="s">
        <v>1903</v>
      </c>
      <c r="J249" s="21">
        <v>14</v>
      </c>
      <c r="K249" s="62" t="str">
        <f>VLOOKUP(Ruimtestaat[[#This Row],[Ruimte code]],Ruimtegroepen[[#All],[Code]:[Ruimte omschrijving]],2,FALSE)</f>
        <v>Praktijklokalen binas/zorg</v>
      </c>
      <c r="L249" s="33" t="s">
        <v>101</v>
      </c>
      <c r="M249" s="367" t="s">
        <v>2495</v>
      </c>
      <c r="N249" s="140">
        <v>64</v>
      </c>
      <c r="O249" s="140"/>
      <c r="P249" s="125" t="str">
        <f>VLOOKUP(Ruimtestaat[[#This Row],[Ruimte code]],Ruimtegroepen[],4,FALSE)</f>
        <v>Le</v>
      </c>
      <c r="R249" s="33">
        <v>40</v>
      </c>
      <c r="S249" s="33" t="s">
        <v>2</v>
      </c>
      <c r="T249" s="33">
        <f>IF(R249&gt;0,IF(RIGHT(Ruimtestaat[[#This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9" s="33">
        <f>IF(T249&gt;0,VLOOKUP($J249,Ruimtegroepen[],3,FALSE)*VLOOKUP($L249,Vloersoorten[],3,FALSE)*VLOOKUP($S249,Frequenties[],3,FALSE)*VLOOKUP($A249,Locaties[],3,FALSE),0)</f>
        <v>0</v>
      </c>
      <c r="V249" s="33">
        <f>Ruimtestaat[[#This Row],[Uitvoeringen werkdagen]]*Ruimtestaat[[#This Row],[Oppervlak (netto)]]</f>
        <v>12800</v>
      </c>
      <c r="W249" s="154">
        <f>IF(U249&gt;0,Ruimtestaat[[#This Row],[Prest. (m2 /jaar) werkdagen]]/Ruimtestaat[[#This Row],[Norm (m2/uur) werkdagen]],0)</f>
        <v>0</v>
      </c>
      <c r="X249" s="155">
        <f>Ruimtestaat[[#This Row],[uren / jaar werkdagen]]*Tariefsopbouw!$E$35</f>
        <v>0</v>
      </c>
      <c r="Y249" s="33"/>
      <c r="Z249" s="33">
        <f>IF(Ruimtestaat[[#This Row],[Frequentie weekend]]&gt;0,VALUE(LEFT(Y249,1))*R249,0)</f>
        <v>0</v>
      </c>
      <c r="AA249" s="97">
        <f>IF($Z249&gt;0,VLOOKUP($J249,Ruimtegroepen[],3,FALSE)*VLOOKUP($L249,Vloersoorten[],3,FALSE)*VLOOKUP($Y249,Frequenties[],3,FALSE)*VLOOKUP(Ruimtestaat[[#This Row],[Code]],Locaties[],3,FALSE),0)</f>
        <v>0</v>
      </c>
      <c r="AB249" s="97">
        <f>Ruimtestaat[[#This Row],[Uitvoeringen weekend]]*Ruimtestaat[[#This Row],[Oppervlak (netto)]]</f>
        <v>0</v>
      </c>
      <c r="AC249" s="97">
        <f>IF(AA249&gt;0,Ruimtestaat[[#This Row],[Prest. (m2 /jaar) weekend]]/Ruimtestaat[[#This Row],[Norm (m2/uur) weekend]],0)</f>
        <v>0</v>
      </c>
      <c r="AD249" s="155">
        <f>Ruimtestaat[[#This Row],[uren / jaar weekend]]*Tariefsopbouw!$D$40</f>
        <v>0</v>
      </c>
      <c r="AE249" s="154">
        <f>Ruimtestaat[[#This Row],[Prest. (m2 /jaar) weekend]]+Ruimtestaat[[#This Row],[Prest. (m2 /jaar) werkdagen]]</f>
        <v>12800</v>
      </c>
      <c r="AF249" s="154">
        <f>Ruimtestaat[[#This Row],[uren / jaar weekend]]+Ruimtestaat[[#This Row],[uren / jaar werkdagen]]</f>
        <v>0</v>
      </c>
      <c r="AG249" s="69">
        <f>Ruimtestaat[[#This Row],[kosten / jaar weekend]]+Ruimtestaat[[#This Row],[kosten / jaar werkdagen]]</f>
        <v>0</v>
      </c>
      <c r="AH249" s="69"/>
      <c r="AI249" s="256" t="str">
        <f>IF(Ruimtestaat[[#This Row],[Frequentie werkdagen]]="","",_xlfn.CONCAT(Ruimtestaat[[#This Row],[Ruimte code]],"-",Ruimtestaat[[#This Row],[Frequentie werkdagen]]," ",Ruimtestaat[[#This Row],[Vloer code]]))</f>
        <v>14-5w L</v>
      </c>
      <c r="AJ249" s="300" t="str">
        <f>_xlfn.IFNA(VLOOKUP($AI249,Programma!$F$3:$G$1107,2,0),"")</f>
        <v>_</v>
      </c>
      <c r="AK249" s="300" t="str">
        <f>_xlfn.IFNA(VLOOKUP($AI249,Programma!$F$3:$H$1107,3,0),"")</f>
        <v>_</v>
      </c>
      <c r="AL249" s="300" t="str">
        <f>_xlfn.IFNA(VLOOKUP($AI249,Programma!$F$3:$I$1107,4,0),"")</f>
        <v>_</v>
      </c>
      <c r="AM249" s="300" t="str">
        <f>_xlfn.IFNA(VLOOKUP($AI249,Programma!$F$3:$J$1107,5,0),"")</f>
        <v>5w</v>
      </c>
      <c r="AN249" s="300" t="str">
        <f>_xlfn.IFNA(VLOOKUP($AI249,Programma!$F$3:$K$1107,6,0),"")</f>
        <v>_</v>
      </c>
      <c r="AO249" s="300" t="str">
        <f>_xlfn.IFNA(VLOOKUP($AI249,Programma!$F$3:$L$1107,7,0),"")</f>
        <v>_</v>
      </c>
      <c r="AP249" s="300" t="str">
        <f>_xlfn.IFNA(VLOOKUP($AI249,Programma!$F$3:$M$1107,8,0),"")</f>
        <v>_</v>
      </c>
      <c r="AQ249" s="300" t="str">
        <f>_xlfn.IFNA(VLOOKUP($AI249,Programma!$F$3:$N$1107,9,0),"")</f>
        <v>_</v>
      </c>
      <c r="AR249" s="300" t="str">
        <f>_xlfn.IFNA(VLOOKUP($AI249,Programma!$F$3:$O$1107,10,0),"")</f>
        <v>5w</v>
      </c>
      <c r="AS249" s="300" t="str">
        <f>_xlfn.IFNA(VLOOKUP($AI249,Programma!$F$3:$P$1107,11,0),"")</f>
        <v>5w</v>
      </c>
      <c r="AT249" s="300" t="str">
        <f>_xlfn.IFNA(VLOOKUP($AI249,Programma!$F$3:$Q$1107,12,0),"")</f>
        <v>1w</v>
      </c>
      <c r="AU249" s="300" t="str">
        <f>_xlfn.IFNA(VLOOKUP($AI249,Programma!$F$3:$R$1107,13,0),"")</f>
        <v>1w</v>
      </c>
      <c r="AV249" s="300" t="str">
        <f>_xlfn.IFNA(VLOOKUP($AI249,Programma!$F$3:$S$1107,14,0),"")</f>
        <v>1m</v>
      </c>
      <c r="AW249" s="300" t="str">
        <f>_xlfn.IFNA(VLOOKUP($AI249,Programma!$F$3:$T$1107,15,0),"")</f>
        <v>2j</v>
      </c>
      <c r="AX249" s="300" t="str">
        <f>_xlfn.IFNA(VLOOKUP($AI249,Programma!$F$3:$U$1107,16,0),"")</f>
        <v>1j</v>
      </c>
      <c r="AY249" s="300" t="str">
        <f>_xlfn.IFNA(VLOOKUP($AI249,Programma!$F$3:$V$1107,17,0),"")</f>
        <v>_</v>
      </c>
      <c r="AZ249" s="300" t="str">
        <f>_xlfn.IFNA(VLOOKUP($AI249,Programma!$F$3:$W$1107,18,0),"")</f>
        <v>_</v>
      </c>
      <c r="BA249" s="300" t="str">
        <f>_xlfn.IFNA(VLOOKUP($AI249,Programma!$F$3:$X$1107,19,0),"")</f>
        <v>_</v>
      </c>
      <c r="BB249" s="300" t="str">
        <f>_xlfn.IFNA(VLOOKUP($AI249,Programma!$F$3:$Y$1107,20,0),"")</f>
        <v>_</v>
      </c>
      <c r="BC249" s="257"/>
      <c r="BD249" s="256" t="str">
        <f>IF(Ruimtestaat[[#This Row],[Frequentie weekend]]="","",_xlfn.CONCAT(Ruimtestaat[[#This Row],[Ruimte code]],"-",Ruimtestaat[[#This Row],[Frequentie weekend]]," ",Ruimtestaat[[#This Row],[Vloer code]]))</f>
        <v/>
      </c>
      <c r="BE249" s="300" t="str">
        <f>_xlfn.IFNA(VLOOKUP($BD249,Programma!$F$3:$G$1107,2,0),"")</f>
        <v/>
      </c>
      <c r="BF249" s="300" t="str">
        <f>_xlfn.IFNA(VLOOKUP($BD249,Programma!$F$3:$H$1107,3,0),"")</f>
        <v/>
      </c>
      <c r="BG249" s="300" t="str">
        <f>_xlfn.IFNA(VLOOKUP($BD249,Programma!$F$3:$I$1107,4,0),"")</f>
        <v/>
      </c>
      <c r="BH249" s="300" t="str">
        <f>_xlfn.IFNA(VLOOKUP($BD249,Programma!$F$3:$J$1107,5,0),"")</f>
        <v/>
      </c>
      <c r="BI249" s="300" t="str">
        <f>_xlfn.IFNA(VLOOKUP($BD249,Programma!$F$3:$K$1107,6,0),"")</f>
        <v/>
      </c>
      <c r="BJ249" s="300" t="str">
        <f>_xlfn.IFNA(VLOOKUP($BD249,Programma!$F$3:$L$1107,7,0),"")</f>
        <v/>
      </c>
      <c r="BK249" s="300" t="str">
        <f>_xlfn.IFNA(VLOOKUP($BD249,Programma!$F$3:$M$1107,8,0),"")</f>
        <v/>
      </c>
      <c r="BL249" s="300" t="str">
        <f>_xlfn.IFNA(VLOOKUP($BD249,Programma!$F$3:$N$1107,9,0),"")</f>
        <v/>
      </c>
      <c r="BM249" s="300" t="str">
        <f>_xlfn.IFNA(VLOOKUP($BD249,Programma!$F$3:$O$1107,10,0),"")</f>
        <v/>
      </c>
      <c r="BN249" s="300" t="str">
        <f>_xlfn.IFNA(VLOOKUP($BD249,Programma!$F$3:$P$1107,11,0),"")</f>
        <v/>
      </c>
      <c r="BO249" s="300" t="str">
        <f>_xlfn.IFNA(VLOOKUP($BD249,Programma!$F$3:$Q$1107,12,0),"")</f>
        <v/>
      </c>
      <c r="BP249" s="300" t="str">
        <f>_xlfn.IFNA(VLOOKUP($BD249,Programma!$F$3:$R$1107,13,0),"")</f>
        <v/>
      </c>
      <c r="BQ249" s="300" t="str">
        <f>_xlfn.IFNA(VLOOKUP($BD249,Programma!$F$3:$S$1107,14,0),"")</f>
        <v/>
      </c>
      <c r="BR249" s="300" t="str">
        <f>_xlfn.IFNA(VLOOKUP($BD249,Programma!$F$3:$T$1107,15,0),"")</f>
        <v/>
      </c>
      <c r="BS249" s="300" t="str">
        <f>_xlfn.IFNA(VLOOKUP($BD249,Programma!$F$3:$U$1107,16,0),"")</f>
        <v/>
      </c>
      <c r="BT249" s="300" t="str">
        <f>_xlfn.IFNA(VLOOKUP($BD249,Programma!$F$3:$V$1107,17,0),"")</f>
        <v/>
      </c>
      <c r="BU249" s="300" t="str">
        <f>_xlfn.IFNA(VLOOKUP($BD249,Programma!$F$3:$W$1107,18,0),"")</f>
        <v/>
      </c>
      <c r="BV249" s="300" t="str">
        <f>_xlfn.IFNA(VLOOKUP($BD249,Programma!$F$3:$X$1107,19,0),"")</f>
        <v/>
      </c>
      <c r="BW249" s="300" t="str">
        <f>_xlfn.IFNA(VLOOKUP($BD249,Programma!$F$3:$Y$1107,20,0),"")</f>
        <v/>
      </c>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row>
    <row r="250" spans="1:220" ht="15" customHeight="1">
      <c r="A250" s="21">
        <v>4</v>
      </c>
      <c r="B250" s="157" t="str">
        <f>VLOOKUP(Ruimtestaat[[#This Row],[Code]],Locaties[[Code]:[Locatie]],2,FALSE)</f>
        <v>Sint-Maartenscollege</v>
      </c>
      <c r="C250" s="157" t="str">
        <f>VLOOKUP(Ruimtestaat[[#This Row],[Code]],Locaties[[#All],[Code]:[Adres]],4,FALSE)</f>
        <v xml:space="preserve">Aart v.d. Leeuwkade 14 </v>
      </c>
      <c r="D250" s="157" t="str">
        <f>VLOOKUP(Ruimtestaat[[#This Row],[Code]],Locaties[[#All],[Code]:[Postcode]],5,FALSE)</f>
        <v>2274 KX</v>
      </c>
      <c r="E250" s="157" t="str">
        <f>VLOOKUP(Ruimtestaat[[#This Row],[Code]],Locaties[#All],6,FALSE)</f>
        <v>Voorburg</v>
      </c>
      <c r="F250" s="62"/>
      <c r="G250" s="21" t="s">
        <v>1624</v>
      </c>
      <c r="H250" s="21" t="s">
        <v>1676</v>
      </c>
      <c r="I250" s="62" t="s">
        <v>1904</v>
      </c>
      <c r="J250" s="21">
        <v>14</v>
      </c>
      <c r="K250" s="62" t="str">
        <f>VLOOKUP(Ruimtestaat[[#This Row],[Ruimte code]],Ruimtegroepen[[#All],[Code]:[Ruimte omschrijving]],2,FALSE)</f>
        <v>Praktijklokalen binas/zorg</v>
      </c>
      <c r="L250" s="33" t="s">
        <v>101</v>
      </c>
      <c r="M250" s="367" t="s">
        <v>2495</v>
      </c>
      <c r="N250" s="140">
        <v>64</v>
      </c>
      <c r="O250" s="140"/>
      <c r="P250" s="125" t="str">
        <f>VLOOKUP(Ruimtestaat[[#This Row],[Ruimte code]],Ruimtegroepen[],4,FALSE)</f>
        <v>Le</v>
      </c>
      <c r="R250" s="33">
        <v>40</v>
      </c>
      <c r="S250" s="33" t="s">
        <v>2</v>
      </c>
      <c r="T250" s="33">
        <f>IF(R250&gt;0,IF(RIGHT(Ruimtestaat[[#This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0" s="33">
        <f>IF(T250&gt;0,VLOOKUP($J250,Ruimtegroepen[],3,FALSE)*VLOOKUP($L250,Vloersoorten[],3,FALSE)*VLOOKUP($S250,Frequenties[],3,FALSE)*VLOOKUP($A250,Locaties[],3,FALSE),0)</f>
        <v>0</v>
      </c>
      <c r="V250" s="33">
        <f>Ruimtestaat[[#This Row],[Uitvoeringen werkdagen]]*Ruimtestaat[[#This Row],[Oppervlak (netto)]]</f>
        <v>12800</v>
      </c>
      <c r="W250" s="154">
        <f>IF(U250&gt;0,Ruimtestaat[[#This Row],[Prest. (m2 /jaar) werkdagen]]/Ruimtestaat[[#This Row],[Norm (m2/uur) werkdagen]],0)</f>
        <v>0</v>
      </c>
      <c r="X250" s="155">
        <f>Ruimtestaat[[#This Row],[uren / jaar werkdagen]]*Tariefsopbouw!$E$35</f>
        <v>0</v>
      </c>
      <c r="Y250" s="33"/>
      <c r="Z250" s="33">
        <f>IF(Ruimtestaat[[#This Row],[Frequentie weekend]]&gt;0,VALUE(LEFT(Y250,1))*R250,0)</f>
        <v>0</v>
      </c>
      <c r="AA250" s="97">
        <f>IF($Z250&gt;0,VLOOKUP($J250,Ruimtegroepen[],3,FALSE)*VLOOKUP($L250,Vloersoorten[],3,FALSE)*VLOOKUP($Y250,Frequenties[],3,FALSE)*VLOOKUP(Ruimtestaat[[#This Row],[Code]],Locaties[],3,FALSE),0)</f>
        <v>0</v>
      </c>
      <c r="AB250" s="97">
        <f>Ruimtestaat[[#This Row],[Uitvoeringen weekend]]*Ruimtestaat[[#This Row],[Oppervlak (netto)]]</f>
        <v>0</v>
      </c>
      <c r="AC250" s="97">
        <f>IF(AA250&gt;0,Ruimtestaat[[#This Row],[Prest. (m2 /jaar) weekend]]/Ruimtestaat[[#This Row],[Norm (m2/uur) weekend]],0)</f>
        <v>0</v>
      </c>
      <c r="AD250" s="155">
        <f>Ruimtestaat[[#This Row],[uren / jaar weekend]]*Tariefsopbouw!$D$40</f>
        <v>0</v>
      </c>
      <c r="AE250" s="154">
        <f>Ruimtestaat[[#This Row],[Prest. (m2 /jaar) weekend]]+Ruimtestaat[[#This Row],[Prest. (m2 /jaar) werkdagen]]</f>
        <v>12800</v>
      </c>
      <c r="AF250" s="154">
        <f>Ruimtestaat[[#This Row],[uren / jaar weekend]]+Ruimtestaat[[#This Row],[uren / jaar werkdagen]]</f>
        <v>0</v>
      </c>
      <c r="AG250" s="69">
        <f>Ruimtestaat[[#This Row],[kosten / jaar weekend]]+Ruimtestaat[[#This Row],[kosten / jaar werkdagen]]</f>
        <v>0</v>
      </c>
      <c r="AH250" s="69"/>
      <c r="AI250" s="256" t="str">
        <f>IF(Ruimtestaat[[#This Row],[Frequentie werkdagen]]="","",_xlfn.CONCAT(Ruimtestaat[[#This Row],[Ruimte code]],"-",Ruimtestaat[[#This Row],[Frequentie werkdagen]]," ",Ruimtestaat[[#This Row],[Vloer code]]))</f>
        <v>14-5w L</v>
      </c>
      <c r="AJ250" s="300" t="str">
        <f>_xlfn.IFNA(VLOOKUP($AI250,Programma!$F$3:$G$1107,2,0),"")</f>
        <v>_</v>
      </c>
      <c r="AK250" s="300" t="str">
        <f>_xlfn.IFNA(VLOOKUP($AI250,Programma!$F$3:$H$1107,3,0),"")</f>
        <v>_</v>
      </c>
      <c r="AL250" s="300" t="str">
        <f>_xlfn.IFNA(VLOOKUP($AI250,Programma!$F$3:$I$1107,4,0),"")</f>
        <v>_</v>
      </c>
      <c r="AM250" s="300" t="str">
        <f>_xlfn.IFNA(VLOOKUP($AI250,Programma!$F$3:$J$1107,5,0),"")</f>
        <v>5w</v>
      </c>
      <c r="AN250" s="300" t="str">
        <f>_xlfn.IFNA(VLOOKUP($AI250,Programma!$F$3:$K$1107,6,0),"")</f>
        <v>_</v>
      </c>
      <c r="AO250" s="300" t="str">
        <f>_xlfn.IFNA(VLOOKUP($AI250,Programma!$F$3:$L$1107,7,0),"")</f>
        <v>_</v>
      </c>
      <c r="AP250" s="300" t="str">
        <f>_xlfn.IFNA(VLOOKUP($AI250,Programma!$F$3:$M$1107,8,0),"")</f>
        <v>_</v>
      </c>
      <c r="AQ250" s="300" t="str">
        <f>_xlfn.IFNA(VLOOKUP($AI250,Programma!$F$3:$N$1107,9,0),"")</f>
        <v>_</v>
      </c>
      <c r="AR250" s="300" t="str">
        <f>_xlfn.IFNA(VLOOKUP($AI250,Programma!$F$3:$O$1107,10,0),"")</f>
        <v>5w</v>
      </c>
      <c r="AS250" s="300" t="str">
        <f>_xlfn.IFNA(VLOOKUP($AI250,Programma!$F$3:$P$1107,11,0),"")</f>
        <v>5w</v>
      </c>
      <c r="AT250" s="300" t="str">
        <f>_xlfn.IFNA(VLOOKUP($AI250,Programma!$F$3:$Q$1107,12,0),"")</f>
        <v>1w</v>
      </c>
      <c r="AU250" s="300" t="str">
        <f>_xlfn.IFNA(VLOOKUP($AI250,Programma!$F$3:$R$1107,13,0),"")</f>
        <v>1w</v>
      </c>
      <c r="AV250" s="300" t="str">
        <f>_xlfn.IFNA(VLOOKUP($AI250,Programma!$F$3:$S$1107,14,0),"")</f>
        <v>1m</v>
      </c>
      <c r="AW250" s="300" t="str">
        <f>_xlfn.IFNA(VLOOKUP($AI250,Programma!$F$3:$T$1107,15,0),"")</f>
        <v>2j</v>
      </c>
      <c r="AX250" s="300" t="str">
        <f>_xlfn.IFNA(VLOOKUP($AI250,Programma!$F$3:$U$1107,16,0),"")</f>
        <v>1j</v>
      </c>
      <c r="AY250" s="300" t="str">
        <f>_xlfn.IFNA(VLOOKUP($AI250,Programma!$F$3:$V$1107,17,0),"")</f>
        <v>_</v>
      </c>
      <c r="AZ250" s="300" t="str">
        <f>_xlfn.IFNA(VLOOKUP($AI250,Programma!$F$3:$W$1107,18,0),"")</f>
        <v>_</v>
      </c>
      <c r="BA250" s="300" t="str">
        <f>_xlfn.IFNA(VLOOKUP($AI250,Programma!$F$3:$X$1107,19,0),"")</f>
        <v>_</v>
      </c>
      <c r="BB250" s="300" t="str">
        <f>_xlfn.IFNA(VLOOKUP($AI250,Programma!$F$3:$Y$1107,20,0),"")</f>
        <v>_</v>
      </c>
      <c r="BC250" s="257"/>
      <c r="BD250" s="256" t="str">
        <f>IF(Ruimtestaat[[#This Row],[Frequentie weekend]]="","",_xlfn.CONCAT(Ruimtestaat[[#This Row],[Ruimte code]],"-",Ruimtestaat[[#This Row],[Frequentie weekend]]," ",Ruimtestaat[[#This Row],[Vloer code]]))</f>
        <v/>
      </c>
      <c r="BE250" s="300" t="str">
        <f>_xlfn.IFNA(VLOOKUP($BD250,Programma!$F$3:$G$1107,2,0),"")</f>
        <v/>
      </c>
      <c r="BF250" s="300" t="str">
        <f>_xlfn.IFNA(VLOOKUP($BD250,Programma!$F$3:$H$1107,3,0),"")</f>
        <v/>
      </c>
      <c r="BG250" s="300" t="str">
        <f>_xlfn.IFNA(VLOOKUP($BD250,Programma!$F$3:$I$1107,4,0),"")</f>
        <v/>
      </c>
      <c r="BH250" s="300" t="str">
        <f>_xlfn.IFNA(VLOOKUP($BD250,Programma!$F$3:$J$1107,5,0),"")</f>
        <v/>
      </c>
      <c r="BI250" s="300" t="str">
        <f>_xlfn.IFNA(VLOOKUP($BD250,Programma!$F$3:$K$1107,6,0),"")</f>
        <v/>
      </c>
      <c r="BJ250" s="300" t="str">
        <f>_xlfn.IFNA(VLOOKUP($BD250,Programma!$F$3:$L$1107,7,0),"")</f>
        <v/>
      </c>
      <c r="BK250" s="300" t="str">
        <f>_xlfn.IFNA(VLOOKUP($BD250,Programma!$F$3:$M$1107,8,0),"")</f>
        <v/>
      </c>
      <c r="BL250" s="300" t="str">
        <f>_xlfn.IFNA(VLOOKUP($BD250,Programma!$F$3:$N$1107,9,0),"")</f>
        <v/>
      </c>
      <c r="BM250" s="300" t="str">
        <f>_xlfn.IFNA(VLOOKUP($BD250,Programma!$F$3:$O$1107,10,0),"")</f>
        <v/>
      </c>
      <c r="BN250" s="300" t="str">
        <f>_xlfn.IFNA(VLOOKUP($BD250,Programma!$F$3:$P$1107,11,0),"")</f>
        <v/>
      </c>
      <c r="BO250" s="300" t="str">
        <f>_xlfn.IFNA(VLOOKUP($BD250,Programma!$F$3:$Q$1107,12,0),"")</f>
        <v/>
      </c>
      <c r="BP250" s="300" t="str">
        <f>_xlfn.IFNA(VLOOKUP($BD250,Programma!$F$3:$R$1107,13,0),"")</f>
        <v/>
      </c>
      <c r="BQ250" s="300" t="str">
        <f>_xlfn.IFNA(VLOOKUP($BD250,Programma!$F$3:$S$1107,14,0),"")</f>
        <v/>
      </c>
      <c r="BR250" s="300" t="str">
        <f>_xlfn.IFNA(VLOOKUP($BD250,Programma!$F$3:$T$1107,15,0),"")</f>
        <v/>
      </c>
      <c r="BS250" s="300" t="str">
        <f>_xlfn.IFNA(VLOOKUP($BD250,Programma!$F$3:$U$1107,16,0),"")</f>
        <v/>
      </c>
      <c r="BT250" s="300" t="str">
        <f>_xlfn.IFNA(VLOOKUP($BD250,Programma!$F$3:$V$1107,17,0),"")</f>
        <v/>
      </c>
      <c r="BU250" s="300" t="str">
        <f>_xlfn.IFNA(VLOOKUP($BD250,Programma!$F$3:$W$1107,18,0),"")</f>
        <v/>
      </c>
      <c r="BV250" s="300" t="str">
        <f>_xlfn.IFNA(VLOOKUP($BD250,Programma!$F$3:$X$1107,19,0),"")</f>
        <v/>
      </c>
      <c r="BW250" s="300" t="str">
        <f>_xlfn.IFNA(VLOOKUP($BD250,Programma!$F$3:$Y$1107,20,0),"")</f>
        <v/>
      </c>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row>
    <row r="251" spans="1:220" ht="15" customHeight="1">
      <c r="A251" s="21">
        <v>4</v>
      </c>
      <c r="B251" s="157" t="str">
        <f>VLOOKUP(Ruimtestaat[[#This Row],[Code]],Locaties[[Code]:[Locatie]],2,FALSE)</f>
        <v>Sint-Maartenscollege</v>
      </c>
      <c r="C251" s="157" t="str">
        <f>VLOOKUP(Ruimtestaat[[#This Row],[Code]],Locaties[[#All],[Code]:[Adres]],4,FALSE)</f>
        <v xml:space="preserve">Aart v.d. Leeuwkade 14 </v>
      </c>
      <c r="D251" s="157" t="str">
        <f>VLOOKUP(Ruimtestaat[[#This Row],[Code]],Locaties[[#All],[Code]:[Postcode]],5,FALSE)</f>
        <v>2274 KX</v>
      </c>
      <c r="E251" s="157" t="str">
        <f>VLOOKUP(Ruimtestaat[[#This Row],[Code]],Locaties[#All],6,FALSE)</f>
        <v>Voorburg</v>
      </c>
      <c r="F251" s="62"/>
      <c r="G251" s="21" t="s">
        <v>1624</v>
      </c>
      <c r="H251" s="21" t="s">
        <v>1678</v>
      </c>
      <c r="I251" s="62" t="s">
        <v>1905</v>
      </c>
      <c r="J251" s="21">
        <v>14</v>
      </c>
      <c r="K251" s="62" t="str">
        <f>VLOOKUP(Ruimtestaat[[#This Row],[Ruimte code]],Ruimtegroepen[[#All],[Code]:[Ruimte omschrijving]],2,FALSE)</f>
        <v>Praktijklokalen binas/zorg</v>
      </c>
      <c r="L251" s="33" t="s">
        <v>101</v>
      </c>
      <c r="M251" s="367" t="s">
        <v>2495</v>
      </c>
      <c r="N251" s="140">
        <v>64</v>
      </c>
      <c r="O251" s="140"/>
      <c r="P251" s="125" t="str">
        <f>VLOOKUP(Ruimtestaat[[#This Row],[Ruimte code]],Ruimtegroepen[],4,FALSE)</f>
        <v>Le</v>
      </c>
      <c r="R251" s="33">
        <v>40</v>
      </c>
      <c r="S251" s="33" t="s">
        <v>2</v>
      </c>
      <c r="T251" s="33">
        <f>IF(R251&gt;0,IF(RIGHT(Ruimtestaat[[#This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1" s="33">
        <f>IF(T251&gt;0,VLOOKUP($J251,Ruimtegroepen[],3,FALSE)*VLOOKUP($L251,Vloersoorten[],3,FALSE)*VLOOKUP($S251,Frequenties[],3,FALSE)*VLOOKUP($A251,Locaties[],3,FALSE),0)</f>
        <v>0</v>
      </c>
      <c r="V251" s="33">
        <f>Ruimtestaat[[#This Row],[Uitvoeringen werkdagen]]*Ruimtestaat[[#This Row],[Oppervlak (netto)]]</f>
        <v>12800</v>
      </c>
      <c r="W251" s="154">
        <f>IF(U251&gt;0,Ruimtestaat[[#This Row],[Prest. (m2 /jaar) werkdagen]]/Ruimtestaat[[#This Row],[Norm (m2/uur) werkdagen]],0)</f>
        <v>0</v>
      </c>
      <c r="X251" s="155">
        <f>Ruimtestaat[[#This Row],[uren / jaar werkdagen]]*Tariefsopbouw!$E$35</f>
        <v>0</v>
      </c>
      <c r="Y251" s="33"/>
      <c r="Z251" s="33">
        <f>IF(Ruimtestaat[[#This Row],[Frequentie weekend]]&gt;0,VALUE(LEFT(Y251,1))*R251,0)</f>
        <v>0</v>
      </c>
      <c r="AA251" s="97">
        <f>IF($Z251&gt;0,VLOOKUP($J251,Ruimtegroepen[],3,FALSE)*VLOOKUP($L251,Vloersoorten[],3,FALSE)*VLOOKUP($Y251,Frequenties[],3,FALSE)*VLOOKUP(Ruimtestaat[[#This Row],[Code]],Locaties[],3,FALSE),0)</f>
        <v>0</v>
      </c>
      <c r="AB251" s="97">
        <f>Ruimtestaat[[#This Row],[Uitvoeringen weekend]]*Ruimtestaat[[#This Row],[Oppervlak (netto)]]</f>
        <v>0</v>
      </c>
      <c r="AC251" s="97">
        <f>IF(AA251&gt;0,Ruimtestaat[[#This Row],[Prest. (m2 /jaar) weekend]]/Ruimtestaat[[#This Row],[Norm (m2/uur) weekend]],0)</f>
        <v>0</v>
      </c>
      <c r="AD251" s="155">
        <f>Ruimtestaat[[#This Row],[uren / jaar weekend]]*Tariefsopbouw!$D$40</f>
        <v>0</v>
      </c>
      <c r="AE251" s="154">
        <f>Ruimtestaat[[#This Row],[Prest. (m2 /jaar) weekend]]+Ruimtestaat[[#This Row],[Prest. (m2 /jaar) werkdagen]]</f>
        <v>12800</v>
      </c>
      <c r="AF251" s="154">
        <f>Ruimtestaat[[#This Row],[uren / jaar weekend]]+Ruimtestaat[[#This Row],[uren / jaar werkdagen]]</f>
        <v>0</v>
      </c>
      <c r="AG251" s="69">
        <f>Ruimtestaat[[#This Row],[kosten / jaar weekend]]+Ruimtestaat[[#This Row],[kosten / jaar werkdagen]]</f>
        <v>0</v>
      </c>
      <c r="AH251" s="69"/>
      <c r="AI251" s="256" t="str">
        <f>IF(Ruimtestaat[[#This Row],[Frequentie werkdagen]]="","",_xlfn.CONCAT(Ruimtestaat[[#This Row],[Ruimte code]],"-",Ruimtestaat[[#This Row],[Frequentie werkdagen]]," ",Ruimtestaat[[#This Row],[Vloer code]]))</f>
        <v>14-5w L</v>
      </c>
      <c r="AJ251" s="300" t="str">
        <f>_xlfn.IFNA(VLOOKUP($AI251,Programma!$F$3:$G$1107,2,0),"")</f>
        <v>_</v>
      </c>
      <c r="AK251" s="300" t="str">
        <f>_xlfn.IFNA(VLOOKUP($AI251,Programma!$F$3:$H$1107,3,0),"")</f>
        <v>_</v>
      </c>
      <c r="AL251" s="300" t="str">
        <f>_xlfn.IFNA(VLOOKUP($AI251,Programma!$F$3:$I$1107,4,0),"")</f>
        <v>_</v>
      </c>
      <c r="AM251" s="300" t="str">
        <f>_xlfn.IFNA(VLOOKUP($AI251,Programma!$F$3:$J$1107,5,0),"")</f>
        <v>5w</v>
      </c>
      <c r="AN251" s="300" t="str">
        <f>_xlfn.IFNA(VLOOKUP($AI251,Programma!$F$3:$K$1107,6,0),"")</f>
        <v>_</v>
      </c>
      <c r="AO251" s="300" t="str">
        <f>_xlfn.IFNA(VLOOKUP($AI251,Programma!$F$3:$L$1107,7,0),"")</f>
        <v>_</v>
      </c>
      <c r="AP251" s="300" t="str">
        <f>_xlfn.IFNA(VLOOKUP($AI251,Programma!$F$3:$M$1107,8,0),"")</f>
        <v>_</v>
      </c>
      <c r="AQ251" s="300" t="str">
        <f>_xlfn.IFNA(VLOOKUP($AI251,Programma!$F$3:$N$1107,9,0),"")</f>
        <v>_</v>
      </c>
      <c r="AR251" s="300" t="str">
        <f>_xlfn.IFNA(VLOOKUP($AI251,Programma!$F$3:$O$1107,10,0),"")</f>
        <v>5w</v>
      </c>
      <c r="AS251" s="300" t="str">
        <f>_xlfn.IFNA(VLOOKUP($AI251,Programma!$F$3:$P$1107,11,0),"")</f>
        <v>5w</v>
      </c>
      <c r="AT251" s="300" t="str">
        <f>_xlfn.IFNA(VLOOKUP($AI251,Programma!$F$3:$Q$1107,12,0),"")</f>
        <v>1w</v>
      </c>
      <c r="AU251" s="300" t="str">
        <f>_xlfn.IFNA(VLOOKUP($AI251,Programma!$F$3:$R$1107,13,0),"")</f>
        <v>1w</v>
      </c>
      <c r="AV251" s="300" t="str">
        <f>_xlfn.IFNA(VLOOKUP($AI251,Programma!$F$3:$S$1107,14,0),"")</f>
        <v>1m</v>
      </c>
      <c r="AW251" s="300" t="str">
        <f>_xlfn.IFNA(VLOOKUP($AI251,Programma!$F$3:$T$1107,15,0),"")</f>
        <v>2j</v>
      </c>
      <c r="AX251" s="300" t="str">
        <f>_xlfn.IFNA(VLOOKUP($AI251,Programma!$F$3:$U$1107,16,0),"")</f>
        <v>1j</v>
      </c>
      <c r="AY251" s="300" t="str">
        <f>_xlfn.IFNA(VLOOKUP($AI251,Programma!$F$3:$V$1107,17,0),"")</f>
        <v>_</v>
      </c>
      <c r="AZ251" s="300" t="str">
        <f>_xlfn.IFNA(VLOOKUP($AI251,Programma!$F$3:$W$1107,18,0),"")</f>
        <v>_</v>
      </c>
      <c r="BA251" s="300" t="str">
        <f>_xlfn.IFNA(VLOOKUP($AI251,Programma!$F$3:$X$1107,19,0),"")</f>
        <v>_</v>
      </c>
      <c r="BB251" s="300" t="str">
        <f>_xlfn.IFNA(VLOOKUP($AI251,Programma!$F$3:$Y$1107,20,0),"")</f>
        <v>_</v>
      </c>
      <c r="BC251" s="257"/>
      <c r="BD251" s="256" t="str">
        <f>IF(Ruimtestaat[[#This Row],[Frequentie weekend]]="","",_xlfn.CONCAT(Ruimtestaat[[#This Row],[Ruimte code]],"-",Ruimtestaat[[#This Row],[Frequentie weekend]]," ",Ruimtestaat[[#This Row],[Vloer code]]))</f>
        <v/>
      </c>
      <c r="BE251" s="300" t="str">
        <f>_xlfn.IFNA(VLOOKUP($BD251,Programma!$F$3:$G$1107,2,0),"")</f>
        <v/>
      </c>
      <c r="BF251" s="300" t="str">
        <f>_xlfn.IFNA(VLOOKUP($BD251,Programma!$F$3:$H$1107,3,0),"")</f>
        <v/>
      </c>
      <c r="BG251" s="300" t="str">
        <f>_xlfn.IFNA(VLOOKUP($BD251,Programma!$F$3:$I$1107,4,0),"")</f>
        <v/>
      </c>
      <c r="BH251" s="300" t="str">
        <f>_xlfn.IFNA(VLOOKUP($BD251,Programma!$F$3:$J$1107,5,0),"")</f>
        <v/>
      </c>
      <c r="BI251" s="300" t="str">
        <f>_xlfn.IFNA(VLOOKUP($BD251,Programma!$F$3:$K$1107,6,0),"")</f>
        <v/>
      </c>
      <c r="BJ251" s="300" t="str">
        <f>_xlfn.IFNA(VLOOKUP($BD251,Programma!$F$3:$L$1107,7,0),"")</f>
        <v/>
      </c>
      <c r="BK251" s="300" t="str">
        <f>_xlfn.IFNA(VLOOKUP($BD251,Programma!$F$3:$M$1107,8,0),"")</f>
        <v/>
      </c>
      <c r="BL251" s="300" t="str">
        <f>_xlfn.IFNA(VLOOKUP($BD251,Programma!$F$3:$N$1107,9,0),"")</f>
        <v/>
      </c>
      <c r="BM251" s="300" t="str">
        <f>_xlfn.IFNA(VLOOKUP($BD251,Programma!$F$3:$O$1107,10,0),"")</f>
        <v/>
      </c>
      <c r="BN251" s="300" t="str">
        <f>_xlfn.IFNA(VLOOKUP($BD251,Programma!$F$3:$P$1107,11,0),"")</f>
        <v/>
      </c>
      <c r="BO251" s="300" t="str">
        <f>_xlfn.IFNA(VLOOKUP($BD251,Programma!$F$3:$Q$1107,12,0),"")</f>
        <v/>
      </c>
      <c r="BP251" s="300" t="str">
        <f>_xlfn.IFNA(VLOOKUP($BD251,Programma!$F$3:$R$1107,13,0),"")</f>
        <v/>
      </c>
      <c r="BQ251" s="300" t="str">
        <f>_xlfn.IFNA(VLOOKUP($BD251,Programma!$F$3:$S$1107,14,0),"")</f>
        <v/>
      </c>
      <c r="BR251" s="300" t="str">
        <f>_xlfn.IFNA(VLOOKUP($BD251,Programma!$F$3:$T$1107,15,0),"")</f>
        <v/>
      </c>
      <c r="BS251" s="300" t="str">
        <f>_xlfn.IFNA(VLOOKUP($BD251,Programma!$F$3:$U$1107,16,0),"")</f>
        <v/>
      </c>
      <c r="BT251" s="300" t="str">
        <f>_xlfn.IFNA(VLOOKUP($BD251,Programma!$F$3:$V$1107,17,0),"")</f>
        <v/>
      </c>
      <c r="BU251" s="300" t="str">
        <f>_xlfn.IFNA(VLOOKUP($BD251,Programma!$F$3:$W$1107,18,0),"")</f>
        <v/>
      </c>
      <c r="BV251" s="300" t="str">
        <f>_xlfn.IFNA(VLOOKUP($BD251,Programma!$F$3:$X$1107,19,0),"")</f>
        <v/>
      </c>
      <c r="BW251" s="300" t="str">
        <f>_xlfn.IFNA(VLOOKUP($BD251,Programma!$F$3:$Y$1107,20,0),"")</f>
        <v/>
      </c>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row>
    <row r="252" spans="1:220" ht="15" customHeight="1">
      <c r="A252" s="21">
        <v>4</v>
      </c>
      <c r="B252" s="157" t="str">
        <f>VLOOKUP(Ruimtestaat[[#This Row],[Code]],Locaties[[Code]:[Locatie]],2,FALSE)</f>
        <v>Sint-Maartenscollege</v>
      </c>
      <c r="C252" s="157" t="str">
        <f>VLOOKUP(Ruimtestaat[[#This Row],[Code]],Locaties[[#All],[Code]:[Adres]],4,FALSE)</f>
        <v xml:space="preserve">Aart v.d. Leeuwkade 14 </v>
      </c>
      <c r="D252" s="157" t="str">
        <f>VLOOKUP(Ruimtestaat[[#This Row],[Code]],Locaties[[#All],[Code]:[Postcode]],5,FALSE)</f>
        <v>2274 KX</v>
      </c>
      <c r="E252" s="157" t="str">
        <f>VLOOKUP(Ruimtestaat[[#This Row],[Code]],Locaties[#All],6,FALSE)</f>
        <v>Voorburg</v>
      </c>
      <c r="F252" s="62"/>
      <c r="G252" s="21" t="s">
        <v>1624</v>
      </c>
      <c r="H252" s="21" t="s">
        <v>1680</v>
      </c>
      <c r="I252" s="62" t="s">
        <v>1906</v>
      </c>
      <c r="J252" s="21">
        <v>5</v>
      </c>
      <c r="K252" s="62" t="str">
        <f>VLOOKUP(Ruimtestaat[[#This Row],[Ruimte code]],Ruimtegroepen[[#All],[Code]:[Ruimte omschrijving]],2,FALSE)</f>
        <v>Sanitair</v>
      </c>
      <c r="L252" s="33" t="s">
        <v>102</v>
      </c>
      <c r="M252" s="367" t="s">
        <v>2502</v>
      </c>
      <c r="N252" s="140">
        <v>6</v>
      </c>
      <c r="O252" s="140"/>
      <c r="P252" s="125" t="str">
        <f>VLOOKUP(Ruimtestaat[[#This Row],[Ruimte code]],Ruimtegroepen[],4,FALSE)</f>
        <v>Sa</v>
      </c>
      <c r="R252" s="33">
        <v>40</v>
      </c>
      <c r="S252" s="33" t="s">
        <v>2</v>
      </c>
      <c r="T252" s="33">
        <f>IF(R252&gt;0,IF(RIGHT(Ruimtestaat[[#This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2" s="33">
        <f>IF(T252&gt;0,VLOOKUP($J252,Ruimtegroepen[],3,FALSE)*VLOOKUP($L252,Vloersoorten[],3,FALSE)*VLOOKUP($S252,Frequenties[],3,FALSE)*VLOOKUP($A252,Locaties[],3,FALSE),0)</f>
        <v>0</v>
      </c>
      <c r="V252" s="33">
        <f>Ruimtestaat[[#This Row],[Uitvoeringen werkdagen]]*Ruimtestaat[[#This Row],[Oppervlak (netto)]]</f>
        <v>1200</v>
      </c>
      <c r="W252" s="154">
        <f>IF(U252&gt;0,Ruimtestaat[[#This Row],[Prest. (m2 /jaar) werkdagen]]/Ruimtestaat[[#This Row],[Norm (m2/uur) werkdagen]],0)</f>
        <v>0</v>
      </c>
      <c r="X252" s="155">
        <f>Ruimtestaat[[#This Row],[uren / jaar werkdagen]]*Tariefsopbouw!$E$35</f>
        <v>0</v>
      </c>
      <c r="Y252" s="33"/>
      <c r="Z252" s="33">
        <f>IF(Ruimtestaat[[#This Row],[Frequentie weekend]]&gt;0,VALUE(LEFT(Y252,1))*R252,0)</f>
        <v>0</v>
      </c>
      <c r="AA252" s="97">
        <f>IF($Z252&gt;0,VLOOKUP($J252,Ruimtegroepen[],3,FALSE)*VLOOKUP($L252,Vloersoorten[],3,FALSE)*VLOOKUP($Y252,Frequenties[],3,FALSE)*VLOOKUP(Ruimtestaat[[#This Row],[Code]],Locaties[],3,FALSE),0)</f>
        <v>0</v>
      </c>
      <c r="AB252" s="97">
        <f>Ruimtestaat[[#This Row],[Uitvoeringen weekend]]*Ruimtestaat[[#This Row],[Oppervlak (netto)]]</f>
        <v>0</v>
      </c>
      <c r="AC252" s="97">
        <f>IF(AA252&gt;0,Ruimtestaat[[#This Row],[Prest. (m2 /jaar) weekend]]/Ruimtestaat[[#This Row],[Norm (m2/uur) weekend]],0)</f>
        <v>0</v>
      </c>
      <c r="AD252" s="155">
        <f>Ruimtestaat[[#This Row],[uren / jaar weekend]]*Tariefsopbouw!$D$40</f>
        <v>0</v>
      </c>
      <c r="AE252" s="154">
        <f>Ruimtestaat[[#This Row],[Prest. (m2 /jaar) weekend]]+Ruimtestaat[[#This Row],[Prest. (m2 /jaar) werkdagen]]</f>
        <v>1200</v>
      </c>
      <c r="AF252" s="154">
        <f>Ruimtestaat[[#This Row],[uren / jaar weekend]]+Ruimtestaat[[#This Row],[uren / jaar werkdagen]]</f>
        <v>0</v>
      </c>
      <c r="AG252" s="69">
        <f>Ruimtestaat[[#This Row],[kosten / jaar weekend]]+Ruimtestaat[[#This Row],[kosten / jaar werkdagen]]</f>
        <v>0</v>
      </c>
      <c r="AH252" s="69"/>
      <c r="AI252" s="256" t="str">
        <f>IF(Ruimtestaat[[#This Row],[Frequentie werkdagen]]="","",_xlfn.CONCAT(Ruimtestaat[[#This Row],[Ruimte code]],"-",Ruimtestaat[[#This Row],[Frequentie werkdagen]]," ",Ruimtestaat[[#This Row],[Vloer code]]))</f>
        <v>5-5w S</v>
      </c>
      <c r="AJ252" s="300" t="str">
        <f>_xlfn.IFNA(VLOOKUP($AI252,Programma!$F$3:$G$1107,2,0),"")</f>
        <v>_</v>
      </c>
      <c r="AK252" s="300" t="str">
        <f>_xlfn.IFNA(VLOOKUP($AI252,Programma!$F$3:$H$1107,3,0),"")</f>
        <v>_</v>
      </c>
      <c r="AL252" s="300" t="str">
        <f>_xlfn.IFNA(VLOOKUP($AI252,Programma!$F$3:$I$1107,4,0),"")</f>
        <v>_</v>
      </c>
      <c r="AM252" s="300" t="str">
        <f>_xlfn.IFNA(VLOOKUP($AI252,Programma!$F$3:$J$1107,5,0),"")</f>
        <v>4w</v>
      </c>
      <c r="AN252" s="300" t="str">
        <f>_xlfn.IFNA(VLOOKUP($AI252,Programma!$F$3:$K$1107,6,0),"")</f>
        <v>1w</v>
      </c>
      <c r="AO252" s="300" t="str">
        <f>_xlfn.IFNA(VLOOKUP($AI252,Programma!$F$3:$L$1107,7,0),"")</f>
        <v>_</v>
      </c>
      <c r="AP252" s="300" t="str">
        <f>_xlfn.IFNA(VLOOKUP($AI252,Programma!$F$3:$M$1107,8,0),"")</f>
        <v>_</v>
      </c>
      <c r="AQ252" s="300" t="str">
        <f>_xlfn.IFNA(VLOOKUP($AI252,Programma!$F$3:$N$1107,9,0),"")</f>
        <v>_</v>
      </c>
      <c r="AR252" s="300" t="str">
        <f>_xlfn.IFNA(VLOOKUP($AI252,Programma!$F$3:$O$1107,10,0),"")</f>
        <v>_</v>
      </c>
      <c r="AS252" s="300" t="str">
        <f>_xlfn.IFNA(VLOOKUP($AI252,Programma!$F$3:$P$1107,11,0),"")</f>
        <v>_</v>
      </c>
      <c r="AT252" s="300" t="str">
        <f>_xlfn.IFNA(VLOOKUP($AI252,Programma!$F$3:$Q$1107,12,0),"")</f>
        <v>_</v>
      </c>
      <c r="AU252" s="300" t="str">
        <f>_xlfn.IFNA(VLOOKUP($AI252,Programma!$F$3:$R$1107,13,0),"")</f>
        <v>_</v>
      </c>
      <c r="AV252" s="300" t="str">
        <f>_xlfn.IFNA(VLOOKUP($AI252,Programma!$F$3:$S$1107,14,0),"")</f>
        <v>_</v>
      </c>
      <c r="AW252" s="300" t="str">
        <f>_xlfn.IFNA(VLOOKUP($AI252,Programma!$F$3:$T$1107,15,0),"")</f>
        <v>_</v>
      </c>
      <c r="AX252" s="300" t="str">
        <f>_xlfn.IFNA(VLOOKUP($AI252,Programma!$F$3:$U$1107,16,0),"")</f>
        <v>_</v>
      </c>
      <c r="AY252" s="300" t="str">
        <f>_xlfn.IFNA(VLOOKUP($AI252,Programma!$F$3:$V$1107,17,0),"")</f>
        <v>_</v>
      </c>
      <c r="AZ252" s="300" t="str">
        <f>_xlfn.IFNA(VLOOKUP($AI252,Programma!$F$3:$W$1107,18,0),"")</f>
        <v>4w</v>
      </c>
      <c r="BA252" s="300" t="str">
        <f>_xlfn.IFNA(VLOOKUP($AI252,Programma!$F$3:$X$1107,19,0),"")</f>
        <v>1w</v>
      </c>
      <c r="BB252" s="300" t="str">
        <f>_xlfn.IFNA(VLOOKUP($AI252,Programma!$F$3:$Y$1107,20,0),"")</f>
        <v>_</v>
      </c>
      <c r="BC252" s="257"/>
      <c r="BD252" s="256" t="str">
        <f>IF(Ruimtestaat[[#This Row],[Frequentie weekend]]="","",_xlfn.CONCAT(Ruimtestaat[[#This Row],[Ruimte code]],"-",Ruimtestaat[[#This Row],[Frequentie weekend]]," ",Ruimtestaat[[#This Row],[Vloer code]]))</f>
        <v/>
      </c>
      <c r="BE252" s="300" t="str">
        <f>_xlfn.IFNA(VLOOKUP($BD252,Programma!$F$3:$G$1107,2,0),"")</f>
        <v/>
      </c>
      <c r="BF252" s="300" t="str">
        <f>_xlfn.IFNA(VLOOKUP($BD252,Programma!$F$3:$H$1107,3,0),"")</f>
        <v/>
      </c>
      <c r="BG252" s="300" t="str">
        <f>_xlfn.IFNA(VLOOKUP($BD252,Programma!$F$3:$I$1107,4,0),"")</f>
        <v/>
      </c>
      <c r="BH252" s="300" t="str">
        <f>_xlfn.IFNA(VLOOKUP($BD252,Programma!$F$3:$J$1107,5,0),"")</f>
        <v/>
      </c>
      <c r="BI252" s="300" t="str">
        <f>_xlfn.IFNA(VLOOKUP($BD252,Programma!$F$3:$K$1107,6,0),"")</f>
        <v/>
      </c>
      <c r="BJ252" s="300" t="str">
        <f>_xlfn.IFNA(VLOOKUP($BD252,Programma!$F$3:$L$1107,7,0),"")</f>
        <v/>
      </c>
      <c r="BK252" s="300" t="str">
        <f>_xlfn.IFNA(VLOOKUP($BD252,Programma!$F$3:$M$1107,8,0),"")</f>
        <v/>
      </c>
      <c r="BL252" s="300" t="str">
        <f>_xlfn.IFNA(VLOOKUP($BD252,Programma!$F$3:$N$1107,9,0),"")</f>
        <v/>
      </c>
      <c r="BM252" s="300" t="str">
        <f>_xlfn.IFNA(VLOOKUP($BD252,Programma!$F$3:$O$1107,10,0),"")</f>
        <v/>
      </c>
      <c r="BN252" s="300" t="str">
        <f>_xlfn.IFNA(VLOOKUP($BD252,Programma!$F$3:$P$1107,11,0),"")</f>
        <v/>
      </c>
      <c r="BO252" s="300" t="str">
        <f>_xlfn.IFNA(VLOOKUP($BD252,Programma!$F$3:$Q$1107,12,0),"")</f>
        <v/>
      </c>
      <c r="BP252" s="300" t="str">
        <f>_xlfn.IFNA(VLOOKUP($BD252,Programma!$F$3:$R$1107,13,0),"")</f>
        <v/>
      </c>
      <c r="BQ252" s="300" t="str">
        <f>_xlfn.IFNA(VLOOKUP($BD252,Programma!$F$3:$S$1107,14,0),"")</f>
        <v/>
      </c>
      <c r="BR252" s="300" t="str">
        <f>_xlfn.IFNA(VLOOKUP($BD252,Programma!$F$3:$T$1107,15,0),"")</f>
        <v/>
      </c>
      <c r="BS252" s="300" t="str">
        <f>_xlfn.IFNA(VLOOKUP($BD252,Programma!$F$3:$U$1107,16,0),"")</f>
        <v/>
      </c>
      <c r="BT252" s="300" t="str">
        <f>_xlfn.IFNA(VLOOKUP($BD252,Programma!$F$3:$V$1107,17,0),"")</f>
        <v/>
      </c>
      <c r="BU252" s="300" t="str">
        <f>_xlfn.IFNA(VLOOKUP($BD252,Programma!$F$3:$W$1107,18,0),"")</f>
        <v/>
      </c>
      <c r="BV252" s="300" t="str">
        <f>_xlfn.IFNA(VLOOKUP($BD252,Programma!$F$3:$X$1107,19,0),"")</f>
        <v/>
      </c>
      <c r="BW252" s="300" t="str">
        <f>_xlfn.IFNA(VLOOKUP($BD252,Programma!$F$3:$Y$1107,20,0),"")</f>
        <v/>
      </c>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row>
    <row r="253" spans="1:220" ht="15" customHeight="1">
      <c r="A253" s="21">
        <v>4</v>
      </c>
      <c r="B253" s="157" t="str">
        <f>VLOOKUP(Ruimtestaat[[#This Row],[Code]],Locaties[[Code]:[Locatie]],2,FALSE)</f>
        <v>Sint-Maartenscollege</v>
      </c>
      <c r="C253" s="157" t="str">
        <f>VLOOKUP(Ruimtestaat[[#This Row],[Code]],Locaties[[#All],[Code]:[Adres]],4,FALSE)</f>
        <v xml:space="preserve">Aart v.d. Leeuwkade 14 </v>
      </c>
      <c r="D253" s="157" t="str">
        <f>VLOOKUP(Ruimtestaat[[#This Row],[Code]],Locaties[[#All],[Code]:[Postcode]],5,FALSE)</f>
        <v>2274 KX</v>
      </c>
      <c r="E253" s="157" t="str">
        <f>VLOOKUP(Ruimtestaat[[#This Row],[Code]],Locaties[#All],6,FALSE)</f>
        <v>Voorburg</v>
      </c>
      <c r="F253" s="62"/>
      <c r="G253" s="21" t="s">
        <v>1624</v>
      </c>
      <c r="H253" s="21" t="s">
        <v>1681</v>
      </c>
      <c r="I253" s="62" t="s">
        <v>1907</v>
      </c>
      <c r="J253" s="21">
        <v>5</v>
      </c>
      <c r="K253" s="62" t="str">
        <f>VLOOKUP(Ruimtestaat[[#This Row],[Ruimte code]],Ruimtegroepen[[#All],[Code]:[Ruimte omschrijving]],2,FALSE)</f>
        <v>Sanitair</v>
      </c>
      <c r="L253" s="33" t="s">
        <v>102</v>
      </c>
      <c r="M253" s="367" t="s">
        <v>2502</v>
      </c>
      <c r="N253" s="140">
        <v>15</v>
      </c>
      <c r="O253" s="140"/>
      <c r="P253" s="125" t="str">
        <f>VLOOKUP(Ruimtestaat[[#This Row],[Ruimte code]],Ruimtegroepen[],4,FALSE)</f>
        <v>Sa</v>
      </c>
      <c r="R253" s="33">
        <v>40</v>
      </c>
      <c r="S253" s="33" t="s">
        <v>2</v>
      </c>
      <c r="T253" s="33">
        <f>IF(R253&gt;0,IF(RIGHT(Ruimtestaat[[#This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3" s="33">
        <f>IF(T253&gt;0,VLOOKUP($J253,Ruimtegroepen[],3,FALSE)*VLOOKUP($L253,Vloersoorten[],3,FALSE)*VLOOKUP($S253,Frequenties[],3,FALSE)*VLOOKUP($A253,Locaties[],3,FALSE),0)</f>
        <v>0</v>
      </c>
      <c r="V253" s="33">
        <f>Ruimtestaat[[#This Row],[Uitvoeringen werkdagen]]*Ruimtestaat[[#This Row],[Oppervlak (netto)]]</f>
        <v>3000</v>
      </c>
      <c r="W253" s="154">
        <f>IF(U253&gt;0,Ruimtestaat[[#This Row],[Prest. (m2 /jaar) werkdagen]]/Ruimtestaat[[#This Row],[Norm (m2/uur) werkdagen]],0)</f>
        <v>0</v>
      </c>
      <c r="X253" s="155">
        <f>Ruimtestaat[[#This Row],[uren / jaar werkdagen]]*Tariefsopbouw!$E$35</f>
        <v>0</v>
      </c>
      <c r="Y253" s="33"/>
      <c r="Z253" s="33">
        <f>IF(Ruimtestaat[[#This Row],[Frequentie weekend]]&gt;0,VALUE(LEFT(Y253,1))*R253,0)</f>
        <v>0</v>
      </c>
      <c r="AA253" s="97">
        <f>IF($Z253&gt;0,VLOOKUP($J253,Ruimtegroepen[],3,FALSE)*VLOOKUP($L253,Vloersoorten[],3,FALSE)*VLOOKUP($Y253,Frequenties[],3,FALSE)*VLOOKUP(Ruimtestaat[[#This Row],[Code]],Locaties[],3,FALSE),0)</f>
        <v>0</v>
      </c>
      <c r="AB253" s="97">
        <f>Ruimtestaat[[#This Row],[Uitvoeringen weekend]]*Ruimtestaat[[#This Row],[Oppervlak (netto)]]</f>
        <v>0</v>
      </c>
      <c r="AC253" s="97">
        <f>IF(AA253&gt;0,Ruimtestaat[[#This Row],[Prest. (m2 /jaar) weekend]]/Ruimtestaat[[#This Row],[Norm (m2/uur) weekend]],0)</f>
        <v>0</v>
      </c>
      <c r="AD253" s="155">
        <f>Ruimtestaat[[#This Row],[uren / jaar weekend]]*Tariefsopbouw!$D$40</f>
        <v>0</v>
      </c>
      <c r="AE253" s="154">
        <f>Ruimtestaat[[#This Row],[Prest. (m2 /jaar) weekend]]+Ruimtestaat[[#This Row],[Prest. (m2 /jaar) werkdagen]]</f>
        <v>3000</v>
      </c>
      <c r="AF253" s="154">
        <f>Ruimtestaat[[#This Row],[uren / jaar weekend]]+Ruimtestaat[[#This Row],[uren / jaar werkdagen]]</f>
        <v>0</v>
      </c>
      <c r="AG253" s="69">
        <f>Ruimtestaat[[#This Row],[kosten / jaar weekend]]+Ruimtestaat[[#This Row],[kosten / jaar werkdagen]]</f>
        <v>0</v>
      </c>
      <c r="AH253" s="69"/>
      <c r="AI253" s="256" t="str">
        <f>IF(Ruimtestaat[[#This Row],[Frequentie werkdagen]]="","",_xlfn.CONCAT(Ruimtestaat[[#This Row],[Ruimte code]],"-",Ruimtestaat[[#This Row],[Frequentie werkdagen]]," ",Ruimtestaat[[#This Row],[Vloer code]]))</f>
        <v>5-5w S</v>
      </c>
      <c r="AJ253" s="300" t="str">
        <f>_xlfn.IFNA(VLOOKUP($AI253,Programma!$F$3:$G$1107,2,0),"")</f>
        <v>_</v>
      </c>
      <c r="AK253" s="300" t="str">
        <f>_xlfn.IFNA(VLOOKUP($AI253,Programma!$F$3:$H$1107,3,0),"")</f>
        <v>_</v>
      </c>
      <c r="AL253" s="300" t="str">
        <f>_xlfn.IFNA(VLOOKUP($AI253,Programma!$F$3:$I$1107,4,0),"")</f>
        <v>_</v>
      </c>
      <c r="AM253" s="300" t="str">
        <f>_xlfn.IFNA(VLOOKUP($AI253,Programma!$F$3:$J$1107,5,0),"")</f>
        <v>4w</v>
      </c>
      <c r="AN253" s="300" t="str">
        <f>_xlfn.IFNA(VLOOKUP($AI253,Programma!$F$3:$K$1107,6,0),"")</f>
        <v>1w</v>
      </c>
      <c r="AO253" s="300" t="str">
        <f>_xlfn.IFNA(VLOOKUP($AI253,Programma!$F$3:$L$1107,7,0),"")</f>
        <v>_</v>
      </c>
      <c r="AP253" s="300" t="str">
        <f>_xlfn.IFNA(VLOOKUP($AI253,Programma!$F$3:$M$1107,8,0),"")</f>
        <v>_</v>
      </c>
      <c r="AQ253" s="300" t="str">
        <f>_xlfn.IFNA(VLOOKUP($AI253,Programma!$F$3:$N$1107,9,0),"")</f>
        <v>_</v>
      </c>
      <c r="AR253" s="300" t="str">
        <f>_xlfn.IFNA(VLOOKUP($AI253,Programma!$F$3:$O$1107,10,0),"")</f>
        <v>_</v>
      </c>
      <c r="AS253" s="300" t="str">
        <f>_xlfn.IFNA(VLOOKUP($AI253,Programma!$F$3:$P$1107,11,0),"")</f>
        <v>_</v>
      </c>
      <c r="AT253" s="300" t="str">
        <f>_xlfn.IFNA(VLOOKUP($AI253,Programma!$F$3:$Q$1107,12,0),"")</f>
        <v>_</v>
      </c>
      <c r="AU253" s="300" t="str">
        <f>_xlfn.IFNA(VLOOKUP($AI253,Programma!$F$3:$R$1107,13,0),"")</f>
        <v>_</v>
      </c>
      <c r="AV253" s="300" t="str">
        <f>_xlfn.IFNA(VLOOKUP($AI253,Programma!$F$3:$S$1107,14,0),"")</f>
        <v>_</v>
      </c>
      <c r="AW253" s="300" t="str">
        <f>_xlfn.IFNA(VLOOKUP($AI253,Programma!$F$3:$T$1107,15,0),"")</f>
        <v>_</v>
      </c>
      <c r="AX253" s="300" t="str">
        <f>_xlfn.IFNA(VLOOKUP($AI253,Programma!$F$3:$U$1107,16,0),"")</f>
        <v>_</v>
      </c>
      <c r="AY253" s="300" t="str">
        <f>_xlfn.IFNA(VLOOKUP($AI253,Programma!$F$3:$V$1107,17,0),"")</f>
        <v>_</v>
      </c>
      <c r="AZ253" s="300" t="str">
        <f>_xlfn.IFNA(VLOOKUP($AI253,Programma!$F$3:$W$1107,18,0),"")</f>
        <v>4w</v>
      </c>
      <c r="BA253" s="300" t="str">
        <f>_xlfn.IFNA(VLOOKUP($AI253,Programma!$F$3:$X$1107,19,0),"")</f>
        <v>1w</v>
      </c>
      <c r="BB253" s="300" t="str">
        <f>_xlfn.IFNA(VLOOKUP($AI253,Programma!$F$3:$Y$1107,20,0),"")</f>
        <v>_</v>
      </c>
      <c r="BC253" s="257"/>
      <c r="BD253" s="256" t="str">
        <f>IF(Ruimtestaat[[#This Row],[Frequentie weekend]]="","",_xlfn.CONCAT(Ruimtestaat[[#This Row],[Ruimte code]],"-",Ruimtestaat[[#This Row],[Frequentie weekend]]," ",Ruimtestaat[[#This Row],[Vloer code]]))</f>
        <v/>
      </c>
      <c r="BE253" s="300" t="str">
        <f>_xlfn.IFNA(VLOOKUP($BD253,Programma!$F$3:$G$1107,2,0),"")</f>
        <v/>
      </c>
      <c r="BF253" s="300" t="str">
        <f>_xlfn.IFNA(VLOOKUP($BD253,Programma!$F$3:$H$1107,3,0),"")</f>
        <v/>
      </c>
      <c r="BG253" s="300" t="str">
        <f>_xlfn.IFNA(VLOOKUP($BD253,Programma!$F$3:$I$1107,4,0),"")</f>
        <v/>
      </c>
      <c r="BH253" s="300" t="str">
        <f>_xlfn.IFNA(VLOOKUP($BD253,Programma!$F$3:$J$1107,5,0),"")</f>
        <v/>
      </c>
      <c r="BI253" s="300" t="str">
        <f>_xlfn.IFNA(VLOOKUP($BD253,Programma!$F$3:$K$1107,6,0),"")</f>
        <v/>
      </c>
      <c r="BJ253" s="300" t="str">
        <f>_xlfn.IFNA(VLOOKUP($BD253,Programma!$F$3:$L$1107,7,0),"")</f>
        <v/>
      </c>
      <c r="BK253" s="300" t="str">
        <f>_xlfn.IFNA(VLOOKUP($BD253,Programma!$F$3:$M$1107,8,0),"")</f>
        <v/>
      </c>
      <c r="BL253" s="300" t="str">
        <f>_xlfn.IFNA(VLOOKUP($BD253,Programma!$F$3:$N$1107,9,0),"")</f>
        <v/>
      </c>
      <c r="BM253" s="300" t="str">
        <f>_xlfn.IFNA(VLOOKUP($BD253,Programma!$F$3:$O$1107,10,0),"")</f>
        <v/>
      </c>
      <c r="BN253" s="300" t="str">
        <f>_xlfn.IFNA(VLOOKUP($BD253,Programma!$F$3:$P$1107,11,0),"")</f>
        <v/>
      </c>
      <c r="BO253" s="300" t="str">
        <f>_xlfn.IFNA(VLOOKUP($BD253,Programma!$F$3:$Q$1107,12,0),"")</f>
        <v/>
      </c>
      <c r="BP253" s="300" t="str">
        <f>_xlfn.IFNA(VLOOKUP($BD253,Programma!$F$3:$R$1107,13,0),"")</f>
        <v/>
      </c>
      <c r="BQ253" s="300" t="str">
        <f>_xlfn.IFNA(VLOOKUP($BD253,Programma!$F$3:$S$1107,14,0),"")</f>
        <v/>
      </c>
      <c r="BR253" s="300" t="str">
        <f>_xlfn.IFNA(VLOOKUP($BD253,Programma!$F$3:$T$1107,15,0),"")</f>
        <v/>
      </c>
      <c r="BS253" s="300" t="str">
        <f>_xlfn.IFNA(VLOOKUP($BD253,Programma!$F$3:$U$1107,16,0),"")</f>
        <v/>
      </c>
      <c r="BT253" s="300" t="str">
        <f>_xlfn.IFNA(VLOOKUP($BD253,Programma!$F$3:$V$1107,17,0),"")</f>
        <v/>
      </c>
      <c r="BU253" s="300" t="str">
        <f>_xlfn.IFNA(VLOOKUP($BD253,Programma!$F$3:$W$1107,18,0),"")</f>
        <v/>
      </c>
      <c r="BV253" s="300" t="str">
        <f>_xlfn.IFNA(VLOOKUP($BD253,Programma!$F$3:$X$1107,19,0),"")</f>
        <v/>
      </c>
      <c r="BW253" s="300" t="str">
        <f>_xlfn.IFNA(VLOOKUP($BD253,Programma!$F$3:$Y$1107,20,0),"")</f>
        <v/>
      </c>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row>
    <row r="254" spans="1:220" ht="15" customHeight="1">
      <c r="A254" s="21">
        <v>4</v>
      </c>
      <c r="B254" s="157" t="str">
        <f>VLOOKUP(Ruimtestaat[[#This Row],[Code]],Locaties[[Code]:[Locatie]],2,FALSE)</f>
        <v>Sint-Maartenscollege</v>
      </c>
      <c r="C254" s="157" t="str">
        <f>VLOOKUP(Ruimtestaat[[#This Row],[Code]],Locaties[[#All],[Code]:[Adres]],4,FALSE)</f>
        <v xml:space="preserve">Aart v.d. Leeuwkade 14 </v>
      </c>
      <c r="D254" s="157" t="str">
        <f>VLOOKUP(Ruimtestaat[[#This Row],[Code]],Locaties[[#All],[Code]:[Postcode]],5,FALSE)</f>
        <v>2274 KX</v>
      </c>
      <c r="E254" s="157" t="str">
        <f>VLOOKUP(Ruimtestaat[[#This Row],[Code]],Locaties[#All],6,FALSE)</f>
        <v>Voorburg</v>
      </c>
      <c r="F254" s="62"/>
      <c r="G254" s="21" t="s">
        <v>1624</v>
      </c>
      <c r="H254" s="21" t="s">
        <v>1683</v>
      </c>
      <c r="I254" s="62" t="s">
        <v>1908</v>
      </c>
      <c r="J254" s="21">
        <v>5</v>
      </c>
      <c r="K254" s="62" t="str">
        <f>VLOOKUP(Ruimtestaat[[#This Row],[Ruimte code]],Ruimtegroepen[[#All],[Code]:[Ruimte omschrijving]],2,FALSE)</f>
        <v>Sanitair</v>
      </c>
      <c r="L254" s="33" t="s">
        <v>102</v>
      </c>
      <c r="M254" s="367" t="s">
        <v>2502</v>
      </c>
      <c r="N254" s="140">
        <v>24</v>
      </c>
      <c r="O254" s="140"/>
      <c r="P254" s="125" t="str">
        <f>VLOOKUP(Ruimtestaat[[#This Row],[Ruimte code]],Ruimtegroepen[],4,FALSE)</f>
        <v>Sa</v>
      </c>
      <c r="R254" s="33">
        <v>40</v>
      </c>
      <c r="S254" s="33" t="s">
        <v>2</v>
      </c>
      <c r="T254" s="33">
        <f>IF(R254&gt;0,IF(RIGHT(Ruimtestaat[[#This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4" s="33">
        <f>IF(T254&gt;0,VLOOKUP($J254,Ruimtegroepen[],3,FALSE)*VLOOKUP($L254,Vloersoorten[],3,FALSE)*VLOOKUP($S254,Frequenties[],3,FALSE)*VLOOKUP($A254,Locaties[],3,FALSE),0)</f>
        <v>0</v>
      </c>
      <c r="V254" s="33">
        <f>Ruimtestaat[[#This Row],[Uitvoeringen werkdagen]]*Ruimtestaat[[#This Row],[Oppervlak (netto)]]</f>
        <v>4800</v>
      </c>
      <c r="W254" s="154">
        <f>IF(U254&gt;0,Ruimtestaat[[#This Row],[Prest. (m2 /jaar) werkdagen]]/Ruimtestaat[[#This Row],[Norm (m2/uur) werkdagen]],0)</f>
        <v>0</v>
      </c>
      <c r="X254" s="155">
        <f>Ruimtestaat[[#This Row],[uren / jaar werkdagen]]*Tariefsopbouw!$E$35</f>
        <v>0</v>
      </c>
      <c r="Y254" s="33"/>
      <c r="Z254" s="33">
        <f>IF(Ruimtestaat[[#This Row],[Frequentie weekend]]&gt;0,VALUE(LEFT(Y254,1))*R254,0)</f>
        <v>0</v>
      </c>
      <c r="AA254" s="97">
        <f>IF($Z254&gt;0,VLOOKUP($J254,Ruimtegroepen[],3,FALSE)*VLOOKUP($L254,Vloersoorten[],3,FALSE)*VLOOKUP($Y254,Frequenties[],3,FALSE)*VLOOKUP(Ruimtestaat[[#This Row],[Code]],Locaties[],3,FALSE),0)</f>
        <v>0</v>
      </c>
      <c r="AB254" s="97">
        <f>Ruimtestaat[[#This Row],[Uitvoeringen weekend]]*Ruimtestaat[[#This Row],[Oppervlak (netto)]]</f>
        <v>0</v>
      </c>
      <c r="AC254" s="97">
        <f>IF(AA254&gt;0,Ruimtestaat[[#This Row],[Prest. (m2 /jaar) weekend]]/Ruimtestaat[[#This Row],[Norm (m2/uur) weekend]],0)</f>
        <v>0</v>
      </c>
      <c r="AD254" s="155">
        <f>Ruimtestaat[[#This Row],[uren / jaar weekend]]*Tariefsopbouw!$D$40</f>
        <v>0</v>
      </c>
      <c r="AE254" s="154">
        <f>Ruimtestaat[[#This Row],[Prest. (m2 /jaar) weekend]]+Ruimtestaat[[#This Row],[Prest. (m2 /jaar) werkdagen]]</f>
        <v>4800</v>
      </c>
      <c r="AF254" s="154">
        <f>Ruimtestaat[[#This Row],[uren / jaar weekend]]+Ruimtestaat[[#This Row],[uren / jaar werkdagen]]</f>
        <v>0</v>
      </c>
      <c r="AG254" s="69">
        <f>Ruimtestaat[[#This Row],[kosten / jaar weekend]]+Ruimtestaat[[#This Row],[kosten / jaar werkdagen]]</f>
        <v>0</v>
      </c>
      <c r="AH254" s="69"/>
      <c r="AI254" s="256" t="str">
        <f>IF(Ruimtestaat[[#This Row],[Frequentie werkdagen]]="","",_xlfn.CONCAT(Ruimtestaat[[#This Row],[Ruimte code]],"-",Ruimtestaat[[#This Row],[Frequentie werkdagen]]," ",Ruimtestaat[[#This Row],[Vloer code]]))</f>
        <v>5-5w S</v>
      </c>
      <c r="AJ254" s="300" t="str">
        <f>_xlfn.IFNA(VLOOKUP($AI254,Programma!$F$3:$G$1107,2,0),"")</f>
        <v>_</v>
      </c>
      <c r="AK254" s="300" t="str">
        <f>_xlfn.IFNA(VLOOKUP($AI254,Programma!$F$3:$H$1107,3,0),"")</f>
        <v>_</v>
      </c>
      <c r="AL254" s="300" t="str">
        <f>_xlfn.IFNA(VLOOKUP($AI254,Programma!$F$3:$I$1107,4,0),"")</f>
        <v>_</v>
      </c>
      <c r="AM254" s="300" t="str">
        <f>_xlfn.IFNA(VLOOKUP($AI254,Programma!$F$3:$J$1107,5,0),"")</f>
        <v>4w</v>
      </c>
      <c r="AN254" s="300" t="str">
        <f>_xlfn.IFNA(VLOOKUP($AI254,Programma!$F$3:$K$1107,6,0),"")</f>
        <v>1w</v>
      </c>
      <c r="AO254" s="300" t="str">
        <f>_xlfn.IFNA(VLOOKUP($AI254,Programma!$F$3:$L$1107,7,0),"")</f>
        <v>_</v>
      </c>
      <c r="AP254" s="300" t="str">
        <f>_xlfn.IFNA(VLOOKUP($AI254,Programma!$F$3:$M$1107,8,0),"")</f>
        <v>_</v>
      </c>
      <c r="AQ254" s="300" t="str">
        <f>_xlfn.IFNA(VLOOKUP($AI254,Programma!$F$3:$N$1107,9,0),"")</f>
        <v>_</v>
      </c>
      <c r="AR254" s="300" t="str">
        <f>_xlfn.IFNA(VLOOKUP($AI254,Programma!$F$3:$O$1107,10,0),"")</f>
        <v>_</v>
      </c>
      <c r="AS254" s="300" t="str">
        <f>_xlfn.IFNA(VLOOKUP($AI254,Programma!$F$3:$P$1107,11,0),"")</f>
        <v>_</v>
      </c>
      <c r="AT254" s="300" t="str">
        <f>_xlfn.IFNA(VLOOKUP($AI254,Programma!$F$3:$Q$1107,12,0),"")</f>
        <v>_</v>
      </c>
      <c r="AU254" s="300" t="str">
        <f>_xlfn.IFNA(VLOOKUP($AI254,Programma!$F$3:$R$1107,13,0),"")</f>
        <v>_</v>
      </c>
      <c r="AV254" s="300" t="str">
        <f>_xlfn.IFNA(VLOOKUP($AI254,Programma!$F$3:$S$1107,14,0),"")</f>
        <v>_</v>
      </c>
      <c r="AW254" s="300" t="str">
        <f>_xlfn.IFNA(VLOOKUP($AI254,Programma!$F$3:$T$1107,15,0),"")</f>
        <v>_</v>
      </c>
      <c r="AX254" s="300" t="str">
        <f>_xlfn.IFNA(VLOOKUP($AI254,Programma!$F$3:$U$1107,16,0),"")</f>
        <v>_</v>
      </c>
      <c r="AY254" s="300" t="str">
        <f>_xlfn.IFNA(VLOOKUP($AI254,Programma!$F$3:$V$1107,17,0),"")</f>
        <v>_</v>
      </c>
      <c r="AZ254" s="300" t="str">
        <f>_xlfn.IFNA(VLOOKUP($AI254,Programma!$F$3:$W$1107,18,0),"")</f>
        <v>4w</v>
      </c>
      <c r="BA254" s="300" t="str">
        <f>_xlfn.IFNA(VLOOKUP($AI254,Programma!$F$3:$X$1107,19,0),"")</f>
        <v>1w</v>
      </c>
      <c r="BB254" s="300" t="str">
        <f>_xlfn.IFNA(VLOOKUP($AI254,Programma!$F$3:$Y$1107,20,0),"")</f>
        <v>_</v>
      </c>
      <c r="BC254" s="257"/>
      <c r="BD254" s="256" t="str">
        <f>IF(Ruimtestaat[[#This Row],[Frequentie weekend]]="","",_xlfn.CONCAT(Ruimtestaat[[#This Row],[Ruimte code]],"-",Ruimtestaat[[#This Row],[Frequentie weekend]]," ",Ruimtestaat[[#This Row],[Vloer code]]))</f>
        <v/>
      </c>
      <c r="BE254" s="300" t="str">
        <f>_xlfn.IFNA(VLOOKUP($BD254,Programma!$F$3:$G$1107,2,0),"")</f>
        <v/>
      </c>
      <c r="BF254" s="300" t="str">
        <f>_xlfn.IFNA(VLOOKUP($BD254,Programma!$F$3:$H$1107,3,0),"")</f>
        <v/>
      </c>
      <c r="BG254" s="300" t="str">
        <f>_xlfn.IFNA(VLOOKUP($BD254,Programma!$F$3:$I$1107,4,0),"")</f>
        <v/>
      </c>
      <c r="BH254" s="300" t="str">
        <f>_xlfn.IFNA(VLOOKUP($BD254,Programma!$F$3:$J$1107,5,0),"")</f>
        <v/>
      </c>
      <c r="BI254" s="300" t="str">
        <f>_xlfn.IFNA(VLOOKUP($BD254,Programma!$F$3:$K$1107,6,0),"")</f>
        <v/>
      </c>
      <c r="BJ254" s="300" t="str">
        <f>_xlfn.IFNA(VLOOKUP($BD254,Programma!$F$3:$L$1107,7,0),"")</f>
        <v/>
      </c>
      <c r="BK254" s="300" t="str">
        <f>_xlfn.IFNA(VLOOKUP($BD254,Programma!$F$3:$M$1107,8,0),"")</f>
        <v/>
      </c>
      <c r="BL254" s="300" t="str">
        <f>_xlfn.IFNA(VLOOKUP($BD254,Programma!$F$3:$N$1107,9,0),"")</f>
        <v/>
      </c>
      <c r="BM254" s="300" t="str">
        <f>_xlfn.IFNA(VLOOKUP($BD254,Programma!$F$3:$O$1107,10,0),"")</f>
        <v/>
      </c>
      <c r="BN254" s="300" t="str">
        <f>_xlfn.IFNA(VLOOKUP($BD254,Programma!$F$3:$P$1107,11,0),"")</f>
        <v/>
      </c>
      <c r="BO254" s="300" t="str">
        <f>_xlfn.IFNA(VLOOKUP($BD254,Programma!$F$3:$Q$1107,12,0),"")</f>
        <v/>
      </c>
      <c r="BP254" s="300" t="str">
        <f>_xlfn.IFNA(VLOOKUP($BD254,Programma!$F$3:$R$1107,13,0),"")</f>
        <v/>
      </c>
      <c r="BQ254" s="300" t="str">
        <f>_xlfn.IFNA(VLOOKUP($BD254,Programma!$F$3:$S$1107,14,0),"")</f>
        <v/>
      </c>
      <c r="BR254" s="300" t="str">
        <f>_xlfn.IFNA(VLOOKUP($BD254,Programma!$F$3:$T$1107,15,0),"")</f>
        <v/>
      </c>
      <c r="BS254" s="300" t="str">
        <f>_xlfn.IFNA(VLOOKUP($BD254,Programma!$F$3:$U$1107,16,0),"")</f>
        <v/>
      </c>
      <c r="BT254" s="300" t="str">
        <f>_xlfn.IFNA(VLOOKUP($BD254,Programma!$F$3:$V$1107,17,0),"")</f>
        <v/>
      </c>
      <c r="BU254" s="300" t="str">
        <f>_xlfn.IFNA(VLOOKUP($BD254,Programma!$F$3:$W$1107,18,0),"")</f>
        <v/>
      </c>
      <c r="BV254" s="300" t="str">
        <f>_xlfn.IFNA(VLOOKUP($BD254,Programma!$F$3:$X$1107,19,0),"")</f>
        <v/>
      </c>
      <c r="BW254" s="300" t="str">
        <f>_xlfn.IFNA(VLOOKUP($BD254,Programma!$F$3:$Y$1107,20,0),"")</f>
        <v/>
      </c>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row>
    <row r="255" spans="1:220" ht="15" customHeight="1">
      <c r="A255" s="21">
        <v>4</v>
      </c>
      <c r="B255" s="157" t="str">
        <f>VLOOKUP(Ruimtestaat[[#This Row],[Code]],Locaties[[Code]:[Locatie]],2,FALSE)</f>
        <v>Sint-Maartenscollege</v>
      </c>
      <c r="C255" s="157" t="str">
        <f>VLOOKUP(Ruimtestaat[[#This Row],[Code]],Locaties[[#All],[Code]:[Adres]],4,FALSE)</f>
        <v xml:space="preserve">Aart v.d. Leeuwkade 14 </v>
      </c>
      <c r="D255" s="157" t="str">
        <f>VLOOKUP(Ruimtestaat[[#This Row],[Code]],Locaties[[#All],[Code]:[Postcode]],5,FALSE)</f>
        <v>2274 KX</v>
      </c>
      <c r="E255" s="157" t="str">
        <f>VLOOKUP(Ruimtestaat[[#This Row],[Code]],Locaties[#All],6,FALSE)</f>
        <v>Voorburg</v>
      </c>
      <c r="F255" s="62"/>
      <c r="G255" s="21" t="s">
        <v>1624</v>
      </c>
      <c r="H255" s="21" t="s">
        <v>1685</v>
      </c>
      <c r="I255" s="62" t="s">
        <v>1907</v>
      </c>
      <c r="J255" s="21">
        <v>5</v>
      </c>
      <c r="K255" s="62" t="str">
        <f>VLOOKUP(Ruimtestaat[[#This Row],[Ruimte code]],Ruimtegroepen[[#All],[Code]:[Ruimte omschrijving]],2,FALSE)</f>
        <v>Sanitair</v>
      </c>
      <c r="L255" s="33" t="s">
        <v>102</v>
      </c>
      <c r="M255" s="367" t="s">
        <v>2502</v>
      </c>
      <c r="N255" s="140">
        <v>11</v>
      </c>
      <c r="O255" s="140"/>
      <c r="P255" s="125" t="str">
        <f>VLOOKUP(Ruimtestaat[[#This Row],[Ruimte code]],Ruimtegroepen[],4,FALSE)</f>
        <v>Sa</v>
      </c>
      <c r="R255" s="33">
        <v>40</v>
      </c>
      <c r="S255" s="33" t="s">
        <v>2</v>
      </c>
      <c r="T255" s="33">
        <f>IF(R255&gt;0,IF(RIGHT(Ruimtestaat[[#This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5" s="33">
        <f>IF(T255&gt;0,VLOOKUP($J255,Ruimtegroepen[],3,FALSE)*VLOOKUP($L255,Vloersoorten[],3,FALSE)*VLOOKUP($S255,Frequenties[],3,FALSE)*VLOOKUP($A255,Locaties[],3,FALSE),0)</f>
        <v>0</v>
      </c>
      <c r="V255" s="33">
        <f>Ruimtestaat[[#This Row],[Uitvoeringen werkdagen]]*Ruimtestaat[[#This Row],[Oppervlak (netto)]]</f>
        <v>2200</v>
      </c>
      <c r="W255" s="154">
        <f>IF(U255&gt;0,Ruimtestaat[[#This Row],[Prest. (m2 /jaar) werkdagen]]/Ruimtestaat[[#This Row],[Norm (m2/uur) werkdagen]],0)</f>
        <v>0</v>
      </c>
      <c r="X255" s="155">
        <f>Ruimtestaat[[#This Row],[uren / jaar werkdagen]]*Tariefsopbouw!$E$35</f>
        <v>0</v>
      </c>
      <c r="Y255" s="33"/>
      <c r="Z255" s="33">
        <f>IF(Ruimtestaat[[#This Row],[Frequentie weekend]]&gt;0,VALUE(LEFT(Y255,1))*R255,0)</f>
        <v>0</v>
      </c>
      <c r="AA255" s="97">
        <f>IF($Z255&gt;0,VLOOKUP($J255,Ruimtegroepen[],3,FALSE)*VLOOKUP($L255,Vloersoorten[],3,FALSE)*VLOOKUP($Y255,Frequenties[],3,FALSE)*VLOOKUP(Ruimtestaat[[#This Row],[Code]],Locaties[],3,FALSE),0)</f>
        <v>0</v>
      </c>
      <c r="AB255" s="97">
        <f>Ruimtestaat[[#This Row],[Uitvoeringen weekend]]*Ruimtestaat[[#This Row],[Oppervlak (netto)]]</f>
        <v>0</v>
      </c>
      <c r="AC255" s="97">
        <f>IF(AA255&gt;0,Ruimtestaat[[#This Row],[Prest. (m2 /jaar) weekend]]/Ruimtestaat[[#This Row],[Norm (m2/uur) weekend]],0)</f>
        <v>0</v>
      </c>
      <c r="AD255" s="155">
        <f>Ruimtestaat[[#This Row],[uren / jaar weekend]]*Tariefsopbouw!$D$40</f>
        <v>0</v>
      </c>
      <c r="AE255" s="154">
        <f>Ruimtestaat[[#This Row],[Prest. (m2 /jaar) weekend]]+Ruimtestaat[[#This Row],[Prest. (m2 /jaar) werkdagen]]</f>
        <v>2200</v>
      </c>
      <c r="AF255" s="154">
        <f>Ruimtestaat[[#This Row],[uren / jaar weekend]]+Ruimtestaat[[#This Row],[uren / jaar werkdagen]]</f>
        <v>0</v>
      </c>
      <c r="AG255" s="69">
        <f>Ruimtestaat[[#This Row],[kosten / jaar weekend]]+Ruimtestaat[[#This Row],[kosten / jaar werkdagen]]</f>
        <v>0</v>
      </c>
      <c r="AH255" s="69"/>
      <c r="AI255" s="256" t="str">
        <f>IF(Ruimtestaat[[#This Row],[Frequentie werkdagen]]="","",_xlfn.CONCAT(Ruimtestaat[[#This Row],[Ruimte code]],"-",Ruimtestaat[[#This Row],[Frequentie werkdagen]]," ",Ruimtestaat[[#This Row],[Vloer code]]))</f>
        <v>5-5w S</v>
      </c>
      <c r="AJ255" s="300" t="str">
        <f>_xlfn.IFNA(VLOOKUP($AI255,Programma!$F$3:$G$1107,2,0),"")</f>
        <v>_</v>
      </c>
      <c r="AK255" s="300" t="str">
        <f>_xlfn.IFNA(VLOOKUP($AI255,Programma!$F$3:$H$1107,3,0),"")</f>
        <v>_</v>
      </c>
      <c r="AL255" s="300" t="str">
        <f>_xlfn.IFNA(VLOOKUP($AI255,Programma!$F$3:$I$1107,4,0),"")</f>
        <v>_</v>
      </c>
      <c r="AM255" s="300" t="str">
        <f>_xlfn.IFNA(VLOOKUP($AI255,Programma!$F$3:$J$1107,5,0),"")</f>
        <v>4w</v>
      </c>
      <c r="AN255" s="300" t="str">
        <f>_xlfn.IFNA(VLOOKUP($AI255,Programma!$F$3:$K$1107,6,0),"")</f>
        <v>1w</v>
      </c>
      <c r="AO255" s="300" t="str">
        <f>_xlfn.IFNA(VLOOKUP($AI255,Programma!$F$3:$L$1107,7,0),"")</f>
        <v>_</v>
      </c>
      <c r="AP255" s="300" t="str">
        <f>_xlfn.IFNA(VLOOKUP($AI255,Programma!$F$3:$M$1107,8,0),"")</f>
        <v>_</v>
      </c>
      <c r="AQ255" s="300" t="str">
        <f>_xlfn.IFNA(VLOOKUP($AI255,Programma!$F$3:$N$1107,9,0),"")</f>
        <v>_</v>
      </c>
      <c r="AR255" s="300" t="str">
        <f>_xlfn.IFNA(VLOOKUP($AI255,Programma!$F$3:$O$1107,10,0),"")</f>
        <v>_</v>
      </c>
      <c r="AS255" s="300" t="str">
        <f>_xlfn.IFNA(VLOOKUP($AI255,Programma!$F$3:$P$1107,11,0),"")</f>
        <v>_</v>
      </c>
      <c r="AT255" s="300" t="str">
        <f>_xlfn.IFNA(VLOOKUP($AI255,Programma!$F$3:$Q$1107,12,0),"")</f>
        <v>_</v>
      </c>
      <c r="AU255" s="300" t="str">
        <f>_xlfn.IFNA(VLOOKUP($AI255,Programma!$F$3:$R$1107,13,0),"")</f>
        <v>_</v>
      </c>
      <c r="AV255" s="300" t="str">
        <f>_xlfn.IFNA(VLOOKUP($AI255,Programma!$F$3:$S$1107,14,0),"")</f>
        <v>_</v>
      </c>
      <c r="AW255" s="300" t="str">
        <f>_xlfn.IFNA(VLOOKUP($AI255,Programma!$F$3:$T$1107,15,0),"")</f>
        <v>_</v>
      </c>
      <c r="AX255" s="300" t="str">
        <f>_xlfn.IFNA(VLOOKUP($AI255,Programma!$F$3:$U$1107,16,0),"")</f>
        <v>_</v>
      </c>
      <c r="AY255" s="300" t="str">
        <f>_xlfn.IFNA(VLOOKUP($AI255,Programma!$F$3:$V$1107,17,0),"")</f>
        <v>_</v>
      </c>
      <c r="AZ255" s="300" t="str">
        <f>_xlfn.IFNA(VLOOKUP($AI255,Programma!$F$3:$W$1107,18,0),"")</f>
        <v>4w</v>
      </c>
      <c r="BA255" s="300" t="str">
        <f>_xlfn.IFNA(VLOOKUP($AI255,Programma!$F$3:$X$1107,19,0),"")</f>
        <v>1w</v>
      </c>
      <c r="BB255" s="300" t="str">
        <f>_xlfn.IFNA(VLOOKUP($AI255,Programma!$F$3:$Y$1107,20,0),"")</f>
        <v>_</v>
      </c>
      <c r="BC255" s="257"/>
      <c r="BD255" s="256" t="str">
        <f>IF(Ruimtestaat[[#This Row],[Frequentie weekend]]="","",_xlfn.CONCAT(Ruimtestaat[[#This Row],[Ruimte code]],"-",Ruimtestaat[[#This Row],[Frequentie weekend]]," ",Ruimtestaat[[#This Row],[Vloer code]]))</f>
        <v/>
      </c>
      <c r="BE255" s="300" t="str">
        <f>_xlfn.IFNA(VLOOKUP($BD255,Programma!$F$3:$G$1107,2,0),"")</f>
        <v/>
      </c>
      <c r="BF255" s="300" t="str">
        <f>_xlfn.IFNA(VLOOKUP($BD255,Programma!$F$3:$H$1107,3,0),"")</f>
        <v/>
      </c>
      <c r="BG255" s="300" t="str">
        <f>_xlfn.IFNA(VLOOKUP($BD255,Programma!$F$3:$I$1107,4,0),"")</f>
        <v/>
      </c>
      <c r="BH255" s="300" t="str">
        <f>_xlfn.IFNA(VLOOKUP($BD255,Programma!$F$3:$J$1107,5,0),"")</f>
        <v/>
      </c>
      <c r="BI255" s="300" t="str">
        <f>_xlfn.IFNA(VLOOKUP($BD255,Programma!$F$3:$K$1107,6,0),"")</f>
        <v/>
      </c>
      <c r="BJ255" s="300" t="str">
        <f>_xlfn.IFNA(VLOOKUP($BD255,Programma!$F$3:$L$1107,7,0),"")</f>
        <v/>
      </c>
      <c r="BK255" s="300" t="str">
        <f>_xlfn.IFNA(VLOOKUP($BD255,Programma!$F$3:$M$1107,8,0),"")</f>
        <v/>
      </c>
      <c r="BL255" s="300" t="str">
        <f>_xlfn.IFNA(VLOOKUP($BD255,Programma!$F$3:$N$1107,9,0),"")</f>
        <v/>
      </c>
      <c r="BM255" s="300" t="str">
        <f>_xlfn.IFNA(VLOOKUP($BD255,Programma!$F$3:$O$1107,10,0),"")</f>
        <v/>
      </c>
      <c r="BN255" s="300" t="str">
        <f>_xlfn.IFNA(VLOOKUP($BD255,Programma!$F$3:$P$1107,11,0),"")</f>
        <v/>
      </c>
      <c r="BO255" s="300" t="str">
        <f>_xlfn.IFNA(VLOOKUP($BD255,Programma!$F$3:$Q$1107,12,0),"")</f>
        <v/>
      </c>
      <c r="BP255" s="300" t="str">
        <f>_xlfn.IFNA(VLOOKUP($BD255,Programma!$F$3:$R$1107,13,0),"")</f>
        <v/>
      </c>
      <c r="BQ255" s="300" t="str">
        <f>_xlfn.IFNA(VLOOKUP($BD255,Programma!$F$3:$S$1107,14,0),"")</f>
        <v/>
      </c>
      <c r="BR255" s="300" t="str">
        <f>_xlfn.IFNA(VLOOKUP($BD255,Programma!$F$3:$T$1107,15,0),"")</f>
        <v/>
      </c>
      <c r="BS255" s="300" t="str">
        <f>_xlfn.IFNA(VLOOKUP($BD255,Programma!$F$3:$U$1107,16,0),"")</f>
        <v/>
      </c>
      <c r="BT255" s="300" t="str">
        <f>_xlfn.IFNA(VLOOKUP($BD255,Programma!$F$3:$V$1107,17,0),"")</f>
        <v/>
      </c>
      <c r="BU255" s="300" t="str">
        <f>_xlfn.IFNA(VLOOKUP($BD255,Programma!$F$3:$W$1107,18,0),"")</f>
        <v/>
      </c>
      <c r="BV255" s="300" t="str">
        <f>_xlfn.IFNA(VLOOKUP($BD255,Programma!$F$3:$X$1107,19,0),"")</f>
        <v/>
      </c>
      <c r="BW255" s="300" t="str">
        <f>_xlfn.IFNA(VLOOKUP($BD255,Programma!$F$3:$Y$1107,20,0),"")</f>
        <v/>
      </c>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row>
    <row r="256" spans="1:220" ht="15" customHeight="1">
      <c r="A256" s="21">
        <v>4</v>
      </c>
      <c r="B256" s="157" t="str">
        <f>VLOOKUP(Ruimtestaat[[#This Row],[Code]],Locaties[[Code]:[Locatie]],2,FALSE)</f>
        <v>Sint-Maartenscollege</v>
      </c>
      <c r="C256" s="157" t="str">
        <f>VLOOKUP(Ruimtestaat[[#This Row],[Code]],Locaties[[#All],[Code]:[Adres]],4,FALSE)</f>
        <v xml:space="preserve">Aart v.d. Leeuwkade 14 </v>
      </c>
      <c r="D256" s="157" t="str">
        <f>VLOOKUP(Ruimtestaat[[#This Row],[Code]],Locaties[[#All],[Code]:[Postcode]],5,FALSE)</f>
        <v>2274 KX</v>
      </c>
      <c r="E256" s="157" t="str">
        <f>VLOOKUP(Ruimtestaat[[#This Row],[Code]],Locaties[#All],6,FALSE)</f>
        <v>Voorburg</v>
      </c>
      <c r="F256" s="62"/>
      <c r="G256" s="21" t="s">
        <v>1624</v>
      </c>
      <c r="H256" s="21" t="s">
        <v>1687</v>
      </c>
      <c r="I256" s="62" t="s">
        <v>1906</v>
      </c>
      <c r="J256" s="21">
        <v>5</v>
      </c>
      <c r="K256" s="62" t="str">
        <f>VLOOKUP(Ruimtestaat[[#This Row],[Ruimte code]],Ruimtegroepen[[#All],[Code]:[Ruimte omschrijving]],2,FALSE)</f>
        <v>Sanitair</v>
      </c>
      <c r="L256" s="33" t="s">
        <v>102</v>
      </c>
      <c r="M256" s="367" t="s">
        <v>2502</v>
      </c>
      <c r="N256" s="140">
        <v>1</v>
      </c>
      <c r="O256" s="140"/>
      <c r="P256" s="125" t="str">
        <f>VLOOKUP(Ruimtestaat[[#This Row],[Ruimte code]],Ruimtegroepen[],4,FALSE)</f>
        <v>Sa</v>
      </c>
      <c r="R256" s="33">
        <v>40</v>
      </c>
      <c r="S256" s="33" t="s">
        <v>2</v>
      </c>
      <c r="T256" s="33">
        <f>IF(R256&gt;0,IF(RIGHT(Ruimtestaat[[#This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6" s="33">
        <f>IF(T256&gt;0,VLOOKUP($J256,Ruimtegroepen[],3,FALSE)*VLOOKUP($L256,Vloersoorten[],3,FALSE)*VLOOKUP($S256,Frequenties[],3,FALSE)*VLOOKUP($A256,Locaties[],3,FALSE),0)</f>
        <v>0</v>
      </c>
      <c r="V256" s="33">
        <f>Ruimtestaat[[#This Row],[Uitvoeringen werkdagen]]*Ruimtestaat[[#This Row],[Oppervlak (netto)]]</f>
        <v>200</v>
      </c>
      <c r="W256" s="154">
        <f>IF(U256&gt;0,Ruimtestaat[[#This Row],[Prest. (m2 /jaar) werkdagen]]/Ruimtestaat[[#This Row],[Norm (m2/uur) werkdagen]],0)</f>
        <v>0</v>
      </c>
      <c r="X256" s="155">
        <f>Ruimtestaat[[#This Row],[uren / jaar werkdagen]]*Tariefsopbouw!$E$35</f>
        <v>0</v>
      </c>
      <c r="Y256" s="33"/>
      <c r="Z256" s="33">
        <f>IF(Ruimtestaat[[#This Row],[Frequentie weekend]]&gt;0,VALUE(LEFT(Y256,1))*R256,0)</f>
        <v>0</v>
      </c>
      <c r="AA256" s="97">
        <f>IF($Z256&gt;0,VLOOKUP($J256,Ruimtegroepen[],3,FALSE)*VLOOKUP($L256,Vloersoorten[],3,FALSE)*VLOOKUP($Y256,Frequenties[],3,FALSE)*VLOOKUP(Ruimtestaat[[#This Row],[Code]],Locaties[],3,FALSE),0)</f>
        <v>0</v>
      </c>
      <c r="AB256" s="97">
        <f>Ruimtestaat[[#This Row],[Uitvoeringen weekend]]*Ruimtestaat[[#This Row],[Oppervlak (netto)]]</f>
        <v>0</v>
      </c>
      <c r="AC256" s="97">
        <f>IF(AA256&gt;0,Ruimtestaat[[#This Row],[Prest. (m2 /jaar) weekend]]/Ruimtestaat[[#This Row],[Norm (m2/uur) weekend]],0)</f>
        <v>0</v>
      </c>
      <c r="AD256" s="155">
        <f>Ruimtestaat[[#This Row],[uren / jaar weekend]]*Tariefsopbouw!$D$40</f>
        <v>0</v>
      </c>
      <c r="AE256" s="154">
        <f>Ruimtestaat[[#This Row],[Prest. (m2 /jaar) weekend]]+Ruimtestaat[[#This Row],[Prest. (m2 /jaar) werkdagen]]</f>
        <v>200</v>
      </c>
      <c r="AF256" s="154">
        <f>Ruimtestaat[[#This Row],[uren / jaar weekend]]+Ruimtestaat[[#This Row],[uren / jaar werkdagen]]</f>
        <v>0</v>
      </c>
      <c r="AG256" s="69">
        <f>Ruimtestaat[[#This Row],[kosten / jaar weekend]]+Ruimtestaat[[#This Row],[kosten / jaar werkdagen]]</f>
        <v>0</v>
      </c>
      <c r="AH256" s="69"/>
      <c r="AI256" s="256" t="str">
        <f>IF(Ruimtestaat[[#This Row],[Frequentie werkdagen]]="","",_xlfn.CONCAT(Ruimtestaat[[#This Row],[Ruimte code]],"-",Ruimtestaat[[#This Row],[Frequentie werkdagen]]," ",Ruimtestaat[[#This Row],[Vloer code]]))</f>
        <v>5-5w S</v>
      </c>
      <c r="AJ256" s="300" t="str">
        <f>_xlfn.IFNA(VLOOKUP($AI256,Programma!$F$3:$G$1107,2,0),"")</f>
        <v>_</v>
      </c>
      <c r="AK256" s="300" t="str">
        <f>_xlfn.IFNA(VLOOKUP($AI256,Programma!$F$3:$H$1107,3,0),"")</f>
        <v>_</v>
      </c>
      <c r="AL256" s="300" t="str">
        <f>_xlfn.IFNA(VLOOKUP($AI256,Programma!$F$3:$I$1107,4,0),"")</f>
        <v>_</v>
      </c>
      <c r="AM256" s="300" t="str">
        <f>_xlfn.IFNA(VLOOKUP($AI256,Programma!$F$3:$J$1107,5,0),"")</f>
        <v>4w</v>
      </c>
      <c r="AN256" s="300" t="str">
        <f>_xlfn.IFNA(VLOOKUP($AI256,Programma!$F$3:$K$1107,6,0),"")</f>
        <v>1w</v>
      </c>
      <c r="AO256" s="300" t="str">
        <f>_xlfn.IFNA(VLOOKUP($AI256,Programma!$F$3:$L$1107,7,0),"")</f>
        <v>_</v>
      </c>
      <c r="AP256" s="300" t="str">
        <f>_xlfn.IFNA(VLOOKUP($AI256,Programma!$F$3:$M$1107,8,0),"")</f>
        <v>_</v>
      </c>
      <c r="AQ256" s="300" t="str">
        <f>_xlfn.IFNA(VLOOKUP($AI256,Programma!$F$3:$N$1107,9,0),"")</f>
        <v>_</v>
      </c>
      <c r="AR256" s="300" t="str">
        <f>_xlfn.IFNA(VLOOKUP($AI256,Programma!$F$3:$O$1107,10,0),"")</f>
        <v>_</v>
      </c>
      <c r="AS256" s="300" t="str">
        <f>_xlfn.IFNA(VLOOKUP($AI256,Programma!$F$3:$P$1107,11,0),"")</f>
        <v>_</v>
      </c>
      <c r="AT256" s="300" t="str">
        <f>_xlfn.IFNA(VLOOKUP($AI256,Programma!$F$3:$Q$1107,12,0),"")</f>
        <v>_</v>
      </c>
      <c r="AU256" s="300" t="str">
        <f>_xlfn.IFNA(VLOOKUP($AI256,Programma!$F$3:$R$1107,13,0),"")</f>
        <v>_</v>
      </c>
      <c r="AV256" s="300" t="str">
        <f>_xlfn.IFNA(VLOOKUP($AI256,Programma!$F$3:$S$1107,14,0),"")</f>
        <v>_</v>
      </c>
      <c r="AW256" s="300" t="str">
        <f>_xlfn.IFNA(VLOOKUP($AI256,Programma!$F$3:$T$1107,15,0),"")</f>
        <v>_</v>
      </c>
      <c r="AX256" s="300" t="str">
        <f>_xlfn.IFNA(VLOOKUP($AI256,Programma!$F$3:$U$1107,16,0),"")</f>
        <v>_</v>
      </c>
      <c r="AY256" s="300" t="str">
        <f>_xlfn.IFNA(VLOOKUP($AI256,Programma!$F$3:$V$1107,17,0),"")</f>
        <v>_</v>
      </c>
      <c r="AZ256" s="300" t="str">
        <f>_xlfn.IFNA(VLOOKUP($AI256,Programma!$F$3:$W$1107,18,0),"")</f>
        <v>4w</v>
      </c>
      <c r="BA256" s="300" t="str">
        <f>_xlfn.IFNA(VLOOKUP($AI256,Programma!$F$3:$X$1107,19,0),"")</f>
        <v>1w</v>
      </c>
      <c r="BB256" s="300" t="str">
        <f>_xlfn.IFNA(VLOOKUP($AI256,Programma!$F$3:$Y$1107,20,0),"")</f>
        <v>_</v>
      </c>
      <c r="BC256" s="257"/>
      <c r="BD256" s="256" t="str">
        <f>IF(Ruimtestaat[[#This Row],[Frequentie weekend]]="","",_xlfn.CONCAT(Ruimtestaat[[#This Row],[Ruimte code]],"-",Ruimtestaat[[#This Row],[Frequentie weekend]]," ",Ruimtestaat[[#This Row],[Vloer code]]))</f>
        <v/>
      </c>
      <c r="BE256" s="300" t="str">
        <f>_xlfn.IFNA(VLOOKUP($BD256,Programma!$F$3:$G$1107,2,0),"")</f>
        <v/>
      </c>
      <c r="BF256" s="300" t="str">
        <f>_xlfn.IFNA(VLOOKUP($BD256,Programma!$F$3:$H$1107,3,0),"")</f>
        <v/>
      </c>
      <c r="BG256" s="300" t="str">
        <f>_xlfn.IFNA(VLOOKUP($BD256,Programma!$F$3:$I$1107,4,0),"")</f>
        <v/>
      </c>
      <c r="BH256" s="300" t="str">
        <f>_xlfn.IFNA(VLOOKUP($BD256,Programma!$F$3:$J$1107,5,0),"")</f>
        <v/>
      </c>
      <c r="BI256" s="300" t="str">
        <f>_xlfn.IFNA(VLOOKUP($BD256,Programma!$F$3:$K$1107,6,0),"")</f>
        <v/>
      </c>
      <c r="BJ256" s="300" t="str">
        <f>_xlfn.IFNA(VLOOKUP($BD256,Programma!$F$3:$L$1107,7,0),"")</f>
        <v/>
      </c>
      <c r="BK256" s="300" t="str">
        <f>_xlfn.IFNA(VLOOKUP($BD256,Programma!$F$3:$M$1107,8,0),"")</f>
        <v/>
      </c>
      <c r="BL256" s="300" t="str">
        <f>_xlfn.IFNA(VLOOKUP($BD256,Programma!$F$3:$N$1107,9,0),"")</f>
        <v/>
      </c>
      <c r="BM256" s="300" t="str">
        <f>_xlfn.IFNA(VLOOKUP($BD256,Programma!$F$3:$O$1107,10,0),"")</f>
        <v/>
      </c>
      <c r="BN256" s="300" t="str">
        <f>_xlfn.IFNA(VLOOKUP($BD256,Programma!$F$3:$P$1107,11,0),"")</f>
        <v/>
      </c>
      <c r="BO256" s="300" t="str">
        <f>_xlfn.IFNA(VLOOKUP($BD256,Programma!$F$3:$Q$1107,12,0),"")</f>
        <v/>
      </c>
      <c r="BP256" s="300" t="str">
        <f>_xlfn.IFNA(VLOOKUP($BD256,Programma!$F$3:$R$1107,13,0),"")</f>
        <v/>
      </c>
      <c r="BQ256" s="300" t="str">
        <f>_xlfn.IFNA(VLOOKUP($BD256,Programma!$F$3:$S$1107,14,0),"")</f>
        <v/>
      </c>
      <c r="BR256" s="300" t="str">
        <f>_xlfn.IFNA(VLOOKUP($BD256,Programma!$F$3:$T$1107,15,0),"")</f>
        <v/>
      </c>
      <c r="BS256" s="300" t="str">
        <f>_xlfn.IFNA(VLOOKUP($BD256,Programma!$F$3:$U$1107,16,0),"")</f>
        <v/>
      </c>
      <c r="BT256" s="300" t="str">
        <f>_xlfn.IFNA(VLOOKUP($BD256,Programma!$F$3:$V$1107,17,0),"")</f>
        <v/>
      </c>
      <c r="BU256" s="300" t="str">
        <f>_xlfn.IFNA(VLOOKUP($BD256,Programma!$F$3:$W$1107,18,0),"")</f>
        <v/>
      </c>
      <c r="BV256" s="300" t="str">
        <f>_xlfn.IFNA(VLOOKUP($BD256,Programma!$F$3:$X$1107,19,0),"")</f>
        <v/>
      </c>
      <c r="BW256" s="300" t="str">
        <f>_xlfn.IFNA(VLOOKUP($BD256,Programma!$F$3:$Y$1107,20,0),"")</f>
        <v/>
      </c>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row>
    <row r="257" spans="1:220" ht="15" customHeight="1">
      <c r="A257" s="21">
        <v>4</v>
      </c>
      <c r="B257" s="157" t="str">
        <f>VLOOKUP(Ruimtestaat[[#This Row],[Code]],Locaties[[Code]:[Locatie]],2,FALSE)</f>
        <v>Sint-Maartenscollege</v>
      </c>
      <c r="C257" s="157" t="str">
        <f>VLOOKUP(Ruimtestaat[[#This Row],[Code]],Locaties[[#All],[Code]:[Adres]],4,FALSE)</f>
        <v xml:space="preserve">Aart v.d. Leeuwkade 14 </v>
      </c>
      <c r="D257" s="157" t="str">
        <f>VLOOKUP(Ruimtestaat[[#This Row],[Code]],Locaties[[#All],[Code]:[Postcode]],5,FALSE)</f>
        <v>2274 KX</v>
      </c>
      <c r="E257" s="157" t="str">
        <f>VLOOKUP(Ruimtestaat[[#This Row],[Code]],Locaties[#All],6,FALSE)</f>
        <v>Voorburg</v>
      </c>
      <c r="F257" s="62"/>
      <c r="G257" s="21" t="s">
        <v>1624</v>
      </c>
      <c r="H257" s="21" t="s">
        <v>1689</v>
      </c>
      <c r="I257" s="62" t="s">
        <v>1909</v>
      </c>
      <c r="J257" s="21">
        <v>2</v>
      </c>
      <c r="K257" s="62" t="str">
        <f>VLOOKUP(Ruimtestaat[[#This Row],[Ruimte code]],Ruimtegroepen[[#All],[Code]:[Ruimte omschrijving]],2,FALSE)</f>
        <v>Kantoren</v>
      </c>
      <c r="L257" s="33" t="s">
        <v>101</v>
      </c>
      <c r="M257" s="367" t="s">
        <v>2495</v>
      </c>
      <c r="N257" s="140">
        <v>24</v>
      </c>
      <c r="O257" s="140"/>
      <c r="P257" s="125" t="str">
        <f>VLOOKUP(Ruimtestaat[[#This Row],[Ruimte code]],Ruimtegroepen[],4,FALSE)</f>
        <v>Bu</v>
      </c>
      <c r="R257" s="33">
        <v>42</v>
      </c>
      <c r="S257" s="33" t="s">
        <v>18</v>
      </c>
      <c r="T257" s="33">
        <f>IF(R257&gt;0,IF(RIGHT(Ruimtestaat[[#This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57" s="33">
        <f>IF(T257&gt;0,VLOOKUP($J257,Ruimtegroepen[],3,FALSE)*VLOOKUP($L257,Vloersoorten[],3,FALSE)*VLOOKUP($S257,Frequenties[],3,FALSE)*VLOOKUP($A257,Locaties[],3,FALSE),0)</f>
        <v>0</v>
      </c>
      <c r="V257" s="33">
        <f>Ruimtestaat[[#This Row],[Uitvoeringen werkdagen]]*Ruimtestaat[[#This Row],[Oppervlak (netto)]]</f>
        <v>3024</v>
      </c>
      <c r="W257" s="154">
        <f>IF(U257&gt;0,Ruimtestaat[[#This Row],[Prest. (m2 /jaar) werkdagen]]/Ruimtestaat[[#This Row],[Norm (m2/uur) werkdagen]],0)</f>
        <v>0</v>
      </c>
      <c r="X257" s="155">
        <f>Ruimtestaat[[#This Row],[uren / jaar werkdagen]]*Tariefsopbouw!$E$35</f>
        <v>0</v>
      </c>
      <c r="Y257" s="33"/>
      <c r="Z257" s="33">
        <f>IF(Ruimtestaat[[#This Row],[Frequentie weekend]]&gt;0,VALUE(LEFT(Y257,1))*R257,0)</f>
        <v>0</v>
      </c>
      <c r="AA257" s="97">
        <f>IF($Z257&gt;0,VLOOKUP($J257,Ruimtegroepen[],3,FALSE)*VLOOKUP($L257,Vloersoorten[],3,FALSE)*VLOOKUP($Y257,Frequenties[],3,FALSE)*VLOOKUP(Ruimtestaat[[#This Row],[Code]],Locaties[],3,FALSE),0)</f>
        <v>0</v>
      </c>
      <c r="AB257" s="97">
        <f>Ruimtestaat[[#This Row],[Uitvoeringen weekend]]*Ruimtestaat[[#This Row],[Oppervlak (netto)]]</f>
        <v>0</v>
      </c>
      <c r="AC257" s="97">
        <f>IF(AA257&gt;0,Ruimtestaat[[#This Row],[Prest. (m2 /jaar) weekend]]/Ruimtestaat[[#This Row],[Norm (m2/uur) weekend]],0)</f>
        <v>0</v>
      </c>
      <c r="AD257" s="155">
        <f>Ruimtestaat[[#This Row],[uren / jaar weekend]]*Tariefsopbouw!$D$40</f>
        <v>0</v>
      </c>
      <c r="AE257" s="154">
        <f>Ruimtestaat[[#This Row],[Prest. (m2 /jaar) weekend]]+Ruimtestaat[[#This Row],[Prest. (m2 /jaar) werkdagen]]</f>
        <v>3024</v>
      </c>
      <c r="AF257" s="154">
        <f>Ruimtestaat[[#This Row],[uren / jaar weekend]]+Ruimtestaat[[#This Row],[uren / jaar werkdagen]]</f>
        <v>0</v>
      </c>
      <c r="AG257" s="69">
        <f>Ruimtestaat[[#This Row],[kosten / jaar weekend]]+Ruimtestaat[[#This Row],[kosten / jaar werkdagen]]</f>
        <v>0</v>
      </c>
      <c r="AH257" s="69"/>
      <c r="AI257" s="256" t="str">
        <f>IF(Ruimtestaat[[#This Row],[Frequentie werkdagen]]="","",_xlfn.CONCAT(Ruimtestaat[[#This Row],[Ruimte code]],"-",Ruimtestaat[[#This Row],[Frequentie werkdagen]]," ",Ruimtestaat[[#This Row],[Vloer code]]))</f>
        <v>2-3w L</v>
      </c>
      <c r="AJ257" s="300" t="str">
        <f>_xlfn.IFNA(VLOOKUP($AI257,Programma!$F$3:$G$1107,2,0),"")</f>
        <v>_</v>
      </c>
      <c r="AK257" s="300" t="str">
        <f>_xlfn.IFNA(VLOOKUP($AI257,Programma!$F$3:$H$1107,3,0),"")</f>
        <v>_</v>
      </c>
      <c r="AL257" s="300" t="str">
        <f>_xlfn.IFNA(VLOOKUP($AI257,Programma!$F$3:$I$1107,4,0),"")</f>
        <v>2w</v>
      </c>
      <c r="AM257" s="300" t="str">
        <f>_xlfn.IFNA(VLOOKUP($AI257,Programma!$F$3:$J$1107,5,0),"")</f>
        <v>1w</v>
      </c>
      <c r="AN257" s="300" t="str">
        <f>_xlfn.IFNA(VLOOKUP($AI257,Programma!$F$3:$K$1107,6,0),"")</f>
        <v>_</v>
      </c>
      <c r="AO257" s="300" t="str">
        <f>_xlfn.IFNA(VLOOKUP($AI257,Programma!$F$3:$L$1107,7,0),"")</f>
        <v>_</v>
      </c>
      <c r="AP257" s="300" t="str">
        <f>_xlfn.IFNA(VLOOKUP($AI257,Programma!$F$3:$M$1107,8,0),"")</f>
        <v>_</v>
      </c>
      <c r="AQ257" s="300" t="str">
        <f>_xlfn.IFNA(VLOOKUP($AI257,Programma!$F$3:$N$1107,9,0),"")</f>
        <v>_</v>
      </c>
      <c r="AR257" s="300" t="str">
        <f>_xlfn.IFNA(VLOOKUP($AI257,Programma!$F$3:$O$1107,10,0),"")</f>
        <v>3w</v>
      </c>
      <c r="AS257" s="300" t="str">
        <f>_xlfn.IFNA(VLOOKUP($AI257,Programma!$F$3:$P$1107,11,0),"")</f>
        <v>3w</v>
      </c>
      <c r="AT257" s="300" t="str">
        <f>_xlfn.IFNA(VLOOKUP($AI257,Programma!$F$3:$Q$1107,12,0),"")</f>
        <v>1w</v>
      </c>
      <c r="AU257" s="300" t="str">
        <f>_xlfn.IFNA(VLOOKUP($AI257,Programma!$F$3:$R$1107,13,0),"")</f>
        <v>1w</v>
      </c>
      <c r="AV257" s="300" t="str">
        <f>_xlfn.IFNA(VLOOKUP($AI257,Programma!$F$3:$S$1107,14,0),"")</f>
        <v>1m</v>
      </c>
      <c r="AW257" s="300" t="str">
        <f>_xlfn.IFNA(VLOOKUP($AI257,Programma!$F$3:$T$1107,15,0),"")</f>
        <v>2j</v>
      </c>
      <c r="AX257" s="300" t="str">
        <f>_xlfn.IFNA(VLOOKUP($AI257,Programma!$F$3:$U$1107,16,0),"")</f>
        <v>1j</v>
      </c>
      <c r="AY257" s="300" t="str">
        <f>_xlfn.IFNA(VLOOKUP($AI257,Programma!$F$3:$V$1107,17,0),"")</f>
        <v>_</v>
      </c>
      <c r="AZ257" s="300" t="str">
        <f>_xlfn.IFNA(VLOOKUP($AI257,Programma!$F$3:$W$1107,18,0),"")</f>
        <v>_</v>
      </c>
      <c r="BA257" s="300" t="str">
        <f>_xlfn.IFNA(VLOOKUP($AI257,Programma!$F$3:$X$1107,19,0),"")</f>
        <v>_</v>
      </c>
      <c r="BB257" s="300" t="str">
        <f>_xlfn.IFNA(VLOOKUP($AI257,Programma!$F$3:$Y$1107,20,0),"")</f>
        <v>_</v>
      </c>
      <c r="BC257" s="257"/>
      <c r="BD257" s="256" t="str">
        <f>IF(Ruimtestaat[[#This Row],[Frequentie weekend]]="","",_xlfn.CONCAT(Ruimtestaat[[#This Row],[Ruimte code]],"-",Ruimtestaat[[#This Row],[Frequentie weekend]]," ",Ruimtestaat[[#This Row],[Vloer code]]))</f>
        <v/>
      </c>
      <c r="BE257" s="300" t="str">
        <f>_xlfn.IFNA(VLOOKUP($BD257,Programma!$F$3:$G$1107,2,0),"")</f>
        <v/>
      </c>
      <c r="BF257" s="300" t="str">
        <f>_xlfn.IFNA(VLOOKUP($BD257,Programma!$F$3:$H$1107,3,0),"")</f>
        <v/>
      </c>
      <c r="BG257" s="300" t="str">
        <f>_xlfn.IFNA(VLOOKUP($BD257,Programma!$F$3:$I$1107,4,0),"")</f>
        <v/>
      </c>
      <c r="BH257" s="300" t="str">
        <f>_xlfn.IFNA(VLOOKUP($BD257,Programma!$F$3:$J$1107,5,0),"")</f>
        <v/>
      </c>
      <c r="BI257" s="300" t="str">
        <f>_xlfn.IFNA(VLOOKUP($BD257,Programma!$F$3:$K$1107,6,0),"")</f>
        <v/>
      </c>
      <c r="BJ257" s="300" t="str">
        <f>_xlfn.IFNA(VLOOKUP($BD257,Programma!$F$3:$L$1107,7,0),"")</f>
        <v/>
      </c>
      <c r="BK257" s="300" t="str">
        <f>_xlfn.IFNA(VLOOKUP($BD257,Programma!$F$3:$M$1107,8,0),"")</f>
        <v/>
      </c>
      <c r="BL257" s="300" t="str">
        <f>_xlfn.IFNA(VLOOKUP($BD257,Programma!$F$3:$N$1107,9,0),"")</f>
        <v/>
      </c>
      <c r="BM257" s="300" t="str">
        <f>_xlfn.IFNA(VLOOKUP($BD257,Programma!$F$3:$O$1107,10,0),"")</f>
        <v/>
      </c>
      <c r="BN257" s="300" t="str">
        <f>_xlfn.IFNA(VLOOKUP($BD257,Programma!$F$3:$P$1107,11,0),"")</f>
        <v/>
      </c>
      <c r="BO257" s="300" t="str">
        <f>_xlfn.IFNA(VLOOKUP($BD257,Programma!$F$3:$Q$1107,12,0),"")</f>
        <v/>
      </c>
      <c r="BP257" s="300" t="str">
        <f>_xlfn.IFNA(VLOOKUP($BD257,Programma!$F$3:$R$1107,13,0),"")</f>
        <v/>
      </c>
      <c r="BQ257" s="300" t="str">
        <f>_xlfn.IFNA(VLOOKUP($BD257,Programma!$F$3:$S$1107,14,0),"")</f>
        <v/>
      </c>
      <c r="BR257" s="300" t="str">
        <f>_xlfn.IFNA(VLOOKUP($BD257,Programma!$F$3:$T$1107,15,0),"")</f>
        <v/>
      </c>
      <c r="BS257" s="300" t="str">
        <f>_xlfn.IFNA(VLOOKUP($BD257,Programma!$F$3:$U$1107,16,0),"")</f>
        <v/>
      </c>
      <c r="BT257" s="300" t="str">
        <f>_xlfn.IFNA(VLOOKUP($BD257,Programma!$F$3:$V$1107,17,0),"")</f>
        <v/>
      </c>
      <c r="BU257" s="300" t="str">
        <f>_xlfn.IFNA(VLOOKUP($BD257,Programma!$F$3:$W$1107,18,0),"")</f>
        <v/>
      </c>
      <c r="BV257" s="300" t="str">
        <f>_xlfn.IFNA(VLOOKUP($BD257,Programma!$F$3:$X$1107,19,0),"")</f>
        <v/>
      </c>
      <c r="BW257" s="300" t="str">
        <f>_xlfn.IFNA(VLOOKUP($BD257,Programma!$F$3:$Y$1107,20,0),"")</f>
        <v/>
      </c>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row>
    <row r="258" spans="1:220" ht="15" customHeight="1">
      <c r="A258" s="21">
        <v>4</v>
      </c>
      <c r="B258" s="157" t="str">
        <f>VLOOKUP(Ruimtestaat[[#This Row],[Code]],Locaties[[Code]:[Locatie]],2,FALSE)</f>
        <v>Sint-Maartenscollege</v>
      </c>
      <c r="C258" s="157" t="str">
        <f>VLOOKUP(Ruimtestaat[[#This Row],[Code]],Locaties[[#All],[Code]:[Adres]],4,FALSE)</f>
        <v xml:space="preserve">Aart v.d. Leeuwkade 14 </v>
      </c>
      <c r="D258" s="157" t="str">
        <f>VLOOKUP(Ruimtestaat[[#This Row],[Code]],Locaties[[#All],[Code]:[Postcode]],5,FALSE)</f>
        <v>2274 KX</v>
      </c>
      <c r="E258" s="157" t="str">
        <f>VLOOKUP(Ruimtestaat[[#This Row],[Code]],Locaties[#All],6,FALSE)</f>
        <v>Voorburg</v>
      </c>
      <c r="F258" s="62"/>
      <c r="G258" s="21" t="s">
        <v>1624</v>
      </c>
      <c r="H258" s="21" t="s">
        <v>1691</v>
      </c>
      <c r="I258" s="62" t="s">
        <v>1909</v>
      </c>
      <c r="J258" s="21">
        <v>2</v>
      </c>
      <c r="K258" s="62" t="str">
        <f>VLOOKUP(Ruimtestaat[[#This Row],[Ruimte code]],Ruimtegroepen[[#All],[Code]:[Ruimte omschrijving]],2,FALSE)</f>
        <v>Kantoren</v>
      </c>
      <c r="L258" s="33" t="s">
        <v>101</v>
      </c>
      <c r="M258" s="367" t="s">
        <v>2495</v>
      </c>
      <c r="N258" s="140">
        <v>33</v>
      </c>
      <c r="O258" s="140"/>
      <c r="P258" s="125" t="str">
        <f>VLOOKUP(Ruimtestaat[[#This Row],[Ruimte code]],Ruimtegroepen[],4,FALSE)</f>
        <v>Bu</v>
      </c>
      <c r="R258" s="33">
        <v>42</v>
      </c>
      <c r="S258" s="33" t="s">
        <v>18</v>
      </c>
      <c r="T258" s="33">
        <f>IF(R258&gt;0,IF(RIGHT(Ruimtestaat[[#This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58" s="33">
        <f>IF(T258&gt;0,VLOOKUP($J258,Ruimtegroepen[],3,FALSE)*VLOOKUP($L258,Vloersoorten[],3,FALSE)*VLOOKUP($S258,Frequenties[],3,FALSE)*VLOOKUP($A258,Locaties[],3,FALSE),0)</f>
        <v>0</v>
      </c>
      <c r="V258" s="33">
        <f>Ruimtestaat[[#This Row],[Uitvoeringen werkdagen]]*Ruimtestaat[[#This Row],[Oppervlak (netto)]]</f>
        <v>4158</v>
      </c>
      <c r="W258" s="154">
        <f>IF(U258&gt;0,Ruimtestaat[[#This Row],[Prest. (m2 /jaar) werkdagen]]/Ruimtestaat[[#This Row],[Norm (m2/uur) werkdagen]],0)</f>
        <v>0</v>
      </c>
      <c r="X258" s="155">
        <f>Ruimtestaat[[#This Row],[uren / jaar werkdagen]]*Tariefsopbouw!$E$35</f>
        <v>0</v>
      </c>
      <c r="Y258" s="33"/>
      <c r="Z258" s="33">
        <f>IF(Ruimtestaat[[#This Row],[Frequentie weekend]]&gt;0,VALUE(LEFT(Y258,1))*R258,0)</f>
        <v>0</v>
      </c>
      <c r="AA258" s="97">
        <f>IF($Z258&gt;0,VLOOKUP($J258,Ruimtegroepen[],3,FALSE)*VLOOKUP($L258,Vloersoorten[],3,FALSE)*VLOOKUP($Y258,Frequenties[],3,FALSE)*VLOOKUP(Ruimtestaat[[#This Row],[Code]],Locaties[],3,FALSE),0)</f>
        <v>0</v>
      </c>
      <c r="AB258" s="97">
        <f>Ruimtestaat[[#This Row],[Uitvoeringen weekend]]*Ruimtestaat[[#This Row],[Oppervlak (netto)]]</f>
        <v>0</v>
      </c>
      <c r="AC258" s="97">
        <f>IF(AA258&gt;0,Ruimtestaat[[#This Row],[Prest. (m2 /jaar) weekend]]/Ruimtestaat[[#This Row],[Norm (m2/uur) weekend]],0)</f>
        <v>0</v>
      </c>
      <c r="AD258" s="155">
        <f>Ruimtestaat[[#This Row],[uren / jaar weekend]]*Tariefsopbouw!$D$40</f>
        <v>0</v>
      </c>
      <c r="AE258" s="154">
        <f>Ruimtestaat[[#This Row],[Prest. (m2 /jaar) weekend]]+Ruimtestaat[[#This Row],[Prest. (m2 /jaar) werkdagen]]</f>
        <v>4158</v>
      </c>
      <c r="AF258" s="154">
        <f>Ruimtestaat[[#This Row],[uren / jaar weekend]]+Ruimtestaat[[#This Row],[uren / jaar werkdagen]]</f>
        <v>0</v>
      </c>
      <c r="AG258" s="69">
        <f>Ruimtestaat[[#This Row],[kosten / jaar weekend]]+Ruimtestaat[[#This Row],[kosten / jaar werkdagen]]</f>
        <v>0</v>
      </c>
      <c r="AH258" s="69"/>
      <c r="AI258" s="256" t="str">
        <f>IF(Ruimtestaat[[#This Row],[Frequentie werkdagen]]="","",_xlfn.CONCAT(Ruimtestaat[[#This Row],[Ruimte code]],"-",Ruimtestaat[[#This Row],[Frequentie werkdagen]]," ",Ruimtestaat[[#This Row],[Vloer code]]))</f>
        <v>2-3w L</v>
      </c>
      <c r="AJ258" s="300" t="str">
        <f>_xlfn.IFNA(VLOOKUP($AI258,Programma!$F$3:$G$1107,2,0),"")</f>
        <v>_</v>
      </c>
      <c r="AK258" s="300" t="str">
        <f>_xlfn.IFNA(VLOOKUP($AI258,Programma!$F$3:$H$1107,3,0),"")</f>
        <v>_</v>
      </c>
      <c r="AL258" s="300" t="str">
        <f>_xlfn.IFNA(VLOOKUP($AI258,Programma!$F$3:$I$1107,4,0),"")</f>
        <v>2w</v>
      </c>
      <c r="AM258" s="300" t="str">
        <f>_xlfn.IFNA(VLOOKUP($AI258,Programma!$F$3:$J$1107,5,0),"")</f>
        <v>1w</v>
      </c>
      <c r="AN258" s="300" t="str">
        <f>_xlfn.IFNA(VLOOKUP($AI258,Programma!$F$3:$K$1107,6,0),"")</f>
        <v>_</v>
      </c>
      <c r="AO258" s="300" t="str">
        <f>_xlfn.IFNA(VLOOKUP($AI258,Programma!$F$3:$L$1107,7,0),"")</f>
        <v>_</v>
      </c>
      <c r="AP258" s="300" t="str">
        <f>_xlfn.IFNA(VLOOKUP($AI258,Programma!$F$3:$M$1107,8,0),"")</f>
        <v>_</v>
      </c>
      <c r="AQ258" s="300" t="str">
        <f>_xlfn.IFNA(VLOOKUP($AI258,Programma!$F$3:$N$1107,9,0),"")</f>
        <v>_</v>
      </c>
      <c r="AR258" s="300" t="str">
        <f>_xlfn.IFNA(VLOOKUP($AI258,Programma!$F$3:$O$1107,10,0),"")</f>
        <v>3w</v>
      </c>
      <c r="AS258" s="300" t="str">
        <f>_xlfn.IFNA(VLOOKUP($AI258,Programma!$F$3:$P$1107,11,0),"")</f>
        <v>3w</v>
      </c>
      <c r="AT258" s="300" t="str">
        <f>_xlfn.IFNA(VLOOKUP($AI258,Programma!$F$3:$Q$1107,12,0),"")</f>
        <v>1w</v>
      </c>
      <c r="AU258" s="300" t="str">
        <f>_xlfn.IFNA(VLOOKUP($AI258,Programma!$F$3:$R$1107,13,0),"")</f>
        <v>1w</v>
      </c>
      <c r="AV258" s="300" t="str">
        <f>_xlfn.IFNA(VLOOKUP($AI258,Programma!$F$3:$S$1107,14,0),"")</f>
        <v>1m</v>
      </c>
      <c r="AW258" s="300" t="str">
        <f>_xlfn.IFNA(VLOOKUP($AI258,Programma!$F$3:$T$1107,15,0),"")</f>
        <v>2j</v>
      </c>
      <c r="AX258" s="300" t="str">
        <f>_xlfn.IFNA(VLOOKUP($AI258,Programma!$F$3:$U$1107,16,0),"")</f>
        <v>1j</v>
      </c>
      <c r="AY258" s="300" t="str">
        <f>_xlfn.IFNA(VLOOKUP($AI258,Programma!$F$3:$V$1107,17,0),"")</f>
        <v>_</v>
      </c>
      <c r="AZ258" s="300" t="str">
        <f>_xlfn.IFNA(VLOOKUP($AI258,Programma!$F$3:$W$1107,18,0),"")</f>
        <v>_</v>
      </c>
      <c r="BA258" s="300" t="str">
        <f>_xlfn.IFNA(VLOOKUP($AI258,Programma!$F$3:$X$1107,19,0),"")</f>
        <v>_</v>
      </c>
      <c r="BB258" s="300" t="str">
        <f>_xlfn.IFNA(VLOOKUP($AI258,Programma!$F$3:$Y$1107,20,0),"")</f>
        <v>_</v>
      </c>
      <c r="BC258" s="257"/>
      <c r="BD258" s="256" t="str">
        <f>IF(Ruimtestaat[[#This Row],[Frequentie weekend]]="","",_xlfn.CONCAT(Ruimtestaat[[#This Row],[Ruimte code]],"-",Ruimtestaat[[#This Row],[Frequentie weekend]]," ",Ruimtestaat[[#This Row],[Vloer code]]))</f>
        <v/>
      </c>
      <c r="BE258" s="300" t="str">
        <f>_xlfn.IFNA(VLOOKUP($BD258,Programma!$F$3:$G$1107,2,0),"")</f>
        <v/>
      </c>
      <c r="BF258" s="300" t="str">
        <f>_xlfn.IFNA(VLOOKUP($BD258,Programma!$F$3:$H$1107,3,0),"")</f>
        <v/>
      </c>
      <c r="BG258" s="300" t="str">
        <f>_xlfn.IFNA(VLOOKUP($BD258,Programma!$F$3:$I$1107,4,0),"")</f>
        <v/>
      </c>
      <c r="BH258" s="300" t="str">
        <f>_xlfn.IFNA(VLOOKUP($BD258,Programma!$F$3:$J$1107,5,0),"")</f>
        <v/>
      </c>
      <c r="BI258" s="300" t="str">
        <f>_xlfn.IFNA(VLOOKUP($BD258,Programma!$F$3:$K$1107,6,0),"")</f>
        <v/>
      </c>
      <c r="BJ258" s="300" t="str">
        <f>_xlfn.IFNA(VLOOKUP($BD258,Programma!$F$3:$L$1107,7,0),"")</f>
        <v/>
      </c>
      <c r="BK258" s="300" t="str">
        <f>_xlfn.IFNA(VLOOKUP($BD258,Programma!$F$3:$M$1107,8,0),"")</f>
        <v/>
      </c>
      <c r="BL258" s="300" t="str">
        <f>_xlfn.IFNA(VLOOKUP($BD258,Programma!$F$3:$N$1107,9,0),"")</f>
        <v/>
      </c>
      <c r="BM258" s="300" t="str">
        <f>_xlfn.IFNA(VLOOKUP($BD258,Programma!$F$3:$O$1107,10,0),"")</f>
        <v/>
      </c>
      <c r="BN258" s="300" t="str">
        <f>_xlfn.IFNA(VLOOKUP($BD258,Programma!$F$3:$P$1107,11,0),"")</f>
        <v/>
      </c>
      <c r="BO258" s="300" t="str">
        <f>_xlfn.IFNA(VLOOKUP($BD258,Programma!$F$3:$Q$1107,12,0),"")</f>
        <v/>
      </c>
      <c r="BP258" s="300" t="str">
        <f>_xlfn.IFNA(VLOOKUP($BD258,Programma!$F$3:$R$1107,13,0),"")</f>
        <v/>
      </c>
      <c r="BQ258" s="300" t="str">
        <f>_xlfn.IFNA(VLOOKUP($BD258,Programma!$F$3:$S$1107,14,0),"")</f>
        <v/>
      </c>
      <c r="BR258" s="300" t="str">
        <f>_xlfn.IFNA(VLOOKUP($BD258,Programma!$F$3:$T$1107,15,0),"")</f>
        <v/>
      </c>
      <c r="BS258" s="300" t="str">
        <f>_xlfn.IFNA(VLOOKUP($BD258,Programma!$F$3:$U$1107,16,0),"")</f>
        <v/>
      </c>
      <c r="BT258" s="300" t="str">
        <f>_xlfn.IFNA(VLOOKUP($BD258,Programma!$F$3:$V$1107,17,0),"")</f>
        <v/>
      </c>
      <c r="BU258" s="300" t="str">
        <f>_xlfn.IFNA(VLOOKUP($BD258,Programma!$F$3:$W$1107,18,0),"")</f>
        <v/>
      </c>
      <c r="BV258" s="300" t="str">
        <f>_xlfn.IFNA(VLOOKUP($BD258,Programma!$F$3:$X$1107,19,0),"")</f>
        <v/>
      </c>
      <c r="BW258" s="300" t="str">
        <f>_xlfn.IFNA(VLOOKUP($BD258,Programma!$F$3:$Y$1107,20,0),"")</f>
        <v/>
      </c>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row>
    <row r="259" spans="1:220" ht="15" customHeight="1">
      <c r="A259" s="21">
        <v>4</v>
      </c>
      <c r="B259" s="157" t="str">
        <f>VLOOKUP(Ruimtestaat[[#This Row],[Code]],Locaties[[Code]:[Locatie]],2,FALSE)</f>
        <v>Sint-Maartenscollege</v>
      </c>
      <c r="C259" s="157" t="str">
        <f>VLOOKUP(Ruimtestaat[[#This Row],[Code]],Locaties[[#All],[Code]:[Adres]],4,FALSE)</f>
        <v xml:space="preserve">Aart v.d. Leeuwkade 14 </v>
      </c>
      <c r="D259" s="157" t="str">
        <f>VLOOKUP(Ruimtestaat[[#This Row],[Code]],Locaties[[#All],[Code]:[Postcode]],5,FALSE)</f>
        <v>2274 KX</v>
      </c>
      <c r="E259" s="157" t="str">
        <f>VLOOKUP(Ruimtestaat[[#This Row],[Code]],Locaties[#All],6,FALSE)</f>
        <v>Voorburg</v>
      </c>
      <c r="F259" s="62"/>
      <c r="G259" s="21" t="s">
        <v>1624</v>
      </c>
      <c r="H259" s="21" t="s">
        <v>1693</v>
      </c>
      <c r="I259" s="62" t="s">
        <v>1909</v>
      </c>
      <c r="J259" s="21">
        <v>2</v>
      </c>
      <c r="K259" s="62" t="str">
        <f>VLOOKUP(Ruimtestaat[[#This Row],[Ruimte code]],Ruimtegroepen[[#All],[Code]:[Ruimte omschrijving]],2,FALSE)</f>
        <v>Kantoren</v>
      </c>
      <c r="L259" s="33" t="s">
        <v>101</v>
      </c>
      <c r="M259" s="367" t="s">
        <v>2495</v>
      </c>
      <c r="N259" s="140">
        <v>30</v>
      </c>
      <c r="O259" s="140"/>
      <c r="P259" s="125" t="str">
        <f>VLOOKUP(Ruimtestaat[[#This Row],[Ruimte code]],Ruimtegroepen[],4,FALSE)</f>
        <v>Bu</v>
      </c>
      <c r="R259" s="33">
        <v>42</v>
      </c>
      <c r="S259" s="33" t="s">
        <v>18</v>
      </c>
      <c r="T259" s="33">
        <f>IF(R259&gt;0,IF(RIGHT(Ruimtestaat[[#This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59" s="33">
        <f>IF(T259&gt;0,VLOOKUP($J259,Ruimtegroepen[],3,FALSE)*VLOOKUP($L259,Vloersoorten[],3,FALSE)*VLOOKUP($S259,Frequenties[],3,FALSE)*VLOOKUP($A259,Locaties[],3,FALSE),0)</f>
        <v>0</v>
      </c>
      <c r="V259" s="33">
        <f>Ruimtestaat[[#This Row],[Uitvoeringen werkdagen]]*Ruimtestaat[[#This Row],[Oppervlak (netto)]]</f>
        <v>3780</v>
      </c>
      <c r="W259" s="154">
        <f>IF(U259&gt;0,Ruimtestaat[[#This Row],[Prest. (m2 /jaar) werkdagen]]/Ruimtestaat[[#This Row],[Norm (m2/uur) werkdagen]],0)</f>
        <v>0</v>
      </c>
      <c r="X259" s="155">
        <f>Ruimtestaat[[#This Row],[uren / jaar werkdagen]]*Tariefsopbouw!$E$35</f>
        <v>0</v>
      </c>
      <c r="Y259" s="33"/>
      <c r="Z259" s="33">
        <f>IF(Ruimtestaat[[#This Row],[Frequentie weekend]]&gt;0,VALUE(LEFT(Y259,1))*R259,0)</f>
        <v>0</v>
      </c>
      <c r="AA259" s="97">
        <f>IF($Z259&gt;0,VLOOKUP($J259,Ruimtegroepen[],3,FALSE)*VLOOKUP($L259,Vloersoorten[],3,FALSE)*VLOOKUP($Y259,Frequenties[],3,FALSE)*VLOOKUP(Ruimtestaat[[#This Row],[Code]],Locaties[],3,FALSE),0)</f>
        <v>0</v>
      </c>
      <c r="AB259" s="97">
        <f>Ruimtestaat[[#This Row],[Uitvoeringen weekend]]*Ruimtestaat[[#This Row],[Oppervlak (netto)]]</f>
        <v>0</v>
      </c>
      <c r="AC259" s="97">
        <f>IF(AA259&gt;0,Ruimtestaat[[#This Row],[Prest. (m2 /jaar) weekend]]/Ruimtestaat[[#This Row],[Norm (m2/uur) weekend]],0)</f>
        <v>0</v>
      </c>
      <c r="AD259" s="155">
        <f>Ruimtestaat[[#This Row],[uren / jaar weekend]]*Tariefsopbouw!$D$40</f>
        <v>0</v>
      </c>
      <c r="AE259" s="154">
        <f>Ruimtestaat[[#This Row],[Prest. (m2 /jaar) weekend]]+Ruimtestaat[[#This Row],[Prest. (m2 /jaar) werkdagen]]</f>
        <v>3780</v>
      </c>
      <c r="AF259" s="154">
        <f>Ruimtestaat[[#This Row],[uren / jaar weekend]]+Ruimtestaat[[#This Row],[uren / jaar werkdagen]]</f>
        <v>0</v>
      </c>
      <c r="AG259" s="69">
        <f>Ruimtestaat[[#This Row],[kosten / jaar weekend]]+Ruimtestaat[[#This Row],[kosten / jaar werkdagen]]</f>
        <v>0</v>
      </c>
      <c r="AH259" s="69"/>
      <c r="AI259" s="256" t="str">
        <f>IF(Ruimtestaat[[#This Row],[Frequentie werkdagen]]="","",_xlfn.CONCAT(Ruimtestaat[[#This Row],[Ruimte code]],"-",Ruimtestaat[[#This Row],[Frequentie werkdagen]]," ",Ruimtestaat[[#This Row],[Vloer code]]))</f>
        <v>2-3w L</v>
      </c>
      <c r="AJ259" s="300" t="str">
        <f>_xlfn.IFNA(VLOOKUP($AI259,Programma!$F$3:$G$1107,2,0),"")</f>
        <v>_</v>
      </c>
      <c r="AK259" s="300" t="str">
        <f>_xlfn.IFNA(VLOOKUP($AI259,Programma!$F$3:$H$1107,3,0),"")</f>
        <v>_</v>
      </c>
      <c r="AL259" s="300" t="str">
        <f>_xlfn.IFNA(VLOOKUP($AI259,Programma!$F$3:$I$1107,4,0),"")</f>
        <v>2w</v>
      </c>
      <c r="AM259" s="300" t="str">
        <f>_xlfn.IFNA(VLOOKUP($AI259,Programma!$F$3:$J$1107,5,0),"")</f>
        <v>1w</v>
      </c>
      <c r="AN259" s="300" t="str">
        <f>_xlfn.IFNA(VLOOKUP($AI259,Programma!$F$3:$K$1107,6,0),"")</f>
        <v>_</v>
      </c>
      <c r="AO259" s="300" t="str">
        <f>_xlfn.IFNA(VLOOKUP($AI259,Programma!$F$3:$L$1107,7,0),"")</f>
        <v>_</v>
      </c>
      <c r="AP259" s="300" t="str">
        <f>_xlfn.IFNA(VLOOKUP($AI259,Programma!$F$3:$M$1107,8,0),"")</f>
        <v>_</v>
      </c>
      <c r="AQ259" s="300" t="str">
        <f>_xlfn.IFNA(VLOOKUP($AI259,Programma!$F$3:$N$1107,9,0),"")</f>
        <v>_</v>
      </c>
      <c r="AR259" s="300" t="str">
        <f>_xlfn.IFNA(VLOOKUP($AI259,Programma!$F$3:$O$1107,10,0),"")</f>
        <v>3w</v>
      </c>
      <c r="AS259" s="300" t="str">
        <f>_xlfn.IFNA(VLOOKUP($AI259,Programma!$F$3:$P$1107,11,0),"")</f>
        <v>3w</v>
      </c>
      <c r="AT259" s="300" t="str">
        <f>_xlfn.IFNA(VLOOKUP($AI259,Programma!$F$3:$Q$1107,12,0),"")</f>
        <v>1w</v>
      </c>
      <c r="AU259" s="300" t="str">
        <f>_xlfn.IFNA(VLOOKUP($AI259,Programma!$F$3:$R$1107,13,0),"")</f>
        <v>1w</v>
      </c>
      <c r="AV259" s="300" t="str">
        <f>_xlfn.IFNA(VLOOKUP($AI259,Programma!$F$3:$S$1107,14,0),"")</f>
        <v>1m</v>
      </c>
      <c r="AW259" s="300" t="str">
        <f>_xlfn.IFNA(VLOOKUP($AI259,Programma!$F$3:$T$1107,15,0),"")</f>
        <v>2j</v>
      </c>
      <c r="AX259" s="300" t="str">
        <f>_xlfn.IFNA(VLOOKUP($AI259,Programma!$F$3:$U$1107,16,0),"")</f>
        <v>1j</v>
      </c>
      <c r="AY259" s="300" t="str">
        <f>_xlfn.IFNA(VLOOKUP($AI259,Programma!$F$3:$V$1107,17,0),"")</f>
        <v>_</v>
      </c>
      <c r="AZ259" s="300" t="str">
        <f>_xlfn.IFNA(VLOOKUP($AI259,Programma!$F$3:$W$1107,18,0),"")</f>
        <v>_</v>
      </c>
      <c r="BA259" s="300" t="str">
        <f>_xlfn.IFNA(VLOOKUP($AI259,Programma!$F$3:$X$1107,19,0),"")</f>
        <v>_</v>
      </c>
      <c r="BB259" s="300" t="str">
        <f>_xlfn.IFNA(VLOOKUP($AI259,Programma!$F$3:$Y$1107,20,0),"")</f>
        <v>_</v>
      </c>
      <c r="BC259" s="257"/>
      <c r="BD259" s="256" t="str">
        <f>IF(Ruimtestaat[[#This Row],[Frequentie weekend]]="","",_xlfn.CONCAT(Ruimtestaat[[#This Row],[Ruimte code]],"-",Ruimtestaat[[#This Row],[Frequentie weekend]]," ",Ruimtestaat[[#This Row],[Vloer code]]))</f>
        <v/>
      </c>
      <c r="BE259" s="300" t="str">
        <f>_xlfn.IFNA(VLOOKUP($BD259,Programma!$F$3:$G$1107,2,0),"")</f>
        <v/>
      </c>
      <c r="BF259" s="300" t="str">
        <f>_xlfn.IFNA(VLOOKUP($BD259,Programma!$F$3:$H$1107,3,0),"")</f>
        <v/>
      </c>
      <c r="BG259" s="300" t="str">
        <f>_xlfn.IFNA(VLOOKUP($BD259,Programma!$F$3:$I$1107,4,0),"")</f>
        <v/>
      </c>
      <c r="BH259" s="300" t="str">
        <f>_xlfn.IFNA(VLOOKUP($BD259,Programma!$F$3:$J$1107,5,0),"")</f>
        <v/>
      </c>
      <c r="BI259" s="300" t="str">
        <f>_xlfn.IFNA(VLOOKUP($BD259,Programma!$F$3:$K$1107,6,0),"")</f>
        <v/>
      </c>
      <c r="BJ259" s="300" t="str">
        <f>_xlfn.IFNA(VLOOKUP($BD259,Programma!$F$3:$L$1107,7,0),"")</f>
        <v/>
      </c>
      <c r="BK259" s="300" t="str">
        <f>_xlfn.IFNA(VLOOKUP($BD259,Programma!$F$3:$M$1107,8,0),"")</f>
        <v/>
      </c>
      <c r="BL259" s="300" t="str">
        <f>_xlfn.IFNA(VLOOKUP($BD259,Programma!$F$3:$N$1107,9,0),"")</f>
        <v/>
      </c>
      <c r="BM259" s="300" t="str">
        <f>_xlfn.IFNA(VLOOKUP($BD259,Programma!$F$3:$O$1107,10,0),"")</f>
        <v/>
      </c>
      <c r="BN259" s="300" t="str">
        <f>_xlfn.IFNA(VLOOKUP($BD259,Programma!$F$3:$P$1107,11,0),"")</f>
        <v/>
      </c>
      <c r="BO259" s="300" t="str">
        <f>_xlfn.IFNA(VLOOKUP($BD259,Programma!$F$3:$Q$1107,12,0),"")</f>
        <v/>
      </c>
      <c r="BP259" s="300" t="str">
        <f>_xlfn.IFNA(VLOOKUP($BD259,Programma!$F$3:$R$1107,13,0),"")</f>
        <v/>
      </c>
      <c r="BQ259" s="300" t="str">
        <f>_xlfn.IFNA(VLOOKUP($BD259,Programma!$F$3:$S$1107,14,0),"")</f>
        <v/>
      </c>
      <c r="BR259" s="300" t="str">
        <f>_xlfn.IFNA(VLOOKUP($BD259,Programma!$F$3:$T$1107,15,0),"")</f>
        <v/>
      </c>
      <c r="BS259" s="300" t="str">
        <f>_xlfn.IFNA(VLOOKUP($BD259,Programma!$F$3:$U$1107,16,0),"")</f>
        <v/>
      </c>
      <c r="BT259" s="300" t="str">
        <f>_xlfn.IFNA(VLOOKUP($BD259,Programma!$F$3:$V$1107,17,0),"")</f>
        <v/>
      </c>
      <c r="BU259" s="300" t="str">
        <f>_xlfn.IFNA(VLOOKUP($BD259,Programma!$F$3:$W$1107,18,0),"")</f>
        <v/>
      </c>
      <c r="BV259" s="300" t="str">
        <f>_xlfn.IFNA(VLOOKUP($BD259,Programma!$F$3:$X$1107,19,0),"")</f>
        <v/>
      </c>
      <c r="BW259" s="300" t="str">
        <f>_xlfn.IFNA(VLOOKUP($BD259,Programma!$F$3:$Y$1107,20,0),"")</f>
        <v/>
      </c>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row>
    <row r="260" spans="1:220" ht="15" customHeight="1">
      <c r="A260" s="21">
        <v>4</v>
      </c>
      <c r="B260" s="157" t="str">
        <f>VLOOKUP(Ruimtestaat[[#This Row],[Code]],Locaties[[Code]:[Locatie]],2,FALSE)</f>
        <v>Sint-Maartenscollege</v>
      </c>
      <c r="C260" s="157" t="str">
        <f>VLOOKUP(Ruimtestaat[[#This Row],[Code]],Locaties[[#All],[Code]:[Adres]],4,FALSE)</f>
        <v xml:space="preserve">Aart v.d. Leeuwkade 14 </v>
      </c>
      <c r="D260" s="157" t="str">
        <f>VLOOKUP(Ruimtestaat[[#This Row],[Code]],Locaties[[#All],[Code]:[Postcode]],5,FALSE)</f>
        <v>2274 KX</v>
      </c>
      <c r="E260" s="157" t="str">
        <f>VLOOKUP(Ruimtestaat[[#This Row],[Code]],Locaties[#All],6,FALSE)</f>
        <v>Voorburg</v>
      </c>
      <c r="F260" s="62"/>
      <c r="G260" s="21" t="s">
        <v>1624</v>
      </c>
      <c r="H260" s="21" t="s">
        <v>1695</v>
      </c>
      <c r="I260" s="62" t="s">
        <v>1910</v>
      </c>
      <c r="J260" s="21">
        <v>14</v>
      </c>
      <c r="K260" s="62" t="str">
        <f>VLOOKUP(Ruimtestaat[[#This Row],[Ruimte code]],Ruimtegroepen[[#All],[Code]:[Ruimte omschrijving]],2,FALSE)</f>
        <v>Praktijklokalen binas/zorg</v>
      </c>
      <c r="L260" s="33" t="s">
        <v>101</v>
      </c>
      <c r="M260" s="367" t="s">
        <v>2495</v>
      </c>
      <c r="N260" s="140">
        <v>36</v>
      </c>
      <c r="O260" s="140"/>
      <c r="P260" s="125" t="str">
        <f>VLOOKUP(Ruimtestaat[[#This Row],[Ruimte code]],Ruimtegroepen[],4,FALSE)</f>
        <v>Le</v>
      </c>
      <c r="R260" s="33">
        <v>40</v>
      </c>
      <c r="S260" s="33" t="s">
        <v>2</v>
      </c>
      <c r="T260" s="33">
        <f>IF(R260&gt;0,IF(RIGHT(Ruimtestaat[[#This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0" s="33">
        <f>IF(T260&gt;0,VLOOKUP($J260,Ruimtegroepen[],3,FALSE)*VLOOKUP($L260,Vloersoorten[],3,FALSE)*VLOOKUP($S260,Frequenties[],3,FALSE)*VLOOKUP($A260,Locaties[],3,FALSE),0)</f>
        <v>0</v>
      </c>
      <c r="V260" s="33">
        <f>Ruimtestaat[[#This Row],[Uitvoeringen werkdagen]]*Ruimtestaat[[#This Row],[Oppervlak (netto)]]</f>
        <v>7200</v>
      </c>
      <c r="W260" s="154">
        <f>IF(U260&gt;0,Ruimtestaat[[#This Row],[Prest. (m2 /jaar) werkdagen]]/Ruimtestaat[[#This Row],[Norm (m2/uur) werkdagen]],0)</f>
        <v>0</v>
      </c>
      <c r="X260" s="155">
        <f>Ruimtestaat[[#This Row],[uren / jaar werkdagen]]*Tariefsopbouw!$E$35</f>
        <v>0</v>
      </c>
      <c r="Y260" s="33"/>
      <c r="Z260" s="33">
        <f>IF(Ruimtestaat[[#This Row],[Frequentie weekend]]&gt;0,VALUE(LEFT(Y260,1))*R260,0)</f>
        <v>0</v>
      </c>
      <c r="AA260" s="97">
        <f>IF($Z260&gt;0,VLOOKUP($J260,Ruimtegroepen[],3,FALSE)*VLOOKUP($L260,Vloersoorten[],3,FALSE)*VLOOKUP($Y260,Frequenties[],3,FALSE)*VLOOKUP(Ruimtestaat[[#This Row],[Code]],Locaties[],3,FALSE),0)</f>
        <v>0</v>
      </c>
      <c r="AB260" s="97">
        <f>Ruimtestaat[[#This Row],[Uitvoeringen weekend]]*Ruimtestaat[[#This Row],[Oppervlak (netto)]]</f>
        <v>0</v>
      </c>
      <c r="AC260" s="97">
        <f>IF(AA260&gt;0,Ruimtestaat[[#This Row],[Prest. (m2 /jaar) weekend]]/Ruimtestaat[[#This Row],[Norm (m2/uur) weekend]],0)</f>
        <v>0</v>
      </c>
      <c r="AD260" s="155">
        <f>Ruimtestaat[[#This Row],[uren / jaar weekend]]*Tariefsopbouw!$D$40</f>
        <v>0</v>
      </c>
      <c r="AE260" s="154">
        <f>Ruimtestaat[[#This Row],[Prest. (m2 /jaar) weekend]]+Ruimtestaat[[#This Row],[Prest. (m2 /jaar) werkdagen]]</f>
        <v>7200</v>
      </c>
      <c r="AF260" s="154">
        <f>Ruimtestaat[[#This Row],[uren / jaar weekend]]+Ruimtestaat[[#This Row],[uren / jaar werkdagen]]</f>
        <v>0</v>
      </c>
      <c r="AG260" s="69">
        <f>Ruimtestaat[[#This Row],[kosten / jaar weekend]]+Ruimtestaat[[#This Row],[kosten / jaar werkdagen]]</f>
        <v>0</v>
      </c>
      <c r="AH260" s="69"/>
      <c r="AI260" s="256" t="str">
        <f>IF(Ruimtestaat[[#This Row],[Frequentie werkdagen]]="","",_xlfn.CONCAT(Ruimtestaat[[#This Row],[Ruimte code]],"-",Ruimtestaat[[#This Row],[Frequentie werkdagen]]," ",Ruimtestaat[[#This Row],[Vloer code]]))</f>
        <v>14-5w L</v>
      </c>
      <c r="AJ260" s="300" t="str">
        <f>_xlfn.IFNA(VLOOKUP($AI260,Programma!$F$3:$G$1107,2,0),"")</f>
        <v>_</v>
      </c>
      <c r="AK260" s="300" t="str">
        <f>_xlfn.IFNA(VLOOKUP($AI260,Programma!$F$3:$H$1107,3,0),"")</f>
        <v>_</v>
      </c>
      <c r="AL260" s="300" t="str">
        <f>_xlfn.IFNA(VLOOKUP($AI260,Programma!$F$3:$I$1107,4,0),"")</f>
        <v>_</v>
      </c>
      <c r="AM260" s="300" t="str">
        <f>_xlfn.IFNA(VLOOKUP($AI260,Programma!$F$3:$J$1107,5,0),"")</f>
        <v>5w</v>
      </c>
      <c r="AN260" s="300" t="str">
        <f>_xlfn.IFNA(VLOOKUP($AI260,Programma!$F$3:$K$1107,6,0),"")</f>
        <v>_</v>
      </c>
      <c r="AO260" s="300" t="str">
        <f>_xlfn.IFNA(VLOOKUP($AI260,Programma!$F$3:$L$1107,7,0),"")</f>
        <v>_</v>
      </c>
      <c r="AP260" s="300" t="str">
        <f>_xlfn.IFNA(VLOOKUP($AI260,Programma!$F$3:$M$1107,8,0),"")</f>
        <v>_</v>
      </c>
      <c r="AQ260" s="300" t="str">
        <f>_xlfn.IFNA(VLOOKUP($AI260,Programma!$F$3:$N$1107,9,0),"")</f>
        <v>_</v>
      </c>
      <c r="AR260" s="300" t="str">
        <f>_xlfn.IFNA(VLOOKUP($AI260,Programma!$F$3:$O$1107,10,0),"")</f>
        <v>5w</v>
      </c>
      <c r="AS260" s="300" t="str">
        <f>_xlfn.IFNA(VLOOKUP($AI260,Programma!$F$3:$P$1107,11,0),"")</f>
        <v>5w</v>
      </c>
      <c r="AT260" s="300" t="str">
        <f>_xlfn.IFNA(VLOOKUP($AI260,Programma!$F$3:$Q$1107,12,0),"")</f>
        <v>1w</v>
      </c>
      <c r="AU260" s="300" t="str">
        <f>_xlfn.IFNA(VLOOKUP($AI260,Programma!$F$3:$R$1107,13,0),"")</f>
        <v>1w</v>
      </c>
      <c r="AV260" s="300" t="str">
        <f>_xlfn.IFNA(VLOOKUP($AI260,Programma!$F$3:$S$1107,14,0),"")</f>
        <v>1m</v>
      </c>
      <c r="AW260" s="300" t="str">
        <f>_xlfn.IFNA(VLOOKUP($AI260,Programma!$F$3:$T$1107,15,0),"")</f>
        <v>2j</v>
      </c>
      <c r="AX260" s="300" t="str">
        <f>_xlfn.IFNA(VLOOKUP($AI260,Programma!$F$3:$U$1107,16,0),"")</f>
        <v>1j</v>
      </c>
      <c r="AY260" s="300" t="str">
        <f>_xlfn.IFNA(VLOOKUP($AI260,Programma!$F$3:$V$1107,17,0),"")</f>
        <v>_</v>
      </c>
      <c r="AZ260" s="300" t="str">
        <f>_xlfn.IFNA(VLOOKUP($AI260,Programma!$F$3:$W$1107,18,0),"")</f>
        <v>_</v>
      </c>
      <c r="BA260" s="300" t="str">
        <f>_xlfn.IFNA(VLOOKUP($AI260,Programma!$F$3:$X$1107,19,0),"")</f>
        <v>_</v>
      </c>
      <c r="BB260" s="300" t="str">
        <f>_xlfn.IFNA(VLOOKUP($AI260,Programma!$F$3:$Y$1107,20,0),"")</f>
        <v>_</v>
      </c>
      <c r="BC260" s="257"/>
      <c r="BD260" s="256" t="str">
        <f>IF(Ruimtestaat[[#This Row],[Frequentie weekend]]="","",_xlfn.CONCAT(Ruimtestaat[[#This Row],[Ruimte code]],"-",Ruimtestaat[[#This Row],[Frequentie weekend]]," ",Ruimtestaat[[#This Row],[Vloer code]]))</f>
        <v/>
      </c>
      <c r="BE260" s="300" t="str">
        <f>_xlfn.IFNA(VLOOKUP($BD260,Programma!$F$3:$G$1107,2,0),"")</f>
        <v/>
      </c>
      <c r="BF260" s="300" t="str">
        <f>_xlfn.IFNA(VLOOKUP($BD260,Programma!$F$3:$H$1107,3,0),"")</f>
        <v/>
      </c>
      <c r="BG260" s="300" t="str">
        <f>_xlfn.IFNA(VLOOKUP($BD260,Programma!$F$3:$I$1107,4,0),"")</f>
        <v/>
      </c>
      <c r="BH260" s="300" t="str">
        <f>_xlfn.IFNA(VLOOKUP($BD260,Programma!$F$3:$J$1107,5,0),"")</f>
        <v/>
      </c>
      <c r="BI260" s="300" t="str">
        <f>_xlfn.IFNA(VLOOKUP($BD260,Programma!$F$3:$K$1107,6,0),"")</f>
        <v/>
      </c>
      <c r="BJ260" s="300" t="str">
        <f>_xlfn.IFNA(VLOOKUP($BD260,Programma!$F$3:$L$1107,7,0),"")</f>
        <v/>
      </c>
      <c r="BK260" s="300" t="str">
        <f>_xlfn.IFNA(VLOOKUP($BD260,Programma!$F$3:$M$1107,8,0),"")</f>
        <v/>
      </c>
      <c r="BL260" s="300" t="str">
        <f>_xlfn.IFNA(VLOOKUP($BD260,Programma!$F$3:$N$1107,9,0),"")</f>
        <v/>
      </c>
      <c r="BM260" s="300" t="str">
        <f>_xlfn.IFNA(VLOOKUP($BD260,Programma!$F$3:$O$1107,10,0),"")</f>
        <v/>
      </c>
      <c r="BN260" s="300" t="str">
        <f>_xlfn.IFNA(VLOOKUP($BD260,Programma!$F$3:$P$1107,11,0),"")</f>
        <v/>
      </c>
      <c r="BO260" s="300" t="str">
        <f>_xlfn.IFNA(VLOOKUP($BD260,Programma!$F$3:$Q$1107,12,0),"")</f>
        <v/>
      </c>
      <c r="BP260" s="300" t="str">
        <f>_xlfn.IFNA(VLOOKUP($BD260,Programma!$F$3:$R$1107,13,0),"")</f>
        <v/>
      </c>
      <c r="BQ260" s="300" t="str">
        <f>_xlfn.IFNA(VLOOKUP($BD260,Programma!$F$3:$S$1107,14,0),"")</f>
        <v/>
      </c>
      <c r="BR260" s="300" t="str">
        <f>_xlfn.IFNA(VLOOKUP($BD260,Programma!$F$3:$T$1107,15,0),"")</f>
        <v/>
      </c>
      <c r="BS260" s="300" t="str">
        <f>_xlfn.IFNA(VLOOKUP($BD260,Programma!$F$3:$U$1107,16,0),"")</f>
        <v/>
      </c>
      <c r="BT260" s="300" t="str">
        <f>_xlfn.IFNA(VLOOKUP($BD260,Programma!$F$3:$V$1107,17,0),"")</f>
        <v/>
      </c>
      <c r="BU260" s="300" t="str">
        <f>_xlfn.IFNA(VLOOKUP($BD260,Programma!$F$3:$W$1107,18,0),"")</f>
        <v/>
      </c>
      <c r="BV260" s="300" t="str">
        <f>_xlfn.IFNA(VLOOKUP($BD260,Programma!$F$3:$X$1107,19,0),"")</f>
        <v/>
      </c>
      <c r="BW260" s="300" t="str">
        <f>_xlfn.IFNA(VLOOKUP($BD260,Programma!$F$3:$Y$1107,20,0),"")</f>
        <v/>
      </c>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row>
    <row r="261" spans="1:220" ht="15" customHeight="1">
      <c r="A261" s="21">
        <v>4</v>
      </c>
      <c r="B261" s="157" t="str">
        <f>VLOOKUP(Ruimtestaat[[#This Row],[Code]],Locaties[[Code]:[Locatie]],2,FALSE)</f>
        <v>Sint-Maartenscollege</v>
      </c>
      <c r="C261" s="157" t="str">
        <f>VLOOKUP(Ruimtestaat[[#This Row],[Code]],Locaties[[#All],[Code]:[Adres]],4,FALSE)</f>
        <v xml:space="preserve">Aart v.d. Leeuwkade 14 </v>
      </c>
      <c r="D261" s="157" t="str">
        <f>VLOOKUP(Ruimtestaat[[#This Row],[Code]],Locaties[[#All],[Code]:[Postcode]],5,FALSE)</f>
        <v>2274 KX</v>
      </c>
      <c r="E261" s="157" t="str">
        <f>VLOOKUP(Ruimtestaat[[#This Row],[Code]],Locaties[#All],6,FALSE)</f>
        <v>Voorburg</v>
      </c>
      <c r="F261" s="62"/>
      <c r="G261" s="21" t="s">
        <v>1624</v>
      </c>
      <c r="H261" s="21" t="s">
        <v>1697</v>
      </c>
      <c r="I261" s="62" t="s">
        <v>1911</v>
      </c>
      <c r="J261" s="21">
        <v>20</v>
      </c>
      <c r="K261" s="62" t="str">
        <f>VLOOKUP(Ruimtestaat[[#This Row],[Ruimte code]],Ruimtegroepen[[#All],[Code]:[Ruimte omschrijving]],2,FALSE)</f>
        <v>Niet in Onderhoud</v>
      </c>
      <c r="L261" s="33" t="s">
        <v>101</v>
      </c>
      <c r="M261" s="367" t="s">
        <v>2495</v>
      </c>
      <c r="N261" s="140"/>
      <c r="O261" s="140">
        <v>28</v>
      </c>
      <c r="P261" s="125">
        <f>VLOOKUP(Ruimtestaat[[#This Row],[Ruimte code]],Ruimtegroepen[],4,FALSE)</f>
        <v>0</v>
      </c>
      <c r="R261" s="33"/>
      <c r="S261" s="33"/>
      <c r="T261" s="33">
        <f>IF(R261&gt;0,IF(RIGHT(Ruimtestaat[[#This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61" s="33">
        <f>IF(T261&gt;0,VLOOKUP($J261,Ruimtegroepen[],3,FALSE)*VLOOKUP($L261,Vloersoorten[],3,FALSE)*VLOOKUP($S261,Frequenties[],3,FALSE)*VLOOKUP($A261,Locaties[],3,FALSE),0)</f>
        <v>0</v>
      </c>
      <c r="V261" s="33">
        <f>Ruimtestaat[[#This Row],[Uitvoeringen werkdagen]]*Ruimtestaat[[#This Row],[Oppervlak (netto)]]</f>
        <v>0</v>
      </c>
      <c r="W261" s="154">
        <f>IF(U261&gt;0,Ruimtestaat[[#This Row],[Prest. (m2 /jaar) werkdagen]]/Ruimtestaat[[#This Row],[Norm (m2/uur) werkdagen]],0)</f>
        <v>0</v>
      </c>
      <c r="X261" s="155">
        <f>Ruimtestaat[[#This Row],[uren / jaar werkdagen]]*Tariefsopbouw!$E$35</f>
        <v>0</v>
      </c>
      <c r="Y261" s="33"/>
      <c r="Z261" s="33">
        <f>IF(Ruimtestaat[[#This Row],[Frequentie weekend]]&gt;0,VALUE(LEFT(Y261,1))*R261,0)</f>
        <v>0</v>
      </c>
      <c r="AA261" s="97">
        <f>IF($Z261&gt;0,VLOOKUP($J261,Ruimtegroepen[],3,FALSE)*VLOOKUP($L261,Vloersoorten[],3,FALSE)*VLOOKUP($Y261,Frequenties[],3,FALSE)*VLOOKUP(Ruimtestaat[[#This Row],[Code]],Locaties[],3,FALSE),0)</f>
        <v>0</v>
      </c>
      <c r="AB261" s="97">
        <f>Ruimtestaat[[#This Row],[Uitvoeringen weekend]]*Ruimtestaat[[#This Row],[Oppervlak (netto)]]</f>
        <v>0</v>
      </c>
      <c r="AC261" s="97">
        <f>IF(AA261&gt;0,Ruimtestaat[[#This Row],[Prest. (m2 /jaar) weekend]]/Ruimtestaat[[#This Row],[Norm (m2/uur) weekend]],0)</f>
        <v>0</v>
      </c>
      <c r="AD261" s="155">
        <f>Ruimtestaat[[#This Row],[uren / jaar weekend]]*Tariefsopbouw!$D$40</f>
        <v>0</v>
      </c>
      <c r="AE261" s="154">
        <f>Ruimtestaat[[#This Row],[Prest. (m2 /jaar) weekend]]+Ruimtestaat[[#This Row],[Prest. (m2 /jaar) werkdagen]]</f>
        <v>0</v>
      </c>
      <c r="AF261" s="154">
        <f>Ruimtestaat[[#This Row],[uren / jaar weekend]]+Ruimtestaat[[#This Row],[uren / jaar werkdagen]]</f>
        <v>0</v>
      </c>
      <c r="AG261" s="69">
        <f>Ruimtestaat[[#This Row],[kosten / jaar weekend]]+Ruimtestaat[[#This Row],[kosten / jaar werkdagen]]</f>
        <v>0</v>
      </c>
      <c r="AH261" s="69"/>
      <c r="AI261" s="256" t="str">
        <f>IF(Ruimtestaat[[#This Row],[Frequentie werkdagen]]="","",_xlfn.CONCAT(Ruimtestaat[[#This Row],[Ruimte code]],"-",Ruimtestaat[[#This Row],[Frequentie werkdagen]]," ",Ruimtestaat[[#This Row],[Vloer code]]))</f>
        <v/>
      </c>
      <c r="AJ261" s="300" t="str">
        <f>_xlfn.IFNA(VLOOKUP($AI261,Programma!$F$3:$G$1107,2,0),"")</f>
        <v/>
      </c>
      <c r="AK261" s="300" t="str">
        <f>_xlfn.IFNA(VLOOKUP($AI261,Programma!$F$3:$H$1107,3,0),"")</f>
        <v/>
      </c>
      <c r="AL261" s="300" t="str">
        <f>_xlfn.IFNA(VLOOKUP($AI261,Programma!$F$3:$I$1107,4,0),"")</f>
        <v/>
      </c>
      <c r="AM261" s="300" t="str">
        <f>_xlfn.IFNA(VLOOKUP($AI261,Programma!$F$3:$J$1107,5,0),"")</f>
        <v/>
      </c>
      <c r="AN261" s="300" t="str">
        <f>_xlfn.IFNA(VLOOKUP($AI261,Programma!$F$3:$K$1107,6,0),"")</f>
        <v/>
      </c>
      <c r="AO261" s="300" t="str">
        <f>_xlfn.IFNA(VLOOKUP($AI261,Programma!$F$3:$L$1107,7,0),"")</f>
        <v/>
      </c>
      <c r="AP261" s="300" t="str">
        <f>_xlfn.IFNA(VLOOKUP($AI261,Programma!$F$3:$M$1107,8,0),"")</f>
        <v/>
      </c>
      <c r="AQ261" s="300" t="str">
        <f>_xlfn.IFNA(VLOOKUP($AI261,Programma!$F$3:$N$1107,9,0),"")</f>
        <v/>
      </c>
      <c r="AR261" s="300" t="str">
        <f>_xlfn.IFNA(VLOOKUP($AI261,Programma!$F$3:$O$1107,10,0),"")</f>
        <v/>
      </c>
      <c r="AS261" s="300" t="str">
        <f>_xlfn.IFNA(VLOOKUP($AI261,Programma!$F$3:$P$1107,11,0),"")</f>
        <v/>
      </c>
      <c r="AT261" s="300" t="str">
        <f>_xlfn.IFNA(VLOOKUP($AI261,Programma!$F$3:$Q$1107,12,0),"")</f>
        <v/>
      </c>
      <c r="AU261" s="300" t="str">
        <f>_xlfn.IFNA(VLOOKUP($AI261,Programma!$F$3:$R$1107,13,0),"")</f>
        <v/>
      </c>
      <c r="AV261" s="300" t="str">
        <f>_xlfn.IFNA(VLOOKUP($AI261,Programma!$F$3:$S$1107,14,0),"")</f>
        <v/>
      </c>
      <c r="AW261" s="300" t="str">
        <f>_xlfn.IFNA(VLOOKUP($AI261,Programma!$F$3:$T$1107,15,0),"")</f>
        <v/>
      </c>
      <c r="AX261" s="300" t="str">
        <f>_xlfn.IFNA(VLOOKUP($AI261,Programma!$F$3:$U$1107,16,0),"")</f>
        <v/>
      </c>
      <c r="AY261" s="300" t="str">
        <f>_xlfn.IFNA(VLOOKUP($AI261,Programma!$F$3:$V$1107,17,0),"")</f>
        <v/>
      </c>
      <c r="AZ261" s="300" t="str">
        <f>_xlfn.IFNA(VLOOKUP($AI261,Programma!$F$3:$W$1107,18,0),"")</f>
        <v/>
      </c>
      <c r="BA261" s="300" t="str">
        <f>_xlfn.IFNA(VLOOKUP($AI261,Programma!$F$3:$X$1107,19,0),"")</f>
        <v/>
      </c>
      <c r="BB261" s="300" t="str">
        <f>_xlfn.IFNA(VLOOKUP($AI261,Programma!$F$3:$Y$1107,20,0),"")</f>
        <v/>
      </c>
      <c r="BC261" s="257"/>
      <c r="BD261" s="256" t="str">
        <f>IF(Ruimtestaat[[#This Row],[Frequentie weekend]]="","",_xlfn.CONCAT(Ruimtestaat[[#This Row],[Ruimte code]],"-",Ruimtestaat[[#This Row],[Frequentie weekend]]," ",Ruimtestaat[[#This Row],[Vloer code]]))</f>
        <v/>
      </c>
      <c r="BE261" s="300" t="str">
        <f>_xlfn.IFNA(VLOOKUP($BD261,Programma!$F$3:$G$1107,2,0),"")</f>
        <v/>
      </c>
      <c r="BF261" s="300" t="str">
        <f>_xlfn.IFNA(VLOOKUP($BD261,Programma!$F$3:$H$1107,3,0),"")</f>
        <v/>
      </c>
      <c r="BG261" s="300" t="str">
        <f>_xlfn.IFNA(VLOOKUP($BD261,Programma!$F$3:$I$1107,4,0),"")</f>
        <v/>
      </c>
      <c r="BH261" s="300" t="str">
        <f>_xlfn.IFNA(VLOOKUP($BD261,Programma!$F$3:$J$1107,5,0),"")</f>
        <v/>
      </c>
      <c r="BI261" s="300" t="str">
        <f>_xlfn.IFNA(VLOOKUP($BD261,Programma!$F$3:$K$1107,6,0),"")</f>
        <v/>
      </c>
      <c r="BJ261" s="300" t="str">
        <f>_xlfn.IFNA(VLOOKUP($BD261,Programma!$F$3:$L$1107,7,0),"")</f>
        <v/>
      </c>
      <c r="BK261" s="300" t="str">
        <f>_xlfn.IFNA(VLOOKUP($BD261,Programma!$F$3:$M$1107,8,0),"")</f>
        <v/>
      </c>
      <c r="BL261" s="300" t="str">
        <f>_xlfn.IFNA(VLOOKUP($BD261,Programma!$F$3:$N$1107,9,0),"")</f>
        <v/>
      </c>
      <c r="BM261" s="300" t="str">
        <f>_xlfn.IFNA(VLOOKUP($BD261,Programma!$F$3:$O$1107,10,0),"")</f>
        <v/>
      </c>
      <c r="BN261" s="300" t="str">
        <f>_xlfn.IFNA(VLOOKUP($BD261,Programma!$F$3:$P$1107,11,0),"")</f>
        <v/>
      </c>
      <c r="BO261" s="300" t="str">
        <f>_xlfn.IFNA(VLOOKUP($BD261,Programma!$F$3:$Q$1107,12,0),"")</f>
        <v/>
      </c>
      <c r="BP261" s="300" t="str">
        <f>_xlfn.IFNA(VLOOKUP($BD261,Programma!$F$3:$R$1107,13,0),"")</f>
        <v/>
      </c>
      <c r="BQ261" s="300" t="str">
        <f>_xlfn.IFNA(VLOOKUP($BD261,Programma!$F$3:$S$1107,14,0),"")</f>
        <v/>
      </c>
      <c r="BR261" s="300" t="str">
        <f>_xlfn.IFNA(VLOOKUP($BD261,Programma!$F$3:$T$1107,15,0),"")</f>
        <v/>
      </c>
      <c r="BS261" s="300" t="str">
        <f>_xlfn.IFNA(VLOOKUP($BD261,Programma!$F$3:$U$1107,16,0),"")</f>
        <v/>
      </c>
      <c r="BT261" s="300" t="str">
        <f>_xlfn.IFNA(VLOOKUP($BD261,Programma!$F$3:$V$1107,17,0),"")</f>
        <v/>
      </c>
      <c r="BU261" s="300" t="str">
        <f>_xlfn.IFNA(VLOOKUP($BD261,Programma!$F$3:$W$1107,18,0),"")</f>
        <v/>
      </c>
      <c r="BV261" s="300" t="str">
        <f>_xlfn.IFNA(VLOOKUP($BD261,Programma!$F$3:$X$1107,19,0),"")</f>
        <v/>
      </c>
      <c r="BW261" s="300" t="str">
        <f>_xlfn.IFNA(VLOOKUP($BD261,Programma!$F$3:$Y$1107,20,0),"")</f>
        <v/>
      </c>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row>
    <row r="262" spans="1:220" ht="15" customHeight="1">
      <c r="A262" s="21">
        <v>4</v>
      </c>
      <c r="B262" s="157" t="str">
        <f>VLOOKUP(Ruimtestaat[[#This Row],[Code]],Locaties[[Code]:[Locatie]],2,FALSE)</f>
        <v>Sint-Maartenscollege</v>
      </c>
      <c r="C262" s="157" t="str">
        <f>VLOOKUP(Ruimtestaat[[#This Row],[Code]],Locaties[[#All],[Code]:[Adres]],4,FALSE)</f>
        <v xml:space="preserve">Aart v.d. Leeuwkade 14 </v>
      </c>
      <c r="D262" s="157" t="str">
        <f>VLOOKUP(Ruimtestaat[[#This Row],[Code]],Locaties[[#All],[Code]:[Postcode]],5,FALSE)</f>
        <v>2274 KX</v>
      </c>
      <c r="E262" s="157" t="str">
        <f>VLOOKUP(Ruimtestaat[[#This Row],[Code]],Locaties[#All],6,FALSE)</f>
        <v>Voorburg</v>
      </c>
      <c r="F262" s="62"/>
      <c r="G262" s="21" t="s">
        <v>1624</v>
      </c>
      <c r="H262" s="21" t="s">
        <v>1699</v>
      </c>
      <c r="I262" s="62" t="s">
        <v>1631</v>
      </c>
      <c r="J262" s="21">
        <v>2</v>
      </c>
      <c r="K262" s="62" t="str">
        <f>VLOOKUP(Ruimtestaat[[#This Row],[Ruimte code]],Ruimtegroepen[[#All],[Code]:[Ruimte omschrijving]],2,FALSE)</f>
        <v>Kantoren</v>
      </c>
      <c r="L262" s="33" t="s">
        <v>100</v>
      </c>
      <c r="M262" s="367" t="s">
        <v>2493</v>
      </c>
      <c r="N262" s="140">
        <v>21</v>
      </c>
      <c r="O262" s="140"/>
      <c r="P262" s="125" t="str">
        <f>VLOOKUP(Ruimtestaat[[#This Row],[Ruimte code]],Ruimtegroepen[],4,FALSE)</f>
        <v>Bu</v>
      </c>
      <c r="R262" s="33">
        <v>42</v>
      </c>
      <c r="S262" s="33" t="s">
        <v>18</v>
      </c>
      <c r="T262" s="33">
        <f>IF(R262&gt;0,IF(RIGHT(Ruimtestaat[[#This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62" s="33">
        <f>IF(T262&gt;0,VLOOKUP($J262,Ruimtegroepen[],3,FALSE)*VLOOKUP($L262,Vloersoorten[],3,FALSE)*VLOOKUP($S262,Frequenties[],3,FALSE)*VLOOKUP($A262,Locaties[],3,FALSE),0)</f>
        <v>0</v>
      </c>
      <c r="V262" s="33">
        <f>Ruimtestaat[[#This Row],[Uitvoeringen werkdagen]]*Ruimtestaat[[#This Row],[Oppervlak (netto)]]</f>
        <v>2646</v>
      </c>
      <c r="W262" s="154">
        <f>IF(U262&gt;0,Ruimtestaat[[#This Row],[Prest. (m2 /jaar) werkdagen]]/Ruimtestaat[[#This Row],[Norm (m2/uur) werkdagen]],0)</f>
        <v>0</v>
      </c>
      <c r="X262" s="155">
        <f>Ruimtestaat[[#This Row],[uren / jaar werkdagen]]*Tariefsopbouw!$E$35</f>
        <v>0</v>
      </c>
      <c r="Y262" s="33"/>
      <c r="Z262" s="33">
        <f>IF(Ruimtestaat[[#This Row],[Frequentie weekend]]&gt;0,VALUE(LEFT(Y262,1))*R262,0)</f>
        <v>0</v>
      </c>
      <c r="AA262" s="97">
        <f>IF($Z262&gt;0,VLOOKUP($J262,Ruimtegroepen[],3,FALSE)*VLOOKUP($L262,Vloersoorten[],3,FALSE)*VLOOKUP($Y262,Frequenties[],3,FALSE)*VLOOKUP(Ruimtestaat[[#This Row],[Code]],Locaties[],3,FALSE),0)</f>
        <v>0</v>
      </c>
      <c r="AB262" s="97">
        <f>Ruimtestaat[[#This Row],[Uitvoeringen weekend]]*Ruimtestaat[[#This Row],[Oppervlak (netto)]]</f>
        <v>0</v>
      </c>
      <c r="AC262" s="97">
        <f>IF(AA262&gt;0,Ruimtestaat[[#This Row],[Prest. (m2 /jaar) weekend]]/Ruimtestaat[[#This Row],[Norm (m2/uur) weekend]],0)</f>
        <v>0</v>
      </c>
      <c r="AD262" s="155">
        <f>Ruimtestaat[[#This Row],[uren / jaar weekend]]*Tariefsopbouw!$D$40</f>
        <v>0</v>
      </c>
      <c r="AE262" s="154">
        <f>Ruimtestaat[[#This Row],[Prest. (m2 /jaar) weekend]]+Ruimtestaat[[#This Row],[Prest. (m2 /jaar) werkdagen]]</f>
        <v>2646</v>
      </c>
      <c r="AF262" s="154">
        <f>Ruimtestaat[[#This Row],[uren / jaar weekend]]+Ruimtestaat[[#This Row],[uren / jaar werkdagen]]</f>
        <v>0</v>
      </c>
      <c r="AG262" s="69">
        <f>Ruimtestaat[[#This Row],[kosten / jaar weekend]]+Ruimtestaat[[#This Row],[kosten / jaar werkdagen]]</f>
        <v>0</v>
      </c>
      <c r="AH262" s="69"/>
      <c r="AI262" s="256" t="str">
        <f>IF(Ruimtestaat[[#This Row],[Frequentie werkdagen]]="","",_xlfn.CONCAT(Ruimtestaat[[#This Row],[Ruimte code]],"-",Ruimtestaat[[#This Row],[Frequentie werkdagen]]," ",Ruimtestaat[[#This Row],[Vloer code]]))</f>
        <v>2-3w T</v>
      </c>
      <c r="AJ262" s="300" t="str">
        <f>_xlfn.IFNA(VLOOKUP($AI262,Programma!$F$3:$G$1107,2,0),"")</f>
        <v>2w</v>
      </c>
      <c r="AK262" s="300" t="str">
        <f>_xlfn.IFNA(VLOOKUP($AI262,Programma!$F$3:$H$1107,3,0),"")</f>
        <v>1w</v>
      </c>
      <c r="AL262" s="300" t="str">
        <f>_xlfn.IFNA(VLOOKUP($AI262,Programma!$F$3:$I$1107,4,0),"")</f>
        <v>_</v>
      </c>
      <c r="AM262" s="300" t="str">
        <f>_xlfn.IFNA(VLOOKUP($AI262,Programma!$F$3:$J$1107,5,0),"")</f>
        <v>_</v>
      </c>
      <c r="AN262" s="300" t="str">
        <f>_xlfn.IFNA(VLOOKUP($AI262,Programma!$F$3:$K$1107,6,0),"")</f>
        <v>_</v>
      </c>
      <c r="AO262" s="300" t="str">
        <f>_xlfn.IFNA(VLOOKUP($AI262,Programma!$F$3:$L$1107,7,0),"")</f>
        <v>_</v>
      </c>
      <c r="AP262" s="300" t="str">
        <f>_xlfn.IFNA(VLOOKUP($AI262,Programma!$F$3:$M$1107,8,0),"")</f>
        <v>_</v>
      </c>
      <c r="AQ262" s="300" t="str">
        <f>_xlfn.IFNA(VLOOKUP($AI262,Programma!$F$3:$N$1107,9,0),"")</f>
        <v>_</v>
      </c>
      <c r="AR262" s="300" t="str">
        <f>_xlfn.IFNA(VLOOKUP($AI262,Programma!$F$3:$O$1107,10,0),"")</f>
        <v>3w</v>
      </c>
      <c r="AS262" s="300" t="str">
        <f>_xlfn.IFNA(VLOOKUP($AI262,Programma!$F$3:$P$1107,11,0),"")</f>
        <v>3w</v>
      </c>
      <c r="AT262" s="300" t="str">
        <f>_xlfn.IFNA(VLOOKUP($AI262,Programma!$F$3:$Q$1107,12,0),"")</f>
        <v>1w</v>
      </c>
      <c r="AU262" s="300" t="str">
        <f>_xlfn.IFNA(VLOOKUP($AI262,Programma!$F$3:$R$1107,13,0),"")</f>
        <v>1w</v>
      </c>
      <c r="AV262" s="300" t="str">
        <f>_xlfn.IFNA(VLOOKUP($AI262,Programma!$F$3:$S$1107,14,0),"")</f>
        <v>1m</v>
      </c>
      <c r="AW262" s="300" t="str">
        <f>_xlfn.IFNA(VLOOKUP($AI262,Programma!$F$3:$T$1107,15,0),"")</f>
        <v>2j</v>
      </c>
      <c r="AX262" s="300" t="str">
        <f>_xlfn.IFNA(VLOOKUP($AI262,Programma!$F$3:$U$1107,16,0),"")</f>
        <v>1j</v>
      </c>
      <c r="AY262" s="300" t="str">
        <f>_xlfn.IFNA(VLOOKUP($AI262,Programma!$F$3:$V$1107,17,0),"")</f>
        <v>_</v>
      </c>
      <c r="AZ262" s="300" t="str">
        <f>_xlfn.IFNA(VLOOKUP($AI262,Programma!$F$3:$W$1107,18,0),"")</f>
        <v>_</v>
      </c>
      <c r="BA262" s="300" t="str">
        <f>_xlfn.IFNA(VLOOKUP($AI262,Programma!$F$3:$X$1107,19,0),"")</f>
        <v>_</v>
      </c>
      <c r="BB262" s="300" t="str">
        <f>_xlfn.IFNA(VLOOKUP($AI262,Programma!$F$3:$Y$1107,20,0),"")</f>
        <v>_</v>
      </c>
      <c r="BC262" s="257"/>
      <c r="BD262" s="256" t="str">
        <f>IF(Ruimtestaat[[#This Row],[Frequentie weekend]]="","",_xlfn.CONCAT(Ruimtestaat[[#This Row],[Ruimte code]],"-",Ruimtestaat[[#This Row],[Frequentie weekend]]," ",Ruimtestaat[[#This Row],[Vloer code]]))</f>
        <v/>
      </c>
      <c r="BE262" s="300" t="str">
        <f>_xlfn.IFNA(VLOOKUP($BD262,Programma!$F$3:$G$1107,2,0),"")</f>
        <v/>
      </c>
      <c r="BF262" s="300" t="str">
        <f>_xlfn.IFNA(VLOOKUP($BD262,Programma!$F$3:$H$1107,3,0),"")</f>
        <v/>
      </c>
      <c r="BG262" s="300" t="str">
        <f>_xlfn.IFNA(VLOOKUP($BD262,Programma!$F$3:$I$1107,4,0),"")</f>
        <v/>
      </c>
      <c r="BH262" s="300" t="str">
        <f>_xlfn.IFNA(VLOOKUP($BD262,Programma!$F$3:$J$1107,5,0),"")</f>
        <v/>
      </c>
      <c r="BI262" s="300" t="str">
        <f>_xlfn.IFNA(VLOOKUP($BD262,Programma!$F$3:$K$1107,6,0),"")</f>
        <v/>
      </c>
      <c r="BJ262" s="300" t="str">
        <f>_xlfn.IFNA(VLOOKUP($BD262,Programma!$F$3:$L$1107,7,0),"")</f>
        <v/>
      </c>
      <c r="BK262" s="300" t="str">
        <f>_xlfn.IFNA(VLOOKUP($BD262,Programma!$F$3:$M$1107,8,0),"")</f>
        <v/>
      </c>
      <c r="BL262" s="300" t="str">
        <f>_xlfn.IFNA(VLOOKUP($BD262,Programma!$F$3:$N$1107,9,0),"")</f>
        <v/>
      </c>
      <c r="BM262" s="300" t="str">
        <f>_xlfn.IFNA(VLOOKUP($BD262,Programma!$F$3:$O$1107,10,0),"")</f>
        <v/>
      </c>
      <c r="BN262" s="300" t="str">
        <f>_xlfn.IFNA(VLOOKUP($BD262,Programma!$F$3:$P$1107,11,0),"")</f>
        <v/>
      </c>
      <c r="BO262" s="300" t="str">
        <f>_xlfn.IFNA(VLOOKUP($BD262,Programma!$F$3:$Q$1107,12,0),"")</f>
        <v/>
      </c>
      <c r="BP262" s="300" t="str">
        <f>_xlfn.IFNA(VLOOKUP($BD262,Programma!$F$3:$R$1107,13,0),"")</f>
        <v/>
      </c>
      <c r="BQ262" s="300" t="str">
        <f>_xlfn.IFNA(VLOOKUP($BD262,Programma!$F$3:$S$1107,14,0),"")</f>
        <v/>
      </c>
      <c r="BR262" s="300" t="str">
        <f>_xlfn.IFNA(VLOOKUP($BD262,Programma!$F$3:$T$1107,15,0),"")</f>
        <v/>
      </c>
      <c r="BS262" s="300" t="str">
        <f>_xlfn.IFNA(VLOOKUP($BD262,Programma!$F$3:$U$1107,16,0),"")</f>
        <v/>
      </c>
      <c r="BT262" s="300" t="str">
        <f>_xlfn.IFNA(VLOOKUP($BD262,Programma!$F$3:$V$1107,17,0),"")</f>
        <v/>
      </c>
      <c r="BU262" s="300" t="str">
        <f>_xlfn.IFNA(VLOOKUP($BD262,Programma!$F$3:$W$1107,18,0),"")</f>
        <v/>
      </c>
      <c r="BV262" s="300" t="str">
        <f>_xlfn.IFNA(VLOOKUP($BD262,Programma!$F$3:$X$1107,19,0),"")</f>
        <v/>
      </c>
      <c r="BW262" s="300" t="str">
        <f>_xlfn.IFNA(VLOOKUP($BD262,Programma!$F$3:$Y$1107,20,0),"")</f>
        <v/>
      </c>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row>
    <row r="263" spans="1:220" ht="15" customHeight="1">
      <c r="A263" s="21">
        <v>4</v>
      </c>
      <c r="B263" s="157" t="str">
        <f>VLOOKUP(Ruimtestaat[[#This Row],[Code]],Locaties[[Code]:[Locatie]],2,FALSE)</f>
        <v>Sint-Maartenscollege</v>
      </c>
      <c r="C263" s="157" t="str">
        <f>VLOOKUP(Ruimtestaat[[#This Row],[Code]],Locaties[[#All],[Code]:[Adres]],4,FALSE)</f>
        <v xml:space="preserve">Aart v.d. Leeuwkade 14 </v>
      </c>
      <c r="D263" s="157" t="str">
        <f>VLOOKUP(Ruimtestaat[[#This Row],[Code]],Locaties[[#All],[Code]:[Postcode]],5,FALSE)</f>
        <v>2274 KX</v>
      </c>
      <c r="E263" s="157" t="str">
        <f>VLOOKUP(Ruimtestaat[[#This Row],[Code]],Locaties[#All],6,FALSE)</f>
        <v>Voorburg</v>
      </c>
      <c r="F263" s="62"/>
      <c r="G263" s="21" t="s">
        <v>1624</v>
      </c>
      <c r="H263" s="21" t="s">
        <v>1701</v>
      </c>
      <c r="I263" s="62" t="s">
        <v>1631</v>
      </c>
      <c r="J263" s="21">
        <v>2</v>
      </c>
      <c r="K263" s="62" t="str">
        <f>VLOOKUP(Ruimtestaat[[#This Row],[Ruimte code]],Ruimtegroepen[[#All],[Code]:[Ruimte omschrijving]],2,FALSE)</f>
        <v>Kantoren</v>
      </c>
      <c r="L263" s="33" t="s">
        <v>101</v>
      </c>
      <c r="M263" s="367" t="s">
        <v>2495</v>
      </c>
      <c r="N263" s="140">
        <v>20</v>
      </c>
      <c r="O263" s="140"/>
      <c r="P263" s="125" t="str">
        <f>VLOOKUP(Ruimtestaat[[#This Row],[Ruimte code]],Ruimtegroepen[],4,FALSE)</f>
        <v>Bu</v>
      </c>
      <c r="R263" s="33">
        <v>42</v>
      </c>
      <c r="S263" s="33" t="s">
        <v>18</v>
      </c>
      <c r="T263" s="33">
        <f>IF(R263&gt;0,IF(RIGHT(Ruimtestaat[[#This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63" s="33">
        <f>IF(T263&gt;0,VLOOKUP($J263,Ruimtegroepen[],3,FALSE)*VLOOKUP($L263,Vloersoorten[],3,FALSE)*VLOOKUP($S263,Frequenties[],3,FALSE)*VLOOKUP($A263,Locaties[],3,FALSE),0)</f>
        <v>0</v>
      </c>
      <c r="V263" s="33">
        <f>Ruimtestaat[[#This Row],[Uitvoeringen werkdagen]]*Ruimtestaat[[#This Row],[Oppervlak (netto)]]</f>
        <v>2520</v>
      </c>
      <c r="W263" s="154">
        <f>IF(U263&gt;0,Ruimtestaat[[#This Row],[Prest. (m2 /jaar) werkdagen]]/Ruimtestaat[[#This Row],[Norm (m2/uur) werkdagen]],0)</f>
        <v>0</v>
      </c>
      <c r="X263" s="155">
        <f>Ruimtestaat[[#This Row],[uren / jaar werkdagen]]*Tariefsopbouw!$E$35</f>
        <v>0</v>
      </c>
      <c r="Y263" s="33"/>
      <c r="Z263" s="33">
        <f>IF(Ruimtestaat[[#This Row],[Frequentie weekend]]&gt;0,VALUE(LEFT(Y263,1))*R263,0)</f>
        <v>0</v>
      </c>
      <c r="AA263" s="97">
        <f>IF($Z263&gt;0,VLOOKUP($J263,Ruimtegroepen[],3,FALSE)*VLOOKUP($L263,Vloersoorten[],3,FALSE)*VLOOKUP($Y263,Frequenties[],3,FALSE)*VLOOKUP(Ruimtestaat[[#This Row],[Code]],Locaties[],3,FALSE),0)</f>
        <v>0</v>
      </c>
      <c r="AB263" s="97">
        <f>Ruimtestaat[[#This Row],[Uitvoeringen weekend]]*Ruimtestaat[[#This Row],[Oppervlak (netto)]]</f>
        <v>0</v>
      </c>
      <c r="AC263" s="97">
        <f>IF(AA263&gt;0,Ruimtestaat[[#This Row],[Prest. (m2 /jaar) weekend]]/Ruimtestaat[[#This Row],[Norm (m2/uur) weekend]],0)</f>
        <v>0</v>
      </c>
      <c r="AD263" s="155">
        <f>Ruimtestaat[[#This Row],[uren / jaar weekend]]*Tariefsopbouw!$D$40</f>
        <v>0</v>
      </c>
      <c r="AE263" s="154">
        <f>Ruimtestaat[[#This Row],[Prest. (m2 /jaar) weekend]]+Ruimtestaat[[#This Row],[Prest. (m2 /jaar) werkdagen]]</f>
        <v>2520</v>
      </c>
      <c r="AF263" s="154">
        <f>Ruimtestaat[[#This Row],[uren / jaar weekend]]+Ruimtestaat[[#This Row],[uren / jaar werkdagen]]</f>
        <v>0</v>
      </c>
      <c r="AG263" s="69">
        <f>Ruimtestaat[[#This Row],[kosten / jaar weekend]]+Ruimtestaat[[#This Row],[kosten / jaar werkdagen]]</f>
        <v>0</v>
      </c>
      <c r="AH263" s="69"/>
      <c r="AI263" s="256" t="str">
        <f>IF(Ruimtestaat[[#This Row],[Frequentie werkdagen]]="","",_xlfn.CONCAT(Ruimtestaat[[#This Row],[Ruimte code]],"-",Ruimtestaat[[#This Row],[Frequentie werkdagen]]," ",Ruimtestaat[[#This Row],[Vloer code]]))</f>
        <v>2-3w L</v>
      </c>
      <c r="AJ263" s="300" t="str">
        <f>_xlfn.IFNA(VLOOKUP($AI263,Programma!$F$3:$G$1107,2,0),"")</f>
        <v>_</v>
      </c>
      <c r="AK263" s="300" t="str">
        <f>_xlfn.IFNA(VLOOKUP($AI263,Programma!$F$3:$H$1107,3,0),"")</f>
        <v>_</v>
      </c>
      <c r="AL263" s="300" t="str">
        <f>_xlfn.IFNA(VLOOKUP($AI263,Programma!$F$3:$I$1107,4,0),"")</f>
        <v>2w</v>
      </c>
      <c r="AM263" s="300" t="str">
        <f>_xlfn.IFNA(VLOOKUP($AI263,Programma!$F$3:$J$1107,5,0),"")</f>
        <v>1w</v>
      </c>
      <c r="AN263" s="300" t="str">
        <f>_xlfn.IFNA(VLOOKUP($AI263,Programma!$F$3:$K$1107,6,0),"")</f>
        <v>_</v>
      </c>
      <c r="AO263" s="300" t="str">
        <f>_xlfn.IFNA(VLOOKUP($AI263,Programma!$F$3:$L$1107,7,0),"")</f>
        <v>_</v>
      </c>
      <c r="AP263" s="300" t="str">
        <f>_xlfn.IFNA(VLOOKUP($AI263,Programma!$F$3:$M$1107,8,0),"")</f>
        <v>_</v>
      </c>
      <c r="AQ263" s="300" t="str">
        <f>_xlfn.IFNA(VLOOKUP($AI263,Programma!$F$3:$N$1107,9,0),"")</f>
        <v>_</v>
      </c>
      <c r="AR263" s="300" t="str">
        <f>_xlfn.IFNA(VLOOKUP($AI263,Programma!$F$3:$O$1107,10,0),"")</f>
        <v>3w</v>
      </c>
      <c r="AS263" s="300" t="str">
        <f>_xlfn.IFNA(VLOOKUP($AI263,Programma!$F$3:$P$1107,11,0),"")</f>
        <v>3w</v>
      </c>
      <c r="AT263" s="300" t="str">
        <f>_xlfn.IFNA(VLOOKUP($AI263,Programma!$F$3:$Q$1107,12,0),"")</f>
        <v>1w</v>
      </c>
      <c r="AU263" s="300" t="str">
        <f>_xlfn.IFNA(VLOOKUP($AI263,Programma!$F$3:$R$1107,13,0),"")</f>
        <v>1w</v>
      </c>
      <c r="AV263" s="300" t="str">
        <f>_xlfn.IFNA(VLOOKUP($AI263,Programma!$F$3:$S$1107,14,0),"")</f>
        <v>1m</v>
      </c>
      <c r="AW263" s="300" t="str">
        <f>_xlfn.IFNA(VLOOKUP($AI263,Programma!$F$3:$T$1107,15,0),"")</f>
        <v>2j</v>
      </c>
      <c r="AX263" s="300" t="str">
        <f>_xlfn.IFNA(VLOOKUP($AI263,Programma!$F$3:$U$1107,16,0),"")</f>
        <v>1j</v>
      </c>
      <c r="AY263" s="300" t="str">
        <f>_xlfn.IFNA(VLOOKUP($AI263,Programma!$F$3:$V$1107,17,0),"")</f>
        <v>_</v>
      </c>
      <c r="AZ263" s="300" t="str">
        <f>_xlfn.IFNA(VLOOKUP($AI263,Programma!$F$3:$W$1107,18,0),"")</f>
        <v>_</v>
      </c>
      <c r="BA263" s="300" t="str">
        <f>_xlfn.IFNA(VLOOKUP($AI263,Programma!$F$3:$X$1107,19,0),"")</f>
        <v>_</v>
      </c>
      <c r="BB263" s="300" t="str">
        <f>_xlfn.IFNA(VLOOKUP($AI263,Programma!$F$3:$Y$1107,20,0),"")</f>
        <v>_</v>
      </c>
      <c r="BC263" s="257"/>
      <c r="BD263" s="256" t="str">
        <f>IF(Ruimtestaat[[#This Row],[Frequentie weekend]]="","",_xlfn.CONCAT(Ruimtestaat[[#This Row],[Ruimte code]],"-",Ruimtestaat[[#This Row],[Frequentie weekend]]," ",Ruimtestaat[[#This Row],[Vloer code]]))</f>
        <v/>
      </c>
      <c r="BE263" s="300" t="str">
        <f>_xlfn.IFNA(VLOOKUP($BD263,Programma!$F$3:$G$1107,2,0),"")</f>
        <v/>
      </c>
      <c r="BF263" s="300" t="str">
        <f>_xlfn.IFNA(VLOOKUP($BD263,Programma!$F$3:$H$1107,3,0),"")</f>
        <v/>
      </c>
      <c r="BG263" s="300" t="str">
        <f>_xlfn.IFNA(VLOOKUP($BD263,Programma!$F$3:$I$1107,4,0),"")</f>
        <v/>
      </c>
      <c r="BH263" s="300" t="str">
        <f>_xlfn.IFNA(VLOOKUP($BD263,Programma!$F$3:$J$1107,5,0),"")</f>
        <v/>
      </c>
      <c r="BI263" s="300" t="str">
        <f>_xlfn.IFNA(VLOOKUP($BD263,Programma!$F$3:$K$1107,6,0),"")</f>
        <v/>
      </c>
      <c r="BJ263" s="300" t="str">
        <f>_xlfn.IFNA(VLOOKUP($BD263,Programma!$F$3:$L$1107,7,0),"")</f>
        <v/>
      </c>
      <c r="BK263" s="300" t="str">
        <f>_xlfn.IFNA(VLOOKUP($BD263,Programma!$F$3:$M$1107,8,0),"")</f>
        <v/>
      </c>
      <c r="BL263" s="300" t="str">
        <f>_xlfn.IFNA(VLOOKUP($BD263,Programma!$F$3:$N$1107,9,0),"")</f>
        <v/>
      </c>
      <c r="BM263" s="300" t="str">
        <f>_xlfn.IFNA(VLOOKUP($BD263,Programma!$F$3:$O$1107,10,0),"")</f>
        <v/>
      </c>
      <c r="BN263" s="300" t="str">
        <f>_xlfn.IFNA(VLOOKUP($BD263,Programma!$F$3:$P$1107,11,0),"")</f>
        <v/>
      </c>
      <c r="BO263" s="300" t="str">
        <f>_xlfn.IFNA(VLOOKUP($BD263,Programma!$F$3:$Q$1107,12,0),"")</f>
        <v/>
      </c>
      <c r="BP263" s="300" t="str">
        <f>_xlfn.IFNA(VLOOKUP($BD263,Programma!$F$3:$R$1107,13,0),"")</f>
        <v/>
      </c>
      <c r="BQ263" s="300" t="str">
        <f>_xlfn.IFNA(VLOOKUP($BD263,Programma!$F$3:$S$1107,14,0),"")</f>
        <v/>
      </c>
      <c r="BR263" s="300" t="str">
        <f>_xlfn.IFNA(VLOOKUP($BD263,Programma!$F$3:$T$1107,15,0),"")</f>
        <v/>
      </c>
      <c r="BS263" s="300" t="str">
        <f>_xlfn.IFNA(VLOOKUP($BD263,Programma!$F$3:$U$1107,16,0),"")</f>
        <v/>
      </c>
      <c r="BT263" s="300" t="str">
        <f>_xlfn.IFNA(VLOOKUP($BD263,Programma!$F$3:$V$1107,17,0),"")</f>
        <v/>
      </c>
      <c r="BU263" s="300" t="str">
        <f>_xlfn.IFNA(VLOOKUP($BD263,Programma!$F$3:$W$1107,18,0),"")</f>
        <v/>
      </c>
      <c r="BV263" s="300" t="str">
        <f>_xlfn.IFNA(VLOOKUP($BD263,Programma!$F$3:$X$1107,19,0),"")</f>
        <v/>
      </c>
      <c r="BW263" s="300" t="str">
        <f>_xlfn.IFNA(VLOOKUP($BD263,Programma!$F$3:$Y$1107,20,0),"")</f>
        <v/>
      </c>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row>
    <row r="264" spans="1:220" ht="15" customHeight="1">
      <c r="A264" s="21">
        <v>4</v>
      </c>
      <c r="B264" s="157" t="str">
        <f>VLOOKUP(Ruimtestaat[[#This Row],[Code]],Locaties[[Code]:[Locatie]],2,FALSE)</f>
        <v>Sint-Maartenscollege</v>
      </c>
      <c r="C264" s="157" t="str">
        <f>VLOOKUP(Ruimtestaat[[#This Row],[Code]],Locaties[[#All],[Code]:[Adres]],4,FALSE)</f>
        <v xml:space="preserve">Aart v.d. Leeuwkade 14 </v>
      </c>
      <c r="D264" s="157" t="str">
        <f>VLOOKUP(Ruimtestaat[[#This Row],[Code]],Locaties[[#All],[Code]:[Postcode]],5,FALSE)</f>
        <v>2274 KX</v>
      </c>
      <c r="E264" s="157" t="str">
        <f>VLOOKUP(Ruimtestaat[[#This Row],[Code]],Locaties[#All],6,FALSE)</f>
        <v>Voorburg</v>
      </c>
      <c r="F264" s="62"/>
      <c r="G264" s="21" t="s">
        <v>1624</v>
      </c>
      <c r="H264" s="21" t="s">
        <v>1703</v>
      </c>
      <c r="I264" s="62" t="s">
        <v>1912</v>
      </c>
      <c r="J264" s="21">
        <v>2</v>
      </c>
      <c r="K264" s="62" t="str">
        <f>VLOOKUP(Ruimtestaat[[#This Row],[Ruimte code]],Ruimtegroepen[[#All],[Code]:[Ruimte omschrijving]],2,FALSE)</f>
        <v>Kantoren</v>
      </c>
      <c r="L264" s="33" t="s">
        <v>101</v>
      </c>
      <c r="M264" s="367" t="s">
        <v>2495</v>
      </c>
      <c r="N264" s="140">
        <v>25</v>
      </c>
      <c r="O264" s="140"/>
      <c r="P264" s="125" t="str">
        <f>VLOOKUP(Ruimtestaat[[#This Row],[Ruimte code]],Ruimtegroepen[],4,FALSE)</f>
        <v>Bu</v>
      </c>
      <c r="R264" s="33">
        <v>40</v>
      </c>
      <c r="S264" s="33" t="s">
        <v>18</v>
      </c>
      <c r="T264" s="33">
        <f>IF(R264&gt;0,IF(RIGHT(Ruimtestaat[[#This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264" s="33">
        <f>IF(T264&gt;0,VLOOKUP($J264,Ruimtegroepen[],3,FALSE)*VLOOKUP($L264,Vloersoorten[],3,FALSE)*VLOOKUP($S264,Frequenties[],3,FALSE)*VLOOKUP($A264,Locaties[],3,FALSE),0)</f>
        <v>0</v>
      </c>
      <c r="V264" s="33">
        <f>Ruimtestaat[[#This Row],[Uitvoeringen werkdagen]]*Ruimtestaat[[#This Row],[Oppervlak (netto)]]</f>
        <v>3000</v>
      </c>
      <c r="W264" s="154">
        <f>IF(U264&gt;0,Ruimtestaat[[#This Row],[Prest. (m2 /jaar) werkdagen]]/Ruimtestaat[[#This Row],[Norm (m2/uur) werkdagen]],0)</f>
        <v>0</v>
      </c>
      <c r="X264" s="155">
        <f>Ruimtestaat[[#This Row],[uren / jaar werkdagen]]*Tariefsopbouw!$E$35</f>
        <v>0</v>
      </c>
      <c r="Y264" s="33"/>
      <c r="Z264" s="33">
        <f>IF(Ruimtestaat[[#This Row],[Frequentie weekend]]&gt;0,VALUE(LEFT(Y264,1))*R264,0)</f>
        <v>0</v>
      </c>
      <c r="AA264" s="97">
        <f>IF($Z264&gt;0,VLOOKUP($J264,Ruimtegroepen[],3,FALSE)*VLOOKUP($L264,Vloersoorten[],3,FALSE)*VLOOKUP($Y264,Frequenties[],3,FALSE)*VLOOKUP(Ruimtestaat[[#This Row],[Code]],Locaties[],3,FALSE),0)</f>
        <v>0</v>
      </c>
      <c r="AB264" s="97">
        <f>Ruimtestaat[[#This Row],[Uitvoeringen weekend]]*Ruimtestaat[[#This Row],[Oppervlak (netto)]]</f>
        <v>0</v>
      </c>
      <c r="AC264" s="97">
        <f>IF(AA264&gt;0,Ruimtestaat[[#This Row],[Prest. (m2 /jaar) weekend]]/Ruimtestaat[[#This Row],[Norm (m2/uur) weekend]],0)</f>
        <v>0</v>
      </c>
      <c r="AD264" s="155">
        <f>Ruimtestaat[[#This Row],[uren / jaar weekend]]*Tariefsopbouw!$D$40</f>
        <v>0</v>
      </c>
      <c r="AE264" s="154">
        <f>Ruimtestaat[[#This Row],[Prest. (m2 /jaar) weekend]]+Ruimtestaat[[#This Row],[Prest. (m2 /jaar) werkdagen]]</f>
        <v>3000</v>
      </c>
      <c r="AF264" s="154">
        <f>Ruimtestaat[[#This Row],[uren / jaar weekend]]+Ruimtestaat[[#This Row],[uren / jaar werkdagen]]</f>
        <v>0</v>
      </c>
      <c r="AG264" s="69">
        <f>Ruimtestaat[[#This Row],[kosten / jaar weekend]]+Ruimtestaat[[#This Row],[kosten / jaar werkdagen]]</f>
        <v>0</v>
      </c>
      <c r="AH264" s="69"/>
      <c r="AI264" s="256" t="str">
        <f>IF(Ruimtestaat[[#This Row],[Frequentie werkdagen]]="","",_xlfn.CONCAT(Ruimtestaat[[#This Row],[Ruimte code]],"-",Ruimtestaat[[#This Row],[Frequentie werkdagen]]," ",Ruimtestaat[[#This Row],[Vloer code]]))</f>
        <v>2-3w L</v>
      </c>
      <c r="AJ264" s="300" t="str">
        <f>_xlfn.IFNA(VLOOKUP($AI264,Programma!$F$3:$G$1107,2,0),"")</f>
        <v>_</v>
      </c>
      <c r="AK264" s="300" t="str">
        <f>_xlfn.IFNA(VLOOKUP($AI264,Programma!$F$3:$H$1107,3,0),"")</f>
        <v>_</v>
      </c>
      <c r="AL264" s="300" t="str">
        <f>_xlfn.IFNA(VLOOKUP($AI264,Programma!$F$3:$I$1107,4,0),"")</f>
        <v>2w</v>
      </c>
      <c r="AM264" s="300" t="str">
        <f>_xlfn.IFNA(VLOOKUP($AI264,Programma!$F$3:$J$1107,5,0),"")</f>
        <v>1w</v>
      </c>
      <c r="AN264" s="300" t="str">
        <f>_xlfn.IFNA(VLOOKUP($AI264,Programma!$F$3:$K$1107,6,0),"")</f>
        <v>_</v>
      </c>
      <c r="AO264" s="300" t="str">
        <f>_xlfn.IFNA(VLOOKUP($AI264,Programma!$F$3:$L$1107,7,0),"")</f>
        <v>_</v>
      </c>
      <c r="AP264" s="300" t="str">
        <f>_xlfn.IFNA(VLOOKUP($AI264,Programma!$F$3:$M$1107,8,0),"")</f>
        <v>_</v>
      </c>
      <c r="AQ264" s="300" t="str">
        <f>_xlfn.IFNA(VLOOKUP($AI264,Programma!$F$3:$N$1107,9,0),"")</f>
        <v>_</v>
      </c>
      <c r="AR264" s="300" t="str">
        <f>_xlfn.IFNA(VLOOKUP($AI264,Programma!$F$3:$O$1107,10,0),"")</f>
        <v>3w</v>
      </c>
      <c r="AS264" s="300" t="str">
        <f>_xlfn.IFNA(VLOOKUP($AI264,Programma!$F$3:$P$1107,11,0),"")</f>
        <v>3w</v>
      </c>
      <c r="AT264" s="300" t="str">
        <f>_xlfn.IFNA(VLOOKUP($AI264,Programma!$F$3:$Q$1107,12,0),"")</f>
        <v>1w</v>
      </c>
      <c r="AU264" s="300" t="str">
        <f>_xlfn.IFNA(VLOOKUP($AI264,Programma!$F$3:$R$1107,13,0),"")</f>
        <v>1w</v>
      </c>
      <c r="AV264" s="300" t="str">
        <f>_xlfn.IFNA(VLOOKUP($AI264,Programma!$F$3:$S$1107,14,0),"")</f>
        <v>1m</v>
      </c>
      <c r="AW264" s="300" t="str">
        <f>_xlfn.IFNA(VLOOKUP($AI264,Programma!$F$3:$T$1107,15,0),"")</f>
        <v>2j</v>
      </c>
      <c r="AX264" s="300" t="str">
        <f>_xlfn.IFNA(VLOOKUP($AI264,Programma!$F$3:$U$1107,16,0),"")</f>
        <v>1j</v>
      </c>
      <c r="AY264" s="300" t="str">
        <f>_xlfn.IFNA(VLOOKUP($AI264,Programma!$F$3:$V$1107,17,0),"")</f>
        <v>_</v>
      </c>
      <c r="AZ264" s="300" t="str">
        <f>_xlfn.IFNA(VLOOKUP($AI264,Programma!$F$3:$W$1107,18,0),"")</f>
        <v>_</v>
      </c>
      <c r="BA264" s="300" t="str">
        <f>_xlfn.IFNA(VLOOKUP($AI264,Programma!$F$3:$X$1107,19,0),"")</f>
        <v>_</v>
      </c>
      <c r="BB264" s="300" t="str">
        <f>_xlfn.IFNA(VLOOKUP($AI264,Programma!$F$3:$Y$1107,20,0),"")</f>
        <v>_</v>
      </c>
      <c r="BC264" s="257"/>
      <c r="BD264" s="256" t="str">
        <f>IF(Ruimtestaat[[#This Row],[Frequentie weekend]]="","",_xlfn.CONCAT(Ruimtestaat[[#This Row],[Ruimte code]],"-",Ruimtestaat[[#This Row],[Frequentie weekend]]," ",Ruimtestaat[[#This Row],[Vloer code]]))</f>
        <v/>
      </c>
      <c r="BE264" s="300" t="str">
        <f>_xlfn.IFNA(VLOOKUP($BD264,Programma!$F$3:$G$1107,2,0),"")</f>
        <v/>
      </c>
      <c r="BF264" s="300" t="str">
        <f>_xlfn.IFNA(VLOOKUP($BD264,Programma!$F$3:$H$1107,3,0),"")</f>
        <v/>
      </c>
      <c r="BG264" s="300" t="str">
        <f>_xlfn.IFNA(VLOOKUP($BD264,Programma!$F$3:$I$1107,4,0),"")</f>
        <v/>
      </c>
      <c r="BH264" s="300" t="str">
        <f>_xlfn.IFNA(VLOOKUP($BD264,Programma!$F$3:$J$1107,5,0),"")</f>
        <v/>
      </c>
      <c r="BI264" s="300" t="str">
        <f>_xlfn.IFNA(VLOOKUP($BD264,Programma!$F$3:$K$1107,6,0),"")</f>
        <v/>
      </c>
      <c r="BJ264" s="300" t="str">
        <f>_xlfn.IFNA(VLOOKUP($BD264,Programma!$F$3:$L$1107,7,0),"")</f>
        <v/>
      </c>
      <c r="BK264" s="300" t="str">
        <f>_xlfn.IFNA(VLOOKUP($BD264,Programma!$F$3:$M$1107,8,0),"")</f>
        <v/>
      </c>
      <c r="BL264" s="300" t="str">
        <f>_xlfn.IFNA(VLOOKUP($BD264,Programma!$F$3:$N$1107,9,0),"")</f>
        <v/>
      </c>
      <c r="BM264" s="300" t="str">
        <f>_xlfn.IFNA(VLOOKUP($BD264,Programma!$F$3:$O$1107,10,0),"")</f>
        <v/>
      </c>
      <c r="BN264" s="300" t="str">
        <f>_xlfn.IFNA(VLOOKUP($BD264,Programma!$F$3:$P$1107,11,0),"")</f>
        <v/>
      </c>
      <c r="BO264" s="300" t="str">
        <f>_xlfn.IFNA(VLOOKUP($BD264,Programma!$F$3:$Q$1107,12,0),"")</f>
        <v/>
      </c>
      <c r="BP264" s="300" t="str">
        <f>_xlfn.IFNA(VLOOKUP($BD264,Programma!$F$3:$R$1107,13,0),"")</f>
        <v/>
      </c>
      <c r="BQ264" s="300" t="str">
        <f>_xlfn.IFNA(VLOOKUP($BD264,Programma!$F$3:$S$1107,14,0),"")</f>
        <v/>
      </c>
      <c r="BR264" s="300" t="str">
        <f>_xlfn.IFNA(VLOOKUP($BD264,Programma!$F$3:$T$1107,15,0),"")</f>
        <v/>
      </c>
      <c r="BS264" s="300" t="str">
        <f>_xlfn.IFNA(VLOOKUP($BD264,Programma!$F$3:$U$1107,16,0),"")</f>
        <v/>
      </c>
      <c r="BT264" s="300" t="str">
        <f>_xlfn.IFNA(VLOOKUP($BD264,Programma!$F$3:$V$1107,17,0),"")</f>
        <v/>
      </c>
      <c r="BU264" s="300" t="str">
        <f>_xlfn.IFNA(VLOOKUP($BD264,Programma!$F$3:$W$1107,18,0),"")</f>
        <v/>
      </c>
      <c r="BV264" s="300" t="str">
        <f>_xlfn.IFNA(VLOOKUP($BD264,Programma!$F$3:$X$1107,19,0),"")</f>
        <v/>
      </c>
      <c r="BW264" s="300" t="str">
        <f>_xlfn.IFNA(VLOOKUP($BD264,Programma!$F$3:$Y$1107,20,0),"")</f>
        <v/>
      </c>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row>
    <row r="265" spans="1:220" ht="15" customHeight="1">
      <c r="A265" s="21">
        <v>4</v>
      </c>
      <c r="B265" s="157" t="str">
        <f>VLOOKUP(Ruimtestaat[[#This Row],[Code]],Locaties[[Code]:[Locatie]],2,FALSE)</f>
        <v>Sint-Maartenscollege</v>
      </c>
      <c r="C265" s="157" t="str">
        <f>VLOOKUP(Ruimtestaat[[#This Row],[Code]],Locaties[[#All],[Code]:[Adres]],4,FALSE)</f>
        <v xml:space="preserve">Aart v.d. Leeuwkade 14 </v>
      </c>
      <c r="D265" s="157" t="str">
        <f>VLOOKUP(Ruimtestaat[[#This Row],[Code]],Locaties[[#All],[Code]:[Postcode]],5,FALSE)</f>
        <v>2274 KX</v>
      </c>
      <c r="E265" s="157" t="str">
        <f>VLOOKUP(Ruimtestaat[[#This Row],[Code]],Locaties[#All],6,FALSE)</f>
        <v>Voorburg</v>
      </c>
      <c r="F265" s="62"/>
      <c r="G265" s="21" t="s">
        <v>1624</v>
      </c>
      <c r="H265" s="21" t="s">
        <v>1704</v>
      </c>
      <c r="I265" s="62" t="s">
        <v>1913</v>
      </c>
      <c r="J265" s="21">
        <v>2</v>
      </c>
      <c r="K265" s="62" t="str">
        <f>VLOOKUP(Ruimtestaat[[#This Row],[Ruimte code]],Ruimtegroepen[[#All],[Code]:[Ruimte omschrijving]],2,FALSE)</f>
        <v>Kantoren</v>
      </c>
      <c r="L265" s="33" t="s">
        <v>101</v>
      </c>
      <c r="M265" s="367" t="s">
        <v>2495</v>
      </c>
      <c r="N265" s="140">
        <v>7</v>
      </c>
      <c r="O265" s="140"/>
      <c r="P265" s="125" t="str">
        <f>VLOOKUP(Ruimtestaat[[#This Row],[Ruimte code]],Ruimtegroepen[],4,FALSE)</f>
        <v>Bu</v>
      </c>
      <c r="R265" s="33">
        <v>42</v>
      </c>
      <c r="S265" s="33" t="s">
        <v>18</v>
      </c>
      <c r="T265" s="33">
        <f>IF(R265&gt;0,IF(RIGHT(Ruimtestaat[[#This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65" s="33">
        <f>IF(T265&gt;0,VLOOKUP($J265,Ruimtegroepen[],3,FALSE)*VLOOKUP($L265,Vloersoorten[],3,FALSE)*VLOOKUP($S265,Frequenties[],3,FALSE)*VLOOKUP($A265,Locaties[],3,FALSE),0)</f>
        <v>0</v>
      </c>
      <c r="V265" s="33">
        <f>Ruimtestaat[[#This Row],[Uitvoeringen werkdagen]]*Ruimtestaat[[#This Row],[Oppervlak (netto)]]</f>
        <v>882</v>
      </c>
      <c r="W265" s="154">
        <f>IF(U265&gt;0,Ruimtestaat[[#This Row],[Prest. (m2 /jaar) werkdagen]]/Ruimtestaat[[#This Row],[Norm (m2/uur) werkdagen]],0)</f>
        <v>0</v>
      </c>
      <c r="X265" s="155">
        <f>Ruimtestaat[[#This Row],[uren / jaar werkdagen]]*Tariefsopbouw!$E$35</f>
        <v>0</v>
      </c>
      <c r="Y265" s="33"/>
      <c r="Z265" s="33">
        <f>IF(Ruimtestaat[[#This Row],[Frequentie weekend]]&gt;0,VALUE(LEFT(Y265,1))*R265,0)</f>
        <v>0</v>
      </c>
      <c r="AA265" s="97">
        <f>IF($Z265&gt;0,VLOOKUP($J265,Ruimtegroepen[],3,FALSE)*VLOOKUP($L265,Vloersoorten[],3,FALSE)*VLOOKUP($Y265,Frequenties[],3,FALSE)*VLOOKUP(Ruimtestaat[[#This Row],[Code]],Locaties[],3,FALSE),0)</f>
        <v>0</v>
      </c>
      <c r="AB265" s="97">
        <f>Ruimtestaat[[#This Row],[Uitvoeringen weekend]]*Ruimtestaat[[#This Row],[Oppervlak (netto)]]</f>
        <v>0</v>
      </c>
      <c r="AC265" s="97">
        <f>IF(AA265&gt;0,Ruimtestaat[[#This Row],[Prest. (m2 /jaar) weekend]]/Ruimtestaat[[#This Row],[Norm (m2/uur) weekend]],0)</f>
        <v>0</v>
      </c>
      <c r="AD265" s="155">
        <f>Ruimtestaat[[#This Row],[uren / jaar weekend]]*Tariefsopbouw!$D$40</f>
        <v>0</v>
      </c>
      <c r="AE265" s="154">
        <f>Ruimtestaat[[#This Row],[Prest. (m2 /jaar) weekend]]+Ruimtestaat[[#This Row],[Prest. (m2 /jaar) werkdagen]]</f>
        <v>882</v>
      </c>
      <c r="AF265" s="154">
        <f>Ruimtestaat[[#This Row],[uren / jaar weekend]]+Ruimtestaat[[#This Row],[uren / jaar werkdagen]]</f>
        <v>0</v>
      </c>
      <c r="AG265" s="69">
        <f>Ruimtestaat[[#This Row],[kosten / jaar weekend]]+Ruimtestaat[[#This Row],[kosten / jaar werkdagen]]</f>
        <v>0</v>
      </c>
      <c r="AH265" s="69"/>
      <c r="AI265" s="256" t="str">
        <f>IF(Ruimtestaat[[#This Row],[Frequentie werkdagen]]="","",_xlfn.CONCAT(Ruimtestaat[[#This Row],[Ruimte code]],"-",Ruimtestaat[[#This Row],[Frequentie werkdagen]]," ",Ruimtestaat[[#This Row],[Vloer code]]))</f>
        <v>2-3w L</v>
      </c>
      <c r="AJ265" s="300" t="str">
        <f>_xlfn.IFNA(VLOOKUP($AI265,Programma!$F$3:$G$1107,2,0),"")</f>
        <v>_</v>
      </c>
      <c r="AK265" s="300" t="str">
        <f>_xlfn.IFNA(VLOOKUP($AI265,Programma!$F$3:$H$1107,3,0),"")</f>
        <v>_</v>
      </c>
      <c r="AL265" s="300" t="str">
        <f>_xlfn.IFNA(VLOOKUP($AI265,Programma!$F$3:$I$1107,4,0),"")</f>
        <v>2w</v>
      </c>
      <c r="AM265" s="300" t="str">
        <f>_xlfn.IFNA(VLOOKUP($AI265,Programma!$F$3:$J$1107,5,0),"")</f>
        <v>1w</v>
      </c>
      <c r="AN265" s="300" t="str">
        <f>_xlfn.IFNA(VLOOKUP($AI265,Programma!$F$3:$K$1107,6,0),"")</f>
        <v>_</v>
      </c>
      <c r="AO265" s="300" t="str">
        <f>_xlfn.IFNA(VLOOKUP($AI265,Programma!$F$3:$L$1107,7,0),"")</f>
        <v>_</v>
      </c>
      <c r="AP265" s="300" t="str">
        <f>_xlfn.IFNA(VLOOKUP($AI265,Programma!$F$3:$M$1107,8,0),"")</f>
        <v>_</v>
      </c>
      <c r="AQ265" s="300" t="str">
        <f>_xlfn.IFNA(VLOOKUP($AI265,Programma!$F$3:$N$1107,9,0),"")</f>
        <v>_</v>
      </c>
      <c r="AR265" s="300" t="str">
        <f>_xlfn.IFNA(VLOOKUP($AI265,Programma!$F$3:$O$1107,10,0),"")</f>
        <v>3w</v>
      </c>
      <c r="AS265" s="300" t="str">
        <f>_xlfn.IFNA(VLOOKUP($AI265,Programma!$F$3:$P$1107,11,0),"")</f>
        <v>3w</v>
      </c>
      <c r="AT265" s="300" t="str">
        <f>_xlfn.IFNA(VLOOKUP($AI265,Programma!$F$3:$Q$1107,12,0),"")</f>
        <v>1w</v>
      </c>
      <c r="AU265" s="300" t="str">
        <f>_xlfn.IFNA(VLOOKUP($AI265,Programma!$F$3:$R$1107,13,0),"")</f>
        <v>1w</v>
      </c>
      <c r="AV265" s="300" t="str">
        <f>_xlfn.IFNA(VLOOKUP($AI265,Programma!$F$3:$S$1107,14,0),"")</f>
        <v>1m</v>
      </c>
      <c r="AW265" s="300" t="str">
        <f>_xlfn.IFNA(VLOOKUP($AI265,Programma!$F$3:$T$1107,15,0),"")</f>
        <v>2j</v>
      </c>
      <c r="AX265" s="300" t="str">
        <f>_xlfn.IFNA(VLOOKUP($AI265,Programma!$F$3:$U$1107,16,0),"")</f>
        <v>1j</v>
      </c>
      <c r="AY265" s="300" t="str">
        <f>_xlfn.IFNA(VLOOKUP($AI265,Programma!$F$3:$V$1107,17,0),"")</f>
        <v>_</v>
      </c>
      <c r="AZ265" s="300" t="str">
        <f>_xlfn.IFNA(VLOOKUP($AI265,Programma!$F$3:$W$1107,18,0),"")</f>
        <v>_</v>
      </c>
      <c r="BA265" s="300" t="str">
        <f>_xlfn.IFNA(VLOOKUP($AI265,Programma!$F$3:$X$1107,19,0),"")</f>
        <v>_</v>
      </c>
      <c r="BB265" s="300" t="str">
        <f>_xlfn.IFNA(VLOOKUP($AI265,Programma!$F$3:$Y$1107,20,0),"")</f>
        <v>_</v>
      </c>
      <c r="BC265" s="257"/>
      <c r="BD265" s="256" t="str">
        <f>IF(Ruimtestaat[[#This Row],[Frequentie weekend]]="","",_xlfn.CONCAT(Ruimtestaat[[#This Row],[Ruimte code]],"-",Ruimtestaat[[#This Row],[Frequentie weekend]]," ",Ruimtestaat[[#This Row],[Vloer code]]))</f>
        <v/>
      </c>
      <c r="BE265" s="300" t="str">
        <f>_xlfn.IFNA(VLOOKUP($BD265,Programma!$F$3:$G$1107,2,0),"")</f>
        <v/>
      </c>
      <c r="BF265" s="300" t="str">
        <f>_xlfn.IFNA(VLOOKUP($BD265,Programma!$F$3:$H$1107,3,0),"")</f>
        <v/>
      </c>
      <c r="BG265" s="300" t="str">
        <f>_xlfn.IFNA(VLOOKUP($BD265,Programma!$F$3:$I$1107,4,0),"")</f>
        <v/>
      </c>
      <c r="BH265" s="300" t="str">
        <f>_xlfn.IFNA(VLOOKUP($BD265,Programma!$F$3:$J$1107,5,0),"")</f>
        <v/>
      </c>
      <c r="BI265" s="300" t="str">
        <f>_xlfn.IFNA(VLOOKUP($BD265,Programma!$F$3:$K$1107,6,0),"")</f>
        <v/>
      </c>
      <c r="BJ265" s="300" t="str">
        <f>_xlfn.IFNA(VLOOKUP($BD265,Programma!$F$3:$L$1107,7,0),"")</f>
        <v/>
      </c>
      <c r="BK265" s="300" t="str">
        <f>_xlfn.IFNA(VLOOKUP($BD265,Programma!$F$3:$M$1107,8,0),"")</f>
        <v/>
      </c>
      <c r="BL265" s="300" t="str">
        <f>_xlfn.IFNA(VLOOKUP($BD265,Programma!$F$3:$N$1107,9,0),"")</f>
        <v/>
      </c>
      <c r="BM265" s="300" t="str">
        <f>_xlfn.IFNA(VLOOKUP($BD265,Programma!$F$3:$O$1107,10,0),"")</f>
        <v/>
      </c>
      <c r="BN265" s="300" t="str">
        <f>_xlfn.IFNA(VLOOKUP($BD265,Programma!$F$3:$P$1107,11,0),"")</f>
        <v/>
      </c>
      <c r="BO265" s="300" t="str">
        <f>_xlfn.IFNA(VLOOKUP($BD265,Programma!$F$3:$Q$1107,12,0),"")</f>
        <v/>
      </c>
      <c r="BP265" s="300" t="str">
        <f>_xlfn.IFNA(VLOOKUP($BD265,Programma!$F$3:$R$1107,13,0),"")</f>
        <v/>
      </c>
      <c r="BQ265" s="300" t="str">
        <f>_xlfn.IFNA(VLOOKUP($BD265,Programma!$F$3:$S$1107,14,0),"")</f>
        <v/>
      </c>
      <c r="BR265" s="300" t="str">
        <f>_xlfn.IFNA(VLOOKUP($BD265,Programma!$F$3:$T$1107,15,0),"")</f>
        <v/>
      </c>
      <c r="BS265" s="300" t="str">
        <f>_xlfn.IFNA(VLOOKUP($BD265,Programma!$F$3:$U$1107,16,0),"")</f>
        <v/>
      </c>
      <c r="BT265" s="300" t="str">
        <f>_xlfn.IFNA(VLOOKUP($BD265,Programma!$F$3:$V$1107,17,0),"")</f>
        <v/>
      </c>
      <c r="BU265" s="300" t="str">
        <f>_xlfn.IFNA(VLOOKUP($BD265,Programma!$F$3:$W$1107,18,0),"")</f>
        <v/>
      </c>
      <c r="BV265" s="300" t="str">
        <f>_xlfn.IFNA(VLOOKUP($BD265,Programma!$F$3:$X$1107,19,0),"")</f>
        <v/>
      </c>
      <c r="BW265" s="300" t="str">
        <f>_xlfn.IFNA(VLOOKUP($BD265,Programma!$F$3:$Y$1107,20,0),"")</f>
        <v/>
      </c>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row>
    <row r="266" spans="1:220" ht="15" customHeight="1">
      <c r="A266" s="21">
        <v>4</v>
      </c>
      <c r="B266" s="157" t="str">
        <f>VLOOKUP(Ruimtestaat[[#This Row],[Code]],Locaties[[Code]:[Locatie]],2,FALSE)</f>
        <v>Sint-Maartenscollege</v>
      </c>
      <c r="C266" s="157" t="str">
        <f>VLOOKUP(Ruimtestaat[[#This Row],[Code]],Locaties[[#All],[Code]:[Adres]],4,FALSE)</f>
        <v xml:space="preserve">Aart v.d. Leeuwkade 14 </v>
      </c>
      <c r="D266" s="157" t="str">
        <f>VLOOKUP(Ruimtestaat[[#This Row],[Code]],Locaties[[#All],[Code]:[Postcode]],5,FALSE)</f>
        <v>2274 KX</v>
      </c>
      <c r="E266" s="157" t="str">
        <f>VLOOKUP(Ruimtestaat[[#This Row],[Code]],Locaties[#All],6,FALSE)</f>
        <v>Voorburg</v>
      </c>
      <c r="F266" s="62"/>
      <c r="G266" s="21" t="s">
        <v>1624</v>
      </c>
      <c r="H266" s="21" t="s">
        <v>1705</v>
      </c>
      <c r="I266" s="62" t="s">
        <v>1914</v>
      </c>
      <c r="J266" s="21">
        <v>2</v>
      </c>
      <c r="K266" s="62" t="str">
        <f>VLOOKUP(Ruimtestaat[[#This Row],[Ruimte code]],Ruimtegroepen[[#All],[Code]:[Ruimte omschrijving]],2,FALSE)</f>
        <v>Kantoren</v>
      </c>
      <c r="L266" s="33" t="s">
        <v>101</v>
      </c>
      <c r="M266" s="367" t="s">
        <v>2495</v>
      </c>
      <c r="N266" s="140">
        <v>11</v>
      </c>
      <c r="O266" s="140"/>
      <c r="P266" s="125" t="str">
        <f>VLOOKUP(Ruimtestaat[[#This Row],[Ruimte code]],Ruimtegroepen[],4,FALSE)</f>
        <v>Bu</v>
      </c>
      <c r="R266" s="33">
        <v>42</v>
      </c>
      <c r="S266" s="33" t="s">
        <v>18</v>
      </c>
      <c r="T266" s="33">
        <f>IF(R266&gt;0,IF(RIGHT(Ruimtestaat[[#This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66" s="33">
        <f>IF(T266&gt;0,VLOOKUP($J266,Ruimtegroepen[],3,FALSE)*VLOOKUP($L266,Vloersoorten[],3,FALSE)*VLOOKUP($S266,Frequenties[],3,FALSE)*VLOOKUP($A266,Locaties[],3,FALSE),0)</f>
        <v>0</v>
      </c>
      <c r="V266" s="33">
        <f>Ruimtestaat[[#This Row],[Uitvoeringen werkdagen]]*Ruimtestaat[[#This Row],[Oppervlak (netto)]]</f>
        <v>1386</v>
      </c>
      <c r="W266" s="154">
        <f>IF(U266&gt;0,Ruimtestaat[[#This Row],[Prest. (m2 /jaar) werkdagen]]/Ruimtestaat[[#This Row],[Norm (m2/uur) werkdagen]],0)</f>
        <v>0</v>
      </c>
      <c r="X266" s="155">
        <f>Ruimtestaat[[#This Row],[uren / jaar werkdagen]]*Tariefsopbouw!$E$35</f>
        <v>0</v>
      </c>
      <c r="Y266" s="33"/>
      <c r="Z266" s="33">
        <f>IF(Ruimtestaat[[#This Row],[Frequentie weekend]]&gt;0,VALUE(LEFT(Y266,1))*R266,0)</f>
        <v>0</v>
      </c>
      <c r="AA266" s="97">
        <f>IF($Z266&gt;0,VLOOKUP($J266,Ruimtegroepen[],3,FALSE)*VLOOKUP($L266,Vloersoorten[],3,FALSE)*VLOOKUP($Y266,Frequenties[],3,FALSE)*VLOOKUP(Ruimtestaat[[#This Row],[Code]],Locaties[],3,FALSE),0)</f>
        <v>0</v>
      </c>
      <c r="AB266" s="97">
        <f>Ruimtestaat[[#This Row],[Uitvoeringen weekend]]*Ruimtestaat[[#This Row],[Oppervlak (netto)]]</f>
        <v>0</v>
      </c>
      <c r="AC266" s="97">
        <f>IF(AA266&gt;0,Ruimtestaat[[#This Row],[Prest. (m2 /jaar) weekend]]/Ruimtestaat[[#This Row],[Norm (m2/uur) weekend]],0)</f>
        <v>0</v>
      </c>
      <c r="AD266" s="155">
        <f>Ruimtestaat[[#This Row],[uren / jaar weekend]]*Tariefsopbouw!$D$40</f>
        <v>0</v>
      </c>
      <c r="AE266" s="154">
        <f>Ruimtestaat[[#This Row],[Prest. (m2 /jaar) weekend]]+Ruimtestaat[[#This Row],[Prest. (m2 /jaar) werkdagen]]</f>
        <v>1386</v>
      </c>
      <c r="AF266" s="154">
        <f>Ruimtestaat[[#This Row],[uren / jaar weekend]]+Ruimtestaat[[#This Row],[uren / jaar werkdagen]]</f>
        <v>0</v>
      </c>
      <c r="AG266" s="69">
        <f>Ruimtestaat[[#This Row],[kosten / jaar weekend]]+Ruimtestaat[[#This Row],[kosten / jaar werkdagen]]</f>
        <v>0</v>
      </c>
      <c r="AH266" s="69"/>
      <c r="AI266" s="256" t="str">
        <f>IF(Ruimtestaat[[#This Row],[Frequentie werkdagen]]="","",_xlfn.CONCAT(Ruimtestaat[[#This Row],[Ruimte code]],"-",Ruimtestaat[[#This Row],[Frequentie werkdagen]]," ",Ruimtestaat[[#This Row],[Vloer code]]))</f>
        <v>2-3w L</v>
      </c>
      <c r="AJ266" s="300" t="str">
        <f>_xlfn.IFNA(VLOOKUP($AI266,Programma!$F$3:$G$1107,2,0),"")</f>
        <v>_</v>
      </c>
      <c r="AK266" s="300" t="str">
        <f>_xlfn.IFNA(VLOOKUP($AI266,Programma!$F$3:$H$1107,3,0),"")</f>
        <v>_</v>
      </c>
      <c r="AL266" s="300" t="str">
        <f>_xlfn.IFNA(VLOOKUP($AI266,Programma!$F$3:$I$1107,4,0),"")</f>
        <v>2w</v>
      </c>
      <c r="AM266" s="300" t="str">
        <f>_xlfn.IFNA(VLOOKUP($AI266,Programma!$F$3:$J$1107,5,0),"")</f>
        <v>1w</v>
      </c>
      <c r="AN266" s="300" t="str">
        <f>_xlfn.IFNA(VLOOKUP($AI266,Programma!$F$3:$K$1107,6,0),"")</f>
        <v>_</v>
      </c>
      <c r="AO266" s="300" t="str">
        <f>_xlfn.IFNA(VLOOKUP($AI266,Programma!$F$3:$L$1107,7,0),"")</f>
        <v>_</v>
      </c>
      <c r="AP266" s="300" t="str">
        <f>_xlfn.IFNA(VLOOKUP($AI266,Programma!$F$3:$M$1107,8,0),"")</f>
        <v>_</v>
      </c>
      <c r="AQ266" s="300" t="str">
        <f>_xlfn.IFNA(VLOOKUP($AI266,Programma!$F$3:$N$1107,9,0),"")</f>
        <v>_</v>
      </c>
      <c r="AR266" s="300" t="str">
        <f>_xlfn.IFNA(VLOOKUP($AI266,Programma!$F$3:$O$1107,10,0),"")</f>
        <v>3w</v>
      </c>
      <c r="AS266" s="300" t="str">
        <f>_xlfn.IFNA(VLOOKUP($AI266,Programma!$F$3:$P$1107,11,0),"")</f>
        <v>3w</v>
      </c>
      <c r="AT266" s="300" t="str">
        <f>_xlfn.IFNA(VLOOKUP($AI266,Programma!$F$3:$Q$1107,12,0),"")</f>
        <v>1w</v>
      </c>
      <c r="AU266" s="300" t="str">
        <f>_xlfn.IFNA(VLOOKUP($AI266,Programma!$F$3:$R$1107,13,0),"")</f>
        <v>1w</v>
      </c>
      <c r="AV266" s="300" t="str">
        <f>_xlfn.IFNA(VLOOKUP($AI266,Programma!$F$3:$S$1107,14,0),"")</f>
        <v>1m</v>
      </c>
      <c r="AW266" s="300" t="str">
        <f>_xlfn.IFNA(VLOOKUP($AI266,Programma!$F$3:$T$1107,15,0),"")</f>
        <v>2j</v>
      </c>
      <c r="AX266" s="300" t="str">
        <f>_xlfn.IFNA(VLOOKUP($AI266,Programma!$F$3:$U$1107,16,0),"")</f>
        <v>1j</v>
      </c>
      <c r="AY266" s="300" t="str">
        <f>_xlfn.IFNA(VLOOKUP($AI266,Programma!$F$3:$V$1107,17,0),"")</f>
        <v>_</v>
      </c>
      <c r="AZ266" s="300" t="str">
        <f>_xlfn.IFNA(VLOOKUP($AI266,Programma!$F$3:$W$1107,18,0),"")</f>
        <v>_</v>
      </c>
      <c r="BA266" s="300" t="str">
        <f>_xlfn.IFNA(VLOOKUP($AI266,Programma!$F$3:$X$1107,19,0),"")</f>
        <v>_</v>
      </c>
      <c r="BB266" s="300" t="str">
        <f>_xlfn.IFNA(VLOOKUP($AI266,Programma!$F$3:$Y$1107,20,0),"")</f>
        <v>_</v>
      </c>
      <c r="BC266" s="257"/>
      <c r="BD266" s="256" t="str">
        <f>IF(Ruimtestaat[[#This Row],[Frequentie weekend]]="","",_xlfn.CONCAT(Ruimtestaat[[#This Row],[Ruimte code]],"-",Ruimtestaat[[#This Row],[Frequentie weekend]]," ",Ruimtestaat[[#This Row],[Vloer code]]))</f>
        <v/>
      </c>
      <c r="BE266" s="300" t="str">
        <f>_xlfn.IFNA(VLOOKUP($BD266,Programma!$F$3:$G$1107,2,0),"")</f>
        <v/>
      </c>
      <c r="BF266" s="300" t="str">
        <f>_xlfn.IFNA(VLOOKUP($BD266,Programma!$F$3:$H$1107,3,0),"")</f>
        <v/>
      </c>
      <c r="BG266" s="300" t="str">
        <f>_xlfn.IFNA(VLOOKUP($BD266,Programma!$F$3:$I$1107,4,0),"")</f>
        <v/>
      </c>
      <c r="BH266" s="300" t="str">
        <f>_xlfn.IFNA(VLOOKUP($BD266,Programma!$F$3:$J$1107,5,0),"")</f>
        <v/>
      </c>
      <c r="BI266" s="300" t="str">
        <f>_xlfn.IFNA(VLOOKUP($BD266,Programma!$F$3:$K$1107,6,0),"")</f>
        <v/>
      </c>
      <c r="BJ266" s="300" t="str">
        <f>_xlfn.IFNA(VLOOKUP($BD266,Programma!$F$3:$L$1107,7,0),"")</f>
        <v/>
      </c>
      <c r="BK266" s="300" t="str">
        <f>_xlfn.IFNA(VLOOKUP($BD266,Programma!$F$3:$M$1107,8,0),"")</f>
        <v/>
      </c>
      <c r="BL266" s="300" t="str">
        <f>_xlfn.IFNA(VLOOKUP($BD266,Programma!$F$3:$N$1107,9,0),"")</f>
        <v/>
      </c>
      <c r="BM266" s="300" t="str">
        <f>_xlfn.IFNA(VLOOKUP($BD266,Programma!$F$3:$O$1107,10,0),"")</f>
        <v/>
      </c>
      <c r="BN266" s="300" t="str">
        <f>_xlfn.IFNA(VLOOKUP($BD266,Programma!$F$3:$P$1107,11,0),"")</f>
        <v/>
      </c>
      <c r="BO266" s="300" t="str">
        <f>_xlfn.IFNA(VLOOKUP($BD266,Programma!$F$3:$Q$1107,12,0),"")</f>
        <v/>
      </c>
      <c r="BP266" s="300" t="str">
        <f>_xlfn.IFNA(VLOOKUP($BD266,Programma!$F$3:$R$1107,13,0),"")</f>
        <v/>
      </c>
      <c r="BQ266" s="300" t="str">
        <f>_xlfn.IFNA(VLOOKUP($BD266,Programma!$F$3:$S$1107,14,0),"")</f>
        <v/>
      </c>
      <c r="BR266" s="300" t="str">
        <f>_xlfn.IFNA(VLOOKUP($BD266,Programma!$F$3:$T$1107,15,0),"")</f>
        <v/>
      </c>
      <c r="BS266" s="300" t="str">
        <f>_xlfn.IFNA(VLOOKUP($BD266,Programma!$F$3:$U$1107,16,0),"")</f>
        <v/>
      </c>
      <c r="BT266" s="300" t="str">
        <f>_xlfn.IFNA(VLOOKUP($BD266,Programma!$F$3:$V$1107,17,0),"")</f>
        <v/>
      </c>
      <c r="BU266" s="300" t="str">
        <f>_xlfn.IFNA(VLOOKUP($BD266,Programma!$F$3:$W$1107,18,0),"")</f>
        <v/>
      </c>
      <c r="BV266" s="300" t="str">
        <f>_xlfn.IFNA(VLOOKUP($BD266,Programma!$F$3:$X$1107,19,0),"")</f>
        <v/>
      </c>
      <c r="BW266" s="300" t="str">
        <f>_xlfn.IFNA(VLOOKUP($BD266,Programma!$F$3:$Y$1107,20,0),"")</f>
        <v/>
      </c>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row>
    <row r="267" spans="1:220" ht="15" customHeight="1">
      <c r="A267" s="21">
        <v>4</v>
      </c>
      <c r="B267" s="157" t="str">
        <f>VLOOKUP(Ruimtestaat[[#This Row],[Code]],Locaties[[Code]:[Locatie]],2,FALSE)</f>
        <v>Sint-Maartenscollege</v>
      </c>
      <c r="C267" s="157" t="str">
        <f>VLOOKUP(Ruimtestaat[[#This Row],[Code]],Locaties[[#All],[Code]:[Adres]],4,FALSE)</f>
        <v xml:space="preserve">Aart v.d. Leeuwkade 14 </v>
      </c>
      <c r="D267" s="157" t="str">
        <f>VLOOKUP(Ruimtestaat[[#This Row],[Code]],Locaties[[#All],[Code]:[Postcode]],5,FALSE)</f>
        <v>2274 KX</v>
      </c>
      <c r="E267" s="157" t="str">
        <f>VLOOKUP(Ruimtestaat[[#This Row],[Code]],Locaties[#All],6,FALSE)</f>
        <v>Voorburg</v>
      </c>
      <c r="F267" s="62"/>
      <c r="G267" s="21" t="s">
        <v>1624</v>
      </c>
      <c r="H267" s="21" t="s">
        <v>1915</v>
      </c>
      <c r="I267" s="62" t="s">
        <v>1909</v>
      </c>
      <c r="J267" s="21">
        <v>2</v>
      </c>
      <c r="K267" s="62" t="str">
        <f>VLOOKUP(Ruimtestaat[[#This Row],[Ruimte code]],Ruimtegroepen[[#All],[Code]:[Ruimte omschrijving]],2,FALSE)</f>
        <v>Kantoren</v>
      </c>
      <c r="L267" s="33" t="s">
        <v>101</v>
      </c>
      <c r="M267" s="367" t="s">
        <v>2495</v>
      </c>
      <c r="N267" s="140">
        <v>24</v>
      </c>
      <c r="O267" s="140"/>
      <c r="P267" s="125" t="str">
        <f>VLOOKUP(Ruimtestaat[[#This Row],[Ruimte code]],Ruimtegroepen[],4,FALSE)</f>
        <v>Bu</v>
      </c>
      <c r="R267" s="33">
        <v>42</v>
      </c>
      <c r="S267" s="33" t="s">
        <v>18</v>
      </c>
      <c r="T267" s="33">
        <f>IF(R267&gt;0,IF(RIGHT(Ruimtestaat[[#This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67" s="33">
        <f>IF(T267&gt;0,VLOOKUP($J267,Ruimtegroepen[],3,FALSE)*VLOOKUP($L267,Vloersoorten[],3,FALSE)*VLOOKUP($S267,Frequenties[],3,FALSE)*VLOOKUP($A267,Locaties[],3,FALSE),0)</f>
        <v>0</v>
      </c>
      <c r="V267" s="33">
        <f>Ruimtestaat[[#This Row],[Uitvoeringen werkdagen]]*Ruimtestaat[[#This Row],[Oppervlak (netto)]]</f>
        <v>3024</v>
      </c>
      <c r="W267" s="154">
        <f>IF(U267&gt;0,Ruimtestaat[[#This Row],[Prest. (m2 /jaar) werkdagen]]/Ruimtestaat[[#This Row],[Norm (m2/uur) werkdagen]],0)</f>
        <v>0</v>
      </c>
      <c r="X267" s="155">
        <f>Ruimtestaat[[#This Row],[uren / jaar werkdagen]]*Tariefsopbouw!$E$35</f>
        <v>0</v>
      </c>
      <c r="Y267" s="33"/>
      <c r="Z267" s="33">
        <f>IF(Ruimtestaat[[#This Row],[Frequentie weekend]]&gt;0,VALUE(LEFT(Y267,1))*R267,0)</f>
        <v>0</v>
      </c>
      <c r="AA267" s="97">
        <f>IF($Z267&gt;0,VLOOKUP($J267,Ruimtegroepen[],3,FALSE)*VLOOKUP($L267,Vloersoorten[],3,FALSE)*VLOOKUP($Y267,Frequenties[],3,FALSE)*VLOOKUP(Ruimtestaat[[#This Row],[Code]],Locaties[],3,FALSE),0)</f>
        <v>0</v>
      </c>
      <c r="AB267" s="97">
        <f>Ruimtestaat[[#This Row],[Uitvoeringen weekend]]*Ruimtestaat[[#This Row],[Oppervlak (netto)]]</f>
        <v>0</v>
      </c>
      <c r="AC267" s="97">
        <f>IF(AA267&gt;0,Ruimtestaat[[#This Row],[Prest. (m2 /jaar) weekend]]/Ruimtestaat[[#This Row],[Norm (m2/uur) weekend]],0)</f>
        <v>0</v>
      </c>
      <c r="AD267" s="155">
        <f>Ruimtestaat[[#This Row],[uren / jaar weekend]]*Tariefsopbouw!$D$40</f>
        <v>0</v>
      </c>
      <c r="AE267" s="154">
        <f>Ruimtestaat[[#This Row],[Prest. (m2 /jaar) weekend]]+Ruimtestaat[[#This Row],[Prest. (m2 /jaar) werkdagen]]</f>
        <v>3024</v>
      </c>
      <c r="AF267" s="154">
        <f>Ruimtestaat[[#This Row],[uren / jaar weekend]]+Ruimtestaat[[#This Row],[uren / jaar werkdagen]]</f>
        <v>0</v>
      </c>
      <c r="AG267" s="69">
        <f>Ruimtestaat[[#This Row],[kosten / jaar weekend]]+Ruimtestaat[[#This Row],[kosten / jaar werkdagen]]</f>
        <v>0</v>
      </c>
      <c r="AH267" s="69"/>
      <c r="AI267" s="256" t="str">
        <f>IF(Ruimtestaat[[#This Row],[Frequentie werkdagen]]="","",_xlfn.CONCAT(Ruimtestaat[[#This Row],[Ruimte code]],"-",Ruimtestaat[[#This Row],[Frequentie werkdagen]]," ",Ruimtestaat[[#This Row],[Vloer code]]))</f>
        <v>2-3w L</v>
      </c>
      <c r="AJ267" s="300" t="str">
        <f>_xlfn.IFNA(VLOOKUP($AI267,Programma!$F$3:$G$1107,2,0),"")</f>
        <v>_</v>
      </c>
      <c r="AK267" s="300" t="str">
        <f>_xlfn.IFNA(VLOOKUP($AI267,Programma!$F$3:$H$1107,3,0),"")</f>
        <v>_</v>
      </c>
      <c r="AL267" s="300" t="str">
        <f>_xlfn.IFNA(VLOOKUP($AI267,Programma!$F$3:$I$1107,4,0),"")</f>
        <v>2w</v>
      </c>
      <c r="AM267" s="300" t="str">
        <f>_xlfn.IFNA(VLOOKUP($AI267,Programma!$F$3:$J$1107,5,0),"")</f>
        <v>1w</v>
      </c>
      <c r="AN267" s="300" t="str">
        <f>_xlfn.IFNA(VLOOKUP($AI267,Programma!$F$3:$K$1107,6,0),"")</f>
        <v>_</v>
      </c>
      <c r="AO267" s="300" t="str">
        <f>_xlfn.IFNA(VLOOKUP($AI267,Programma!$F$3:$L$1107,7,0),"")</f>
        <v>_</v>
      </c>
      <c r="AP267" s="300" t="str">
        <f>_xlfn.IFNA(VLOOKUP($AI267,Programma!$F$3:$M$1107,8,0),"")</f>
        <v>_</v>
      </c>
      <c r="AQ267" s="300" t="str">
        <f>_xlfn.IFNA(VLOOKUP($AI267,Programma!$F$3:$N$1107,9,0),"")</f>
        <v>_</v>
      </c>
      <c r="AR267" s="300" t="str">
        <f>_xlfn.IFNA(VLOOKUP($AI267,Programma!$F$3:$O$1107,10,0),"")</f>
        <v>3w</v>
      </c>
      <c r="AS267" s="300" t="str">
        <f>_xlfn.IFNA(VLOOKUP($AI267,Programma!$F$3:$P$1107,11,0),"")</f>
        <v>3w</v>
      </c>
      <c r="AT267" s="300" t="str">
        <f>_xlfn.IFNA(VLOOKUP($AI267,Programma!$F$3:$Q$1107,12,0),"")</f>
        <v>1w</v>
      </c>
      <c r="AU267" s="300" t="str">
        <f>_xlfn.IFNA(VLOOKUP($AI267,Programma!$F$3:$R$1107,13,0),"")</f>
        <v>1w</v>
      </c>
      <c r="AV267" s="300" t="str">
        <f>_xlfn.IFNA(VLOOKUP($AI267,Programma!$F$3:$S$1107,14,0),"")</f>
        <v>1m</v>
      </c>
      <c r="AW267" s="300" t="str">
        <f>_xlfn.IFNA(VLOOKUP($AI267,Programma!$F$3:$T$1107,15,0),"")</f>
        <v>2j</v>
      </c>
      <c r="AX267" s="300" t="str">
        <f>_xlfn.IFNA(VLOOKUP($AI267,Programma!$F$3:$U$1107,16,0),"")</f>
        <v>1j</v>
      </c>
      <c r="AY267" s="300" t="str">
        <f>_xlfn.IFNA(VLOOKUP($AI267,Programma!$F$3:$V$1107,17,0),"")</f>
        <v>_</v>
      </c>
      <c r="AZ267" s="300" t="str">
        <f>_xlfn.IFNA(VLOOKUP($AI267,Programma!$F$3:$W$1107,18,0),"")</f>
        <v>_</v>
      </c>
      <c r="BA267" s="300" t="str">
        <f>_xlfn.IFNA(VLOOKUP($AI267,Programma!$F$3:$X$1107,19,0),"")</f>
        <v>_</v>
      </c>
      <c r="BB267" s="300" t="str">
        <f>_xlfn.IFNA(VLOOKUP($AI267,Programma!$F$3:$Y$1107,20,0),"")</f>
        <v>_</v>
      </c>
      <c r="BC267" s="257"/>
      <c r="BD267" s="256" t="str">
        <f>IF(Ruimtestaat[[#This Row],[Frequentie weekend]]="","",_xlfn.CONCAT(Ruimtestaat[[#This Row],[Ruimte code]],"-",Ruimtestaat[[#This Row],[Frequentie weekend]]," ",Ruimtestaat[[#This Row],[Vloer code]]))</f>
        <v/>
      </c>
      <c r="BE267" s="300" t="str">
        <f>_xlfn.IFNA(VLOOKUP($BD267,Programma!$F$3:$G$1107,2,0),"")</f>
        <v/>
      </c>
      <c r="BF267" s="300" t="str">
        <f>_xlfn.IFNA(VLOOKUP($BD267,Programma!$F$3:$H$1107,3,0),"")</f>
        <v/>
      </c>
      <c r="BG267" s="300" t="str">
        <f>_xlfn.IFNA(VLOOKUP($BD267,Programma!$F$3:$I$1107,4,0),"")</f>
        <v/>
      </c>
      <c r="BH267" s="300" t="str">
        <f>_xlfn.IFNA(VLOOKUP($BD267,Programma!$F$3:$J$1107,5,0),"")</f>
        <v/>
      </c>
      <c r="BI267" s="300" t="str">
        <f>_xlfn.IFNA(VLOOKUP($BD267,Programma!$F$3:$K$1107,6,0),"")</f>
        <v/>
      </c>
      <c r="BJ267" s="300" t="str">
        <f>_xlfn.IFNA(VLOOKUP($BD267,Programma!$F$3:$L$1107,7,0),"")</f>
        <v/>
      </c>
      <c r="BK267" s="300" t="str">
        <f>_xlfn.IFNA(VLOOKUP($BD267,Programma!$F$3:$M$1107,8,0),"")</f>
        <v/>
      </c>
      <c r="BL267" s="300" t="str">
        <f>_xlfn.IFNA(VLOOKUP($BD267,Programma!$F$3:$N$1107,9,0),"")</f>
        <v/>
      </c>
      <c r="BM267" s="300" t="str">
        <f>_xlfn.IFNA(VLOOKUP($BD267,Programma!$F$3:$O$1107,10,0),"")</f>
        <v/>
      </c>
      <c r="BN267" s="300" t="str">
        <f>_xlfn.IFNA(VLOOKUP($BD267,Programma!$F$3:$P$1107,11,0),"")</f>
        <v/>
      </c>
      <c r="BO267" s="300" t="str">
        <f>_xlfn.IFNA(VLOOKUP($BD267,Programma!$F$3:$Q$1107,12,0),"")</f>
        <v/>
      </c>
      <c r="BP267" s="300" t="str">
        <f>_xlfn.IFNA(VLOOKUP($BD267,Programma!$F$3:$R$1107,13,0),"")</f>
        <v/>
      </c>
      <c r="BQ267" s="300" t="str">
        <f>_xlfn.IFNA(VLOOKUP($BD267,Programma!$F$3:$S$1107,14,0),"")</f>
        <v/>
      </c>
      <c r="BR267" s="300" t="str">
        <f>_xlfn.IFNA(VLOOKUP($BD267,Programma!$F$3:$T$1107,15,0),"")</f>
        <v/>
      </c>
      <c r="BS267" s="300" t="str">
        <f>_xlfn.IFNA(VLOOKUP($BD267,Programma!$F$3:$U$1107,16,0),"")</f>
        <v/>
      </c>
      <c r="BT267" s="300" t="str">
        <f>_xlfn.IFNA(VLOOKUP($BD267,Programma!$F$3:$V$1107,17,0),"")</f>
        <v/>
      </c>
      <c r="BU267" s="300" t="str">
        <f>_xlfn.IFNA(VLOOKUP($BD267,Programma!$F$3:$W$1107,18,0),"")</f>
        <v/>
      </c>
      <c r="BV267" s="300" t="str">
        <f>_xlfn.IFNA(VLOOKUP($BD267,Programma!$F$3:$X$1107,19,0),"")</f>
        <v/>
      </c>
      <c r="BW267" s="300" t="str">
        <f>_xlfn.IFNA(VLOOKUP($BD267,Programma!$F$3:$Y$1107,20,0),"")</f>
        <v/>
      </c>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row>
    <row r="268" spans="1:220" ht="15" customHeight="1">
      <c r="A268" s="21">
        <v>4</v>
      </c>
      <c r="B268" s="157" t="str">
        <f>VLOOKUP(Ruimtestaat[[#This Row],[Code]],Locaties[[Code]:[Locatie]],2,FALSE)</f>
        <v>Sint-Maartenscollege</v>
      </c>
      <c r="C268" s="157" t="str">
        <f>VLOOKUP(Ruimtestaat[[#This Row],[Code]],Locaties[[#All],[Code]:[Adres]],4,FALSE)</f>
        <v xml:space="preserve">Aart v.d. Leeuwkade 14 </v>
      </c>
      <c r="D268" s="157" t="str">
        <f>VLOOKUP(Ruimtestaat[[#This Row],[Code]],Locaties[[#All],[Code]:[Postcode]],5,FALSE)</f>
        <v>2274 KX</v>
      </c>
      <c r="E268" s="157" t="str">
        <f>VLOOKUP(Ruimtestaat[[#This Row],[Code]],Locaties[#All],6,FALSE)</f>
        <v>Voorburg</v>
      </c>
      <c r="F268" s="62"/>
      <c r="G268" s="21" t="s">
        <v>1624</v>
      </c>
      <c r="H268" s="21" t="s">
        <v>1916</v>
      </c>
      <c r="I268" s="62" t="s">
        <v>1917</v>
      </c>
      <c r="J268" s="21">
        <v>2</v>
      </c>
      <c r="K268" s="62" t="str">
        <f>VLOOKUP(Ruimtestaat[[#This Row],[Ruimte code]],Ruimtegroepen[[#All],[Code]:[Ruimte omschrijving]],2,FALSE)</f>
        <v>Kantoren</v>
      </c>
      <c r="L268" s="33" t="s">
        <v>103</v>
      </c>
      <c r="M268" s="367" t="s">
        <v>121</v>
      </c>
      <c r="N268" s="140">
        <v>115</v>
      </c>
      <c r="O268" s="140"/>
      <c r="P268" s="125" t="str">
        <f>VLOOKUP(Ruimtestaat[[#This Row],[Ruimte code]],Ruimtegroepen[],4,FALSE)</f>
        <v>Bu</v>
      </c>
      <c r="R268" s="33">
        <v>42</v>
      </c>
      <c r="S268" s="33" t="s">
        <v>2530</v>
      </c>
      <c r="T268" s="33">
        <f>IF(R268&gt;0,IF(RIGHT(Ruimtestaat[[#This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68" s="33">
        <f>IF(T268&gt;0,VLOOKUP($J268,Ruimtegroepen[],3,FALSE)*VLOOKUP($L268,Vloersoorten[],3,FALSE)*VLOOKUP($S268,Frequenties[],3,FALSE)*VLOOKUP($A268,Locaties[],3,FALSE),0)</f>
        <v>0</v>
      </c>
      <c r="V268" s="33">
        <f>Ruimtestaat[[#This Row],[Uitvoeringen werkdagen]]*Ruimtestaat[[#This Row],[Oppervlak (netto)]]</f>
        <v>14490</v>
      </c>
      <c r="W268" s="154">
        <f>IF(U268&gt;0,Ruimtestaat[[#This Row],[Prest. (m2 /jaar) werkdagen]]/Ruimtestaat[[#This Row],[Norm (m2/uur) werkdagen]],0)</f>
        <v>0</v>
      </c>
      <c r="X268" s="155">
        <f>Ruimtestaat[[#This Row],[uren / jaar werkdagen]]*Tariefsopbouw!$E$35</f>
        <v>0</v>
      </c>
      <c r="Y268" s="33"/>
      <c r="Z268" s="33">
        <f>IF(Ruimtestaat[[#This Row],[Frequentie weekend]]&gt;0,VALUE(LEFT(Y268,1))*R268,0)</f>
        <v>0</v>
      </c>
      <c r="AA268" s="97">
        <f>IF($Z268&gt;0,VLOOKUP($J268,Ruimtegroepen[],3,FALSE)*VLOOKUP($L268,Vloersoorten[],3,FALSE)*VLOOKUP($Y268,Frequenties[],3,FALSE)*VLOOKUP(Ruimtestaat[[#This Row],[Code]],Locaties[],3,FALSE),0)</f>
        <v>0</v>
      </c>
      <c r="AB268" s="97">
        <f>Ruimtestaat[[#This Row],[Uitvoeringen weekend]]*Ruimtestaat[[#This Row],[Oppervlak (netto)]]</f>
        <v>0</v>
      </c>
      <c r="AC268" s="97">
        <f>IF(AA268&gt;0,Ruimtestaat[[#This Row],[Prest. (m2 /jaar) weekend]]/Ruimtestaat[[#This Row],[Norm (m2/uur) weekend]],0)</f>
        <v>0</v>
      </c>
      <c r="AD268" s="155">
        <f>Ruimtestaat[[#This Row],[uren / jaar weekend]]*Tariefsopbouw!$D$40</f>
        <v>0</v>
      </c>
      <c r="AE268" s="154">
        <f>Ruimtestaat[[#This Row],[Prest. (m2 /jaar) weekend]]+Ruimtestaat[[#This Row],[Prest. (m2 /jaar) werkdagen]]</f>
        <v>14490</v>
      </c>
      <c r="AF268" s="154">
        <f>Ruimtestaat[[#This Row],[uren / jaar weekend]]+Ruimtestaat[[#This Row],[uren / jaar werkdagen]]</f>
        <v>0</v>
      </c>
      <c r="AG268" s="69">
        <f>Ruimtestaat[[#This Row],[kosten / jaar weekend]]+Ruimtestaat[[#This Row],[kosten / jaar werkdagen]]</f>
        <v>0</v>
      </c>
      <c r="AH268" s="69"/>
      <c r="AI268" s="256" t="str">
        <f>IF(Ruimtestaat[[#This Row],[Frequentie werkdagen]]="","",_xlfn.CONCAT(Ruimtestaat[[#This Row],[Ruimte code]],"-",Ruimtestaat[[#This Row],[Frequentie werkdagen]]," ",Ruimtestaat[[#This Row],[Vloer code]]))</f>
        <v>2-3W P</v>
      </c>
      <c r="AJ268" s="300" t="str">
        <f>_xlfn.IFNA(VLOOKUP($AI268,Programma!$F$3:$G$1107,2,0),"")</f>
        <v>_</v>
      </c>
      <c r="AK268" s="300" t="str">
        <f>_xlfn.IFNA(VLOOKUP($AI268,Programma!$F$3:$H$1107,3,0),"")</f>
        <v>_</v>
      </c>
      <c r="AL268" s="300" t="str">
        <f>_xlfn.IFNA(VLOOKUP($AI268,Programma!$F$3:$I$1107,4,0),"")</f>
        <v>2w</v>
      </c>
      <c r="AM268" s="300" t="str">
        <f>_xlfn.IFNA(VLOOKUP($AI268,Programma!$F$3:$J$1107,5,0),"")</f>
        <v>1w</v>
      </c>
      <c r="AN268" s="300" t="str">
        <f>_xlfn.IFNA(VLOOKUP($AI268,Programma!$F$3:$K$1107,6,0),"")</f>
        <v>1j</v>
      </c>
      <c r="AO268" s="300" t="str">
        <f>_xlfn.IFNA(VLOOKUP($AI268,Programma!$F$3:$L$1107,7,0),"")</f>
        <v>_</v>
      </c>
      <c r="AP268" s="300" t="str">
        <f>_xlfn.IFNA(VLOOKUP($AI268,Programma!$F$3:$M$1107,8,0),"")</f>
        <v>_</v>
      </c>
      <c r="AQ268" s="300" t="str">
        <f>_xlfn.IFNA(VLOOKUP($AI268,Programma!$F$3:$N$1107,9,0),"")</f>
        <v>_</v>
      </c>
      <c r="AR268" s="300" t="str">
        <f>_xlfn.IFNA(VLOOKUP($AI268,Programma!$F$3:$O$1107,10,0),"")</f>
        <v>3w</v>
      </c>
      <c r="AS268" s="300" t="str">
        <f>_xlfn.IFNA(VLOOKUP($AI268,Programma!$F$3:$P$1107,11,0),"")</f>
        <v>3w</v>
      </c>
      <c r="AT268" s="300" t="str">
        <f>_xlfn.IFNA(VLOOKUP($AI268,Programma!$F$3:$Q$1107,12,0),"")</f>
        <v>1w</v>
      </c>
      <c r="AU268" s="300" t="str">
        <f>_xlfn.IFNA(VLOOKUP($AI268,Programma!$F$3:$R$1107,13,0),"")</f>
        <v>1w</v>
      </c>
      <c r="AV268" s="300" t="str">
        <f>_xlfn.IFNA(VLOOKUP($AI268,Programma!$F$3:$S$1107,14,0),"")</f>
        <v>1m</v>
      </c>
      <c r="AW268" s="300" t="str">
        <f>_xlfn.IFNA(VLOOKUP($AI268,Programma!$F$3:$T$1107,15,0),"")</f>
        <v>2j</v>
      </c>
      <c r="AX268" s="300" t="str">
        <f>_xlfn.IFNA(VLOOKUP($AI268,Programma!$F$3:$U$1107,16,0),"")</f>
        <v>1j</v>
      </c>
      <c r="AY268" s="300" t="str">
        <f>_xlfn.IFNA(VLOOKUP($AI268,Programma!$F$3:$V$1107,17,0),"")</f>
        <v>_</v>
      </c>
      <c r="AZ268" s="300" t="str">
        <f>_xlfn.IFNA(VLOOKUP($AI268,Programma!$F$3:$W$1107,18,0),"")</f>
        <v>_</v>
      </c>
      <c r="BA268" s="300" t="str">
        <f>_xlfn.IFNA(VLOOKUP($AI268,Programma!$F$3:$X$1107,19,0),"")</f>
        <v>_</v>
      </c>
      <c r="BB268" s="300" t="str">
        <f>_xlfn.IFNA(VLOOKUP($AI268,Programma!$F$3:$Y$1107,20,0),"")</f>
        <v>_</v>
      </c>
      <c r="BC268" s="257"/>
      <c r="BD268" s="256" t="str">
        <f>IF(Ruimtestaat[[#This Row],[Frequentie weekend]]="","",_xlfn.CONCAT(Ruimtestaat[[#This Row],[Ruimte code]],"-",Ruimtestaat[[#This Row],[Frequentie weekend]]," ",Ruimtestaat[[#This Row],[Vloer code]]))</f>
        <v/>
      </c>
      <c r="BE268" s="300" t="str">
        <f>_xlfn.IFNA(VLOOKUP($BD268,Programma!$F$3:$G$1107,2,0),"")</f>
        <v/>
      </c>
      <c r="BF268" s="300" t="str">
        <f>_xlfn.IFNA(VLOOKUP($BD268,Programma!$F$3:$H$1107,3,0),"")</f>
        <v/>
      </c>
      <c r="BG268" s="300" t="str">
        <f>_xlfn.IFNA(VLOOKUP($BD268,Programma!$F$3:$I$1107,4,0),"")</f>
        <v/>
      </c>
      <c r="BH268" s="300" t="str">
        <f>_xlfn.IFNA(VLOOKUP($BD268,Programma!$F$3:$J$1107,5,0),"")</f>
        <v/>
      </c>
      <c r="BI268" s="300" t="str">
        <f>_xlfn.IFNA(VLOOKUP($BD268,Programma!$F$3:$K$1107,6,0),"")</f>
        <v/>
      </c>
      <c r="BJ268" s="300" t="str">
        <f>_xlfn.IFNA(VLOOKUP($BD268,Programma!$F$3:$L$1107,7,0),"")</f>
        <v/>
      </c>
      <c r="BK268" s="300" t="str">
        <f>_xlfn.IFNA(VLOOKUP($BD268,Programma!$F$3:$M$1107,8,0),"")</f>
        <v/>
      </c>
      <c r="BL268" s="300" t="str">
        <f>_xlfn.IFNA(VLOOKUP($BD268,Programma!$F$3:$N$1107,9,0),"")</f>
        <v/>
      </c>
      <c r="BM268" s="300" t="str">
        <f>_xlfn.IFNA(VLOOKUP($BD268,Programma!$F$3:$O$1107,10,0),"")</f>
        <v/>
      </c>
      <c r="BN268" s="300" t="str">
        <f>_xlfn.IFNA(VLOOKUP($BD268,Programma!$F$3:$P$1107,11,0),"")</f>
        <v/>
      </c>
      <c r="BO268" s="300" t="str">
        <f>_xlfn.IFNA(VLOOKUP($BD268,Programma!$F$3:$Q$1107,12,0),"")</f>
        <v/>
      </c>
      <c r="BP268" s="300" t="str">
        <f>_xlfn.IFNA(VLOOKUP($BD268,Programma!$F$3:$R$1107,13,0),"")</f>
        <v/>
      </c>
      <c r="BQ268" s="300" t="str">
        <f>_xlfn.IFNA(VLOOKUP($BD268,Programma!$F$3:$S$1107,14,0),"")</f>
        <v/>
      </c>
      <c r="BR268" s="300" t="str">
        <f>_xlfn.IFNA(VLOOKUP($BD268,Programma!$F$3:$T$1107,15,0),"")</f>
        <v/>
      </c>
      <c r="BS268" s="300" t="str">
        <f>_xlfn.IFNA(VLOOKUP($BD268,Programma!$F$3:$U$1107,16,0),"")</f>
        <v/>
      </c>
      <c r="BT268" s="300" t="str">
        <f>_xlfn.IFNA(VLOOKUP($BD268,Programma!$F$3:$V$1107,17,0),"")</f>
        <v/>
      </c>
      <c r="BU268" s="300" t="str">
        <f>_xlfn.IFNA(VLOOKUP($BD268,Programma!$F$3:$W$1107,18,0),"")</f>
        <v/>
      </c>
      <c r="BV268" s="300" t="str">
        <f>_xlfn.IFNA(VLOOKUP($BD268,Programma!$F$3:$X$1107,19,0),"")</f>
        <v/>
      </c>
      <c r="BW268" s="300" t="str">
        <f>_xlfn.IFNA(VLOOKUP($BD268,Programma!$F$3:$Y$1107,20,0),"")</f>
        <v/>
      </c>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row>
    <row r="269" spans="1:220" ht="15" customHeight="1">
      <c r="A269" s="21">
        <v>4</v>
      </c>
      <c r="B269" s="157" t="str">
        <f>VLOOKUP(Ruimtestaat[[#This Row],[Code]],Locaties[[Code]:[Locatie]],2,FALSE)</f>
        <v>Sint-Maartenscollege</v>
      </c>
      <c r="C269" s="157" t="str">
        <f>VLOOKUP(Ruimtestaat[[#This Row],[Code]],Locaties[[#All],[Code]:[Adres]],4,FALSE)</f>
        <v xml:space="preserve">Aart v.d. Leeuwkade 14 </v>
      </c>
      <c r="D269" s="157" t="str">
        <f>VLOOKUP(Ruimtestaat[[#This Row],[Code]],Locaties[[#All],[Code]:[Postcode]],5,FALSE)</f>
        <v>2274 KX</v>
      </c>
      <c r="E269" s="157" t="str">
        <f>VLOOKUP(Ruimtestaat[[#This Row],[Code]],Locaties[#All],6,FALSE)</f>
        <v>Voorburg</v>
      </c>
      <c r="F269" s="62"/>
      <c r="G269" s="21" t="s">
        <v>1624</v>
      </c>
      <c r="H269" s="21" t="s">
        <v>1918</v>
      </c>
      <c r="I269" s="62" t="s">
        <v>1919</v>
      </c>
      <c r="J269" s="21">
        <v>19</v>
      </c>
      <c r="K269" s="62" t="str">
        <f>VLOOKUP(Ruimtestaat[[#This Row],[Ruimte code]],Ruimtegroepen[[#All],[Code]:[Ruimte omschrijving]],2,FALSE)</f>
        <v>kleedruimten</v>
      </c>
      <c r="L269" s="33" t="s">
        <v>102</v>
      </c>
      <c r="M269" s="367" t="s">
        <v>2502</v>
      </c>
      <c r="N269" s="140">
        <v>20</v>
      </c>
      <c r="O269" s="140"/>
      <c r="P269" s="125" t="str">
        <f>VLOOKUP(Ruimtestaat[[#This Row],[Ruimte code]],Ruimtegroepen[],4,FALSE)</f>
        <v>Ve</v>
      </c>
      <c r="R269" s="33">
        <v>40</v>
      </c>
      <c r="S269" s="33" t="s">
        <v>2</v>
      </c>
      <c r="T269" s="33">
        <f>IF(R269&gt;0,IF(RIGHT(Ruimtestaat[[#This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9" s="33">
        <f>IF(T269&gt;0,VLOOKUP($J269,Ruimtegroepen[],3,FALSE)*VLOOKUP($L269,Vloersoorten[],3,FALSE)*VLOOKUP($S269,Frequenties[],3,FALSE)*VLOOKUP($A269,Locaties[],3,FALSE),0)</f>
        <v>0</v>
      </c>
      <c r="V269" s="33">
        <f>Ruimtestaat[[#This Row],[Uitvoeringen werkdagen]]*Ruimtestaat[[#This Row],[Oppervlak (netto)]]</f>
        <v>4000</v>
      </c>
      <c r="W269" s="154">
        <f>IF(U269&gt;0,Ruimtestaat[[#This Row],[Prest. (m2 /jaar) werkdagen]]/Ruimtestaat[[#This Row],[Norm (m2/uur) werkdagen]],0)</f>
        <v>0</v>
      </c>
      <c r="X269" s="155">
        <f>Ruimtestaat[[#This Row],[uren / jaar werkdagen]]*Tariefsopbouw!$E$35</f>
        <v>0</v>
      </c>
      <c r="Y269" s="33"/>
      <c r="Z269" s="33">
        <f>IF(Ruimtestaat[[#This Row],[Frequentie weekend]]&gt;0,VALUE(LEFT(Y269,1))*R269,0)</f>
        <v>0</v>
      </c>
      <c r="AA269" s="97">
        <f>IF($Z269&gt;0,VLOOKUP($J269,Ruimtegroepen[],3,FALSE)*VLOOKUP($L269,Vloersoorten[],3,FALSE)*VLOOKUP($Y269,Frequenties[],3,FALSE)*VLOOKUP(Ruimtestaat[[#This Row],[Code]],Locaties[],3,FALSE),0)</f>
        <v>0</v>
      </c>
      <c r="AB269" s="97">
        <f>Ruimtestaat[[#This Row],[Uitvoeringen weekend]]*Ruimtestaat[[#This Row],[Oppervlak (netto)]]</f>
        <v>0</v>
      </c>
      <c r="AC269" s="97">
        <f>IF(AA269&gt;0,Ruimtestaat[[#This Row],[Prest. (m2 /jaar) weekend]]/Ruimtestaat[[#This Row],[Norm (m2/uur) weekend]],0)</f>
        <v>0</v>
      </c>
      <c r="AD269" s="155">
        <f>Ruimtestaat[[#This Row],[uren / jaar weekend]]*Tariefsopbouw!$D$40</f>
        <v>0</v>
      </c>
      <c r="AE269" s="154">
        <f>Ruimtestaat[[#This Row],[Prest. (m2 /jaar) weekend]]+Ruimtestaat[[#This Row],[Prest. (m2 /jaar) werkdagen]]</f>
        <v>4000</v>
      </c>
      <c r="AF269" s="154">
        <f>Ruimtestaat[[#This Row],[uren / jaar weekend]]+Ruimtestaat[[#This Row],[uren / jaar werkdagen]]</f>
        <v>0</v>
      </c>
      <c r="AG269" s="69">
        <f>Ruimtestaat[[#This Row],[kosten / jaar weekend]]+Ruimtestaat[[#This Row],[kosten / jaar werkdagen]]</f>
        <v>0</v>
      </c>
      <c r="AH269" s="69"/>
      <c r="AI269" s="256" t="str">
        <f>IF(Ruimtestaat[[#This Row],[Frequentie werkdagen]]="","",_xlfn.CONCAT(Ruimtestaat[[#This Row],[Ruimte code]],"-",Ruimtestaat[[#This Row],[Frequentie werkdagen]]," ",Ruimtestaat[[#This Row],[Vloer code]]))</f>
        <v>19-5w S</v>
      </c>
      <c r="AJ269" s="300" t="str">
        <f>_xlfn.IFNA(VLOOKUP($AI269,Programma!$F$3:$G$1107,2,0),"")</f>
        <v>_</v>
      </c>
      <c r="AK269" s="300" t="str">
        <f>_xlfn.IFNA(VLOOKUP($AI269,Programma!$F$3:$H$1107,3,0),"")</f>
        <v>_</v>
      </c>
      <c r="AL269" s="300" t="str">
        <f>_xlfn.IFNA(VLOOKUP($AI269,Programma!$F$3:$I$1107,4,0),"")</f>
        <v>5w</v>
      </c>
      <c r="AM269" s="300" t="str">
        <f>_xlfn.IFNA(VLOOKUP($AI269,Programma!$F$3:$J$1107,5,0),"")</f>
        <v>_</v>
      </c>
      <c r="AN269" s="300" t="str">
        <f>_xlfn.IFNA(VLOOKUP($AI269,Programma!$F$3:$K$1107,6,0),"")</f>
        <v>5w</v>
      </c>
      <c r="AO269" s="300" t="str">
        <f>_xlfn.IFNA(VLOOKUP($AI269,Programma!$F$3:$L$1107,7,0),"")</f>
        <v>_</v>
      </c>
      <c r="AP269" s="300" t="str">
        <f>_xlfn.IFNA(VLOOKUP($AI269,Programma!$F$3:$M$1107,8,0),"")</f>
        <v>_</v>
      </c>
      <c r="AQ269" s="300" t="str">
        <f>_xlfn.IFNA(VLOOKUP($AI269,Programma!$F$3:$N$1107,9,0),"")</f>
        <v>_</v>
      </c>
      <c r="AR269" s="300" t="str">
        <f>_xlfn.IFNA(VLOOKUP($AI269,Programma!$F$3:$O$1107,10,0),"")</f>
        <v>5w</v>
      </c>
      <c r="AS269" s="300" t="str">
        <f>_xlfn.IFNA(VLOOKUP($AI269,Programma!$F$3:$P$1107,11,0),"")</f>
        <v>5w</v>
      </c>
      <c r="AT269" s="300" t="str">
        <f>_xlfn.IFNA(VLOOKUP($AI269,Programma!$F$3:$Q$1107,12,0),"")</f>
        <v>1w</v>
      </c>
      <c r="AU269" s="300" t="str">
        <f>_xlfn.IFNA(VLOOKUP($AI269,Programma!$F$3:$R$1107,13,0),"")</f>
        <v>1w</v>
      </c>
      <c r="AV269" s="300" t="str">
        <f>_xlfn.IFNA(VLOOKUP($AI269,Programma!$F$3:$S$1107,14,0),"")</f>
        <v>1m</v>
      </c>
      <c r="AW269" s="300" t="str">
        <f>_xlfn.IFNA(VLOOKUP($AI269,Programma!$F$3:$T$1107,15,0),"")</f>
        <v>2j</v>
      </c>
      <c r="AX269" s="300" t="str">
        <f>_xlfn.IFNA(VLOOKUP($AI269,Programma!$F$3:$U$1107,16,0),"")</f>
        <v>1j</v>
      </c>
      <c r="AY269" s="300" t="str">
        <f>_xlfn.IFNA(VLOOKUP($AI269,Programma!$F$3:$V$1107,17,0),"")</f>
        <v>_</v>
      </c>
      <c r="AZ269" s="300" t="str">
        <f>_xlfn.IFNA(VLOOKUP($AI269,Programma!$F$3:$W$1107,18,0),"")</f>
        <v>_</v>
      </c>
      <c r="BA269" s="300" t="str">
        <f>_xlfn.IFNA(VLOOKUP($AI269,Programma!$F$3:$X$1107,19,0),"")</f>
        <v>_</v>
      </c>
      <c r="BB269" s="300" t="str">
        <f>_xlfn.IFNA(VLOOKUP($AI269,Programma!$F$3:$Y$1107,20,0),"")</f>
        <v>_</v>
      </c>
      <c r="BC269" s="257"/>
      <c r="BD269" s="256" t="str">
        <f>IF(Ruimtestaat[[#This Row],[Frequentie weekend]]="","",_xlfn.CONCAT(Ruimtestaat[[#This Row],[Ruimte code]],"-",Ruimtestaat[[#This Row],[Frequentie weekend]]," ",Ruimtestaat[[#This Row],[Vloer code]]))</f>
        <v/>
      </c>
      <c r="BE269" s="300" t="str">
        <f>_xlfn.IFNA(VLOOKUP($BD269,Programma!$F$3:$G$1107,2,0),"")</f>
        <v/>
      </c>
      <c r="BF269" s="300" t="str">
        <f>_xlfn.IFNA(VLOOKUP($BD269,Programma!$F$3:$H$1107,3,0),"")</f>
        <v/>
      </c>
      <c r="BG269" s="300" t="str">
        <f>_xlfn.IFNA(VLOOKUP($BD269,Programma!$F$3:$I$1107,4,0),"")</f>
        <v/>
      </c>
      <c r="BH269" s="300" t="str">
        <f>_xlfn.IFNA(VLOOKUP($BD269,Programma!$F$3:$J$1107,5,0),"")</f>
        <v/>
      </c>
      <c r="BI269" s="300" t="str">
        <f>_xlfn.IFNA(VLOOKUP($BD269,Programma!$F$3:$K$1107,6,0),"")</f>
        <v/>
      </c>
      <c r="BJ269" s="300" t="str">
        <f>_xlfn.IFNA(VLOOKUP($BD269,Programma!$F$3:$L$1107,7,0),"")</f>
        <v/>
      </c>
      <c r="BK269" s="300" t="str">
        <f>_xlfn.IFNA(VLOOKUP($BD269,Programma!$F$3:$M$1107,8,0),"")</f>
        <v/>
      </c>
      <c r="BL269" s="300" t="str">
        <f>_xlfn.IFNA(VLOOKUP($BD269,Programma!$F$3:$N$1107,9,0),"")</f>
        <v/>
      </c>
      <c r="BM269" s="300" t="str">
        <f>_xlfn.IFNA(VLOOKUP($BD269,Programma!$F$3:$O$1107,10,0),"")</f>
        <v/>
      </c>
      <c r="BN269" s="300" t="str">
        <f>_xlfn.IFNA(VLOOKUP($BD269,Programma!$F$3:$P$1107,11,0),"")</f>
        <v/>
      </c>
      <c r="BO269" s="300" t="str">
        <f>_xlfn.IFNA(VLOOKUP($BD269,Programma!$F$3:$Q$1107,12,0),"")</f>
        <v/>
      </c>
      <c r="BP269" s="300" t="str">
        <f>_xlfn.IFNA(VLOOKUP($BD269,Programma!$F$3:$R$1107,13,0),"")</f>
        <v/>
      </c>
      <c r="BQ269" s="300" t="str">
        <f>_xlfn.IFNA(VLOOKUP($BD269,Programma!$F$3:$S$1107,14,0),"")</f>
        <v/>
      </c>
      <c r="BR269" s="300" t="str">
        <f>_xlfn.IFNA(VLOOKUP($BD269,Programma!$F$3:$T$1107,15,0),"")</f>
        <v/>
      </c>
      <c r="BS269" s="300" t="str">
        <f>_xlfn.IFNA(VLOOKUP($BD269,Programma!$F$3:$U$1107,16,0),"")</f>
        <v/>
      </c>
      <c r="BT269" s="300" t="str">
        <f>_xlfn.IFNA(VLOOKUP($BD269,Programma!$F$3:$V$1107,17,0),"")</f>
        <v/>
      </c>
      <c r="BU269" s="300" t="str">
        <f>_xlfn.IFNA(VLOOKUP($BD269,Programma!$F$3:$W$1107,18,0),"")</f>
        <v/>
      </c>
      <c r="BV269" s="300" t="str">
        <f>_xlfn.IFNA(VLOOKUP($BD269,Programma!$F$3:$X$1107,19,0),"")</f>
        <v/>
      </c>
      <c r="BW269" s="300" t="str">
        <f>_xlfn.IFNA(VLOOKUP($BD269,Programma!$F$3:$Y$1107,20,0),"")</f>
        <v/>
      </c>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row>
    <row r="270" spans="1:220" ht="15" customHeight="1">
      <c r="A270" s="21">
        <v>4</v>
      </c>
      <c r="B270" s="157" t="str">
        <f>VLOOKUP(Ruimtestaat[[#This Row],[Code]],Locaties[[Code]:[Locatie]],2,FALSE)</f>
        <v>Sint-Maartenscollege</v>
      </c>
      <c r="C270" s="157" t="str">
        <f>VLOOKUP(Ruimtestaat[[#This Row],[Code]],Locaties[[#All],[Code]:[Adres]],4,FALSE)</f>
        <v xml:space="preserve">Aart v.d. Leeuwkade 14 </v>
      </c>
      <c r="D270" s="157" t="str">
        <f>VLOOKUP(Ruimtestaat[[#This Row],[Code]],Locaties[[#All],[Code]:[Postcode]],5,FALSE)</f>
        <v>2274 KX</v>
      </c>
      <c r="E270" s="157" t="str">
        <f>VLOOKUP(Ruimtestaat[[#This Row],[Code]],Locaties[#All],6,FALSE)</f>
        <v>Voorburg</v>
      </c>
      <c r="F270" s="62"/>
      <c r="G270" s="21" t="s">
        <v>1624</v>
      </c>
      <c r="H270" s="21" t="s">
        <v>1920</v>
      </c>
      <c r="I270" s="62" t="s">
        <v>1921</v>
      </c>
      <c r="J270" s="21">
        <v>5</v>
      </c>
      <c r="K270" s="62" t="str">
        <f>VLOOKUP(Ruimtestaat[[#This Row],[Ruimte code]],Ruimtegroepen[[#All],[Code]:[Ruimte omschrijving]],2,FALSE)</f>
        <v>Sanitair</v>
      </c>
      <c r="L270" s="33" t="s">
        <v>102</v>
      </c>
      <c r="M270" s="367" t="s">
        <v>2502</v>
      </c>
      <c r="N270" s="140">
        <v>21</v>
      </c>
      <c r="O270" s="140"/>
      <c r="P270" s="125" t="str">
        <f>VLOOKUP(Ruimtestaat[[#This Row],[Ruimte code]],Ruimtegroepen[],4,FALSE)</f>
        <v>Sa</v>
      </c>
      <c r="R270" s="33">
        <v>40</v>
      </c>
      <c r="S270" s="33" t="s">
        <v>2</v>
      </c>
      <c r="T270" s="33">
        <f>IF(R270&gt;0,IF(RIGHT(Ruimtestaat[[#This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0" s="33">
        <f>IF(T270&gt;0,VLOOKUP($J270,Ruimtegroepen[],3,FALSE)*VLOOKUP($L270,Vloersoorten[],3,FALSE)*VLOOKUP($S270,Frequenties[],3,FALSE)*VLOOKUP($A270,Locaties[],3,FALSE),0)</f>
        <v>0</v>
      </c>
      <c r="V270" s="33">
        <f>Ruimtestaat[[#This Row],[Uitvoeringen werkdagen]]*Ruimtestaat[[#This Row],[Oppervlak (netto)]]</f>
        <v>4200</v>
      </c>
      <c r="W270" s="154">
        <f>IF(U270&gt;0,Ruimtestaat[[#This Row],[Prest. (m2 /jaar) werkdagen]]/Ruimtestaat[[#This Row],[Norm (m2/uur) werkdagen]],0)</f>
        <v>0</v>
      </c>
      <c r="X270" s="155">
        <f>Ruimtestaat[[#This Row],[uren / jaar werkdagen]]*Tariefsopbouw!$E$35</f>
        <v>0</v>
      </c>
      <c r="Y270" s="33"/>
      <c r="Z270" s="33">
        <f>IF(Ruimtestaat[[#This Row],[Frequentie weekend]]&gt;0,VALUE(LEFT(Y270,1))*R270,0)</f>
        <v>0</v>
      </c>
      <c r="AA270" s="97">
        <f>IF($Z270&gt;0,VLOOKUP($J270,Ruimtegroepen[],3,FALSE)*VLOOKUP($L270,Vloersoorten[],3,FALSE)*VLOOKUP($Y270,Frequenties[],3,FALSE)*VLOOKUP(Ruimtestaat[[#This Row],[Code]],Locaties[],3,FALSE),0)</f>
        <v>0</v>
      </c>
      <c r="AB270" s="97">
        <f>Ruimtestaat[[#This Row],[Uitvoeringen weekend]]*Ruimtestaat[[#This Row],[Oppervlak (netto)]]</f>
        <v>0</v>
      </c>
      <c r="AC270" s="97">
        <f>IF(AA270&gt;0,Ruimtestaat[[#This Row],[Prest. (m2 /jaar) weekend]]/Ruimtestaat[[#This Row],[Norm (m2/uur) weekend]],0)</f>
        <v>0</v>
      </c>
      <c r="AD270" s="155">
        <f>Ruimtestaat[[#This Row],[uren / jaar weekend]]*Tariefsopbouw!$D$40</f>
        <v>0</v>
      </c>
      <c r="AE270" s="154">
        <f>Ruimtestaat[[#This Row],[Prest. (m2 /jaar) weekend]]+Ruimtestaat[[#This Row],[Prest. (m2 /jaar) werkdagen]]</f>
        <v>4200</v>
      </c>
      <c r="AF270" s="154">
        <f>Ruimtestaat[[#This Row],[uren / jaar weekend]]+Ruimtestaat[[#This Row],[uren / jaar werkdagen]]</f>
        <v>0</v>
      </c>
      <c r="AG270" s="69">
        <f>Ruimtestaat[[#This Row],[kosten / jaar weekend]]+Ruimtestaat[[#This Row],[kosten / jaar werkdagen]]</f>
        <v>0</v>
      </c>
      <c r="AH270" s="69"/>
      <c r="AI270" s="256" t="str">
        <f>IF(Ruimtestaat[[#This Row],[Frequentie werkdagen]]="","",_xlfn.CONCAT(Ruimtestaat[[#This Row],[Ruimte code]],"-",Ruimtestaat[[#This Row],[Frequentie werkdagen]]," ",Ruimtestaat[[#This Row],[Vloer code]]))</f>
        <v>5-5w S</v>
      </c>
      <c r="AJ270" s="300" t="str">
        <f>_xlfn.IFNA(VLOOKUP($AI270,Programma!$F$3:$G$1107,2,0),"")</f>
        <v>_</v>
      </c>
      <c r="AK270" s="300" t="str">
        <f>_xlfn.IFNA(VLOOKUP($AI270,Programma!$F$3:$H$1107,3,0),"")</f>
        <v>_</v>
      </c>
      <c r="AL270" s="300" t="str">
        <f>_xlfn.IFNA(VLOOKUP($AI270,Programma!$F$3:$I$1107,4,0),"")</f>
        <v>_</v>
      </c>
      <c r="AM270" s="300" t="str">
        <f>_xlfn.IFNA(VLOOKUP($AI270,Programma!$F$3:$J$1107,5,0),"")</f>
        <v>4w</v>
      </c>
      <c r="AN270" s="300" t="str">
        <f>_xlfn.IFNA(VLOOKUP($AI270,Programma!$F$3:$K$1107,6,0),"")</f>
        <v>1w</v>
      </c>
      <c r="AO270" s="300" t="str">
        <f>_xlfn.IFNA(VLOOKUP($AI270,Programma!$F$3:$L$1107,7,0),"")</f>
        <v>_</v>
      </c>
      <c r="AP270" s="300" t="str">
        <f>_xlfn.IFNA(VLOOKUP($AI270,Programma!$F$3:$M$1107,8,0),"")</f>
        <v>_</v>
      </c>
      <c r="AQ270" s="300" t="str">
        <f>_xlfn.IFNA(VLOOKUP($AI270,Programma!$F$3:$N$1107,9,0),"")</f>
        <v>_</v>
      </c>
      <c r="AR270" s="300" t="str">
        <f>_xlfn.IFNA(VLOOKUP($AI270,Programma!$F$3:$O$1107,10,0),"")</f>
        <v>_</v>
      </c>
      <c r="AS270" s="300" t="str">
        <f>_xlfn.IFNA(VLOOKUP($AI270,Programma!$F$3:$P$1107,11,0),"")</f>
        <v>_</v>
      </c>
      <c r="AT270" s="300" t="str">
        <f>_xlfn.IFNA(VLOOKUP($AI270,Programma!$F$3:$Q$1107,12,0),"")</f>
        <v>_</v>
      </c>
      <c r="AU270" s="300" t="str">
        <f>_xlfn.IFNA(VLOOKUP($AI270,Programma!$F$3:$R$1107,13,0),"")</f>
        <v>_</v>
      </c>
      <c r="AV270" s="300" t="str">
        <f>_xlfn.IFNA(VLOOKUP($AI270,Programma!$F$3:$S$1107,14,0),"")</f>
        <v>_</v>
      </c>
      <c r="AW270" s="300" t="str">
        <f>_xlfn.IFNA(VLOOKUP($AI270,Programma!$F$3:$T$1107,15,0),"")</f>
        <v>_</v>
      </c>
      <c r="AX270" s="300" t="str">
        <f>_xlfn.IFNA(VLOOKUP($AI270,Programma!$F$3:$U$1107,16,0),"")</f>
        <v>_</v>
      </c>
      <c r="AY270" s="300" t="str">
        <f>_xlfn.IFNA(VLOOKUP($AI270,Programma!$F$3:$V$1107,17,0),"")</f>
        <v>_</v>
      </c>
      <c r="AZ270" s="300" t="str">
        <f>_xlfn.IFNA(VLOOKUP($AI270,Programma!$F$3:$W$1107,18,0),"")</f>
        <v>4w</v>
      </c>
      <c r="BA270" s="300" t="str">
        <f>_xlfn.IFNA(VLOOKUP($AI270,Programma!$F$3:$X$1107,19,0),"")</f>
        <v>1w</v>
      </c>
      <c r="BB270" s="300" t="str">
        <f>_xlfn.IFNA(VLOOKUP($AI270,Programma!$F$3:$Y$1107,20,0),"")</f>
        <v>_</v>
      </c>
      <c r="BC270" s="257"/>
      <c r="BD270" s="256" t="str">
        <f>IF(Ruimtestaat[[#This Row],[Frequentie weekend]]="","",_xlfn.CONCAT(Ruimtestaat[[#This Row],[Ruimte code]],"-",Ruimtestaat[[#This Row],[Frequentie weekend]]," ",Ruimtestaat[[#This Row],[Vloer code]]))</f>
        <v/>
      </c>
      <c r="BE270" s="300" t="str">
        <f>_xlfn.IFNA(VLOOKUP($BD270,Programma!$F$3:$G$1107,2,0),"")</f>
        <v/>
      </c>
      <c r="BF270" s="300" t="str">
        <f>_xlfn.IFNA(VLOOKUP($BD270,Programma!$F$3:$H$1107,3,0),"")</f>
        <v/>
      </c>
      <c r="BG270" s="300" t="str">
        <f>_xlfn.IFNA(VLOOKUP($BD270,Programma!$F$3:$I$1107,4,0),"")</f>
        <v/>
      </c>
      <c r="BH270" s="300" t="str">
        <f>_xlfn.IFNA(VLOOKUP($BD270,Programma!$F$3:$J$1107,5,0),"")</f>
        <v/>
      </c>
      <c r="BI270" s="300" t="str">
        <f>_xlfn.IFNA(VLOOKUP($BD270,Programma!$F$3:$K$1107,6,0),"")</f>
        <v/>
      </c>
      <c r="BJ270" s="300" t="str">
        <f>_xlfn.IFNA(VLOOKUP($BD270,Programma!$F$3:$L$1107,7,0),"")</f>
        <v/>
      </c>
      <c r="BK270" s="300" t="str">
        <f>_xlfn.IFNA(VLOOKUP($BD270,Programma!$F$3:$M$1107,8,0),"")</f>
        <v/>
      </c>
      <c r="BL270" s="300" t="str">
        <f>_xlfn.IFNA(VLOOKUP($BD270,Programma!$F$3:$N$1107,9,0),"")</f>
        <v/>
      </c>
      <c r="BM270" s="300" t="str">
        <f>_xlfn.IFNA(VLOOKUP($BD270,Programma!$F$3:$O$1107,10,0),"")</f>
        <v/>
      </c>
      <c r="BN270" s="300" t="str">
        <f>_xlfn.IFNA(VLOOKUP($BD270,Programma!$F$3:$P$1107,11,0),"")</f>
        <v/>
      </c>
      <c r="BO270" s="300" t="str">
        <f>_xlfn.IFNA(VLOOKUP($BD270,Programma!$F$3:$Q$1107,12,0),"")</f>
        <v/>
      </c>
      <c r="BP270" s="300" t="str">
        <f>_xlfn.IFNA(VLOOKUP($BD270,Programma!$F$3:$R$1107,13,0),"")</f>
        <v/>
      </c>
      <c r="BQ270" s="300" t="str">
        <f>_xlfn.IFNA(VLOOKUP($BD270,Programma!$F$3:$S$1107,14,0),"")</f>
        <v/>
      </c>
      <c r="BR270" s="300" t="str">
        <f>_xlfn.IFNA(VLOOKUP($BD270,Programma!$F$3:$T$1107,15,0),"")</f>
        <v/>
      </c>
      <c r="BS270" s="300" t="str">
        <f>_xlfn.IFNA(VLOOKUP($BD270,Programma!$F$3:$U$1107,16,0),"")</f>
        <v/>
      </c>
      <c r="BT270" s="300" t="str">
        <f>_xlfn.IFNA(VLOOKUP($BD270,Programma!$F$3:$V$1107,17,0),"")</f>
        <v/>
      </c>
      <c r="BU270" s="300" t="str">
        <f>_xlfn.IFNA(VLOOKUP($BD270,Programma!$F$3:$W$1107,18,0),"")</f>
        <v/>
      </c>
      <c r="BV270" s="300" t="str">
        <f>_xlfn.IFNA(VLOOKUP($BD270,Programma!$F$3:$X$1107,19,0),"")</f>
        <v/>
      </c>
      <c r="BW270" s="300" t="str">
        <f>_xlfn.IFNA(VLOOKUP($BD270,Programma!$F$3:$Y$1107,20,0),"")</f>
        <v/>
      </c>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row>
    <row r="271" spans="1:220" ht="15" customHeight="1">
      <c r="A271" s="21">
        <v>4</v>
      </c>
      <c r="B271" s="157" t="str">
        <f>VLOOKUP(Ruimtestaat[[#This Row],[Code]],Locaties[[Code]:[Locatie]],2,FALSE)</f>
        <v>Sint-Maartenscollege</v>
      </c>
      <c r="C271" s="157" t="str">
        <f>VLOOKUP(Ruimtestaat[[#This Row],[Code]],Locaties[[#All],[Code]:[Adres]],4,FALSE)</f>
        <v xml:space="preserve">Aart v.d. Leeuwkade 14 </v>
      </c>
      <c r="D271" s="157" t="str">
        <f>VLOOKUP(Ruimtestaat[[#This Row],[Code]],Locaties[[#All],[Code]:[Postcode]],5,FALSE)</f>
        <v>2274 KX</v>
      </c>
      <c r="E271" s="157" t="str">
        <f>VLOOKUP(Ruimtestaat[[#This Row],[Code]],Locaties[#All],6,FALSE)</f>
        <v>Voorburg</v>
      </c>
      <c r="F271" s="62"/>
      <c r="G271" s="21" t="s">
        <v>1624</v>
      </c>
      <c r="H271" s="21" t="s">
        <v>1922</v>
      </c>
      <c r="I271" s="62" t="s">
        <v>1923</v>
      </c>
      <c r="J271" s="21">
        <v>16</v>
      </c>
      <c r="K271" s="62" t="str">
        <f>VLOOKUP(Ruimtestaat[[#This Row],[Ruimte code]],Ruimtegroepen[[#All],[Code]:[Ruimte omschrijving]],2,FALSE)</f>
        <v>Leslokalen theorie</v>
      </c>
      <c r="L271" s="33" t="s">
        <v>101</v>
      </c>
      <c r="M271" s="367" t="s">
        <v>2495</v>
      </c>
      <c r="N271" s="140">
        <v>47</v>
      </c>
      <c r="O271" s="140"/>
      <c r="P271" s="125" t="str">
        <f>VLOOKUP(Ruimtestaat[[#This Row],[Ruimte code]],Ruimtegroepen[],4,FALSE)</f>
        <v>Le</v>
      </c>
      <c r="R271" s="33">
        <v>40</v>
      </c>
      <c r="S271" s="33" t="s">
        <v>2</v>
      </c>
      <c r="T271" s="33">
        <f>IF(R271&gt;0,IF(RIGHT(Ruimtestaat[[#This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1" s="33">
        <f>IF(T271&gt;0,VLOOKUP($J271,Ruimtegroepen[],3,FALSE)*VLOOKUP($L271,Vloersoorten[],3,FALSE)*VLOOKUP($S271,Frequenties[],3,FALSE)*VLOOKUP($A271,Locaties[],3,FALSE),0)</f>
        <v>0</v>
      </c>
      <c r="V271" s="33">
        <f>Ruimtestaat[[#This Row],[Uitvoeringen werkdagen]]*Ruimtestaat[[#This Row],[Oppervlak (netto)]]</f>
        <v>9400</v>
      </c>
      <c r="W271" s="154">
        <f>IF(U271&gt;0,Ruimtestaat[[#This Row],[Prest. (m2 /jaar) werkdagen]]/Ruimtestaat[[#This Row],[Norm (m2/uur) werkdagen]],0)</f>
        <v>0</v>
      </c>
      <c r="X271" s="155">
        <f>Ruimtestaat[[#This Row],[uren / jaar werkdagen]]*Tariefsopbouw!$E$35</f>
        <v>0</v>
      </c>
      <c r="Y271" s="33"/>
      <c r="Z271" s="33">
        <f>IF(Ruimtestaat[[#This Row],[Frequentie weekend]]&gt;0,VALUE(LEFT(Y271,1))*R271,0)</f>
        <v>0</v>
      </c>
      <c r="AA271" s="97">
        <f>IF($Z271&gt;0,VLOOKUP($J271,Ruimtegroepen[],3,FALSE)*VLOOKUP($L271,Vloersoorten[],3,FALSE)*VLOOKUP($Y271,Frequenties[],3,FALSE)*VLOOKUP(Ruimtestaat[[#This Row],[Code]],Locaties[],3,FALSE),0)</f>
        <v>0</v>
      </c>
      <c r="AB271" s="97">
        <f>Ruimtestaat[[#This Row],[Uitvoeringen weekend]]*Ruimtestaat[[#This Row],[Oppervlak (netto)]]</f>
        <v>0</v>
      </c>
      <c r="AC271" s="97">
        <f>IF(AA271&gt;0,Ruimtestaat[[#This Row],[Prest. (m2 /jaar) weekend]]/Ruimtestaat[[#This Row],[Norm (m2/uur) weekend]],0)</f>
        <v>0</v>
      </c>
      <c r="AD271" s="155">
        <f>Ruimtestaat[[#This Row],[uren / jaar weekend]]*Tariefsopbouw!$D$40</f>
        <v>0</v>
      </c>
      <c r="AE271" s="154">
        <f>Ruimtestaat[[#This Row],[Prest. (m2 /jaar) weekend]]+Ruimtestaat[[#This Row],[Prest. (m2 /jaar) werkdagen]]</f>
        <v>9400</v>
      </c>
      <c r="AF271" s="154">
        <f>Ruimtestaat[[#This Row],[uren / jaar weekend]]+Ruimtestaat[[#This Row],[uren / jaar werkdagen]]</f>
        <v>0</v>
      </c>
      <c r="AG271" s="69">
        <f>Ruimtestaat[[#This Row],[kosten / jaar weekend]]+Ruimtestaat[[#This Row],[kosten / jaar werkdagen]]</f>
        <v>0</v>
      </c>
      <c r="AH271" s="69"/>
      <c r="AI271" s="256" t="str">
        <f>IF(Ruimtestaat[[#This Row],[Frequentie werkdagen]]="","",_xlfn.CONCAT(Ruimtestaat[[#This Row],[Ruimte code]],"-",Ruimtestaat[[#This Row],[Frequentie werkdagen]]," ",Ruimtestaat[[#This Row],[Vloer code]]))</f>
        <v>16-5w L</v>
      </c>
      <c r="AJ271" s="300" t="str">
        <f>_xlfn.IFNA(VLOOKUP($AI271,Programma!$F$3:$G$1107,2,0),"")</f>
        <v>_</v>
      </c>
      <c r="AK271" s="300" t="str">
        <f>_xlfn.IFNA(VLOOKUP($AI271,Programma!$F$3:$H$1107,3,0),"")</f>
        <v>_</v>
      </c>
      <c r="AL271" s="300" t="str">
        <f>_xlfn.IFNA(VLOOKUP($AI271,Programma!$F$3:$I$1107,4,0),"")</f>
        <v>4w</v>
      </c>
      <c r="AM271" s="300" t="str">
        <f>_xlfn.IFNA(VLOOKUP($AI271,Programma!$F$3:$J$1107,5,0),"")</f>
        <v>1w</v>
      </c>
      <c r="AN271" s="300" t="str">
        <f>_xlfn.IFNA(VLOOKUP($AI271,Programma!$F$3:$K$1107,6,0),"")</f>
        <v>_</v>
      </c>
      <c r="AO271" s="300" t="str">
        <f>_xlfn.IFNA(VLOOKUP($AI271,Programma!$F$3:$L$1107,7,0),"")</f>
        <v>_</v>
      </c>
      <c r="AP271" s="300" t="str">
        <f>_xlfn.IFNA(VLOOKUP($AI271,Programma!$F$3:$M$1107,8,0),"")</f>
        <v>_</v>
      </c>
      <c r="AQ271" s="300" t="str">
        <f>_xlfn.IFNA(VLOOKUP($AI271,Programma!$F$3:$N$1107,9,0),"")</f>
        <v>_</v>
      </c>
      <c r="AR271" s="300" t="str">
        <f>_xlfn.IFNA(VLOOKUP($AI271,Programma!$F$3:$O$1107,10,0),"")</f>
        <v>5w</v>
      </c>
      <c r="AS271" s="300" t="str">
        <f>_xlfn.IFNA(VLOOKUP($AI271,Programma!$F$3:$P$1107,11,0),"")</f>
        <v>5w</v>
      </c>
      <c r="AT271" s="300" t="str">
        <f>_xlfn.IFNA(VLOOKUP($AI271,Programma!$F$3:$Q$1107,12,0),"")</f>
        <v>1w</v>
      </c>
      <c r="AU271" s="300" t="str">
        <f>_xlfn.IFNA(VLOOKUP($AI271,Programma!$F$3:$R$1107,13,0),"")</f>
        <v>1w</v>
      </c>
      <c r="AV271" s="300" t="str">
        <f>_xlfn.IFNA(VLOOKUP($AI271,Programma!$F$3:$S$1107,14,0),"")</f>
        <v>1m</v>
      </c>
      <c r="AW271" s="300" t="str">
        <f>_xlfn.IFNA(VLOOKUP($AI271,Programma!$F$3:$T$1107,15,0),"")</f>
        <v>2j</v>
      </c>
      <c r="AX271" s="300" t="str">
        <f>_xlfn.IFNA(VLOOKUP($AI271,Programma!$F$3:$U$1107,16,0),"")</f>
        <v>1j</v>
      </c>
      <c r="AY271" s="300" t="str">
        <f>_xlfn.IFNA(VLOOKUP($AI271,Programma!$F$3:$V$1107,17,0),"")</f>
        <v>_</v>
      </c>
      <c r="AZ271" s="300" t="str">
        <f>_xlfn.IFNA(VLOOKUP($AI271,Programma!$F$3:$W$1107,18,0),"")</f>
        <v>_</v>
      </c>
      <c r="BA271" s="300" t="str">
        <f>_xlfn.IFNA(VLOOKUP($AI271,Programma!$F$3:$X$1107,19,0),"")</f>
        <v>_</v>
      </c>
      <c r="BB271" s="300" t="str">
        <f>_xlfn.IFNA(VLOOKUP($AI271,Programma!$F$3:$Y$1107,20,0),"")</f>
        <v>_</v>
      </c>
      <c r="BC271" s="257"/>
      <c r="BD271" s="256" t="str">
        <f>IF(Ruimtestaat[[#This Row],[Frequentie weekend]]="","",_xlfn.CONCAT(Ruimtestaat[[#This Row],[Ruimte code]],"-",Ruimtestaat[[#This Row],[Frequentie weekend]]," ",Ruimtestaat[[#This Row],[Vloer code]]))</f>
        <v/>
      </c>
      <c r="BE271" s="300" t="str">
        <f>_xlfn.IFNA(VLOOKUP($BD271,Programma!$F$3:$G$1107,2,0),"")</f>
        <v/>
      </c>
      <c r="BF271" s="300" t="str">
        <f>_xlfn.IFNA(VLOOKUP($BD271,Programma!$F$3:$H$1107,3,0),"")</f>
        <v/>
      </c>
      <c r="BG271" s="300" t="str">
        <f>_xlfn.IFNA(VLOOKUP($BD271,Programma!$F$3:$I$1107,4,0),"")</f>
        <v/>
      </c>
      <c r="BH271" s="300" t="str">
        <f>_xlfn.IFNA(VLOOKUP($BD271,Programma!$F$3:$J$1107,5,0),"")</f>
        <v/>
      </c>
      <c r="BI271" s="300" t="str">
        <f>_xlfn.IFNA(VLOOKUP($BD271,Programma!$F$3:$K$1107,6,0),"")</f>
        <v/>
      </c>
      <c r="BJ271" s="300" t="str">
        <f>_xlfn.IFNA(VLOOKUP($BD271,Programma!$F$3:$L$1107,7,0),"")</f>
        <v/>
      </c>
      <c r="BK271" s="300" t="str">
        <f>_xlfn.IFNA(VLOOKUP($BD271,Programma!$F$3:$M$1107,8,0),"")</f>
        <v/>
      </c>
      <c r="BL271" s="300" t="str">
        <f>_xlfn.IFNA(VLOOKUP($BD271,Programma!$F$3:$N$1107,9,0),"")</f>
        <v/>
      </c>
      <c r="BM271" s="300" t="str">
        <f>_xlfn.IFNA(VLOOKUP($BD271,Programma!$F$3:$O$1107,10,0),"")</f>
        <v/>
      </c>
      <c r="BN271" s="300" t="str">
        <f>_xlfn.IFNA(VLOOKUP($BD271,Programma!$F$3:$P$1107,11,0),"")</f>
        <v/>
      </c>
      <c r="BO271" s="300" t="str">
        <f>_xlfn.IFNA(VLOOKUP($BD271,Programma!$F$3:$Q$1107,12,0),"")</f>
        <v/>
      </c>
      <c r="BP271" s="300" t="str">
        <f>_xlfn.IFNA(VLOOKUP($BD271,Programma!$F$3:$R$1107,13,0),"")</f>
        <v/>
      </c>
      <c r="BQ271" s="300" t="str">
        <f>_xlfn.IFNA(VLOOKUP($BD271,Programma!$F$3:$S$1107,14,0),"")</f>
        <v/>
      </c>
      <c r="BR271" s="300" t="str">
        <f>_xlfn.IFNA(VLOOKUP($BD271,Programma!$F$3:$T$1107,15,0),"")</f>
        <v/>
      </c>
      <c r="BS271" s="300" t="str">
        <f>_xlfn.IFNA(VLOOKUP($BD271,Programma!$F$3:$U$1107,16,0),"")</f>
        <v/>
      </c>
      <c r="BT271" s="300" t="str">
        <f>_xlfn.IFNA(VLOOKUP($BD271,Programma!$F$3:$V$1107,17,0),"")</f>
        <v/>
      </c>
      <c r="BU271" s="300" t="str">
        <f>_xlfn.IFNA(VLOOKUP($BD271,Programma!$F$3:$W$1107,18,0),"")</f>
        <v/>
      </c>
      <c r="BV271" s="300" t="str">
        <f>_xlfn.IFNA(VLOOKUP($BD271,Programma!$F$3:$X$1107,19,0),"")</f>
        <v/>
      </c>
      <c r="BW271" s="300" t="str">
        <f>_xlfn.IFNA(VLOOKUP($BD271,Programma!$F$3:$Y$1107,20,0),"")</f>
        <v/>
      </c>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row>
    <row r="272" spans="1:220" ht="15" customHeight="1">
      <c r="A272" s="21">
        <v>4</v>
      </c>
      <c r="B272" s="157" t="str">
        <f>VLOOKUP(Ruimtestaat[[#This Row],[Code]],Locaties[[Code]:[Locatie]],2,FALSE)</f>
        <v>Sint-Maartenscollege</v>
      </c>
      <c r="C272" s="157" t="str">
        <f>VLOOKUP(Ruimtestaat[[#This Row],[Code]],Locaties[[#All],[Code]:[Adres]],4,FALSE)</f>
        <v xml:space="preserve">Aart v.d. Leeuwkade 14 </v>
      </c>
      <c r="D272" s="157" t="str">
        <f>VLOOKUP(Ruimtestaat[[#This Row],[Code]],Locaties[[#All],[Code]:[Postcode]],5,FALSE)</f>
        <v>2274 KX</v>
      </c>
      <c r="E272" s="157" t="str">
        <f>VLOOKUP(Ruimtestaat[[#This Row],[Code]],Locaties[#All],6,FALSE)</f>
        <v>Voorburg</v>
      </c>
      <c r="F272" s="62"/>
      <c r="G272" s="21" t="s">
        <v>1624</v>
      </c>
      <c r="H272" s="21" t="s">
        <v>1924</v>
      </c>
      <c r="I272" s="62" t="s">
        <v>1925</v>
      </c>
      <c r="J272" s="21">
        <v>16</v>
      </c>
      <c r="K272" s="62" t="str">
        <f>VLOOKUP(Ruimtestaat[[#This Row],[Ruimte code]],Ruimtegroepen[[#All],[Code]:[Ruimte omschrijving]],2,FALSE)</f>
        <v>Leslokalen theorie</v>
      </c>
      <c r="L272" s="33" t="s">
        <v>101</v>
      </c>
      <c r="M272" s="367" t="s">
        <v>2495</v>
      </c>
      <c r="N272" s="140">
        <v>47</v>
      </c>
      <c r="O272" s="140"/>
      <c r="P272" s="125" t="str">
        <f>VLOOKUP(Ruimtestaat[[#This Row],[Ruimte code]],Ruimtegroepen[],4,FALSE)</f>
        <v>Le</v>
      </c>
      <c r="R272" s="33">
        <v>40</v>
      </c>
      <c r="S272" s="33" t="s">
        <v>2</v>
      </c>
      <c r="T272" s="33">
        <f>IF(R272&gt;0,IF(RIGHT(Ruimtestaat[[#This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2" s="33">
        <f>IF(T272&gt;0,VLOOKUP($J272,Ruimtegroepen[],3,FALSE)*VLOOKUP($L272,Vloersoorten[],3,FALSE)*VLOOKUP($S272,Frequenties[],3,FALSE)*VLOOKUP($A272,Locaties[],3,FALSE),0)</f>
        <v>0</v>
      </c>
      <c r="V272" s="33">
        <f>Ruimtestaat[[#This Row],[Uitvoeringen werkdagen]]*Ruimtestaat[[#This Row],[Oppervlak (netto)]]</f>
        <v>9400</v>
      </c>
      <c r="W272" s="154">
        <f>IF(U272&gt;0,Ruimtestaat[[#This Row],[Prest. (m2 /jaar) werkdagen]]/Ruimtestaat[[#This Row],[Norm (m2/uur) werkdagen]],0)</f>
        <v>0</v>
      </c>
      <c r="X272" s="155">
        <f>Ruimtestaat[[#This Row],[uren / jaar werkdagen]]*Tariefsopbouw!$E$35</f>
        <v>0</v>
      </c>
      <c r="Y272" s="33"/>
      <c r="Z272" s="33">
        <f>IF(Ruimtestaat[[#This Row],[Frequentie weekend]]&gt;0,VALUE(LEFT(Y272,1))*R272,0)</f>
        <v>0</v>
      </c>
      <c r="AA272" s="97">
        <f>IF($Z272&gt;0,VLOOKUP($J272,Ruimtegroepen[],3,FALSE)*VLOOKUP($L272,Vloersoorten[],3,FALSE)*VLOOKUP($Y272,Frequenties[],3,FALSE)*VLOOKUP(Ruimtestaat[[#This Row],[Code]],Locaties[],3,FALSE),0)</f>
        <v>0</v>
      </c>
      <c r="AB272" s="97">
        <f>Ruimtestaat[[#This Row],[Uitvoeringen weekend]]*Ruimtestaat[[#This Row],[Oppervlak (netto)]]</f>
        <v>0</v>
      </c>
      <c r="AC272" s="97">
        <f>IF(AA272&gt;0,Ruimtestaat[[#This Row],[Prest. (m2 /jaar) weekend]]/Ruimtestaat[[#This Row],[Norm (m2/uur) weekend]],0)</f>
        <v>0</v>
      </c>
      <c r="AD272" s="155">
        <f>Ruimtestaat[[#This Row],[uren / jaar weekend]]*Tariefsopbouw!$D$40</f>
        <v>0</v>
      </c>
      <c r="AE272" s="154">
        <f>Ruimtestaat[[#This Row],[Prest. (m2 /jaar) weekend]]+Ruimtestaat[[#This Row],[Prest. (m2 /jaar) werkdagen]]</f>
        <v>9400</v>
      </c>
      <c r="AF272" s="154">
        <f>Ruimtestaat[[#This Row],[uren / jaar weekend]]+Ruimtestaat[[#This Row],[uren / jaar werkdagen]]</f>
        <v>0</v>
      </c>
      <c r="AG272" s="69">
        <f>Ruimtestaat[[#This Row],[kosten / jaar weekend]]+Ruimtestaat[[#This Row],[kosten / jaar werkdagen]]</f>
        <v>0</v>
      </c>
      <c r="AH272" s="69"/>
      <c r="AI272" s="256" t="str">
        <f>IF(Ruimtestaat[[#This Row],[Frequentie werkdagen]]="","",_xlfn.CONCAT(Ruimtestaat[[#This Row],[Ruimte code]],"-",Ruimtestaat[[#This Row],[Frequentie werkdagen]]," ",Ruimtestaat[[#This Row],[Vloer code]]))</f>
        <v>16-5w L</v>
      </c>
      <c r="AJ272" s="300" t="str">
        <f>_xlfn.IFNA(VLOOKUP($AI272,Programma!$F$3:$G$1107,2,0),"")</f>
        <v>_</v>
      </c>
      <c r="AK272" s="300" t="str">
        <f>_xlfn.IFNA(VLOOKUP($AI272,Programma!$F$3:$H$1107,3,0),"")</f>
        <v>_</v>
      </c>
      <c r="AL272" s="300" t="str">
        <f>_xlfn.IFNA(VLOOKUP($AI272,Programma!$F$3:$I$1107,4,0),"")</f>
        <v>4w</v>
      </c>
      <c r="AM272" s="300" t="str">
        <f>_xlfn.IFNA(VLOOKUP($AI272,Programma!$F$3:$J$1107,5,0),"")</f>
        <v>1w</v>
      </c>
      <c r="AN272" s="300" t="str">
        <f>_xlfn.IFNA(VLOOKUP($AI272,Programma!$F$3:$K$1107,6,0),"")</f>
        <v>_</v>
      </c>
      <c r="AO272" s="300" t="str">
        <f>_xlfn.IFNA(VLOOKUP($AI272,Programma!$F$3:$L$1107,7,0),"")</f>
        <v>_</v>
      </c>
      <c r="AP272" s="300" t="str">
        <f>_xlfn.IFNA(VLOOKUP($AI272,Programma!$F$3:$M$1107,8,0),"")</f>
        <v>_</v>
      </c>
      <c r="AQ272" s="300" t="str">
        <f>_xlfn.IFNA(VLOOKUP($AI272,Programma!$F$3:$N$1107,9,0),"")</f>
        <v>_</v>
      </c>
      <c r="AR272" s="300" t="str">
        <f>_xlfn.IFNA(VLOOKUP($AI272,Programma!$F$3:$O$1107,10,0),"")</f>
        <v>5w</v>
      </c>
      <c r="AS272" s="300" t="str">
        <f>_xlfn.IFNA(VLOOKUP($AI272,Programma!$F$3:$P$1107,11,0),"")</f>
        <v>5w</v>
      </c>
      <c r="AT272" s="300" t="str">
        <f>_xlfn.IFNA(VLOOKUP($AI272,Programma!$F$3:$Q$1107,12,0),"")</f>
        <v>1w</v>
      </c>
      <c r="AU272" s="300" t="str">
        <f>_xlfn.IFNA(VLOOKUP($AI272,Programma!$F$3:$R$1107,13,0),"")</f>
        <v>1w</v>
      </c>
      <c r="AV272" s="300" t="str">
        <f>_xlfn.IFNA(VLOOKUP($AI272,Programma!$F$3:$S$1107,14,0),"")</f>
        <v>1m</v>
      </c>
      <c r="AW272" s="300" t="str">
        <f>_xlfn.IFNA(VLOOKUP($AI272,Programma!$F$3:$T$1107,15,0),"")</f>
        <v>2j</v>
      </c>
      <c r="AX272" s="300" t="str">
        <f>_xlfn.IFNA(VLOOKUP($AI272,Programma!$F$3:$U$1107,16,0),"")</f>
        <v>1j</v>
      </c>
      <c r="AY272" s="300" t="str">
        <f>_xlfn.IFNA(VLOOKUP($AI272,Programma!$F$3:$V$1107,17,0),"")</f>
        <v>_</v>
      </c>
      <c r="AZ272" s="300" t="str">
        <f>_xlfn.IFNA(VLOOKUP($AI272,Programma!$F$3:$W$1107,18,0),"")</f>
        <v>_</v>
      </c>
      <c r="BA272" s="300" t="str">
        <f>_xlfn.IFNA(VLOOKUP($AI272,Programma!$F$3:$X$1107,19,0),"")</f>
        <v>_</v>
      </c>
      <c r="BB272" s="300" t="str">
        <f>_xlfn.IFNA(VLOOKUP($AI272,Programma!$F$3:$Y$1107,20,0),"")</f>
        <v>_</v>
      </c>
      <c r="BC272" s="257"/>
      <c r="BD272" s="256" t="str">
        <f>IF(Ruimtestaat[[#This Row],[Frequentie weekend]]="","",_xlfn.CONCAT(Ruimtestaat[[#This Row],[Ruimte code]],"-",Ruimtestaat[[#This Row],[Frequentie weekend]]," ",Ruimtestaat[[#This Row],[Vloer code]]))</f>
        <v/>
      </c>
      <c r="BE272" s="300" t="str">
        <f>_xlfn.IFNA(VLOOKUP($BD272,Programma!$F$3:$G$1107,2,0),"")</f>
        <v/>
      </c>
      <c r="BF272" s="300" t="str">
        <f>_xlfn.IFNA(VLOOKUP($BD272,Programma!$F$3:$H$1107,3,0),"")</f>
        <v/>
      </c>
      <c r="BG272" s="300" t="str">
        <f>_xlfn.IFNA(VLOOKUP($BD272,Programma!$F$3:$I$1107,4,0),"")</f>
        <v/>
      </c>
      <c r="BH272" s="300" t="str">
        <f>_xlfn.IFNA(VLOOKUP($BD272,Programma!$F$3:$J$1107,5,0),"")</f>
        <v/>
      </c>
      <c r="BI272" s="300" t="str">
        <f>_xlfn.IFNA(VLOOKUP($BD272,Programma!$F$3:$K$1107,6,0),"")</f>
        <v/>
      </c>
      <c r="BJ272" s="300" t="str">
        <f>_xlfn.IFNA(VLOOKUP($BD272,Programma!$F$3:$L$1107,7,0),"")</f>
        <v/>
      </c>
      <c r="BK272" s="300" t="str">
        <f>_xlfn.IFNA(VLOOKUP($BD272,Programma!$F$3:$M$1107,8,0),"")</f>
        <v/>
      </c>
      <c r="BL272" s="300" t="str">
        <f>_xlfn.IFNA(VLOOKUP($BD272,Programma!$F$3:$N$1107,9,0),"")</f>
        <v/>
      </c>
      <c r="BM272" s="300" t="str">
        <f>_xlfn.IFNA(VLOOKUP($BD272,Programma!$F$3:$O$1107,10,0),"")</f>
        <v/>
      </c>
      <c r="BN272" s="300" t="str">
        <f>_xlfn.IFNA(VLOOKUP($BD272,Programma!$F$3:$P$1107,11,0),"")</f>
        <v/>
      </c>
      <c r="BO272" s="300" t="str">
        <f>_xlfn.IFNA(VLOOKUP($BD272,Programma!$F$3:$Q$1107,12,0),"")</f>
        <v/>
      </c>
      <c r="BP272" s="300" t="str">
        <f>_xlfn.IFNA(VLOOKUP($BD272,Programma!$F$3:$R$1107,13,0),"")</f>
        <v/>
      </c>
      <c r="BQ272" s="300" t="str">
        <f>_xlfn.IFNA(VLOOKUP($BD272,Programma!$F$3:$S$1107,14,0),"")</f>
        <v/>
      </c>
      <c r="BR272" s="300" t="str">
        <f>_xlfn.IFNA(VLOOKUP($BD272,Programma!$F$3:$T$1107,15,0),"")</f>
        <v/>
      </c>
      <c r="BS272" s="300" t="str">
        <f>_xlfn.IFNA(VLOOKUP($BD272,Programma!$F$3:$U$1107,16,0),"")</f>
        <v/>
      </c>
      <c r="BT272" s="300" t="str">
        <f>_xlfn.IFNA(VLOOKUP($BD272,Programma!$F$3:$V$1107,17,0),"")</f>
        <v/>
      </c>
      <c r="BU272" s="300" t="str">
        <f>_xlfn.IFNA(VLOOKUP($BD272,Programma!$F$3:$W$1107,18,0),"")</f>
        <v/>
      </c>
      <c r="BV272" s="300" t="str">
        <f>_xlfn.IFNA(VLOOKUP($BD272,Programma!$F$3:$X$1107,19,0),"")</f>
        <v/>
      </c>
      <c r="BW272" s="300" t="str">
        <f>_xlfn.IFNA(VLOOKUP($BD272,Programma!$F$3:$Y$1107,20,0),"")</f>
        <v/>
      </c>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row>
    <row r="273" spans="1:220" ht="15" customHeight="1">
      <c r="A273" s="21">
        <v>4</v>
      </c>
      <c r="B273" s="157" t="str">
        <f>VLOOKUP(Ruimtestaat[[#This Row],[Code]],Locaties[[Code]:[Locatie]],2,FALSE)</f>
        <v>Sint-Maartenscollege</v>
      </c>
      <c r="C273" s="157" t="str">
        <f>VLOOKUP(Ruimtestaat[[#This Row],[Code]],Locaties[[#All],[Code]:[Adres]],4,FALSE)</f>
        <v xml:space="preserve">Aart v.d. Leeuwkade 14 </v>
      </c>
      <c r="D273" s="157" t="str">
        <f>VLOOKUP(Ruimtestaat[[#This Row],[Code]],Locaties[[#All],[Code]:[Postcode]],5,FALSE)</f>
        <v>2274 KX</v>
      </c>
      <c r="E273" s="157" t="str">
        <f>VLOOKUP(Ruimtestaat[[#This Row],[Code]],Locaties[#All],6,FALSE)</f>
        <v>Voorburg</v>
      </c>
      <c r="F273" s="62"/>
      <c r="G273" s="21" t="s">
        <v>1624</v>
      </c>
      <c r="H273" s="21" t="s">
        <v>1926</v>
      </c>
      <c r="I273" s="62" t="s">
        <v>1927</v>
      </c>
      <c r="J273" s="21">
        <v>16</v>
      </c>
      <c r="K273" s="62" t="str">
        <f>VLOOKUP(Ruimtestaat[[#This Row],[Ruimte code]],Ruimtegroepen[[#All],[Code]:[Ruimte omschrijving]],2,FALSE)</f>
        <v>Leslokalen theorie</v>
      </c>
      <c r="L273" s="33" t="s">
        <v>101</v>
      </c>
      <c r="M273" s="367" t="s">
        <v>2495</v>
      </c>
      <c r="N273" s="140">
        <v>47</v>
      </c>
      <c r="O273" s="140"/>
      <c r="P273" s="125" t="str">
        <f>VLOOKUP(Ruimtestaat[[#This Row],[Ruimte code]],Ruimtegroepen[],4,FALSE)</f>
        <v>Le</v>
      </c>
      <c r="R273" s="33">
        <v>40</v>
      </c>
      <c r="S273" s="33" t="s">
        <v>2</v>
      </c>
      <c r="T273" s="33">
        <f>IF(R273&gt;0,IF(RIGHT(Ruimtestaat[[#This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3" s="33">
        <f>IF(T273&gt;0,VLOOKUP($J273,Ruimtegroepen[],3,FALSE)*VLOOKUP($L273,Vloersoorten[],3,FALSE)*VLOOKUP($S273,Frequenties[],3,FALSE)*VLOOKUP($A273,Locaties[],3,FALSE),0)</f>
        <v>0</v>
      </c>
      <c r="V273" s="33">
        <f>Ruimtestaat[[#This Row],[Uitvoeringen werkdagen]]*Ruimtestaat[[#This Row],[Oppervlak (netto)]]</f>
        <v>9400</v>
      </c>
      <c r="W273" s="154">
        <f>IF(U273&gt;0,Ruimtestaat[[#This Row],[Prest. (m2 /jaar) werkdagen]]/Ruimtestaat[[#This Row],[Norm (m2/uur) werkdagen]],0)</f>
        <v>0</v>
      </c>
      <c r="X273" s="155">
        <f>Ruimtestaat[[#This Row],[uren / jaar werkdagen]]*Tariefsopbouw!$E$35</f>
        <v>0</v>
      </c>
      <c r="Y273" s="33"/>
      <c r="Z273" s="33">
        <f>IF(Ruimtestaat[[#This Row],[Frequentie weekend]]&gt;0,VALUE(LEFT(Y273,1))*R273,0)</f>
        <v>0</v>
      </c>
      <c r="AA273" s="97">
        <f>IF($Z273&gt;0,VLOOKUP($J273,Ruimtegroepen[],3,FALSE)*VLOOKUP($L273,Vloersoorten[],3,FALSE)*VLOOKUP($Y273,Frequenties[],3,FALSE)*VLOOKUP(Ruimtestaat[[#This Row],[Code]],Locaties[],3,FALSE),0)</f>
        <v>0</v>
      </c>
      <c r="AB273" s="97">
        <f>Ruimtestaat[[#This Row],[Uitvoeringen weekend]]*Ruimtestaat[[#This Row],[Oppervlak (netto)]]</f>
        <v>0</v>
      </c>
      <c r="AC273" s="97">
        <f>IF(AA273&gt;0,Ruimtestaat[[#This Row],[Prest. (m2 /jaar) weekend]]/Ruimtestaat[[#This Row],[Norm (m2/uur) weekend]],0)</f>
        <v>0</v>
      </c>
      <c r="AD273" s="155">
        <f>Ruimtestaat[[#This Row],[uren / jaar weekend]]*Tariefsopbouw!$D$40</f>
        <v>0</v>
      </c>
      <c r="AE273" s="154">
        <f>Ruimtestaat[[#This Row],[Prest. (m2 /jaar) weekend]]+Ruimtestaat[[#This Row],[Prest. (m2 /jaar) werkdagen]]</f>
        <v>9400</v>
      </c>
      <c r="AF273" s="154">
        <f>Ruimtestaat[[#This Row],[uren / jaar weekend]]+Ruimtestaat[[#This Row],[uren / jaar werkdagen]]</f>
        <v>0</v>
      </c>
      <c r="AG273" s="69">
        <f>Ruimtestaat[[#This Row],[kosten / jaar weekend]]+Ruimtestaat[[#This Row],[kosten / jaar werkdagen]]</f>
        <v>0</v>
      </c>
      <c r="AH273" s="69"/>
      <c r="AI273" s="256" t="str">
        <f>IF(Ruimtestaat[[#This Row],[Frequentie werkdagen]]="","",_xlfn.CONCAT(Ruimtestaat[[#This Row],[Ruimte code]],"-",Ruimtestaat[[#This Row],[Frequentie werkdagen]]," ",Ruimtestaat[[#This Row],[Vloer code]]))</f>
        <v>16-5w L</v>
      </c>
      <c r="AJ273" s="300" t="str">
        <f>_xlfn.IFNA(VLOOKUP($AI273,Programma!$F$3:$G$1107,2,0),"")</f>
        <v>_</v>
      </c>
      <c r="AK273" s="300" t="str">
        <f>_xlfn.IFNA(VLOOKUP($AI273,Programma!$F$3:$H$1107,3,0),"")</f>
        <v>_</v>
      </c>
      <c r="AL273" s="300" t="str">
        <f>_xlfn.IFNA(VLOOKUP($AI273,Programma!$F$3:$I$1107,4,0),"")</f>
        <v>4w</v>
      </c>
      <c r="AM273" s="300" t="str">
        <f>_xlfn.IFNA(VLOOKUP($AI273,Programma!$F$3:$J$1107,5,0),"")</f>
        <v>1w</v>
      </c>
      <c r="AN273" s="300" t="str">
        <f>_xlfn.IFNA(VLOOKUP($AI273,Programma!$F$3:$K$1107,6,0),"")</f>
        <v>_</v>
      </c>
      <c r="AO273" s="300" t="str">
        <f>_xlfn.IFNA(VLOOKUP($AI273,Programma!$F$3:$L$1107,7,0),"")</f>
        <v>_</v>
      </c>
      <c r="AP273" s="300" t="str">
        <f>_xlfn.IFNA(VLOOKUP($AI273,Programma!$F$3:$M$1107,8,0),"")</f>
        <v>_</v>
      </c>
      <c r="AQ273" s="300" t="str">
        <f>_xlfn.IFNA(VLOOKUP($AI273,Programma!$F$3:$N$1107,9,0),"")</f>
        <v>_</v>
      </c>
      <c r="AR273" s="300" t="str">
        <f>_xlfn.IFNA(VLOOKUP($AI273,Programma!$F$3:$O$1107,10,0),"")</f>
        <v>5w</v>
      </c>
      <c r="AS273" s="300" t="str">
        <f>_xlfn.IFNA(VLOOKUP($AI273,Programma!$F$3:$P$1107,11,0),"")</f>
        <v>5w</v>
      </c>
      <c r="AT273" s="300" t="str">
        <f>_xlfn.IFNA(VLOOKUP($AI273,Programma!$F$3:$Q$1107,12,0),"")</f>
        <v>1w</v>
      </c>
      <c r="AU273" s="300" t="str">
        <f>_xlfn.IFNA(VLOOKUP($AI273,Programma!$F$3:$R$1107,13,0),"")</f>
        <v>1w</v>
      </c>
      <c r="AV273" s="300" t="str">
        <f>_xlfn.IFNA(VLOOKUP($AI273,Programma!$F$3:$S$1107,14,0),"")</f>
        <v>1m</v>
      </c>
      <c r="AW273" s="300" t="str">
        <f>_xlfn.IFNA(VLOOKUP($AI273,Programma!$F$3:$T$1107,15,0),"")</f>
        <v>2j</v>
      </c>
      <c r="AX273" s="300" t="str">
        <f>_xlfn.IFNA(VLOOKUP($AI273,Programma!$F$3:$U$1107,16,0),"")</f>
        <v>1j</v>
      </c>
      <c r="AY273" s="300" t="str">
        <f>_xlfn.IFNA(VLOOKUP($AI273,Programma!$F$3:$V$1107,17,0),"")</f>
        <v>_</v>
      </c>
      <c r="AZ273" s="300" t="str">
        <f>_xlfn.IFNA(VLOOKUP($AI273,Programma!$F$3:$W$1107,18,0),"")</f>
        <v>_</v>
      </c>
      <c r="BA273" s="300" t="str">
        <f>_xlfn.IFNA(VLOOKUP($AI273,Programma!$F$3:$X$1107,19,0),"")</f>
        <v>_</v>
      </c>
      <c r="BB273" s="300" t="str">
        <f>_xlfn.IFNA(VLOOKUP($AI273,Programma!$F$3:$Y$1107,20,0),"")</f>
        <v>_</v>
      </c>
      <c r="BC273" s="257"/>
      <c r="BD273" s="256" t="str">
        <f>IF(Ruimtestaat[[#This Row],[Frequentie weekend]]="","",_xlfn.CONCAT(Ruimtestaat[[#This Row],[Ruimte code]],"-",Ruimtestaat[[#This Row],[Frequentie weekend]]," ",Ruimtestaat[[#This Row],[Vloer code]]))</f>
        <v/>
      </c>
      <c r="BE273" s="300" t="str">
        <f>_xlfn.IFNA(VLOOKUP($BD273,Programma!$F$3:$G$1107,2,0),"")</f>
        <v/>
      </c>
      <c r="BF273" s="300" t="str">
        <f>_xlfn.IFNA(VLOOKUP($BD273,Programma!$F$3:$H$1107,3,0),"")</f>
        <v/>
      </c>
      <c r="BG273" s="300" t="str">
        <f>_xlfn.IFNA(VLOOKUP($BD273,Programma!$F$3:$I$1107,4,0),"")</f>
        <v/>
      </c>
      <c r="BH273" s="300" t="str">
        <f>_xlfn.IFNA(VLOOKUP($BD273,Programma!$F$3:$J$1107,5,0),"")</f>
        <v/>
      </c>
      <c r="BI273" s="300" t="str">
        <f>_xlfn.IFNA(VLOOKUP($BD273,Programma!$F$3:$K$1107,6,0),"")</f>
        <v/>
      </c>
      <c r="BJ273" s="300" t="str">
        <f>_xlfn.IFNA(VLOOKUP($BD273,Programma!$F$3:$L$1107,7,0),"")</f>
        <v/>
      </c>
      <c r="BK273" s="300" t="str">
        <f>_xlfn.IFNA(VLOOKUP($BD273,Programma!$F$3:$M$1107,8,0),"")</f>
        <v/>
      </c>
      <c r="BL273" s="300" t="str">
        <f>_xlfn.IFNA(VLOOKUP($BD273,Programma!$F$3:$N$1107,9,0),"")</f>
        <v/>
      </c>
      <c r="BM273" s="300" t="str">
        <f>_xlfn.IFNA(VLOOKUP($BD273,Programma!$F$3:$O$1107,10,0),"")</f>
        <v/>
      </c>
      <c r="BN273" s="300" t="str">
        <f>_xlfn.IFNA(VLOOKUP($BD273,Programma!$F$3:$P$1107,11,0),"")</f>
        <v/>
      </c>
      <c r="BO273" s="300" t="str">
        <f>_xlfn.IFNA(VLOOKUP($BD273,Programma!$F$3:$Q$1107,12,0),"")</f>
        <v/>
      </c>
      <c r="BP273" s="300" t="str">
        <f>_xlfn.IFNA(VLOOKUP($BD273,Programma!$F$3:$R$1107,13,0),"")</f>
        <v/>
      </c>
      <c r="BQ273" s="300" t="str">
        <f>_xlfn.IFNA(VLOOKUP($BD273,Programma!$F$3:$S$1107,14,0),"")</f>
        <v/>
      </c>
      <c r="BR273" s="300" t="str">
        <f>_xlfn.IFNA(VLOOKUP($BD273,Programma!$F$3:$T$1107,15,0),"")</f>
        <v/>
      </c>
      <c r="BS273" s="300" t="str">
        <f>_xlfn.IFNA(VLOOKUP($BD273,Programma!$F$3:$U$1107,16,0),"")</f>
        <v/>
      </c>
      <c r="BT273" s="300" t="str">
        <f>_xlfn.IFNA(VLOOKUP($BD273,Programma!$F$3:$V$1107,17,0),"")</f>
        <v/>
      </c>
      <c r="BU273" s="300" t="str">
        <f>_xlfn.IFNA(VLOOKUP($BD273,Programma!$F$3:$W$1107,18,0),"")</f>
        <v/>
      </c>
      <c r="BV273" s="300" t="str">
        <f>_xlfn.IFNA(VLOOKUP($BD273,Programma!$F$3:$X$1107,19,0),"")</f>
        <v/>
      </c>
      <c r="BW273" s="300" t="str">
        <f>_xlfn.IFNA(VLOOKUP($BD273,Programma!$F$3:$Y$1107,20,0),"")</f>
        <v/>
      </c>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row>
    <row r="274" spans="1:220" ht="15" customHeight="1">
      <c r="A274" s="21">
        <v>4</v>
      </c>
      <c r="B274" s="157" t="str">
        <f>VLOOKUP(Ruimtestaat[[#This Row],[Code]],Locaties[[Code]:[Locatie]],2,FALSE)</f>
        <v>Sint-Maartenscollege</v>
      </c>
      <c r="C274" s="157" t="str">
        <f>VLOOKUP(Ruimtestaat[[#This Row],[Code]],Locaties[[#All],[Code]:[Adres]],4,FALSE)</f>
        <v xml:space="preserve">Aart v.d. Leeuwkade 14 </v>
      </c>
      <c r="D274" s="157" t="str">
        <f>VLOOKUP(Ruimtestaat[[#This Row],[Code]],Locaties[[#All],[Code]:[Postcode]],5,FALSE)</f>
        <v>2274 KX</v>
      </c>
      <c r="E274" s="157" t="str">
        <f>VLOOKUP(Ruimtestaat[[#This Row],[Code]],Locaties[#All],6,FALSE)</f>
        <v>Voorburg</v>
      </c>
      <c r="F274" s="62"/>
      <c r="G274" s="21" t="s">
        <v>1624</v>
      </c>
      <c r="H274" s="21" t="s">
        <v>1928</v>
      </c>
      <c r="I274" s="62" t="s">
        <v>1929</v>
      </c>
      <c r="J274" s="21">
        <v>16</v>
      </c>
      <c r="K274" s="62" t="str">
        <f>VLOOKUP(Ruimtestaat[[#This Row],[Ruimte code]],Ruimtegroepen[[#All],[Code]:[Ruimte omschrijving]],2,FALSE)</f>
        <v>Leslokalen theorie</v>
      </c>
      <c r="L274" s="33" t="s">
        <v>101</v>
      </c>
      <c r="M274" s="367" t="s">
        <v>2495</v>
      </c>
      <c r="N274" s="140">
        <v>48</v>
      </c>
      <c r="O274" s="140"/>
      <c r="P274" s="125" t="str">
        <f>VLOOKUP(Ruimtestaat[[#This Row],[Ruimte code]],Ruimtegroepen[],4,FALSE)</f>
        <v>Le</v>
      </c>
      <c r="R274" s="33">
        <v>40</v>
      </c>
      <c r="S274" s="33" t="s">
        <v>2</v>
      </c>
      <c r="T274" s="33">
        <f>IF(R274&gt;0,IF(RIGHT(Ruimtestaat[[#This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4" s="33">
        <f>IF(T274&gt;0,VLOOKUP($J274,Ruimtegroepen[],3,FALSE)*VLOOKUP($L274,Vloersoorten[],3,FALSE)*VLOOKUP($S274,Frequenties[],3,FALSE)*VLOOKUP($A274,Locaties[],3,FALSE),0)</f>
        <v>0</v>
      </c>
      <c r="V274" s="33">
        <f>Ruimtestaat[[#This Row],[Uitvoeringen werkdagen]]*Ruimtestaat[[#This Row],[Oppervlak (netto)]]</f>
        <v>9600</v>
      </c>
      <c r="W274" s="154">
        <f>IF(U274&gt;0,Ruimtestaat[[#This Row],[Prest. (m2 /jaar) werkdagen]]/Ruimtestaat[[#This Row],[Norm (m2/uur) werkdagen]],0)</f>
        <v>0</v>
      </c>
      <c r="X274" s="155">
        <f>Ruimtestaat[[#This Row],[uren / jaar werkdagen]]*Tariefsopbouw!$E$35</f>
        <v>0</v>
      </c>
      <c r="Y274" s="33"/>
      <c r="Z274" s="33">
        <f>IF(Ruimtestaat[[#This Row],[Frequentie weekend]]&gt;0,VALUE(LEFT(Y274,1))*R274,0)</f>
        <v>0</v>
      </c>
      <c r="AA274" s="97">
        <f>IF($Z274&gt;0,VLOOKUP($J274,Ruimtegroepen[],3,FALSE)*VLOOKUP($L274,Vloersoorten[],3,FALSE)*VLOOKUP($Y274,Frequenties[],3,FALSE)*VLOOKUP(Ruimtestaat[[#This Row],[Code]],Locaties[],3,FALSE),0)</f>
        <v>0</v>
      </c>
      <c r="AB274" s="97">
        <f>Ruimtestaat[[#This Row],[Uitvoeringen weekend]]*Ruimtestaat[[#This Row],[Oppervlak (netto)]]</f>
        <v>0</v>
      </c>
      <c r="AC274" s="97">
        <f>IF(AA274&gt;0,Ruimtestaat[[#This Row],[Prest. (m2 /jaar) weekend]]/Ruimtestaat[[#This Row],[Norm (m2/uur) weekend]],0)</f>
        <v>0</v>
      </c>
      <c r="AD274" s="155">
        <f>Ruimtestaat[[#This Row],[uren / jaar weekend]]*Tariefsopbouw!$D$40</f>
        <v>0</v>
      </c>
      <c r="AE274" s="154">
        <f>Ruimtestaat[[#This Row],[Prest. (m2 /jaar) weekend]]+Ruimtestaat[[#This Row],[Prest. (m2 /jaar) werkdagen]]</f>
        <v>9600</v>
      </c>
      <c r="AF274" s="154">
        <f>Ruimtestaat[[#This Row],[uren / jaar weekend]]+Ruimtestaat[[#This Row],[uren / jaar werkdagen]]</f>
        <v>0</v>
      </c>
      <c r="AG274" s="69">
        <f>Ruimtestaat[[#This Row],[kosten / jaar weekend]]+Ruimtestaat[[#This Row],[kosten / jaar werkdagen]]</f>
        <v>0</v>
      </c>
      <c r="AH274" s="69"/>
      <c r="AI274" s="256" t="str">
        <f>IF(Ruimtestaat[[#This Row],[Frequentie werkdagen]]="","",_xlfn.CONCAT(Ruimtestaat[[#This Row],[Ruimte code]],"-",Ruimtestaat[[#This Row],[Frequentie werkdagen]]," ",Ruimtestaat[[#This Row],[Vloer code]]))</f>
        <v>16-5w L</v>
      </c>
      <c r="AJ274" s="300" t="str">
        <f>_xlfn.IFNA(VLOOKUP($AI274,Programma!$F$3:$G$1107,2,0),"")</f>
        <v>_</v>
      </c>
      <c r="AK274" s="300" t="str">
        <f>_xlfn.IFNA(VLOOKUP($AI274,Programma!$F$3:$H$1107,3,0),"")</f>
        <v>_</v>
      </c>
      <c r="AL274" s="300" t="str">
        <f>_xlfn.IFNA(VLOOKUP($AI274,Programma!$F$3:$I$1107,4,0),"")</f>
        <v>4w</v>
      </c>
      <c r="AM274" s="300" t="str">
        <f>_xlfn.IFNA(VLOOKUP($AI274,Programma!$F$3:$J$1107,5,0),"")</f>
        <v>1w</v>
      </c>
      <c r="AN274" s="300" t="str">
        <f>_xlfn.IFNA(VLOOKUP($AI274,Programma!$F$3:$K$1107,6,0),"")</f>
        <v>_</v>
      </c>
      <c r="AO274" s="300" t="str">
        <f>_xlfn.IFNA(VLOOKUP($AI274,Programma!$F$3:$L$1107,7,0),"")</f>
        <v>_</v>
      </c>
      <c r="AP274" s="300" t="str">
        <f>_xlfn.IFNA(VLOOKUP($AI274,Programma!$F$3:$M$1107,8,0),"")</f>
        <v>_</v>
      </c>
      <c r="AQ274" s="300" t="str">
        <f>_xlfn.IFNA(VLOOKUP($AI274,Programma!$F$3:$N$1107,9,0),"")</f>
        <v>_</v>
      </c>
      <c r="AR274" s="300" t="str">
        <f>_xlfn.IFNA(VLOOKUP($AI274,Programma!$F$3:$O$1107,10,0),"")</f>
        <v>5w</v>
      </c>
      <c r="AS274" s="300" t="str">
        <f>_xlfn.IFNA(VLOOKUP($AI274,Programma!$F$3:$P$1107,11,0),"")</f>
        <v>5w</v>
      </c>
      <c r="AT274" s="300" t="str">
        <f>_xlfn.IFNA(VLOOKUP($AI274,Programma!$F$3:$Q$1107,12,0),"")</f>
        <v>1w</v>
      </c>
      <c r="AU274" s="300" t="str">
        <f>_xlfn.IFNA(VLOOKUP($AI274,Programma!$F$3:$R$1107,13,0),"")</f>
        <v>1w</v>
      </c>
      <c r="AV274" s="300" t="str">
        <f>_xlfn.IFNA(VLOOKUP($AI274,Programma!$F$3:$S$1107,14,0),"")</f>
        <v>1m</v>
      </c>
      <c r="AW274" s="300" t="str">
        <f>_xlfn.IFNA(VLOOKUP($AI274,Programma!$F$3:$T$1107,15,0),"")</f>
        <v>2j</v>
      </c>
      <c r="AX274" s="300" t="str">
        <f>_xlfn.IFNA(VLOOKUP($AI274,Programma!$F$3:$U$1107,16,0),"")</f>
        <v>1j</v>
      </c>
      <c r="AY274" s="300" t="str">
        <f>_xlfn.IFNA(VLOOKUP($AI274,Programma!$F$3:$V$1107,17,0),"")</f>
        <v>_</v>
      </c>
      <c r="AZ274" s="300" t="str">
        <f>_xlfn.IFNA(VLOOKUP($AI274,Programma!$F$3:$W$1107,18,0),"")</f>
        <v>_</v>
      </c>
      <c r="BA274" s="300" t="str">
        <f>_xlfn.IFNA(VLOOKUP($AI274,Programma!$F$3:$X$1107,19,0),"")</f>
        <v>_</v>
      </c>
      <c r="BB274" s="300" t="str">
        <f>_xlfn.IFNA(VLOOKUP($AI274,Programma!$F$3:$Y$1107,20,0),"")</f>
        <v>_</v>
      </c>
      <c r="BC274" s="257"/>
      <c r="BD274" s="256" t="str">
        <f>IF(Ruimtestaat[[#This Row],[Frequentie weekend]]="","",_xlfn.CONCAT(Ruimtestaat[[#This Row],[Ruimte code]],"-",Ruimtestaat[[#This Row],[Frequentie weekend]]," ",Ruimtestaat[[#This Row],[Vloer code]]))</f>
        <v/>
      </c>
      <c r="BE274" s="300" t="str">
        <f>_xlfn.IFNA(VLOOKUP($BD274,Programma!$F$3:$G$1107,2,0),"")</f>
        <v/>
      </c>
      <c r="BF274" s="300" t="str">
        <f>_xlfn.IFNA(VLOOKUP($BD274,Programma!$F$3:$H$1107,3,0),"")</f>
        <v/>
      </c>
      <c r="BG274" s="300" t="str">
        <f>_xlfn.IFNA(VLOOKUP($BD274,Programma!$F$3:$I$1107,4,0),"")</f>
        <v/>
      </c>
      <c r="BH274" s="300" t="str">
        <f>_xlfn.IFNA(VLOOKUP($BD274,Programma!$F$3:$J$1107,5,0),"")</f>
        <v/>
      </c>
      <c r="BI274" s="300" t="str">
        <f>_xlfn.IFNA(VLOOKUP($BD274,Programma!$F$3:$K$1107,6,0),"")</f>
        <v/>
      </c>
      <c r="BJ274" s="300" t="str">
        <f>_xlfn.IFNA(VLOOKUP($BD274,Programma!$F$3:$L$1107,7,0),"")</f>
        <v/>
      </c>
      <c r="BK274" s="300" t="str">
        <f>_xlfn.IFNA(VLOOKUP($BD274,Programma!$F$3:$M$1107,8,0),"")</f>
        <v/>
      </c>
      <c r="BL274" s="300" t="str">
        <f>_xlfn.IFNA(VLOOKUP($BD274,Programma!$F$3:$N$1107,9,0),"")</f>
        <v/>
      </c>
      <c r="BM274" s="300" t="str">
        <f>_xlfn.IFNA(VLOOKUP($BD274,Programma!$F$3:$O$1107,10,0),"")</f>
        <v/>
      </c>
      <c r="BN274" s="300" t="str">
        <f>_xlfn.IFNA(VLOOKUP($BD274,Programma!$F$3:$P$1107,11,0),"")</f>
        <v/>
      </c>
      <c r="BO274" s="300" t="str">
        <f>_xlfn.IFNA(VLOOKUP($BD274,Programma!$F$3:$Q$1107,12,0),"")</f>
        <v/>
      </c>
      <c r="BP274" s="300" t="str">
        <f>_xlfn.IFNA(VLOOKUP($BD274,Programma!$F$3:$R$1107,13,0),"")</f>
        <v/>
      </c>
      <c r="BQ274" s="300" t="str">
        <f>_xlfn.IFNA(VLOOKUP($BD274,Programma!$F$3:$S$1107,14,0),"")</f>
        <v/>
      </c>
      <c r="BR274" s="300" t="str">
        <f>_xlfn.IFNA(VLOOKUP($BD274,Programma!$F$3:$T$1107,15,0),"")</f>
        <v/>
      </c>
      <c r="BS274" s="300" t="str">
        <f>_xlfn.IFNA(VLOOKUP($BD274,Programma!$F$3:$U$1107,16,0),"")</f>
        <v/>
      </c>
      <c r="BT274" s="300" t="str">
        <f>_xlfn.IFNA(VLOOKUP($BD274,Programma!$F$3:$V$1107,17,0),"")</f>
        <v/>
      </c>
      <c r="BU274" s="300" t="str">
        <f>_xlfn.IFNA(VLOOKUP($BD274,Programma!$F$3:$W$1107,18,0),"")</f>
        <v/>
      </c>
      <c r="BV274" s="300" t="str">
        <f>_xlfn.IFNA(VLOOKUP($BD274,Programma!$F$3:$X$1107,19,0),"")</f>
        <v/>
      </c>
      <c r="BW274" s="300" t="str">
        <f>_xlfn.IFNA(VLOOKUP($BD274,Programma!$F$3:$Y$1107,20,0),"")</f>
        <v/>
      </c>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row>
    <row r="275" spans="1:220" ht="15" customHeight="1">
      <c r="A275" s="21">
        <v>4</v>
      </c>
      <c r="B275" s="157" t="str">
        <f>VLOOKUP(Ruimtestaat[[#This Row],[Code]],Locaties[[Code]:[Locatie]],2,FALSE)</f>
        <v>Sint-Maartenscollege</v>
      </c>
      <c r="C275" s="157" t="str">
        <f>VLOOKUP(Ruimtestaat[[#This Row],[Code]],Locaties[[#All],[Code]:[Adres]],4,FALSE)</f>
        <v xml:space="preserve">Aart v.d. Leeuwkade 14 </v>
      </c>
      <c r="D275" s="157" t="str">
        <f>VLOOKUP(Ruimtestaat[[#This Row],[Code]],Locaties[[#All],[Code]:[Postcode]],5,FALSE)</f>
        <v>2274 KX</v>
      </c>
      <c r="E275" s="157" t="str">
        <f>VLOOKUP(Ruimtestaat[[#This Row],[Code]],Locaties[#All],6,FALSE)</f>
        <v>Voorburg</v>
      </c>
      <c r="F275" s="62"/>
      <c r="G275" s="21" t="s">
        <v>1624</v>
      </c>
      <c r="H275" s="21" t="s">
        <v>1930</v>
      </c>
      <c r="I275" s="62" t="s">
        <v>1931</v>
      </c>
      <c r="J275" s="21">
        <v>16</v>
      </c>
      <c r="K275" s="62" t="str">
        <f>VLOOKUP(Ruimtestaat[[#This Row],[Ruimte code]],Ruimtegroepen[[#All],[Code]:[Ruimte omschrijving]],2,FALSE)</f>
        <v>Leslokalen theorie</v>
      </c>
      <c r="L275" s="33" t="s">
        <v>101</v>
      </c>
      <c r="M275" s="367" t="s">
        <v>2495</v>
      </c>
      <c r="N275" s="140">
        <v>47</v>
      </c>
      <c r="O275" s="140"/>
      <c r="P275" s="125" t="str">
        <f>VLOOKUP(Ruimtestaat[[#This Row],[Ruimte code]],Ruimtegroepen[],4,FALSE)</f>
        <v>Le</v>
      </c>
      <c r="R275" s="33">
        <v>40</v>
      </c>
      <c r="S275" s="33" t="s">
        <v>2</v>
      </c>
      <c r="T275" s="33">
        <f>IF(R275&gt;0,IF(RIGHT(Ruimtestaat[[#This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5" s="33">
        <f>IF(T275&gt;0,VLOOKUP($J275,Ruimtegroepen[],3,FALSE)*VLOOKUP($L275,Vloersoorten[],3,FALSE)*VLOOKUP($S275,Frequenties[],3,FALSE)*VLOOKUP($A275,Locaties[],3,FALSE),0)</f>
        <v>0</v>
      </c>
      <c r="V275" s="33">
        <f>Ruimtestaat[[#This Row],[Uitvoeringen werkdagen]]*Ruimtestaat[[#This Row],[Oppervlak (netto)]]</f>
        <v>9400</v>
      </c>
      <c r="W275" s="154">
        <f>IF(U275&gt;0,Ruimtestaat[[#This Row],[Prest. (m2 /jaar) werkdagen]]/Ruimtestaat[[#This Row],[Norm (m2/uur) werkdagen]],0)</f>
        <v>0</v>
      </c>
      <c r="X275" s="155">
        <f>Ruimtestaat[[#This Row],[uren / jaar werkdagen]]*Tariefsopbouw!$E$35</f>
        <v>0</v>
      </c>
      <c r="Y275" s="33"/>
      <c r="Z275" s="33">
        <f>IF(Ruimtestaat[[#This Row],[Frequentie weekend]]&gt;0,VALUE(LEFT(Y275,1))*R275,0)</f>
        <v>0</v>
      </c>
      <c r="AA275" s="97">
        <f>IF($Z275&gt;0,VLOOKUP($J275,Ruimtegroepen[],3,FALSE)*VLOOKUP($L275,Vloersoorten[],3,FALSE)*VLOOKUP($Y275,Frequenties[],3,FALSE)*VLOOKUP(Ruimtestaat[[#This Row],[Code]],Locaties[],3,FALSE),0)</f>
        <v>0</v>
      </c>
      <c r="AB275" s="97">
        <f>Ruimtestaat[[#This Row],[Uitvoeringen weekend]]*Ruimtestaat[[#This Row],[Oppervlak (netto)]]</f>
        <v>0</v>
      </c>
      <c r="AC275" s="97">
        <f>IF(AA275&gt;0,Ruimtestaat[[#This Row],[Prest. (m2 /jaar) weekend]]/Ruimtestaat[[#This Row],[Norm (m2/uur) weekend]],0)</f>
        <v>0</v>
      </c>
      <c r="AD275" s="155">
        <f>Ruimtestaat[[#This Row],[uren / jaar weekend]]*Tariefsopbouw!$D$40</f>
        <v>0</v>
      </c>
      <c r="AE275" s="154">
        <f>Ruimtestaat[[#This Row],[Prest. (m2 /jaar) weekend]]+Ruimtestaat[[#This Row],[Prest. (m2 /jaar) werkdagen]]</f>
        <v>9400</v>
      </c>
      <c r="AF275" s="154">
        <f>Ruimtestaat[[#This Row],[uren / jaar weekend]]+Ruimtestaat[[#This Row],[uren / jaar werkdagen]]</f>
        <v>0</v>
      </c>
      <c r="AG275" s="69">
        <f>Ruimtestaat[[#This Row],[kosten / jaar weekend]]+Ruimtestaat[[#This Row],[kosten / jaar werkdagen]]</f>
        <v>0</v>
      </c>
      <c r="AH275" s="69"/>
      <c r="AI275" s="256" t="str">
        <f>IF(Ruimtestaat[[#This Row],[Frequentie werkdagen]]="","",_xlfn.CONCAT(Ruimtestaat[[#This Row],[Ruimte code]],"-",Ruimtestaat[[#This Row],[Frequentie werkdagen]]," ",Ruimtestaat[[#This Row],[Vloer code]]))</f>
        <v>16-5w L</v>
      </c>
      <c r="AJ275" s="300" t="str">
        <f>_xlfn.IFNA(VLOOKUP($AI275,Programma!$F$3:$G$1107,2,0),"")</f>
        <v>_</v>
      </c>
      <c r="AK275" s="300" t="str">
        <f>_xlfn.IFNA(VLOOKUP($AI275,Programma!$F$3:$H$1107,3,0),"")</f>
        <v>_</v>
      </c>
      <c r="AL275" s="300" t="str">
        <f>_xlfn.IFNA(VLOOKUP($AI275,Programma!$F$3:$I$1107,4,0),"")</f>
        <v>4w</v>
      </c>
      <c r="AM275" s="300" t="str">
        <f>_xlfn.IFNA(VLOOKUP($AI275,Programma!$F$3:$J$1107,5,0),"")</f>
        <v>1w</v>
      </c>
      <c r="AN275" s="300" t="str">
        <f>_xlfn.IFNA(VLOOKUP($AI275,Programma!$F$3:$K$1107,6,0),"")</f>
        <v>_</v>
      </c>
      <c r="AO275" s="300" t="str">
        <f>_xlfn.IFNA(VLOOKUP($AI275,Programma!$F$3:$L$1107,7,0),"")</f>
        <v>_</v>
      </c>
      <c r="AP275" s="300" t="str">
        <f>_xlfn.IFNA(VLOOKUP($AI275,Programma!$F$3:$M$1107,8,0),"")</f>
        <v>_</v>
      </c>
      <c r="AQ275" s="300" t="str">
        <f>_xlfn.IFNA(VLOOKUP($AI275,Programma!$F$3:$N$1107,9,0),"")</f>
        <v>_</v>
      </c>
      <c r="AR275" s="300" t="str">
        <f>_xlfn.IFNA(VLOOKUP($AI275,Programma!$F$3:$O$1107,10,0),"")</f>
        <v>5w</v>
      </c>
      <c r="AS275" s="300" t="str">
        <f>_xlfn.IFNA(VLOOKUP($AI275,Programma!$F$3:$P$1107,11,0),"")</f>
        <v>5w</v>
      </c>
      <c r="AT275" s="300" t="str">
        <f>_xlfn.IFNA(VLOOKUP($AI275,Programma!$F$3:$Q$1107,12,0),"")</f>
        <v>1w</v>
      </c>
      <c r="AU275" s="300" t="str">
        <f>_xlfn.IFNA(VLOOKUP($AI275,Programma!$F$3:$R$1107,13,0),"")</f>
        <v>1w</v>
      </c>
      <c r="AV275" s="300" t="str">
        <f>_xlfn.IFNA(VLOOKUP($AI275,Programma!$F$3:$S$1107,14,0),"")</f>
        <v>1m</v>
      </c>
      <c r="AW275" s="300" t="str">
        <f>_xlfn.IFNA(VLOOKUP($AI275,Programma!$F$3:$T$1107,15,0),"")</f>
        <v>2j</v>
      </c>
      <c r="AX275" s="300" t="str">
        <f>_xlfn.IFNA(VLOOKUP($AI275,Programma!$F$3:$U$1107,16,0),"")</f>
        <v>1j</v>
      </c>
      <c r="AY275" s="300" t="str">
        <f>_xlfn.IFNA(VLOOKUP($AI275,Programma!$F$3:$V$1107,17,0),"")</f>
        <v>_</v>
      </c>
      <c r="AZ275" s="300" t="str">
        <f>_xlfn.IFNA(VLOOKUP($AI275,Programma!$F$3:$W$1107,18,0),"")</f>
        <v>_</v>
      </c>
      <c r="BA275" s="300" t="str">
        <f>_xlfn.IFNA(VLOOKUP($AI275,Programma!$F$3:$X$1107,19,0),"")</f>
        <v>_</v>
      </c>
      <c r="BB275" s="300" t="str">
        <f>_xlfn.IFNA(VLOOKUP($AI275,Programma!$F$3:$Y$1107,20,0),"")</f>
        <v>_</v>
      </c>
      <c r="BC275" s="257"/>
      <c r="BD275" s="256" t="str">
        <f>IF(Ruimtestaat[[#This Row],[Frequentie weekend]]="","",_xlfn.CONCAT(Ruimtestaat[[#This Row],[Ruimte code]],"-",Ruimtestaat[[#This Row],[Frequentie weekend]]," ",Ruimtestaat[[#This Row],[Vloer code]]))</f>
        <v/>
      </c>
      <c r="BE275" s="300" t="str">
        <f>_xlfn.IFNA(VLOOKUP($BD275,Programma!$F$3:$G$1107,2,0),"")</f>
        <v/>
      </c>
      <c r="BF275" s="300" t="str">
        <f>_xlfn.IFNA(VLOOKUP($BD275,Programma!$F$3:$H$1107,3,0),"")</f>
        <v/>
      </c>
      <c r="BG275" s="300" t="str">
        <f>_xlfn.IFNA(VLOOKUP($BD275,Programma!$F$3:$I$1107,4,0),"")</f>
        <v/>
      </c>
      <c r="BH275" s="300" t="str">
        <f>_xlfn.IFNA(VLOOKUP($BD275,Programma!$F$3:$J$1107,5,0),"")</f>
        <v/>
      </c>
      <c r="BI275" s="300" t="str">
        <f>_xlfn.IFNA(VLOOKUP($BD275,Programma!$F$3:$K$1107,6,0),"")</f>
        <v/>
      </c>
      <c r="BJ275" s="300" t="str">
        <f>_xlfn.IFNA(VLOOKUP($BD275,Programma!$F$3:$L$1107,7,0),"")</f>
        <v/>
      </c>
      <c r="BK275" s="300" t="str">
        <f>_xlfn.IFNA(VLOOKUP($BD275,Programma!$F$3:$M$1107,8,0),"")</f>
        <v/>
      </c>
      <c r="BL275" s="300" t="str">
        <f>_xlfn.IFNA(VLOOKUP($BD275,Programma!$F$3:$N$1107,9,0),"")</f>
        <v/>
      </c>
      <c r="BM275" s="300" t="str">
        <f>_xlfn.IFNA(VLOOKUP($BD275,Programma!$F$3:$O$1107,10,0),"")</f>
        <v/>
      </c>
      <c r="BN275" s="300" t="str">
        <f>_xlfn.IFNA(VLOOKUP($BD275,Programma!$F$3:$P$1107,11,0),"")</f>
        <v/>
      </c>
      <c r="BO275" s="300" t="str">
        <f>_xlfn.IFNA(VLOOKUP($BD275,Programma!$F$3:$Q$1107,12,0),"")</f>
        <v/>
      </c>
      <c r="BP275" s="300" t="str">
        <f>_xlfn.IFNA(VLOOKUP($BD275,Programma!$F$3:$R$1107,13,0),"")</f>
        <v/>
      </c>
      <c r="BQ275" s="300" t="str">
        <f>_xlfn.IFNA(VLOOKUP($BD275,Programma!$F$3:$S$1107,14,0),"")</f>
        <v/>
      </c>
      <c r="BR275" s="300" t="str">
        <f>_xlfn.IFNA(VLOOKUP($BD275,Programma!$F$3:$T$1107,15,0),"")</f>
        <v/>
      </c>
      <c r="BS275" s="300" t="str">
        <f>_xlfn.IFNA(VLOOKUP($BD275,Programma!$F$3:$U$1107,16,0),"")</f>
        <v/>
      </c>
      <c r="BT275" s="300" t="str">
        <f>_xlfn.IFNA(VLOOKUP($BD275,Programma!$F$3:$V$1107,17,0),"")</f>
        <v/>
      </c>
      <c r="BU275" s="300" t="str">
        <f>_xlfn.IFNA(VLOOKUP($BD275,Programma!$F$3:$W$1107,18,0),"")</f>
        <v/>
      </c>
      <c r="BV275" s="300" t="str">
        <f>_xlfn.IFNA(VLOOKUP($BD275,Programma!$F$3:$X$1107,19,0),"")</f>
        <v/>
      </c>
      <c r="BW275" s="300" t="str">
        <f>_xlfn.IFNA(VLOOKUP($BD275,Programma!$F$3:$Y$1107,20,0),"")</f>
        <v/>
      </c>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row>
    <row r="276" spans="1:220" ht="15" customHeight="1">
      <c r="A276" s="21">
        <v>4</v>
      </c>
      <c r="B276" s="157" t="str">
        <f>VLOOKUP(Ruimtestaat[[#This Row],[Code]],Locaties[[Code]:[Locatie]],2,FALSE)</f>
        <v>Sint-Maartenscollege</v>
      </c>
      <c r="C276" s="157" t="str">
        <f>VLOOKUP(Ruimtestaat[[#This Row],[Code]],Locaties[[#All],[Code]:[Adres]],4,FALSE)</f>
        <v xml:space="preserve">Aart v.d. Leeuwkade 14 </v>
      </c>
      <c r="D276" s="157" t="str">
        <f>VLOOKUP(Ruimtestaat[[#This Row],[Code]],Locaties[[#All],[Code]:[Postcode]],5,FALSE)</f>
        <v>2274 KX</v>
      </c>
      <c r="E276" s="157" t="str">
        <f>VLOOKUP(Ruimtestaat[[#This Row],[Code]],Locaties[#All],6,FALSE)</f>
        <v>Voorburg</v>
      </c>
      <c r="F276" s="62"/>
      <c r="G276" s="21" t="s">
        <v>1624</v>
      </c>
      <c r="H276" s="21" t="s">
        <v>1932</v>
      </c>
      <c r="I276" s="62" t="s">
        <v>1933</v>
      </c>
      <c r="J276" s="21">
        <v>16</v>
      </c>
      <c r="K276" s="62" t="str">
        <f>VLOOKUP(Ruimtestaat[[#This Row],[Ruimte code]],Ruimtegroepen[[#All],[Code]:[Ruimte omschrijving]],2,FALSE)</f>
        <v>Leslokalen theorie</v>
      </c>
      <c r="L276" s="33" t="s">
        <v>101</v>
      </c>
      <c r="M276" s="367" t="s">
        <v>2495</v>
      </c>
      <c r="N276" s="140">
        <v>47</v>
      </c>
      <c r="O276" s="140"/>
      <c r="P276" s="125" t="str">
        <f>VLOOKUP(Ruimtestaat[[#This Row],[Ruimte code]],Ruimtegroepen[],4,FALSE)</f>
        <v>Le</v>
      </c>
      <c r="R276" s="33">
        <v>40</v>
      </c>
      <c r="S276" s="33" t="s">
        <v>2</v>
      </c>
      <c r="T276" s="33">
        <f>IF(R276&gt;0,IF(RIGHT(Ruimtestaat[[#This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6" s="33">
        <f>IF(T276&gt;0,VLOOKUP($J276,Ruimtegroepen[],3,FALSE)*VLOOKUP($L276,Vloersoorten[],3,FALSE)*VLOOKUP($S276,Frequenties[],3,FALSE)*VLOOKUP($A276,Locaties[],3,FALSE),0)</f>
        <v>0</v>
      </c>
      <c r="V276" s="33">
        <f>Ruimtestaat[[#This Row],[Uitvoeringen werkdagen]]*Ruimtestaat[[#This Row],[Oppervlak (netto)]]</f>
        <v>9400</v>
      </c>
      <c r="W276" s="154">
        <f>IF(U276&gt;0,Ruimtestaat[[#This Row],[Prest. (m2 /jaar) werkdagen]]/Ruimtestaat[[#This Row],[Norm (m2/uur) werkdagen]],0)</f>
        <v>0</v>
      </c>
      <c r="X276" s="155">
        <f>Ruimtestaat[[#This Row],[uren / jaar werkdagen]]*Tariefsopbouw!$E$35</f>
        <v>0</v>
      </c>
      <c r="Y276" s="33"/>
      <c r="Z276" s="33">
        <f>IF(Ruimtestaat[[#This Row],[Frequentie weekend]]&gt;0,VALUE(LEFT(Y276,1))*R276,0)</f>
        <v>0</v>
      </c>
      <c r="AA276" s="97">
        <f>IF($Z276&gt;0,VLOOKUP($J276,Ruimtegroepen[],3,FALSE)*VLOOKUP($L276,Vloersoorten[],3,FALSE)*VLOOKUP($Y276,Frequenties[],3,FALSE)*VLOOKUP(Ruimtestaat[[#This Row],[Code]],Locaties[],3,FALSE),0)</f>
        <v>0</v>
      </c>
      <c r="AB276" s="97">
        <f>Ruimtestaat[[#This Row],[Uitvoeringen weekend]]*Ruimtestaat[[#This Row],[Oppervlak (netto)]]</f>
        <v>0</v>
      </c>
      <c r="AC276" s="97">
        <f>IF(AA276&gt;0,Ruimtestaat[[#This Row],[Prest. (m2 /jaar) weekend]]/Ruimtestaat[[#This Row],[Norm (m2/uur) weekend]],0)</f>
        <v>0</v>
      </c>
      <c r="AD276" s="155">
        <f>Ruimtestaat[[#This Row],[uren / jaar weekend]]*Tariefsopbouw!$D$40</f>
        <v>0</v>
      </c>
      <c r="AE276" s="154">
        <f>Ruimtestaat[[#This Row],[Prest. (m2 /jaar) weekend]]+Ruimtestaat[[#This Row],[Prest. (m2 /jaar) werkdagen]]</f>
        <v>9400</v>
      </c>
      <c r="AF276" s="154">
        <f>Ruimtestaat[[#This Row],[uren / jaar weekend]]+Ruimtestaat[[#This Row],[uren / jaar werkdagen]]</f>
        <v>0</v>
      </c>
      <c r="AG276" s="69">
        <f>Ruimtestaat[[#This Row],[kosten / jaar weekend]]+Ruimtestaat[[#This Row],[kosten / jaar werkdagen]]</f>
        <v>0</v>
      </c>
      <c r="AH276" s="69"/>
      <c r="AI276" s="256" t="str">
        <f>IF(Ruimtestaat[[#This Row],[Frequentie werkdagen]]="","",_xlfn.CONCAT(Ruimtestaat[[#This Row],[Ruimte code]],"-",Ruimtestaat[[#This Row],[Frequentie werkdagen]]," ",Ruimtestaat[[#This Row],[Vloer code]]))</f>
        <v>16-5w L</v>
      </c>
      <c r="AJ276" s="300" t="str">
        <f>_xlfn.IFNA(VLOOKUP($AI276,Programma!$F$3:$G$1107,2,0),"")</f>
        <v>_</v>
      </c>
      <c r="AK276" s="300" t="str">
        <f>_xlfn.IFNA(VLOOKUP($AI276,Programma!$F$3:$H$1107,3,0),"")</f>
        <v>_</v>
      </c>
      <c r="AL276" s="300" t="str">
        <f>_xlfn.IFNA(VLOOKUP($AI276,Programma!$F$3:$I$1107,4,0),"")</f>
        <v>4w</v>
      </c>
      <c r="AM276" s="300" t="str">
        <f>_xlfn.IFNA(VLOOKUP($AI276,Programma!$F$3:$J$1107,5,0),"")</f>
        <v>1w</v>
      </c>
      <c r="AN276" s="300" t="str">
        <f>_xlfn.IFNA(VLOOKUP($AI276,Programma!$F$3:$K$1107,6,0),"")</f>
        <v>_</v>
      </c>
      <c r="AO276" s="300" t="str">
        <f>_xlfn.IFNA(VLOOKUP($AI276,Programma!$F$3:$L$1107,7,0),"")</f>
        <v>_</v>
      </c>
      <c r="AP276" s="300" t="str">
        <f>_xlfn.IFNA(VLOOKUP($AI276,Programma!$F$3:$M$1107,8,0),"")</f>
        <v>_</v>
      </c>
      <c r="AQ276" s="300" t="str">
        <f>_xlfn.IFNA(VLOOKUP($AI276,Programma!$F$3:$N$1107,9,0),"")</f>
        <v>_</v>
      </c>
      <c r="AR276" s="300" t="str">
        <f>_xlfn.IFNA(VLOOKUP($AI276,Programma!$F$3:$O$1107,10,0),"")</f>
        <v>5w</v>
      </c>
      <c r="AS276" s="300" t="str">
        <f>_xlfn.IFNA(VLOOKUP($AI276,Programma!$F$3:$P$1107,11,0),"")</f>
        <v>5w</v>
      </c>
      <c r="AT276" s="300" t="str">
        <f>_xlfn.IFNA(VLOOKUP($AI276,Programma!$F$3:$Q$1107,12,0),"")</f>
        <v>1w</v>
      </c>
      <c r="AU276" s="300" t="str">
        <f>_xlfn.IFNA(VLOOKUP($AI276,Programma!$F$3:$R$1107,13,0),"")</f>
        <v>1w</v>
      </c>
      <c r="AV276" s="300" t="str">
        <f>_xlfn.IFNA(VLOOKUP($AI276,Programma!$F$3:$S$1107,14,0),"")</f>
        <v>1m</v>
      </c>
      <c r="AW276" s="300" t="str">
        <f>_xlfn.IFNA(VLOOKUP($AI276,Programma!$F$3:$T$1107,15,0),"")</f>
        <v>2j</v>
      </c>
      <c r="AX276" s="300" t="str">
        <f>_xlfn.IFNA(VLOOKUP($AI276,Programma!$F$3:$U$1107,16,0),"")</f>
        <v>1j</v>
      </c>
      <c r="AY276" s="300" t="str">
        <f>_xlfn.IFNA(VLOOKUP($AI276,Programma!$F$3:$V$1107,17,0),"")</f>
        <v>_</v>
      </c>
      <c r="AZ276" s="300" t="str">
        <f>_xlfn.IFNA(VLOOKUP($AI276,Programma!$F$3:$W$1107,18,0),"")</f>
        <v>_</v>
      </c>
      <c r="BA276" s="300" t="str">
        <f>_xlfn.IFNA(VLOOKUP($AI276,Programma!$F$3:$X$1107,19,0),"")</f>
        <v>_</v>
      </c>
      <c r="BB276" s="300" t="str">
        <f>_xlfn.IFNA(VLOOKUP($AI276,Programma!$F$3:$Y$1107,20,0),"")</f>
        <v>_</v>
      </c>
      <c r="BC276" s="257"/>
      <c r="BD276" s="256" t="str">
        <f>IF(Ruimtestaat[[#This Row],[Frequentie weekend]]="","",_xlfn.CONCAT(Ruimtestaat[[#This Row],[Ruimte code]],"-",Ruimtestaat[[#This Row],[Frequentie weekend]]," ",Ruimtestaat[[#This Row],[Vloer code]]))</f>
        <v/>
      </c>
      <c r="BE276" s="300" t="str">
        <f>_xlfn.IFNA(VLOOKUP($BD276,Programma!$F$3:$G$1107,2,0),"")</f>
        <v/>
      </c>
      <c r="BF276" s="300" t="str">
        <f>_xlfn.IFNA(VLOOKUP($BD276,Programma!$F$3:$H$1107,3,0),"")</f>
        <v/>
      </c>
      <c r="BG276" s="300" t="str">
        <f>_xlfn.IFNA(VLOOKUP($BD276,Programma!$F$3:$I$1107,4,0),"")</f>
        <v/>
      </c>
      <c r="BH276" s="300" t="str">
        <f>_xlfn.IFNA(VLOOKUP($BD276,Programma!$F$3:$J$1107,5,0),"")</f>
        <v/>
      </c>
      <c r="BI276" s="300" t="str">
        <f>_xlfn.IFNA(VLOOKUP($BD276,Programma!$F$3:$K$1107,6,0),"")</f>
        <v/>
      </c>
      <c r="BJ276" s="300" t="str">
        <f>_xlfn.IFNA(VLOOKUP($BD276,Programma!$F$3:$L$1107,7,0),"")</f>
        <v/>
      </c>
      <c r="BK276" s="300" t="str">
        <f>_xlfn.IFNA(VLOOKUP($BD276,Programma!$F$3:$M$1107,8,0),"")</f>
        <v/>
      </c>
      <c r="BL276" s="300" t="str">
        <f>_xlfn.IFNA(VLOOKUP($BD276,Programma!$F$3:$N$1107,9,0),"")</f>
        <v/>
      </c>
      <c r="BM276" s="300" t="str">
        <f>_xlfn.IFNA(VLOOKUP($BD276,Programma!$F$3:$O$1107,10,0),"")</f>
        <v/>
      </c>
      <c r="BN276" s="300" t="str">
        <f>_xlfn.IFNA(VLOOKUP($BD276,Programma!$F$3:$P$1107,11,0),"")</f>
        <v/>
      </c>
      <c r="BO276" s="300" t="str">
        <f>_xlfn.IFNA(VLOOKUP($BD276,Programma!$F$3:$Q$1107,12,0),"")</f>
        <v/>
      </c>
      <c r="BP276" s="300" t="str">
        <f>_xlfn.IFNA(VLOOKUP($BD276,Programma!$F$3:$R$1107,13,0),"")</f>
        <v/>
      </c>
      <c r="BQ276" s="300" t="str">
        <f>_xlfn.IFNA(VLOOKUP($BD276,Programma!$F$3:$S$1107,14,0),"")</f>
        <v/>
      </c>
      <c r="BR276" s="300" t="str">
        <f>_xlfn.IFNA(VLOOKUP($BD276,Programma!$F$3:$T$1107,15,0),"")</f>
        <v/>
      </c>
      <c r="BS276" s="300" t="str">
        <f>_xlfn.IFNA(VLOOKUP($BD276,Programma!$F$3:$U$1107,16,0),"")</f>
        <v/>
      </c>
      <c r="BT276" s="300" t="str">
        <f>_xlfn.IFNA(VLOOKUP($BD276,Programma!$F$3:$V$1107,17,0),"")</f>
        <v/>
      </c>
      <c r="BU276" s="300" t="str">
        <f>_xlfn.IFNA(VLOOKUP($BD276,Programma!$F$3:$W$1107,18,0),"")</f>
        <v/>
      </c>
      <c r="BV276" s="300" t="str">
        <f>_xlfn.IFNA(VLOOKUP($BD276,Programma!$F$3:$X$1107,19,0),"")</f>
        <v/>
      </c>
      <c r="BW276" s="300" t="str">
        <f>_xlfn.IFNA(VLOOKUP($BD276,Programma!$F$3:$Y$1107,20,0),"")</f>
        <v/>
      </c>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row>
    <row r="277" spans="1:220" ht="15" customHeight="1">
      <c r="A277" s="21">
        <v>4</v>
      </c>
      <c r="B277" s="157" t="str">
        <f>VLOOKUP(Ruimtestaat[[#This Row],[Code]],Locaties[[Code]:[Locatie]],2,FALSE)</f>
        <v>Sint-Maartenscollege</v>
      </c>
      <c r="C277" s="157" t="str">
        <f>VLOOKUP(Ruimtestaat[[#This Row],[Code]],Locaties[[#All],[Code]:[Adres]],4,FALSE)</f>
        <v xml:space="preserve">Aart v.d. Leeuwkade 14 </v>
      </c>
      <c r="D277" s="157" t="str">
        <f>VLOOKUP(Ruimtestaat[[#This Row],[Code]],Locaties[[#All],[Code]:[Postcode]],5,FALSE)</f>
        <v>2274 KX</v>
      </c>
      <c r="E277" s="157" t="str">
        <f>VLOOKUP(Ruimtestaat[[#This Row],[Code]],Locaties[#All],6,FALSE)</f>
        <v>Voorburg</v>
      </c>
      <c r="F277" s="62"/>
      <c r="G277" s="21" t="s">
        <v>1624</v>
      </c>
      <c r="H277" s="21" t="s">
        <v>1934</v>
      </c>
      <c r="I277" s="62" t="s">
        <v>1935</v>
      </c>
      <c r="J277" s="21">
        <v>16</v>
      </c>
      <c r="K277" s="62" t="str">
        <f>VLOOKUP(Ruimtestaat[[#This Row],[Ruimte code]],Ruimtegroepen[[#All],[Code]:[Ruimte omschrijving]],2,FALSE)</f>
        <v>Leslokalen theorie</v>
      </c>
      <c r="L277" s="33" t="s">
        <v>101</v>
      </c>
      <c r="M277" s="367" t="s">
        <v>2495</v>
      </c>
      <c r="N277" s="140">
        <v>47</v>
      </c>
      <c r="O277" s="140"/>
      <c r="P277" s="125" t="str">
        <f>VLOOKUP(Ruimtestaat[[#This Row],[Ruimte code]],Ruimtegroepen[],4,FALSE)</f>
        <v>Le</v>
      </c>
      <c r="R277" s="33">
        <v>40</v>
      </c>
      <c r="S277" s="33" t="s">
        <v>2</v>
      </c>
      <c r="T277" s="33">
        <f>IF(R277&gt;0,IF(RIGHT(Ruimtestaat[[#This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7" s="33">
        <f>IF(T277&gt;0,VLOOKUP($J277,Ruimtegroepen[],3,FALSE)*VLOOKUP($L277,Vloersoorten[],3,FALSE)*VLOOKUP($S277,Frequenties[],3,FALSE)*VLOOKUP($A277,Locaties[],3,FALSE),0)</f>
        <v>0</v>
      </c>
      <c r="V277" s="33">
        <f>Ruimtestaat[[#This Row],[Uitvoeringen werkdagen]]*Ruimtestaat[[#This Row],[Oppervlak (netto)]]</f>
        <v>9400</v>
      </c>
      <c r="W277" s="154">
        <f>IF(U277&gt;0,Ruimtestaat[[#This Row],[Prest. (m2 /jaar) werkdagen]]/Ruimtestaat[[#This Row],[Norm (m2/uur) werkdagen]],0)</f>
        <v>0</v>
      </c>
      <c r="X277" s="155">
        <f>Ruimtestaat[[#This Row],[uren / jaar werkdagen]]*Tariefsopbouw!$E$35</f>
        <v>0</v>
      </c>
      <c r="Y277" s="33"/>
      <c r="Z277" s="33">
        <f>IF(Ruimtestaat[[#This Row],[Frequentie weekend]]&gt;0,VALUE(LEFT(Y277,1))*R277,0)</f>
        <v>0</v>
      </c>
      <c r="AA277" s="97">
        <f>IF($Z277&gt;0,VLOOKUP($J277,Ruimtegroepen[],3,FALSE)*VLOOKUP($L277,Vloersoorten[],3,FALSE)*VLOOKUP($Y277,Frequenties[],3,FALSE)*VLOOKUP(Ruimtestaat[[#This Row],[Code]],Locaties[],3,FALSE),0)</f>
        <v>0</v>
      </c>
      <c r="AB277" s="97">
        <f>Ruimtestaat[[#This Row],[Uitvoeringen weekend]]*Ruimtestaat[[#This Row],[Oppervlak (netto)]]</f>
        <v>0</v>
      </c>
      <c r="AC277" s="97">
        <f>IF(AA277&gt;0,Ruimtestaat[[#This Row],[Prest. (m2 /jaar) weekend]]/Ruimtestaat[[#This Row],[Norm (m2/uur) weekend]],0)</f>
        <v>0</v>
      </c>
      <c r="AD277" s="155">
        <f>Ruimtestaat[[#This Row],[uren / jaar weekend]]*Tariefsopbouw!$D$40</f>
        <v>0</v>
      </c>
      <c r="AE277" s="154">
        <f>Ruimtestaat[[#This Row],[Prest. (m2 /jaar) weekend]]+Ruimtestaat[[#This Row],[Prest. (m2 /jaar) werkdagen]]</f>
        <v>9400</v>
      </c>
      <c r="AF277" s="154">
        <f>Ruimtestaat[[#This Row],[uren / jaar weekend]]+Ruimtestaat[[#This Row],[uren / jaar werkdagen]]</f>
        <v>0</v>
      </c>
      <c r="AG277" s="69">
        <f>Ruimtestaat[[#This Row],[kosten / jaar weekend]]+Ruimtestaat[[#This Row],[kosten / jaar werkdagen]]</f>
        <v>0</v>
      </c>
      <c r="AH277" s="69"/>
      <c r="AI277" s="256" t="str">
        <f>IF(Ruimtestaat[[#This Row],[Frequentie werkdagen]]="","",_xlfn.CONCAT(Ruimtestaat[[#This Row],[Ruimte code]],"-",Ruimtestaat[[#This Row],[Frequentie werkdagen]]," ",Ruimtestaat[[#This Row],[Vloer code]]))</f>
        <v>16-5w L</v>
      </c>
      <c r="AJ277" s="300" t="str">
        <f>_xlfn.IFNA(VLOOKUP($AI277,Programma!$F$3:$G$1107,2,0),"")</f>
        <v>_</v>
      </c>
      <c r="AK277" s="300" t="str">
        <f>_xlfn.IFNA(VLOOKUP($AI277,Programma!$F$3:$H$1107,3,0),"")</f>
        <v>_</v>
      </c>
      <c r="AL277" s="300" t="str">
        <f>_xlfn.IFNA(VLOOKUP($AI277,Programma!$F$3:$I$1107,4,0),"")</f>
        <v>4w</v>
      </c>
      <c r="AM277" s="300" t="str">
        <f>_xlfn.IFNA(VLOOKUP($AI277,Programma!$F$3:$J$1107,5,0),"")</f>
        <v>1w</v>
      </c>
      <c r="AN277" s="300" t="str">
        <f>_xlfn.IFNA(VLOOKUP($AI277,Programma!$F$3:$K$1107,6,0),"")</f>
        <v>_</v>
      </c>
      <c r="AO277" s="300" t="str">
        <f>_xlfn.IFNA(VLOOKUP($AI277,Programma!$F$3:$L$1107,7,0),"")</f>
        <v>_</v>
      </c>
      <c r="AP277" s="300" t="str">
        <f>_xlfn.IFNA(VLOOKUP($AI277,Programma!$F$3:$M$1107,8,0),"")</f>
        <v>_</v>
      </c>
      <c r="AQ277" s="300" t="str">
        <f>_xlfn.IFNA(VLOOKUP($AI277,Programma!$F$3:$N$1107,9,0),"")</f>
        <v>_</v>
      </c>
      <c r="AR277" s="300" t="str">
        <f>_xlfn.IFNA(VLOOKUP($AI277,Programma!$F$3:$O$1107,10,0),"")</f>
        <v>5w</v>
      </c>
      <c r="AS277" s="300" t="str">
        <f>_xlfn.IFNA(VLOOKUP($AI277,Programma!$F$3:$P$1107,11,0),"")</f>
        <v>5w</v>
      </c>
      <c r="AT277" s="300" t="str">
        <f>_xlfn.IFNA(VLOOKUP($AI277,Programma!$F$3:$Q$1107,12,0),"")</f>
        <v>1w</v>
      </c>
      <c r="AU277" s="300" t="str">
        <f>_xlfn.IFNA(VLOOKUP($AI277,Programma!$F$3:$R$1107,13,0),"")</f>
        <v>1w</v>
      </c>
      <c r="AV277" s="300" t="str">
        <f>_xlfn.IFNA(VLOOKUP($AI277,Programma!$F$3:$S$1107,14,0),"")</f>
        <v>1m</v>
      </c>
      <c r="AW277" s="300" t="str">
        <f>_xlfn.IFNA(VLOOKUP($AI277,Programma!$F$3:$T$1107,15,0),"")</f>
        <v>2j</v>
      </c>
      <c r="AX277" s="300" t="str">
        <f>_xlfn.IFNA(VLOOKUP($AI277,Programma!$F$3:$U$1107,16,0),"")</f>
        <v>1j</v>
      </c>
      <c r="AY277" s="300" t="str">
        <f>_xlfn.IFNA(VLOOKUP($AI277,Programma!$F$3:$V$1107,17,0),"")</f>
        <v>_</v>
      </c>
      <c r="AZ277" s="300" t="str">
        <f>_xlfn.IFNA(VLOOKUP($AI277,Programma!$F$3:$W$1107,18,0),"")</f>
        <v>_</v>
      </c>
      <c r="BA277" s="300" t="str">
        <f>_xlfn.IFNA(VLOOKUP($AI277,Programma!$F$3:$X$1107,19,0),"")</f>
        <v>_</v>
      </c>
      <c r="BB277" s="300" t="str">
        <f>_xlfn.IFNA(VLOOKUP($AI277,Programma!$F$3:$Y$1107,20,0),"")</f>
        <v>_</v>
      </c>
      <c r="BC277" s="257"/>
      <c r="BD277" s="256" t="str">
        <f>IF(Ruimtestaat[[#This Row],[Frequentie weekend]]="","",_xlfn.CONCAT(Ruimtestaat[[#This Row],[Ruimte code]],"-",Ruimtestaat[[#This Row],[Frequentie weekend]]," ",Ruimtestaat[[#This Row],[Vloer code]]))</f>
        <v/>
      </c>
      <c r="BE277" s="300" t="str">
        <f>_xlfn.IFNA(VLOOKUP($BD277,Programma!$F$3:$G$1107,2,0),"")</f>
        <v/>
      </c>
      <c r="BF277" s="300" t="str">
        <f>_xlfn.IFNA(VLOOKUP($BD277,Programma!$F$3:$H$1107,3,0),"")</f>
        <v/>
      </c>
      <c r="BG277" s="300" t="str">
        <f>_xlfn.IFNA(VLOOKUP($BD277,Programma!$F$3:$I$1107,4,0),"")</f>
        <v/>
      </c>
      <c r="BH277" s="300" t="str">
        <f>_xlfn.IFNA(VLOOKUP($BD277,Programma!$F$3:$J$1107,5,0),"")</f>
        <v/>
      </c>
      <c r="BI277" s="300" t="str">
        <f>_xlfn.IFNA(VLOOKUP($BD277,Programma!$F$3:$K$1107,6,0),"")</f>
        <v/>
      </c>
      <c r="BJ277" s="300" t="str">
        <f>_xlfn.IFNA(VLOOKUP($BD277,Programma!$F$3:$L$1107,7,0),"")</f>
        <v/>
      </c>
      <c r="BK277" s="300" t="str">
        <f>_xlfn.IFNA(VLOOKUP($BD277,Programma!$F$3:$M$1107,8,0),"")</f>
        <v/>
      </c>
      <c r="BL277" s="300" t="str">
        <f>_xlfn.IFNA(VLOOKUP($BD277,Programma!$F$3:$N$1107,9,0),"")</f>
        <v/>
      </c>
      <c r="BM277" s="300" t="str">
        <f>_xlfn.IFNA(VLOOKUP($BD277,Programma!$F$3:$O$1107,10,0),"")</f>
        <v/>
      </c>
      <c r="BN277" s="300" t="str">
        <f>_xlfn.IFNA(VLOOKUP($BD277,Programma!$F$3:$P$1107,11,0),"")</f>
        <v/>
      </c>
      <c r="BO277" s="300" t="str">
        <f>_xlfn.IFNA(VLOOKUP($BD277,Programma!$F$3:$Q$1107,12,0),"")</f>
        <v/>
      </c>
      <c r="BP277" s="300" t="str">
        <f>_xlfn.IFNA(VLOOKUP($BD277,Programma!$F$3:$R$1107,13,0),"")</f>
        <v/>
      </c>
      <c r="BQ277" s="300" t="str">
        <f>_xlfn.IFNA(VLOOKUP($BD277,Programma!$F$3:$S$1107,14,0),"")</f>
        <v/>
      </c>
      <c r="BR277" s="300" t="str">
        <f>_xlfn.IFNA(VLOOKUP($BD277,Programma!$F$3:$T$1107,15,0),"")</f>
        <v/>
      </c>
      <c r="BS277" s="300" t="str">
        <f>_xlfn.IFNA(VLOOKUP($BD277,Programma!$F$3:$U$1107,16,0),"")</f>
        <v/>
      </c>
      <c r="BT277" s="300" t="str">
        <f>_xlfn.IFNA(VLOOKUP($BD277,Programma!$F$3:$V$1107,17,0),"")</f>
        <v/>
      </c>
      <c r="BU277" s="300" t="str">
        <f>_xlfn.IFNA(VLOOKUP($BD277,Programma!$F$3:$W$1107,18,0),"")</f>
        <v/>
      </c>
      <c r="BV277" s="300" t="str">
        <f>_xlfn.IFNA(VLOOKUP($BD277,Programma!$F$3:$X$1107,19,0),"")</f>
        <v/>
      </c>
      <c r="BW277" s="300" t="str">
        <f>_xlfn.IFNA(VLOOKUP($BD277,Programma!$F$3:$Y$1107,20,0),"")</f>
        <v/>
      </c>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row>
    <row r="278" spans="1:220" ht="15" customHeight="1">
      <c r="A278" s="21">
        <v>4</v>
      </c>
      <c r="B278" s="157" t="str">
        <f>VLOOKUP(Ruimtestaat[[#This Row],[Code]],Locaties[[Code]:[Locatie]],2,FALSE)</f>
        <v>Sint-Maartenscollege</v>
      </c>
      <c r="C278" s="157" t="str">
        <f>VLOOKUP(Ruimtestaat[[#This Row],[Code]],Locaties[[#All],[Code]:[Adres]],4,FALSE)</f>
        <v xml:space="preserve">Aart v.d. Leeuwkade 14 </v>
      </c>
      <c r="D278" s="157" t="str">
        <f>VLOOKUP(Ruimtestaat[[#This Row],[Code]],Locaties[[#All],[Code]:[Postcode]],5,FALSE)</f>
        <v>2274 KX</v>
      </c>
      <c r="E278" s="157" t="str">
        <f>VLOOKUP(Ruimtestaat[[#This Row],[Code]],Locaties[#All],6,FALSE)</f>
        <v>Voorburg</v>
      </c>
      <c r="F278" s="62"/>
      <c r="G278" s="21" t="s">
        <v>1624</v>
      </c>
      <c r="H278" s="21" t="s">
        <v>1936</v>
      </c>
      <c r="I278" s="62" t="s">
        <v>1937</v>
      </c>
      <c r="J278" s="21">
        <v>16</v>
      </c>
      <c r="K278" s="62" t="str">
        <f>VLOOKUP(Ruimtestaat[[#This Row],[Ruimte code]],Ruimtegroepen[[#All],[Code]:[Ruimte omschrijving]],2,FALSE)</f>
        <v>Leslokalen theorie</v>
      </c>
      <c r="L278" s="33" t="s">
        <v>101</v>
      </c>
      <c r="M278" s="367" t="s">
        <v>2495</v>
      </c>
      <c r="N278" s="140">
        <v>48</v>
      </c>
      <c r="O278" s="140"/>
      <c r="P278" s="125" t="str">
        <f>VLOOKUP(Ruimtestaat[[#This Row],[Ruimte code]],Ruimtegroepen[],4,FALSE)</f>
        <v>Le</v>
      </c>
      <c r="R278" s="33">
        <v>40</v>
      </c>
      <c r="S278" s="33" t="s">
        <v>2</v>
      </c>
      <c r="T278" s="33">
        <f>IF(R278&gt;0,IF(RIGHT(Ruimtestaat[[#This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8" s="33">
        <f>IF(T278&gt;0,VLOOKUP($J278,Ruimtegroepen[],3,FALSE)*VLOOKUP($L278,Vloersoorten[],3,FALSE)*VLOOKUP($S278,Frequenties[],3,FALSE)*VLOOKUP($A278,Locaties[],3,FALSE),0)</f>
        <v>0</v>
      </c>
      <c r="V278" s="33">
        <f>Ruimtestaat[[#This Row],[Uitvoeringen werkdagen]]*Ruimtestaat[[#This Row],[Oppervlak (netto)]]</f>
        <v>9600</v>
      </c>
      <c r="W278" s="154">
        <f>IF(U278&gt;0,Ruimtestaat[[#This Row],[Prest. (m2 /jaar) werkdagen]]/Ruimtestaat[[#This Row],[Norm (m2/uur) werkdagen]],0)</f>
        <v>0</v>
      </c>
      <c r="X278" s="155">
        <f>Ruimtestaat[[#This Row],[uren / jaar werkdagen]]*Tariefsopbouw!$E$35</f>
        <v>0</v>
      </c>
      <c r="Y278" s="33"/>
      <c r="Z278" s="33">
        <f>IF(Ruimtestaat[[#This Row],[Frequentie weekend]]&gt;0,VALUE(LEFT(Y278,1))*R278,0)</f>
        <v>0</v>
      </c>
      <c r="AA278" s="97">
        <f>IF($Z278&gt;0,VLOOKUP($J278,Ruimtegroepen[],3,FALSE)*VLOOKUP($L278,Vloersoorten[],3,FALSE)*VLOOKUP($Y278,Frequenties[],3,FALSE)*VLOOKUP(Ruimtestaat[[#This Row],[Code]],Locaties[],3,FALSE),0)</f>
        <v>0</v>
      </c>
      <c r="AB278" s="97">
        <f>Ruimtestaat[[#This Row],[Uitvoeringen weekend]]*Ruimtestaat[[#This Row],[Oppervlak (netto)]]</f>
        <v>0</v>
      </c>
      <c r="AC278" s="97">
        <f>IF(AA278&gt;0,Ruimtestaat[[#This Row],[Prest. (m2 /jaar) weekend]]/Ruimtestaat[[#This Row],[Norm (m2/uur) weekend]],0)</f>
        <v>0</v>
      </c>
      <c r="AD278" s="155">
        <f>Ruimtestaat[[#This Row],[uren / jaar weekend]]*Tariefsopbouw!$D$40</f>
        <v>0</v>
      </c>
      <c r="AE278" s="154">
        <f>Ruimtestaat[[#This Row],[Prest. (m2 /jaar) weekend]]+Ruimtestaat[[#This Row],[Prest. (m2 /jaar) werkdagen]]</f>
        <v>9600</v>
      </c>
      <c r="AF278" s="154">
        <f>Ruimtestaat[[#This Row],[uren / jaar weekend]]+Ruimtestaat[[#This Row],[uren / jaar werkdagen]]</f>
        <v>0</v>
      </c>
      <c r="AG278" s="69">
        <f>Ruimtestaat[[#This Row],[kosten / jaar weekend]]+Ruimtestaat[[#This Row],[kosten / jaar werkdagen]]</f>
        <v>0</v>
      </c>
      <c r="AH278" s="69"/>
      <c r="AI278" s="256" t="str">
        <f>IF(Ruimtestaat[[#This Row],[Frequentie werkdagen]]="","",_xlfn.CONCAT(Ruimtestaat[[#This Row],[Ruimte code]],"-",Ruimtestaat[[#This Row],[Frequentie werkdagen]]," ",Ruimtestaat[[#This Row],[Vloer code]]))</f>
        <v>16-5w L</v>
      </c>
      <c r="AJ278" s="300" t="str">
        <f>_xlfn.IFNA(VLOOKUP($AI278,Programma!$F$3:$G$1107,2,0),"")</f>
        <v>_</v>
      </c>
      <c r="AK278" s="300" t="str">
        <f>_xlfn.IFNA(VLOOKUP($AI278,Programma!$F$3:$H$1107,3,0),"")</f>
        <v>_</v>
      </c>
      <c r="AL278" s="300" t="str">
        <f>_xlfn.IFNA(VLOOKUP($AI278,Programma!$F$3:$I$1107,4,0),"")</f>
        <v>4w</v>
      </c>
      <c r="AM278" s="300" t="str">
        <f>_xlfn.IFNA(VLOOKUP($AI278,Programma!$F$3:$J$1107,5,0),"")</f>
        <v>1w</v>
      </c>
      <c r="AN278" s="300" t="str">
        <f>_xlfn.IFNA(VLOOKUP($AI278,Programma!$F$3:$K$1107,6,0),"")</f>
        <v>_</v>
      </c>
      <c r="AO278" s="300" t="str">
        <f>_xlfn.IFNA(VLOOKUP($AI278,Programma!$F$3:$L$1107,7,0),"")</f>
        <v>_</v>
      </c>
      <c r="AP278" s="300" t="str">
        <f>_xlfn.IFNA(VLOOKUP($AI278,Programma!$F$3:$M$1107,8,0),"")</f>
        <v>_</v>
      </c>
      <c r="AQ278" s="300" t="str">
        <f>_xlfn.IFNA(VLOOKUP($AI278,Programma!$F$3:$N$1107,9,0),"")</f>
        <v>_</v>
      </c>
      <c r="AR278" s="300" t="str">
        <f>_xlfn.IFNA(VLOOKUP($AI278,Programma!$F$3:$O$1107,10,0),"")</f>
        <v>5w</v>
      </c>
      <c r="AS278" s="300" t="str">
        <f>_xlfn.IFNA(VLOOKUP($AI278,Programma!$F$3:$P$1107,11,0),"")</f>
        <v>5w</v>
      </c>
      <c r="AT278" s="300" t="str">
        <f>_xlfn.IFNA(VLOOKUP($AI278,Programma!$F$3:$Q$1107,12,0),"")</f>
        <v>1w</v>
      </c>
      <c r="AU278" s="300" t="str">
        <f>_xlfn.IFNA(VLOOKUP($AI278,Programma!$F$3:$R$1107,13,0),"")</f>
        <v>1w</v>
      </c>
      <c r="AV278" s="300" t="str">
        <f>_xlfn.IFNA(VLOOKUP($AI278,Programma!$F$3:$S$1107,14,0),"")</f>
        <v>1m</v>
      </c>
      <c r="AW278" s="300" t="str">
        <f>_xlfn.IFNA(VLOOKUP($AI278,Programma!$F$3:$T$1107,15,0),"")</f>
        <v>2j</v>
      </c>
      <c r="AX278" s="300" t="str">
        <f>_xlfn.IFNA(VLOOKUP($AI278,Programma!$F$3:$U$1107,16,0),"")</f>
        <v>1j</v>
      </c>
      <c r="AY278" s="300" t="str">
        <f>_xlfn.IFNA(VLOOKUP($AI278,Programma!$F$3:$V$1107,17,0),"")</f>
        <v>_</v>
      </c>
      <c r="AZ278" s="300" t="str">
        <f>_xlfn.IFNA(VLOOKUP($AI278,Programma!$F$3:$W$1107,18,0),"")</f>
        <v>_</v>
      </c>
      <c r="BA278" s="300" t="str">
        <f>_xlfn.IFNA(VLOOKUP($AI278,Programma!$F$3:$X$1107,19,0),"")</f>
        <v>_</v>
      </c>
      <c r="BB278" s="300" t="str">
        <f>_xlfn.IFNA(VLOOKUP($AI278,Programma!$F$3:$Y$1107,20,0),"")</f>
        <v>_</v>
      </c>
      <c r="BC278" s="257"/>
      <c r="BD278" s="256" t="str">
        <f>IF(Ruimtestaat[[#This Row],[Frequentie weekend]]="","",_xlfn.CONCAT(Ruimtestaat[[#This Row],[Ruimte code]],"-",Ruimtestaat[[#This Row],[Frequentie weekend]]," ",Ruimtestaat[[#This Row],[Vloer code]]))</f>
        <v/>
      </c>
      <c r="BE278" s="300" t="str">
        <f>_xlfn.IFNA(VLOOKUP($BD278,Programma!$F$3:$G$1107,2,0),"")</f>
        <v/>
      </c>
      <c r="BF278" s="300" t="str">
        <f>_xlfn.IFNA(VLOOKUP($BD278,Programma!$F$3:$H$1107,3,0),"")</f>
        <v/>
      </c>
      <c r="BG278" s="300" t="str">
        <f>_xlfn.IFNA(VLOOKUP($BD278,Programma!$F$3:$I$1107,4,0),"")</f>
        <v/>
      </c>
      <c r="BH278" s="300" t="str">
        <f>_xlfn.IFNA(VLOOKUP($BD278,Programma!$F$3:$J$1107,5,0),"")</f>
        <v/>
      </c>
      <c r="BI278" s="300" t="str">
        <f>_xlfn.IFNA(VLOOKUP($BD278,Programma!$F$3:$K$1107,6,0),"")</f>
        <v/>
      </c>
      <c r="BJ278" s="300" t="str">
        <f>_xlfn.IFNA(VLOOKUP($BD278,Programma!$F$3:$L$1107,7,0),"")</f>
        <v/>
      </c>
      <c r="BK278" s="300" t="str">
        <f>_xlfn.IFNA(VLOOKUP($BD278,Programma!$F$3:$M$1107,8,0),"")</f>
        <v/>
      </c>
      <c r="BL278" s="300" t="str">
        <f>_xlfn.IFNA(VLOOKUP($BD278,Programma!$F$3:$N$1107,9,0),"")</f>
        <v/>
      </c>
      <c r="BM278" s="300" t="str">
        <f>_xlfn.IFNA(VLOOKUP($BD278,Programma!$F$3:$O$1107,10,0),"")</f>
        <v/>
      </c>
      <c r="BN278" s="300" t="str">
        <f>_xlfn.IFNA(VLOOKUP($BD278,Programma!$F$3:$P$1107,11,0),"")</f>
        <v/>
      </c>
      <c r="BO278" s="300" t="str">
        <f>_xlfn.IFNA(VLOOKUP($BD278,Programma!$F$3:$Q$1107,12,0),"")</f>
        <v/>
      </c>
      <c r="BP278" s="300" t="str">
        <f>_xlfn.IFNA(VLOOKUP($BD278,Programma!$F$3:$R$1107,13,0),"")</f>
        <v/>
      </c>
      <c r="BQ278" s="300" t="str">
        <f>_xlfn.IFNA(VLOOKUP($BD278,Programma!$F$3:$S$1107,14,0),"")</f>
        <v/>
      </c>
      <c r="BR278" s="300" t="str">
        <f>_xlfn.IFNA(VLOOKUP($BD278,Programma!$F$3:$T$1107,15,0),"")</f>
        <v/>
      </c>
      <c r="BS278" s="300" t="str">
        <f>_xlfn.IFNA(VLOOKUP($BD278,Programma!$F$3:$U$1107,16,0),"")</f>
        <v/>
      </c>
      <c r="BT278" s="300" t="str">
        <f>_xlfn.IFNA(VLOOKUP($BD278,Programma!$F$3:$V$1107,17,0),"")</f>
        <v/>
      </c>
      <c r="BU278" s="300" t="str">
        <f>_xlfn.IFNA(VLOOKUP($BD278,Programma!$F$3:$W$1107,18,0),"")</f>
        <v/>
      </c>
      <c r="BV278" s="300" t="str">
        <f>_xlfn.IFNA(VLOOKUP($BD278,Programma!$F$3:$X$1107,19,0),"")</f>
        <v/>
      </c>
      <c r="BW278" s="300" t="str">
        <f>_xlfn.IFNA(VLOOKUP($BD278,Programma!$F$3:$Y$1107,20,0),"")</f>
        <v/>
      </c>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row>
    <row r="279" spans="1:220" ht="15" customHeight="1">
      <c r="A279" s="21">
        <v>4</v>
      </c>
      <c r="B279" s="157" t="str">
        <f>VLOOKUP(Ruimtestaat[[#This Row],[Code]],Locaties[[Code]:[Locatie]],2,FALSE)</f>
        <v>Sint-Maartenscollege</v>
      </c>
      <c r="C279" s="157" t="str">
        <f>VLOOKUP(Ruimtestaat[[#This Row],[Code]],Locaties[[#All],[Code]:[Adres]],4,FALSE)</f>
        <v xml:space="preserve">Aart v.d. Leeuwkade 14 </v>
      </c>
      <c r="D279" s="157" t="str">
        <f>VLOOKUP(Ruimtestaat[[#This Row],[Code]],Locaties[[#All],[Code]:[Postcode]],5,FALSE)</f>
        <v>2274 KX</v>
      </c>
      <c r="E279" s="157" t="str">
        <f>VLOOKUP(Ruimtestaat[[#This Row],[Code]],Locaties[#All],6,FALSE)</f>
        <v>Voorburg</v>
      </c>
      <c r="F279" s="62"/>
      <c r="G279" s="21" t="s">
        <v>1624</v>
      </c>
      <c r="H279" s="21" t="s">
        <v>1938</v>
      </c>
      <c r="I279" s="62" t="s">
        <v>1939</v>
      </c>
      <c r="J279" s="21">
        <v>16</v>
      </c>
      <c r="K279" s="62" t="str">
        <f>VLOOKUP(Ruimtestaat[[#This Row],[Ruimte code]],Ruimtegroepen[[#All],[Code]:[Ruimte omschrijving]],2,FALSE)</f>
        <v>Leslokalen theorie</v>
      </c>
      <c r="L279" s="33" t="s">
        <v>101</v>
      </c>
      <c r="M279" s="367" t="s">
        <v>2495</v>
      </c>
      <c r="N279" s="140">
        <v>47</v>
      </c>
      <c r="O279" s="140"/>
      <c r="P279" s="125" t="str">
        <f>VLOOKUP(Ruimtestaat[[#This Row],[Ruimte code]],Ruimtegroepen[],4,FALSE)</f>
        <v>Le</v>
      </c>
      <c r="R279" s="33">
        <v>40</v>
      </c>
      <c r="S279" s="33" t="s">
        <v>2</v>
      </c>
      <c r="T279" s="33">
        <f>IF(R279&gt;0,IF(RIGHT(Ruimtestaat[[#This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9" s="33">
        <f>IF(T279&gt;0,VLOOKUP($J279,Ruimtegroepen[],3,FALSE)*VLOOKUP($L279,Vloersoorten[],3,FALSE)*VLOOKUP($S279,Frequenties[],3,FALSE)*VLOOKUP($A279,Locaties[],3,FALSE),0)</f>
        <v>0</v>
      </c>
      <c r="V279" s="33">
        <f>Ruimtestaat[[#This Row],[Uitvoeringen werkdagen]]*Ruimtestaat[[#This Row],[Oppervlak (netto)]]</f>
        <v>9400</v>
      </c>
      <c r="W279" s="154">
        <f>IF(U279&gt;0,Ruimtestaat[[#This Row],[Prest. (m2 /jaar) werkdagen]]/Ruimtestaat[[#This Row],[Norm (m2/uur) werkdagen]],0)</f>
        <v>0</v>
      </c>
      <c r="X279" s="155">
        <f>Ruimtestaat[[#This Row],[uren / jaar werkdagen]]*Tariefsopbouw!$E$35</f>
        <v>0</v>
      </c>
      <c r="Y279" s="33"/>
      <c r="Z279" s="33">
        <f>IF(Ruimtestaat[[#This Row],[Frequentie weekend]]&gt;0,VALUE(LEFT(Y279,1))*R279,0)</f>
        <v>0</v>
      </c>
      <c r="AA279" s="97">
        <f>IF($Z279&gt;0,VLOOKUP($J279,Ruimtegroepen[],3,FALSE)*VLOOKUP($L279,Vloersoorten[],3,FALSE)*VLOOKUP($Y279,Frequenties[],3,FALSE)*VLOOKUP(Ruimtestaat[[#This Row],[Code]],Locaties[],3,FALSE),0)</f>
        <v>0</v>
      </c>
      <c r="AB279" s="97">
        <f>Ruimtestaat[[#This Row],[Uitvoeringen weekend]]*Ruimtestaat[[#This Row],[Oppervlak (netto)]]</f>
        <v>0</v>
      </c>
      <c r="AC279" s="97">
        <f>IF(AA279&gt;0,Ruimtestaat[[#This Row],[Prest. (m2 /jaar) weekend]]/Ruimtestaat[[#This Row],[Norm (m2/uur) weekend]],0)</f>
        <v>0</v>
      </c>
      <c r="AD279" s="155">
        <f>Ruimtestaat[[#This Row],[uren / jaar weekend]]*Tariefsopbouw!$D$40</f>
        <v>0</v>
      </c>
      <c r="AE279" s="154">
        <f>Ruimtestaat[[#This Row],[Prest. (m2 /jaar) weekend]]+Ruimtestaat[[#This Row],[Prest. (m2 /jaar) werkdagen]]</f>
        <v>9400</v>
      </c>
      <c r="AF279" s="154">
        <f>Ruimtestaat[[#This Row],[uren / jaar weekend]]+Ruimtestaat[[#This Row],[uren / jaar werkdagen]]</f>
        <v>0</v>
      </c>
      <c r="AG279" s="69">
        <f>Ruimtestaat[[#This Row],[kosten / jaar weekend]]+Ruimtestaat[[#This Row],[kosten / jaar werkdagen]]</f>
        <v>0</v>
      </c>
      <c r="AH279" s="69"/>
      <c r="AI279" s="256" t="str">
        <f>IF(Ruimtestaat[[#This Row],[Frequentie werkdagen]]="","",_xlfn.CONCAT(Ruimtestaat[[#This Row],[Ruimte code]],"-",Ruimtestaat[[#This Row],[Frequentie werkdagen]]," ",Ruimtestaat[[#This Row],[Vloer code]]))</f>
        <v>16-5w L</v>
      </c>
      <c r="AJ279" s="300" t="str">
        <f>_xlfn.IFNA(VLOOKUP($AI279,Programma!$F$3:$G$1107,2,0),"")</f>
        <v>_</v>
      </c>
      <c r="AK279" s="300" t="str">
        <f>_xlfn.IFNA(VLOOKUP($AI279,Programma!$F$3:$H$1107,3,0),"")</f>
        <v>_</v>
      </c>
      <c r="AL279" s="300" t="str">
        <f>_xlfn.IFNA(VLOOKUP($AI279,Programma!$F$3:$I$1107,4,0),"")</f>
        <v>4w</v>
      </c>
      <c r="AM279" s="300" t="str">
        <f>_xlfn.IFNA(VLOOKUP($AI279,Programma!$F$3:$J$1107,5,0),"")</f>
        <v>1w</v>
      </c>
      <c r="AN279" s="300" t="str">
        <f>_xlfn.IFNA(VLOOKUP($AI279,Programma!$F$3:$K$1107,6,0),"")</f>
        <v>_</v>
      </c>
      <c r="AO279" s="300" t="str">
        <f>_xlfn.IFNA(VLOOKUP($AI279,Programma!$F$3:$L$1107,7,0),"")</f>
        <v>_</v>
      </c>
      <c r="AP279" s="300" t="str">
        <f>_xlfn.IFNA(VLOOKUP($AI279,Programma!$F$3:$M$1107,8,0),"")</f>
        <v>_</v>
      </c>
      <c r="AQ279" s="300" t="str">
        <f>_xlfn.IFNA(VLOOKUP($AI279,Programma!$F$3:$N$1107,9,0),"")</f>
        <v>_</v>
      </c>
      <c r="AR279" s="300" t="str">
        <f>_xlfn.IFNA(VLOOKUP($AI279,Programma!$F$3:$O$1107,10,0),"")</f>
        <v>5w</v>
      </c>
      <c r="AS279" s="300" t="str">
        <f>_xlfn.IFNA(VLOOKUP($AI279,Programma!$F$3:$P$1107,11,0),"")</f>
        <v>5w</v>
      </c>
      <c r="AT279" s="300" t="str">
        <f>_xlfn.IFNA(VLOOKUP($AI279,Programma!$F$3:$Q$1107,12,0),"")</f>
        <v>1w</v>
      </c>
      <c r="AU279" s="300" t="str">
        <f>_xlfn.IFNA(VLOOKUP($AI279,Programma!$F$3:$R$1107,13,0),"")</f>
        <v>1w</v>
      </c>
      <c r="AV279" s="300" t="str">
        <f>_xlfn.IFNA(VLOOKUP($AI279,Programma!$F$3:$S$1107,14,0),"")</f>
        <v>1m</v>
      </c>
      <c r="AW279" s="300" t="str">
        <f>_xlfn.IFNA(VLOOKUP($AI279,Programma!$F$3:$T$1107,15,0),"")</f>
        <v>2j</v>
      </c>
      <c r="AX279" s="300" t="str">
        <f>_xlfn.IFNA(VLOOKUP($AI279,Programma!$F$3:$U$1107,16,0),"")</f>
        <v>1j</v>
      </c>
      <c r="AY279" s="300" t="str">
        <f>_xlfn.IFNA(VLOOKUP($AI279,Programma!$F$3:$V$1107,17,0),"")</f>
        <v>_</v>
      </c>
      <c r="AZ279" s="300" t="str">
        <f>_xlfn.IFNA(VLOOKUP($AI279,Programma!$F$3:$W$1107,18,0),"")</f>
        <v>_</v>
      </c>
      <c r="BA279" s="300" t="str">
        <f>_xlfn.IFNA(VLOOKUP($AI279,Programma!$F$3:$X$1107,19,0),"")</f>
        <v>_</v>
      </c>
      <c r="BB279" s="300" t="str">
        <f>_xlfn.IFNA(VLOOKUP($AI279,Programma!$F$3:$Y$1107,20,0),"")</f>
        <v>_</v>
      </c>
      <c r="BC279" s="257"/>
      <c r="BD279" s="256" t="str">
        <f>IF(Ruimtestaat[[#This Row],[Frequentie weekend]]="","",_xlfn.CONCAT(Ruimtestaat[[#This Row],[Ruimte code]],"-",Ruimtestaat[[#This Row],[Frequentie weekend]]," ",Ruimtestaat[[#This Row],[Vloer code]]))</f>
        <v/>
      </c>
      <c r="BE279" s="300" t="str">
        <f>_xlfn.IFNA(VLOOKUP($BD279,Programma!$F$3:$G$1107,2,0),"")</f>
        <v/>
      </c>
      <c r="BF279" s="300" t="str">
        <f>_xlfn.IFNA(VLOOKUP($BD279,Programma!$F$3:$H$1107,3,0),"")</f>
        <v/>
      </c>
      <c r="BG279" s="300" t="str">
        <f>_xlfn.IFNA(VLOOKUP($BD279,Programma!$F$3:$I$1107,4,0),"")</f>
        <v/>
      </c>
      <c r="BH279" s="300" t="str">
        <f>_xlfn.IFNA(VLOOKUP($BD279,Programma!$F$3:$J$1107,5,0),"")</f>
        <v/>
      </c>
      <c r="BI279" s="300" t="str">
        <f>_xlfn.IFNA(VLOOKUP($BD279,Programma!$F$3:$K$1107,6,0),"")</f>
        <v/>
      </c>
      <c r="BJ279" s="300" t="str">
        <f>_xlfn.IFNA(VLOOKUP($BD279,Programma!$F$3:$L$1107,7,0),"")</f>
        <v/>
      </c>
      <c r="BK279" s="300" t="str">
        <f>_xlfn.IFNA(VLOOKUP($BD279,Programma!$F$3:$M$1107,8,0),"")</f>
        <v/>
      </c>
      <c r="BL279" s="300" t="str">
        <f>_xlfn.IFNA(VLOOKUP($BD279,Programma!$F$3:$N$1107,9,0),"")</f>
        <v/>
      </c>
      <c r="BM279" s="300" t="str">
        <f>_xlfn.IFNA(VLOOKUP($BD279,Programma!$F$3:$O$1107,10,0),"")</f>
        <v/>
      </c>
      <c r="BN279" s="300" t="str">
        <f>_xlfn.IFNA(VLOOKUP($BD279,Programma!$F$3:$P$1107,11,0),"")</f>
        <v/>
      </c>
      <c r="BO279" s="300" t="str">
        <f>_xlfn.IFNA(VLOOKUP($BD279,Programma!$F$3:$Q$1107,12,0),"")</f>
        <v/>
      </c>
      <c r="BP279" s="300" t="str">
        <f>_xlfn.IFNA(VLOOKUP($BD279,Programma!$F$3:$R$1107,13,0),"")</f>
        <v/>
      </c>
      <c r="BQ279" s="300" t="str">
        <f>_xlfn.IFNA(VLOOKUP($BD279,Programma!$F$3:$S$1107,14,0),"")</f>
        <v/>
      </c>
      <c r="BR279" s="300" t="str">
        <f>_xlfn.IFNA(VLOOKUP($BD279,Programma!$F$3:$T$1107,15,0),"")</f>
        <v/>
      </c>
      <c r="BS279" s="300" t="str">
        <f>_xlfn.IFNA(VLOOKUP($BD279,Programma!$F$3:$U$1107,16,0),"")</f>
        <v/>
      </c>
      <c r="BT279" s="300" t="str">
        <f>_xlfn.IFNA(VLOOKUP($BD279,Programma!$F$3:$V$1107,17,0),"")</f>
        <v/>
      </c>
      <c r="BU279" s="300" t="str">
        <f>_xlfn.IFNA(VLOOKUP($BD279,Programma!$F$3:$W$1107,18,0),"")</f>
        <v/>
      </c>
      <c r="BV279" s="300" t="str">
        <f>_xlfn.IFNA(VLOOKUP($BD279,Programma!$F$3:$X$1107,19,0),"")</f>
        <v/>
      </c>
      <c r="BW279" s="300" t="str">
        <f>_xlfn.IFNA(VLOOKUP($BD279,Programma!$F$3:$Y$1107,20,0),"")</f>
        <v/>
      </c>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row>
    <row r="280" spans="1:220" ht="15" customHeight="1">
      <c r="A280" s="21">
        <v>4</v>
      </c>
      <c r="B280" s="157" t="str">
        <f>VLOOKUP(Ruimtestaat[[#This Row],[Code]],Locaties[[Code]:[Locatie]],2,FALSE)</f>
        <v>Sint-Maartenscollege</v>
      </c>
      <c r="C280" s="157" t="str">
        <f>VLOOKUP(Ruimtestaat[[#This Row],[Code]],Locaties[[#All],[Code]:[Adres]],4,FALSE)</f>
        <v xml:space="preserve">Aart v.d. Leeuwkade 14 </v>
      </c>
      <c r="D280" s="157" t="str">
        <f>VLOOKUP(Ruimtestaat[[#This Row],[Code]],Locaties[[#All],[Code]:[Postcode]],5,FALSE)</f>
        <v>2274 KX</v>
      </c>
      <c r="E280" s="157" t="str">
        <f>VLOOKUP(Ruimtestaat[[#This Row],[Code]],Locaties[#All],6,FALSE)</f>
        <v>Voorburg</v>
      </c>
      <c r="F280" s="62"/>
      <c r="G280" s="21" t="s">
        <v>1624</v>
      </c>
      <c r="H280" s="21" t="s">
        <v>1940</v>
      </c>
      <c r="I280" s="62" t="s">
        <v>1941</v>
      </c>
      <c r="J280" s="21">
        <v>16</v>
      </c>
      <c r="K280" s="62" t="str">
        <f>VLOOKUP(Ruimtestaat[[#This Row],[Ruimte code]],Ruimtegroepen[[#All],[Code]:[Ruimte omschrijving]],2,FALSE)</f>
        <v>Leslokalen theorie</v>
      </c>
      <c r="L280" s="33" t="s">
        <v>101</v>
      </c>
      <c r="M280" s="367" t="s">
        <v>2495</v>
      </c>
      <c r="N280" s="140">
        <v>47</v>
      </c>
      <c r="O280" s="140"/>
      <c r="P280" s="125" t="str">
        <f>VLOOKUP(Ruimtestaat[[#This Row],[Ruimte code]],Ruimtegroepen[],4,FALSE)</f>
        <v>Le</v>
      </c>
      <c r="R280" s="33">
        <v>40</v>
      </c>
      <c r="S280" s="33" t="s">
        <v>2</v>
      </c>
      <c r="T280" s="33">
        <f>IF(R280&gt;0,IF(RIGHT(Ruimtestaat[[#This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0" s="33">
        <f>IF(T280&gt;0,VLOOKUP($J280,Ruimtegroepen[],3,FALSE)*VLOOKUP($L280,Vloersoorten[],3,FALSE)*VLOOKUP($S280,Frequenties[],3,FALSE)*VLOOKUP($A280,Locaties[],3,FALSE),0)</f>
        <v>0</v>
      </c>
      <c r="V280" s="33">
        <f>Ruimtestaat[[#This Row],[Uitvoeringen werkdagen]]*Ruimtestaat[[#This Row],[Oppervlak (netto)]]</f>
        <v>9400</v>
      </c>
      <c r="W280" s="154">
        <f>IF(U280&gt;0,Ruimtestaat[[#This Row],[Prest. (m2 /jaar) werkdagen]]/Ruimtestaat[[#This Row],[Norm (m2/uur) werkdagen]],0)</f>
        <v>0</v>
      </c>
      <c r="X280" s="155">
        <f>Ruimtestaat[[#This Row],[uren / jaar werkdagen]]*Tariefsopbouw!$E$35</f>
        <v>0</v>
      </c>
      <c r="Y280" s="33"/>
      <c r="Z280" s="33">
        <f>IF(Ruimtestaat[[#This Row],[Frequentie weekend]]&gt;0,VALUE(LEFT(Y280,1))*R280,0)</f>
        <v>0</v>
      </c>
      <c r="AA280" s="97">
        <f>IF($Z280&gt;0,VLOOKUP($J280,Ruimtegroepen[],3,FALSE)*VLOOKUP($L280,Vloersoorten[],3,FALSE)*VLOOKUP($Y280,Frequenties[],3,FALSE)*VLOOKUP(Ruimtestaat[[#This Row],[Code]],Locaties[],3,FALSE),0)</f>
        <v>0</v>
      </c>
      <c r="AB280" s="97">
        <f>Ruimtestaat[[#This Row],[Uitvoeringen weekend]]*Ruimtestaat[[#This Row],[Oppervlak (netto)]]</f>
        <v>0</v>
      </c>
      <c r="AC280" s="97">
        <f>IF(AA280&gt;0,Ruimtestaat[[#This Row],[Prest. (m2 /jaar) weekend]]/Ruimtestaat[[#This Row],[Norm (m2/uur) weekend]],0)</f>
        <v>0</v>
      </c>
      <c r="AD280" s="155">
        <f>Ruimtestaat[[#This Row],[uren / jaar weekend]]*Tariefsopbouw!$D$40</f>
        <v>0</v>
      </c>
      <c r="AE280" s="154">
        <f>Ruimtestaat[[#This Row],[Prest. (m2 /jaar) weekend]]+Ruimtestaat[[#This Row],[Prest. (m2 /jaar) werkdagen]]</f>
        <v>9400</v>
      </c>
      <c r="AF280" s="154">
        <f>Ruimtestaat[[#This Row],[uren / jaar weekend]]+Ruimtestaat[[#This Row],[uren / jaar werkdagen]]</f>
        <v>0</v>
      </c>
      <c r="AG280" s="69">
        <f>Ruimtestaat[[#This Row],[kosten / jaar weekend]]+Ruimtestaat[[#This Row],[kosten / jaar werkdagen]]</f>
        <v>0</v>
      </c>
      <c r="AH280" s="69"/>
      <c r="AI280" s="256" t="str">
        <f>IF(Ruimtestaat[[#This Row],[Frequentie werkdagen]]="","",_xlfn.CONCAT(Ruimtestaat[[#This Row],[Ruimte code]],"-",Ruimtestaat[[#This Row],[Frequentie werkdagen]]," ",Ruimtestaat[[#This Row],[Vloer code]]))</f>
        <v>16-5w L</v>
      </c>
      <c r="AJ280" s="300" t="str">
        <f>_xlfn.IFNA(VLOOKUP($AI280,Programma!$F$3:$G$1107,2,0),"")</f>
        <v>_</v>
      </c>
      <c r="AK280" s="300" t="str">
        <f>_xlfn.IFNA(VLOOKUP($AI280,Programma!$F$3:$H$1107,3,0),"")</f>
        <v>_</v>
      </c>
      <c r="AL280" s="300" t="str">
        <f>_xlfn.IFNA(VLOOKUP($AI280,Programma!$F$3:$I$1107,4,0),"")</f>
        <v>4w</v>
      </c>
      <c r="AM280" s="300" t="str">
        <f>_xlfn.IFNA(VLOOKUP($AI280,Programma!$F$3:$J$1107,5,0),"")</f>
        <v>1w</v>
      </c>
      <c r="AN280" s="300" t="str">
        <f>_xlfn.IFNA(VLOOKUP($AI280,Programma!$F$3:$K$1107,6,0),"")</f>
        <v>_</v>
      </c>
      <c r="AO280" s="300" t="str">
        <f>_xlfn.IFNA(VLOOKUP($AI280,Programma!$F$3:$L$1107,7,0),"")</f>
        <v>_</v>
      </c>
      <c r="AP280" s="300" t="str">
        <f>_xlfn.IFNA(VLOOKUP($AI280,Programma!$F$3:$M$1107,8,0),"")</f>
        <v>_</v>
      </c>
      <c r="AQ280" s="300" t="str">
        <f>_xlfn.IFNA(VLOOKUP($AI280,Programma!$F$3:$N$1107,9,0),"")</f>
        <v>_</v>
      </c>
      <c r="AR280" s="300" t="str">
        <f>_xlfn.IFNA(VLOOKUP($AI280,Programma!$F$3:$O$1107,10,0),"")</f>
        <v>5w</v>
      </c>
      <c r="AS280" s="300" t="str">
        <f>_xlfn.IFNA(VLOOKUP($AI280,Programma!$F$3:$P$1107,11,0),"")</f>
        <v>5w</v>
      </c>
      <c r="AT280" s="300" t="str">
        <f>_xlfn.IFNA(VLOOKUP($AI280,Programma!$F$3:$Q$1107,12,0),"")</f>
        <v>1w</v>
      </c>
      <c r="AU280" s="300" t="str">
        <f>_xlfn.IFNA(VLOOKUP($AI280,Programma!$F$3:$R$1107,13,0),"")</f>
        <v>1w</v>
      </c>
      <c r="AV280" s="300" t="str">
        <f>_xlfn.IFNA(VLOOKUP($AI280,Programma!$F$3:$S$1107,14,0),"")</f>
        <v>1m</v>
      </c>
      <c r="AW280" s="300" t="str">
        <f>_xlfn.IFNA(VLOOKUP($AI280,Programma!$F$3:$T$1107,15,0),"")</f>
        <v>2j</v>
      </c>
      <c r="AX280" s="300" t="str">
        <f>_xlfn.IFNA(VLOOKUP($AI280,Programma!$F$3:$U$1107,16,0),"")</f>
        <v>1j</v>
      </c>
      <c r="AY280" s="300" t="str">
        <f>_xlfn.IFNA(VLOOKUP($AI280,Programma!$F$3:$V$1107,17,0),"")</f>
        <v>_</v>
      </c>
      <c r="AZ280" s="300" t="str">
        <f>_xlfn.IFNA(VLOOKUP($AI280,Programma!$F$3:$W$1107,18,0),"")</f>
        <v>_</v>
      </c>
      <c r="BA280" s="300" t="str">
        <f>_xlfn.IFNA(VLOOKUP($AI280,Programma!$F$3:$X$1107,19,0),"")</f>
        <v>_</v>
      </c>
      <c r="BB280" s="300" t="str">
        <f>_xlfn.IFNA(VLOOKUP($AI280,Programma!$F$3:$Y$1107,20,0),"")</f>
        <v>_</v>
      </c>
      <c r="BC280" s="257"/>
      <c r="BD280" s="256" t="str">
        <f>IF(Ruimtestaat[[#This Row],[Frequentie weekend]]="","",_xlfn.CONCAT(Ruimtestaat[[#This Row],[Ruimte code]],"-",Ruimtestaat[[#This Row],[Frequentie weekend]]," ",Ruimtestaat[[#This Row],[Vloer code]]))</f>
        <v/>
      </c>
      <c r="BE280" s="300" t="str">
        <f>_xlfn.IFNA(VLOOKUP($BD280,Programma!$F$3:$G$1107,2,0),"")</f>
        <v/>
      </c>
      <c r="BF280" s="300" t="str">
        <f>_xlfn.IFNA(VLOOKUP($BD280,Programma!$F$3:$H$1107,3,0),"")</f>
        <v/>
      </c>
      <c r="BG280" s="300" t="str">
        <f>_xlfn.IFNA(VLOOKUP($BD280,Programma!$F$3:$I$1107,4,0),"")</f>
        <v/>
      </c>
      <c r="BH280" s="300" t="str">
        <f>_xlfn.IFNA(VLOOKUP($BD280,Programma!$F$3:$J$1107,5,0),"")</f>
        <v/>
      </c>
      <c r="BI280" s="300" t="str">
        <f>_xlfn.IFNA(VLOOKUP($BD280,Programma!$F$3:$K$1107,6,0),"")</f>
        <v/>
      </c>
      <c r="BJ280" s="300" t="str">
        <f>_xlfn.IFNA(VLOOKUP($BD280,Programma!$F$3:$L$1107,7,0),"")</f>
        <v/>
      </c>
      <c r="BK280" s="300" t="str">
        <f>_xlfn.IFNA(VLOOKUP($BD280,Programma!$F$3:$M$1107,8,0),"")</f>
        <v/>
      </c>
      <c r="BL280" s="300" t="str">
        <f>_xlfn.IFNA(VLOOKUP($BD280,Programma!$F$3:$N$1107,9,0),"")</f>
        <v/>
      </c>
      <c r="BM280" s="300" t="str">
        <f>_xlfn.IFNA(VLOOKUP($BD280,Programma!$F$3:$O$1107,10,0),"")</f>
        <v/>
      </c>
      <c r="BN280" s="300" t="str">
        <f>_xlfn.IFNA(VLOOKUP($BD280,Programma!$F$3:$P$1107,11,0),"")</f>
        <v/>
      </c>
      <c r="BO280" s="300" t="str">
        <f>_xlfn.IFNA(VLOOKUP($BD280,Programma!$F$3:$Q$1107,12,0),"")</f>
        <v/>
      </c>
      <c r="BP280" s="300" t="str">
        <f>_xlfn.IFNA(VLOOKUP($BD280,Programma!$F$3:$R$1107,13,0),"")</f>
        <v/>
      </c>
      <c r="BQ280" s="300" t="str">
        <f>_xlfn.IFNA(VLOOKUP($BD280,Programma!$F$3:$S$1107,14,0),"")</f>
        <v/>
      </c>
      <c r="BR280" s="300" t="str">
        <f>_xlfn.IFNA(VLOOKUP($BD280,Programma!$F$3:$T$1107,15,0),"")</f>
        <v/>
      </c>
      <c r="BS280" s="300" t="str">
        <f>_xlfn.IFNA(VLOOKUP($BD280,Programma!$F$3:$U$1107,16,0),"")</f>
        <v/>
      </c>
      <c r="BT280" s="300" t="str">
        <f>_xlfn.IFNA(VLOOKUP($BD280,Programma!$F$3:$V$1107,17,0),"")</f>
        <v/>
      </c>
      <c r="BU280" s="300" t="str">
        <f>_xlfn.IFNA(VLOOKUP($BD280,Programma!$F$3:$W$1107,18,0),"")</f>
        <v/>
      </c>
      <c r="BV280" s="300" t="str">
        <f>_xlfn.IFNA(VLOOKUP($BD280,Programma!$F$3:$X$1107,19,0),"")</f>
        <v/>
      </c>
      <c r="BW280" s="300" t="str">
        <f>_xlfn.IFNA(VLOOKUP($BD280,Programma!$F$3:$Y$1107,20,0),"")</f>
        <v/>
      </c>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row>
    <row r="281" spans="1:220" ht="15" customHeight="1">
      <c r="A281" s="21">
        <v>4</v>
      </c>
      <c r="B281" s="157" t="str">
        <f>VLOOKUP(Ruimtestaat[[#This Row],[Code]],Locaties[[Code]:[Locatie]],2,FALSE)</f>
        <v>Sint-Maartenscollege</v>
      </c>
      <c r="C281" s="157" t="str">
        <f>VLOOKUP(Ruimtestaat[[#This Row],[Code]],Locaties[[#All],[Code]:[Adres]],4,FALSE)</f>
        <v xml:space="preserve">Aart v.d. Leeuwkade 14 </v>
      </c>
      <c r="D281" s="157" t="str">
        <f>VLOOKUP(Ruimtestaat[[#This Row],[Code]],Locaties[[#All],[Code]:[Postcode]],5,FALSE)</f>
        <v>2274 KX</v>
      </c>
      <c r="E281" s="157" t="str">
        <f>VLOOKUP(Ruimtestaat[[#This Row],[Code]],Locaties[#All],6,FALSE)</f>
        <v>Voorburg</v>
      </c>
      <c r="F281" s="62"/>
      <c r="G281" s="21" t="s">
        <v>1624</v>
      </c>
      <c r="H281" s="21" t="s">
        <v>1942</v>
      </c>
      <c r="I281" s="62" t="s">
        <v>1943</v>
      </c>
      <c r="J281" s="21">
        <v>16</v>
      </c>
      <c r="K281" s="62" t="str">
        <f>VLOOKUP(Ruimtestaat[[#This Row],[Ruimte code]],Ruimtegroepen[[#All],[Code]:[Ruimte omschrijving]],2,FALSE)</f>
        <v>Leslokalen theorie</v>
      </c>
      <c r="L281" s="33" t="s">
        <v>101</v>
      </c>
      <c r="M281" s="367" t="s">
        <v>2495</v>
      </c>
      <c r="N281" s="140">
        <v>68</v>
      </c>
      <c r="O281" s="140"/>
      <c r="P281" s="125" t="str">
        <f>VLOOKUP(Ruimtestaat[[#This Row],[Ruimte code]],Ruimtegroepen[],4,FALSE)</f>
        <v>Le</v>
      </c>
      <c r="R281" s="33">
        <v>40</v>
      </c>
      <c r="S281" s="33" t="s">
        <v>2</v>
      </c>
      <c r="T281" s="33">
        <f>IF(R281&gt;0,IF(RIGHT(Ruimtestaat[[#This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1" s="33">
        <f>IF(T281&gt;0,VLOOKUP($J281,Ruimtegroepen[],3,FALSE)*VLOOKUP($L281,Vloersoorten[],3,FALSE)*VLOOKUP($S281,Frequenties[],3,FALSE)*VLOOKUP($A281,Locaties[],3,FALSE),0)</f>
        <v>0</v>
      </c>
      <c r="V281" s="33">
        <f>Ruimtestaat[[#This Row],[Uitvoeringen werkdagen]]*Ruimtestaat[[#This Row],[Oppervlak (netto)]]</f>
        <v>13600</v>
      </c>
      <c r="W281" s="154">
        <f>IF(U281&gt;0,Ruimtestaat[[#This Row],[Prest. (m2 /jaar) werkdagen]]/Ruimtestaat[[#This Row],[Norm (m2/uur) werkdagen]],0)</f>
        <v>0</v>
      </c>
      <c r="X281" s="155">
        <f>Ruimtestaat[[#This Row],[uren / jaar werkdagen]]*Tariefsopbouw!$E$35</f>
        <v>0</v>
      </c>
      <c r="Y281" s="33"/>
      <c r="Z281" s="33">
        <f>IF(Ruimtestaat[[#This Row],[Frequentie weekend]]&gt;0,VALUE(LEFT(Y281,1))*R281,0)</f>
        <v>0</v>
      </c>
      <c r="AA281" s="97">
        <f>IF($Z281&gt;0,VLOOKUP($J281,Ruimtegroepen[],3,FALSE)*VLOOKUP($L281,Vloersoorten[],3,FALSE)*VLOOKUP($Y281,Frequenties[],3,FALSE)*VLOOKUP(Ruimtestaat[[#This Row],[Code]],Locaties[],3,FALSE),0)</f>
        <v>0</v>
      </c>
      <c r="AB281" s="97">
        <f>Ruimtestaat[[#This Row],[Uitvoeringen weekend]]*Ruimtestaat[[#This Row],[Oppervlak (netto)]]</f>
        <v>0</v>
      </c>
      <c r="AC281" s="97">
        <f>IF(AA281&gt;0,Ruimtestaat[[#This Row],[Prest. (m2 /jaar) weekend]]/Ruimtestaat[[#This Row],[Norm (m2/uur) weekend]],0)</f>
        <v>0</v>
      </c>
      <c r="AD281" s="155">
        <f>Ruimtestaat[[#This Row],[uren / jaar weekend]]*Tariefsopbouw!$D$40</f>
        <v>0</v>
      </c>
      <c r="AE281" s="154">
        <f>Ruimtestaat[[#This Row],[Prest. (m2 /jaar) weekend]]+Ruimtestaat[[#This Row],[Prest. (m2 /jaar) werkdagen]]</f>
        <v>13600</v>
      </c>
      <c r="AF281" s="154">
        <f>Ruimtestaat[[#This Row],[uren / jaar weekend]]+Ruimtestaat[[#This Row],[uren / jaar werkdagen]]</f>
        <v>0</v>
      </c>
      <c r="AG281" s="69">
        <f>Ruimtestaat[[#This Row],[kosten / jaar weekend]]+Ruimtestaat[[#This Row],[kosten / jaar werkdagen]]</f>
        <v>0</v>
      </c>
      <c r="AH281" s="69"/>
      <c r="AI281" s="256" t="str">
        <f>IF(Ruimtestaat[[#This Row],[Frequentie werkdagen]]="","",_xlfn.CONCAT(Ruimtestaat[[#This Row],[Ruimte code]],"-",Ruimtestaat[[#This Row],[Frequentie werkdagen]]," ",Ruimtestaat[[#This Row],[Vloer code]]))</f>
        <v>16-5w L</v>
      </c>
      <c r="AJ281" s="300" t="str">
        <f>_xlfn.IFNA(VLOOKUP($AI281,Programma!$F$3:$G$1107,2,0),"")</f>
        <v>_</v>
      </c>
      <c r="AK281" s="300" t="str">
        <f>_xlfn.IFNA(VLOOKUP($AI281,Programma!$F$3:$H$1107,3,0),"")</f>
        <v>_</v>
      </c>
      <c r="AL281" s="300" t="str">
        <f>_xlfn.IFNA(VLOOKUP($AI281,Programma!$F$3:$I$1107,4,0),"")</f>
        <v>4w</v>
      </c>
      <c r="AM281" s="300" t="str">
        <f>_xlfn.IFNA(VLOOKUP($AI281,Programma!$F$3:$J$1107,5,0),"")</f>
        <v>1w</v>
      </c>
      <c r="AN281" s="300" t="str">
        <f>_xlfn.IFNA(VLOOKUP($AI281,Programma!$F$3:$K$1107,6,0),"")</f>
        <v>_</v>
      </c>
      <c r="AO281" s="300" t="str">
        <f>_xlfn.IFNA(VLOOKUP($AI281,Programma!$F$3:$L$1107,7,0),"")</f>
        <v>_</v>
      </c>
      <c r="AP281" s="300" t="str">
        <f>_xlfn.IFNA(VLOOKUP($AI281,Programma!$F$3:$M$1107,8,0),"")</f>
        <v>_</v>
      </c>
      <c r="AQ281" s="300" t="str">
        <f>_xlfn.IFNA(VLOOKUP($AI281,Programma!$F$3:$N$1107,9,0),"")</f>
        <v>_</v>
      </c>
      <c r="AR281" s="300" t="str">
        <f>_xlfn.IFNA(VLOOKUP($AI281,Programma!$F$3:$O$1107,10,0),"")</f>
        <v>5w</v>
      </c>
      <c r="AS281" s="300" t="str">
        <f>_xlfn.IFNA(VLOOKUP($AI281,Programma!$F$3:$P$1107,11,0),"")</f>
        <v>5w</v>
      </c>
      <c r="AT281" s="300" t="str">
        <f>_xlfn.IFNA(VLOOKUP($AI281,Programma!$F$3:$Q$1107,12,0),"")</f>
        <v>1w</v>
      </c>
      <c r="AU281" s="300" t="str">
        <f>_xlfn.IFNA(VLOOKUP($AI281,Programma!$F$3:$R$1107,13,0),"")</f>
        <v>1w</v>
      </c>
      <c r="AV281" s="300" t="str">
        <f>_xlfn.IFNA(VLOOKUP($AI281,Programma!$F$3:$S$1107,14,0),"")</f>
        <v>1m</v>
      </c>
      <c r="AW281" s="300" t="str">
        <f>_xlfn.IFNA(VLOOKUP($AI281,Programma!$F$3:$T$1107,15,0),"")</f>
        <v>2j</v>
      </c>
      <c r="AX281" s="300" t="str">
        <f>_xlfn.IFNA(VLOOKUP($AI281,Programma!$F$3:$U$1107,16,0),"")</f>
        <v>1j</v>
      </c>
      <c r="AY281" s="300" t="str">
        <f>_xlfn.IFNA(VLOOKUP($AI281,Programma!$F$3:$V$1107,17,0),"")</f>
        <v>_</v>
      </c>
      <c r="AZ281" s="300" t="str">
        <f>_xlfn.IFNA(VLOOKUP($AI281,Programma!$F$3:$W$1107,18,0),"")</f>
        <v>_</v>
      </c>
      <c r="BA281" s="300" t="str">
        <f>_xlfn.IFNA(VLOOKUP($AI281,Programma!$F$3:$X$1107,19,0),"")</f>
        <v>_</v>
      </c>
      <c r="BB281" s="300" t="str">
        <f>_xlfn.IFNA(VLOOKUP($AI281,Programma!$F$3:$Y$1107,20,0),"")</f>
        <v>_</v>
      </c>
      <c r="BC281" s="257"/>
      <c r="BD281" s="256" t="str">
        <f>IF(Ruimtestaat[[#This Row],[Frequentie weekend]]="","",_xlfn.CONCAT(Ruimtestaat[[#This Row],[Ruimte code]],"-",Ruimtestaat[[#This Row],[Frequentie weekend]]," ",Ruimtestaat[[#This Row],[Vloer code]]))</f>
        <v/>
      </c>
      <c r="BE281" s="300" t="str">
        <f>_xlfn.IFNA(VLOOKUP($BD281,Programma!$F$3:$G$1107,2,0),"")</f>
        <v/>
      </c>
      <c r="BF281" s="300" t="str">
        <f>_xlfn.IFNA(VLOOKUP($BD281,Programma!$F$3:$H$1107,3,0),"")</f>
        <v/>
      </c>
      <c r="BG281" s="300" t="str">
        <f>_xlfn.IFNA(VLOOKUP($BD281,Programma!$F$3:$I$1107,4,0),"")</f>
        <v/>
      </c>
      <c r="BH281" s="300" t="str">
        <f>_xlfn.IFNA(VLOOKUP($BD281,Programma!$F$3:$J$1107,5,0),"")</f>
        <v/>
      </c>
      <c r="BI281" s="300" t="str">
        <f>_xlfn.IFNA(VLOOKUP($BD281,Programma!$F$3:$K$1107,6,0),"")</f>
        <v/>
      </c>
      <c r="BJ281" s="300" t="str">
        <f>_xlfn.IFNA(VLOOKUP($BD281,Programma!$F$3:$L$1107,7,0),"")</f>
        <v/>
      </c>
      <c r="BK281" s="300" t="str">
        <f>_xlfn.IFNA(VLOOKUP($BD281,Programma!$F$3:$M$1107,8,0),"")</f>
        <v/>
      </c>
      <c r="BL281" s="300" t="str">
        <f>_xlfn.IFNA(VLOOKUP($BD281,Programma!$F$3:$N$1107,9,0),"")</f>
        <v/>
      </c>
      <c r="BM281" s="300" t="str">
        <f>_xlfn.IFNA(VLOOKUP($BD281,Programma!$F$3:$O$1107,10,0),"")</f>
        <v/>
      </c>
      <c r="BN281" s="300" t="str">
        <f>_xlfn.IFNA(VLOOKUP($BD281,Programma!$F$3:$P$1107,11,0),"")</f>
        <v/>
      </c>
      <c r="BO281" s="300" t="str">
        <f>_xlfn.IFNA(VLOOKUP($BD281,Programma!$F$3:$Q$1107,12,0),"")</f>
        <v/>
      </c>
      <c r="BP281" s="300" t="str">
        <f>_xlfn.IFNA(VLOOKUP($BD281,Programma!$F$3:$R$1107,13,0),"")</f>
        <v/>
      </c>
      <c r="BQ281" s="300" t="str">
        <f>_xlfn.IFNA(VLOOKUP($BD281,Programma!$F$3:$S$1107,14,0),"")</f>
        <v/>
      </c>
      <c r="BR281" s="300" t="str">
        <f>_xlfn.IFNA(VLOOKUP($BD281,Programma!$F$3:$T$1107,15,0),"")</f>
        <v/>
      </c>
      <c r="BS281" s="300" t="str">
        <f>_xlfn.IFNA(VLOOKUP($BD281,Programma!$F$3:$U$1107,16,0),"")</f>
        <v/>
      </c>
      <c r="BT281" s="300" t="str">
        <f>_xlfn.IFNA(VLOOKUP($BD281,Programma!$F$3:$V$1107,17,0),"")</f>
        <v/>
      </c>
      <c r="BU281" s="300" t="str">
        <f>_xlfn.IFNA(VLOOKUP($BD281,Programma!$F$3:$W$1107,18,0),"")</f>
        <v/>
      </c>
      <c r="BV281" s="300" t="str">
        <f>_xlfn.IFNA(VLOOKUP($BD281,Programma!$F$3:$X$1107,19,0),"")</f>
        <v/>
      </c>
      <c r="BW281" s="300" t="str">
        <f>_xlfn.IFNA(VLOOKUP($BD281,Programma!$F$3:$Y$1107,20,0),"")</f>
        <v/>
      </c>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row>
    <row r="282" spans="1:220" ht="15" customHeight="1">
      <c r="A282" s="21">
        <v>4</v>
      </c>
      <c r="B282" s="157" t="str">
        <f>VLOOKUP(Ruimtestaat[[#This Row],[Code]],Locaties[[Code]:[Locatie]],2,FALSE)</f>
        <v>Sint-Maartenscollege</v>
      </c>
      <c r="C282" s="157" t="str">
        <f>VLOOKUP(Ruimtestaat[[#This Row],[Code]],Locaties[[#All],[Code]:[Adres]],4,FALSE)</f>
        <v xml:space="preserve">Aart v.d. Leeuwkade 14 </v>
      </c>
      <c r="D282" s="157" t="str">
        <f>VLOOKUP(Ruimtestaat[[#This Row],[Code]],Locaties[[#All],[Code]:[Postcode]],5,FALSE)</f>
        <v>2274 KX</v>
      </c>
      <c r="E282" s="157" t="str">
        <f>VLOOKUP(Ruimtestaat[[#This Row],[Code]],Locaties[#All],6,FALSE)</f>
        <v>Voorburg</v>
      </c>
      <c r="F282" s="62"/>
      <c r="G282" s="21" t="s">
        <v>1624</v>
      </c>
      <c r="H282" s="21" t="s">
        <v>1944</v>
      </c>
      <c r="I282" s="62" t="s">
        <v>1945</v>
      </c>
      <c r="J282" s="21">
        <v>6</v>
      </c>
      <c r="K282" s="62" t="str">
        <f>VLOOKUP(Ruimtestaat[[#This Row],[Ruimte code]],Ruimtegroepen[[#All],[Code]:[Ruimte omschrijving]],2,FALSE)</f>
        <v>Gangen/hallen</v>
      </c>
      <c r="L282" s="33" t="s">
        <v>102</v>
      </c>
      <c r="M282" s="367" t="s">
        <v>2502</v>
      </c>
      <c r="N282" s="140">
        <v>18</v>
      </c>
      <c r="O282" s="140"/>
      <c r="P282" s="125" t="str">
        <f>VLOOKUP(Ruimtestaat[[#This Row],[Ruimte code]],Ruimtegroepen[],4,FALSE)</f>
        <v>Ve</v>
      </c>
      <c r="R282" s="33">
        <v>40</v>
      </c>
      <c r="S282" s="33" t="s">
        <v>2</v>
      </c>
      <c r="T282" s="33">
        <f>IF(R282&gt;0,IF(RIGHT(Ruimtestaat[[#This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2" s="33">
        <f>IF(T282&gt;0,VLOOKUP($J282,Ruimtegroepen[],3,FALSE)*VLOOKUP($L282,Vloersoorten[],3,FALSE)*VLOOKUP($S282,Frequenties[],3,FALSE)*VLOOKUP($A282,Locaties[],3,FALSE),0)</f>
        <v>0</v>
      </c>
      <c r="V282" s="33">
        <f>Ruimtestaat[[#This Row],[Uitvoeringen werkdagen]]*Ruimtestaat[[#This Row],[Oppervlak (netto)]]</f>
        <v>3600</v>
      </c>
      <c r="W282" s="154">
        <f>IF(U282&gt;0,Ruimtestaat[[#This Row],[Prest. (m2 /jaar) werkdagen]]/Ruimtestaat[[#This Row],[Norm (m2/uur) werkdagen]],0)</f>
        <v>0</v>
      </c>
      <c r="X282" s="155">
        <f>Ruimtestaat[[#This Row],[uren / jaar werkdagen]]*Tariefsopbouw!$E$35</f>
        <v>0</v>
      </c>
      <c r="Y282" s="33"/>
      <c r="Z282" s="33">
        <f>IF(Ruimtestaat[[#This Row],[Frequentie weekend]]&gt;0,VALUE(LEFT(Y282,1))*R282,0)</f>
        <v>0</v>
      </c>
      <c r="AA282" s="97">
        <f>IF($Z282&gt;0,VLOOKUP($J282,Ruimtegroepen[],3,FALSE)*VLOOKUP($L282,Vloersoorten[],3,FALSE)*VLOOKUP($Y282,Frequenties[],3,FALSE)*VLOOKUP(Ruimtestaat[[#This Row],[Code]],Locaties[],3,FALSE),0)</f>
        <v>0</v>
      </c>
      <c r="AB282" s="97">
        <f>Ruimtestaat[[#This Row],[Uitvoeringen weekend]]*Ruimtestaat[[#This Row],[Oppervlak (netto)]]</f>
        <v>0</v>
      </c>
      <c r="AC282" s="97">
        <f>IF(AA282&gt;0,Ruimtestaat[[#This Row],[Prest. (m2 /jaar) weekend]]/Ruimtestaat[[#This Row],[Norm (m2/uur) weekend]],0)</f>
        <v>0</v>
      </c>
      <c r="AD282" s="155">
        <f>Ruimtestaat[[#This Row],[uren / jaar weekend]]*Tariefsopbouw!$D$40</f>
        <v>0</v>
      </c>
      <c r="AE282" s="154">
        <f>Ruimtestaat[[#This Row],[Prest. (m2 /jaar) weekend]]+Ruimtestaat[[#This Row],[Prest. (m2 /jaar) werkdagen]]</f>
        <v>3600</v>
      </c>
      <c r="AF282" s="154">
        <f>Ruimtestaat[[#This Row],[uren / jaar weekend]]+Ruimtestaat[[#This Row],[uren / jaar werkdagen]]</f>
        <v>0</v>
      </c>
      <c r="AG282" s="69">
        <f>Ruimtestaat[[#This Row],[kosten / jaar weekend]]+Ruimtestaat[[#This Row],[kosten / jaar werkdagen]]</f>
        <v>0</v>
      </c>
      <c r="AH282" s="69"/>
      <c r="AI282" s="256" t="str">
        <f>IF(Ruimtestaat[[#This Row],[Frequentie werkdagen]]="","",_xlfn.CONCAT(Ruimtestaat[[#This Row],[Ruimte code]],"-",Ruimtestaat[[#This Row],[Frequentie werkdagen]]," ",Ruimtestaat[[#This Row],[Vloer code]]))</f>
        <v>6-5w S</v>
      </c>
      <c r="AJ282" s="300" t="str">
        <f>_xlfn.IFNA(VLOOKUP($AI282,Programma!$F$3:$G$1107,2,0),"")</f>
        <v>_</v>
      </c>
      <c r="AK282" s="300" t="str">
        <f>_xlfn.IFNA(VLOOKUP($AI282,Programma!$F$3:$H$1107,3,0),"")</f>
        <v>_</v>
      </c>
      <c r="AL282" s="300" t="str">
        <f>_xlfn.IFNA(VLOOKUP($AI282,Programma!$F$3:$I$1107,4,0),"")</f>
        <v>5w</v>
      </c>
      <c r="AM282" s="300" t="str">
        <f>_xlfn.IFNA(VLOOKUP($AI282,Programma!$F$3:$J$1107,5,0),"")</f>
        <v>_</v>
      </c>
      <c r="AN282" s="300" t="str">
        <f>_xlfn.IFNA(VLOOKUP($AI282,Programma!$F$3:$K$1107,6,0),"")</f>
        <v>5w</v>
      </c>
      <c r="AO282" s="300" t="str">
        <f>_xlfn.IFNA(VLOOKUP($AI282,Programma!$F$3:$L$1107,7,0),"")</f>
        <v>_</v>
      </c>
      <c r="AP282" s="300" t="str">
        <f>_xlfn.IFNA(VLOOKUP($AI282,Programma!$F$3:$M$1107,8,0),"")</f>
        <v>_</v>
      </c>
      <c r="AQ282" s="300" t="str">
        <f>_xlfn.IFNA(VLOOKUP($AI282,Programma!$F$3:$N$1107,9,0),"")</f>
        <v>_</v>
      </c>
      <c r="AR282" s="300" t="str">
        <f>_xlfn.IFNA(VLOOKUP($AI282,Programma!$F$3:$O$1107,10,0),"")</f>
        <v>5w</v>
      </c>
      <c r="AS282" s="300" t="str">
        <f>_xlfn.IFNA(VLOOKUP($AI282,Programma!$F$3:$P$1107,11,0),"")</f>
        <v>5w</v>
      </c>
      <c r="AT282" s="300" t="str">
        <f>_xlfn.IFNA(VLOOKUP($AI282,Programma!$F$3:$Q$1107,12,0),"")</f>
        <v>1w</v>
      </c>
      <c r="AU282" s="300" t="str">
        <f>_xlfn.IFNA(VLOOKUP($AI282,Programma!$F$3:$R$1107,13,0),"")</f>
        <v>1w</v>
      </c>
      <c r="AV282" s="300" t="str">
        <f>_xlfn.IFNA(VLOOKUP($AI282,Programma!$F$3:$S$1107,14,0),"")</f>
        <v>1m</v>
      </c>
      <c r="AW282" s="300" t="str">
        <f>_xlfn.IFNA(VLOOKUP($AI282,Programma!$F$3:$T$1107,15,0),"")</f>
        <v>2j</v>
      </c>
      <c r="AX282" s="300" t="str">
        <f>_xlfn.IFNA(VLOOKUP($AI282,Programma!$F$3:$U$1107,16,0),"")</f>
        <v>1j</v>
      </c>
      <c r="AY282" s="300" t="str">
        <f>_xlfn.IFNA(VLOOKUP($AI282,Programma!$F$3:$V$1107,17,0),"")</f>
        <v>_</v>
      </c>
      <c r="AZ282" s="300" t="str">
        <f>_xlfn.IFNA(VLOOKUP($AI282,Programma!$F$3:$W$1107,18,0),"")</f>
        <v>_</v>
      </c>
      <c r="BA282" s="300" t="str">
        <f>_xlfn.IFNA(VLOOKUP($AI282,Programma!$F$3:$X$1107,19,0),"")</f>
        <v>_</v>
      </c>
      <c r="BB282" s="300" t="str">
        <f>_xlfn.IFNA(VLOOKUP($AI282,Programma!$F$3:$Y$1107,20,0),"")</f>
        <v>_</v>
      </c>
      <c r="BC282" s="257"/>
      <c r="BD282" s="256" t="str">
        <f>IF(Ruimtestaat[[#This Row],[Frequentie weekend]]="","",_xlfn.CONCAT(Ruimtestaat[[#This Row],[Ruimte code]],"-",Ruimtestaat[[#This Row],[Frequentie weekend]]," ",Ruimtestaat[[#This Row],[Vloer code]]))</f>
        <v/>
      </c>
      <c r="BE282" s="300" t="str">
        <f>_xlfn.IFNA(VLOOKUP($BD282,Programma!$F$3:$G$1107,2,0),"")</f>
        <v/>
      </c>
      <c r="BF282" s="300" t="str">
        <f>_xlfn.IFNA(VLOOKUP($BD282,Programma!$F$3:$H$1107,3,0),"")</f>
        <v/>
      </c>
      <c r="BG282" s="300" t="str">
        <f>_xlfn.IFNA(VLOOKUP($BD282,Programma!$F$3:$I$1107,4,0),"")</f>
        <v/>
      </c>
      <c r="BH282" s="300" t="str">
        <f>_xlfn.IFNA(VLOOKUP($BD282,Programma!$F$3:$J$1107,5,0),"")</f>
        <v/>
      </c>
      <c r="BI282" s="300" t="str">
        <f>_xlfn.IFNA(VLOOKUP($BD282,Programma!$F$3:$K$1107,6,0),"")</f>
        <v/>
      </c>
      <c r="BJ282" s="300" t="str">
        <f>_xlfn.IFNA(VLOOKUP($BD282,Programma!$F$3:$L$1107,7,0),"")</f>
        <v/>
      </c>
      <c r="BK282" s="300" t="str">
        <f>_xlfn.IFNA(VLOOKUP($BD282,Programma!$F$3:$M$1107,8,0),"")</f>
        <v/>
      </c>
      <c r="BL282" s="300" t="str">
        <f>_xlfn.IFNA(VLOOKUP($BD282,Programma!$F$3:$N$1107,9,0),"")</f>
        <v/>
      </c>
      <c r="BM282" s="300" t="str">
        <f>_xlfn.IFNA(VLOOKUP($BD282,Programma!$F$3:$O$1107,10,0),"")</f>
        <v/>
      </c>
      <c r="BN282" s="300" t="str">
        <f>_xlfn.IFNA(VLOOKUP($BD282,Programma!$F$3:$P$1107,11,0),"")</f>
        <v/>
      </c>
      <c r="BO282" s="300" t="str">
        <f>_xlfn.IFNA(VLOOKUP($BD282,Programma!$F$3:$Q$1107,12,0),"")</f>
        <v/>
      </c>
      <c r="BP282" s="300" t="str">
        <f>_xlfn.IFNA(VLOOKUP($BD282,Programma!$F$3:$R$1107,13,0),"")</f>
        <v/>
      </c>
      <c r="BQ282" s="300" t="str">
        <f>_xlfn.IFNA(VLOOKUP($BD282,Programma!$F$3:$S$1107,14,0),"")</f>
        <v/>
      </c>
      <c r="BR282" s="300" t="str">
        <f>_xlfn.IFNA(VLOOKUP($BD282,Programma!$F$3:$T$1107,15,0),"")</f>
        <v/>
      </c>
      <c r="BS282" s="300" t="str">
        <f>_xlfn.IFNA(VLOOKUP($BD282,Programma!$F$3:$U$1107,16,0),"")</f>
        <v/>
      </c>
      <c r="BT282" s="300" t="str">
        <f>_xlfn.IFNA(VLOOKUP($BD282,Programma!$F$3:$V$1107,17,0),"")</f>
        <v/>
      </c>
      <c r="BU282" s="300" t="str">
        <f>_xlfn.IFNA(VLOOKUP($BD282,Programma!$F$3:$W$1107,18,0),"")</f>
        <v/>
      </c>
      <c r="BV282" s="300" t="str">
        <f>_xlfn.IFNA(VLOOKUP($BD282,Programma!$F$3:$X$1107,19,0),"")</f>
        <v/>
      </c>
      <c r="BW282" s="300" t="str">
        <f>_xlfn.IFNA(VLOOKUP($BD282,Programma!$F$3:$Y$1107,20,0),"")</f>
        <v/>
      </c>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row>
    <row r="283" spans="1:220" ht="15" customHeight="1">
      <c r="A283" s="21">
        <v>4</v>
      </c>
      <c r="B283" s="157" t="str">
        <f>VLOOKUP(Ruimtestaat[[#This Row],[Code]],Locaties[[Code]:[Locatie]],2,FALSE)</f>
        <v>Sint-Maartenscollege</v>
      </c>
      <c r="C283" s="157" t="str">
        <f>VLOOKUP(Ruimtestaat[[#This Row],[Code]],Locaties[[#All],[Code]:[Adres]],4,FALSE)</f>
        <v xml:space="preserve">Aart v.d. Leeuwkade 14 </v>
      </c>
      <c r="D283" s="157" t="str">
        <f>VLOOKUP(Ruimtestaat[[#This Row],[Code]],Locaties[[#All],[Code]:[Postcode]],5,FALSE)</f>
        <v>2274 KX</v>
      </c>
      <c r="E283" s="157" t="str">
        <f>VLOOKUP(Ruimtestaat[[#This Row],[Code]],Locaties[#All],6,FALSE)</f>
        <v>Voorburg</v>
      </c>
      <c r="F283" s="62"/>
      <c r="G283" s="21" t="s">
        <v>1624</v>
      </c>
      <c r="H283" s="21" t="s">
        <v>1946</v>
      </c>
      <c r="I283" s="62" t="s">
        <v>1625</v>
      </c>
      <c r="J283" s="21">
        <v>6</v>
      </c>
      <c r="K283" s="62" t="str">
        <f>VLOOKUP(Ruimtestaat[[#This Row],[Ruimte code]],Ruimtegroepen[[#All],[Code]:[Ruimte omschrijving]],2,FALSE)</f>
        <v>Gangen/hallen</v>
      </c>
      <c r="L283" s="33" t="s">
        <v>102</v>
      </c>
      <c r="M283" s="367" t="s">
        <v>2502</v>
      </c>
      <c r="N283" s="140">
        <v>80</v>
      </c>
      <c r="O283" s="140"/>
      <c r="P283" s="125" t="str">
        <f>VLOOKUP(Ruimtestaat[[#This Row],[Ruimte code]],Ruimtegroepen[],4,FALSE)</f>
        <v>Ve</v>
      </c>
      <c r="R283" s="33">
        <v>40</v>
      </c>
      <c r="S283" s="33" t="s">
        <v>2</v>
      </c>
      <c r="T283" s="33">
        <f>IF(R283&gt;0,IF(RIGHT(Ruimtestaat[[#This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3" s="33">
        <f>IF(T283&gt;0,VLOOKUP($J283,Ruimtegroepen[],3,FALSE)*VLOOKUP($L283,Vloersoorten[],3,FALSE)*VLOOKUP($S283,Frequenties[],3,FALSE)*VLOOKUP($A283,Locaties[],3,FALSE),0)</f>
        <v>0</v>
      </c>
      <c r="V283" s="33">
        <f>Ruimtestaat[[#This Row],[Uitvoeringen werkdagen]]*Ruimtestaat[[#This Row],[Oppervlak (netto)]]</f>
        <v>16000</v>
      </c>
      <c r="W283" s="154">
        <f>IF(U283&gt;0,Ruimtestaat[[#This Row],[Prest. (m2 /jaar) werkdagen]]/Ruimtestaat[[#This Row],[Norm (m2/uur) werkdagen]],0)</f>
        <v>0</v>
      </c>
      <c r="X283" s="155">
        <f>Ruimtestaat[[#This Row],[uren / jaar werkdagen]]*Tariefsopbouw!$E$35</f>
        <v>0</v>
      </c>
      <c r="Y283" s="33"/>
      <c r="Z283" s="33">
        <f>IF(Ruimtestaat[[#This Row],[Frequentie weekend]]&gt;0,VALUE(LEFT(Y283,1))*R283,0)</f>
        <v>0</v>
      </c>
      <c r="AA283" s="97">
        <f>IF($Z283&gt;0,VLOOKUP($J283,Ruimtegroepen[],3,FALSE)*VLOOKUP($L283,Vloersoorten[],3,FALSE)*VLOOKUP($Y283,Frequenties[],3,FALSE)*VLOOKUP(Ruimtestaat[[#This Row],[Code]],Locaties[],3,FALSE),0)</f>
        <v>0</v>
      </c>
      <c r="AB283" s="97">
        <f>Ruimtestaat[[#This Row],[Uitvoeringen weekend]]*Ruimtestaat[[#This Row],[Oppervlak (netto)]]</f>
        <v>0</v>
      </c>
      <c r="AC283" s="97">
        <f>IF(AA283&gt;0,Ruimtestaat[[#This Row],[Prest. (m2 /jaar) weekend]]/Ruimtestaat[[#This Row],[Norm (m2/uur) weekend]],0)</f>
        <v>0</v>
      </c>
      <c r="AD283" s="155">
        <f>Ruimtestaat[[#This Row],[uren / jaar weekend]]*Tariefsopbouw!$D$40</f>
        <v>0</v>
      </c>
      <c r="AE283" s="154">
        <f>Ruimtestaat[[#This Row],[Prest. (m2 /jaar) weekend]]+Ruimtestaat[[#This Row],[Prest. (m2 /jaar) werkdagen]]</f>
        <v>16000</v>
      </c>
      <c r="AF283" s="154">
        <f>Ruimtestaat[[#This Row],[uren / jaar weekend]]+Ruimtestaat[[#This Row],[uren / jaar werkdagen]]</f>
        <v>0</v>
      </c>
      <c r="AG283" s="69">
        <f>Ruimtestaat[[#This Row],[kosten / jaar weekend]]+Ruimtestaat[[#This Row],[kosten / jaar werkdagen]]</f>
        <v>0</v>
      </c>
      <c r="AH283" s="69"/>
      <c r="AI283" s="256" t="str">
        <f>IF(Ruimtestaat[[#This Row],[Frequentie werkdagen]]="","",_xlfn.CONCAT(Ruimtestaat[[#This Row],[Ruimte code]],"-",Ruimtestaat[[#This Row],[Frequentie werkdagen]]," ",Ruimtestaat[[#This Row],[Vloer code]]))</f>
        <v>6-5w S</v>
      </c>
      <c r="AJ283" s="300" t="str">
        <f>_xlfn.IFNA(VLOOKUP($AI283,Programma!$F$3:$G$1107,2,0),"")</f>
        <v>_</v>
      </c>
      <c r="AK283" s="300" t="str">
        <f>_xlfn.IFNA(VLOOKUP($AI283,Programma!$F$3:$H$1107,3,0),"")</f>
        <v>_</v>
      </c>
      <c r="AL283" s="300" t="str">
        <f>_xlfn.IFNA(VLOOKUP($AI283,Programma!$F$3:$I$1107,4,0),"")</f>
        <v>5w</v>
      </c>
      <c r="AM283" s="300" t="str">
        <f>_xlfn.IFNA(VLOOKUP($AI283,Programma!$F$3:$J$1107,5,0),"")</f>
        <v>_</v>
      </c>
      <c r="AN283" s="300" t="str">
        <f>_xlfn.IFNA(VLOOKUP($AI283,Programma!$F$3:$K$1107,6,0),"")</f>
        <v>5w</v>
      </c>
      <c r="AO283" s="300" t="str">
        <f>_xlfn.IFNA(VLOOKUP($AI283,Programma!$F$3:$L$1107,7,0),"")</f>
        <v>_</v>
      </c>
      <c r="AP283" s="300" t="str">
        <f>_xlfn.IFNA(VLOOKUP($AI283,Programma!$F$3:$M$1107,8,0),"")</f>
        <v>_</v>
      </c>
      <c r="AQ283" s="300" t="str">
        <f>_xlfn.IFNA(VLOOKUP($AI283,Programma!$F$3:$N$1107,9,0),"")</f>
        <v>_</v>
      </c>
      <c r="AR283" s="300" t="str">
        <f>_xlfn.IFNA(VLOOKUP($AI283,Programma!$F$3:$O$1107,10,0),"")</f>
        <v>5w</v>
      </c>
      <c r="AS283" s="300" t="str">
        <f>_xlfn.IFNA(VLOOKUP($AI283,Programma!$F$3:$P$1107,11,0),"")</f>
        <v>5w</v>
      </c>
      <c r="AT283" s="300" t="str">
        <f>_xlfn.IFNA(VLOOKUP($AI283,Programma!$F$3:$Q$1107,12,0),"")</f>
        <v>1w</v>
      </c>
      <c r="AU283" s="300" t="str">
        <f>_xlfn.IFNA(VLOOKUP($AI283,Programma!$F$3:$R$1107,13,0),"")</f>
        <v>1w</v>
      </c>
      <c r="AV283" s="300" t="str">
        <f>_xlfn.IFNA(VLOOKUP($AI283,Programma!$F$3:$S$1107,14,0),"")</f>
        <v>1m</v>
      </c>
      <c r="AW283" s="300" t="str">
        <f>_xlfn.IFNA(VLOOKUP($AI283,Programma!$F$3:$T$1107,15,0),"")</f>
        <v>2j</v>
      </c>
      <c r="AX283" s="300" t="str">
        <f>_xlfn.IFNA(VLOOKUP($AI283,Programma!$F$3:$U$1107,16,0),"")</f>
        <v>1j</v>
      </c>
      <c r="AY283" s="300" t="str">
        <f>_xlfn.IFNA(VLOOKUP($AI283,Programma!$F$3:$V$1107,17,0),"")</f>
        <v>_</v>
      </c>
      <c r="AZ283" s="300" t="str">
        <f>_xlfn.IFNA(VLOOKUP($AI283,Programma!$F$3:$W$1107,18,0),"")</f>
        <v>_</v>
      </c>
      <c r="BA283" s="300" t="str">
        <f>_xlfn.IFNA(VLOOKUP($AI283,Programma!$F$3:$X$1107,19,0),"")</f>
        <v>_</v>
      </c>
      <c r="BB283" s="300" t="str">
        <f>_xlfn.IFNA(VLOOKUP($AI283,Programma!$F$3:$Y$1107,20,0),"")</f>
        <v>_</v>
      </c>
      <c r="BC283" s="257"/>
      <c r="BD283" s="256" t="str">
        <f>IF(Ruimtestaat[[#This Row],[Frequentie weekend]]="","",_xlfn.CONCAT(Ruimtestaat[[#This Row],[Ruimte code]],"-",Ruimtestaat[[#This Row],[Frequentie weekend]]," ",Ruimtestaat[[#This Row],[Vloer code]]))</f>
        <v/>
      </c>
      <c r="BE283" s="300" t="str">
        <f>_xlfn.IFNA(VLOOKUP($BD283,Programma!$F$3:$G$1107,2,0),"")</f>
        <v/>
      </c>
      <c r="BF283" s="300" t="str">
        <f>_xlfn.IFNA(VLOOKUP($BD283,Programma!$F$3:$H$1107,3,0),"")</f>
        <v/>
      </c>
      <c r="BG283" s="300" t="str">
        <f>_xlfn.IFNA(VLOOKUP($BD283,Programma!$F$3:$I$1107,4,0),"")</f>
        <v/>
      </c>
      <c r="BH283" s="300" t="str">
        <f>_xlfn.IFNA(VLOOKUP($BD283,Programma!$F$3:$J$1107,5,0),"")</f>
        <v/>
      </c>
      <c r="BI283" s="300" t="str">
        <f>_xlfn.IFNA(VLOOKUP($BD283,Programma!$F$3:$K$1107,6,0),"")</f>
        <v/>
      </c>
      <c r="BJ283" s="300" t="str">
        <f>_xlfn.IFNA(VLOOKUP($BD283,Programma!$F$3:$L$1107,7,0),"")</f>
        <v/>
      </c>
      <c r="BK283" s="300" t="str">
        <f>_xlfn.IFNA(VLOOKUP($BD283,Programma!$F$3:$M$1107,8,0),"")</f>
        <v/>
      </c>
      <c r="BL283" s="300" t="str">
        <f>_xlfn.IFNA(VLOOKUP($BD283,Programma!$F$3:$N$1107,9,0),"")</f>
        <v/>
      </c>
      <c r="BM283" s="300" t="str">
        <f>_xlfn.IFNA(VLOOKUP($BD283,Programma!$F$3:$O$1107,10,0),"")</f>
        <v/>
      </c>
      <c r="BN283" s="300" t="str">
        <f>_xlfn.IFNA(VLOOKUP($BD283,Programma!$F$3:$P$1107,11,0),"")</f>
        <v/>
      </c>
      <c r="BO283" s="300" t="str">
        <f>_xlfn.IFNA(VLOOKUP($BD283,Programma!$F$3:$Q$1107,12,0),"")</f>
        <v/>
      </c>
      <c r="BP283" s="300" t="str">
        <f>_xlfn.IFNA(VLOOKUP($BD283,Programma!$F$3:$R$1107,13,0),"")</f>
        <v/>
      </c>
      <c r="BQ283" s="300" t="str">
        <f>_xlfn.IFNA(VLOOKUP($BD283,Programma!$F$3:$S$1107,14,0),"")</f>
        <v/>
      </c>
      <c r="BR283" s="300" t="str">
        <f>_xlfn.IFNA(VLOOKUP($BD283,Programma!$F$3:$T$1107,15,0),"")</f>
        <v/>
      </c>
      <c r="BS283" s="300" t="str">
        <f>_xlfn.IFNA(VLOOKUP($BD283,Programma!$F$3:$U$1107,16,0),"")</f>
        <v/>
      </c>
      <c r="BT283" s="300" t="str">
        <f>_xlfn.IFNA(VLOOKUP($BD283,Programma!$F$3:$V$1107,17,0),"")</f>
        <v/>
      </c>
      <c r="BU283" s="300" t="str">
        <f>_xlfn.IFNA(VLOOKUP($BD283,Programma!$F$3:$W$1107,18,0),"")</f>
        <v/>
      </c>
      <c r="BV283" s="300" t="str">
        <f>_xlfn.IFNA(VLOOKUP($BD283,Programma!$F$3:$X$1107,19,0),"")</f>
        <v/>
      </c>
      <c r="BW283" s="300" t="str">
        <f>_xlfn.IFNA(VLOOKUP($BD283,Programma!$F$3:$Y$1107,20,0),"")</f>
        <v/>
      </c>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row>
    <row r="284" spans="1:220" ht="15" customHeight="1">
      <c r="A284" s="21">
        <v>4</v>
      </c>
      <c r="B284" s="157" t="str">
        <f>VLOOKUP(Ruimtestaat[[#This Row],[Code]],Locaties[[Code]:[Locatie]],2,FALSE)</f>
        <v>Sint-Maartenscollege</v>
      </c>
      <c r="C284" s="157" t="str">
        <f>VLOOKUP(Ruimtestaat[[#This Row],[Code]],Locaties[[#All],[Code]:[Adres]],4,FALSE)</f>
        <v xml:space="preserve">Aart v.d. Leeuwkade 14 </v>
      </c>
      <c r="D284" s="157" t="str">
        <f>VLOOKUP(Ruimtestaat[[#This Row],[Code]],Locaties[[#All],[Code]:[Postcode]],5,FALSE)</f>
        <v>2274 KX</v>
      </c>
      <c r="E284" s="157" t="str">
        <f>VLOOKUP(Ruimtestaat[[#This Row],[Code]],Locaties[#All],6,FALSE)</f>
        <v>Voorburg</v>
      </c>
      <c r="F284" s="62"/>
      <c r="G284" s="21" t="s">
        <v>1624</v>
      </c>
      <c r="H284" s="21" t="s">
        <v>1947</v>
      </c>
      <c r="I284" s="62" t="s">
        <v>1948</v>
      </c>
      <c r="J284" s="21">
        <v>6</v>
      </c>
      <c r="K284" s="62" t="str">
        <f>VLOOKUP(Ruimtestaat[[#This Row],[Ruimte code]],Ruimtegroepen[[#All],[Code]:[Ruimte omschrijving]],2,FALSE)</f>
        <v>Gangen/hallen</v>
      </c>
      <c r="L284" s="33" t="s">
        <v>102</v>
      </c>
      <c r="M284" s="367" t="s">
        <v>2502</v>
      </c>
      <c r="N284" s="140">
        <v>134</v>
      </c>
      <c r="O284" s="140"/>
      <c r="P284" s="125" t="str">
        <f>VLOOKUP(Ruimtestaat[[#This Row],[Ruimte code]],Ruimtegroepen[],4,FALSE)</f>
        <v>Ve</v>
      </c>
      <c r="R284" s="33">
        <v>40</v>
      </c>
      <c r="S284" s="33" t="s">
        <v>2</v>
      </c>
      <c r="T284" s="33">
        <f>IF(R284&gt;0,IF(RIGHT(Ruimtestaat[[#This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4" s="33">
        <f>IF(T284&gt;0,VLOOKUP($J284,Ruimtegroepen[],3,FALSE)*VLOOKUP($L284,Vloersoorten[],3,FALSE)*VLOOKUP($S284,Frequenties[],3,FALSE)*VLOOKUP($A284,Locaties[],3,FALSE),0)</f>
        <v>0</v>
      </c>
      <c r="V284" s="33">
        <f>Ruimtestaat[[#This Row],[Uitvoeringen werkdagen]]*Ruimtestaat[[#This Row],[Oppervlak (netto)]]</f>
        <v>26800</v>
      </c>
      <c r="W284" s="154">
        <f>IF(U284&gt;0,Ruimtestaat[[#This Row],[Prest. (m2 /jaar) werkdagen]]/Ruimtestaat[[#This Row],[Norm (m2/uur) werkdagen]],0)</f>
        <v>0</v>
      </c>
      <c r="X284" s="155">
        <f>Ruimtestaat[[#This Row],[uren / jaar werkdagen]]*Tariefsopbouw!$E$35</f>
        <v>0</v>
      </c>
      <c r="Y284" s="33"/>
      <c r="Z284" s="33">
        <f>IF(Ruimtestaat[[#This Row],[Frequentie weekend]]&gt;0,VALUE(LEFT(Y284,1))*R284,0)</f>
        <v>0</v>
      </c>
      <c r="AA284" s="97">
        <f>IF($Z284&gt;0,VLOOKUP($J284,Ruimtegroepen[],3,FALSE)*VLOOKUP($L284,Vloersoorten[],3,FALSE)*VLOOKUP($Y284,Frequenties[],3,FALSE)*VLOOKUP(Ruimtestaat[[#This Row],[Code]],Locaties[],3,FALSE),0)</f>
        <v>0</v>
      </c>
      <c r="AB284" s="97">
        <f>Ruimtestaat[[#This Row],[Uitvoeringen weekend]]*Ruimtestaat[[#This Row],[Oppervlak (netto)]]</f>
        <v>0</v>
      </c>
      <c r="AC284" s="97">
        <f>IF(AA284&gt;0,Ruimtestaat[[#This Row],[Prest. (m2 /jaar) weekend]]/Ruimtestaat[[#This Row],[Norm (m2/uur) weekend]],0)</f>
        <v>0</v>
      </c>
      <c r="AD284" s="155">
        <f>Ruimtestaat[[#This Row],[uren / jaar weekend]]*Tariefsopbouw!$D$40</f>
        <v>0</v>
      </c>
      <c r="AE284" s="154">
        <f>Ruimtestaat[[#This Row],[Prest. (m2 /jaar) weekend]]+Ruimtestaat[[#This Row],[Prest. (m2 /jaar) werkdagen]]</f>
        <v>26800</v>
      </c>
      <c r="AF284" s="154">
        <f>Ruimtestaat[[#This Row],[uren / jaar weekend]]+Ruimtestaat[[#This Row],[uren / jaar werkdagen]]</f>
        <v>0</v>
      </c>
      <c r="AG284" s="69">
        <f>Ruimtestaat[[#This Row],[kosten / jaar weekend]]+Ruimtestaat[[#This Row],[kosten / jaar werkdagen]]</f>
        <v>0</v>
      </c>
      <c r="AH284" s="69"/>
      <c r="AI284" s="256" t="str">
        <f>IF(Ruimtestaat[[#This Row],[Frequentie werkdagen]]="","",_xlfn.CONCAT(Ruimtestaat[[#This Row],[Ruimte code]],"-",Ruimtestaat[[#This Row],[Frequentie werkdagen]]," ",Ruimtestaat[[#This Row],[Vloer code]]))</f>
        <v>6-5w S</v>
      </c>
      <c r="AJ284" s="300" t="str">
        <f>_xlfn.IFNA(VLOOKUP($AI284,Programma!$F$3:$G$1107,2,0),"")</f>
        <v>_</v>
      </c>
      <c r="AK284" s="300" t="str">
        <f>_xlfn.IFNA(VLOOKUP($AI284,Programma!$F$3:$H$1107,3,0),"")</f>
        <v>_</v>
      </c>
      <c r="AL284" s="300" t="str">
        <f>_xlfn.IFNA(VLOOKUP($AI284,Programma!$F$3:$I$1107,4,0),"")</f>
        <v>5w</v>
      </c>
      <c r="AM284" s="300" t="str">
        <f>_xlfn.IFNA(VLOOKUP($AI284,Programma!$F$3:$J$1107,5,0),"")</f>
        <v>_</v>
      </c>
      <c r="AN284" s="300" t="str">
        <f>_xlfn.IFNA(VLOOKUP($AI284,Programma!$F$3:$K$1107,6,0),"")</f>
        <v>5w</v>
      </c>
      <c r="AO284" s="300" t="str">
        <f>_xlfn.IFNA(VLOOKUP($AI284,Programma!$F$3:$L$1107,7,0),"")</f>
        <v>_</v>
      </c>
      <c r="AP284" s="300" t="str">
        <f>_xlfn.IFNA(VLOOKUP($AI284,Programma!$F$3:$M$1107,8,0),"")</f>
        <v>_</v>
      </c>
      <c r="AQ284" s="300" t="str">
        <f>_xlfn.IFNA(VLOOKUP($AI284,Programma!$F$3:$N$1107,9,0),"")</f>
        <v>_</v>
      </c>
      <c r="AR284" s="300" t="str">
        <f>_xlfn.IFNA(VLOOKUP($AI284,Programma!$F$3:$O$1107,10,0),"")</f>
        <v>5w</v>
      </c>
      <c r="AS284" s="300" t="str">
        <f>_xlfn.IFNA(VLOOKUP($AI284,Programma!$F$3:$P$1107,11,0),"")</f>
        <v>5w</v>
      </c>
      <c r="AT284" s="300" t="str">
        <f>_xlfn.IFNA(VLOOKUP($AI284,Programma!$F$3:$Q$1107,12,0),"")</f>
        <v>1w</v>
      </c>
      <c r="AU284" s="300" t="str">
        <f>_xlfn.IFNA(VLOOKUP($AI284,Programma!$F$3:$R$1107,13,0),"")</f>
        <v>1w</v>
      </c>
      <c r="AV284" s="300" t="str">
        <f>_xlfn.IFNA(VLOOKUP($AI284,Programma!$F$3:$S$1107,14,0),"")</f>
        <v>1m</v>
      </c>
      <c r="AW284" s="300" t="str">
        <f>_xlfn.IFNA(VLOOKUP($AI284,Programma!$F$3:$T$1107,15,0),"")</f>
        <v>2j</v>
      </c>
      <c r="AX284" s="300" t="str">
        <f>_xlfn.IFNA(VLOOKUP($AI284,Programma!$F$3:$U$1107,16,0),"")</f>
        <v>1j</v>
      </c>
      <c r="AY284" s="300" t="str">
        <f>_xlfn.IFNA(VLOOKUP($AI284,Programma!$F$3:$V$1107,17,0),"")</f>
        <v>_</v>
      </c>
      <c r="AZ284" s="300" t="str">
        <f>_xlfn.IFNA(VLOOKUP($AI284,Programma!$F$3:$W$1107,18,0),"")</f>
        <v>_</v>
      </c>
      <c r="BA284" s="300" t="str">
        <f>_xlfn.IFNA(VLOOKUP($AI284,Programma!$F$3:$X$1107,19,0),"")</f>
        <v>_</v>
      </c>
      <c r="BB284" s="300" t="str">
        <f>_xlfn.IFNA(VLOOKUP($AI284,Programma!$F$3:$Y$1107,20,0),"")</f>
        <v>_</v>
      </c>
      <c r="BC284" s="257"/>
      <c r="BD284" s="256" t="str">
        <f>IF(Ruimtestaat[[#This Row],[Frequentie weekend]]="","",_xlfn.CONCAT(Ruimtestaat[[#This Row],[Ruimte code]],"-",Ruimtestaat[[#This Row],[Frequentie weekend]]," ",Ruimtestaat[[#This Row],[Vloer code]]))</f>
        <v/>
      </c>
      <c r="BE284" s="300" t="str">
        <f>_xlfn.IFNA(VLOOKUP($BD284,Programma!$F$3:$G$1107,2,0),"")</f>
        <v/>
      </c>
      <c r="BF284" s="300" t="str">
        <f>_xlfn.IFNA(VLOOKUP($BD284,Programma!$F$3:$H$1107,3,0),"")</f>
        <v/>
      </c>
      <c r="BG284" s="300" t="str">
        <f>_xlfn.IFNA(VLOOKUP($BD284,Programma!$F$3:$I$1107,4,0),"")</f>
        <v/>
      </c>
      <c r="BH284" s="300" t="str">
        <f>_xlfn.IFNA(VLOOKUP($BD284,Programma!$F$3:$J$1107,5,0),"")</f>
        <v/>
      </c>
      <c r="BI284" s="300" t="str">
        <f>_xlfn.IFNA(VLOOKUP($BD284,Programma!$F$3:$K$1107,6,0),"")</f>
        <v/>
      </c>
      <c r="BJ284" s="300" t="str">
        <f>_xlfn.IFNA(VLOOKUP($BD284,Programma!$F$3:$L$1107,7,0),"")</f>
        <v/>
      </c>
      <c r="BK284" s="300" t="str">
        <f>_xlfn.IFNA(VLOOKUP($BD284,Programma!$F$3:$M$1107,8,0),"")</f>
        <v/>
      </c>
      <c r="BL284" s="300" t="str">
        <f>_xlfn.IFNA(VLOOKUP($BD284,Programma!$F$3:$N$1107,9,0),"")</f>
        <v/>
      </c>
      <c r="BM284" s="300" t="str">
        <f>_xlfn.IFNA(VLOOKUP($BD284,Programma!$F$3:$O$1107,10,0),"")</f>
        <v/>
      </c>
      <c r="BN284" s="300" t="str">
        <f>_xlfn.IFNA(VLOOKUP($BD284,Programma!$F$3:$P$1107,11,0),"")</f>
        <v/>
      </c>
      <c r="BO284" s="300" t="str">
        <f>_xlfn.IFNA(VLOOKUP($BD284,Programma!$F$3:$Q$1107,12,0),"")</f>
        <v/>
      </c>
      <c r="BP284" s="300" t="str">
        <f>_xlfn.IFNA(VLOOKUP($BD284,Programma!$F$3:$R$1107,13,0),"")</f>
        <v/>
      </c>
      <c r="BQ284" s="300" t="str">
        <f>_xlfn.IFNA(VLOOKUP($BD284,Programma!$F$3:$S$1107,14,0),"")</f>
        <v/>
      </c>
      <c r="BR284" s="300" t="str">
        <f>_xlfn.IFNA(VLOOKUP($BD284,Programma!$F$3:$T$1107,15,0),"")</f>
        <v/>
      </c>
      <c r="BS284" s="300" t="str">
        <f>_xlfn.IFNA(VLOOKUP($BD284,Programma!$F$3:$U$1107,16,0),"")</f>
        <v/>
      </c>
      <c r="BT284" s="300" t="str">
        <f>_xlfn.IFNA(VLOOKUP($BD284,Programma!$F$3:$V$1107,17,0),"")</f>
        <v/>
      </c>
      <c r="BU284" s="300" t="str">
        <f>_xlfn.IFNA(VLOOKUP($BD284,Programma!$F$3:$W$1107,18,0),"")</f>
        <v/>
      </c>
      <c r="BV284" s="300" t="str">
        <f>_xlfn.IFNA(VLOOKUP($BD284,Programma!$F$3:$X$1107,19,0),"")</f>
        <v/>
      </c>
      <c r="BW284" s="300" t="str">
        <f>_xlfn.IFNA(VLOOKUP($BD284,Programma!$F$3:$Y$1107,20,0),"")</f>
        <v/>
      </c>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row>
    <row r="285" spans="1:220" ht="15" customHeight="1">
      <c r="A285" s="21">
        <v>4</v>
      </c>
      <c r="B285" s="157" t="str">
        <f>VLOOKUP(Ruimtestaat[[#This Row],[Code]],Locaties[[Code]:[Locatie]],2,FALSE)</f>
        <v>Sint-Maartenscollege</v>
      </c>
      <c r="C285" s="157" t="str">
        <f>VLOOKUP(Ruimtestaat[[#This Row],[Code]],Locaties[[#All],[Code]:[Adres]],4,FALSE)</f>
        <v xml:space="preserve">Aart v.d. Leeuwkade 14 </v>
      </c>
      <c r="D285" s="157" t="str">
        <f>VLOOKUP(Ruimtestaat[[#This Row],[Code]],Locaties[[#All],[Code]:[Postcode]],5,FALSE)</f>
        <v>2274 KX</v>
      </c>
      <c r="E285" s="157" t="str">
        <f>VLOOKUP(Ruimtestaat[[#This Row],[Code]],Locaties[#All],6,FALSE)</f>
        <v>Voorburg</v>
      </c>
      <c r="F285" s="62"/>
      <c r="G285" s="21" t="s">
        <v>1624</v>
      </c>
      <c r="H285" s="21" t="s">
        <v>1949</v>
      </c>
      <c r="I285" s="62" t="s">
        <v>1625</v>
      </c>
      <c r="J285" s="21">
        <v>6</v>
      </c>
      <c r="K285" s="62" t="str">
        <f>VLOOKUP(Ruimtestaat[[#This Row],[Ruimte code]],Ruimtegroepen[[#All],[Code]:[Ruimte omschrijving]],2,FALSE)</f>
        <v>Gangen/hallen</v>
      </c>
      <c r="L285" s="33" t="s">
        <v>102</v>
      </c>
      <c r="M285" s="367" t="s">
        <v>2502</v>
      </c>
      <c r="N285" s="140">
        <v>22</v>
      </c>
      <c r="O285" s="140"/>
      <c r="P285" s="125" t="str">
        <f>VLOOKUP(Ruimtestaat[[#This Row],[Ruimte code]],Ruimtegroepen[],4,FALSE)</f>
        <v>Ve</v>
      </c>
      <c r="R285" s="33">
        <v>40</v>
      </c>
      <c r="S285" s="33" t="s">
        <v>2</v>
      </c>
      <c r="T285" s="33">
        <f>IF(R285&gt;0,IF(RIGHT(Ruimtestaat[[#This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5" s="33">
        <f>IF(T285&gt;0,VLOOKUP($J285,Ruimtegroepen[],3,FALSE)*VLOOKUP($L285,Vloersoorten[],3,FALSE)*VLOOKUP($S285,Frequenties[],3,FALSE)*VLOOKUP($A285,Locaties[],3,FALSE),0)</f>
        <v>0</v>
      </c>
      <c r="V285" s="33">
        <f>Ruimtestaat[[#This Row],[Uitvoeringen werkdagen]]*Ruimtestaat[[#This Row],[Oppervlak (netto)]]</f>
        <v>4400</v>
      </c>
      <c r="W285" s="154">
        <f>IF(U285&gt;0,Ruimtestaat[[#This Row],[Prest. (m2 /jaar) werkdagen]]/Ruimtestaat[[#This Row],[Norm (m2/uur) werkdagen]],0)</f>
        <v>0</v>
      </c>
      <c r="X285" s="155">
        <f>Ruimtestaat[[#This Row],[uren / jaar werkdagen]]*Tariefsopbouw!$E$35</f>
        <v>0</v>
      </c>
      <c r="Y285" s="33"/>
      <c r="Z285" s="33">
        <f>IF(Ruimtestaat[[#This Row],[Frequentie weekend]]&gt;0,VALUE(LEFT(Y285,1))*R285,0)</f>
        <v>0</v>
      </c>
      <c r="AA285" s="97">
        <f>IF($Z285&gt;0,VLOOKUP($J285,Ruimtegroepen[],3,FALSE)*VLOOKUP($L285,Vloersoorten[],3,FALSE)*VLOOKUP($Y285,Frequenties[],3,FALSE)*VLOOKUP(Ruimtestaat[[#This Row],[Code]],Locaties[],3,FALSE),0)</f>
        <v>0</v>
      </c>
      <c r="AB285" s="97">
        <f>Ruimtestaat[[#This Row],[Uitvoeringen weekend]]*Ruimtestaat[[#This Row],[Oppervlak (netto)]]</f>
        <v>0</v>
      </c>
      <c r="AC285" s="97">
        <f>IF(AA285&gt;0,Ruimtestaat[[#This Row],[Prest. (m2 /jaar) weekend]]/Ruimtestaat[[#This Row],[Norm (m2/uur) weekend]],0)</f>
        <v>0</v>
      </c>
      <c r="AD285" s="155">
        <f>Ruimtestaat[[#This Row],[uren / jaar weekend]]*Tariefsopbouw!$D$40</f>
        <v>0</v>
      </c>
      <c r="AE285" s="154">
        <f>Ruimtestaat[[#This Row],[Prest. (m2 /jaar) weekend]]+Ruimtestaat[[#This Row],[Prest. (m2 /jaar) werkdagen]]</f>
        <v>4400</v>
      </c>
      <c r="AF285" s="154">
        <f>Ruimtestaat[[#This Row],[uren / jaar weekend]]+Ruimtestaat[[#This Row],[uren / jaar werkdagen]]</f>
        <v>0</v>
      </c>
      <c r="AG285" s="69">
        <f>Ruimtestaat[[#This Row],[kosten / jaar weekend]]+Ruimtestaat[[#This Row],[kosten / jaar werkdagen]]</f>
        <v>0</v>
      </c>
      <c r="AH285" s="69"/>
      <c r="AI285" s="256" t="str">
        <f>IF(Ruimtestaat[[#This Row],[Frequentie werkdagen]]="","",_xlfn.CONCAT(Ruimtestaat[[#This Row],[Ruimte code]],"-",Ruimtestaat[[#This Row],[Frequentie werkdagen]]," ",Ruimtestaat[[#This Row],[Vloer code]]))</f>
        <v>6-5w S</v>
      </c>
      <c r="AJ285" s="300" t="str">
        <f>_xlfn.IFNA(VLOOKUP($AI285,Programma!$F$3:$G$1107,2,0),"")</f>
        <v>_</v>
      </c>
      <c r="AK285" s="300" t="str">
        <f>_xlfn.IFNA(VLOOKUP($AI285,Programma!$F$3:$H$1107,3,0),"")</f>
        <v>_</v>
      </c>
      <c r="AL285" s="300" t="str">
        <f>_xlfn.IFNA(VLOOKUP($AI285,Programma!$F$3:$I$1107,4,0),"")</f>
        <v>5w</v>
      </c>
      <c r="AM285" s="300" t="str">
        <f>_xlfn.IFNA(VLOOKUP($AI285,Programma!$F$3:$J$1107,5,0),"")</f>
        <v>_</v>
      </c>
      <c r="AN285" s="300" t="str">
        <f>_xlfn.IFNA(VLOOKUP($AI285,Programma!$F$3:$K$1107,6,0),"")</f>
        <v>5w</v>
      </c>
      <c r="AO285" s="300" t="str">
        <f>_xlfn.IFNA(VLOOKUP($AI285,Programma!$F$3:$L$1107,7,0),"")</f>
        <v>_</v>
      </c>
      <c r="AP285" s="300" t="str">
        <f>_xlfn.IFNA(VLOOKUP($AI285,Programma!$F$3:$M$1107,8,0),"")</f>
        <v>_</v>
      </c>
      <c r="AQ285" s="300" t="str">
        <f>_xlfn.IFNA(VLOOKUP($AI285,Programma!$F$3:$N$1107,9,0),"")</f>
        <v>_</v>
      </c>
      <c r="AR285" s="300" t="str">
        <f>_xlfn.IFNA(VLOOKUP($AI285,Programma!$F$3:$O$1107,10,0),"")</f>
        <v>5w</v>
      </c>
      <c r="AS285" s="300" t="str">
        <f>_xlfn.IFNA(VLOOKUP($AI285,Programma!$F$3:$P$1107,11,0),"")</f>
        <v>5w</v>
      </c>
      <c r="AT285" s="300" t="str">
        <f>_xlfn.IFNA(VLOOKUP($AI285,Programma!$F$3:$Q$1107,12,0),"")</f>
        <v>1w</v>
      </c>
      <c r="AU285" s="300" t="str">
        <f>_xlfn.IFNA(VLOOKUP($AI285,Programma!$F$3:$R$1107,13,0),"")</f>
        <v>1w</v>
      </c>
      <c r="AV285" s="300" t="str">
        <f>_xlfn.IFNA(VLOOKUP($AI285,Programma!$F$3:$S$1107,14,0),"")</f>
        <v>1m</v>
      </c>
      <c r="AW285" s="300" t="str">
        <f>_xlfn.IFNA(VLOOKUP($AI285,Programma!$F$3:$T$1107,15,0),"")</f>
        <v>2j</v>
      </c>
      <c r="AX285" s="300" t="str">
        <f>_xlfn.IFNA(VLOOKUP($AI285,Programma!$F$3:$U$1107,16,0),"")</f>
        <v>1j</v>
      </c>
      <c r="AY285" s="300" t="str">
        <f>_xlfn.IFNA(VLOOKUP($AI285,Programma!$F$3:$V$1107,17,0),"")</f>
        <v>_</v>
      </c>
      <c r="AZ285" s="300" t="str">
        <f>_xlfn.IFNA(VLOOKUP($AI285,Programma!$F$3:$W$1107,18,0),"")</f>
        <v>_</v>
      </c>
      <c r="BA285" s="300" t="str">
        <f>_xlfn.IFNA(VLOOKUP($AI285,Programma!$F$3:$X$1107,19,0),"")</f>
        <v>_</v>
      </c>
      <c r="BB285" s="300" t="str">
        <f>_xlfn.IFNA(VLOOKUP($AI285,Programma!$F$3:$Y$1107,20,0),"")</f>
        <v>_</v>
      </c>
      <c r="BC285" s="257"/>
      <c r="BD285" s="256" t="str">
        <f>IF(Ruimtestaat[[#This Row],[Frequentie weekend]]="","",_xlfn.CONCAT(Ruimtestaat[[#This Row],[Ruimte code]],"-",Ruimtestaat[[#This Row],[Frequentie weekend]]," ",Ruimtestaat[[#This Row],[Vloer code]]))</f>
        <v/>
      </c>
      <c r="BE285" s="300" t="str">
        <f>_xlfn.IFNA(VLOOKUP($BD285,Programma!$F$3:$G$1107,2,0),"")</f>
        <v/>
      </c>
      <c r="BF285" s="300" t="str">
        <f>_xlfn.IFNA(VLOOKUP($BD285,Programma!$F$3:$H$1107,3,0),"")</f>
        <v/>
      </c>
      <c r="BG285" s="300" t="str">
        <f>_xlfn.IFNA(VLOOKUP($BD285,Programma!$F$3:$I$1107,4,0),"")</f>
        <v/>
      </c>
      <c r="BH285" s="300" t="str">
        <f>_xlfn.IFNA(VLOOKUP($BD285,Programma!$F$3:$J$1107,5,0),"")</f>
        <v/>
      </c>
      <c r="BI285" s="300" t="str">
        <f>_xlfn.IFNA(VLOOKUP($BD285,Programma!$F$3:$K$1107,6,0),"")</f>
        <v/>
      </c>
      <c r="BJ285" s="300" t="str">
        <f>_xlfn.IFNA(VLOOKUP($BD285,Programma!$F$3:$L$1107,7,0),"")</f>
        <v/>
      </c>
      <c r="BK285" s="300" t="str">
        <f>_xlfn.IFNA(VLOOKUP($BD285,Programma!$F$3:$M$1107,8,0),"")</f>
        <v/>
      </c>
      <c r="BL285" s="300" t="str">
        <f>_xlfn.IFNA(VLOOKUP($BD285,Programma!$F$3:$N$1107,9,0),"")</f>
        <v/>
      </c>
      <c r="BM285" s="300" t="str">
        <f>_xlfn.IFNA(VLOOKUP($BD285,Programma!$F$3:$O$1107,10,0),"")</f>
        <v/>
      </c>
      <c r="BN285" s="300" t="str">
        <f>_xlfn.IFNA(VLOOKUP($BD285,Programma!$F$3:$P$1107,11,0),"")</f>
        <v/>
      </c>
      <c r="BO285" s="300" t="str">
        <f>_xlfn.IFNA(VLOOKUP($BD285,Programma!$F$3:$Q$1107,12,0),"")</f>
        <v/>
      </c>
      <c r="BP285" s="300" t="str">
        <f>_xlfn.IFNA(VLOOKUP($BD285,Programma!$F$3:$R$1107,13,0),"")</f>
        <v/>
      </c>
      <c r="BQ285" s="300" t="str">
        <f>_xlfn.IFNA(VLOOKUP($BD285,Programma!$F$3:$S$1107,14,0),"")</f>
        <v/>
      </c>
      <c r="BR285" s="300" t="str">
        <f>_xlfn.IFNA(VLOOKUP($BD285,Programma!$F$3:$T$1107,15,0),"")</f>
        <v/>
      </c>
      <c r="BS285" s="300" t="str">
        <f>_xlfn.IFNA(VLOOKUP($BD285,Programma!$F$3:$U$1107,16,0),"")</f>
        <v/>
      </c>
      <c r="BT285" s="300" t="str">
        <f>_xlfn.IFNA(VLOOKUP($BD285,Programma!$F$3:$V$1107,17,0),"")</f>
        <v/>
      </c>
      <c r="BU285" s="300" t="str">
        <f>_xlfn.IFNA(VLOOKUP($BD285,Programma!$F$3:$W$1107,18,0),"")</f>
        <v/>
      </c>
      <c r="BV285" s="300" t="str">
        <f>_xlfn.IFNA(VLOOKUP($BD285,Programma!$F$3:$X$1107,19,0),"")</f>
        <v/>
      </c>
      <c r="BW285" s="300" t="str">
        <f>_xlfn.IFNA(VLOOKUP($BD285,Programma!$F$3:$Y$1107,20,0),"")</f>
        <v/>
      </c>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row>
    <row r="286" spans="1:220" ht="15" customHeight="1">
      <c r="A286" s="21">
        <v>4</v>
      </c>
      <c r="B286" s="157" t="str">
        <f>VLOOKUP(Ruimtestaat[[#This Row],[Code]],Locaties[[Code]:[Locatie]],2,FALSE)</f>
        <v>Sint-Maartenscollege</v>
      </c>
      <c r="C286" s="157" t="str">
        <f>VLOOKUP(Ruimtestaat[[#This Row],[Code]],Locaties[[#All],[Code]:[Adres]],4,FALSE)</f>
        <v xml:space="preserve">Aart v.d. Leeuwkade 14 </v>
      </c>
      <c r="D286" s="157" t="str">
        <f>VLOOKUP(Ruimtestaat[[#This Row],[Code]],Locaties[[#All],[Code]:[Postcode]],5,FALSE)</f>
        <v>2274 KX</v>
      </c>
      <c r="E286" s="157" t="str">
        <f>VLOOKUP(Ruimtestaat[[#This Row],[Code]],Locaties[#All],6,FALSE)</f>
        <v>Voorburg</v>
      </c>
      <c r="F286" s="62"/>
      <c r="G286" s="21" t="s">
        <v>1624</v>
      </c>
      <c r="H286" s="21" t="s">
        <v>1950</v>
      </c>
      <c r="I286" s="62" t="s">
        <v>1807</v>
      </c>
      <c r="J286" s="21">
        <v>6</v>
      </c>
      <c r="K286" s="62" t="str">
        <f>VLOOKUP(Ruimtestaat[[#This Row],[Ruimte code]],Ruimtegroepen[[#All],[Code]:[Ruimte omschrijving]],2,FALSE)</f>
        <v>Gangen/hallen</v>
      </c>
      <c r="L286" s="33" t="s">
        <v>102</v>
      </c>
      <c r="M286" s="367" t="s">
        <v>2502</v>
      </c>
      <c r="N286" s="140">
        <v>22</v>
      </c>
      <c r="O286" s="140"/>
      <c r="P286" s="125" t="str">
        <f>VLOOKUP(Ruimtestaat[[#This Row],[Ruimte code]],Ruimtegroepen[],4,FALSE)</f>
        <v>Ve</v>
      </c>
      <c r="R286" s="33">
        <v>40</v>
      </c>
      <c r="S286" s="33" t="s">
        <v>2</v>
      </c>
      <c r="T286" s="33">
        <f>IF(R286&gt;0,IF(RIGHT(Ruimtestaat[[#This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6" s="33">
        <f>IF(T286&gt;0,VLOOKUP($J286,Ruimtegroepen[],3,FALSE)*VLOOKUP($L286,Vloersoorten[],3,FALSE)*VLOOKUP($S286,Frequenties[],3,FALSE)*VLOOKUP($A286,Locaties[],3,FALSE),0)</f>
        <v>0</v>
      </c>
      <c r="V286" s="33">
        <f>Ruimtestaat[[#This Row],[Uitvoeringen werkdagen]]*Ruimtestaat[[#This Row],[Oppervlak (netto)]]</f>
        <v>4400</v>
      </c>
      <c r="W286" s="154">
        <f>IF(U286&gt;0,Ruimtestaat[[#This Row],[Prest. (m2 /jaar) werkdagen]]/Ruimtestaat[[#This Row],[Norm (m2/uur) werkdagen]],0)</f>
        <v>0</v>
      </c>
      <c r="X286" s="155">
        <f>Ruimtestaat[[#This Row],[uren / jaar werkdagen]]*Tariefsopbouw!$E$35</f>
        <v>0</v>
      </c>
      <c r="Y286" s="33"/>
      <c r="Z286" s="33">
        <f>IF(Ruimtestaat[[#This Row],[Frequentie weekend]]&gt;0,VALUE(LEFT(Y286,1))*R286,0)</f>
        <v>0</v>
      </c>
      <c r="AA286" s="97">
        <f>IF($Z286&gt;0,VLOOKUP($J286,Ruimtegroepen[],3,FALSE)*VLOOKUP($L286,Vloersoorten[],3,FALSE)*VLOOKUP($Y286,Frequenties[],3,FALSE)*VLOOKUP(Ruimtestaat[[#This Row],[Code]],Locaties[],3,FALSE),0)</f>
        <v>0</v>
      </c>
      <c r="AB286" s="97">
        <f>Ruimtestaat[[#This Row],[Uitvoeringen weekend]]*Ruimtestaat[[#This Row],[Oppervlak (netto)]]</f>
        <v>0</v>
      </c>
      <c r="AC286" s="97">
        <f>IF(AA286&gt;0,Ruimtestaat[[#This Row],[Prest. (m2 /jaar) weekend]]/Ruimtestaat[[#This Row],[Norm (m2/uur) weekend]],0)</f>
        <v>0</v>
      </c>
      <c r="AD286" s="155">
        <f>Ruimtestaat[[#This Row],[uren / jaar weekend]]*Tariefsopbouw!$D$40</f>
        <v>0</v>
      </c>
      <c r="AE286" s="154">
        <f>Ruimtestaat[[#This Row],[Prest. (m2 /jaar) weekend]]+Ruimtestaat[[#This Row],[Prest. (m2 /jaar) werkdagen]]</f>
        <v>4400</v>
      </c>
      <c r="AF286" s="154">
        <f>Ruimtestaat[[#This Row],[uren / jaar weekend]]+Ruimtestaat[[#This Row],[uren / jaar werkdagen]]</f>
        <v>0</v>
      </c>
      <c r="AG286" s="69">
        <f>Ruimtestaat[[#This Row],[kosten / jaar weekend]]+Ruimtestaat[[#This Row],[kosten / jaar werkdagen]]</f>
        <v>0</v>
      </c>
      <c r="AH286" s="69"/>
      <c r="AI286" s="256" t="str">
        <f>IF(Ruimtestaat[[#This Row],[Frequentie werkdagen]]="","",_xlfn.CONCAT(Ruimtestaat[[#This Row],[Ruimte code]],"-",Ruimtestaat[[#This Row],[Frequentie werkdagen]]," ",Ruimtestaat[[#This Row],[Vloer code]]))</f>
        <v>6-5w S</v>
      </c>
      <c r="AJ286" s="300" t="str">
        <f>_xlfn.IFNA(VLOOKUP($AI286,Programma!$F$3:$G$1107,2,0),"")</f>
        <v>_</v>
      </c>
      <c r="AK286" s="300" t="str">
        <f>_xlfn.IFNA(VLOOKUP($AI286,Programma!$F$3:$H$1107,3,0),"")</f>
        <v>_</v>
      </c>
      <c r="AL286" s="300" t="str">
        <f>_xlfn.IFNA(VLOOKUP($AI286,Programma!$F$3:$I$1107,4,0),"")</f>
        <v>5w</v>
      </c>
      <c r="AM286" s="300" t="str">
        <f>_xlfn.IFNA(VLOOKUP($AI286,Programma!$F$3:$J$1107,5,0),"")</f>
        <v>_</v>
      </c>
      <c r="AN286" s="300" t="str">
        <f>_xlfn.IFNA(VLOOKUP($AI286,Programma!$F$3:$K$1107,6,0),"")</f>
        <v>5w</v>
      </c>
      <c r="AO286" s="300" t="str">
        <f>_xlfn.IFNA(VLOOKUP($AI286,Programma!$F$3:$L$1107,7,0),"")</f>
        <v>_</v>
      </c>
      <c r="AP286" s="300" t="str">
        <f>_xlfn.IFNA(VLOOKUP($AI286,Programma!$F$3:$M$1107,8,0),"")</f>
        <v>_</v>
      </c>
      <c r="AQ286" s="300" t="str">
        <f>_xlfn.IFNA(VLOOKUP($AI286,Programma!$F$3:$N$1107,9,0),"")</f>
        <v>_</v>
      </c>
      <c r="AR286" s="300" t="str">
        <f>_xlfn.IFNA(VLOOKUP($AI286,Programma!$F$3:$O$1107,10,0),"")</f>
        <v>5w</v>
      </c>
      <c r="AS286" s="300" t="str">
        <f>_xlfn.IFNA(VLOOKUP($AI286,Programma!$F$3:$P$1107,11,0),"")</f>
        <v>5w</v>
      </c>
      <c r="AT286" s="300" t="str">
        <f>_xlfn.IFNA(VLOOKUP($AI286,Programma!$F$3:$Q$1107,12,0),"")</f>
        <v>1w</v>
      </c>
      <c r="AU286" s="300" t="str">
        <f>_xlfn.IFNA(VLOOKUP($AI286,Programma!$F$3:$R$1107,13,0),"")</f>
        <v>1w</v>
      </c>
      <c r="AV286" s="300" t="str">
        <f>_xlfn.IFNA(VLOOKUP($AI286,Programma!$F$3:$S$1107,14,0),"")</f>
        <v>1m</v>
      </c>
      <c r="AW286" s="300" t="str">
        <f>_xlfn.IFNA(VLOOKUP($AI286,Programma!$F$3:$T$1107,15,0),"")</f>
        <v>2j</v>
      </c>
      <c r="AX286" s="300" t="str">
        <f>_xlfn.IFNA(VLOOKUP($AI286,Programma!$F$3:$U$1107,16,0),"")</f>
        <v>1j</v>
      </c>
      <c r="AY286" s="300" t="str">
        <f>_xlfn.IFNA(VLOOKUP($AI286,Programma!$F$3:$V$1107,17,0),"")</f>
        <v>_</v>
      </c>
      <c r="AZ286" s="300" t="str">
        <f>_xlfn.IFNA(VLOOKUP($AI286,Programma!$F$3:$W$1107,18,0),"")</f>
        <v>_</v>
      </c>
      <c r="BA286" s="300" t="str">
        <f>_xlfn.IFNA(VLOOKUP($AI286,Programma!$F$3:$X$1107,19,0),"")</f>
        <v>_</v>
      </c>
      <c r="BB286" s="300" t="str">
        <f>_xlfn.IFNA(VLOOKUP($AI286,Programma!$F$3:$Y$1107,20,0),"")</f>
        <v>_</v>
      </c>
      <c r="BC286" s="257"/>
      <c r="BD286" s="256" t="str">
        <f>IF(Ruimtestaat[[#This Row],[Frequentie weekend]]="","",_xlfn.CONCAT(Ruimtestaat[[#This Row],[Ruimte code]],"-",Ruimtestaat[[#This Row],[Frequentie weekend]]," ",Ruimtestaat[[#This Row],[Vloer code]]))</f>
        <v/>
      </c>
      <c r="BE286" s="300" t="str">
        <f>_xlfn.IFNA(VLOOKUP($BD286,Programma!$F$3:$G$1107,2,0),"")</f>
        <v/>
      </c>
      <c r="BF286" s="300" t="str">
        <f>_xlfn.IFNA(VLOOKUP($BD286,Programma!$F$3:$H$1107,3,0),"")</f>
        <v/>
      </c>
      <c r="BG286" s="300" t="str">
        <f>_xlfn.IFNA(VLOOKUP($BD286,Programma!$F$3:$I$1107,4,0),"")</f>
        <v/>
      </c>
      <c r="BH286" s="300" t="str">
        <f>_xlfn.IFNA(VLOOKUP($BD286,Programma!$F$3:$J$1107,5,0),"")</f>
        <v/>
      </c>
      <c r="BI286" s="300" t="str">
        <f>_xlfn.IFNA(VLOOKUP($BD286,Programma!$F$3:$K$1107,6,0),"")</f>
        <v/>
      </c>
      <c r="BJ286" s="300" t="str">
        <f>_xlfn.IFNA(VLOOKUP($BD286,Programma!$F$3:$L$1107,7,0),"")</f>
        <v/>
      </c>
      <c r="BK286" s="300" t="str">
        <f>_xlfn.IFNA(VLOOKUP($BD286,Programma!$F$3:$M$1107,8,0),"")</f>
        <v/>
      </c>
      <c r="BL286" s="300" t="str">
        <f>_xlfn.IFNA(VLOOKUP($BD286,Programma!$F$3:$N$1107,9,0),"")</f>
        <v/>
      </c>
      <c r="BM286" s="300" t="str">
        <f>_xlfn.IFNA(VLOOKUP($BD286,Programma!$F$3:$O$1107,10,0),"")</f>
        <v/>
      </c>
      <c r="BN286" s="300" t="str">
        <f>_xlfn.IFNA(VLOOKUP($BD286,Programma!$F$3:$P$1107,11,0),"")</f>
        <v/>
      </c>
      <c r="BO286" s="300" t="str">
        <f>_xlfn.IFNA(VLOOKUP($BD286,Programma!$F$3:$Q$1107,12,0),"")</f>
        <v/>
      </c>
      <c r="BP286" s="300" t="str">
        <f>_xlfn.IFNA(VLOOKUP($BD286,Programma!$F$3:$R$1107,13,0),"")</f>
        <v/>
      </c>
      <c r="BQ286" s="300" t="str">
        <f>_xlfn.IFNA(VLOOKUP($BD286,Programma!$F$3:$S$1107,14,0),"")</f>
        <v/>
      </c>
      <c r="BR286" s="300" t="str">
        <f>_xlfn.IFNA(VLOOKUP($BD286,Programma!$F$3:$T$1107,15,0),"")</f>
        <v/>
      </c>
      <c r="BS286" s="300" t="str">
        <f>_xlfn.IFNA(VLOOKUP($BD286,Programma!$F$3:$U$1107,16,0),"")</f>
        <v/>
      </c>
      <c r="BT286" s="300" t="str">
        <f>_xlfn.IFNA(VLOOKUP($BD286,Programma!$F$3:$V$1107,17,0),"")</f>
        <v/>
      </c>
      <c r="BU286" s="300" t="str">
        <f>_xlfn.IFNA(VLOOKUP($BD286,Programma!$F$3:$W$1107,18,0),"")</f>
        <v/>
      </c>
      <c r="BV286" s="300" t="str">
        <f>_xlfn.IFNA(VLOOKUP($BD286,Programma!$F$3:$X$1107,19,0),"")</f>
        <v/>
      </c>
      <c r="BW286" s="300" t="str">
        <f>_xlfn.IFNA(VLOOKUP($BD286,Programma!$F$3:$Y$1107,20,0),"")</f>
        <v/>
      </c>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row>
    <row r="287" spans="1:220" ht="15" customHeight="1">
      <c r="A287" s="21">
        <v>4</v>
      </c>
      <c r="B287" s="157" t="str">
        <f>VLOOKUP(Ruimtestaat[[#This Row],[Code]],Locaties[[Code]:[Locatie]],2,FALSE)</f>
        <v>Sint-Maartenscollege</v>
      </c>
      <c r="C287" s="157" t="str">
        <f>VLOOKUP(Ruimtestaat[[#This Row],[Code]],Locaties[[#All],[Code]:[Adres]],4,FALSE)</f>
        <v xml:space="preserve">Aart v.d. Leeuwkade 14 </v>
      </c>
      <c r="D287" s="157" t="str">
        <f>VLOOKUP(Ruimtestaat[[#This Row],[Code]],Locaties[[#All],[Code]:[Postcode]],5,FALSE)</f>
        <v>2274 KX</v>
      </c>
      <c r="E287" s="157" t="str">
        <f>VLOOKUP(Ruimtestaat[[#This Row],[Code]],Locaties[#All],6,FALSE)</f>
        <v>Voorburg</v>
      </c>
      <c r="F287" s="62"/>
      <c r="G287" s="21" t="s">
        <v>1624</v>
      </c>
      <c r="H287" s="21" t="s">
        <v>1951</v>
      </c>
      <c r="I287" s="62" t="s">
        <v>1952</v>
      </c>
      <c r="J287" s="21">
        <v>6</v>
      </c>
      <c r="K287" s="62" t="str">
        <f>VLOOKUP(Ruimtestaat[[#This Row],[Ruimte code]],Ruimtegroepen[[#All],[Code]:[Ruimte omschrijving]],2,FALSE)</f>
        <v>Gangen/hallen</v>
      </c>
      <c r="L287" s="33" t="s">
        <v>101</v>
      </c>
      <c r="M287" s="367" t="s">
        <v>2495</v>
      </c>
      <c r="N287" s="140">
        <v>49</v>
      </c>
      <c r="O287" s="140"/>
      <c r="P287" s="125" t="str">
        <f>VLOOKUP(Ruimtestaat[[#This Row],[Ruimte code]],Ruimtegroepen[],4,FALSE)</f>
        <v>Ve</v>
      </c>
      <c r="R287" s="33">
        <v>40</v>
      </c>
      <c r="S287" s="33" t="s">
        <v>2</v>
      </c>
      <c r="T287" s="33">
        <f>IF(R287&gt;0,IF(RIGHT(Ruimtestaat[[#This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7" s="33">
        <f>IF(T287&gt;0,VLOOKUP($J287,Ruimtegroepen[],3,FALSE)*VLOOKUP($L287,Vloersoorten[],3,FALSE)*VLOOKUP($S287,Frequenties[],3,FALSE)*VLOOKUP($A287,Locaties[],3,FALSE),0)</f>
        <v>0</v>
      </c>
      <c r="V287" s="33">
        <f>Ruimtestaat[[#This Row],[Uitvoeringen werkdagen]]*Ruimtestaat[[#This Row],[Oppervlak (netto)]]</f>
        <v>9800</v>
      </c>
      <c r="W287" s="154">
        <f>IF(U287&gt;0,Ruimtestaat[[#This Row],[Prest. (m2 /jaar) werkdagen]]/Ruimtestaat[[#This Row],[Norm (m2/uur) werkdagen]],0)</f>
        <v>0</v>
      </c>
      <c r="X287" s="155">
        <f>Ruimtestaat[[#This Row],[uren / jaar werkdagen]]*Tariefsopbouw!$E$35</f>
        <v>0</v>
      </c>
      <c r="Y287" s="33"/>
      <c r="Z287" s="33">
        <f>IF(Ruimtestaat[[#This Row],[Frequentie weekend]]&gt;0,VALUE(LEFT(Y287,1))*R287,0)</f>
        <v>0</v>
      </c>
      <c r="AA287" s="97">
        <f>IF($Z287&gt;0,VLOOKUP($J287,Ruimtegroepen[],3,FALSE)*VLOOKUP($L287,Vloersoorten[],3,FALSE)*VLOOKUP($Y287,Frequenties[],3,FALSE)*VLOOKUP(Ruimtestaat[[#This Row],[Code]],Locaties[],3,FALSE),0)</f>
        <v>0</v>
      </c>
      <c r="AB287" s="97">
        <f>Ruimtestaat[[#This Row],[Uitvoeringen weekend]]*Ruimtestaat[[#This Row],[Oppervlak (netto)]]</f>
        <v>0</v>
      </c>
      <c r="AC287" s="97">
        <f>IF(AA287&gt;0,Ruimtestaat[[#This Row],[Prest. (m2 /jaar) weekend]]/Ruimtestaat[[#This Row],[Norm (m2/uur) weekend]],0)</f>
        <v>0</v>
      </c>
      <c r="AD287" s="155">
        <f>Ruimtestaat[[#This Row],[uren / jaar weekend]]*Tariefsopbouw!$D$40</f>
        <v>0</v>
      </c>
      <c r="AE287" s="154">
        <f>Ruimtestaat[[#This Row],[Prest. (m2 /jaar) weekend]]+Ruimtestaat[[#This Row],[Prest. (m2 /jaar) werkdagen]]</f>
        <v>9800</v>
      </c>
      <c r="AF287" s="154">
        <f>Ruimtestaat[[#This Row],[uren / jaar weekend]]+Ruimtestaat[[#This Row],[uren / jaar werkdagen]]</f>
        <v>0</v>
      </c>
      <c r="AG287" s="69">
        <f>Ruimtestaat[[#This Row],[kosten / jaar weekend]]+Ruimtestaat[[#This Row],[kosten / jaar werkdagen]]</f>
        <v>0</v>
      </c>
      <c r="AH287" s="69"/>
      <c r="AI287" s="256" t="str">
        <f>IF(Ruimtestaat[[#This Row],[Frequentie werkdagen]]="","",_xlfn.CONCAT(Ruimtestaat[[#This Row],[Ruimte code]],"-",Ruimtestaat[[#This Row],[Frequentie werkdagen]]," ",Ruimtestaat[[#This Row],[Vloer code]]))</f>
        <v>6-5w L</v>
      </c>
      <c r="AJ287" s="300" t="str">
        <f>_xlfn.IFNA(VLOOKUP($AI287,Programma!$F$3:$G$1107,2,0),"")</f>
        <v>_</v>
      </c>
      <c r="AK287" s="300" t="str">
        <f>_xlfn.IFNA(VLOOKUP($AI287,Programma!$F$3:$H$1107,3,0),"")</f>
        <v>_</v>
      </c>
      <c r="AL287" s="300" t="str">
        <f>_xlfn.IFNA(VLOOKUP($AI287,Programma!$F$3:$I$1107,4,0),"")</f>
        <v>_</v>
      </c>
      <c r="AM287" s="300" t="str">
        <f>_xlfn.IFNA(VLOOKUP($AI287,Programma!$F$3:$J$1107,5,0),"")</f>
        <v>5w</v>
      </c>
      <c r="AN287" s="300" t="str">
        <f>_xlfn.IFNA(VLOOKUP($AI287,Programma!$F$3:$K$1107,6,0),"")</f>
        <v>_</v>
      </c>
      <c r="AO287" s="300" t="str">
        <f>_xlfn.IFNA(VLOOKUP($AI287,Programma!$F$3:$L$1107,7,0),"")</f>
        <v>_</v>
      </c>
      <c r="AP287" s="300" t="str">
        <f>_xlfn.IFNA(VLOOKUP($AI287,Programma!$F$3:$M$1107,8,0),"")</f>
        <v>_</v>
      </c>
      <c r="AQ287" s="300" t="str">
        <f>_xlfn.IFNA(VLOOKUP($AI287,Programma!$F$3:$N$1107,9,0),"")</f>
        <v>_</v>
      </c>
      <c r="AR287" s="300" t="str">
        <f>_xlfn.IFNA(VLOOKUP($AI287,Programma!$F$3:$O$1107,10,0),"")</f>
        <v>5w</v>
      </c>
      <c r="AS287" s="300" t="str">
        <f>_xlfn.IFNA(VLOOKUP($AI287,Programma!$F$3:$P$1107,11,0),"")</f>
        <v>5w</v>
      </c>
      <c r="AT287" s="300" t="str">
        <f>_xlfn.IFNA(VLOOKUP($AI287,Programma!$F$3:$Q$1107,12,0),"")</f>
        <v>1w</v>
      </c>
      <c r="AU287" s="300" t="str">
        <f>_xlfn.IFNA(VLOOKUP($AI287,Programma!$F$3:$R$1107,13,0),"")</f>
        <v>1w</v>
      </c>
      <c r="AV287" s="300" t="str">
        <f>_xlfn.IFNA(VLOOKUP($AI287,Programma!$F$3:$S$1107,14,0),"")</f>
        <v>1m</v>
      </c>
      <c r="AW287" s="300" t="str">
        <f>_xlfn.IFNA(VLOOKUP($AI287,Programma!$F$3:$T$1107,15,0),"")</f>
        <v>2j</v>
      </c>
      <c r="AX287" s="300" t="str">
        <f>_xlfn.IFNA(VLOOKUP($AI287,Programma!$F$3:$U$1107,16,0),"")</f>
        <v>1j</v>
      </c>
      <c r="AY287" s="300" t="str">
        <f>_xlfn.IFNA(VLOOKUP($AI287,Programma!$F$3:$V$1107,17,0),"")</f>
        <v>_</v>
      </c>
      <c r="AZ287" s="300" t="str">
        <f>_xlfn.IFNA(VLOOKUP($AI287,Programma!$F$3:$W$1107,18,0),"")</f>
        <v>_</v>
      </c>
      <c r="BA287" s="300" t="str">
        <f>_xlfn.IFNA(VLOOKUP($AI287,Programma!$F$3:$X$1107,19,0),"")</f>
        <v>_</v>
      </c>
      <c r="BB287" s="300" t="str">
        <f>_xlfn.IFNA(VLOOKUP($AI287,Programma!$F$3:$Y$1107,20,0),"")</f>
        <v>_</v>
      </c>
      <c r="BC287" s="257"/>
      <c r="BD287" s="256" t="str">
        <f>IF(Ruimtestaat[[#This Row],[Frequentie weekend]]="","",_xlfn.CONCAT(Ruimtestaat[[#This Row],[Ruimte code]],"-",Ruimtestaat[[#This Row],[Frequentie weekend]]," ",Ruimtestaat[[#This Row],[Vloer code]]))</f>
        <v/>
      </c>
      <c r="BE287" s="300" t="str">
        <f>_xlfn.IFNA(VLOOKUP($BD287,Programma!$F$3:$G$1107,2,0),"")</f>
        <v/>
      </c>
      <c r="BF287" s="300" t="str">
        <f>_xlfn.IFNA(VLOOKUP($BD287,Programma!$F$3:$H$1107,3,0),"")</f>
        <v/>
      </c>
      <c r="BG287" s="300" t="str">
        <f>_xlfn.IFNA(VLOOKUP($BD287,Programma!$F$3:$I$1107,4,0),"")</f>
        <v/>
      </c>
      <c r="BH287" s="300" t="str">
        <f>_xlfn.IFNA(VLOOKUP($BD287,Programma!$F$3:$J$1107,5,0),"")</f>
        <v/>
      </c>
      <c r="BI287" s="300" t="str">
        <f>_xlfn.IFNA(VLOOKUP($BD287,Programma!$F$3:$K$1107,6,0),"")</f>
        <v/>
      </c>
      <c r="BJ287" s="300" t="str">
        <f>_xlfn.IFNA(VLOOKUP($BD287,Programma!$F$3:$L$1107,7,0),"")</f>
        <v/>
      </c>
      <c r="BK287" s="300" t="str">
        <f>_xlfn.IFNA(VLOOKUP($BD287,Programma!$F$3:$M$1107,8,0),"")</f>
        <v/>
      </c>
      <c r="BL287" s="300" t="str">
        <f>_xlfn.IFNA(VLOOKUP($BD287,Programma!$F$3:$N$1107,9,0),"")</f>
        <v/>
      </c>
      <c r="BM287" s="300" t="str">
        <f>_xlfn.IFNA(VLOOKUP($BD287,Programma!$F$3:$O$1107,10,0),"")</f>
        <v/>
      </c>
      <c r="BN287" s="300" t="str">
        <f>_xlfn.IFNA(VLOOKUP($BD287,Programma!$F$3:$P$1107,11,0),"")</f>
        <v/>
      </c>
      <c r="BO287" s="300" t="str">
        <f>_xlfn.IFNA(VLOOKUP($BD287,Programma!$F$3:$Q$1107,12,0),"")</f>
        <v/>
      </c>
      <c r="BP287" s="300" t="str">
        <f>_xlfn.IFNA(VLOOKUP($BD287,Programma!$F$3:$R$1107,13,0),"")</f>
        <v/>
      </c>
      <c r="BQ287" s="300" t="str">
        <f>_xlfn.IFNA(VLOOKUP($BD287,Programma!$F$3:$S$1107,14,0),"")</f>
        <v/>
      </c>
      <c r="BR287" s="300" t="str">
        <f>_xlfn.IFNA(VLOOKUP($BD287,Programma!$F$3:$T$1107,15,0),"")</f>
        <v/>
      </c>
      <c r="BS287" s="300" t="str">
        <f>_xlfn.IFNA(VLOOKUP($BD287,Programma!$F$3:$U$1107,16,0),"")</f>
        <v/>
      </c>
      <c r="BT287" s="300" t="str">
        <f>_xlfn.IFNA(VLOOKUP($BD287,Programma!$F$3:$V$1107,17,0),"")</f>
        <v/>
      </c>
      <c r="BU287" s="300" t="str">
        <f>_xlfn.IFNA(VLOOKUP($BD287,Programma!$F$3:$W$1107,18,0),"")</f>
        <v/>
      </c>
      <c r="BV287" s="300" t="str">
        <f>_xlfn.IFNA(VLOOKUP($BD287,Programma!$F$3:$X$1107,19,0),"")</f>
        <v/>
      </c>
      <c r="BW287" s="300" t="str">
        <f>_xlfn.IFNA(VLOOKUP($BD287,Programma!$F$3:$Y$1107,20,0),"")</f>
        <v/>
      </c>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row>
    <row r="288" spans="1:220" ht="15" customHeight="1">
      <c r="A288" s="21">
        <v>4</v>
      </c>
      <c r="B288" s="157" t="str">
        <f>VLOOKUP(Ruimtestaat[[#This Row],[Code]],Locaties[[Code]:[Locatie]],2,FALSE)</f>
        <v>Sint-Maartenscollege</v>
      </c>
      <c r="C288" s="157" t="str">
        <f>VLOOKUP(Ruimtestaat[[#This Row],[Code]],Locaties[[#All],[Code]:[Adres]],4,FALSE)</f>
        <v xml:space="preserve">Aart v.d. Leeuwkade 14 </v>
      </c>
      <c r="D288" s="157" t="str">
        <f>VLOOKUP(Ruimtestaat[[#This Row],[Code]],Locaties[[#All],[Code]:[Postcode]],5,FALSE)</f>
        <v>2274 KX</v>
      </c>
      <c r="E288" s="157" t="str">
        <f>VLOOKUP(Ruimtestaat[[#This Row],[Code]],Locaties[#All],6,FALSE)</f>
        <v>Voorburg</v>
      </c>
      <c r="F288" s="62"/>
      <c r="G288" s="21" t="s">
        <v>1706</v>
      </c>
      <c r="H288" s="21" t="s">
        <v>1707</v>
      </c>
      <c r="I288" s="62" t="s">
        <v>1953</v>
      </c>
      <c r="J288" s="21">
        <v>16</v>
      </c>
      <c r="K288" s="62" t="str">
        <f>VLOOKUP(Ruimtestaat[[#This Row],[Ruimte code]],Ruimtegroepen[[#All],[Code]:[Ruimte omschrijving]],2,FALSE)</f>
        <v>Leslokalen theorie</v>
      </c>
      <c r="L288" s="33" t="s">
        <v>101</v>
      </c>
      <c r="M288" s="367" t="s">
        <v>2495</v>
      </c>
      <c r="N288" s="140">
        <v>63</v>
      </c>
      <c r="O288" s="140"/>
      <c r="P288" s="125" t="str">
        <f>VLOOKUP(Ruimtestaat[[#This Row],[Ruimte code]],Ruimtegroepen[],4,FALSE)</f>
        <v>Le</v>
      </c>
      <c r="R288" s="33">
        <v>40</v>
      </c>
      <c r="S288" s="33" t="s">
        <v>2</v>
      </c>
      <c r="T288" s="33">
        <f>IF(R288&gt;0,IF(RIGHT(Ruimtestaat[[#This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8" s="33">
        <f>IF(T288&gt;0,VLOOKUP($J288,Ruimtegroepen[],3,FALSE)*VLOOKUP($L288,Vloersoorten[],3,FALSE)*VLOOKUP($S288,Frequenties[],3,FALSE)*VLOOKUP($A288,Locaties[],3,FALSE),0)</f>
        <v>0</v>
      </c>
      <c r="V288" s="33">
        <f>Ruimtestaat[[#This Row],[Uitvoeringen werkdagen]]*Ruimtestaat[[#This Row],[Oppervlak (netto)]]</f>
        <v>12600</v>
      </c>
      <c r="W288" s="154">
        <f>IF(U288&gt;0,Ruimtestaat[[#This Row],[Prest. (m2 /jaar) werkdagen]]/Ruimtestaat[[#This Row],[Norm (m2/uur) werkdagen]],0)</f>
        <v>0</v>
      </c>
      <c r="X288" s="155">
        <f>Ruimtestaat[[#This Row],[uren / jaar werkdagen]]*Tariefsopbouw!$E$35</f>
        <v>0</v>
      </c>
      <c r="Y288" s="33"/>
      <c r="Z288" s="33">
        <f>IF(Ruimtestaat[[#This Row],[Frequentie weekend]]&gt;0,VALUE(LEFT(Y288,1))*R288,0)</f>
        <v>0</v>
      </c>
      <c r="AA288" s="97">
        <f>IF($Z288&gt;0,VLOOKUP($J288,Ruimtegroepen[],3,FALSE)*VLOOKUP($L288,Vloersoorten[],3,FALSE)*VLOOKUP($Y288,Frequenties[],3,FALSE)*VLOOKUP(Ruimtestaat[[#This Row],[Code]],Locaties[],3,FALSE),0)</f>
        <v>0</v>
      </c>
      <c r="AB288" s="97">
        <f>Ruimtestaat[[#This Row],[Uitvoeringen weekend]]*Ruimtestaat[[#This Row],[Oppervlak (netto)]]</f>
        <v>0</v>
      </c>
      <c r="AC288" s="97">
        <f>IF(AA288&gt;0,Ruimtestaat[[#This Row],[Prest. (m2 /jaar) weekend]]/Ruimtestaat[[#This Row],[Norm (m2/uur) weekend]],0)</f>
        <v>0</v>
      </c>
      <c r="AD288" s="155">
        <f>Ruimtestaat[[#This Row],[uren / jaar weekend]]*Tariefsopbouw!$D$40</f>
        <v>0</v>
      </c>
      <c r="AE288" s="154">
        <f>Ruimtestaat[[#This Row],[Prest. (m2 /jaar) weekend]]+Ruimtestaat[[#This Row],[Prest. (m2 /jaar) werkdagen]]</f>
        <v>12600</v>
      </c>
      <c r="AF288" s="154">
        <f>Ruimtestaat[[#This Row],[uren / jaar weekend]]+Ruimtestaat[[#This Row],[uren / jaar werkdagen]]</f>
        <v>0</v>
      </c>
      <c r="AG288" s="69">
        <f>Ruimtestaat[[#This Row],[kosten / jaar weekend]]+Ruimtestaat[[#This Row],[kosten / jaar werkdagen]]</f>
        <v>0</v>
      </c>
      <c r="AH288" s="69"/>
      <c r="AI288" s="256" t="str">
        <f>IF(Ruimtestaat[[#This Row],[Frequentie werkdagen]]="","",_xlfn.CONCAT(Ruimtestaat[[#This Row],[Ruimte code]],"-",Ruimtestaat[[#This Row],[Frequentie werkdagen]]," ",Ruimtestaat[[#This Row],[Vloer code]]))</f>
        <v>16-5w L</v>
      </c>
      <c r="AJ288" s="300" t="str">
        <f>_xlfn.IFNA(VLOOKUP($AI288,Programma!$F$3:$G$1107,2,0),"")</f>
        <v>_</v>
      </c>
      <c r="AK288" s="300" t="str">
        <f>_xlfn.IFNA(VLOOKUP($AI288,Programma!$F$3:$H$1107,3,0),"")</f>
        <v>_</v>
      </c>
      <c r="AL288" s="300" t="str">
        <f>_xlfn.IFNA(VLOOKUP($AI288,Programma!$F$3:$I$1107,4,0),"")</f>
        <v>4w</v>
      </c>
      <c r="AM288" s="300" t="str">
        <f>_xlfn.IFNA(VLOOKUP($AI288,Programma!$F$3:$J$1107,5,0),"")</f>
        <v>1w</v>
      </c>
      <c r="AN288" s="300" t="str">
        <f>_xlfn.IFNA(VLOOKUP($AI288,Programma!$F$3:$K$1107,6,0),"")</f>
        <v>_</v>
      </c>
      <c r="AO288" s="300" t="str">
        <f>_xlfn.IFNA(VLOOKUP($AI288,Programma!$F$3:$L$1107,7,0),"")</f>
        <v>_</v>
      </c>
      <c r="AP288" s="300" t="str">
        <f>_xlfn.IFNA(VLOOKUP($AI288,Programma!$F$3:$M$1107,8,0),"")</f>
        <v>_</v>
      </c>
      <c r="AQ288" s="300" t="str">
        <f>_xlfn.IFNA(VLOOKUP($AI288,Programma!$F$3:$N$1107,9,0),"")</f>
        <v>_</v>
      </c>
      <c r="AR288" s="300" t="str">
        <f>_xlfn.IFNA(VLOOKUP($AI288,Programma!$F$3:$O$1107,10,0),"")</f>
        <v>5w</v>
      </c>
      <c r="AS288" s="300" t="str">
        <f>_xlfn.IFNA(VLOOKUP($AI288,Programma!$F$3:$P$1107,11,0),"")</f>
        <v>5w</v>
      </c>
      <c r="AT288" s="300" t="str">
        <f>_xlfn.IFNA(VLOOKUP($AI288,Programma!$F$3:$Q$1107,12,0),"")</f>
        <v>1w</v>
      </c>
      <c r="AU288" s="300" t="str">
        <f>_xlfn.IFNA(VLOOKUP($AI288,Programma!$F$3:$R$1107,13,0),"")</f>
        <v>1w</v>
      </c>
      <c r="AV288" s="300" t="str">
        <f>_xlfn.IFNA(VLOOKUP($AI288,Programma!$F$3:$S$1107,14,0),"")</f>
        <v>1m</v>
      </c>
      <c r="AW288" s="300" t="str">
        <f>_xlfn.IFNA(VLOOKUP($AI288,Programma!$F$3:$T$1107,15,0),"")</f>
        <v>2j</v>
      </c>
      <c r="AX288" s="300" t="str">
        <f>_xlfn.IFNA(VLOOKUP($AI288,Programma!$F$3:$U$1107,16,0),"")</f>
        <v>1j</v>
      </c>
      <c r="AY288" s="300" t="str">
        <f>_xlfn.IFNA(VLOOKUP($AI288,Programma!$F$3:$V$1107,17,0),"")</f>
        <v>_</v>
      </c>
      <c r="AZ288" s="300" t="str">
        <f>_xlfn.IFNA(VLOOKUP($AI288,Programma!$F$3:$W$1107,18,0),"")</f>
        <v>_</v>
      </c>
      <c r="BA288" s="300" t="str">
        <f>_xlfn.IFNA(VLOOKUP($AI288,Programma!$F$3:$X$1107,19,0),"")</f>
        <v>_</v>
      </c>
      <c r="BB288" s="300" t="str">
        <f>_xlfn.IFNA(VLOOKUP($AI288,Programma!$F$3:$Y$1107,20,0),"")</f>
        <v>_</v>
      </c>
      <c r="BC288" s="257"/>
      <c r="BD288" s="256" t="str">
        <f>IF(Ruimtestaat[[#This Row],[Frequentie weekend]]="","",_xlfn.CONCAT(Ruimtestaat[[#This Row],[Ruimte code]],"-",Ruimtestaat[[#This Row],[Frequentie weekend]]," ",Ruimtestaat[[#This Row],[Vloer code]]))</f>
        <v/>
      </c>
      <c r="BE288" s="300" t="str">
        <f>_xlfn.IFNA(VLOOKUP($BD288,Programma!$F$3:$G$1107,2,0),"")</f>
        <v/>
      </c>
      <c r="BF288" s="300" t="str">
        <f>_xlfn.IFNA(VLOOKUP($BD288,Programma!$F$3:$H$1107,3,0),"")</f>
        <v/>
      </c>
      <c r="BG288" s="300" t="str">
        <f>_xlfn.IFNA(VLOOKUP($BD288,Programma!$F$3:$I$1107,4,0),"")</f>
        <v/>
      </c>
      <c r="BH288" s="300" t="str">
        <f>_xlfn.IFNA(VLOOKUP($BD288,Programma!$F$3:$J$1107,5,0),"")</f>
        <v/>
      </c>
      <c r="BI288" s="300" t="str">
        <f>_xlfn.IFNA(VLOOKUP($BD288,Programma!$F$3:$K$1107,6,0),"")</f>
        <v/>
      </c>
      <c r="BJ288" s="300" t="str">
        <f>_xlfn.IFNA(VLOOKUP($BD288,Programma!$F$3:$L$1107,7,0),"")</f>
        <v/>
      </c>
      <c r="BK288" s="300" t="str">
        <f>_xlfn.IFNA(VLOOKUP($BD288,Programma!$F$3:$M$1107,8,0),"")</f>
        <v/>
      </c>
      <c r="BL288" s="300" t="str">
        <f>_xlfn.IFNA(VLOOKUP($BD288,Programma!$F$3:$N$1107,9,0),"")</f>
        <v/>
      </c>
      <c r="BM288" s="300" t="str">
        <f>_xlfn.IFNA(VLOOKUP($BD288,Programma!$F$3:$O$1107,10,0),"")</f>
        <v/>
      </c>
      <c r="BN288" s="300" t="str">
        <f>_xlfn.IFNA(VLOOKUP($BD288,Programma!$F$3:$P$1107,11,0),"")</f>
        <v/>
      </c>
      <c r="BO288" s="300" t="str">
        <f>_xlfn.IFNA(VLOOKUP($BD288,Programma!$F$3:$Q$1107,12,0),"")</f>
        <v/>
      </c>
      <c r="BP288" s="300" t="str">
        <f>_xlfn.IFNA(VLOOKUP($BD288,Programma!$F$3:$R$1107,13,0),"")</f>
        <v/>
      </c>
      <c r="BQ288" s="300" t="str">
        <f>_xlfn.IFNA(VLOOKUP($BD288,Programma!$F$3:$S$1107,14,0),"")</f>
        <v/>
      </c>
      <c r="BR288" s="300" t="str">
        <f>_xlfn.IFNA(VLOOKUP($BD288,Programma!$F$3:$T$1107,15,0),"")</f>
        <v/>
      </c>
      <c r="BS288" s="300" t="str">
        <f>_xlfn.IFNA(VLOOKUP($BD288,Programma!$F$3:$U$1107,16,0),"")</f>
        <v/>
      </c>
      <c r="BT288" s="300" t="str">
        <f>_xlfn.IFNA(VLOOKUP($BD288,Programma!$F$3:$V$1107,17,0),"")</f>
        <v/>
      </c>
      <c r="BU288" s="300" t="str">
        <f>_xlfn.IFNA(VLOOKUP($BD288,Programma!$F$3:$W$1107,18,0),"")</f>
        <v/>
      </c>
      <c r="BV288" s="300" t="str">
        <f>_xlfn.IFNA(VLOOKUP($BD288,Programma!$F$3:$X$1107,19,0),"")</f>
        <v/>
      </c>
      <c r="BW288" s="300" t="str">
        <f>_xlfn.IFNA(VLOOKUP($BD288,Programma!$F$3:$Y$1107,20,0),"")</f>
        <v/>
      </c>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row>
    <row r="289" spans="1:220" ht="15" customHeight="1">
      <c r="A289" s="21">
        <v>4</v>
      </c>
      <c r="B289" s="157" t="str">
        <f>VLOOKUP(Ruimtestaat[[#This Row],[Code]],Locaties[[Code]:[Locatie]],2,FALSE)</f>
        <v>Sint-Maartenscollege</v>
      </c>
      <c r="C289" s="157" t="str">
        <f>VLOOKUP(Ruimtestaat[[#This Row],[Code]],Locaties[[#All],[Code]:[Adres]],4,FALSE)</f>
        <v xml:space="preserve">Aart v.d. Leeuwkade 14 </v>
      </c>
      <c r="D289" s="157" t="str">
        <f>VLOOKUP(Ruimtestaat[[#This Row],[Code]],Locaties[[#All],[Code]:[Postcode]],5,FALSE)</f>
        <v>2274 KX</v>
      </c>
      <c r="E289" s="157" t="str">
        <f>VLOOKUP(Ruimtestaat[[#This Row],[Code]],Locaties[#All],6,FALSE)</f>
        <v>Voorburg</v>
      </c>
      <c r="F289" s="62"/>
      <c r="G289" s="21" t="s">
        <v>1706</v>
      </c>
      <c r="H289" s="21" t="s">
        <v>1708</v>
      </c>
      <c r="I289" s="62" t="s">
        <v>1954</v>
      </c>
      <c r="J289" s="21">
        <v>16</v>
      </c>
      <c r="K289" s="62" t="str">
        <f>VLOOKUP(Ruimtestaat[[#This Row],[Ruimte code]],Ruimtegroepen[[#All],[Code]:[Ruimte omschrijving]],2,FALSE)</f>
        <v>Leslokalen theorie</v>
      </c>
      <c r="L289" s="33" t="s">
        <v>101</v>
      </c>
      <c r="M289" s="367" t="s">
        <v>2495</v>
      </c>
      <c r="N289" s="140">
        <v>122</v>
      </c>
      <c r="O289" s="140"/>
      <c r="P289" s="125" t="str">
        <f>VLOOKUP(Ruimtestaat[[#This Row],[Ruimte code]],Ruimtegroepen[],4,FALSE)</f>
        <v>Le</v>
      </c>
      <c r="R289" s="33">
        <v>40</v>
      </c>
      <c r="S289" s="33" t="s">
        <v>2</v>
      </c>
      <c r="T289" s="33">
        <f>IF(R289&gt;0,IF(RIGHT(Ruimtestaat[[#This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9" s="33">
        <f>IF(T289&gt;0,VLOOKUP($J289,Ruimtegroepen[],3,FALSE)*VLOOKUP($L289,Vloersoorten[],3,FALSE)*VLOOKUP($S289,Frequenties[],3,FALSE)*VLOOKUP($A289,Locaties[],3,FALSE),0)</f>
        <v>0</v>
      </c>
      <c r="V289" s="33">
        <f>Ruimtestaat[[#This Row],[Uitvoeringen werkdagen]]*Ruimtestaat[[#This Row],[Oppervlak (netto)]]</f>
        <v>24400</v>
      </c>
      <c r="W289" s="154">
        <f>IF(U289&gt;0,Ruimtestaat[[#This Row],[Prest. (m2 /jaar) werkdagen]]/Ruimtestaat[[#This Row],[Norm (m2/uur) werkdagen]],0)</f>
        <v>0</v>
      </c>
      <c r="X289" s="155">
        <f>Ruimtestaat[[#This Row],[uren / jaar werkdagen]]*Tariefsopbouw!$E$35</f>
        <v>0</v>
      </c>
      <c r="Y289" s="33"/>
      <c r="Z289" s="33">
        <f>IF(Ruimtestaat[[#This Row],[Frequentie weekend]]&gt;0,VALUE(LEFT(Y289,1))*R289,0)</f>
        <v>0</v>
      </c>
      <c r="AA289" s="97">
        <f>IF($Z289&gt;0,VLOOKUP($J289,Ruimtegroepen[],3,FALSE)*VLOOKUP($L289,Vloersoorten[],3,FALSE)*VLOOKUP($Y289,Frequenties[],3,FALSE)*VLOOKUP(Ruimtestaat[[#This Row],[Code]],Locaties[],3,FALSE),0)</f>
        <v>0</v>
      </c>
      <c r="AB289" s="97">
        <f>Ruimtestaat[[#This Row],[Uitvoeringen weekend]]*Ruimtestaat[[#This Row],[Oppervlak (netto)]]</f>
        <v>0</v>
      </c>
      <c r="AC289" s="97">
        <f>IF(AA289&gt;0,Ruimtestaat[[#This Row],[Prest. (m2 /jaar) weekend]]/Ruimtestaat[[#This Row],[Norm (m2/uur) weekend]],0)</f>
        <v>0</v>
      </c>
      <c r="AD289" s="155">
        <f>Ruimtestaat[[#This Row],[uren / jaar weekend]]*Tariefsopbouw!$D$40</f>
        <v>0</v>
      </c>
      <c r="AE289" s="154">
        <f>Ruimtestaat[[#This Row],[Prest. (m2 /jaar) weekend]]+Ruimtestaat[[#This Row],[Prest. (m2 /jaar) werkdagen]]</f>
        <v>24400</v>
      </c>
      <c r="AF289" s="154">
        <f>Ruimtestaat[[#This Row],[uren / jaar weekend]]+Ruimtestaat[[#This Row],[uren / jaar werkdagen]]</f>
        <v>0</v>
      </c>
      <c r="AG289" s="69">
        <f>Ruimtestaat[[#This Row],[kosten / jaar weekend]]+Ruimtestaat[[#This Row],[kosten / jaar werkdagen]]</f>
        <v>0</v>
      </c>
      <c r="AH289" s="69"/>
      <c r="AI289" s="256" t="str">
        <f>IF(Ruimtestaat[[#This Row],[Frequentie werkdagen]]="","",_xlfn.CONCAT(Ruimtestaat[[#This Row],[Ruimte code]],"-",Ruimtestaat[[#This Row],[Frequentie werkdagen]]," ",Ruimtestaat[[#This Row],[Vloer code]]))</f>
        <v>16-5w L</v>
      </c>
      <c r="AJ289" s="300" t="str">
        <f>_xlfn.IFNA(VLOOKUP($AI289,Programma!$F$3:$G$1107,2,0),"")</f>
        <v>_</v>
      </c>
      <c r="AK289" s="300" t="str">
        <f>_xlfn.IFNA(VLOOKUP($AI289,Programma!$F$3:$H$1107,3,0),"")</f>
        <v>_</v>
      </c>
      <c r="AL289" s="300" t="str">
        <f>_xlfn.IFNA(VLOOKUP($AI289,Programma!$F$3:$I$1107,4,0),"")</f>
        <v>4w</v>
      </c>
      <c r="AM289" s="300" t="str">
        <f>_xlfn.IFNA(VLOOKUP($AI289,Programma!$F$3:$J$1107,5,0),"")</f>
        <v>1w</v>
      </c>
      <c r="AN289" s="300" t="str">
        <f>_xlfn.IFNA(VLOOKUP($AI289,Programma!$F$3:$K$1107,6,0),"")</f>
        <v>_</v>
      </c>
      <c r="AO289" s="300" t="str">
        <f>_xlfn.IFNA(VLOOKUP($AI289,Programma!$F$3:$L$1107,7,0),"")</f>
        <v>_</v>
      </c>
      <c r="AP289" s="300" t="str">
        <f>_xlfn.IFNA(VLOOKUP($AI289,Programma!$F$3:$M$1107,8,0),"")</f>
        <v>_</v>
      </c>
      <c r="AQ289" s="300" t="str">
        <f>_xlfn.IFNA(VLOOKUP($AI289,Programma!$F$3:$N$1107,9,0),"")</f>
        <v>_</v>
      </c>
      <c r="AR289" s="300" t="str">
        <f>_xlfn.IFNA(VLOOKUP($AI289,Programma!$F$3:$O$1107,10,0),"")</f>
        <v>5w</v>
      </c>
      <c r="AS289" s="300" t="str">
        <f>_xlfn.IFNA(VLOOKUP($AI289,Programma!$F$3:$P$1107,11,0),"")</f>
        <v>5w</v>
      </c>
      <c r="AT289" s="300" t="str">
        <f>_xlfn.IFNA(VLOOKUP($AI289,Programma!$F$3:$Q$1107,12,0),"")</f>
        <v>1w</v>
      </c>
      <c r="AU289" s="300" t="str">
        <f>_xlfn.IFNA(VLOOKUP($AI289,Programma!$F$3:$R$1107,13,0),"")</f>
        <v>1w</v>
      </c>
      <c r="AV289" s="300" t="str">
        <f>_xlfn.IFNA(VLOOKUP($AI289,Programma!$F$3:$S$1107,14,0),"")</f>
        <v>1m</v>
      </c>
      <c r="AW289" s="300" t="str">
        <f>_xlfn.IFNA(VLOOKUP($AI289,Programma!$F$3:$T$1107,15,0),"")</f>
        <v>2j</v>
      </c>
      <c r="AX289" s="300" t="str">
        <f>_xlfn.IFNA(VLOOKUP($AI289,Programma!$F$3:$U$1107,16,0),"")</f>
        <v>1j</v>
      </c>
      <c r="AY289" s="300" t="str">
        <f>_xlfn.IFNA(VLOOKUP($AI289,Programma!$F$3:$V$1107,17,0),"")</f>
        <v>_</v>
      </c>
      <c r="AZ289" s="300" t="str">
        <f>_xlfn.IFNA(VLOOKUP($AI289,Programma!$F$3:$W$1107,18,0),"")</f>
        <v>_</v>
      </c>
      <c r="BA289" s="300" t="str">
        <f>_xlfn.IFNA(VLOOKUP($AI289,Programma!$F$3:$X$1107,19,0),"")</f>
        <v>_</v>
      </c>
      <c r="BB289" s="300" t="str">
        <f>_xlfn.IFNA(VLOOKUP($AI289,Programma!$F$3:$Y$1107,20,0),"")</f>
        <v>_</v>
      </c>
      <c r="BC289" s="257"/>
      <c r="BD289" s="256" t="str">
        <f>IF(Ruimtestaat[[#This Row],[Frequentie weekend]]="","",_xlfn.CONCAT(Ruimtestaat[[#This Row],[Ruimte code]],"-",Ruimtestaat[[#This Row],[Frequentie weekend]]," ",Ruimtestaat[[#This Row],[Vloer code]]))</f>
        <v/>
      </c>
      <c r="BE289" s="300" t="str">
        <f>_xlfn.IFNA(VLOOKUP($BD289,Programma!$F$3:$G$1107,2,0),"")</f>
        <v/>
      </c>
      <c r="BF289" s="300" t="str">
        <f>_xlfn.IFNA(VLOOKUP($BD289,Programma!$F$3:$H$1107,3,0),"")</f>
        <v/>
      </c>
      <c r="BG289" s="300" t="str">
        <f>_xlfn.IFNA(VLOOKUP($BD289,Programma!$F$3:$I$1107,4,0),"")</f>
        <v/>
      </c>
      <c r="BH289" s="300" t="str">
        <f>_xlfn.IFNA(VLOOKUP($BD289,Programma!$F$3:$J$1107,5,0),"")</f>
        <v/>
      </c>
      <c r="BI289" s="300" t="str">
        <f>_xlfn.IFNA(VLOOKUP($BD289,Programma!$F$3:$K$1107,6,0),"")</f>
        <v/>
      </c>
      <c r="BJ289" s="300" t="str">
        <f>_xlfn.IFNA(VLOOKUP($BD289,Programma!$F$3:$L$1107,7,0),"")</f>
        <v/>
      </c>
      <c r="BK289" s="300" t="str">
        <f>_xlfn.IFNA(VLOOKUP($BD289,Programma!$F$3:$M$1107,8,0),"")</f>
        <v/>
      </c>
      <c r="BL289" s="300" t="str">
        <f>_xlfn.IFNA(VLOOKUP($BD289,Programma!$F$3:$N$1107,9,0),"")</f>
        <v/>
      </c>
      <c r="BM289" s="300" t="str">
        <f>_xlfn.IFNA(VLOOKUP($BD289,Programma!$F$3:$O$1107,10,0),"")</f>
        <v/>
      </c>
      <c r="BN289" s="300" t="str">
        <f>_xlfn.IFNA(VLOOKUP($BD289,Programma!$F$3:$P$1107,11,0),"")</f>
        <v/>
      </c>
      <c r="BO289" s="300" t="str">
        <f>_xlfn.IFNA(VLOOKUP($BD289,Programma!$F$3:$Q$1107,12,0),"")</f>
        <v/>
      </c>
      <c r="BP289" s="300" t="str">
        <f>_xlfn.IFNA(VLOOKUP($BD289,Programma!$F$3:$R$1107,13,0),"")</f>
        <v/>
      </c>
      <c r="BQ289" s="300" t="str">
        <f>_xlfn.IFNA(VLOOKUP($BD289,Programma!$F$3:$S$1107,14,0),"")</f>
        <v/>
      </c>
      <c r="BR289" s="300" t="str">
        <f>_xlfn.IFNA(VLOOKUP($BD289,Programma!$F$3:$T$1107,15,0),"")</f>
        <v/>
      </c>
      <c r="BS289" s="300" t="str">
        <f>_xlfn.IFNA(VLOOKUP($BD289,Programma!$F$3:$U$1107,16,0),"")</f>
        <v/>
      </c>
      <c r="BT289" s="300" t="str">
        <f>_xlfn.IFNA(VLOOKUP($BD289,Programma!$F$3:$V$1107,17,0),"")</f>
        <v/>
      </c>
      <c r="BU289" s="300" t="str">
        <f>_xlfn.IFNA(VLOOKUP($BD289,Programma!$F$3:$W$1107,18,0),"")</f>
        <v/>
      </c>
      <c r="BV289" s="300" t="str">
        <f>_xlfn.IFNA(VLOOKUP($BD289,Programma!$F$3:$X$1107,19,0),"")</f>
        <v/>
      </c>
      <c r="BW289" s="300" t="str">
        <f>_xlfn.IFNA(VLOOKUP($BD289,Programma!$F$3:$Y$1107,20,0),"")</f>
        <v/>
      </c>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row>
    <row r="290" spans="1:220" ht="15" customHeight="1">
      <c r="A290" s="21">
        <v>4</v>
      </c>
      <c r="B290" s="157" t="str">
        <f>VLOOKUP(Ruimtestaat[[#This Row],[Code]],Locaties[[Code]:[Locatie]],2,FALSE)</f>
        <v>Sint-Maartenscollege</v>
      </c>
      <c r="C290" s="157" t="str">
        <f>VLOOKUP(Ruimtestaat[[#This Row],[Code]],Locaties[[#All],[Code]:[Adres]],4,FALSE)</f>
        <v xml:space="preserve">Aart v.d. Leeuwkade 14 </v>
      </c>
      <c r="D290" s="157" t="str">
        <f>VLOOKUP(Ruimtestaat[[#This Row],[Code]],Locaties[[#All],[Code]:[Postcode]],5,FALSE)</f>
        <v>2274 KX</v>
      </c>
      <c r="E290" s="157" t="str">
        <f>VLOOKUP(Ruimtestaat[[#This Row],[Code]],Locaties[#All],6,FALSE)</f>
        <v>Voorburg</v>
      </c>
      <c r="F290" s="62"/>
      <c r="G290" s="21" t="s">
        <v>1706</v>
      </c>
      <c r="H290" s="21" t="s">
        <v>1709</v>
      </c>
      <c r="I290" s="62" t="s">
        <v>1955</v>
      </c>
      <c r="J290" s="21">
        <v>16</v>
      </c>
      <c r="K290" s="62" t="str">
        <f>VLOOKUP(Ruimtestaat[[#This Row],[Ruimte code]],Ruimtegroepen[[#All],[Code]:[Ruimte omschrijving]],2,FALSE)</f>
        <v>Leslokalen theorie</v>
      </c>
      <c r="L290" s="33" t="s">
        <v>101</v>
      </c>
      <c r="M290" s="367" t="s">
        <v>2495</v>
      </c>
      <c r="N290" s="140">
        <v>49</v>
      </c>
      <c r="O290" s="140"/>
      <c r="P290" s="125" t="str">
        <f>VLOOKUP(Ruimtestaat[[#This Row],[Ruimte code]],Ruimtegroepen[],4,FALSE)</f>
        <v>Le</v>
      </c>
      <c r="R290" s="33">
        <v>40</v>
      </c>
      <c r="S290" s="33" t="s">
        <v>2</v>
      </c>
      <c r="T290" s="33">
        <f>IF(R290&gt;0,IF(RIGHT(Ruimtestaat[[#This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0" s="33">
        <f>IF(T290&gt;0,VLOOKUP($J290,Ruimtegroepen[],3,FALSE)*VLOOKUP($L290,Vloersoorten[],3,FALSE)*VLOOKUP($S290,Frequenties[],3,FALSE)*VLOOKUP($A290,Locaties[],3,FALSE),0)</f>
        <v>0</v>
      </c>
      <c r="V290" s="33">
        <f>Ruimtestaat[[#This Row],[Uitvoeringen werkdagen]]*Ruimtestaat[[#This Row],[Oppervlak (netto)]]</f>
        <v>9800</v>
      </c>
      <c r="W290" s="154">
        <f>IF(U290&gt;0,Ruimtestaat[[#This Row],[Prest. (m2 /jaar) werkdagen]]/Ruimtestaat[[#This Row],[Norm (m2/uur) werkdagen]],0)</f>
        <v>0</v>
      </c>
      <c r="X290" s="155">
        <f>Ruimtestaat[[#This Row],[uren / jaar werkdagen]]*Tariefsopbouw!$E$35</f>
        <v>0</v>
      </c>
      <c r="Y290" s="33"/>
      <c r="Z290" s="33">
        <f>IF(Ruimtestaat[[#This Row],[Frequentie weekend]]&gt;0,VALUE(LEFT(Y290,1))*R290,0)</f>
        <v>0</v>
      </c>
      <c r="AA290" s="97">
        <f>IF($Z290&gt;0,VLOOKUP($J290,Ruimtegroepen[],3,FALSE)*VLOOKUP($L290,Vloersoorten[],3,FALSE)*VLOOKUP($Y290,Frequenties[],3,FALSE)*VLOOKUP(Ruimtestaat[[#This Row],[Code]],Locaties[],3,FALSE),0)</f>
        <v>0</v>
      </c>
      <c r="AB290" s="97">
        <f>Ruimtestaat[[#This Row],[Uitvoeringen weekend]]*Ruimtestaat[[#This Row],[Oppervlak (netto)]]</f>
        <v>0</v>
      </c>
      <c r="AC290" s="97">
        <f>IF(AA290&gt;0,Ruimtestaat[[#This Row],[Prest. (m2 /jaar) weekend]]/Ruimtestaat[[#This Row],[Norm (m2/uur) weekend]],0)</f>
        <v>0</v>
      </c>
      <c r="AD290" s="155">
        <f>Ruimtestaat[[#This Row],[uren / jaar weekend]]*Tariefsopbouw!$D$40</f>
        <v>0</v>
      </c>
      <c r="AE290" s="154">
        <f>Ruimtestaat[[#This Row],[Prest. (m2 /jaar) weekend]]+Ruimtestaat[[#This Row],[Prest. (m2 /jaar) werkdagen]]</f>
        <v>9800</v>
      </c>
      <c r="AF290" s="154">
        <f>Ruimtestaat[[#This Row],[uren / jaar weekend]]+Ruimtestaat[[#This Row],[uren / jaar werkdagen]]</f>
        <v>0</v>
      </c>
      <c r="AG290" s="69">
        <f>Ruimtestaat[[#This Row],[kosten / jaar weekend]]+Ruimtestaat[[#This Row],[kosten / jaar werkdagen]]</f>
        <v>0</v>
      </c>
      <c r="AH290" s="69"/>
      <c r="AI290" s="256" t="str">
        <f>IF(Ruimtestaat[[#This Row],[Frequentie werkdagen]]="","",_xlfn.CONCAT(Ruimtestaat[[#This Row],[Ruimte code]],"-",Ruimtestaat[[#This Row],[Frequentie werkdagen]]," ",Ruimtestaat[[#This Row],[Vloer code]]))</f>
        <v>16-5w L</v>
      </c>
      <c r="AJ290" s="300" t="str">
        <f>_xlfn.IFNA(VLOOKUP($AI290,Programma!$F$3:$G$1107,2,0),"")</f>
        <v>_</v>
      </c>
      <c r="AK290" s="300" t="str">
        <f>_xlfn.IFNA(VLOOKUP($AI290,Programma!$F$3:$H$1107,3,0),"")</f>
        <v>_</v>
      </c>
      <c r="AL290" s="300" t="str">
        <f>_xlfn.IFNA(VLOOKUP($AI290,Programma!$F$3:$I$1107,4,0),"")</f>
        <v>4w</v>
      </c>
      <c r="AM290" s="300" t="str">
        <f>_xlfn.IFNA(VLOOKUP($AI290,Programma!$F$3:$J$1107,5,0),"")</f>
        <v>1w</v>
      </c>
      <c r="AN290" s="300" t="str">
        <f>_xlfn.IFNA(VLOOKUP($AI290,Programma!$F$3:$K$1107,6,0),"")</f>
        <v>_</v>
      </c>
      <c r="AO290" s="300" t="str">
        <f>_xlfn.IFNA(VLOOKUP($AI290,Programma!$F$3:$L$1107,7,0),"")</f>
        <v>_</v>
      </c>
      <c r="AP290" s="300" t="str">
        <f>_xlfn.IFNA(VLOOKUP($AI290,Programma!$F$3:$M$1107,8,0),"")</f>
        <v>_</v>
      </c>
      <c r="AQ290" s="300" t="str">
        <f>_xlfn.IFNA(VLOOKUP($AI290,Programma!$F$3:$N$1107,9,0),"")</f>
        <v>_</v>
      </c>
      <c r="AR290" s="300" t="str">
        <f>_xlfn.IFNA(VLOOKUP($AI290,Programma!$F$3:$O$1107,10,0),"")</f>
        <v>5w</v>
      </c>
      <c r="AS290" s="300" t="str">
        <f>_xlfn.IFNA(VLOOKUP($AI290,Programma!$F$3:$P$1107,11,0),"")</f>
        <v>5w</v>
      </c>
      <c r="AT290" s="300" t="str">
        <f>_xlfn.IFNA(VLOOKUP($AI290,Programma!$F$3:$Q$1107,12,0),"")</f>
        <v>1w</v>
      </c>
      <c r="AU290" s="300" t="str">
        <f>_xlfn.IFNA(VLOOKUP($AI290,Programma!$F$3:$R$1107,13,0),"")</f>
        <v>1w</v>
      </c>
      <c r="AV290" s="300" t="str">
        <f>_xlfn.IFNA(VLOOKUP($AI290,Programma!$F$3:$S$1107,14,0),"")</f>
        <v>1m</v>
      </c>
      <c r="AW290" s="300" t="str">
        <f>_xlfn.IFNA(VLOOKUP($AI290,Programma!$F$3:$T$1107,15,0),"")</f>
        <v>2j</v>
      </c>
      <c r="AX290" s="300" t="str">
        <f>_xlfn.IFNA(VLOOKUP($AI290,Programma!$F$3:$U$1107,16,0),"")</f>
        <v>1j</v>
      </c>
      <c r="AY290" s="300" t="str">
        <f>_xlfn.IFNA(VLOOKUP($AI290,Programma!$F$3:$V$1107,17,0),"")</f>
        <v>_</v>
      </c>
      <c r="AZ290" s="300" t="str">
        <f>_xlfn.IFNA(VLOOKUP($AI290,Programma!$F$3:$W$1107,18,0),"")</f>
        <v>_</v>
      </c>
      <c r="BA290" s="300" t="str">
        <f>_xlfn.IFNA(VLOOKUP($AI290,Programma!$F$3:$X$1107,19,0),"")</f>
        <v>_</v>
      </c>
      <c r="BB290" s="300" t="str">
        <f>_xlfn.IFNA(VLOOKUP($AI290,Programma!$F$3:$Y$1107,20,0),"")</f>
        <v>_</v>
      </c>
      <c r="BC290" s="257"/>
      <c r="BD290" s="256" t="str">
        <f>IF(Ruimtestaat[[#This Row],[Frequentie weekend]]="","",_xlfn.CONCAT(Ruimtestaat[[#This Row],[Ruimte code]],"-",Ruimtestaat[[#This Row],[Frequentie weekend]]," ",Ruimtestaat[[#This Row],[Vloer code]]))</f>
        <v/>
      </c>
      <c r="BE290" s="300" t="str">
        <f>_xlfn.IFNA(VLOOKUP($BD290,Programma!$F$3:$G$1107,2,0),"")</f>
        <v/>
      </c>
      <c r="BF290" s="300" t="str">
        <f>_xlfn.IFNA(VLOOKUP($BD290,Programma!$F$3:$H$1107,3,0),"")</f>
        <v/>
      </c>
      <c r="BG290" s="300" t="str">
        <f>_xlfn.IFNA(VLOOKUP($BD290,Programma!$F$3:$I$1107,4,0),"")</f>
        <v/>
      </c>
      <c r="BH290" s="300" t="str">
        <f>_xlfn.IFNA(VLOOKUP($BD290,Programma!$F$3:$J$1107,5,0),"")</f>
        <v/>
      </c>
      <c r="BI290" s="300" t="str">
        <f>_xlfn.IFNA(VLOOKUP($BD290,Programma!$F$3:$K$1107,6,0),"")</f>
        <v/>
      </c>
      <c r="BJ290" s="300" t="str">
        <f>_xlfn.IFNA(VLOOKUP($BD290,Programma!$F$3:$L$1107,7,0),"")</f>
        <v/>
      </c>
      <c r="BK290" s="300" t="str">
        <f>_xlfn.IFNA(VLOOKUP($BD290,Programma!$F$3:$M$1107,8,0),"")</f>
        <v/>
      </c>
      <c r="BL290" s="300" t="str">
        <f>_xlfn.IFNA(VLOOKUP($BD290,Programma!$F$3:$N$1107,9,0),"")</f>
        <v/>
      </c>
      <c r="BM290" s="300" t="str">
        <f>_xlfn.IFNA(VLOOKUP($BD290,Programma!$F$3:$O$1107,10,0),"")</f>
        <v/>
      </c>
      <c r="BN290" s="300" t="str">
        <f>_xlfn.IFNA(VLOOKUP($BD290,Programma!$F$3:$P$1107,11,0),"")</f>
        <v/>
      </c>
      <c r="BO290" s="300" t="str">
        <f>_xlfn.IFNA(VLOOKUP($BD290,Programma!$F$3:$Q$1107,12,0),"")</f>
        <v/>
      </c>
      <c r="BP290" s="300" t="str">
        <f>_xlfn.IFNA(VLOOKUP($BD290,Programma!$F$3:$R$1107,13,0),"")</f>
        <v/>
      </c>
      <c r="BQ290" s="300" t="str">
        <f>_xlfn.IFNA(VLOOKUP($BD290,Programma!$F$3:$S$1107,14,0),"")</f>
        <v/>
      </c>
      <c r="BR290" s="300" t="str">
        <f>_xlfn.IFNA(VLOOKUP($BD290,Programma!$F$3:$T$1107,15,0),"")</f>
        <v/>
      </c>
      <c r="BS290" s="300" t="str">
        <f>_xlfn.IFNA(VLOOKUP($BD290,Programma!$F$3:$U$1107,16,0),"")</f>
        <v/>
      </c>
      <c r="BT290" s="300" t="str">
        <f>_xlfn.IFNA(VLOOKUP($BD290,Programma!$F$3:$V$1107,17,0),"")</f>
        <v/>
      </c>
      <c r="BU290" s="300" t="str">
        <f>_xlfn.IFNA(VLOOKUP($BD290,Programma!$F$3:$W$1107,18,0),"")</f>
        <v/>
      </c>
      <c r="BV290" s="300" t="str">
        <f>_xlfn.IFNA(VLOOKUP($BD290,Programma!$F$3:$X$1107,19,0),"")</f>
        <v/>
      </c>
      <c r="BW290" s="300" t="str">
        <f>_xlfn.IFNA(VLOOKUP($BD290,Programma!$F$3:$Y$1107,20,0),"")</f>
        <v/>
      </c>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row>
    <row r="291" spans="1:220" ht="15" customHeight="1">
      <c r="A291" s="21">
        <v>4</v>
      </c>
      <c r="B291" s="157" t="str">
        <f>VLOOKUP(Ruimtestaat[[#This Row],[Code]],Locaties[[Code]:[Locatie]],2,FALSE)</f>
        <v>Sint-Maartenscollege</v>
      </c>
      <c r="C291" s="157" t="str">
        <f>VLOOKUP(Ruimtestaat[[#This Row],[Code]],Locaties[[#All],[Code]:[Adres]],4,FALSE)</f>
        <v xml:space="preserve">Aart v.d. Leeuwkade 14 </v>
      </c>
      <c r="D291" s="157" t="str">
        <f>VLOOKUP(Ruimtestaat[[#This Row],[Code]],Locaties[[#All],[Code]:[Postcode]],5,FALSE)</f>
        <v>2274 KX</v>
      </c>
      <c r="E291" s="157" t="str">
        <f>VLOOKUP(Ruimtestaat[[#This Row],[Code]],Locaties[#All],6,FALSE)</f>
        <v>Voorburg</v>
      </c>
      <c r="F291" s="62"/>
      <c r="G291" s="21" t="s">
        <v>1706</v>
      </c>
      <c r="H291" s="21" t="s">
        <v>1710</v>
      </c>
      <c r="I291" s="62" t="s">
        <v>1956</v>
      </c>
      <c r="J291" s="21">
        <v>16</v>
      </c>
      <c r="K291" s="62" t="str">
        <f>VLOOKUP(Ruimtestaat[[#This Row],[Ruimte code]],Ruimtegroepen[[#All],[Code]:[Ruimte omschrijving]],2,FALSE)</f>
        <v>Leslokalen theorie</v>
      </c>
      <c r="L291" s="33" t="s">
        <v>101</v>
      </c>
      <c r="M291" s="367" t="s">
        <v>2495</v>
      </c>
      <c r="N291" s="140">
        <v>48</v>
      </c>
      <c r="O291" s="140"/>
      <c r="P291" s="125" t="str">
        <f>VLOOKUP(Ruimtestaat[[#This Row],[Ruimte code]],Ruimtegroepen[],4,FALSE)</f>
        <v>Le</v>
      </c>
      <c r="R291" s="33">
        <v>40</v>
      </c>
      <c r="S291" s="33" t="s">
        <v>2</v>
      </c>
      <c r="T291" s="33">
        <f>IF(R291&gt;0,IF(RIGHT(Ruimtestaat[[#This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1" s="33">
        <f>IF(T291&gt;0,VLOOKUP($J291,Ruimtegroepen[],3,FALSE)*VLOOKUP($L291,Vloersoorten[],3,FALSE)*VLOOKUP($S291,Frequenties[],3,FALSE)*VLOOKUP($A291,Locaties[],3,FALSE),0)</f>
        <v>0</v>
      </c>
      <c r="V291" s="33">
        <f>Ruimtestaat[[#This Row],[Uitvoeringen werkdagen]]*Ruimtestaat[[#This Row],[Oppervlak (netto)]]</f>
        <v>9600</v>
      </c>
      <c r="W291" s="154">
        <f>IF(U291&gt;0,Ruimtestaat[[#This Row],[Prest. (m2 /jaar) werkdagen]]/Ruimtestaat[[#This Row],[Norm (m2/uur) werkdagen]],0)</f>
        <v>0</v>
      </c>
      <c r="X291" s="155">
        <f>Ruimtestaat[[#This Row],[uren / jaar werkdagen]]*Tariefsopbouw!$E$35</f>
        <v>0</v>
      </c>
      <c r="Y291" s="33"/>
      <c r="Z291" s="33">
        <f>IF(Ruimtestaat[[#This Row],[Frequentie weekend]]&gt;0,VALUE(LEFT(Y291,1))*R291,0)</f>
        <v>0</v>
      </c>
      <c r="AA291" s="97">
        <f>IF($Z291&gt;0,VLOOKUP($J291,Ruimtegroepen[],3,FALSE)*VLOOKUP($L291,Vloersoorten[],3,FALSE)*VLOOKUP($Y291,Frequenties[],3,FALSE)*VLOOKUP(Ruimtestaat[[#This Row],[Code]],Locaties[],3,FALSE),0)</f>
        <v>0</v>
      </c>
      <c r="AB291" s="97">
        <f>Ruimtestaat[[#This Row],[Uitvoeringen weekend]]*Ruimtestaat[[#This Row],[Oppervlak (netto)]]</f>
        <v>0</v>
      </c>
      <c r="AC291" s="97">
        <f>IF(AA291&gt;0,Ruimtestaat[[#This Row],[Prest. (m2 /jaar) weekend]]/Ruimtestaat[[#This Row],[Norm (m2/uur) weekend]],0)</f>
        <v>0</v>
      </c>
      <c r="AD291" s="155">
        <f>Ruimtestaat[[#This Row],[uren / jaar weekend]]*Tariefsopbouw!$D$40</f>
        <v>0</v>
      </c>
      <c r="AE291" s="154">
        <f>Ruimtestaat[[#This Row],[Prest. (m2 /jaar) weekend]]+Ruimtestaat[[#This Row],[Prest. (m2 /jaar) werkdagen]]</f>
        <v>9600</v>
      </c>
      <c r="AF291" s="154">
        <f>Ruimtestaat[[#This Row],[uren / jaar weekend]]+Ruimtestaat[[#This Row],[uren / jaar werkdagen]]</f>
        <v>0</v>
      </c>
      <c r="AG291" s="69">
        <f>Ruimtestaat[[#This Row],[kosten / jaar weekend]]+Ruimtestaat[[#This Row],[kosten / jaar werkdagen]]</f>
        <v>0</v>
      </c>
      <c r="AH291" s="69"/>
      <c r="AI291" s="256" t="str">
        <f>IF(Ruimtestaat[[#This Row],[Frequentie werkdagen]]="","",_xlfn.CONCAT(Ruimtestaat[[#This Row],[Ruimte code]],"-",Ruimtestaat[[#This Row],[Frequentie werkdagen]]," ",Ruimtestaat[[#This Row],[Vloer code]]))</f>
        <v>16-5w L</v>
      </c>
      <c r="AJ291" s="300" t="str">
        <f>_xlfn.IFNA(VLOOKUP($AI291,Programma!$F$3:$G$1107,2,0),"")</f>
        <v>_</v>
      </c>
      <c r="AK291" s="300" t="str">
        <f>_xlfn.IFNA(VLOOKUP($AI291,Programma!$F$3:$H$1107,3,0),"")</f>
        <v>_</v>
      </c>
      <c r="AL291" s="300" t="str">
        <f>_xlfn.IFNA(VLOOKUP($AI291,Programma!$F$3:$I$1107,4,0),"")</f>
        <v>4w</v>
      </c>
      <c r="AM291" s="300" t="str">
        <f>_xlfn.IFNA(VLOOKUP($AI291,Programma!$F$3:$J$1107,5,0),"")</f>
        <v>1w</v>
      </c>
      <c r="AN291" s="300" t="str">
        <f>_xlfn.IFNA(VLOOKUP($AI291,Programma!$F$3:$K$1107,6,0),"")</f>
        <v>_</v>
      </c>
      <c r="AO291" s="300" t="str">
        <f>_xlfn.IFNA(VLOOKUP($AI291,Programma!$F$3:$L$1107,7,0),"")</f>
        <v>_</v>
      </c>
      <c r="AP291" s="300" t="str">
        <f>_xlfn.IFNA(VLOOKUP($AI291,Programma!$F$3:$M$1107,8,0),"")</f>
        <v>_</v>
      </c>
      <c r="AQ291" s="300" t="str">
        <f>_xlfn.IFNA(VLOOKUP($AI291,Programma!$F$3:$N$1107,9,0),"")</f>
        <v>_</v>
      </c>
      <c r="AR291" s="300" t="str">
        <f>_xlfn.IFNA(VLOOKUP($AI291,Programma!$F$3:$O$1107,10,0),"")</f>
        <v>5w</v>
      </c>
      <c r="AS291" s="300" t="str">
        <f>_xlfn.IFNA(VLOOKUP($AI291,Programma!$F$3:$P$1107,11,0),"")</f>
        <v>5w</v>
      </c>
      <c r="AT291" s="300" t="str">
        <f>_xlfn.IFNA(VLOOKUP($AI291,Programma!$F$3:$Q$1107,12,0),"")</f>
        <v>1w</v>
      </c>
      <c r="AU291" s="300" t="str">
        <f>_xlfn.IFNA(VLOOKUP($AI291,Programma!$F$3:$R$1107,13,0),"")</f>
        <v>1w</v>
      </c>
      <c r="AV291" s="300" t="str">
        <f>_xlfn.IFNA(VLOOKUP($AI291,Programma!$F$3:$S$1107,14,0),"")</f>
        <v>1m</v>
      </c>
      <c r="AW291" s="300" t="str">
        <f>_xlfn.IFNA(VLOOKUP($AI291,Programma!$F$3:$T$1107,15,0),"")</f>
        <v>2j</v>
      </c>
      <c r="AX291" s="300" t="str">
        <f>_xlfn.IFNA(VLOOKUP($AI291,Programma!$F$3:$U$1107,16,0),"")</f>
        <v>1j</v>
      </c>
      <c r="AY291" s="300" t="str">
        <f>_xlfn.IFNA(VLOOKUP($AI291,Programma!$F$3:$V$1107,17,0),"")</f>
        <v>_</v>
      </c>
      <c r="AZ291" s="300" t="str">
        <f>_xlfn.IFNA(VLOOKUP($AI291,Programma!$F$3:$W$1107,18,0),"")</f>
        <v>_</v>
      </c>
      <c r="BA291" s="300" t="str">
        <f>_xlfn.IFNA(VLOOKUP($AI291,Programma!$F$3:$X$1107,19,0),"")</f>
        <v>_</v>
      </c>
      <c r="BB291" s="300" t="str">
        <f>_xlfn.IFNA(VLOOKUP($AI291,Programma!$F$3:$Y$1107,20,0),"")</f>
        <v>_</v>
      </c>
      <c r="BC291" s="257"/>
      <c r="BD291" s="256" t="str">
        <f>IF(Ruimtestaat[[#This Row],[Frequentie weekend]]="","",_xlfn.CONCAT(Ruimtestaat[[#This Row],[Ruimte code]],"-",Ruimtestaat[[#This Row],[Frequentie weekend]]," ",Ruimtestaat[[#This Row],[Vloer code]]))</f>
        <v/>
      </c>
      <c r="BE291" s="300" t="str">
        <f>_xlfn.IFNA(VLOOKUP($BD291,Programma!$F$3:$G$1107,2,0),"")</f>
        <v/>
      </c>
      <c r="BF291" s="300" t="str">
        <f>_xlfn.IFNA(VLOOKUP($BD291,Programma!$F$3:$H$1107,3,0),"")</f>
        <v/>
      </c>
      <c r="BG291" s="300" t="str">
        <f>_xlfn.IFNA(VLOOKUP($BD291,Programma!$F$3:$I$1107,4,0),"")</f>
        <v/>
      </c>
      <c r="BH291" s="300" t="str">
        <f>_xlfn.IFNA(VLOOKUP($BD291,Programma!$F$3:$J$1107,5,0),"")</f>
        <v/>
      </c>
      <c r="BI291" s="300" t="str">
        <f>_xlfn.IFNA(VLOOKUP($BD291,Programma!$F$3:$K$1107,6,0),"")</f>
        <v/>
      </c>
      <c r="BJ291" s="300" t="str">
        <f>_xlfn.IFNA(VLOOKUP($BD291,Programma!$F$3:$L$1107,7,0),"")</f>
        <v/>
      </c>
      <c r="BK291" s="300" t="str">
        <f>_xlfn.IFNA(VLOOKUP($BD291,Programma!$F$3:$M$1107,8,0),"")</f>
        <v/>
      </c>
      <c r="BL291" s="300" t="str">
        <f>_xlfn.IFNA(VLOOKUP($BD291,Programma!$F$3:$N$1107,9,0),"")</f>
        <v/>
      </c>
      <c r="BM291" s="300" t="str">
        <f>_xlfn.IFNA(VLOOKUP($BD291,Programma!$F$3:$O$1107,10,0),"")</f>
        <v/>
      </c>
      <c r="BN291" s="300" t="str">
        <f>_xlfn.IFNA(VLOOKUP($BD291,Programma!$F$3:$P$1107,11,0),"")</f>
        <v/>
      </c>
      <c r="BO291" s="300" t="str">
        <f>_xlfn.IFNA(VLOOKUP($BD291,Programma!$F$3:$Q$1107,12,0),"")</f>
        <v/>
      </c>
      <c r="BP291" s="300" t="str">
        <f>_xlfn.IFNA(VLOOKUP($BD291,Programma!$F$3:$R$1107,13,0),"")</f>
        <v/>
      </c>
      <c r="BQ291" s="300" t="str">
        <f>_xlfn.IFNA(VLOOKUP($BD291,Programma!$F$3:$S$1107,14,0),"")</f>
        <v/>
      </c>
      <c r="BR291" s="300" t="str">
        <f>_xlfn.IFNA(VLOOKUP($BD291,Programma!$F$3:$T$1107,15,0),"")</f>
        <v/>
      </c>
      <c r="BS291" s="300" t="str">
        <f>_xlfn.IFNA(VLOOKUP($BD291,Programma!$F$3:$U$1107,16,0),"")</f>
        <v/>
      </c>
      <c r="BT291" s="300" t="str">
        <f>_xlfn.IFNA(VLOOKUP($BD291,Programma!$F$3:$V$1107,17,0),"")</f>
        <v/>
      </c>
      <c r="BU291" s="300" t="str">
        <f>_xlfn.IFNA(VLOOKUP($BD291,Programma!$F$3:$W$1107,18,0),"")</f>
        <v/>
      </c>
      <c r="BV291" s="300" t="str">
        <f>_xlfn.IFNA(VLOOKUP($BD291,Programma!$F$3:$X$1107,19,0),"")</f>
        <v/>
      </c>
      <c r="BW291" s="300" t="str">
        <f>_xlfn.IFNA(VLOOKUP($BD291,Programma!$F$3:$Y$1107,20,0),"")</f>
        <v/>
      </c>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row>
    <row r="292" spans="1:220" ht="15" customHeight="1">
      <c r="A292" s="21">
        <v>4</v>
      </c>
      <c r="B292" s="157" t="str">
        <f>VLOOKUP(Ruimtestaat[[#This Row],[Code]],Locaties[[Code]:[Locatie]],2,FALSE)</f>
        <v>Sint-Maartenscollege</v>
      </c>
      <c r="C292" s="157" t="str">
        <f>VLOOKUP(Ruimtestaat[[#This Row],[Code]],Locaties[[#All],[Code]:[Adres]],4,FALSE)</f>
        <v xml:space="preserve">Aart v.d. Leeuwkade 14 </v>
      </c>
      <c r="D292" s="157" t="str">
        <f>VLOOKUP(Ruimtestaat[[#This Row],[Code]],Locaties[[#All],[Code]:[Postcode]],5,FALSE)</f>
        <v>2274 KX</v>
      </c>
      <c r="E292" s="157" t="str">
        <f>VLOOKUP(Ruimtestaat[[#This Row],[Code]],Locaties[#All],6,FALSE)</f>
        <v>Voorburg</v>
      </c>
      <c r="F292" s="62"/>
      <c r="G292" s="21" t="s">
        <v>1706</v>
      </c>
      <c r="H292" s="21" t="s">
        <v>1711</v>
      </c>
      <c r="I292" s="62" t="s">
        <v>1957</v>
      </c>
      <c r="J292" s="21">
        <v>16</v>
      </c>
      <c r="K292" s="62" t="str">
        <f>VLOOKUP(Ruimtestaat[[#This Row],[Ruimte code]],Ruimtegroepen[[#All],[Code]:[Ruimte omschrijving]],2,FALSE)</f>
        <v>Leslokalen theorie</v>
      </c>
      <c r="L292" s="33" t="s">
        <v>101</v>
      </c>
      <c r="M292" s="367" t="s">
        <v>2495</v>
      </c>
      <c r="N292" s="140">
        <v>49</v>
      </c>
      <c r="O292" s="140"/>
      <c r="P292" s="125" t="str">
        <f>VLOOKUP(Ruimtestaat[[#This Row],[Ruimte code]],Ruimtegroepen[],4,FALSE)</f>
        <v>Le</v>
      </c>
      <c r="R292" s="33">
        <v>40</v>
      </c>
      <c r="S292" s="33" t="s">
        <v>2</v>
      </c>
      <c r="T292" s="33">
        <f>IF(R292&gt;0,IF(RIGHT(Ruimtestaat[[#This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2" s="33">
        <f>IF(T292&gt;0,VLOOKUP($J292,Ruimtegroepen[],3,FALSE)*VLOOKUP($L292,Vloersoorten[],3,FALSE)*VLOOKUP($S292,Frequenties[],3,FALSE)*VLOOKUP($A292,Locaties[],3,FALSE),0)</f>
        <v>0</v>
      </c>
      <c r="V292" s="33">
        <f>Ruimtestaat[[#This Row],[Uitvoeringen werkdagen]]*Ruimtestaat[[#This Row],[Oppervlak (netto)]]</f>
        <v>9800</v>
      </c>
      <c r="W292" s="154">
        <f>IF(U292&gt;0,Ruimtestaat[[#This Row],[Prest. (m2 /jaar) werkdagen]]/Ruimtestaat[[#This Row],[Norm (m2/uur) werkdagen]],0)</f>
        <v>0</v>
      </c>
      <c r="X292" s="155">
        <f>Ruimtestaat[[#This Row],[uren / jaar werkdagen]]*Tariefsopbouw!$E$35</f>
        <v>0</v>
      </c>
      <c r="Y292" s="33"/>
      <c r="Z292" s="33">
        <f>IF(Ruimtestaat[[#This Row],[Frequentie weekend]]&gt;0,VALUE(LEFT(Y292,1))*R292,0)</f>
        <v>0</v>
      </c>
      <c r="AA292" s="97">
        <f>IF($Z292&gt;0,VLOOKUP($J292,Ruimtegroepen[],3,FALSE)*VLOOKUP($L292,Vloersoorten[],3,FALSE)*VLOOKUP($Y292,Frequenties[],3,FALSE)*VLOOKUP(Ruimtestaat[[#This Row],[Code]],Locaties[],3,FALSE),0)</f>
        <v>0</v>
      </c>
      <c r="AB292" s="97">
        <f>Ruimtestaat[[#This Row],[Uitvoeringen weekend]]*Ruimtestaat[[#This Row],[Oppervlak (netto)]]</f>
        <v>0</v>
      </c>
      <c r="AC292" s="97">
        <f>IF(AA292&gt;0,Ruimtestaat[[#This Row],[Prest. (m2 /jaar) weekend]]/Ruimtestaat[[#This Row],[Norm (m2/uur) weekend]],0)</f>
        <v>0</v>
      </c>
      <c r="AD292" s="155">
        <f>Ruimtestaat[[#This Row],[uren / jaar weekend]]*Tariefsopbouw!$D$40</f>
        <v>0</v>
      </c>
      <c r="AE292" s="154">
        <f>Ruimtestaat[[#This Row],[Prest. (m2 /jaar) weekend]]+Ruimtestaat[[#This Row],[Prest. (m2 /jaar) werkdagen]]</f>
        <v>9800</v>
      </c>
      <c r="AF292" s="154">
        <f>Ruimtestaat[[#This Row],[uren / jaar weekend]]+Ruimtestaat[[#This Row],[uren / jaar werkdagen]]</f>
        <v>0</v>
      </c>
      <c r="AG292" s="69">
        <f>Ruimtestaat[[#This Row],[kosten / jaar weekend]]+Ruimtestaat[[#This Row],[kosten / jaar werkdagen]]</f>
        <v>0</v>
      </c>
      <c r="AH292" s="69"/>
      <c r="AI292" s="256" t="str">
        <f>IF(Ruimtestaat[[#This Row],[Frequentie werkdagen]]="","",_xlfn.CONCAT(Ruimtestaat[[#This Row],[Ruimte code]],"-",Ruimtestaat[[#This Row],[Frequentie werkdagen]]," ",Ruimtestaat[[#This Row],[Vloer code]]))</f>
        <v>16-5w L</v>
      </c>
      <c r="AJ292" s="300" t="str">
        <f>_xlfn.IFNA(VLOOKUP($AI292,Programma!$F$3:$G$1107,2,0),"")</f>
        <v>_</v>
      </c>
      <c r="AK292" s="300" t="str">
        <f>_xlfn.IFNA(VLOOKUP($AI292,Programma!$F$3:$H$1107,3,0),"")</f>
        <v>_</v>
      </c>
      <c r="AL292" s="300" t="str">
        <f>_xlfn.IFNA(VLOOKUP($AI292,Programma!$F$3:$I$1107,4,0),"")</f>
        <v>4w</v>
      </c>
      <c r="AM292" s="300" t="str">
        <f>_xlfn.IFNA(VLOOKUP($AI292,Programma!$F$3:$J$1107,5,0),"")</f>
        <v>1w</v>
      </c>
      <c r="AN292" s="300" t="str">
        <f>_xlfn.IFNA(VLOOKUP($AI292,Programma!$F$3:$K$1107,6,0),"")</f>
        <v>_</v>
      </c>
      <c r="AO292" s="300" t="str">
        <f>_xlfn.IFNA(VLOOKUP($AI292,Programma!$F$3:$L$1107,7,0),"")</f>
        <v>_</v>
      </c>
      <c r="AP292" s="300" t="str">
        <f>_xlfn.IFNA(VLOOKUP($AI292,Programma!$F$3:$M$1107,8,0),"")</f>
        <v>_</v>
      </c>
      <c r="AQ292" s="300" t="str">
        <f>_xlfn.IFNA(VLOOKUP($AI292,Programma!$F$3:$N$1107,9,0),"")</f>
        <v>_</v>
      </c>
      <c r="AR292" s="300" t="str">
        <f>_xlfn.IFNA(VLOOKUP($AI292,Programma!$F$3:$O$1107,10,0),"")</f>
        <v>5w</v>
      </c>
      <c r="AS292" s="300" t="str">
        <f>_xlfn.IFNA(VLOOKUP($AI292,Programma!$F$3:$P$1107,11,0),"")</f>
        <v>5w</v>
      </c>
      <c r="AT292" s="300" t="str">
        <f>_xlfn.IFNA(VLOOKUP($AI292,Programma!$F$3:$Q$1107,12,0),"")</f>
        <v>1w</v>
      </c>
      <c r="AU292" s="300" t="str">
        <f>_xlfn.IFNA(VLOOKUP($AI292,Programma!$F$3:$R$1107,13,0),"")</f>
        <v>1w</v>
      </c>
      <c r="AV292" s="300" t="str">
        <f>_xlfn.IFNA(VLOOKUP($AI292,Programma!$F$3:$S$1107,14,0),"")</f>
        <v>1m</v>
      </c>
      <c r="AW292" s="300" t="str">
        <f>_xlfn.IFNA(VLOOKUP($AI292,Programma!$F$3:$T$1107,15,0),"")</f>
        <v>2j</v>
      </c>
      <c r="AX292" s="300" t="str">
        <f>_xlfn.IFNA(VLOOKUP($AI292,Programma!$F$3:$U$1107,16,0),"")</f>
        <v>1j</v>
      </c>
      <c r="AY292" s="300" t="str">
        <f>_xlfn.IFNA(VLOOKUP($AI292,Programma!$F$3:$V$1107,17,0),"")</f>
        <v>_</v>
      </c>
      <c r="AZ292" s="300" t="str">
        <f>_xlfn.IFNA(VLOOKUP($AI292,Programma!$F$3:$W$1107,18,0),"")</f>
        <v>_</v>
      </c>
      <c r="BA292" s="300" t="str">
        <f>_xlfn.IFNA(VLOOKUP($AI292,Programma!$F$3:$X$1107,19,0),"")</f>
        <v>_</v>
      </c>
      <c r="BB292" s="300" t="str">
        <f>_xlfn.IFNA(VLOOKUP($AI292,Programma!$F$3:$Y$1107,20,0),"")</f>
        <v>_</v>
      </c>
      <c r="BC292" s="257"/>
      <c r="BD292" s="256" t="str">
        <f>IF(Ruimtestaat[[#This Row],[Frequentie weekend]]="","",_xlfn.CONCAT(Ruimtestaat[[#This Row],[Ruimte code]],"-",Ruimtestaat[[#This Row],[Frequentie weekend]]," ",Ruimtestaat[[#This Row],[Vloer code]]))</f>
        <v/>
      </c>
      <c r="BE292" s="300" t="str">
        <f>_xlfn.IFNA(VLOOKUP($BD292,Programma!$F$3:$G$1107,2,0),"")</f>
        <v/>
      </c>
      <c r="BF292" s="300" t="str">
        <f>_xlfn.IFNA(VLOOKUP($BD292,Programma!$F$3:$H$1107,3,0),"")</f>
        <v/>
      </c>
      <c r="BG292" s="300" t="str">
        <f>_xlfn.IFNA(VLOOKUP($BD292,Programma!$F$3:$I$1107,4,0),"")</f>
        <v/>
      </c>
      <c r="BH292" s="300" t="str">
        <f>_xlfn.IFNA(VLOOKUP($BD292,Programma!$F$3:$J$1107,5,0),"")</f>
        <v/>
      </c>
      <c r="BI292" s="300" t="str">
        <f>_xlfn.IFNA(VLOOKUP($BD292,Programma!$F$3:$K$1107,6,0),"")</f>
        <v/>
      </c>
      <c r="BJ292" s="300" t="str">
        <f>_xlfn.IFNA(VLOOKUP($BD292,Programma!$F$3:$L$1107,7,0),"")</f>
        <v/>
      </c>
      <c r="BK292" s="300" t="str">
        <f>_xlfn.IFNA(VLOOKUP($BD292,Programma!$F$3:$M$1107,8,0),"")</f>
        <v/>
      </c>
      <c r="BL292" s="300" t="str">
        <f>_xlfn.IFNA(VLOOKUP($BD292,Programma!$F$3:$N$1107,9,0),"")</f>
        <v/>
      </c>
      <c r="BM292" s="300" t="str">
        <f>_xlfn.IFNA(VLOOKUP($BD292,Programma!$F$3:$O$1107,10,0),"")</f>
        <v/>
      </c>
      <c r="BN292" s="300" t="str">
        <f>_xlfn.IFNA(VLOOKUP($BD292,Programma!$F$3:$P$1107,11,0),"")</f>
        <v/>
      </c>
      <c r="BO292" s="300" t="str">
        <f>_xlfn.IFNA(VLOOKUP($BD292,Programma!$F$3:$Q$1107,12,0),"")</f>
        <v/>
      </c>
      <c r="BP292" s="300" t="str">
        <f>_xlfn.IFNA(VLOOKUP($BD292,Programma!$F$3:$R$1107,13,0),"")</f>
        <v/>
      </c>
      <c r="BQ292" s="300" t="str">
        <f>_xlfn.IFNA(VLOOKUP($BD292,Programma!$F$3:$S$1107,14,0),"")</f>
        <v/>
      </c>
      <c r="BR292" s="300" t="str">
        <f>_xlfn.IFNA(VLOOKUP($BD292,Programma!$F$3:$T$1107,15,0),"")</f>
        <v/>
      </c>
      <c r="BS292" s="300" t="str">
        <f>_xlfn.IFNA(VLOOKUP($BD292,Programma!$F$3:$U$1107,16,0),"")</f>
        <v/>
      </c>
      <c r="BT292" s="300" t="str">
        <f>_xlfn.IFNA(VLOOKUP($BD292,Programma!$F$3:$V$1107,17,0),"")</f>
        <v/>
      </c>
      <c r="BU292" s="300" t="str">
        <f>_xlfn.IFNA(VLOOKUP($BD292,Programma!$F$3:$W$1107,18,0),"")</f>
        <v/>
      </c>
      <c r="BV292" s="300" t="str">
        <f>_xlfn.IFNA(VLOOKUP($BD292,Programma!$F$3:$X$1107,19,0),"")</f>
        <v/>
      </c>
      <c r="BW292" s="300" t="str">
        <f>_xlfn.IFNA(VLOOKUP($BD292,Programma!$F$3:$Y$1107,20,0),"")</f>
        <v/>
      </c>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row>
    <row r="293" spans="1:220" ht="15" customHeight="1">
      <c r="A293" s="21">
        <v>4</v>
      </c>
      <c r="B293" s="157" t="str">
        <f>VLOOKUP(Ruimtestaat[[#This Row],[Code]],Locaties[[Code]:[Locatie]],2,FALSE)</f>
        <v>Sint-Maartenscollege</v>
      </c>
      <c r="C293" s="157" t="str">
        <f>VLOOKUP(Ruimtestaat[[#This Row],[Code]],Locaties[[#All],[Code]:[Adres]],4,FALSE)</f>
        <v xml:space="preserve">Aart v.d. Leeuwkade 14 </v>
      </c>
      <c r="D293" s="157" t="str">
        <f>VLOOKUP(Ruimtestaat[[#This Row],[Code]],Locaties[[#All],[Code]:[Postcode]],5,FALSE)</f>
        <v>2274 KX</v>
      </c>
      <c r="E293" s="157" t="str">
        <f>VLOOKUP(Ruimtestaat[[#This Row],[Code]],Locaties[#All],6,FALSE)</f>
        <v>Voorburg</v>
      </c>
      <c r="F293" s="62"/>
      <c r="G293" s="21" t="s">
        <v>1706</v>
      </c>
      <c r="H293" s="21" t="s">
        <v>1713</v>
      </c>
      <c r="I293" s="62" t="s">
        <v>1958</v>
      </c>
      <c r="J293" s="21">
        <v>16</v>
      </c>
      <c r="K293" s="62" t="str">
        <f>VLOOKUP(Ruimtestaat[[#This Row],[Ruimte code]],Ruimtegroepen[[#All],[Code]:[Ruimte omschrijving]],2,FALSE)</f>
        <v>Leslokalen theorie</v>
      </c>
      <c r="L293" s="33" t="s">
        <v>101</v>
      </c>
      <c r="M293" s="367" t="s">
        <v>2495</v>
      </c>
      <c r="N293" s="140">
        <v>48</v>
      </c>
      <c r="O293" s="140"/>
      <c r="P293" s="125" t="str">
        <f>VLOOKUP(Ruimtestaat[[#This Row],[Ruimte code]],Ruimtegroepen[],4,FALSE)</f>
        <v>Le</v>
      </c>
      <c r="R293" s="33">
        <v>40</v>
      </c>
      <c r="S293" s="33" t="s">
        <v>2</v>
      </c>
      <c r="T293" s="33">
        <f>IF(R293&gt;0,IF(RIGHT(Ruimtestaat[[#This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3" s="33">
        <f>IF(T293&gt;0,VLOOKUP($J293,Ruimtegroepen[],3,FALSE)*VLOOKUP($L293,Vloersoorten[],3,FALSE)*VLOOKUP($S293,Frequenties[],3,FALSE)*VLOOKUP($A293,Locaties[],3,FALSE),0)</f>
        <v>0</v>
      </c>
      <c r="V293" s="33">
        <f>Ruimtestaat[[#This Row],[Uitvoeringen werkdagen]]*Ruimtestaat[[#This Row],[Oppervlak (netto)]]</f>
        <v>9600</v>
      </c>
      <c r="W293" s="154">
        <f>IF(U293&gt;0,Ruimtestaat[[#This Row],[Prest. (m2 /jaar) werkdagen]]/Ruimtestaat[[#This Row],[Norm (m2/uur) werkdagen]],0)</f>
        <v>0</v>
      </c>
      <c r="X293" s="155">
        <f>Ruimtestaat[[#This Row],[uren / jaar werkdagen]]*Tariefsopbouw!$E$35</f>
        <v>0</v>
      </c>
      <c r="Y293" s="33"/>
      <c r="Z293" s="33">
        <f>IF(Ruimtestaat[[#This Row],[Frequentie weekend]]&gt;0,VALUE(LEFT(Y293,1))*R293,0)</f>
        <v>0</v>
      </c>
      <c r="AA293" s="97">
        <f>IF($Z293&gt;0,VLOOKUP($J293,Ruimtegroepen[],3,FALSE)*VLOOKUP($L293,Vloersoorten[],3,FALSE)*VLOOKUP($Y293,Frequenties[],3,FALSE)*VLOOKUP(Ruimtestaat[[#This Row],[Code]],Locaties[],3,FALSE),0)</f>
        <v>0</v>
      </c>
      <c r="AB293" s="97">
        <f>Ruimtestaat[[#This Row],[Uitvoeringen weekend]]*Ruimtestaat[[#This Row],[Oppervlak (netto)]]</f>
        <v>0</v>
      </c>
      <c r="AC293" s="97">
        <f>IF(AA293&gt;0,Ruimtestaat[[#This Row],[Prest. (m2 /jaar) weekend]]/Ruimtestaat[[#This Row],[Norm (m2/uur) weekend]],0)</f>
        <v>0</v>
      </c>
      <c r="AD293" s="155">
        <f>Ruimtestaat[[#This Row],[uren / jaar weekend]]*Tariefsopbouw!$D$40</f>
        <v>0</v>
      </c>
      <c r="AE293" s="154">
        <f>Ruimtestaat[[#This Row],[Prest. (m2 /jaar) weekend]]+Ruimtestaat[[#This Row],[Prest. (m2 /jaar) werkdagen]]</f>
        <v>9600</v>
      </c>
      <c r="AF293" s="154">
        <f>Ruimtestaat[[#This Row],[uren / jaar weekend]]+Ruimtestaat[[#This Row],[uren / jaar werkdagen]]</f>
        <v>0</v>
      </c>
      <c r="AG293" s="69">
        <f>Ruimtestaat[[#This Row],[kosten / jaar weekend]]+Ruimtestaat[[#This Row],[kosten / jaar werkdagen]]</f>
        <v>0</v>
      </c>
      <c r="AH293" s="69"/>
      <c r="AI293" s="256" t="str">
        <f>IF(Ruimtestaat[[#This Row],[Frequentie werkdagen]]="","",_xlfn.CONCAT(Ruimtestaat[[#This Row],[Ruimte code]],"-",Ruimtestaat[[#This Row],[Frequentie werkdagen]]," ",Ruimtestaat[[#This Row],[Vloer code]]))</f>
        <v>16-5w L</v>
      </c>
      <c r="AJ293" s="300" t="str">
        <f>_xlfn.IFNA(VLOOKUP($AI293,Programma!$F$3:$G$1107,2,0),"")</f>
        <v>_</v>
      </c>
      <c r="AK293" s="300" t="str">
        <f>_xlfn.IFNA(VLOOKUP($AI293,Programma!$F$3:$H$1107,3,0),"")</f>
        <v>_</v>
      </c>
      <c r="AL293" s="300" t="str">
        <f>_xlfn.IFNA(VLOOKUP($AI293,Programma!$F$3:$I$1107,4,0),"")</f>
        <v>4w</v>
      </c>
      <c r="AM293" s="300" t="str">
        <f>_xlfn.IFNA(VLOOKUP($AI293,Programma!$F$3:$J$1107,5,0),"")</f>
        <v>1w</v>
      </c>
      <c r="AN293" s="300" t="str">
        <f>_xlfn.IFNA(VLOOKUP($AI293,Programma!$F$3:$K$1107,6,0),"")</f>
        <v>_</v>
      </c>
      <c r="AO293" s="300" t="str">
        <f>_xlfn.IFNA(VLOOKUP($AI293,Programma!$F$3:$L$1107,7,0),"")</f>
        <v>_</v>
      </c>
      <c r="AP293" s="300" t="str">
        <f>_xlfn.IFNA(VLOOKUP($AI293,Programma!$F$3:$M$1107,8,0),"")</f>
        <v>_</v>
      </c>
      <c r="AQ293" s="300" t="str">
        <f>_xlfn.IFNA(VLOOKUP($AI293,Programma!$F$3:$N$1107,9,0),"")</f>
        <v>_</v>
      </c>
      <c r="AR293" s="300" t="str">
        <f>_xlfn.IFNA(VLOOKUP($AI293,Programma!$F$3:$O$1107,10,0),"")</f>
        <v>5w</v>
      </c>
      <c r="AS293" s="300" t="str">
        <f>_xlfn.IFNA(VLOOKUP($AI293,Programma!$F$3:$P$1107,11,0),"")</f>
        <v>5w</v>
      </c>
      <c r="AT293" s="300" t="str">
        <f>_xlfn.IFNA(VLOOKUP($AI293,Programma!$F$3:$Q$1107,12,0),"")</f>
        <v>1w</v>
      </c>
      <c r="AU293" s="300" t="str">
        <f>_xlfn.IFNA(VLOOKUP($AI293,Programma!$F$3:$R$1107,13,0),"")</f>
        <v>1w</v>
      </c>
      <c r="AV293" s="300" t="str">
        <f>_xlfn.IFNA(VLOOKUP($AI293,Programma!$F$3:$S$1107,14,0),"")</f>
        <v>1m</v>
      </c>
      <c r="AW293" s="300" t="str">
        <f>_xlfn.IFNA(VLOOKUP($AI293,Programma!$F$3:$T$1107,15,0),"")</f>
        <v>2j</v>
      </c>
      <c r="AX293" s="300" t="str">
        <f>_xlfn.IFNA(VLOOKUP($AI293,Programma!$F$3:$U$1107,16,0),"")</f>
        <v>1j</v>
      </c>
      <c r="AY293" s="300" t="str">
        <f>_xlfn.IFNA(VLOOKUP($AI293,Programma!$F$3:$V$1107,17,0),"")</f>
        <v>_</v>
      </c>
      <c r="AZ293" s="300" t="str">
        <f>_xlfn.IFNA(VLOOKUP($AI293,Programma!$F$3:$W$1107,18,0),"")</f>
        <v>_</v>
      </c>
      <c r="BA293" s="300" t="str">
        <f>_xlfn.IFNA(VLOOKUP($AI293,Programma!$F$3:$X$1107,19,0),"")</f>
        <v>_</v>
      </c>
      <c r="BB293" s="300" t="str">
        <f>_xlfn.IFNA(VLOOKUP($AI293,Programma!$F$3:$Y$1107,20,0),"")</f>
        <v>_</v>
      </c>
      <c r="BC293" s="257"/>
      <c r="BD293" s="256" t="str">
        <f>IF(Ruimtestaat[[#This Row],[Frequentie weekend]]="","",_xlfn.CONCAT(Ruimtestaat[[#This Row],[Ruimte code]],"-",Ruimtestaat[[#This Row],[Frequentie weekend]]," ",Ruimtestaat[[#This Row],[Vloer code]]))</f>
        <v/>
      </c>
      <c r="BE293" s="300" t="str">
        <f>_xlfn.IFNA(VLOOKUP($BD293,Programma!$F$3:$G$1107,2,0),"")</f>
        <v/>
      </c>
      <c r="BF293" s="300" t="str">
        <f>_xlfn.IFNA(VLOOKUP($BD293,Programma!$F$3:$H$1107,3,0),"")</f>
        <v/>
      </c>
      <c r="BG293" s="300" t="str">
        <f>_xlfn.IFNA(VLOOKUP($BD293,Programma!$F$3:$I$1107,4,0),"")</f>
        <v/>
      </c>
      <c r="BH293" s="300" t="str">
        <f>_xlfn.IFNA(VLOOKUP($BD293,Programma!$F$3:$J$1107,5,0),"")</f>
        <v/>
      </c>
      <c r="BI293" s="300" t="str">
        <f>_xlfn.IFNA(VLOOKUP($BD293,Programma!$F$3:$K$1107,6,0),"")</f>
        <v/>
      </c>
      <c r="BJ293" s="300" t="str">
        <f>_xlfn.IFNA(VLOOKUP($BD293,Programma!$F$3:$L$1107,7,0),"")</f>
        <v/>
      </c>
      <c r="BK293" s="300" t="str">
        <f>_xlfn.IFNA(VLOOKUP($BD293,Programma!$F$3:$M$1107,8,0),"")</f>
        <v/>
      </c>
      <c r="BL293" s="300" t="str">
        <f>_xlfn.IFNA(VLOOKUP($BD293,Programma!$F$3:$N$1107,9,0),"")</f>
        <v/>
      </c>
      <c r="BM293" s="300" t="str">
        <f>_xlfn.IFNA(VLOOKUP($BD293,Programma!$F$3:$O$1107,10,0),"")</f>
        <v/>
      </c>
      <c r="BN293" s="300" t="str">
        <f>_xlfn.IFNA(VLOOKUP($BD293,Programma!$F$3:$P$1107,11,0),"")</f>
        <v/>
      </c>
      <c r="BO293" s="300" t="str">
        <f>_xlfn.IFNA(VLOOKUP($BD293,Programma!$F$3:$Q$1107,12,0),"")</f>
        <v/>
      </c>
      <c r="BP293" s="300" t="str">
        <f>_xlfn.IFNA(VLOOKUP($BD293,Programma!$F$3:$R$1107,13,0),"")</f>
        <v/>
      </c>
      <c r="BQ293" s="300" t="str">
        <f>_xlfn.IFNA(VLOOKUP($BD293,Programma!$F$3:$S$1107,14,0),"")</f>
        <v/>
      </c>
      <c r="BR293" s="300" t="str">
        <f>_xlfn.IFNA(VLOOKUP($BD293,Programma!$F$3:$T$1107,15,0),"")</f>
        <v/>
      </c>
      <c r="BS293" s="300" t="str">
        <f>_xlfn.IFNA(VLOOKUP($BD293,Programma!$F$3:$U$1107,16,0),"")</f>
        <v/>
      </c>
      <c r="BT293" s="300" t="str">
        <f>_xlfn.IFNA(VLOOKUP($BD293,Programma!$F$3:$V$1107,17,0),"")</f>
        <v/>
      </c>
      <c r="BU293" s="300" t="str">
        <f>_xlfn.IFNA(VLOOKUP($BD293,Programma!$F$3:$W$1107,18,0),"")</f>
        <v/>
      </c>
      <c r="BV293" s="300" t="str">
        <f>_xlfn.IFNA(VLOOKUP($BD293,Programma!$F$3:$X$1107,19,0),"")</f>
        <v/>
      </c>
      <c r="BW293" s="300" t="str">
        <f>_xlfn.IFNA(VLOOKUP($BD293,Programma!$F$3:$Y$1107,20,0),"")</f>
        <v/>
      </c>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row>
    <row r="294" spans="1:220" ht="15" customHeight="1">
      <c r="A294" s="21">
        <v>4</v>
      </c>
      <c r="B294" s="157" t="str">
        <f>VLOOKUP(Ruimtestaat[[#This Row],[Code]],Locaties[[Code]:[Locatie]],2,FALSE)</f>
        <v>Sint-Maartenscollege</v>
      </c>
      <c r="C294" s="157" t="str">
        <f>VLOOKUP(Ruimtestaat[[#This Row],[Code]],Locaties[[#All],[Code]:[Adres]],4,FALSE)</f>
        <v xml:space="preserve">Aart v.d. Leeuwkade 14 </v>
      </c>
      <c r="D294" s="157" t="str">
        <f>VLOOKUP(Ruimtestaat[[#This Row],[Code]],Locaties[[#All],[Code]:[Postcode]],5,FALSE)</f>
        <v>2274 KX</v>
      </c>
      <c r="E294" s="157" t="str">
        <f>VLOOKUP(Ruimtestaat[[#This Row],[Code]],Locaties[#All],6,FALSE)</f>
        <v>Voorburg</v>
      </c>
      <c r="F294" s="62"/>
      <c r="G294" s="21" t="s">
        <v>1706</v>
      </c>
      <c r="H294" s="21" t="s">
        <v>1714</v>
      </c>
      <c r="I294" s="62" t="s">
        <v>1625</v>
      </c>
      <c r="J294" s="21">
        <v>6</v>
      </c>
      <c r="K294" s="62" t="str">
        <f>VLOOKUP(Ruimtestaat[[#This Row],[Ruimte code]],Ruimtegroepen[[#All],[Code]:[Ruimte omschrijving]],2,FALSE)</f>
        <v>Gangen/hallen</v>
      </c>
      <c r="L294" s="33" t="s">
        <v>101</v>
      </c>
      <c r="M294" s="367" t="s">
        <v>2495</v>
      </c>
      <c r="N294" s="140">
        <v>146</v>
      </c>
      <c r="O294" s="140"/>
      <c r="P294" s="125" t="str">
        <f>VLOOKUP(Ruimtestaat[[#This Row],[Ruimte code]],Ruimtegroepen[],4,FALSE)</f>
        <v>Ve</v>
      </c>
      <c r="R294" s="33">
        <v>40</v>
      </c>
      <c r="S294" s="33" t="s">
        <v>2</v>
      </c>
      <c r="T294" s="33">
        <f>IF(R294&gt;0,IF(RIGHT(Ruimtestaat[[#This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4" s="33">
        <f>IF(T294&gt;0,VLOOKUP($J294,Ruimtegroepen[],3,FALSE)*VLOOKUP($L294,Vloersoorten[],3,FALSE)*VLOOKUP($S294,Frequenties[],3,FALSE)*VLOOKUP($A294,Locaties[],3,FALSE),0)</f>
        <v>0</v>
      </c>
      <c r="V294" s="33">
        <f>Ruimtestaat[[#This Row],[Uitvoeringen werkdagen]]*Ruimtestaat[[#This Row],[Oppervlak (netto)]]</f>
        <v>29200</v>
      </c>
      <c r="W294" s="154">
        <f>IF(U294&gt;0,Ruimtestaat[[#This Row],[Prest. (m2 /jaar) werkdagen]]/Ruimtestaat[[#This Row],[Norm (m2/uur) werkdagen]],0)</f>
        <v>0</v>
      </c>
      <c r="X294" s="155">
        <f>Ruimtestaat[[#This Row],[uren / jaar werkdagen]]*Tariefsopbouw!$E$35</f>
        <v>0</v>
      </c>
      <c r="Y294" s="33"/>
      <c r="Z294" s="33">
        <f>IF(Ruimtestaat[[#This Row],[Frequentie weekend]]&gt;0,VALUE(LEFT(Y294,1))*R294,0)</f>
        <v>0</v>
      </c>
      <c r="AA294" s="97">
        <f>IF($Z294&gt;0,VLOOKUP($J294,Ruimtegroepen[],3,FALSE)*VLOOKUP($L294,Vloersoorten[],3,FALSE)*VLOOKUP($Y294,Frequenties[],3,FALSE)*VLOOKUP(Ruimtestaat[[#This Row],[Code]],Locaties[],3,FALSE),0)</f>
        <v>0</v>
      </c>
      <c r="AB294" s="97">
        <f>Ruimtestaat[[#This Row],[Uitvoeringen weekend]]*Ruimtestaat[[#This Row],[Oppervlak (netto)]]</f>
        <v>0</v>
      </c>
      <c r="AC294" s="97">
        <f>IF(AA294&gt;0,Ruimtestaat[[#This Row],[Prest. (m2 /jaar) weekend]]/Ruimtestaat[[#This Row],[Norm (m2/uur) weekend]],0)</f>
        <v>0</v>
      </c>
      <c r="AD294" s="155">
        <f>Ruimtestaat[[#This Row],[uren / jaar weekend]]*Tariefsopbouw!$D$40</f>
        <v>0</v>
      </c>
      <c r="AE294" s="154">
        <f>Ruimtestaat[[#This Row],[Prest. (m2 /jaar) weekend]]+Ruimtestaat[[#This Row],[Prest. (m2 /jaar) werkdagen]]</f>
        <v>29200</v>
      </c>
      <c r="AF294" s="154">
        <f>Ruimtestaat[[#This Row],[uren / jaar weekend]]+Ruimtestaat[[#This Row],[uren / jaar werkdagen]]</f>
        <v>0</v>
      </c>
      <c r="AG294" s="69">
        <f>Ruimtestaat[[#This Row],[kosten / jaar weekend]]+Ruimtestaat[[#This Row],[kosten / jaar werkdagen]]</f>
        <v>0</v>
      </c>
      <c r="AH294" s="69"/>
      <c r="AI294" s="256" t="str">
        <f>IF(Ruimtestaat[[#This Row],[Frequentie werkdagen]]="","",_xlfn.CONCAT(Ruimtestaat[[#This Row],[Ruimte code]],"-",Ruimtestaat[[#This Row],[Frequentie werkdagen]]," ",Ruimtestaat[[#This Row],[Vloer code]]))</f>
        <v>6-5w L</v>
      </c>
      <c r="AJ294" s="300" t="str">
        <f>_xlfn.IFNA(VLOOKUP($AI294,Programma!$F$3:$G$1107,2,0),"")</f>
        <v>_</v>
      </c>
      <c r="AK294" s="300" t="str">
        <f>_xlfn.IFNA(VLOOKUP($AI294,Programma!$F$3:$H$1107,3,0),"")</f>
        <v>_</v>
      </c>
      <c r="AL294" s="300" t="str">
        <f>_xlfn.IFNA(VLOOKUP($AI294,Programma!$F$3:$I$1107,4,0),"")</f>
        <v>_</v>
      </c>
      <c r="AM294" s="300" t="str">
        <f>_xlfn.IFNA(VLOOKUP($AI294,Programma!$F$3:$J$1107,5,0),"")</f>
        <v>5w</v>
      </c>
      <c r="AN294" s="300" t="str">
        <f>_xlfn.IFNA(VLOOKUP($AI294,Programma!$F$3:$K$1107,6,0),"")</f>
        <v>_</v>
      </c>
      <c r="AO294" s="300" t="str">
        <f>_xlfn.IFNA(VLOOKUP($AI294,Programma!$F$3:$L$1107,7,0),"")</f>
        <v>_</v>
      </c>
      <c r="AP294" s="300" t="str">
        <f>_xlfn.IFNA(VLOOKUP($AI294,Programma!$F$3:$M$1107,8,0),"")</f>
        <v>_</v>
      </c>
      <c r="AQ294" s="300" t="str">
        <f>_xlfn.IFNA(VLOOKUP($AI294,Programma!$F$3:$N$1107,9,0),"")</f>
        <v>_</v>
      </c>
      <c r="AR294" s="300" t="str">
        <f>_xlfn.IFNA(VLOOKUP($AI294,Programma!$F$3:$O$1107,10,0),"")</f>
        <v>5w</v>
      </c>
      <c r="AS294" s="300" t="str">
        <f>_xlfn.IFNA(VLOOKUP($AI294,Programma!$F$3:$P$1107,11,0),"")</f>
        <v>5w</v>
      </c>
      <c r="AT294" s="300" t="str">
        <f>_xlfn.IFNA(VLOOKUP($AI294,Programma!$F$3:$Q$1107,12,0),"")</f>
        <v>1w</v>
      </c>
      <c r="AU294" s="300" t="str">
        <f>_xlfn.IFNA(VLOOKUP($AI294,Programma!$F$3:$R$1107,13,0),"")</f>
        <v>1w</v>
      </c>
      <c r="AV294" s="300" t="str">
        <f>_xlfn.IFNA(VLOOKUP($AI294,Programma!$F$3:$S$1107,14,0),"")</f>
        <v>1m</v>
      </c>
      <c r="AW294" s="300" t="str">
        <f>_xlfn.IFNA(VLOOKUP($AI294,Programma!$F$3:$T$1107,15,0),"")</f>
        <v>2j</v>
      </c>
      <c r="AX294" s="300" t="str">
        <f>_xlfn.IFNA(VLOOKUP($AI294,Programma!$F$3:$U$1107,16,0),"")</f>
        <v>1j</v>
      </c>
      <c r="AY294" s="300" t="str">
        <f>_xlfn.IFNA(VLOOKUP($AI294,Programma!$F$3:$V$1107,17,0),"")</f>
        <v>_</v>
      </c>
      <c r="AZ294" s="300" t="str">
        <f>_xlfn.IFNA(VLOOKUP($AI294,Programma!$F$3:$W$1107,18,0),"")</f>
        <v>_</v>
      </c>
      <c r="BA294" s="300" t="str">
        <f>_xlfn.IFNA(VLOOKUP($AI294,Programma!$F$3:$X$1107,19,0),"")</f>
        <v>_</v>
      </c>
      <c r="BB294" s="300" t="str">
        <f>_xlfn.IFNA(VLOOKUP($AI294,Programma!$F$3:$Y$1107,20,0),"")</f>
        <v>_</v>
      </c>
      <c r="BC294" s="257"/>
      <c r="BD294" s="256" t="str">
        <f>IF(Ruimtestaat[[#This Row],[Frequentie weekend]]="","",_xlfn.CONCAT(Ruimtestaat[[#This Row],[Ruimte code]],"-",Ruimtestaat[[#This Row],[Frequentie weekend]]," ",Ruimtestaat[[#This Row],[Vloer code]]))</f>
        <v/>
      </c>
      <c r="BE294" s="300" t="str">
        <f>_xlfn.IFNA(VLOOKUP($BD294,Programma!$F$3:$G$1107,2,0),"")</f>
        <v/>
      </c>
      <c r="BF294" s="300" t="str">
        <f>_xlfn.IFNA(VLOOKUP($BD294,Programma!$F$3:$H$1107,3,0),"")</f>
        <v/>
      </c>
      <c r="BG294" s="300" t="str">
        <f>_xlfn.IFNA(VLOOKUP($BD294,Programma!$F$3:$I$1107,4,0),"")</f>
        <v/>
      </c>
      <c r="BH294" s="300" t="str">
        <f>_xlfn.IFNA(VLOOKUP($BD294,Programma!$F$3:$J$1107,5,0),"")</f>
        <v/>
      </c>
      <c r="BI294" s="300" t="str">
        <f>_xlfn.IFNA(VLOOKUP($BD294,Programma!$F$3:$K$1107,6,0),"")</f>
        <v/>
      </c>
      <c r="BJ294" s="300" t="str">
        <f>_xlfn.IFNA(VLOOKUP($BD294,Programma!$F$3:$L$1107,7,0),"")</f>
        <v/>
      </c>
      <c r="BK294" s="300" t="str">
        <f>_xlfn.IFNA(VLOOKUP($BD294,Programma!$F$3:$M$1107,8,0),"")</f>
        <v/>
      </c>
      <c r="BL294" s="300" t="str">
        <f>_xlfn.IFNA(VLOOKUP($BD294,Programma!$F$3:$N$1107,9,0),"")</f>
        <v/>
      </c>
      <c r="BM294" s="300" t="str">
        <f>_xlfn.IFNA(VLOOKUP($BD294,Programma!$F$3:$O$1107,10,0),"")</f>
        <v/>
      </c>
      <c r="BN294" s="300" t="str">
        <f>_xlfn.IFNA(VLOOKUP($BD294,Programma!$F$3:$P$1107,11,0),"")</f>
        <v/>
      </c>
      <c r="BO294" s="300" t="str">
        <f>_xlfn.IFNA(VLOOKUP($BD294,Programma!$F$3:$Q$1107,12,0),"")</f>
        <v/>
      </c>
      <c r="BP294" s="300" t="str">
        <f>_xlfn.IFNA(VLOOKUP($BD294,Programma!$F$3:$R$1107,13,0),"")</f>
        <v/>
      </c>
      <c r="BQ294" s="300" t="str">
        <f>_xlfn.IFNA(VLOOKUP($BD294,Programma!$F$3:$S$1107,14,0),"")</f>
        <v/>
      </c>
      <c r="BR294" s="300" t="str">
        <f>_xlfn.IFNA(VLOOKUP($BD294,Programma!$F$3:$T$1107,15,0),"")</f>
        <v/>
      </c>
      <c r="BS294" s="300" t="str">
        <f>_xlfn.IFNA(VLOOKUP($BD294,Programma!$F$3:$U$1107,16,0),"")</f>
        <v/>
      </c>
      <c r="BT294" s="300" t="str">
        <f>_xlfn.IFNA(VLOOKUP($BD294,Programma!$F$3:$V$1107,17,0),"")</f>
        <v/>
      </c>
      <c r="BU294" s="300" t="str">
        <f>_xlfn.IFNA(VLOOKUP($BD294,Programma!$F$3:$W$1107,18,0),"")</f>
        <v/>
      </c>
      <c r="BV294" s="300" t="str">
        <f>_xlfn.IFNA(VLOOKUP($BD294,Programma!$F$3:$X$1107,19,0),"")</f>
        <v/>
      </c>
      <c r="BW294" s="300" t="str">
        <f>_xlfn.IFNA(VLOOKUP($BD294,Programma!$F$3:$Y$1107,20,0),"")</f>
        <v/>
      </c>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row>
    <row r="295" spans="1:220" ht="15" customHeight="1">
      <c r="A295" s="21">
        <v>4</v>
      </c>
      <c r="B295" s="157" t="str">
        <f>VLOOKUP(Ruimtestaat[[#This Row],[Code]],Locaties[[Code]:[Locatie]],2,FALSE)</f>
        <v>Sint-Maartenscollege</v>
      </c>
      <c r="C295" s="157" t="str">
        <f>VLOOKUP(Ruimtestaat[[#This Row],[Code]],Locaties[[#All],[Code]:[Adres]],4,FALSE)</f>
        <v xml:space="preserve">Aart v.d. Leeuwkade 14 </v>
      </c>
      <c r="D295" s="157" t="str">
        <f>VLOOKUP(Ruimtestaat[[#This Row],[Code]],Locaties[[#All],[Code]:[Postcode]],5,FALSE)</f>
        <v>2274 KX</v>
      </c>
      <c r="E295" s="157" t="str">
        <f>VLOOKUP(Ruimtestaat[[#This Row],[Code]],Locaties[#All],6,FALSE)</f>
        <v>Voorburg</v>
      </c>
      <c r="F295" s="62"/>
      <c r="G295" s="21" t="s">
        <v>1706</v>
      </c>
      <c r="H295" s="21" t="s">
        <v>1715</v>
      </c>
      <c r="I295" s="62" t="s">
        <v>1288</v>
      </c>
      <c r="J295" s="21">
        <v>18</v>
      </c>
      <c r="K295" s="62" t="str">
        <f>VLOOKUP(Ruimtestaat[[#This Row],[Ruimte code]],Ruimtegroepen[[#All],[Code]:[Ruimte omschrijving]],2,FALSE)</f>
        <v>Gymzaal</v>
      </c>
      <c r="L295" s="33" t="s">
        <v>103</v>
      </c>
      <c r="M295" s="367" t="s">
        <v>2508</v>
      </c>
      <c r="N295" s="140">
        <v>254</v>
      </c>
      <c r="O295" s="140"/>
      <c r="P295" s="125" t="str">
        <f>VLOOKUP(Ruimtestaat[[#This Row],[Ruimte code]],Ruimtegroepen[],4,FALSE)</f>
        <v>Sp</v>
      </c>
      <c r="R295" s="33">
        <v>40</v>
      </c>
      <c r="S295" s="33" t="s">
        <v>2</v>
      </c>
      <c r="T295" s="33">
        <f>IF(R295&gt;0,IF(RIGHT(Ruimtestaat[[#This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5" s="33">
        <f>IF(T295&gt;0,VLOOKUP($J295,Ruimtegroepen[],3,FALSE)*VLOOKUP($L295,Vloersoorten[],3,FALSE)*VLOOKUP($S295,Frequenties[],3,FALSE)*VLOOKUP($A295,Locaties[],3,FALSE),0)</f>
        <v>0</v>
      </c>
      <c r="V295" s="33">
        <f>Ruimtestaat[[#This Row],[Uitvoeringen werkdagen]]*Ruimtestaat[[#This Row],[Oppervlak (netto)]]</f>
        <v>50800</v>
      </c>
      <c r="W295" s="154">
        <f>IF(U295&gt;0,Ruimtestaat[[#This Row],[Prest. (m2 /jaar) werkdagen]]/Ruimtestaat[[#This Row],[Norm (m2/uur) werkdagen]],0)</f>
        <v>0</v>
      </c>
      <c r="X295" s="155">
        <f>Ruimtestaat[[#This Row],[uren / jaar werkdagen]]*Tariefsopbouw!$E$35</f>
        <v>0</v>
      </c>
      <c r="Y295" s="33"/>
      <c r="Z295" s="33">
        <f>IF(Ruimtestaat[[#This Row],[Frequentie weekend]]&gt;0,VALUE(LEFT(Y295,1))*R295,0)</f>
        <v>0</v>
      </c>
      <c r="AA295" s="97">
        <f>IF($Z295&gt;0,VLOOKUP($J295,Ruimtegroepen[],3,FALSE)*VLOOKUP($L295,Vloersoorten[],3,FALSE)*VLOOKUP($Y295,Frequenties[],3,FALSE)*VLOOKUP(Ruimtestaat[[#This Row],[Code]],Locaties[],3,FALSE),0)</f>
        <v>0</v>
      </c>
      <c r="AB295" s="97">
        <f>Ruimtestaat[[#This Row],[Uitvoeringen weekend]]*Ruimtestaat[[#This Row],[Oppervlak (netto)]]</f>
        <v>0</v>
      </c>
      <c r="AC295" s="97">
        <f>IF(AA295&gt;0,Ruimtestaat[[#This Row],[Prest. (m2 /jaar) weekend]]/Ruimtestaat[[#This Row],[Norm (m2/uur) weekend]],0)</f>
        <v>0</v>
      </c>
      <c r="AD295" s="155">
        <f>Ruimtestaat[[#This Row],[uren / jaar weekend]]*Tariefsopbouw!$D$40</f>
        <v>0</v>
      </c>
      <c r="AE295" s="154">
        <f>Ruimtestaat[[#This Row],[Prest. (m2 /jaar) weekend]]+Ruimtestaat[[#This Row],[Prest. (m2 /jaar) werkdagen]]</f>
        <v>50800</v>
      </c>
      <c r="AF295" s="154">
        <f>Ruimtestaat[[#This Row],[uren / jaar weekend]]+Ruimtestaat[[#This Row],[uren / jaar werkdagen]]</f>
        <v>0</v>
      </c>
      <c r="AG295" s="69">
        <f>Ruimtestaat[[#This Row],[kosten / jaar weekend]]+Ruimtestaat[[#This Row],[kosten / jaar werkdagen]]</f>
        <v>0</v>
      </c>
      <c r="AH295" s="69"/>
      <c r="AI295" s="256" t="str">
        <f>IF(Ruimtestaat[[#This Row],[Frequentie werkdagen]]="","",_xlfn.CONCAT(Ruimtestaat[[#This Row],[Ruimte code]],"-",Ruimtestaat[[#This Row],[Frequentie werkdagen]]," ",Ruimtestaat[[#This Row],[Vloer code]]))</f>
        <v>18-5w P</v>
      </c>
      <c r="AJ295" s="300" t="str">
        <f>_xlfn.IFNA(VLOOKUP($AI295,Programma!$F$3:$G$1107,2,0),"")</f>
        <v>_</v>
      </c>
      <c r="AK295" s="300" t="str">
        <f>_xlfn.IFNA(VLOOKUP($AI295,Programma!$F$3:$H$1107,3,0),"")</f>
        <v>_</v>
      </c>
      <c r="AL295" s="300" t="str">
        <f>_xlfn.IFNA(VLOOKUP($AI295,Programma!$F$3:$I$1107,4,0),"")</f>
        <v>4w</v>
      </c>
      <c r="AM295" s="300" t="str">
        <f>_xlfn.IFNA(VLOOKUP($AI295,Programma!$F$3:$J$1107,5,0),"")</f>
        <v>1w</v>
      </c>
      <c r="AN295" s="300" t="str">
        <f>_xlfn.IFNA(VLOOKUP($AI295,Programma!$F$3:$K$1107,6,0),"")</f>
        <v>4j</v>
      </c>
      <c r="AO295" s="300" t="str">
        <f>_xlfn.IFNA(VLOOKUP($AI295,Programma!$F$3:$L$1107,7,0),"")</f>
        <v>_</v>
      </c>
      <c r="AP295" s="300" t="str">
        <f>_xlfn.IFNA(VLOOKUP($AI295,Programma!$F$3:$M$1107,8,0),"")</f>
        <v>_</v>
      </c>
      <c r="AQ295" s="300" t="str">
        <f>_xlfn.IFNA(VLOOKUP($AI295,Programma!$F$3:$N$1107,9,0),"")</f>
        <v>_</v>
      </c>
      <c r="AR295" s="300" t="str">
        <f>_xlfn.IFNA(VLOOKUP($AI295,Programma!$F$3:$O$1107,10,0),"")</f>
        <v>5w</v>
      </c>
      <c r="AS295" s="300" t="str">
        <f>_xlfn.IFNA(VLOOKUP($AI295,Programma!$F$3:$P$1107,11,0),"")</f>
        <v>5w</v>
      </c>
      <c r="AT295" s="300" t="str">
        <f>_xlfn.IFNA(VLOOKUP($AI295,Programma!$F$3:$Q$1107,12,0),"")</f>
        <v>5w</v>
      </c>
      <c r="AU295" s="300" t="str">
        <f>_xlfn.IFNA(VLOOKUP($AI295,Programma!$F$3:$R$1107,13,0),"")</f>
        <v>5w</v>
      </c>
      <c r="AV295" s="300" t="str">
        <f>_xlfn.IFNA(VLOOKUP($AI295,Programma!$F$3:$S$1107,14,0),"")</f>
        <v>1m</v>
      </c>
      <c r="AW295" s="300" t="str">
        <f>_xlfn.IFNA(VLOOKUP($AI295,Programma!$F$3:$T$1107,15,0),"")</f>
        <v>2j</v>
      </c>
      <c r="AX295" s="300" t="str">
        <f>_xlfn.IFNA(VLOOKUP($AI295,Programma!$F$3:$U$1107,16,0),"")</f>
        <v>1j</v>
      </c>
      <c r="AY295" s="300" t="str">
        <f>_xlfn.IFNA(VLOOKUP($AI295,Programma!$F$3:$V$1107,17,0),"")</f>
        <v>_</v>
      </c>
      <c r="AZ295" s="300" t="str">
        <f>_xlfn.IFNA(VLOOKUP($AI295,Programma!$F$3:$W$1107,18,0),"")</f>
        <v>_</v>
      </c>
      <c r="BA295" s="300" t="str">
        <f>_xlfn.IFNA(VLOOKUP($AI295,Programma!$F$3:$X$1107,19,0),"")</f>
        <v>_</v>
      </c>
      <c r="BB295" s="300" t="str">
        <f>_xlfn.IFNA(VLOOKUP($AI295,Programma!$F$3:$Y$1107,20,0),"")</f>
        <v>_</v>
      </c>
      <c r="BC295" s="257"/>
      <c r="BD295" s="256" t="str">
        <f>IF(Ruimtestaat[[#This Row],[Frequentie weekend]]="","",_xlfn.CONCAT(Ruimtestaat[[#This Row],[Ruimte code]],"-",Ruimtestaat[[#This Row],[Frequentie weekend]]," ",Ruimtestaat[[#This Row],[Vloer code]]))</f>
        <v/>
      </c>
      <c r="BE295" s="300" t="str">
        <f>_xlfn.IFNA(VLOOKUP($BD295,Programma!$F$3:$G$1107,2,0),"")</f>
        <v/>
      </c>
      <c r="BF295" s="300" t="str">
        <f>_xlfn.IFNA(VLOOKUP($BD295,Programma!$F$3:$H$1107,3,0),"")</f>
        <v/>
      </c>
      <c r="BG295" s="300" t="str">
        <f>_xlfn.IFNA(VLOOKUP($BD295,Programma!$F$3:$I$1107,4,0),"")</f>
        <v/>
      </c>
      <c r="BH295" s="300" t="str">
        <f>_xlfn.IFNA(VLOOKUP($BD295,Programma!$F$3:$J$1107,5,0),"")</f>
        <v/>
      </c>
      <c r="BI295" s="300" t="str">
        <f>_xlfn.IFNA(VLOOKUP($BD295,Programma!$F$3:$K$1107,6,0),"")</f>
        <v/>
      </c>
      <c r="BJ295" s="300" t="str">
        <f>_xlfn.IFNA(VLOOKUP($BD295,Programma!$F$3:$L$1107,7,0),"")</f>
        <v/>
      </c>
      <c r="BK295" s="300" t="str">
        <f>_xlfn.IFNA(VLOOKUP($BD295,Programma!$F$3:$M$1107,8,0),"")</f>
        <v/>
      </c>
      <c r="BL295" s="300" t="str">
        <f>_xlfn.IFNA(VLOOKUP($BD295,Programma!$F$3:$N$1107,9,0),"")</f>
        <v/>
      </c>
      <c r="BM295" s="300" t="str">
        <f>_xlfn.IFNA(VLOOKUP($BD295,Programma!$F$3:$O$1107,10,0),"")</f>
        <v/>
      </c>
      <c r="BN295" s="300" t="str">
        <f>_xlfn.IFNA(VLOOKUP($BD295,Programma!$F$3:$P$1107,11,0),"")</f>
        <v/>
      </c>
      <c r="BO295" s="300" t="str">
        <f>_xlfn.IFNA(VLOOKUP($BD295,Programma!$F$3:$Q$1107,12,0),"")</f>
        <v/>
      </c>
      <c r="BP295" s="300" t="str">
        <f>_xlfn.IFNA(VLOOKUP($BD295,Programma!$F$3:$R$1107,13,0),"")</f>
        <v/>
      </c>
      <c r="BQ295" s="300" t="str">
        <f>_xlfn.IFNA(VLOOKUP($BD295,Programma!$F$3:$S$1107,14,0),"")</f>
        <v/>
      </c>
      <c r="BR295" s="300" t="str">
        <f>_xlfn.IFNA(VLOOKUP($BD295,Programma!$F$3:$T$1107,15,0),"")</f>
        <v/>
      </c>
      <c r="BS295" s="300" t="str">
        <f>_xlfn.IFNA(VLOOKUP($BD295,Programma!$F$3:$U$1107,16,0),"")</f>
        <v/>
      </c>
      <c r="BT295" s="300" t="str">
        <f>_xlfn.IFNA(VLOOKUP($BD295,Programma!$F$3:$V$1107,17,0),"")</f>
        <v/>
      </c>
      <c r="BU295" s="300" t="str">
        <f>_xlfn.IFNA(VLOOKUP($BD295,Programma!$F$3:$W$1107,18,0),"")</f>
        <v/>
      </c>
      <c r="BV295" s="300" t="str">
        <f>_xlfn.IFNA(VLOOKUP($BD295,Programma!$F$3:$X$1107,19,0),"")</f>
        <v/>
      </c>
      <c r="BW295" s="300" t="str">
        <f>_xlfn.IFNA(VLOOKUP($BD295,Programma!$F$3:$Y$1107,20,0),"")</f>
        <v/>
      </c>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row>
    <row r="296" spans="1:220" ht="15" customHeight="1">
      <c r="A296" s="21">
        <v>4</v>
      </c>
      <c r="B296" s="157" t="str">
        <f>VLOOKUP(Ruimtestaat[[#This Row],[Code]],Locaties[[Code]:[Locatie]],2,FALSE)</f>
        <v>Sint-Maartenscollege</v>
      </c>
      <c r="C296" s="157" t="str">
        <f>VLOOKUP(Ruimtestaat[[#This Row],[Code]],Locaties[[#All],[Code]:[Adres]],4,FALSE)</f>
        <v xml:space="preserve">Aart v.d. Leeuwkade 14 </v>
      </c>
      <c r="D296" s="157" t="str">
        <f>VLOOKUP(Ruimtestaat[[#This Row],[Code]],Locaties[[#All],[Code]:[Postcode]],5,FALSE)</f>
        <v>2274 KX</v>
      </c>
      <c r="E296" s="157" t="str">
        <f>VLOOKUP(Ruimtestaat[[#This Row],[Code]],Locaties[#All],6,FALSE)</f>
        <v>Voorburg</v>
      </c>
      <c r="F296" s="62"/>
      <c r="G296" s="21" t="s">
        <v>1706</v>
      </c>
      <c r="H296" s="21" t="s">
        <v>1959</v>
      </c>
      <c r="I296" s="62" t="s">
        <v>1287</v>
      </c>
      <c r="J296" s="21">
        <v>17</v>
      </c>
      <c r="K296" s="62" t="str">
        <f>VLOOKUP(Ruimtestaat[[#This Row],[Ruimte code]],Ruimtegroepen[[#All],[Code]:[Ruimte omschrijving]],2,FALSE)</f>
        <v>Toestelberging</v>
      </c>
      <c r="L296" s="33" t="s">
        <v>103</v>
      </c>
      <c r="M296" s="367" t="s">
        <v>2508</v>
      </c>
      <c r="N296" s="140">
        <v>35</v>
      </c>
      <c r="O296" s="140"/>
      <c r="P296" s="125" t="str">
        <f>VLOOKUP(Ruimtestaat[[#This Row],[Ruimte code]],Ruimtegroepen[],4,FALSE)</f>
        <v>Ve</v>
      </c>
      <c r="R296" s="33">
        <v>40</v>
      </c>
      <c r="S296" s="33" t="s">
        <v>16</v>
      </c>
      <c r="T296" s="33">
        <f>IF(R296&gt;0,IF(RIGHT(Ruimtestaat[[#This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96" s="33">
        <f>IF(T296&gt;0,VLOOKUP($J296,Ruimtegroepen[],3,FALSE)*VLOOKUP($L296,Vloersoorten[],3,FALSE)*VLOOKUP($S296,Frequenties[],3,FALSE)*VLOOKUP($A296,Locaties[],3,FALSE),0)</f>
        <v>0</v>
      </c>
      <c r="V296" s="33">
        <f>Ruimtestaat[[#This Row],[Uitvoeringen werkdagen]]*Ruimtestaat[[#This Row],[Oppervlak (netto)]]</f>
        <v>420</v>
      </c>
      <c r="W296" s="154">
        <f>IF(U296&gt;0,Ruimtestaat[[#This Row],[Prest. (m2 /jaar) werkdagen]]/Ruimtestaat[[#This Row],[Norm (m2/uur) werkdagen]],0)</f>
        <v>0</v>
      </c>
      <c r="X296" s="155">
        <f>Ruimtestaat[[#This Row],[uren / jaar werkdagen]]*Tariefsopbouw!$E$35</f>
        <v>0</v>
      </c>
      <c r="Y296" s="33"/>
      <c r="Z296" s="33">
        <f>IF(Ruimtestaat[[#This Row],[Frequentie weekend]]&gt;0,VALUE(LEFT(Y296,1))*R296,0)</f>
        <v>0</v>
      </c>
      <c r="AA296" s="97">
        <f>IF($Z296&gt;0,VLOOKUP($J296,Ruimtegroepen[],3,FALSE)*VLOOKUP($L296,Vloersoorten[],3,FALSE)*VLOOKUP($Y296,Frequenties[],3,FALSE)*VLOOKUP(Ruimtestaat[[#This Row],[Code]],Locaties[],3,FALSE),0)</f>
        <v>0</v>
      </c>
      <c r="AB296" s="97">
        <f>Ruimtestaat[[#This Row],[Uitvoeringen weekend]]*Ruimtestaat[[#This Row],[Oppervlak (netto)]]</f>
        <v>0</v>
      </c>
      <c r="AC296" s="97">
        <f>IF(AA296&gt;0,Ruimtestaat[[#This Row],[Prest. (m2 /jaar) weekend]]/Ruimtestaat[[#This Row],[Norm (m2/uur) weekend]],0)</f>
        <v>0</v>
      </c>
      <c r="AD296" s="155">
        <f>Ruimtestaat[[#This Row],[uren / jaar weekend]]*Tariefsopbouw!$D$40</f>
        <v>0</v>
      </c>
      <c r="AE296" s="154">
        <f>Ruimtestaat[[#This Row],[Prest. (m2 /jaar) weekend]]+Ruimtestaat[[#This Row],[Prest. (m2 /jaar) werkdagen]]</f>
        <v>420</v>
      </c>
      <c r="AF296" s="154">
        <f>Ruimtestaat[[#This Row],[uren / jaar weekend]]+Ruimtestaat[[#This Row],[uren / jaar werkdagen]]</f>
        <v>0</v>
      </c>
      <c r="AG296" s="69">
        <f>Ruimtestaat[[#This Row],[kosten / jaar weekend]]+Ruimtestaat[[#This Row],[kosten / jaar werkdagen]]</f>
        <v>0</v>
      </c>
      <c r="AH296" s="69"/>
      <c r="AI296" s="256" t="str">
        <f>IF(Ruimtestaat[[#This Row],[Frequentie werkdagen]]="","",_xlfn.CONCAT(Ruimtestaat[[#This Row],[Ruimte code]],"-",Ruimtestaat[[#This Row],[Frequentie werkdagen]]," ",Ruimtestaat[[#This Row],[Vloer code]]))</f>
        <v>17-1m P</v>
      </c>
      <c r="AJ296" s="300" t="str">
        <f>_xlfn.IFNA(VLOOKUP($AI296,Programma!$F$3:$G$1107,2,0),"")</f>
        <v>_</v>
      </c>
      <c r="AK296" s="300" t="str">
        <f>_xlfn.IFNA(VLOOKUP($AI296,Programma!$F$3:$H$1107,3,0),"")</f>
        <v>_</v>
      </c>
      <c r="AL296" s="300" t="str">
        <f>_xlfn.IFNA(VLOOKUP($AI296,Programma!$F$3:$I$1107,4,0),"")</f>
        <v>1m</v>
      </c>
      <c r="AM296" s="300" t="str">
        <f>_xlfn.IFNA(VLOOKUP($AI296,Programma!$F$3:$J$1107,5,0),"")</f>
        <v>_</v>
      </c>
      <c r="AN296" s="300" t="str">
        <f>_xlfn.IFNA(VLOOKUP($AI296,Programma!$F$3:$K$1107,6,0),"")</f>
        <v>4j</v>
      </c>
      <c r="AO296" s="300" t="str">
        <f>_xlfn.IFNA(VLOOKUP($AI296,Programma!$F$3:$L$1107,7,0),"")</f>
        <v>_</v>
      </c>
      <c r="AP296" s="300" t="str">
        <f>_xlfn.IFNA(VLOOKUP($AI296,Programma!$F$3:$M$1107,8,0),"")</f>
        <v>_</v>
      </c>
      <c r="AQ296" s="300" t="str">
        <f>_xlfn.IFNA(VLOOKUP($AI296,Programma!$F$3:$N$1107,9,0),"")</f>
        <v>_</v>
      </c>
      <c r="AR296" s="300" t="str">
        <f>_xlfn.IFNA(VLOOKUP($AI296,Programma!$F$3:$O$1107,10,0),"")</f>
        <v>1m</v>
      </c>
      <c r="AS296" s="300" t="str">
        <f>_xlfn.IFNA(VLOOKUP($AI296,Programma!$F$3:$P$1107,11,0),"")</f>
        <v>1m</v>
      </c>
      <c r="AT296" s="300" t="str">
        <f>_xlfn.IFNA(VLOOKUP($AI296,Programma!$F$3:$Q$1107,12,0),"")</f>
        <v>1m</v>
      </c>
      <c r="AU296" s="300" t="str">
        <f>_xlfn.IFNA(VLOOKUP($AI296,Programma!$F$3:$R$1107,13,0),"")</f>
        <v>1m</v>
      </c>
      <c r="AV296" s="300" t="str">
        <f>_xlfn.IFNA(VLOOKUP($AI296,Programma!$F$3:$S$1107,14,0),"")</f>
        <v>1m</v>
      </c>
      <c r="AW296" s="300" t="str">
        <f>_xlfn.IFNA(VLOOKUP($AI296,Programma!$F$3:$T$1107,15,0),"")</f>
        <v>2j</v>
      </c>
      <c r="AX296" s="300" t="str">
        <f>_xlfn.IFNA(VLOOKUP($AI296,Programma!$F$3:$U$1107,16,0),"")</f>
        <v>1j</v>
      </c>
      <c r="AY296" s="300" t="str">
        <f>_xlfn.IFNA(VLOOKUP($AI296,Programma!$F$3:$V$1107,17,0),"")</f>
        <v>_</v>
      </c>
      <c r="AZ296" s="300" t="str">
        <f>_xlfn.IFNA(VLOOKUP($AI296,Programma!$F$3:$W$1107,18,0),"")</f>
        <v>_</v>
      </c>
      <c r="BA296" s="300" t="str">
        <f>_xlfn.IFNA(VLOOKUP($AI296,Programma!$F$3:$X$1107,19,0),"")</f>
        <v>_</v>
      </c>
      <c r="BB296" s="300" t="str">
        <f>_xlfn.IFNA(VLOOKUP($AI296,Programma!$F$3:$Y$1107,20,0),"")</f>
        <v>_</v>
      </c>
      <c r="BC296" s="257"/>
      <c r="BD296" s="256" t="str">
        <f>IF(Ruimtestaat[[#This Row],[Frequentie weekend]]="","",_xlfn.CONCAT(Ruimtestaat[[#This Row],[Ruimte code]],"-",Ruimtestaat[[#This Row],[Frequentie weekend]]," ",Ruimtestaat[[#This Row],[Vloer code]]))</f>
        <v/>
      </c>
      <c r="BE296" s="300" t="str">
        <f>_xlfn.IFNA(VLOOKUP($BD296,Programma!$F$3:$G$1107,2,0),"")</f>
        <v/>
      </c>
      <c r="BF296" s="300" t="str">
        <f>_xlfn.IFNA(VLOOKUP($BD296,Programma!$F$3:$H$1107,3,0),"")</f>
        <v/>
      </c>
      <c r="BG296" s="300" t="str">
        <f>_xlfn.IFNA(VLOOKUP($BD296,Programma!$F$3:$I$1107,4,0),"")</f>
        <v/>
      </c>
      <c r="BH296" s="300" t="str">
        <f>_xlfn.IFNA(VLOOKUP($BD296,Programma!$F$3:$J$1107,5,0),"")</f>
        <v/>
      </c>
      <c r="BI296" s="300" t="str">
        <f>_xlfn.IFNA(VLOOKUP($BD296,Programma!$F$3:$K$1107,6,0),"")</f>
        <v/>
      </c>
      <c r="BJ296" s="300" t="str">
        <f>_xlfn.IFNA(VLOOKUP($BD296,Programma!$F$3:$L$1107,7,0),"")</f>
        <v/>
      </c>
      <c r="BK296" s="300" t="str">
        <f>_xlfn.IFNA(VLOOKUP($BD296,Programma!$F$3:$M$1107,8,0),"")</f>
        <v/>
      </c>
      <c r="BL296" s="300" t="str">
        <f>_xlfn.IFNA(VLOOKUP($BD296,Programma!$F$3:$N$1107,9,0),"")</f>
        <v/>
      </c>
      <c r="BM296" s="300" t="str">
        <f>_xlfn.IFNA(VLOOKUP($BD296,Programma!$F$3:$O$1107,10,0),"")</f>
        <v/>
      </c>
      <c r="BN296" s="300" t="str">
        <f>_xlfn.IFNA(VLOOKUP($BD296,Programma!$F$3:$P$1107,11,0),"")</f>
        <v/>
      </c>
      <c r="BO296" s="300" t="str">
        <f>_xlfn.IFNA(VLOOKUP($BD296,Programma!$F$3:$Q$1107,12,0),"")</f>
        <v/>
      </c>
      <c r="BP296" s="300" t="str">
        <f>_xlfn.IFNA(VLOOKUP($BD296,Programma!$F$3:$R$1107,13,0),"")</f>
        <v/>
      </c>
      <c r="BQ296" s="300" t="str">
        <f>_xlfn.IFNA(VLOOKUP($BD296,Programma!$F$3:$S$1107,14,0),"")</f>
        <v/>
      </c>
      <c r="BR296" s="300" t="str">
        <f>_xlfn.IFNA(VLOOKUP($BD296,Programma!$F$3:$T$1107,15,0),"")</f>
        <v/>
      </c>
      <c r="BS296" s="300" t="str">
        <f>_xlfn.IFNA(VLOOKUP($BD296,Programma!$F$3:$U$1107,16,0),"")</f>
        <v/>
      </c>
      <c r="BT296" s="300" t="str">
        <f>_xlfn.IFNA(VLOOKUP($BD296,Programma!$F$3:$V$1107,17,0),"")</f>
        <v/>
      </c>
      <c r="BU296" s="300" t="str">
        <f>_xlfn.IFNA(VLOOKUP($BD296,Programma!$F$3:$W$1107,18,0),"")</f>
        <v/>
      </c>
      <c r="BV296" s="300" t="str">
        <f>_xlfn.IFNA(VLOOKUP($BD296,Programma!$F$3:$X$1107,19,0),"")</f>
        <v/>
      </c>
      <c r="BW296" s="300" t="str">
        <f>_xlfn.IFNA(VLOOKUP($BD296,Programma!$F$3:$Y$1107,20,0),"")</f>
        <v/>
      </c>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row>
    <row r="297" spans="1:220" ht="15" customHeight="1">
      <c r="A297" s="21">
        <v>4</v>
      </c>
      <c r="B297" s="157" t="str">
        <f>VLOOKUP(Ruimtestaat[[#This Row],[Code]],Locaties[[Code]:[Locatie]],2,FALSE)</f>
        <v>Sint-Maartenscollege</v>
      </c>
      <c r="C297" s="157" t="str">
        <f>VLOOKUP(Ruimtestaat[[#This Row],[Code]],Locaties[[#All],[Code]:[Adres]],4,FALSE)</f>
        <v xml:space="preserve">Aart v.d. Leeuwkade 14 </v>
      </c>
      <c r="D297" s="157" t="str">
        <f>VLOOKUP(Ruimtestaat[[#This Row],[Code]],Locaties[[#All],[Code]:[Postcode]],5,FALSE)</f>
        <v>2274 KX</v>
      </c>
      <c r="E297" s="157" t="str">
        <f>VLOOKUP(Ruimtestaat[[#This Row],[Code]],Locaties[#All],6,FALSE)</f>
        <v>Voorburg</v>
      </c>
      <c r="F297" s="62"/>
      <c r="G297" s="21" t="s">
        <v>1706</v>
      </c>
      <c r="H297" s="21" t="s">
        <v>1716</v>
      </c>
      <c r="I297" s="62" t="s">
        <v>1639</v>
      </c>
      <c r="J297" s="21">
        <v>5</v>
      </c>
      <c r="K297" s="62" t="str">
        <f>VLOOKUP(Ruimtestaat[[#This Row],[Ruimte code]],Ruimtegroepen[[#All],[Code]:[Ruimte omschrijving]],2,FALSE)</f>
        <v>Sanitair</v>
      </c>
      <c r="L297" s="33" t="s">
        <v>102</v>
      </c>
      <c r="M297" s="367" t="s">
        <v>2502</v>
      </c>
      <c r="N297" s="140">
        <v>11</v>
      </c>
      <c r="O297" s="140"/>
      <c r="P297" s="125" t="str">
        <f>VLOOKUP(Ruimtestaat[[#This Row],[Ruimte code]],Ruimtegroepen[],4,FALSE)</f>
        <v>Sa</v>
      </c>
      <c r="R297" s="33">
        <v>40</v>
      </c>
      <c r="S297" s="33" t="s">
        <v>2</v>
      </c>
      <c r="T297" s="33">
        <f>IF(R297&gt;0,IF(RIGHT(Ruimtestaat[[#This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7" s="33">
        <f>IF(T297&gt;0,VLOOKUP($J297,Ruimtegroepen[],3,FALSE)*VLOOKUP($L297,Vloersoorten[],3,FALSE)*VLOOKUP($S297,Frequenties[],3,FALSE)*VLOOKUP($A297,Locaties[],3,FALSE),0)</f>
        <v>0</v>
      </c>
      <c r="V297" s="33">
        <f>Ruimtestaat[[#This Row],[Uitvoeringen werkdagen]]*Ruimtestaat[[#This Row],[Oppervlak (netto)]]</f>
        <v>2200</v>
      </c>
      <c r="W297" s="154">
        <f>IF(U297&gt;0,Ruimtestaat[[#This Row],[Prest. (m2 /jaar) werkdagen]]/Ruimtestaat[[#This Row],[Norm (m2/uur) werkdagen]],0)</f>
        <v>0</v>
      </c>
      <c r="X297" s="155">
        <f>Ruimtestaat[[#This Row],[uren / jaar werkdagen]]*Tariefsopbouw!$E$35</f>
        <v>0</v>
      </c>
      <c r="Y297" s="33"/>
      <c r="Z297" s="33">
        <f>IF(Ruimtestaat[[#This Row],[Frequentie weekend]]&gt;0,VALUE(LEFT(Y297,1))*R297,0)</f>
        <v>0</v>
      </c>
      <c r="AA297" s="97">
        <f>IF($Z297&gt;0,VLOOKUP($J297,Ruimtegroepen[],3,FALSE)*VLOOKUP($L297,Vloersoorten[],3,FALSE)*VLOOKUP($Y297,Frequenties[],3,FALSE)*VLOOKUP(Ruimtestaat[[#This Row],[Code]],Locaties[],3,FALSE),0)</f>
        <v>0</v>
      </c>
      <c r="AB297" s="97">
        <f>Ruimtestaat[[#This Row],[Uitvoeringen weekend]]*Ruimtestaat[[#This Row],[Oppervlak (netto)]]</f>
        <v>0</v>
      </c>
      <c r="AC297" s="97">
        <f>IF(AA297&gt;0,Ruimtestaat[[#This Row],[Prest. (m2 /jaar) weekend]]/Ruimtestaat[[#This Row],[Norm (m2/uur) weekend]],0)</f>
        <v>0</v>
      </c>
      <c r="AD297" s="155">
        <f>Ruimtestaat[[#This Row],[uren / jaar weekend]]*Tariefsopbouw!$D$40</f>
        <v>0</v>
      </c>
      <c r="AE297" s="154">
        <f>Ruimtestaat[[#This Row],[Prest. (m2 /jaar) weekend]]+Ruimtestaat[[#This Row],[Prest. (m2 /jaar) werkdagen]]</f>
        <v>2200</v>
      </c>
      <c r="AF297" s="154">
        <f>Ruimtestaat[[#This Row],[uren / jaar weekend]]+Ruimtestaat[[#This Row],[uren / jaar werkdagen]]</f>
        <v>0</v>
      </c>
      <c r="AG297" s="69">
        <f>Ruimtestaat[[#This Row],[kosten / jaar weekend]]+Ruimtestaat[[#This Row],[kosten / jaar werkdagen]]</f>
        <v>0</v>
      </c>
      <c r="AH297" s="69"/>
      <c r="AI297" s="256" t="str">
        <f>IF(Ruimtestaat[[#This Row],[Frequentie werkdagen]]="","",_xlfn.CONCAT(Ruimtestaat[[#This Row],[Ruimte code]],"-",Ruimtestaat[[#This Row],[Frequentie werkdagen]]," ",Ruimtestaat[[#This Row],[Vloer code]]))</f>
        <v>5-5w S</v>
      </c>
      <c r="AJ297" s="300" t="str">
        <f>_xlfn.IFNA(VLOOKUP($AI297,Programma!$F$3:$G$1107,2,0),"")</f>
        <v>_</v>
      </c>
      <c r="AK297" s="300" t="str">
        <f>_xlfn.IFNA(VLOOKUP($AI297,Programma!$F$3:$H$1107,3,0),"")</f>
        <v>_</v>
      </c>
      <c r="AL297" s="300" t="str">
        <f>_xlfn.IFNA(VLOOKUP($AI297,Programma!$F$3:$I$1107,4,0),"")</f>
        <v>_</v>
      </c>
      <c r="AM297" s="300" t="str">
        <f>_xlfn.IFNA(VLOOKUP($AI297,Programma!$F$3:$J$1107,5,0),"")</f>
        <v>4w</v>
      </c>
      <c r="AN297" s="300" t="str">
        <f>_xlfn.IFNA(VLOOKUP($AI297,Programma!$F$3:$K$1107,6,0),"")</f>
        <v>1w</v>
      </c>
      <c r="AO297" s="300" t="str">
        <f>_xlfn.IFNA(VLOOKUP($AI297,Programma!$F$3:$L$1107,7,0),"")</f>
        <v>_</v>
      </c>
      <c r="AP297" s="300" t="str">
        <f>_xlfn.IFNA(VLOOKUP($AI297,Programma!$F$3:$M$1107,8,0),"")</f>
        <v>_</v>
      </c>
      <c r="AQ297" s="300" t="str">
        <f>_xlfn.IFNA(VLOOKUP($AI297,Programma!$F$3:$N$1107,9,0),"")</f>
        <v>_</v>
      </c>
      <c r="AR297" s="300" t="str">
        <f>_xlfn.IFNA(VLOOKUP($AI297,Programma!$F$3:$O$1107,10,0),"")</f>
        <v>_</v>
      </c>
      <c r="AS297" s="300" t="str">
        <f>_xlfn.IFNA(VLOOKUP($AI297,Programma!$F$3:$P$1107,11,0),"")</f>
        <v>_</v>
      </c>
      <c r="AT297" s="300" t="str">
        <f>_xlfn.IFNA(VLOOKUP($AI297,Programma!$F$3:$Q$1107,12,0),"")</f>
        <v>_</v>
      </c>
      <c r="AU297" s="300" t="str">
        <f>_xlfn.IFNA(VLOOKUP($AI297,Programma!$F$3:$R$1107,13,0),"")</f>
        <v>_</v>
      </c>
      <c r="AV297" s="300" t="str">
        <f>_xlfn.IFNA(VLOOKUP($AI297,Programma!$F$3:$S$1107,14,0),"")</f>
        <v>_</v>
      </c>
      <c r="AW297" s="300" t="str">
        <f>_xlfn.IFNA(VLOOKUP($AI297,Programma!$F$3:$T$1107,15,0),"")</f>
        <v>_</v>
      </c>
      <c r="AX297" s="300" t="str">
        <f>_xlfn.IFNA(VLOOKUP($AI297,Programma!$F$3:$U$1107,16,0),"")</f>
        <v>_</v>
      </c>
      <c r="AY297" s="300" t="str">
        <f>_xlfn.IFNA(VLOOKUP($AI297,Programma!$F$3:$V$1107,17,0),"")</f>
        <v>_</v>
      </c>
      <c r="AZ297" s="300" t="str">
        <f>_xlfn.IFNA(VLOOKUP($AI297,Programma!$F$3:$W$1107,18,0),"")</f>
        <v>4w</v>
      </c>
      <c r="BA297" s="300" t="str">
        <f>_xlfn.IFNA(VLOOKUP($AI297,Programma!$F$3:$X$1107,19,0),"")</f>
        <v>1w</v>
      </c>
      <c r="BB297" s="300" t="str">
        <f>_xlfn.IFNA(VLOOKUP($AI297,Programma!$F$3:$Y$1107,20,0),"")</f>
        <v>_</v>
      </c>
      <c r="BC297" s="257"/>
      <c r="BD297" s="256" t="str">
        <f>IF(Ruimtestaat[[#This Row],[Frequentie weekend]]="","",_xlfn.CONCAT(Ruimtestaat[[#This Row],[Ruimte code]],"-",Ruimtestaat[[#This Row],[Frequentie weekend]]," ",Ruimtestaat[[#This Row],[Vloer code]]))</f>
        <v/>
      </c>
      <c r="BE297" s="300" t="str">
        <f>_xlfn.IFNA(VLOOKUP($BD297,Programma!$F$3:$G$1107,2,0),"")</f>
        <v/>
      </c>
      <c r="BF297" s="300" t="str">
        <f>_xlfn.IFNA(VLOOKUP($BD297,Programma!$F$3:$H$1107,3,0),"")</f>
        <v/>
      </c>
      <c r="BG297" s="300" t="str">
        <f>_xlfn.IFNA(VLOOKUP($BD297,Programma!$F$3:$I$1107,4,0),"")</f>
        <v/>
      </c>
      <c r="BH297" s="300" t="str">
        <f>_xlfn.IFNA(VLOOKUP($BD297,Programma!$F$3:$J$1107,5,0),"")</f>
        <v/>
      </c>
      <c r="BI297" s="300" t="str">
        <f>_xlfn.IFNA(VLOOKUP($BD297,Programma!$F$3:$K$1107,6,0),"")</f>
        <v/>
      </c>
      <c r="BJ297" s="300" t="str">
        <f>_xlfn.IFNA(VLOOKUP($BD297,Programma!$F$3:$L$1107,7,0),"")</f>
        <v/>
      </c>
      <c r="BK297" s="300" t="str">
        <f>_xlfn.IFNA(VLOOKUP($BD297,Programma!$F$3:$M$1107,8,0),"")</f>
        <v/>
      </c>
      <c r="BL297" s="300" t="str">
        <f>_xlfn.IFNA(VLOOKUP($BD297,Programma!$F$3:$N$1107,9,0),"")</f>
        <v/>
      </c>
      <c r="BM297" s="300" t="str">
        <f>_xlfn.IFNA(VLOOKUP($BD297,Programma!$F$3:$O$1107,10,0),"")</f>
        <v/>
      </c>
      <c r="BN297" s="300" t="str">
        <f>_xlfn.IFNA(VLOOKUP($BD297,Programma!$F$3:$P$1107,11,0),"")</f>
        <v/>
      </c>
      <c r="BO297" s="300" t="str">
        <f>_xlfn.IFNA(VLOOKUP($BD297,Programma!$F$3:$Q$1107,12,0),"")</f>
        <v/>
      </c>
      <c r="BP297" s="300" t="str">
        <f>_xlfn.IFNA(VLOOKUP($BD297,Programma!$F$3:$R$1107,13,0),"")</f>
        <v/>
      </c>
      <c r="BQ297" s="300" t="str">
        <f>_xlfn.IFNA(VLOOKUP($BD297,Programma!$F$3:$S$1107,14,0),"")</f>
        <v/>
      </c>
      <c r="BR297" s="300" t="str">
        <f>_xlfn.IFNA(VLOOKUP($BD297,Programma!$F$3:$T$1107,15,0),"")</f>
        <v/>
      </c>
      <c r="BS297" s="300" t="str">
        <f>_xlfn.IFNA(VLOOKUP($BD297,Programma!$F$3:$U$1107,16,0),"")</f>
        <v/>
      </c>
      <c r="BT297" s="300" t="str">
        <f>_xlfn.IFNA(VLOOKUP($BD297,Programma!$F$3:$V$1107,17,0),"")</f>
        <v/>
      </c>
      <c r="BU297" s="300" t="str">
        <f>_xlfn.IFNA(VLOOKUP($BD297,Programma!$F$3:$W$1107,18,0),"")</f>
        <v/>
      </c>
      <c r="BV297" s="300" t="str">
        <f>_xlfn.IFNA(VLOOKUP($BD297,Programma!$F$3:$X$1107,19,0),"")</f>
        <v/>
      </c>
      <c r="BW297" s="300" t="str">
        <f>_xlfn.IFNA(VLOOKUP($BD297,Programma!$F$3:$Y$1107,20,0),"")</f>
        <v/>
      </c>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row>
    <row r="298" spans="1:220" ht="15" customHeight="1">
      <c r="A298" s="21">
        <v>4</v>
      </c>
      <c r="B298" s="157" t="str">
        <f>VLOOKUP(Ruimtestaat[[#This Row],[Code]],Locaties[[Code]:[Locatie]],2,FALSE)</f>
        <v>Sint-Maartenscollege</v>
      </c>
      <c r="C298" s="157" t="str">
        <f>VLOOKUP(Ruimtestaat[[#This Row],[Code]],Locaties[[#All],[Code]:[Adres]],4,FALSE)</f>
        <v xml:space="preserve">Aart v.d. Leeuwkade 14 </v>
      </c>
      <c r="D298" s="157" t="str">
        <f>VLOOKUP(Ruimtestaat[[#This Row],[Code]],Locaties[[#All],[Code]:[Postcode]],5,FALSE)</f>
        <v>2274 KX</v>
      </c>
      <c r="E298" s="157" t="str">
        <f>VLOOKUP(Ruimtestaat[[#This Row],[Code]],Locaties[#All],6,FALSE)</f>
        <v>Voorburg</v>
      </c>
      <c r="F298" s="62"/>
      <c r="G298" s="21" t="s">
        <v>1706</v>
      </c>
      <c r="H298" s="21" t="s">
        <v>1717</v>
      </c>
      <c r="I298" s="62" t="s">
        <v>1627</v>
      </c>
      <c r="J298" s="21">
        <v>5</v>
      </c>
      <c r="K298" s="62" t="str">
        <f>VLOOKUP(Ruimtestaat[[#This Row],[Ruimte code]],Ruimtegroepen[[#All],[Code]:[Ruimte omschrijving]],2,FALSE)</f>
        <v>Sanitair</v>
      </c>
      <c r="L298" s="33" t="s">
        <v>102</v>
      </c>
      <c r="M298" s="367" t="s">
        <v>2502</v>
      </c>
      <c r="N298" s="140">
        <v>1</v>
      </c>
      <c r="O298" s="140"/>
      <c r="P298" s="125" t="str">
        <f>VLOOKUP(Ruimtestaat[[#This Row],[Ruimte code]],Ruimtegroepen[],4,FALSE)</f>
        <v>Sa</v>
      </c>
      <c r="R298" s="33">
        <v>40</v>
      </c>
      <c r="S298" s="33" t="s">
        <v>2</v>
      </c>
      <c r="T298" s="33">
        <f>IF(R298&gt;0,IF(RIGHT(Ruimtestaat[[#This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8" s="33">
        <f>IF(T298&gt;0,VLOOKUP($J298,Ruimtegroepen[],3,FALSE)*VLOOKUP($L298,Vloersoorten[],3,FALSE)*VLOOKUP($S298,Frequenties[],3,FALSE)*VLOOKUP($A298,Locaties[],3,FALSE),0)</f>
        <v>0</v>
      </c>
      <c r="V298" s="33">
        <f>Ruimtestaat[[#This Row],[Uitvoeringen werkdagen]]*Ruimtestaat[[#This Row],[Oppervlak (netto)]]</f>
        <v>200</v>
      </c>
      <c r="W298" s="154">
        <f>IF(U298&gt;0,Ruimtestaat[[#This Row],[Prest. (m2 /jaar) werkdagen]]/Ruimtestaat[[#This Row],[Norm (m2/uur) werkdagen]],0)</f>
        <v>0</v>
      </c>
      <c r="X298" s="155">
        <f>Ruimtestaat[[#This Row],[uren / jaar werkdagen]]*Tariefsopbouw!$E$35</f>
        <v>0</v>
      </c>
      <c r="Y298" s="33"/>
      <c r="Z298" s="33">
        <f>IF(Ruimtestaat[[#This Row],[Frequentie weekend]]&gt;0,VALUE(LEFT(Y298,1))*R298,0)</f>
        <v>0</v>
      </c>
      <c r="AA298" s="97">
        <f>IF($Z298&gt;0,VLOOKUP($J298,Ruimtegroepen[],3,FALSE)*VLOOKUP($L298,Vloersoorten[],3,FALSE)*VLOOKUP($Y298,Frequenties[],3,FALSE)*VLOOKUP(Ruimtestaat[[#This Row],[Code]],Locaties[],3,FALSE),0)</f>
        <v>0</v>
      </c>
      <c r="AB298" s="97">
        <f>Ruimtestaat[[#This Row],[Uitvoeringen weekend]]*Ruimtestaat[[#This Row],[Oppervlak (netto)]]</f>
        <v>0</v>
      </c>
      <c r="AC298" s="97">
        <f>IF(AA298&gt;0,Ruimtestaat[[#This Row],[Prest. (m2 /jaar) weekend]]/Ruimtestaat[[#This Row],[Norm (m2/uur) weekend]],0)</f>
        <v>0</v>
      </c>
      <c r="AD298" s="155">
        <f>Ruimtestaat[[#This Row],[uren / jaar weekend]]*Tariefsopbouw!$D$40</f>
        <v>0</v>
      </c>
      <c r="AE298" s="154">
        <f>Ruimtestaat[[#This Row],[Prest. (m2 /jaar) weekend]]+Ruimtestaat[[#This Row],[Prest. (m2 /jaar) werkdagen]]</f>
        <v>200</v>
      </c>
      <c r="AF298" s="154">
        <f>Ruimtestaat[[#This Row],[uren / jaar weekend]]+Ruimtestaat[[#This Row],[uren / jaar werkdagen]]</f>
        <v>0</v>
      </c>
      <c r="AG298" s="69">
        <f>Ruimtestaat[[#This Row],[kosten / jaar weekend]]+Ruimtestaat[[#This Row],[kosten / jaar werkdagen]]</f>
        <v>0</v>
      </c>
      <c r="AH298" s="69"/>
      <c r="AI298" s="256" t="str">
        <f>IF(Ruimtestaat[[#This Row],[Frequentie werkdagen]]="","",_xlfn.CONCAT(Ruimtestaat[[#This Row],[Ruimte code]],"-",Ruimtestaat[[#This Row],[Frequentie werkdagen]]," ",Ruimtestaat[[#This Row],[Vloer code]]))</f>
        <v>5-5w S</v>
      </c>
      <c r="AJ298" s="300" t="str">
        <f>_xlfn.IFNA(VLOOKUP($AI298,Programma!$F$3:$G$1107,2,0),"")</f>
        <v>_</v>
      </c>
      <c r="AK298" s="300" t="str">
        <f>_xlfn.IFNA(VLOOKUP($AI298,Programma!$F$3:$H$1107,3,0),"")</f>
        <v>_</v>
      </c>
      <c r="AL298" s="300" t="str">
        <f>_xlfn.IFNA(VLOOKUP($AI298,Programma!$F$3:$I$1107,4,0),"")</f>
        <v>_</v>
      </c>
      <c r="AM298" s="300" t="str">
        <f>_xlfn.IFNA(VLOOKUP($AI298,Programma!$F$3:$J$1107,5,0),"")</f>
        <v>4w</v>
      </c>
      <c r="AN298" s="300" t="str">
        <f>_xlfn.IFNA(VLOOKUP($AI298,Programma!$F$3:$K$1107,6,0),"")</f>
        <v>1w</v>
      </c>
      <c r="AO298" s="300" t="str">
        <f>_xlfn.IFNA(VLOOKUP($AI298,Programma!$F$3:$L$1107,7,0),"")</f>
        <v>_</v>
      </c>
      <c r="AP298" s="300" t="str">
        <f>_xlfn.IFNA(VLOOKUP($AI298,Programma!$F$3:$M$1107,8,0),"")</f>
        <v>_</v>
      </c>
      <c r="AQ298" s="300" t="str">
        <f>_xlfn.IFNA(VLOOKUP($AI298,Programma!$F$3:$N$1107,9,0),"")</f>
        <v>_</v>
      </c>
      <c r="AR298" s="300" t="str">
        <f>_xlfn.IFNA(VLOOKUP($AI298,Programma!$F$3:$O$1107,10,0),"")</f>
        <v>_</v>
      </c>
      <c r="AS298" s="300" t="str">
        <f>_xlfn.IFNA(VLOOKUP($AI298,Programma!$F$3:$P$1107,11,0),"")</f>
        <v>_</v>
      </c>
      <c r="AT298" s="300" t="str">
        <f>_xlfn.IFNA(VLOOKUP($AI298,Programma!$F$3:$Q$1107,12,0),"")</f>
        <v>_</v>
      </c>
      <c r="AU298" s="300" t="str">
        <f>_xlfn.IFNA(VLOOKUP($AI298,Programma!$F$3:$R$1107,13,0),"")</f>
        <v>_</v>
      </c>
      <c r="AV298" s="300" t="str">
        <f>_xlfn.IFNA(VLOOKUP($AI298,Programma!$F$3:$S$1107,14,0),"")</f>
        <v>_</v>
      </c>
      <c r="AW298" s="300" t="str">
        <f>_xlfn.IFNA(VLOOKUP($AI298,Programma!$F$3:$T$1107,15,0),"")</f>
        <v>_</v>
      </c>
      <c r="AX298" s="300" t="str">
        <f>_xlfn.IFNA(VLOOKUP($AI298,Programma!$F$3:$U$1107,16,0),"")</f>
        <v>_</v>
      </c>
      <c r="AY298" s="300" t="str">
        <f>_xlfn.IFNA(VLOOKUP($AI298,Programma!$F$3:$V$1107,17,0),"")</f>
        <v>_</v>
      </c>
      <c r="AZ298" s="300" t="str">
        <f>_xlfn.IFNA(VLOOKUP($AI298,Programma!$F$3:$W$1107,18,0),"")</f>
        <v>4w</v>
      </c>
      <c r="BA298" s="300" t="str">
        <f>_xlfn.IFNA(VLOOKUP($AI298,Programma!$F$3:$X$1107,19,0),"")</f>
        <v>1w</v>
      </c>
      <c r="BB298" s="300" t="str">
        <f>_xlfn.IFNA(VLOOKUP($AI298,Programma!$F$3:$Y$1107,20,0),"")</f>
        <v>_</v>
      </c>
      <c r="BC298" s="257"/>
      <c r="BD298" s="256" t="str">
        <f>IF(Ruimtestaat[[#This Row],[Frequentie weekend]]="","",_xlfn.CONCAT(Ruimtestaat[[#This Row],[Ruimte code]],"-",Ruimtestaat[[#This Row],[Frequentie weekend]]," ",Ruimtestaat[[#This Row],[Vloer code]]))</f>
        <v/>
      </c>
      <c r="BE298" s="300" t="str">
        <f>_xlfn.IFNA(VLOOKUP($BD298,Programma!$F$3:$G$1107,2,0),"")</f>
        <v/>
      </c>
      <c r="BF298" s="300" t="str">
        <f>_xlfn.IFNA(VLOOKUP($BD298,Programma!$F$3:$H$1107,3,0),"")</f>
        <v/>
      </c>
      <c r="BG298" s="300" t="str">
        <f>_xlfn.IFNA(VLOOKUP($BD298,Programma!$F$3:$I$1107,4,0),"")</f>
        <v/>
      </c>
      <c r="BH298" s="300" t="str">
        <f>_xlfn.IFNA(VLOOKUP($BD298,Programma!$F$3:$J$1107,5,0),"")</f>
        <v/>
      </c>
      <c r="BI298" s="300" t="str">
        <f>_xlfn.IFNA(VLOOKUP($BD298,Programma!$F$3:$K$1107,6,0),"")</f>
        <v/>
      </c>
      <c r="BJ298" s="300" t="str">
        <f>_xlfn.IFNA(VLOOKUP($BD298,Programma!$F$3:$L$1107,7,0),"")</f>
        <v/>
      </c>
      <c r="BK298" s="300" t="str">
        <f>_xlfn.IFNA(VLOOKUP($BD298,Programma!$F$3:$M$1107,8,0),"")</f>
        <v/>
      </c>
      <c r="BL298" s="300" t="str">
        <f>_xlfn.IFNA(VLOOKUP($BD298,Programma!$F$3:$N$1107,9,0),"")</f>
        <v/>
      </c>
      <c r="BM298" s="300" t="str">
        <f>_xlfn.IFNA(VLOOKUP($BD298,Programma!$F$3:$O$1107,10,0),"")</f>
        <v/>
      </c>
      <c r="BN298" s="300" t="str">
        <f>_xlfn.IFNA(VLOOKUP($BD298,Programma!$F$3:$P$1107,11,0),"")</f>
        <v/>
      </c>
      <c r="BO298" s="300" t="str">
        <f>_xlfn.IFNA(VLOOKUP($BD298,Programma!$F$3:$Q$1107,12,0),"")</f>
        <v/>
      </c>
      <c r="BP298" s="300" t="str">
        <f>_xlfn.IFNA(VLOOKUP($BD298,Programma!$F$3:$R$1107,13,0),"")</f>
        <v/>
      </c>
      <c r="BQ298" s="300" t="str">
        <f>_xlfn.IFNA(VLOOKUP($BD298,Programma!$F$3:$S$1107,14,0),"")</f>
        <v/>
      </c>
      <c r="BR298" s="300" t="str">
        <f>_xlfn.IFNA(VLOOKUP($BD298,Programma!$F$3:$T$1107,15,0),"")</f>
        <v/>
      </c>
      <c r="BS298" s="300" t="str">
        <f>_xlfn.IFNA(VLOOKUP($BD298,Programma!$F$3:$U$1107,16,0),"")</f>
        <v/>
      </c>
      <c r="BT298" s="300" t="str">
        <f>_xlfn.IFNA(VLOOKUP($BD298,Programma!$F$3:$V$1107,17,0),"")</f>
        <v/>
      </c>
      <c r="BU298" s="300" t="str">
        <f>_xlfn.IFNA(VLOOKUP($BD298,Programma!$F$3:$W$1107,18,0),"")</f>
        <v/>
      </c>
      <c r="BV298" s="300" t="str">
        <f>_xlfn.IFNA(VLOOKUP($BD298,Programma!$F$3:$X$1107,19,0),"")</f>
        <v/>
      </c>
      <c r="BW298" s="300" t="str">
        <f>_xlfn.IFNA(VLOOKUP($BD298,Programma!$F$3:$Y$1107,20,0),"")</f>
        <v/>
      </c>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row>
    <row r="299" spans="1:220" ht="15" customHeight="1">
      <c r="A299" s="21">
        <v>4</v>
      </c>
      <c r="B299" s="157" t="str">
        <f>VLOOKUP(Ruimtestaat[[#This Row],[Code]],Locaties[[Code]:[Locatie]],2,FALSE)</f>
        <v>Sint-Maartenscollege</v>
      </c>
      <c r="C299" s="157" t="str">
        <f>VLOOKUP(Ruimtestaat[[#This Row],[Code]],Locaties[[#All],[Code]:[Adres]],4,FALSE)</f>
        <v xml:space="preserve">Aart v.d. Leeuwkade 14 </v>
      </c>
      <c r="D299" s="157" t="str">
        <f>VLOOKUP(Ruimtestaat[[#This Row],[Code]],Locaties[[#All],[Code]:[Postcode]],5,FALSE)</f>
        <v>2274 KX</v>
      </c>
      <c r="E299" s="157" t="str">
        <f>VLOOKUP(Ruimtestaat[[#This Row],[Code]],Locaties[#All],6,FALSE)</f>
        <v>Voorburg</v>
      </c>
      <c r="F299" s="62"/>
      <c r="G299" s="21" t="s">
        <v>1706</v>
      </c>
      <c r="H299" s="21" t="s">
        <v>1718</v>
      </c>
      <c r="I299" s="62" t="s">
        <v>1631</v>
      </c>
      <c r="J299" s="21">
        <v>2</v>
      </c>
      <c r="K299" s="62" t="str">
        <f>VLOOKUP(Ruimtestaat[[#This Row],[Ruimte code]],Ruimtegroepen[[#All],[Code]:[Ruimte omschrijving]],2,FALSE)</f>
        <v>Kantoren</v>
      </c>
      <c r="L299" s="33" t="s">
        <v>101</v>
      </c>
      <c r="M299" s="367" t="s">
        <v>2495</v>
      </c>
      <c r="N299" s="140">
        <v>12</v>
      </c>
      <c r="O299" s="140"/>
      <c r="P299" s="125" t="str">
        <f>VLOOKUP(Ruimtestaat[[#This Row],[Ruimte code]],Ruimtegroepen[],4,FALSE)</f>
        <v>Bu</v>
      </c>
      <c r="R299" s="33">
        <v>42</v>
      </c>
      <c r="S299" s="33" t="s">
        <v>18</v>
      </c>
      <c r="T299" s="33">
        <f>IF(R299&gt;0,IF(RIGHT(Ruimtestaat[[#This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99" s="33">
        <f>IF(T299&gt;0,VLOOKUP($J299,Ruimtegroepen[],3,FALSE)*VLOOKUP($L299,Vloersoorten[],3,FALSE)*VLOOKUP($S299,Frequenties[],3,FALSE)*VLOOKUP($A299,Locaties[],3,FALSE),0)</f>
        <v>0</v>
      </c>
      <c r="V299" s="33">
        <f>Ruimtestaat[[#This Row],[Uitvoeringen werkdagen]]*Ruimtestaat[[#This Row],[Oppervlak (netto)]]</f>
        <v>1512</v>
      </c>
      <c r="W299" s="154">
        <f>IF(U299&gt;0,Ruimtestaat[[#This Row],[Prest. (m2 /jaar) werkdagen]]/Ruimtestaat[[#This Row],[Norm (m2/uur) werkdagen]],0)</f>
        <v>0</v>
      </c>
      <c r="X299" s="155">
        <f>Ruimtestaat[[#This Row],[uren / jaar werkdagen]]*Tariefsopbouw!$E$35</f>
        <v>0</v>
      </c>
      <c r="Y299" s="33"/>
      <c r="Z299" s="33">
        <f>IF(Ruimtestaat[[#This Row],[Frequentie weekend]]&gt;0,VALUE(LEFT(Y299,1))*R299,0)</f>
        <v>0</v>
      </c>
      <c r="AA299" s="97">
        <f>IF($Z299&gt;0,VLOOKUP($J299,Ruimtegroepen[],3,FALSE)*VLOOKUP($L299,Vloersoorten[],3,FALSE)*VLOOKUP($Y299,Frequenties[],3,FALSE)*VLOOKUP(Ruimtestaat[[#This Row],[Code]],Locaties[],3,FALSE),0)</f>
        <v>0</v>
      </c>
      <c r="AB299" s="97">
        <f>Ruimtestaat[[#This Row],[Uitvoeringen weekend]]*Ruimtestaat[[#This Row],[Oppervlak (netto)]]</f>
        <v>0</v>
      </c>
      <c r="AC299" s="97">
        <f>IF(AA299&gt;0,Ruimtestaat[[#This Row],[Prest. (m2 /jaar) weekend]]/Ruimtestaat[[#This Row],[Norm (m2/uur) weekend]],0)</f>
        <v>0</v>
      </c>
      <c r="AD299" s="155">
        <f>Ruimtestaat[[#This Row],[uren / jaar weekend]]*Tariefsopbouw!$D$40</f>
        <v>0</v>
      </c>
      <c r="AE299" s="154">
        <f>Ruimtestaat[[#This Row],[Prest. (m2 /jaar) weekend]]+Ruimtestaat[[#This Row],[Prest. (m2 /jaar) werkdagen]]</f>
        <v>1512</v>
      </c>
      <c r="AF299" s="154">
        <f>Ruimtestaat[[#This Row],[uren / jaar weekend]]+Ruimtestaat[[#This Row],[uren / jaar werkdagen]]</f>
        <v>0</v>
      </c>
      <c r="AG299" s="69">
        <f>Ruimtestaat[[#This Row],[kosten / jaar weekend]]+Ruimtestaat[[#This Row],[kosten / jaar werkdagen]]</f>
        <v>0</v>
      </c>
      <c r="AH299" s="69"/>
      <c r="AI299" s="256" t="str">
        <f>IF(Ruimtestaat[[#This Row],[Frequentie werkdagen]]="","",_xlfn.CONCAT(Ruimtestaat[[#This Row],[Ruimte code]],"-",Ruimtestaat[[#This Row],[Frequentie werkdagen]]," ",Ruimtestaat[[#This Row],[Vloer code]]))</f>
        <v>2-3w L</v>
      </c>
      <c r="AJ299" s="300" t="str">
        <f>_xlfn.IFNA(VLOOKUP($AI299,Programma!$F$3:$G$1107,2,0),"")</f>
        <v>_</v>
      </c>
      <c r="AK299" s="300" t="str">
        <f>_xlfn.IFNA(VLOOKUP($AI299,Programma!$F$3:$H$1107,3,0),"")</f>
        <v>_</v>
      </c>
      <c r="AL299" s="300" t="str">
        <f>_xlfn.IFNA(VLOOKUP($AI299,Programma!$F$3:$I$1107,4,0),"")</f>
        <v>2w</v>
      </c>
      <c r="AM299" s="300" t="str">
        <f>_xlfn.IFNA(VLOOKUP($AI299,Programma!$F$3:$J$1107,5,0),"")</f>
        <v>1w</v>
      </c>
      <c r="AN299" s="300" t="str">
        <f>_xlfn.IFNA(VLOOKUP($AI299,Programma!$F$3:$K$1107,6,0),"")</f>
        <v>_</v>
      </c>
      <c r="AO299" s="300" t="str">
        <f>_xlfn.IFNA(VLOOKUP($AI299,Programma!$F$3:$L$1107,7,0),"")</f>
        <v>_</v>
      </c>
      <c r="AP299" s="300" t="str">
        <f>_xlfn.IFNA(VLOOKUP($AI299,Programma!$F$3:$M$1107,8,0),"")</f>
        <v>_</v>
      </c>
      <c r="AQ299" s="300" t="str">
        <f>_xlfn.IFNA(VLOOKUP($AI299,Programma!$F$3:$N$1107,9,0),"")</f>
        <v>_</v>
      </c>
      <c r="AR299" s="300" t="str">
        <f>_xlfn.IFNA(VLOOKUP($AI299,Programma!$F$3:$O$1107,10,0),"")</f>
        <v>3w</v>
      </c>
      <c r="AS299" s="300" t="str">
        <f>_xlfn.IFNA(VLOOKUP($AI299,Programma!$F$3:$P$1107,11,0),"")</f>
        <v>3w</v>
      </c>
      <c r="AT299" s="300" t="str">
        <f>_xlfn.IFNA(VLOOKUP($AI299,Programma!$F$3:$Q$1107,12,0),"")</f>
        <v>1w</v>
      </c>
      <c r="AU299" s="300" t="str">
        <f>_xlfn.IFNA(VLOOKUP($AI299,Programma!$F$3:$R$1107,13,0),"")</f>
        <v>1w</v>
      </c>
      <c r="AV299" s="300" t="str">
        <f>_xlfn.IFNA(VLOOKUP($AI299,Programma!$F$3:$S$1107,14,0),"")</f>
        <v>1m</v>
      </c>
      <c r="AW299" s="300" t="str">
        <f>_xlfn.IFNA(VLOOKUP($AI299,Programma!$F$3:$T$1107,15,0),"")</f>
        <v>2j</v>
      </c>
      <c r="AX299" s="300" t="str">
        <f>_xlfn.IFNA(VLOOKUP($AI299,Programma!$F$3:$U$1107,16,0),"")</f>
        <v>1j</v>
      </c>
      <c r="AY299" s="300" t="str">
        <f>_xlfn.IFNA(VLOOKUP($AI299,Programma!$F$3:$V$1107,17,0),"")</f>
        <v>_</v>
      </c>
      <c r="AZ299" s="300" t="str">
        <f>_xlfn.IFNA(VLOOKUP($AI299,Programma!$F$3:$W$1107,18,0),"")</f>
        <v>_</v>
      </c>
      <c r="BA299" s="300" t="str">
        <f>_xlfn.IFNA(VLOOKUP($AI299,Programma!$F$3:$X$1107,19,0),"")</f>
        <v>_</v>
      </c>
      <c r="BB299" s="300" t="str">
        <f>_xlfn.IFNA(VLOOKUP($AI299,Programma!$F$3:$Y$1107,20,0),"")</f>
        <v>_</v>
      </c>
      <c r="BC299" s="257"/>
      <c r="BD299" s="256" t="str">
        <f>IF(Ruimtestaat[[#This Row],[Frequentie weekend]]="","",_xlfn.CONCAT(Ruimtestaat[[#This Row],[Ruimte code]],"-",Ruimtestaat[[#This Row],[Frequentie weekend]]," ",Ruimtestaat[[#This Row],[Vloer code]]))</f>
        <v/>
      </c>
      <c r="BE299" s="300" t="str">
        <f>_xlfn.IFNA(VLOOKUP($BD299,Programma!$F$3:$G$1107,2,0),"")</f>
        <v/>
      </c>
      <c r="BF299" s="300" t="str">
        <f>_xlfn.IFNA(VLOOKUP($BD299,Programma!$F$3:$H$1107,3,0),"")</f>
        <v/>
      </c>
      <c r="BG299" s="300" t="str">
        <f>_xlfn.IFNA(VLOOKUP($BD299,Programma!$F$3:$I$1107,4,0),"")</f>
        <v/>
      </c>
      <c r="BH299" s="300" t="str">
        <f>_xlfn.IFNA(VLOOKUP($BD299,Programma!$F$3:$J$1107,5,0),"")</f>
        <v/>
      </c>
      <c r="BI299" s="300" t="str">
        <f>_xlfn.IFNA(VLOOKUP($BD299,Programma!$F$3:$K$1107,6,0),"")</f>
        <v/>
      </c>
      <c r="BJ299" s="300" t="str">
        <f>_xlfn.IFNA(VLOOKUP($BD299,Programma!$F$3:$L$1107,7,0),"")</f>
        <v/>
      </c>
      <c r="BK299" s="300" t="str">
        <f>_xlfn.IFNA(VLOOKUP($BD299,Programma!$F$3:$M$1107,8,0),"")</f>
        <v/>
      </c>
      <c r="BL299" s="300" t="str">
        <f>_xlfn.IFNA(VLOOKUP($BD299,Programma!$F$3:$N$1107,9,0),"")</f>
        <v/>
      </c>
      <c r="BM299" s="300" t="str">
        <f>_xlfn.IFNA(VLOOKUP($BD299,Programma!$F$3:$O$1107,10,0),"")</f>
        <v/>
      </c>
      <c r="BN299" s="300" t="str">
        <f>_xlfn.IFNA(VLOOKUP($BD299,Programma!$F$3:$P$1107,11,0),"")</f>
        <v/>
      </c>
      <c r="BO299" s="300" t="str">
        <f>_xlfn.IFNA(VLOOKUP($BD299,Programma!$F$3:$Q$1107,12,0),"")</f>
        <v/>
      </c>
      <c r="BP299" s="300" t="str">
        <f>_xlfn.IFNA(VLOOKUP($BD299,Programma!$F$3:$R$1107,13,0),"")</f>
        <v/>
      </c>
      <c r="BQ299" s="300" t="str">
        <f>_xlfn.IFNA(VLOOKUP($BD299,Programma!$F$3:$S$1107,14,0),"")</f>
        <v/>
      </c>
      <c r="BR299" s="300" t="str">
        <f>_xlfn.IFNA(VLOOKUP($BD299,Programma!$F$3:$T$1107,15,0),"")</f>
        <v/>
      </c>
      <c r="BS299" s="300" t="str">
        <f>_xlfn.IFNA(VLOOKUP($BD299,Programma!$F$3:$U$1107,16,0),"")</f>
        <v/>
      </c>
      <c r="BT299" s="300" t="str">
        <f>_xlfn.IFNA(VLOOKUP($BD299,Programma!$F$3:$V$1107,17,0),"")</f>
        <v/>
      </c>
      <c r="BU299" s="300" t="str">
        <f>_xlfn.IFNA(VLOOKUP($BD299,Programma!$F$3:$W$1107,18,0),"")</f>
        <v/>
      </c>
      <c r="BV299" s="300" t="str">
        <f>_xlfn.IFNA(VLOOKUP($BD299,Programma!$F$3:$X$1107,19,0),"")</f>
        <v/>
      </c>
      <c r="BW299" s="300" t="str">
        <f>_xlfn.IFNA(VLOOKUP($BD299,Programma!$F$3:$Y$1107,20,0),"")</f>
        <v/>
      </c>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row>
    <row r="300" spans="1:220" ht="15" customHeight="1">
      <c r="A300" s="21">
        <v>4</v>
      </c>
      <c r="B300" s="157" t="str">
        <f>VLOOKUP(Ruimtestaat[[#This Row],[Code]],Locaties[[Code]:[Locatie]],2,FALSE)</f>
        <v>Sint-Maartenscollege</v>
      </c>
      <c r="C300" s="157" t="str">
        <f>VLOOKUP(Ruimtestaat[[#This Row],[Code]],Locaties[[#All],[Code]:[Adres]],4,FALSE)</f>
        <v xml:space="preserve">Aart v.d. Leeuwkade 14 </v>
      </c>
      <c r="D300" s="157" t="str">
        <f>VLOOKUP(Ruimtestaat[[#This Row],[Code]],Locaties[[#All],[Code]:[Postcode]],5,FALSE)</f>
        <v>2274 KX</v>
      </c>
      <c r="E300" s="157" t="str">
        <f>VLOOKUP(Ruimtestaat[[#This Row],[Code]],Locaties[#All],6,FALSE)</f>
        <v>Voorburg</v>
      </c>
      <c r="F300" s="62"/>
      <c r="G300" s="21" t="s">
        <v>1706</v>
      </c>
      <c r="H300" s="21" t="s">
        <v>1720</v>
      </c>
      <c r="I300" s="62" t="s">
        <v>1625</v>
      </c>
      <c r="J300" s="21">
        <v>6</v>
      </c>
      <c r="K300" s="62" t="str">
        <f>VLOOKUP(Ruimtestaat[[#This Row],[Ruimte code]],Ruimtegroepen[[#All],[Code]:[Ruimte omschrijving]],2,FALSE)</f>
        <v>Gangen/hallen</v>
      </c>
      <c r="L300" s="33" t="s">
        <v>101</v>
      </c>
      <c r="M300" s="367" t="s">
        <v>2495</v>
      </c>
      <c r="N300" s="140">
        <v>15</v>
      </c>
      <c r="O300" s="140"/>
      <c r="P300" s="125" t="str">
        <f>VLOOKUP(Ruimtestaat[[#This Row],[Ruimte code]],Ruimtegroepen[],4,FALSE)</f>
        <v>Ve</v>
      </c>
      <c r="R300" s="33">
        <v>40</v>
      </c>
      <c r="S300" s="33" t="s">
        <v>2</v>
      </c>
      <c r="T300" s="33">
        <f>IF(R300&gt;0,IF(RIGHT(Ruimtestaat[[#This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0" s="33">
        <f>IF(T300&gt;0,VLOOKUP($J300,Ruimtegroepen[],3,FALSE)*VLOOKUP($L300,Vloersoorten[],3,FALSE)*VLOOKUP($S300,Frequenties[],3,FALSE)*VLOOKUP($A300,Locaties[],3,FALSE),0)</f>
        <v>0</v>
      </c>
      <c r="V300" s="33">
        <f>Ruimtestaat[[#This Row],[Uitvoeringen werkdagen]]*Ruimtestaat[[#This Row],[Oppervlak (netto)]]</f>
        <v>3000</v>
      </c>
      <c r="W300" s="154">
        <f>IF(U300&gt;0,Ruimtestaat[[#This Row],[Prest. (m2 /jaar) werkdagen]]/Ruimtestaat[[#This Row],[Norm (m2/uur) werkdagen]],0)</f>
        <v>0</v>
      </c>
      <c r="X300" s="155">
        <f>Ruimtestaat[[#This Row],[uren / jaar werkdagen]]*Tariefsopbouw!$E$35</f>
        <v>0</v>
      </c>
      <c r="Y300" s="33"/>
      <c r="Z300" s="33">
        <f>IF(Ruimtestaat[[#This Row],[Frequentie weekend]]&gt;0,VALUE(LEFT(Y300,1))*R300,0)</f>
        <v>0</v>
      </c>
      <c r="AA300" s="97">
        <f>IF($Z300&gt;0,VLOOKUP($J300,Ruimtegroepen[],3,FALSE)*VLOOKUP($L300,Vloersoorten[],3,FALSE)*VLOOKUP($Y300,Frequenties[],3,FALSE)*VLOOKUP(Ruimtestaat[[#This Row],[Code]],Locaties[],3,FALSE),0)</f>
        <v>0</v>
      </c>
      <c r="AB300" s="97">
        <f>Ruimtestaat[[#This Row],[Uitvoeringen weekend]]*Ruimtestaat[[#This Row],[Oppervlak (netto)]]</f>
        <v>0</v>
      </c>
      <c r="AC300" s="97">
        <f>IF(AA300&gt;0,Ruimtestaat[[#This Row],[Prest. (m2 /jaar) weekend]]/Ruimtestaat[[#This Row],[Norm (m2/uur) weekend]],0)</f>
        <v>0</v>
      </c>
      <c r="AD300" s="155">
        <f>Ruimtestaat[[#This Row],[uren / jaar weekend]]*Tariefsopbouw!$D$40</f>
        <v>0</v>
      </c>
      <c r="AE300" s="154">
        <f>Ruimtestaat[[#This Row],[Prest. (m2 /jaar) weekend]]+Ruimtestaat[[#This Row],[Prest. (m2 /jaar) werkdagen]]</f>
        <v>3000</v>
      </c>
      <c r="AF300" s="154">
        <f>Ruimtestaat[[#This Row],[uren / jaar weekend]]+Ruimtestaat[[#This Row],[uren / jaar werkdagen]]</f>
        <v>0</v>
      </c>
      <c r="AG300" s="69">
        <f>Ruimtestaat[[#This Row],[kosten / jaar weekend]]+Ruimtestaat[[#This Row],[kosten / jaar werkdagen]]</f>
        <v>0</v>
      </c>
      <c r="AH300" s="69"/>
      <c r="AI300" s="256" t="str">
        <f>IF(Ruimtestaat[[#This Row],[Frequentie werkdagen]]="","",_xlfn.CONCAT(Ruimtestaat[[#This Row],[Ruimte code]],"-",Ruimtestaat[[#This Row],[Frequentie werkdagen]]," ",Ruimtestaat[[#This Row],[Vloer code]]))</f>
        <v>6-5w L</v>
      </c>
      <c r="AJ300" s="300" t="str">
        <f>_xlfn.IFNA(VLOOKUP($AI300,Programma!$F$3:$G$1107,2,0),"")</f>
        <v>_</v>
      </c>
      <c r="AK300" s="300" t="str">
        <f>_xlfn.IFNA(VLOOKUP($AI300,Programma!$F$3:$H$1107,3,0),"")</f>
        <v>_</v>
      </c>
      <c r="AL300" s="300" t="str">
        <f>_xlfn.IFNA(VLOOKUP($AI300,Programma!$F$3:$I$1107,4,0),"")</f>
        <v>_</v>
      </c>
      <c r="AM300" s="300" t="str">
        <f>_xlfn.IFNA(VLOOKUP($AI300,Programma!$F$3:$J$1107,5,0),"")</f>
        <v>5w</v>
      </c>
      <c r="AN300" s="300" t="str">
        <f>_xlfn.IFNA(VLOOKUP($AI300,Programma!$F$3:$K$1107,6,0),"")</f>
        <v>_</v>
      </c>
      <c r="AO300" s="300" t="str">
        <f>_xlfn.IFNA(VLOOKUP($AI300,Programma!$F$3:$L$1107,7,0),"")</f>
        <v>_</v>
      </c>
      <c r="AP300" s="300" t="str">
        <f>_xlfn.IFNA(VLOOKUP($AI300,Programma!$F$3:$M$1107,8,0),"")</f>
        <v>_</v>
      </c>
      <c r="AQ300" s="300" t="str">
        <f>_xlfn.IFNA(VLOOKUP($AI300,Programma!$F$3:$N$1107,9,0),"")</f>
        <v>_</v>
      </c>
      <c r="AR300" s="300" t="str">
        <f>_xlfn.IFNA(VLOOKUP($AI300,Programma!$F$3:$O$1107,10,0),"")</f>
        <v>5w</v>
      </c>
      <c r="AS300" s="300" t="str">
        <f>_xlfn.IFNA(VLOOKUP($AI300,Programma!$F$3:$P$1107,11,0),"")</f>
        <v>5w</v>
      </c>
      <c r="AT300" s="300" t="str">
        <f>_xlfn.IFNA(VLOOKUP($AI300,Programma!$F$3:$Q$1107,12,0),"")</f>
        <v>1w</v>
      </c>
      <c r="AU300" s="300" t="str">
        <f>_xlfn.IFNA(VLOOKUP($AI300,Programma!$F$3:$R$1107,13,0),"")</f>
        <v>1w</v>
      </c>
      <c r="AV300" s="300" t="str">
        <f>_xlfn.IFNA(VLOOKUP($AI300,Programma!$F$3:$S$1107,14,0),"")</f>
        <v>1m</v>
      </c>
      <c r="AW300" s="300" t="str">
        <f>_xlfn.IFNA(VLOOKUP($AI300,Programma!$F$3:$T$1107,15,0),"")</f>
        <v>2j</v>
      </c>
      <c r="AX300" s="300" t="str">
        <f>_xlfn.IFNA(VLOOKUP($AI300,Programma!$F$3:$U$1107,16,0),"")</f>
        <v>1j</v>
      </c>
      <c r="AY300" s="300" t="str">
        <f>_xlfn.IFNA(VLOOKUP($AI300,Programma!$F$3:$V$1107,17,0),"")</f>
        <v>_</v>
      </c>
      <c r="AZ300" s="300" t="str">
        <f>_xlfn.IFNA(VLOOKUP($AI300,Programma!$F$3:$W$1107,18,0),"")</f>
        <v>_</v>
      </c>
      <c r="BA300" s="300" t="str">
        <f>_xlfn.IFNA(VLOOKUP($AI300,Programma!$F$3:$X$1107,19,0),"")</f>
        <v>_</v>
      </c>
      <c r="BB300" s="300" t="str">
        <f>_xlfn.IFNA(VLOOKUP($AI300,Programma!$F$3:$Y$1107,20,0),"")</f>
        <v>_</v>
      </c>
      <c r="BC300" s="257"/>
      <c r="BD300" s="256" t="str">
        <f>IF(Ruimtestaat[[#This Row],[Frequentie weekend]]="","",_xlfn.CONCAT(Ruimtestaat[[#This Row],[Ruimte code]],"-",Ruimtestaat[[#This Row],[Frequentie weekend]]," ",Ruimtestaat[[#This Row],[Vloer code]]))</f>
        <v/>
      </c>
      <c r="BE300" s="300" t="str">
        <f>_xlfn.IFNA(VLOOKUP($BD300,Programma!$F$3:$G$1107,2,0),"")</f>
        <v/>
      </c>
      <c r="BF300" s="300" t="str">
        <f>_xlfn.IFNA(VLOOKUP($BD300,Programma!$F$3:$H$1107,3,0),"")</f>
        <v/>
      </c>
      <c r="BG300" s="300" t="str">
        <f>_xlfn.IFNA(VLOOKUP($BD300,Programma!$F$3:$I$1107,4,0),"")</f>
        <v/>
      </c>
      <c r="BH300" s="300" t="str">
        <f>_xlfn.IFNA(VLOOKUP($BD300,Programma!$F$3:$J$1107,5,0),"")</f>
        <v/>
      </c>
      <c r="BI300" s="300" t="str">
        <f>_xlfn.IFNA(VLOOKUP($BD300,Programma!$F$3:$K$1107,6,0),"")</f>
        <v/>
      </c>
      <c r="BJ300" s="300" t="str">
        <f>_xlfn.IFNA(VLOOKUP($BD300,Programma!$F$3:$L$1107,7,0),"")</f>
        <v/>
      </c>
      <c r="BK300" s="300" t="str">
        <f>_xlfn.IFNA(VLOOKUP($BD300,Programma!$F$3:$M$1107,8,0),"")</f>
        <v/>
      </c>
      <c r="BL300" s="300" t="str">
        <f>_xlfn.IFNA(VLOOKUP($BD300,Programma!$F$3:$N$1107,9,0),"")</f>
        <v/>
      </c>
      <c r="BM300" s="300" t="str">
        <f>_xlfn.IFNA(VLOOKUP($BD300,Programma!$F$3:$O$1107,10,0),"")</f>
        <v/>
      </c>
      <c r="BN300" s="300" t="str">
        <f>_xlfn.IFNA(VLOOKUP($BD300,Programma!$F$3:$P$1107,11,0),"")</f>
        <v/>
      </c>
      <c r="BO300" s="300" t="str">
        <f>_xlfn.IFNA(VLOOKUP($BD300,Programma!$F$3:$Q$1107,12,0),"")</f>
        <v/>
      </c>
      <c r="BP300" s="300" t="str">
        <f>_xlfn.IFNA(VLOOKUP($BD300,Programma!$F$3:$R$1107,13,0),"")</f>
        <v/>
      </c>
      <c r="BQ300" s="300" t="str">
        <f>_xlfn.IFNA(VLOOKUP($BD300,Programma!$F$3:$S$1107,14,0),"")</f>
        <v/>
      </c>
      <c r="BR300" s="300" t="str">
        <f>_xlfn.IFNA(VLOOKUP($BD300,Programma!$F$3:$T$1107,15,0),"")</f>
        <v/>
      </c>
      <c r="BS300" s="300" t="str">
        <f>_xlfn.IFNA(VLOOKUP($BD300,Programma!$F$3:$U$1107,16,0),"")</f>
        <v/>
      </c>
      <c r="BT300" s="300" t="str">
        <f>_xlfn.IFNA(VLOOKUP($BD300,Programma!$F$3:$V$1107,17,0),"")</f>
        <v/>
      </c>
      <c r="BU300" s="300" t="str">
        <f>_xlfn.IFNA(VLOOKUP($BD300,Programma!$F$3:$W$1107,18,0),"")</f>
        <v/>
      </c>
      <c r="BV300" s="300" t="str">
        <f>_xlfn.IFNA(VLOOKUP($BD300,Programma!$F$3:$X$1107,19,0),"")</f>
        <v/>
      </c>
      <c r="BW300" s="300" t="str">
        <f>_xlfn.IFNA(VLOOKUP($BD300,Programma!$F$3:$Y$1107,20,0),"")</f>
        <v/>
      </c>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row>
    <row r="301" spans="1:220" ht="15" customHeight="1">
      <c r="A301" s="21">
        <v>4</v>
      </c>
      <c r="B301" s="157" t="str">
        <f>VLOOKUP(Ruimtestaat[[#This Row],[Code]],Locaties[[Code]:[Locatie]],2,FALSE)</f>
        <v>Sint-Maartenscollege</v>
      </c>
      <c r="C301" s="157" t="str">
        <f>VLOOKUP(Ruimtestaat[[#This Row],[Code]],Locaties[[#All],[Code]:[Adres]],4,FALSE)</f>
        <v xml:space="preserve">Aart v.d. Leeuwkade 14 </v>
      </c>
      <c r="D301" s="157" t="str">
        <f>VLOOKUP(Ruimtestaat[[#This Row],[Code]],Locaties[[#All],[Code]:[Postcode]],5,FALSE)</f>
        <v>2274 KX</v>
      </c>
      <c r="E301" s="157" t="str">
        <f>VLOOKUP(Ruimtestaat[[#This Row],[Code]],Locaties[#All],6,FALSE)</f>
        <v>Voorburg</v>
      </c>
      <c r="F301" s="62"/>
      <c r="G301" s="21" t="s">
        <v>1706</v>
      </c>
      <c r="H301" s="21" t="s">
        <v>1722</v>
      </c>
      <c r="I301" s="62" t="s">
        <v>1960</v>
      </c>
      <c r="J301" s="21">
        <v>9</v>
      </c>
      <c r="K301" s="62" t="str">
        <f>VLOOKUP(Ruimtestaat[[#This Row],[Ruimte code]],Ruimtegroepen[[#All],[Code]:[Ruimte omschrijving]],2,FALSE)</f>
        <v>Publieksruimte</v>
      </c>
      <c r="L301" s="33" t="s">
        <v>1325</v>
      </c>
      <c r="M301" s="367" t="s">
        <v>2505</v>
      </c>
      <c r="N301" s="140">
        <v>26</v>
      </c>
      <c r="O301" s="140"/>
      <c r="P301" s="125" t="str">
        <f>VLOOKUP(Ruimtestaat[[#This Row],[Ruimte code]],Ruimtegroepen[],4,FALSE)</f>
        <v>Ve</v>
      </c>
      <c r="R301" s="33">
        <v>40</v>
      </c>
      <c r="S301" s="33" t="s">
        <v>2</v>
      </c>
      <c r="T301" s="33">
        <f>IF(R301&gt;0,IF(RIGHT(Ruimtestaat[[#This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1" s="33">
        <f>IF(T301&gt;0,VLOOKUP($J301,Ruimtegroepen[],3,FALSE)*VLOOKUP($L301,Vloersoorten[],3,FALSE)*VLOOKUP($S301,Frequenties[],3,FALSE)*VLOOKUP($A301,Locaties[],3,FALSE),0)</f>
        <v>0</v>
      </c>
      <c r="V301" s="33">
        <f>Ruimtestaat[[#This Row],[Uitvoeringen werkdagen]]*Ruimtestaat[[#This Row],[Oppervlak (netto)]]</f>
        <v>5200</v>
      </c>
      <c r="W301" s="154">
        <f>IF(U301&gt;0,Ruimtestaat[[#This Row],[Prest. (m2 /jaar) werkdagen]]/Ruimtestaat[[#This Row],[Norm (m2/uur) werkdagen]],0)</f>
        <v>0</v>
      </c>
      <c r="X301" s="155">
        <f>Ruimtestaat[[#This Row],[uren / jaar werkdagen]]*Tariefsopbouw!$E$35</f>
        <v>0</v>
      </c>
      <c r="Y301" s="33"/>
      <c r="Z301" s="33">
        <f>IF(Ruimtestaat[[#This Row],[Frequentie weekend]]&gt;0,VALUE(LEFT(Y301,1))*R301,0)</f>
        <v>0</v>
      </c>
      <c r="AA301" s="97">
        <f>IF($Z301&gt;0,VLOOKUP($J301,Ruimtegroepen[],3,FALSE)*VLOOKUP($L301,Vloersoorten[],3,FALSE)*VLOOKUP($Y301,Frequenties[],3,FALSE)*VLOOKUP(Ruimtestaat[[#This Row],[Code]],Locaties[],3,FALSE),0)</f>
        <v>0</v>
      </c>
      <c r="AB301" s="97">
        <f>Ruimtestaat[[#This Row],[Uitvoeringen weekend]]*Ruimtestaat[[#This Row],[Oppervlak (netto)]]</f>
        <v>0</v>
      </c>
      <c r="AC301" s="97">
        <f>IF(AA301&gt;0,Ruimtestaat[[#This Row],[Prest. (m2 /jaar) weekend]]/Ruimtestaat[[#This Row],[Norm (m2/uur) weekend]],0)</f>
        <v>0</v>
      </c>
      <c r="AD301" s="155">
        <f>Ruimtestaat[[#This Row],[uren / jaar weekend]]*Tariefsopbouw!$D$40</f>
        <v>0</v>
      </c>
      <c r="AE301" s="154">
        <f>Ruimtestaat[[#This Row],[Prest. (m2 /jaar) weekend]]+Ruimtestaat[[#This Row],[Prest. (m2 /jaar) werkdagen]]</f>
        <v>5200</v>
      </c>
      <c r="AF301" s="154">
        <f>Ruimtestaat[[#This Row],[uren / jaar weekend]]+Ruimtestaat[[#This Row],[uren / jaar werkdagen]]</f>
        <v>0</v>
      </c>
      <c r="AG301" s="69">
        <f>Ruimtestaat[[#This Row],[kosten / jaar weekend]]+Ruimtestaat[[#This Row],[kosten / jaar werkdagen]]</f>
        <v>0</v>
      </c>
      <c r="AH301" s="69"/>
      <c r="AI301" s="256" t="str">
        <f>IF(Ruimtestaat[[#This Row],[Frequentie werkdagen]]="","",_xlfn.CONCAT(Ruimtestaat[[#This Row],[Ruimte code]],"-",Ruimtestaat[[#This Row],[Frequentie werkdagen]]," ",Ruimtestaat[[#This Row],[Vloer code]]))</f>
        <v>9-5w H</v>
      </c>
      <c r="AJ301" s="300" t="str">
        <f>_xlfn.IFNA(VLOOKUP($AI301,Programma!$F$3:$G$1107,2,0),"")</f>
        <v>_</v>
      </c>
      <c r="AK301" s="300" t="str">
        <f>_xlfn.IFNA(VLOOKUP($AI301,Programma!$F$3:$H$1107,3,0),"")</f>
        <v>_</v>
      </c>
      <c r="AL301" s="300" t="str">
        <f>_xlfn.IFNA(VLOOKUP($AI301,Programma!$F$3:$I$1107,4,0),"")</f>
        <v>5w</v>
      </c>
      <c r="AM301" s="300" t="str">
        <f>_xlfn.IFNA(VLOOKUP($AI301,Programma!$F$3:$J$1107,5,0),"")</f>
        <v>_</v>
      </c>
      <c r="AN301" s="300" t="str">
        <f>_xlfn.IFNA(VLOOKUP($AI301,Programma!$F$3:$K$1107,6,0),"")</f>
        <v>4j</v>
      </c>
      <c r="AO301" s="300" t="str">
        <f>_xlfn.IFNA(VLOOKUP($AI301,Programma!$F$3:$L$1107,7,0),"")</f>
        <v>_</v>
      </c>
      <c r="AP301" s="300" t="str">
        <f>_xlfn.IFNA(VLOOKUP($AI301,Programma!$F$3:$M$1107,8,0),"")</f>
        <v>_</v>
      </c>
      <c r="AQ301" s="300" t="str">
        <f>_xlfn.IFNA(VLOOKUP($AI301,Programma!$F$3:$N$1107,9,0),"")</f>
        <v>_</v>
      </c>
      <c r="AR301" s="300" t="str">
        <f>_xlfn.IFNA(VLOOKUP($AI301,Programma!$F$3:$O$1107,10,0),"")</f>
        <v>5w</v>
      </c>
      <c r="AS301" s="300" t="str">
        <f>_xlfn.IFNA(VLOOKUP($AI301,Programma!$F$3:$P$1107,11,0),"")</f>
        <v>5w</v>
      </c>
      <c r="AT301" s="300" t="str">
        <f>_xlfn.IFNA(VLOOKUP($AI301,Programma!$F$3:$Q$1107,12,0),"")</f>
        <v>1w</v>
      </c>
      <c r="AU301" s="300" t="str">
        <f>_xlfn.IFNA(VLOOKUP($AI301,Programma!$F$3:$R$1107,13,0),"")</f>
        <v>1w</v>
      </c>
      <c r="AV301" s="300" t="str">
        <f>_xlfn.IFNA(VLOOKUP($AI301,Programma!$F$3:$S$1107,14,0),"")</f>
        <v>1m</v>
      </c>
      <c r="AW301" s="300" t="str">
        <f>_xlfn.IFNA(VLOOKUP($AI301,Programma!$F$3:$T$1107,15,0),"")</f>
        <v>2j</v>
      </c>
      <c r="AX301" s="300" t="str">
        <f>_xlfn.IFNA(VLOOKUP($AI301,Programma!$F$3:$U$1107,16,0),"")</f>
        <v>1j</v>
      </c>
      <c r="AY301" s="300" t="str">
        <f>_xlfn.IFNA(VLOOKUP($AI301,Programma!$F$3:$V$1107,17,0),"")</f>
        <v>_</v>
      </c>
      <c r="AZ301" s="300" t="str">
        <f>_xlfn.IFNA(VLOOKUP($AI301,Programma!$F$3:$W$1107,18,0),"")</f>
        <v>_</v>
      </c>
      <c r="BA301" s="300" t="str">
        <f>_xlfn.IFNA(VLOOKUP($AI301,Programma!$F$3:$X$1107,19,0),"")</f>
        <v>_</v>
      </c>
      <c r="BB301" s="300" t="str">
        <f>_xlfn.IFNA(VLOOKUP($AI301,Programma!$F$3:$Y$1107,20,0),"")</f>
        <v>_</v>
      </c>
      <c r="BC301" s="257"/>
      <c r="BD301" s="256" t="str">
        <f>IF(Ruimtestaat[[#This Row],[Frequentie weekend]]="","",_xlfn.CONCAT(Ruimtestaat[[#This Row],[Ruimte code]],"-",Ruimtestaat[[#This Row],[Frequentie weekend]]," ",Ruimtestaat[[#This Row],[Vloer code]]))</f>
        <v/>
      </c>
      <c r="BE301" s="300" t="str">
        <f>_xlfn.IFNA(VLOOKUP($BD301,Programma!$F$3:$G$1107,2,0),"")</f>
        <v/>
      </c>
      <c r="BF301" s="300" t="str">
        <f>_xlfn.IFNA(VLOOKUP($BD301,Programma!$F$3:$H$1107,3,0),"")</f>
        <v/>
      </c>
      <c r="BG301" s="300" t="str">
        <f>_xlfn.IFNA(VLOOKUP($BD301,Programma!$F$3:$I$1107,4,0),"")</f>
        <v/>
      </c>
      <c r="BH301" s="300" t="str">
        <f>_xlfn.IFNA(VLOOKUP($BD301,Programma!$F$3:$J$1107,5,0),"")</f>
        <v/>
      </c>
      <c r="BI301" s="300" t="str">
        <f>_xlfn.IFNA(VLOOKUP($BD301,Programma!$F$3:$K$1107,6,0),"")</f>
        <v/>
      </c>
      <c r="BJ301" s="300" t="str">
        <f>_xlfn.IFNA(VLOOKUP($BD301,Programma!$F$3:$L$1107,7,0),"")</f>
        <v/>
      </c>
      <c r="BK301" s="300" t="str">
        <f>_xlfn.IFNA(VLOOKUP($BD301,Programma!$F$3:$M$1107,8,0),"")</f>
        <v/>
      </c>
      <c r="BL301" s="300" t="str">
        <f>_xlfn.IFNA(VLOOKUP($BD301,Programma!$F$3:$N$1107,9,0),"")</f>
        <v/>
      </c>
      <c r="BM301" s="300" t="str">
        <f>_xlfn.IFNA(VLOOKUP($BD301,Programma!$F$3:$O$1107,10,0),"")</f>
        <v/>
      </c>
      <c r="BN301" s="300" t="str">
        <f>_xlfn.IFNA(VLOOKUP($BD301,Programma!$F$3:$P$1107,11,0),"")</f>
        <v/>
      </c>
      <c r="BO301" s="300" t="str">
        <f>_xlfn.IFNA(VLOOKUP($BD301,Programma!$F$3:$Q$1107,12,0),"")</f>
        <v/>
      </c>
      <c r="BP301" s="300" t="str">
        <f>_xlfn.IFNA(VLOOKUP($BD301,Programma!$F$3:$R$1107,13,0),"")</f>
        <v/>
      </c>
      <c r="BQ301" s="300" t="str">
        <f>_xlfn.IFNA(VLOOKUP($BD301,Programma!$F$3:$S$1107,14,0),"")</f>
        <v/>
      </c>
      <c r="BR301" s="300" t="str">
        <f>_xlfn.IFNA(VLOOKUP($BD301,Programma!$F$3:$T$1107,15,0),"")</f>
        <v/>
      </c>
      <c r="BS301" s="300" t="str">
        <f>_xlfn.IFNA(VLOOKUP($BD301,Programma!$F$3:$U$1107,16,0),"")</f>
        <v/>
      </c>
      <c r="BT301" s="300" t="str">
        <f>_xlfn.IFNA(VLOOKUP($BD301,Programma!$F$3:$V$1107,17,0),"")</f>
        <v/>
      </c>
      <c r="BU301" s="300" t="str">
        <f>_xlfn.IFNA(VLOOKUP($BD301,Programma!$F$3:$W$1107,18,0),"")</f>
        <v/>
      </c>
      <c r="BV301" s="300" t="str">
        <f>_xlfn.IFNA(VLOOKUP($BD301,Programma!$F$3:$X$1107,19,0),"")</f>
        <v/>
      </c>
      <c r="BW301" s="300" t="str">
        <f>_xlfn.IFNA(VLOOKUP($BD301,Programma!$F$3:$Y$1107,20,0),"")</f>
        <v/>
      </c>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row>
    <row r="302" spans="1:220" ht="15" customHeight="1">
      <c r="A302" s="21">
        <v>4</v>
      </c>
      <c r="B302" s="157" t="str">
        <f>VLOOKUP(Ruimtestaat[[#This Row],[Code]],Locaties[[Code]:[Locatie]],2,FALSE)</f>
        <v>Sint-Maartenscollege</v>
      </c>
      <c r="C302" s="157" t="str">
        <f>VLOOKUP(Ruimtestaat[[#This Row],[Code]],Locaties[[#All],[Code]:[Adres]],4,FALSE)</f>
        <v xml:space="preserve">Aart v.d. Leeuwkade 14 </v>
      </c>
      <c r="D302" s="157" t="str">
        <f>VLOOKUP(Ruimtestaat[[#This Row],[Code]],Locaties[[#All],[Code]:[Postcode]],5,FALSE)</f>
        <v>2274 KX</v>
      </c>
      <c r="E302" s="157" t="str">
        <f>VLOOKUP(Ruimtestaat[[#This Row],[Code]],Locaties[#All],6,FALSE)</f>
        <v>Voorburg</v>
      </c>
      <c r="F302" s="62"/>
      <c r="G302" s="21" t="s">
        <v>1706</v>
      </c>
      <c r="H302" s="21" t="s">
        <v>1724</v>
      </c>
      <c r="I302" s="62" t="s">
        <v>1628</v>
      </c>
      <c r="J302" s="21">
        <v>4</v>
      </c>
      <c r="K302" s="62" t="str">
        <f>VLOOKUP(Ruimtestaat[[#This Row],[Ruimte code]],Ruimtegroepen[[#All],[Code]:[Ruimte omschrijving]],2,FALSE)</f>
        <v>Vergader/spreekkamers</v>
      </c>
      <c r="L302" s="33" t="s">
        <v>101</v>
      </c>
      <c r="M302" s="367" t="s">
        <v>2495</v>
      </c>
      <c r="N302" s="140">
        <v>12</v>
      </c>
      <c r="O302" s="140"/>
      <c r="P302" s="125" t="str">
        <f>VLOOKUP(Ruimtestaat[[#This Row],[Ruimte code]],Ruimtegroepen[],4,FALSE)</f>
        <v>Bu</v>
      </c>
      <c r="R302" s="33">
        <v>40</v>
      </c>
      <c r="S302" s="33" t="s">
        <v>18</v>
      </c>
      <c r="T302" s="33">
        <f>IF(R302&gt;0,IF(RIGHT(Ruimtestaat[[#This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302" s="33">
        <f>IF(T302&gt;0,VLOOKUP($J302,Ruimtegroepen[],3,FALSE)*VLOOKUP($L302,Vloersoorten[],3,FALSE)*VLOOKUP($S302,Frequenties[],3,FALSE)*VLOOKUP($A302,Locaties[],3,FALSE),0)</f>
        <v>0</v>
      </c>
      <c r="V302" s="33">
        <f>Ruimtestaat[[#This Row],[Uitvoeringen werkdagen]]*Ruimtestaat[[#This Row],[Oppervlak (netto)]]</f>
        <v>1440</v>
      </c>
      <c r="W302" s="154">
        <f>IF(U302&gt;0,Ruimtestaat[[#This Row],[Prest. (m2 /jaar) werkdagen]]/Ruimtestaat[[#This Row],[Norm (m2/uur) werkdagen]],0)</f>
        <v>0</v>
      </c>
      <c r="X302" s="155">
        <f>Ruimtestaat[[#This Row],[uren / jaar werkdagen]]*Tariefsopbouw!$E$35</f>
        <v>0</v>
      </c>
      <c r="Y302" s="33"/>
      <c r="Z302" s="33">
        <f>IF(Ruimtestaat[[#This Row],[Frequentie weekend]]&gt;0,VALUE(LEFT(Y302,1))*R302,0)</f>
        <v>0</v>
      </c>
      <c r="AA302" s="97">
        <f>IF($Z302&gt;0,VLOOKUP($J302,Ruimtegroepen[],3,FALSE)*VLOOKUP($L302,Vloersoorten[],3,FALSE)*VLOOKUP($Y302,Frequenties[],3,FALSE)*VLOOKUP(Ruimtestaat[[#This Row],[Code]],Locaties[],3,FALSE),0)</f>
        <v>0</v>
      </c>
      <c r="AB302" s="97">
        <f>Ruimtestaat[[#This Row],[Uitvoeringen weekend]]*Ruimtestaat[[#This Row],[Oppervlak (netto)]]</f>
        <v>0</v>
      </c>
      <c r="AC302" s="97">
        <f>IF(AA302&gt;0,Ruimtestaat[[#This Row],[Prest. (m2 /jaar) weekend]]/Ruimtestaat[[#This Row],[Norm (m2/uur) weekend]],0)</f>
        <v>0</v>
      </c>
      <c r="AD302" s="155">
        <f>Ruimtestaat[[#This Row],[uren / jaar weekend]]*Tariefsopbouw!$D$40</f>
        <v>0</v>
      </c>
      <c r="AE302" s="154">
        <f>Ruimtestaat[[#This Row],[Prest. (m2 /jaar) weekend]]+Ruimtestaat[[#This Row],[Prest. (m2 /jaar) werkdagen]]</f>
        <v>1440</v>
      </c>
      <c r="AF302" s="154">
        <f>Ruimtestaat[[#This Row],[uren / jaar weekend]]+Ruimtestaat[[#This Row],[uren / jaar werkdagen]]</f>
        <v>0</v>
      </c>
      <c r="AG302" s="69">
        <f>Ruimtestaat[[#This Row],[kosten / jaar weekend]]+Ruimtestaat[[#This Row],[kosten / jaar werkdagen]]</f>
        <v>0</v>
      </c>
      <c r="AH302" s="69"/>
      <c r="AI302" s="256" t="str">
        <f>IF(Ruimtestaat[[#This Row],[Frequentie werkdagen]]="","",_xlfn.CONCAT(Ruimtestaat[[#This Row],[Ruimte code]],"-",Ruimtestaat[[#This Row],[Frequentie werkdagen]]," ",Ruimtestaat[[#This Row],[Vloer code]]))</f>
        <v>4-3w L</v>
      </c>
      <c r="AJ302" s="300" t="str">
        <f>_xlfn.IFNA(VLOOKUP($AI302,Programma!$F$3:$G$1107,2,0),"")</f>
        <v>_</v>
      </c>
      <c r="AK302" s="300" t="str">
        <f>_xlfn.IFNA(VLOOKUP($AI302,Programma!$F$3:$H$1107,3,0),"")</f>
        <v>_</v>
      </c>
      <c r="AL302" s="300" t="str">
        <f>_xlfn.IFNA(VLOOKUP($AI302,Programma!$F$3:$I$1107,4,0),"")</f>
        <v>2w</v>
      </c>
      <c r="AM302" s="300" t="str">
        <f>_xlfn.IFNA(VLOOKUP($AI302,Programma!$F$3:$J$1107,5,0),"")</f>
        <v>1w</v>
      </c>
      <c r="AN302" s="300" t="str">
        <f>_xlfn.IFNA(VLOOKUP($AI302,Programma!$F$3:$K$1107,6,0),"")</f>
        <v>_</v>
      </c>
      <c r="AO302" s="300" t="str">
        <f>_xlfn.IFNA(VLOOKUP($AI302,Programma!$F$3:$L$1107,7,0),"")</f>
        <v>_</v>
      </c>
      <c r="AP302" s="300" t="str">
        <f>_xlfn.IFNA(VLOOKUP($AI302,Programma!$F$3:$M$1107,8,0),"")</f>
        <v>_</v>
      </c>
      <c r="AQ302" s="300" t="str">
        <f>_xlfn.IFNA(VLOOKUP($AI302,Programma!$F$3:$N$1107,9,0),"")</f>
        <v>_</v>
      </c>
      <c r="AR302" s="300" t="str">
        <f>_xlfn.IFNA(VLOOKUP($AI302,Programma!$F$3:$O$1107,10,0),"")</f>
        <v>3w</v>
      </c>
      <c r="AS302" s="300" t="str">
        <f>_xlfn.IFNA(VLOOKUP($AI302,Programma!$F$3:$P$1107,11,0),"")</f>
        <v>3w</v>
      </c>
      <c r="AT302" s="300" t="str">
        <f>_xlfn.IFNA(VLOOKUP($AI302,Programma!$F$3:$Q$1107,12,0),"")</f>
        <v>1w</v>
      </c>
      <c r="AU302" s="300" t="str">
        <f>_xlfn.IFNA(VLOOKUP($AI302,Programma!$F$3:$R$1107,13,0),"")</f>
        <v>1w</v>
      </c>
      <c r="AV302" s="300" t="str">
        <f>_xlfn.IFNA(VLOOKUP($AI302,Programma!$F$3:$S$1107,14,0),"")</f>
        <v>1m</v>
      </c>
      <c r="AW302" s="300" t="str">
        <f>_xlfn.IFNA(VLOOKUP($AI302,Programma!$F$3:$T$1107,15,0),"")</f>
        <v>2j</v>
      </c>
      <c r="AX302" s="300" t="str">
        <f>_xlfn.IFNA(VLOOKUP($AI302,Programma!$F$3:$U$1107,16,0),"")</f>
        <v>1j</v>
      </c>
      <c r="AY302" s="300" t="str">
        <f>_xlfn.IFNA(VLOOKUP($AI302,Programma!$F$3:$V$1107,17,0),"")</f>
        <v>_</v>
      </c>
      <c r="AZ302" s="300" t="str">
        <f>_xlfn.IFNA(VLOOKUP($AI302,Programma!$F$3:$W$1107,18,0),"")</f>
        <v>_</v>
      </c>
      <c r="BA302" s="300" t="str">
        <f>_xlfn.IFNA(VLOOKUP($AI302,Programma!$F$3:$X$1107,19,0),"")</f>
        <v>_</v>
      </c>
      <c r="BB302" s="300" t="str">
        <f>_xlfn.IFNA(VLOOKUP($AI302,Programma!$F$3:$Y$1107,20,0),"")</f>
        <v>_</v>
      </c>
      <c r="BC302" s="257"/>
      <c r="BD302" s="256" t="str">
        <f>IF(Ruimtestaat[[#This Row],[Frequentie weekend]]="","",_xlfn.CONCAT(Ruimtestaat[[#This Row],[Ruimte code]],"-",Ruimtestaat[[#This Row],[Frequentie weekend]]," ",Ruimtestaat[[#This Row],[Vloer code]]))</f>
        <v/>
      </c>
      <c r="BE302" s="300" t="str">
        <f>_xlfn.IFNA(VLOOKUP($BD302,Programma!$F$3:$G$1107,2,0),"")</f>
        <v/>
      </c>
      <c r="BF302" s="300" t="str">
        <f>_xlfn.IFNA(VLOOKUP($BD302,Programma!$F$3:$H$1107,3,0),"")</f>
        <v/>
      </c>
      <c r="BG302" s="300" t="str">
        <f>_xlfn.IFNA(VLOOKUP($BD302,Programma!$F$3:$I$1107,4,0),"")</f>
        <v/>
      </c>
      <c r="BH302" s="300" t="str">
        <f>_xlfn.IFNA(VLOOKUP($BD302,Programma!$F$3:$J$1107,5,0),"")</f>
        <v/>
      </c>
      <c r="BI302" s="300" t="str">
        <f>_xlfn.IFNA(VLOOKUP($BD302,Programma!$F$3:$K$1107,6,0),"")</f>
        <v/>
      </c>
      <c r="BJ302" s="300" t="str">
        <f>_xlfn.IFNA(VLOOKUP($BD302,Programma!$F$3:$L$1107,7,0),"")</f>
        <v/>
      </c>
      <c r="BK302" s="300" t="str">
        <f>_xlfn.IFNA(VLOOKUP($BD302,Programma!$F$3:$M$1107,8,0),"")</f>
        <v/>
      </c>
      <c r="BL302" s="300" t="str">
        <f>_xlfn.IFNA(VLOOKUP($BD302,Programma!$F$3:$N$1107,9,0),"")</f>
        <v/>
      </c>
      <c r="BM302" s="300" t="str">
        <f>_xlfn.IFNA(VLOOKUP($BD302,Programma!$F$3:$O$1107,10,0),"")</f>
        <v/>
      </c>
      <c r="BN302" s="300" t="str">
        <f>_xlfn.IFNA(VLOOKUP($BD302,Programma!$F$3:$P$1107,11,0),"")</f>
        <v/>
      </c>
      <c r="BO302" s="300" t="str">
        <f>_xlfn.IFNA(VLOOKUP($BD302,Programma!$F$3:$Q$1107,12,0),"")</f>
        <v/>
      </c>
      <c r="BP302" s="300" t="str">
        <f>_xlfn.IFNA(VLOOKUP($BD302,Programma!$F$3:$R$1107,13,0),"")</f>
        <v/>
      </c>
      <c r="BQ302" s="300" t="str">
        <f>_xlfn.IFNA(VLOOKUP($BD302,Programma!$F$3:$S$1107,14,0),"")</f>
        <v/>
      </c>
      <c r="BR302" s="300" t="str">
        <f>_xlfn.IFNA(VLOOKUP($BD302,Programma!$F$3:$T$1107,15,0),"")</f>
        <v/>
      </c>
      <c r="BS302" s="300" t="str">
        <f>_xlfn.IFNA(VLOOKUP($BD302,Programma!$F$3:$U$1107,16,0),"")</f>
        <v/>
      </c>
      <c r="BT302" s="300" t="str">
        <f>_xlfn.IFNA(VLOOKUP($BD302,Programma!$F$3:$V$1107,17,0),"")</f>
        <v/>
      </c>
      <c r="BU302" s="300" t="str">
        <f>_xlfn.IFNA(VLOOKUP($BD302,Programma!$F$3:$W$1107,18,0),"")</f>
        <v/>
      </c>
      <c r="BV302" s="300" t="str">
        <f>_xlfn.IFNA(VLOOKUP($BD302,Programma!$F$3:$X$1107,19,0),"")</f>
        <v/>
      </c>
      <c r="BW302" s="300" t="str">
        <f>_xlfn.IFNA(VLOOKUP($BD302,Programma!$F$3:$Y$1107,20,0),"")</f>
        <v/>
      </c>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row>
    <row r="303" spans="1:220" ht="15" customHeight="1">
      <c r="A303" s="21">
        <v>4</v>
      </c>
      <c r="B303" s="157" t="str">
        <f>VLOOKUP(Ruimtestaat[[#This Row],[Code]],Locaties[[Code]:[Locatie]],2,FALSE)</f>
        <v>Sint-Maartenscollege</v>
      </c>
      <c r="C303" s="157" t="str">
        <f>VLOOKUP(Ruimtestaat[[#This Row],[Code]],Locaties[[#All],[Code]:[Adres]],4,FALSE)</f>
        <v xml:space="preserve">Aart v.d. Leeuwkade 14 </v>
      </c>
      <c r="D303" s="157" t="str">
        <f>VLOOKUP(Ruimtestaat[[#This Row],[Code]],Locaties[[#All],[Code]:[Postcode]],5,FALSE)</f>
        <v>2274 KX</v>
      </c>
      <c r="E303" s="157" t="str">
        <f>VLOOKUP(Ruimtestaat[[#This Row],[Code]],Locaties[#All],6,FALSE)</f>
        <v>Voorburg</v>
      </c>
      <c r="F303" s="62"/>
      <c r="G303" s="21" t="s">
        <v>1706</v>
      </c>
      <c r="H303" s="21" t="s">
        <v>1726</v>
      </c>
      <c r="I303" s="62" t="s">
        <v>1961</v>
      </c>
      <c r="J303" s="21">
        <v>16</v>
      </c>
      <c r="K303" s="62" t="str">
        <f>VLOOKUP(Ruimtestaat[[#This Row],[Ruimte code]],Ruimtegroepen[[#All],[Code]:[Ruimte omschrijving]],2,FALSE)</f>
        <v>Leslokalen theorie</v>
      </c>
      <c r="L303" s="33" t="s">
        <v>101</v>
      </c>
      <c r="M303" s="367" t="s">
        <v>2495</v>
      </c>
      <c r="N303" s="140">
        <v>46</v>
      </c>
      <c r="O303" s="140"/>
      <c r="P303" s="125" t="str">
        <f>VLOOKUP(Ruimtestaat[[#This Row],[Ruimte code]],Ruimtegroepen[],4,FALSE)</f>
        <v>Le</v>
      </c>
      <c r="R303" s="33">
        <v>40</v>
      </c>
      <c r="S303" s="33" t="s">
        <v>2</v>
      </c>
      <c r="T303" s="33">
        <f>IF(R303&gt;0,IF(RIGHT(Ruimtestaat[[#This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3" s="33">
        <f>IF(T303&gt;0,VLOOKUP($J303,Ruimtegroepen[],3,FALSE)*VLOOKUP($L303,Vloersoorten[],3,FALSE)*VLOOKUP($S303,Frequenties[],3,FALSE)*VLOOKUP($A303,Locaties[],3,FALSE),0)</f>
        <v>0</v>
      </c>
      <c r="V303" s="33">
        <f>Ruimtestaat[[#This Row],[Uitvoeringen werkdagen]]*Ruimtestaat[[#This Row],[Oppervlak (netto)]]</f>
        <v>9200</v>
      </c>
      <c r="W303" s="154">
        <f>IF(U303&gt;0,Ruimtestaat[[#This Row],[Prest. (m2 /jaar) werkdagen]]/Ruimtestaat[[#This Row],[Norm (m2/uur) werkdagen]],0)</f>
        <v>0</v>
      </c>
      <c r="X303" s="155">
        <f>Ruimtestaat[[#This Row],[uren / jaar werkdagen]]*Tariefsopbouw!$E$35</f>
        <v>0</v>
      </c>
      <c r="Y303" s="33"/>
      <c r="Z303" s="33">
        <f>IF(Ruimtestaat[[#This Row],[Frequentie weekend]]&gt;0,VALUE(LEFT(Y303,1))*R303,0)</f>
        <v>0</v>
      </c>
      <c r="AA303" s="97">
        <f>IF($Z303&gt;0,VLOOKUP($J303,Ruimtegroepen[],3,FALSE)*VLOOKUP($L303,Vloersoorten[],3,FALSE)*VLOOKUP($Y303,Frequenties[],3,FALSE)*VLOOKUP(Ruimtestaat[[#This Row],[Code]],Locaties[],3,FALSE),0)</f>
        <v>0</v>
      </c>
      <c r="AB303" s="97">
        <f>Ruimtestaat[[#This Row],[Uitvoeringen weekend]]*Ruimtestaat[[#This Row],[Oppervlak (netto)]]</f>
        <v>0</v>
      </c>
      <c r="AC303" s="97">
        <f>IF(AA303&gt;0,Ruimtestaat[[#This Row],[Prest. (m2 /jaar) weekend]]/Ruimtestaat[[#This Row],[Norm (m2/uur) weekend]],0)</f>
        <v>0</v>
      </c>
      <c r="AD303" s="155">
        <f>Ruimtestaat[[#This Row],[uren / jaar weekend]]*Tariefsopbouw!$D$40</f>
        <v>0</v>
      </c>
      <c r="AE303" s="154">
        <f>Ruimtestaat[[#This Row],[Prest. (m2 /jaar) weekend]]+Ruimtestaat[[#This Row],[Prest. (m2 /jaar) werkdagen]]</f>
        <v>9200</v>
      </c>
      <c r="AF303" s="154">
        <f>Ruimtestaat[[#This Row],[uren / jaar weekend]]+Ruimtestaat[[#This Row],[uren / jaar werkdagen]]</f>
        <v>0</v>
      </c>
      <c r="AG303" s="69">
        <f>Ruimtestaat[[#This Row],[kosten / jaar weekend]]+Ruimtestaat[[#This Row],[kosten / jaar werkdagen]]</f>
        <v>0</v>
      </c>
      <c r="AH303" s="69"/>
      <c r="AI303" s="256" t="str">
        <f>IF(Ruimtestaat[[#This Row],[Frequentie werkdagen]]="","",_xlfn.CONCAT(Ruimtestaat[[#This Row],[Ruimte code]],"-",Ruimtestaat[[#This Row],[Frequentie werkdagen]]," ",Ruimtestaat[[#This Row],[Vloer code]]))</f>
        <v>16-5w L</v>
      </c>
      <c r="AJ303" s="300" t="str">
        <f>_xlfn.IFNA(VLOOKUP($AI303,Programma!$F$3:$G$1107,2,0),"")</f>
        <v>_</v>
      </c>
      <c r="AK303" s="300" t="str">
        <f>_xlfn.IFNA(VLOOKUP($AI303,Programma!$F$3:$H$1107,3,0),"")</f>
        <v>_</v>
      </c>
      <c r="AL303" s="300" t="str">
        <f>_xlfn.IFNA(VLOOKUP($AI303,Programma!$F$3:$I$1107,4,0),"")</f>
        <v>4w</v>
      </c>
      <c r="AM303" s="300" t="str">
        <f>_xlfn.IFNA(VLOOKUP($AI303,Programma!$F$3:$J$1107,5,0),"")</f>
        <v>1w</v>
      </c>
      <c r="AN303" s="300" t="str">
        <f>_xlfn.IFNA(VLOOKUP($AI303,Programma!$F$3:$K$1107,6,0),"")</f>
        <v>_</v>
      </c>
      <c r="AO303" s="300" t="str">
        <f>_xlfn.IFNA(VLOOKUP($AI303,Programma!$F$3:$L$1107,7,0),"")</f>
        <v>_</v>
      </c>
      <c r="AP303" s="300" t="str">
        <f>_xlfn.IFNA(VLOOKUP($AI303,Programma!$F$3:$M$1107,8,0),"")</f>
        <v>_</v>
      </c>
      <c r="AQ303" s="300" t="str">
        <f>_xlfn.IFNA(VLOOKUP($AI303,Programma!$F$3:$N$1107,9,0),"")</f>
        <v>_</v>
      </c>
      <c r="AR303" s="300" t="str">
        <f>_xlfn.IFNA(VLOOKUP($AI303,Programma!$F$3:$O$1107,10,0),"")</f>
        <v>5w</v>
      </c>
      <c r="AS303" s="300" t="str">
        <f>_xlfn.IFNA(VLOOKUP($AI303,Programma!$F$3:$P$1107,11,0),"")</f>
        <v>5w</v>
      </c>
      <c r="AT303" s="300" t="str">
        <f>_xlfn.IFNA(VLOOKUP($AI303,Programma!$F$3:$Q$1107,12,0),"")</f>
        <v>1w</v>
      </c>
      <c r="AU303" s="300" t="str">
        <f>_xlfn.IFNA(VLOOKUP($AI303,Programma!$F$3:$R$1107,13,0),"")</f>
        <v>1w</v>
      </c>
      <c r="AV303" s="300" t="str">
        <f>_xlfn.IFNA(VLOOKUP($AI303,Programma!$F$3:$S$1107,14,0),"")</f>
        <v>1m</v>
      </c>
      <c r="AW303" s="300" t="str">
        <f>_xlfn.IFNA(VLOOKUP($AI303,Programma!$F$3:$T$1107,15,0),"")</f>
        <v>2j</v>
      </c>
      <c r="AX303" s="300" t="str">
        <f>_xlfn.IFNA(VLOOKUP($AI303,Programma!$F$3:$U$1107,16,0),"")</f>
        <v>1j</v>
      </c>
      <c r="AY303" s="300" t="str">
        <f>_xlfn.IFNA(VLOOKUP($AI303,Programma!$F$3:$V$1107,17,0),"")</f>
        <v>_</v>
      </c>
      <c r="AZ303" s="300" t="str">
        <f>_xlfn.IFNA(VLOOKUP($AI303,Programma!$F$3:$W$1107,18,0),"")</f>
        <v>_</v>
      </c>
      <c r="BA303" s="300" t="str">
        <f>_xlfn.IFNA(VLOOKUP($AI303,Programma!$F$3:$X$1107,19,0),"")</f>
        <v>_</v>
      </c>
      <c r="BB303" s="300" t="str">
        <f>_xlfn.IFNA(VLOOKUP($AI303,Programma!$F$3:$Y$1107,20,0),"")</f>
        <v>_</v>
      </c>
      <c r="BC303" s="257"/>
      <c r="BD303" s="256" t="str">
        <f>IF(Ruimtestaat[[#This Row],[Frequentie weekend]]="","",_xlfn.CONCAT(Ruimtestaat[[#This Row],[Ruimte code]],"-",Ruimtestaat[[#This Row],[Frequentie weekend]]," ",Ruimtestaat[[#This Row],[Vloer code]]))</f>
        <v/>
      </c>
      <c r="BE303" s="300" t="str">
        <f>_xlfn.IFNA(VLOOKUP($BD303,Programma!$F$3:$G$1107,2,0),"")</f>
        <v/>
      </c>
      <c r="BF303" s="300" t="str">
        <f>_xlfn.IFNA(VLOOKUP($BD303,Programma!$F$3:$H$1107,3,0),"")</f>
        <v/>
      </c>
      <c r="BG303" s="300" t="str">
        <f>_xlfn.IFNA(VLOOKUP($BD303,Programma!$F$3:$I$1107,4,0),"")</f>
        <v/>
      </c>
      <c r="BH303" s="300" t="str">
        <f>_xlfn.IFNA(VLOOKUP($BD303,Programma!$F$3:$J$1107,5,0),"")</f>
        <v/>
      </c>
      <c r="BI303" s="300" t="str">
        <f>_xlfn.IFNA(VLOOKUP($BD303,Programma!$F$3:$K$1107,6,0),"")</f>
        <v/>
      </c>
      <c r="BJ303" s="300" t="str">
        <f>_xlfn.IFNA(VLOOKUP($BD303,Programma!$F$3:$L$1107,7,0),"")</f>
        <v/>
      </c>
      <c r="BK303" s="300" t="str">
        <f>_xlfn.IFNA(VLOOKUP($BD303,Programma!$F$3:$M$1107,8,0),"")</f>
        <v/>
      </c>
      <c r="BL303" s="300" t="str">
        <f>_xlfn.IFNA(VLOOKUP($BD303,Programma!$F$3:$N$1107,9,0),"")</f>
        <v/>
      </c>
      <c r="BM303" s="300" t="str">
        <f>_xlfn.IFNA(VLOOKUP($BD303,Programma!$F$3:$O$1107,10,0),"")</f>
        <v/>
      </c>
      <c r="BN303" s="300" t="str">
        <f>_xlfn.IFNA(VLOOKUP($BD303,Programma!$F$3:$P$1107,11,0),"")</f>
        <v/>
      </c>
      <c r="BO303" s="300" t="str">
        <f>_xlfn.IFNA(VLOOKUP($BD303,Programma!$F$3:$Q$1107,12,0),"")</f>
        <v/>
      </c>
      <c r="BP303" s="300" t="str">
        <f>_xlfn.IFNA(VLOOKUP($BD303,Programma!$F$3:$R$1107,13,0),"")</f>
        <v/>
      </c>
      <c r="BQ303" s="300" t="str">
        <f>_xlfn.IFNA(VLOOKUP($BD303,Programma!$F$3:$S$1107,14,0),"")</f>
        <v/>
      </c>
      <c r="BR303" s="300" t="str">
        <f>_xlfn.IFNA(VLOOKUP($BD303,Programma!$F$3:$T$1107,15,0),"")</f>
        <v/>
      </c>
      <c r="BS303" s="300" t="str">
        <f>_xlfn.IFNA(VLOOKUP($BD303,Programma!$F$3:$U$1107,16,0),"")</f>
        <v/>
      </c>
      <c r="BT303" s="300" t="str">
        <f>_xlfn.IFNA(VLOOKUP($BD303,Programma!$F$3:$V$1107,17,0),"")</f>
        <v/>
      </c>
      <c r="BU303" s="300" t="str">
        <f>_xlfn.IFNA(VLOOKUP($BD303,Programma!$F$3:$W$1107,18,0),"")</f>
        <v/>
      </c>
      <c r="BV303" s="300" t="str">
        <f>_xlfn.IFNA(VLOOKUP($BD303,Programma!$F$3:$X$1107,19,0),"")</f>
        <v/>
      </c>
      <c r="BW303" s="300" t="str">
        <f>_xlfn.IFNA(VLOOKUP($BD303,Programma!$F$3:$Y$1107,20,0),"")</f>
        <v/>
      </c>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row>
    <row r="304" spans="1:220" ht="15" customHeight="1">
      <c r="A304" s="21">
        <v>4</v>
      </c>
      <c r="B304" s="157" t="str">
        <f>VLOOKUP(Ruimtestaat[[#This Row],[Code]],Locaties[[Code]:[Locatie]],2,FALSE)</f>
        <v>Sint-Maartenscollege</v>
      </c>
      <c r="C304" s="157" t="str">
        <f>VLOOKUP(Ruimtestaat[[#This Row],[Code]],Locaties[[#All],[Code]:[Adres]],4,FALSE)</f>
        <v xml:space="preserve">Aart v.d. Leeuwkade 14 </v>
      </c>
      <c r="D304" s="157" t="str">
        <f>VLOOKUP(Ruimtestaat[[#This Row],[Code]],Locaties[[#All],[Code]:[Postcode]],5,FALSE)</f>
        <v>2274 KX</v>
      </c>
      <c r="E304" s="157" t="str">
        <f>VLOOKUP(Ruimtestaat[[#This Row],[Code]],Locaties[#All],6,FALSE)</f>
        <v>Voorburg</v>
      </c>
      <c r="F304" s="62"/>
      <c r="G304" s="21" t="s">
        <v>1706</v>
      </c>
      <c r="H304" s="21" t="s">
        <v>1728</v>
      </c>
      <c r="I304" s="62" t="s">
        <v>1962</v>
      </c>
      <c r="J304" s="21">
        <v>16</v>
      </c>
      <c r="K304" s="62" t="str">
        <f>VLOOKUP(Ruimtestaat[[#This Row],[Ruimte code]],Ruimtegroepen[[#All],[Code]:[Ruimte omschrijving]],2,FALSE)</f>
        <v>Leslokalen theorie</v>
      </c>
      <c r="L304" s="33" t="s">
        <v>101</v>
      </c>
      <c r="M304" s="367" t="s">
        <v>2495</v>
      </c>
      <c r="N304" s="140">
        <v>45</v>
      </c>
      <c r="O304" s="140"/>
      <c r="P304" s="125" t="str">
        <f>VLOOKUP(Ruimtestaat[[#This Row],[Ruimte code]],Ruimtegroepen[],4,FALSE)</f>
        <v>Le</v>
      </c>
      <c r="R304" s="33">
        <v>40</v>
      </c>
      <c r="S304" s="33" t="s">
        <v>2</v>
      </c>
      <c r="T304" s="33">
        <f>IF(R304&gt;0,IF(RIGHT(Ruimtestaat[[#This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4" s="33">
        <f>IF(T304&gt;0,VLOOKUP($J304,Ruimtegroepen[],3,FALSE)*VLOOKUP($L304,Vloersoorten[],3,FALSE)*VLOOKUP($S304,Frequenties[],3,FALSE)*VLOOKUP($A304,Locaties[],3,FALSE),0)</f>
        <v>0</v>
      </c>
      <c r="V304" s="33">
        <f>Ruimtestaat[[#This Row],[Uitvoeringen werkdagen]]*Ruimtestaat[[#This Row],[Oppervlak (netto)]]</f>
        <v>9000</v>
      </c>
      <c r="W304" s="154">
        <f>IF(U304&gt;0,Ruimtestaat[[#This Row],[Prest. (m2 /jaar) werkdagen]]/Ruimtestaat[[#This Row],[Norm (m2/uur) werkdagen]],0)</f>
        <v>0</v>
      </c>
      <c r="X304" s="155">
        <f>Ruimtestaat[[#This Row],[uren / jaar werkdagen]]*Tariefsopbouw!$E$35</f>
        <v>0</v>
      </c>
      <c r="Y304" s="33"/>
      <c r="Z304" s="33">
        <f>IF(Ruimtestaat[[#This Row],[Frequentie weekend]]&gt;0,VALUE(LEFT(Y304,1))*R304,0)</f>
        <v>0</v>
      </c>
      <c r="AA304" s="97">
        <f>IF($Z304&gt;0,VLOOKUP($J304,Ruimtegroepen[],3,FALSE)*VLOOKUP($L304,Vloersoorten[],3,FALSE)*VLOOKUP($Y304,Frequenties[],3,FALSE)*VLOOKUP(Ruimtestaat[[#This Row],[Code]],Locaties[],3,FALSE),0)</f>
        <v>0</v>
      </c>
      <c r="AB304" s="97">
        <f>Ruimtestaat[[#This Row],[Uitvoeringen weekend]]*Ruimtestaat[[#This Row],[Oppervlak (netto)]]</f>
        <v>0</v>
      </c>
      <c r="AC304" s="97">
        <f>IF(AA304&gt;0,Ruimtestaat[[#This Row],[Prest. (m2 /jaar) weekend]]/Ruimtestaat[[#This Row],[Norm (m2/uur) weekend]],0)</f>
        <v>0</v>
      </c>
      <c r="AD304" s="155">
        <f>Ruimtestaat[[#This Row],[uren / jaar weekend]]*Tariefsopbouw!$D$40</f>
        <v>0</v>
      </c>
      <c r="AE304" s="154">
        <f>Ruimtestaat[[#This Row],[Prest. (m2 /jaar) weekend]]+Ruimtestaat[[#This Row],[Prest. (m2 /jaar) werkdagen]]</f>
        <v>9000</v>
      </c>
      <c r="AF304" s="154">
        <f>Ruimtestaat[[#This Row],[uren / jaar weekend]]+Ruimtestaat[[#This Row],[uren / jaar werkdagen]]</f>
        <v>0</v>
      </c>
      <c r="AG304" s="69">
        <f>Ruimtestaat[[#This Row],[kosten / jaar weekend]]+Ruimtestaat[[#This Row],[kosten / jaar werkdagen]]</f>
        <v>0</v>
      </c>
      <c r="AH304" s="69"/>
      <c r="AI304" s="256" t="str">
        <f>IF(Ruimtestaat[[#This Row],[Frequentie werkdagen]]="","",_xlfn.CONCAT(Ruimtestaat[[#This Row],[Ruimte code]],"-",Ruimtestaat[[#This Row],[Frequentie werkdagen]]," ",Ruimtestaat[[#This Row],[Vloer code]]))</f>
        <v>16-5w L</v>
      </c>
      <c r="AJ304" s="300" t="str">
        <f>_xlfn.IFNA(VLOOKUP($AI304,Programma!$F$3:$G$1107,2,0),"")</f>
        <v>_</v>
      </c>
      <c r="AK304" s="300" t="str">
        <f>_xlfn.IFNA(VLOOKUP($AI304,Programma!$F$3:$H$1107,3,0),"")</f>
        <v>_</v>
      </c>
      <c r="AL304" s="300" t="str">
        <f>_xlfn.IFNA(VLOOKUP($AI304,Programma!$F$3:$I$1107,4,0),"")</f>
        <v>4w</v>
      </c>
      <c r="AM304" s="300" t="str">
        <f>_xlfn.IFNA(VLOOKUP($AI304,Programma!$F$3:$J$1107,5,0),"")</f>
        <v>1w</v>
      </c>
      <c r="AN304" s="300" t="str">
        <f>_xlfn.IFNA(VLOOKUP($AI304,Programma!$F$3:$K$1107,6,0),"")</f>
        <v>_</v>
      </c>
      <c r="AO304" s="300" t="str">
        <f>_xlfn.IFNA(VLOOKUP($AI304,Programma!$F$3:$L$1107,7,0),"")</f>
        <v>_</v>
      </c>
      <c r="AP304" s="300" t="str">
        <f>_xlfn.IFNA(VLOOKUP($AI304,Programma!$F$3:$M$1107,8,0),"")</f>
        <v>_</v>
      </c>
      <c r="AQ304" s="300" t="str">
        <f>_xlfn.IFNA(VLOOKUP($AI304,Programma!$F$3:$N$1107,9,0),"")</f>
        <v>_</v>
      </c>
      <c r="AR304" s="300" t="str">
        <f>_xlfn.IFNA(VLOOKUP($AI304,Programma!$F$3:$O$1107,10,0),"")</f>
        <v>5w</v>
      </c>
      <c r="AS304" s="300" t="str">
        <f>_xlfn.IFNA(VLOOKUP($AI304,Programma!$F$3:$P$1107,11,0),"")</f>
        <v>5w</v>
      </c>
      <c r="AT304" s="300" t="str">
        <f>_xlfn.IFNA(VLOOKUP($AI304,Programma!$F$3:$Q$1107,12,0),"")</f>
        <v>1w</v>
      </c>
      <c r="AU304" s="300" t="str">
        <f>_xlfn.IFNA(VLOOKUP($AI304,Programma!$F$3:$R$1107,13,0),"")</f>
        <v>1w</v>
      </c>
      <c r="AV304" s="300" t="str">
        <f>_xlfn.IFNA(VLOOKUP($AI304,Programma!$F$3:$S$1107,14,0),"")</f>
        <v>1m</v>
      </c>
      <c r="AW304" s="300" t="str">
        <f>_xlfn.IFNA(VLOOKUP($AI304,Programma!$F$3:$T$1107,15,0),"")</f>
        <v>2j</v>
      </c>
      <c r="AX304" s="300" t="str">
        <f>_xlfn.IFNA(VLOOKUP($AI304,Programma!$F$3:$U$1107,16,0),"")</f>
        <v>1j</v>
      </c>
      <c r="AY304" s="300" t="str">
        <f>_xlfn.IFNA(VLOOKUP($AI304,Programma!$F$3:$V$1107,17,0),"")</f>
        <v>_</v>
      </c>
      <c r="AZ304" s="300" t="str">
        <f>_xlfn.IFNA(VLOOKUP($AI304,Programma!$F$3:$W$1107,18,0),"")</f>
        <v>_</v>
      </c>
      <c r="BA304" s="300" t="str">
        <f>_xlfn.IFNA(VLOOKUP($AI304,Programma!$F$3:$X$1107,19,0),"")</f>
        <v>_</v>
      </c>
      <c r="BB304" s="300" t="str">
        <f>_xlfn.IFNA(VLOOKUP($AI304,Programma!$F$3:$Y$1107,20,0),"")</f>
        <v>_</v>
      </c>
      <c r="BC304" s="257"/>
      <c r="BD304" s="256" t="str">
        <f>IF(Ruimtestaat[[#This Row],[Frequentie weekend]]="","",_xlfn.CONCAT(Ruimtestaat[[#This Row],[Ruimte code]],"-",Ruimtestaat[[#This Row],[Frequentie weekend]]," ",Ruimtestaat[[#This Row],[Vloer code]]))</f>
        <v/>
      </c>
      <c r="BE304" s="300" t="str">
        <f>_xlfn.IFNA(VLOOKUP($BD304,Programma!$F$3:$G$1107,2,0),"")</f>
        <v/>
      </c>
      <c r="BF304" s="300" t="str">
        <f>_xlfn.IFNA(VLOOKUP($BD304,Programma!$F$3:$H$1107,3,0),"")</f>
        <v/>
      </c>
      <c r="BG304" s="300" t="str">
        <f>_xlfn.IFNA(VLOOKUP($BD304,Programma!$F$3:$I$1107,4,0),"")</f>
        <v/>
      </c>
      <c r="BH304" s="300" t="str">
        <f>_xlfn.IFNA(VLOOKUP($BD304,Programma!$F$3:$J$1107,5,0),"")</f>
        <v/>
      </c>
      <c r="BI304" s="300" t="str">
        <f>_xlfn.IFNA(VLOOKUP($BD304,Programma!$F$3:$K$1107,6,0),"")</f>
        <v/>
      </c>
      <c r="BJ304" s="300" t="str">
        <f>_xlfn.IFNA(VLOOKUP($BD304,Programma!$F$3:$L$1107,7,0),"")</f>
        <v/>
      </c>
      <c r="BK304" s="300" t="str">
        <f>_xlfn.IFNA(VLOOKUP($BD304,Programma!$F$3:$M$1107,8,0),"")</f>
        <v/>
      </c>
      <c r="BL304" s="300" t="str">
        <f>_xlfn.IFNA(VLOOKUP($BD304,Programma!$F$3:$N$1107,9,0),"")</f>
        <v/>
      </c>
      <c r="BM304" s="300" t="str">
        <f>_xlfn.IFNA(VLOOKUP($BD304,Programma!$F$3:$O$1107,10,0),"")</f>
        <v/>
      </c>
      <c r="BN304" s="300" t="str">
        <f>_xlfn.IFNA(VLOOKUP($BD304,Programma!$F$3:$P$1107,11,0),"")</f>
        <v/>
      </c>
      <c r="BO304" s="300" t="str">
        <f>_xlfn.IFNA(VLOOKUP($BD304,Programma!$F$3:$Q$1107,12,0),"")</f>
        <v/>
      </c>
      <c r="BP304" s="300" t="str">
        <f>_xlfn.IFNA(VLOOKUP($BD304,Programma!$F$3:$R$1107,13,0),"")</f>
        <v/>
      </c>
      <c r="BQ304" s="300" t="str">
        <f>_xlfn.IFNA(VLOOKUP($BD304,Programma!$F$3:$S$1107,14,0),"")</f>
        <v/>
      </c>
      <c r="BR304" s="300" t="str">
        <f>_xlfn.IFNA(VLOOKUP($BD304,Programma!$F$3:$T$1107,15,0),"")</f>
        <v/>
      </c>
      <c r="BS304" s="300" t="str">
        <f>_xlfn.IFNA(VLOOKUP($BD304,Programma!$F$3:$U$1107,16,0),"")</f>
        <v/>
      </c>
      <c r="BT304" s="300" t="str">
        <f>_xlfn.IFNA(VLOOKUP($BD304,Programma!$F$3:$V$1107,17,0),"")</f>
        <v/>
      </c>
      <c r="BU304" s="300" t="str">
        <f>_xlfn.IFNA(VLOOKUP($BD304,Programma!$F$3:$W$1107,18,0),"")</f>
        <v/>
      </c>
      <c r="BV304" s="300" t="str">
        <f>_xlfn.IFNA(VLOOKUP($BD304,Programma!$F$3:$X$1107,19,0),"")</f>
        <v/>
      </c>
      <c r="BW304" s="300" t="str">
        <f>_xlfn.IFNA(VLOOKUP($BD304,Programma!$F$3:$Y$1107,20,0),"")</f>
        <v/>
      </c>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row>
    <row r="305" spans="1:220" ht="15" customHeight="1">
      <c r="A305" s="21">
        <v>4</v>
      </c>
      <c r="B305" s="157" t="str">
        <f>VLOOKUP(Ruimtestaat[[#This Row],[Code]],Locaties[[Code]:[Locatie]],2,FALSE)</f>
        <v>Sint-Maartenscollege</v>
      </c>
      <c r="C305" s="157" t="str">
        <f>VLOOKUP(Ruimtestaat[[#This Row],[Code]],Locaties[[#All],[Code]:[Adres]],4,FALSE)</f>
        <v xml:space="preserve">Aart v.d. Leeuwkade 14 </v>
      </c>
      <c r="D305" s="157" t="str">
        <f>VLOOKUP(Ruimtestaat[[#This Row],[Code]],Locaties[[#All],[Code]:[Postcode]],5,FALSE)</f>
        <v>2274 KX</v>
      </c>
      <c r="E305" s="157" t="str">
        <f>VLOOKUP(Ruimtestaat[[#This Row],[Code]],Locaties[#All],6,FALSE)</f>
        <v>Voorburg</v>
      </c>
      <c r="F305" s="62"/>
      <c r="G305" s="21" t="s">
        <v>1706</v>
      </c>
      <c r="H305" s="21" t="s">
        <v>1730</v>
      </c>
      <c r="I305" s="62" t="s">
        <v>1963</v>
      </c>
      <c r="J305" s="21">
        <v>16</v>
      </c>
      <c r="K305" s="62" t="str">
        <f>VLOOKUP(Ruimtestaat[[#This Row],[Ruimte code]],Ruimtegroepen[[#All],[Code]:[Ruimte omschrijving]],2,FALSE)</f>
        <v>Leslokalen theorie</v>
      </c>
      <c r="L305" s="33" t="s">
        <v>101</v>
      </c>
      <c r="M305" s="367" t="s">
        <v>2495</v>
      </c>
      <c r="N305" s="140">
        <v>66</v>
      </c>
      <c r="O305" s="140"/>
      <c r="P305" s="125" t="str">
        <f>VLOOKUP(Ruimtestaat[[#This Row],[Ruimte code]],Ruimtegroepen[],4,FALSE)</f>
        <v>Le</v>
      </c>
      <c r="R305" s="33">
        <v>40</v>
      </c>
      <c r="S305" s="33" t="s">
        <v>2</v>
      </c>
      <c r="T305" s="33">
        <f>IF(R305&gt;0,IF(RIGHT(Ruimtestaat[[#This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5" s="33">
        <f>IF(T305&gt;0,VLOOKUP($J305,Ruimtegroepen[],3,FALSE)*VLOOKUP($L305,Vloersoorten[],3,FALSE)*VLOOKUP($S305,Frequenties[],3,FALSE)*VLOOKUP($A305,Locaties[],3,FALSE),0)</f>
        <v>0</v>
      </c>
      <c r="V305" s="33">
        <f>Ruimtestaat[[#This Row],[Uitvoeringen werkdagen]]*Ruimtestaat[[#This Row],[Oppervlak (netto)]]</f>
        <v>13200</v>
      </c>
      <c r="W305" s="154">
        <f>IF(U305&gt;0,Ruimtestaat[[#This Row],[Prest. (m2 /jaar) werkdagen]]/Ruimtestaat[[#This Row],[Norm (m2/uur) werkdagen]],0)</f>
        <v>0</v>
      </c>
      <c r="X305" s="155">
        <f>Ruimtestaat[[#This Row],[uren / jaar werkdagen]]*Tariefsopbouw!$E$35</f>
        <v>0</v>
      </c>
      <c r="Y305" s="33"/>
      <c r="Z305" s="33">
        <f>IF(Ruimtestaat[[#This Row],[Frequentie weekend]]&gt;0,VALUE(LEFT(Y305,1))*R305,0)</f>
        <v>0</v>
      </c>
      <c r="AA305" s="97">
        <f>IF($Z305&gt;0,VLOOKUP($J305,Ruimtegroepen[],3,FALSE)*VLOOKUP($L305,Vloersoorten[],3,FALSE)*VLOOKUP($Y305,Frequenties[],3,FALSE)*VLOOKUP(Ruimtestaat[[#This Row],[Code]],Locaties[],3,FALSE),0)</f>
        <v>0</v>
      </c>
      <c r="AB305" s="97">
        <f>Ruimtestaat[[#This Row],[Uitvoeringen weekend]]*Ruimtestaat[[#This Row],[Oppervlak (netto)]]</f>
        <v>0</v>
      </c>
      <c r="AC305" s="97">
        <f>IF(AA305&gt;0,Ruimtestaat[[#This Row],[Prest. (m2 /jaar) weekend]]/Ruimtestaat[[#This Row],[Norm (m2/uur) weekend]],0)</f>
        <v>0</v>
      </c>
      <c r="AD305" s="155">
        <f>Ruimtestaat[[#This Row],[uren / jaar weekend]]*Tariefsopbouw!$D$40</f>
        <v>0</v>
      </c>
      <c r="AE305" s="154">
        <f>Ruimtestaat[[#This Row],[Prest. (m2 /jaar) weekend]]+Ruimtestaat[[#This Row],[Prest. (m2 /jaar) werkdagen]]</f>
        <v>13200</v>
      </c>
      <c r="AF305" s="154">
        <f>Ruimtestaat[[#This Row],[uren / jaar weekend]]+Ruimtestaat[[#This Row],[uren / jaar werkdagen]]</f>
        <v>0</v>
      </c>
      <c r="AG305" s="69">
        <f>Ruimtestaat[[#This Row],[kosten / jaar weekend]]+Ruimtestaat[[#This Row],[kosten / jaar werkdagen]]</f>
        <v>0</v>
      </c>
      <c r="AH305" s="69"/>
      <c r="AI305" s="256" t="str">
        <f>IF(Ruimtestaat[[#This Row],[Frequentie werkdagen]]="","",_xlfn.CONCAT(Ruimtestaat[[#This Row],[Ruimte code]],"-",Ruimtestaat[[#This Row],[Frequentie werkdagen]]," ",Ruimtestaat[[#This Row],[Vloer code]]))</f>
        <v>16-5w L</v>
      </c>
      <c r="AJ305" s="300" t="str">
        <f>_xlfn.IFNA(VLOOKUP($AI305,Programma!$F$3:$G$1107,2,0),"")</f>
        <v>_</v>
      </c>
      <c r="AK305" s="300" t="str">
        <f>_xlfn.IFNA(VLOOKUP($AI305,Programma!$F$3:$H$1107,3,0),"")</f>
        <v>_</v>
      </c>
      <c r="AL305" s="300" t="str">
        <f>_xlfn.IFNA(VLOOKUP($AI305,Programma!$F$3:$I$1107,4,0),"")</f>
        <v>4w</v>
      </c>
      <c r="AM305" s="300" t="str">
        <f>_xlfn.IFNA(VLOOKUP($AI305,Programma!$F$3:$J$1107,5,0),"")</f>
        <v>1w</v>
      </c>
      <c r="AN305" s="300" t="str">
        <f>_xlfn.IFNA(VLOOKUP($AI305,Programma!$F$3:$K$1107,6,0),"")</f>
        <v>_</v>
      </c>
      <c r="AO305" s="300" t="str">
        <f>_xlfn.IFNA(VLOOKUP($AI305,Programma!$F$3:$L$1107,7,0),"")</f>
        <v>_</v>
      </c>
      <c r="AP305" s="300" t="str">
        <f>_xlfn.IFNA(VLOOKUP($AI305,Programma!$F$3:$M$1107,8,0),"")</f>
        <v>_</v>
      </c>
      <c r="AQ305" s="300" t="str">
        <f>_xlfn.IFNA(VLOOKUP($AI305,Programma!$F$3:$N$1107,9,0),"")</f>
        <v>_</v>
      </c>
      <c r="AR305" s="300" t="str">
        <f>_xlfn.IFNA(VLOOKUP($AI305,Programma!$F$3:$O$1107,10,0),"")</f>
        <v>5w</v>
      </c>
      <c r="AS305" s="300" t="str">
        <f>_xlfn.IFNA(VLOOKUP($AI305,Programma!$F$3:$P$1107,11,0),"")</f>
        <v>5w</v>
      </c>
      <c r="AT305" s="300" t="str">
        <f>_xlfn.IFNA(VLOOKUP($AI305,Programma!$F$3:$Q$1107,12,0),"")</f>
        <v>1w</v>
      </c>
      <c r="AU305" s="300" t="str">
        <f>_xlfn.IFNA(VLOOKUP($AI305,Programma!$F$3:$R$1107,13,0),"")</f>
        <v>1w</v>
      </c>
      <c r="AV305" s="300" t="str">
        <f>_xlfn.IFNA(VLOOKUP($AI305,Programma!$F$3:$S$1107,14,0),"")</f>
        <v>1m</v>
      </c>
      <c r="AW305" s="300" t="str">
        <f>_xlfn.IFNA(VLOOKUP($AI305,Programma!$F$3:$T$1107,15,0),"")</f>
        <v>2j</v>
      </c>
      <c r="AX305" s="300" t="str">
        <f>_xlfn.IFNA(VLOOKUP($AI305,Programma!$F$3:$U$1107,16,0),"")</f>
        <v>1j</v>
      </c>
      <c r="AY305" s="300" t="str">
        <f>_xlfn.IFNA(VLOOKUP($AI305,Programma!$F$3:$V$1107,17,0),"")</f>
        <v>_</v>
      </c>
      <c r="AZ305" s="300" t="str">
        <f>_xlfn.IFNA(VLOOKUP($AI305,Programma!$F$3:$W$1107,18,0),"")</f>
        <v>_</v>
      </c>
      <c r="BA305" s="300" t="str">
        <f>_xlfn.IFNA(VLOOKUP($AI305,Programma!$F$3:$X$1107,19,0),"")</f>
        <v>_</v>
      </c>
      <c r="BB305" s="300" t="str">
        <f>_xlfn.IFNA(VLOOKUP($AI305,Programma!$F$3:$Y$1107,20,0),"")</f>
        <v>_</v>
      </c>
      <c r="BC305" s="257"/>
      <c r="BD305" s="256" t="str">
        <f>IF(Ruimtestaat[[#This Row],[Frequentie weekend]]="","",_xlfn.CONCAT(Ruimtestaat[[#This Row],[Ruimte code]],"-",Ruimtestaat[[#This Row],[Frequentie weekend]]," ",Ruimtestaat[[#This Row],[Vloer code]]))</f>
        <v/>
      </c>
      <c r="BE305" s="300" t="str">
        <f>_xlfn.IFNA(VLOOKUP($BD305,Programma!$F$3:$G$1107,2,0),"")</f>
        <v/>
      </c>
      <c r="BF305" s="300" t="str">
        <f>_xlfn.IFNA(VLOOKUP($BD305,Programma!$F$3:$H$1107,3,0),"")</f>
        <v/>
      </c>
      <c r="BG305" s="300" t="str">
        <f>_xlfn.IFNA(VLOOKUP($BD305,Programma!$F$3:$I$1107,4,0),"")</f>
        <v/>
      </c>
      <c r="BH305" s="300" t="str">
        <f>_xlfn.IFNA(VLOOKUP($BD305,Programma!$F$3:$J$1107,5,0),"")</f>
        <v/>
      </c>
      <c r="BI305" s="300" t="str">
        <f>_xlfn.IFNA(VLOOKUP($BD305,Programma!$F$3:$K$1107,6,0),"")</f>
        <v/>
      </c>
      <c r="BJ305" s="300" t="str">
        <f>_xlfn.IFNA(VLOOKUP($BD305,Programma!$F$3:$L$1107,7,0),"")</f>
        <v/>
      </c>
      <c r="BK305" s="300" t="str">
        <f>_xlfn.IFNA(VLOOKUP($BD305,Programma!$F$3:$M$1107,8,0),"")</f>
        <v/>
      </c>
      <c r="BL305" s="300" t="str">
        <f>_xlfn.IFNA(VLOOKUP($BD305,Programma!$F$3:$N$1107,9,0),"")</f>
        <v/>
      </c>
      <c r="BM305" s="300" t="str">
        <f>_xlfn.IFNA(VLOOKUP($BD305,Programma!$F$3:$O$1107,10,0),"")</f>
        <v/>
      </c>
      <c r="BN305" s="300" t="str">
        <f>_xlfn.IFNA(VLOOKUP($BD305,Programma!$F$3:$P$1107,11,0),"")</f>
        <v/>
      </c>
      <c r="BO305" s="300" t="str">
        <f>_xlfn.IFNA(VLOOKUP($BD305,Programma!$F$3:$Q$1107,12,0),"")</f>
        <v/>
      </c>
      <c r="BP305" s="300" t="str">
        <f>_xlfn.IFNA(VLOOKUP($BD305,Programma!$F$3:$R$1107,13,0),"")</f>
        <v/>
      </c>
      <c r="BQ305" s="300" t="str">
        <f>_xlfn.IFNA(VLOOKUP($BD305,Programma!$F$3:$S$1107,14,0),"")</f>
        <v/>
      </c>
      <c r="BR305" s="300" t="str">
        <f>_xlfn.IFNA(VLOOKUP($BD305,Programma!$F$3:$T$1107,15,0),"")</f>
        <v/>
      </c>
      <c r="BS305" s="300" t="str">
        <f>_xlfn.IFNA(VLOOKUP($BD305,Programma!$F$3:$U$1107,16,0),"")</f>
        <v/>
      </c>
      <c r="BT305" s="300" t="str">
        <f>_xlfn.IFNA(VLOOKUP($BD305,Programma!$F$3:$V$1107,17,0),"")</f>
        <v/>
      </c>
      <c r="BU305" s="300" t="str">
        <f>_xlfn.IFNA(VLOOKUP($BD305,Programma!$F$3:$W$1107,18,0),"")</f>
        <v/>
      </c>
      <c r="BV305" s="300" t="str">
        <f>_xlfn.IFNA(VLOOKUP($BD305,Programma!$F$3:$X$1107,19,0),"")</f>
        <v/>
      </c>
      <c r="BW305" s="300" t="str">
        <f>_xlfn.IFNA(VLOOKUP($BD305,Programma!$F$3:$Y$1107,20,0),"")</f>
        <v/>
      </c>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row>
    <row r="306" spans="1:220" ht="15" customHeight="1">
      <c r="A306" s="21">
        <v>4</v>
      </c>
      <c r="B306" s="157" t="str">
        <f>VLOOKUP(Ruimtestaat[[#This Row],[Code]],Locaties[[Code]:[Locatie]],2,FALSE)</f>
        <v>Sint-Maartenscollege</v>
      </c>
      <c r="C306" s="157" t="str">
        <f>VLOOKUP(Ruimtestaat[[#This Row],[Code]],Locaties[[#All],[Code]:[Adres]],4,FALSE)</f>
        <v xml:space="preserve">Aart v.d. Leeuwkade 14 </v>
      </c>
      <c r="D306" s="157" t="str">
        <f>VLOOKUP(Ruimtestaat[[#This Row],[Code]],Locaties[[#All],[Code]:[Postcode]],5,FALSE)</f>
        <v>2274 KX</v>
      </c>
      <c r="E306" s="157" t="str">
        <f>VLOOKUP(Ruimtestaat[[#This Row],[Code]],Locaties[#All],6,FALSE)</f>
        <v>Voorburg</v>
      </c>
      <c r="F306" s="62"/>
      <c r="G306" s="21" t="s">
        <v>1706</v>
      </c>
      <c r="H306" s="21" t="s">
        <v>1732</v>
      </c>
      <c r="I306" s="62" t="s">
        <v>1953</v>
      </c>
      <c r="J306" s="21">
        <v>16</v>
      </c>
      <c r="K306" s="62" t="str">
        <f>VLOOKUP(Ruimtestaat[[#This Row],[Ruimte code]],Ruimtegroepen[[#All],[Code]:[Ruimte omschrijving]],2,FALSE)</f>
        <v>Leslokalen theorie</v>
      </c>
      <c r="L306" s="33" t="s">
        <v>101</v>
      </c>
      <c r="M306" s="367" t="s">
        <v>2495</v>
      </c>
      <c r="N306" s="140">
        <v>47</v>
      </c>
      <c r="O306" s="140"/>
      <c r="P306" s="125" t="str">
        <f>VLOOKUP(Ruimtestaat[[#This Row],[Ruimte code]],Ruimtegroepen[],4,FALSE)</f>
        <v>Le</v>
      </c>
      <c r="R306" s="33">
        <v>40</v>
      </c>
      <c r="S306" s="33" t="s">
        <v>2</v>
      </c>
      <c r="T306" s="33">
        <f>IF(R306&gt;0,IF(RIGHT(Ruimtestaat[[#This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6" s="33">
        <f>IF(T306&gt;0,VLOOKUP($J306,Ruimtegroepen[],3,FALSE)*VLOOKUP($L306,Vloersoorten[],3,FALSE)*VLOOKUP($S306,Frequenties[],3,FALSE)*VLOOKUP($A306,Locaties[],3,FALSE),0)</f>
        <v>0</v>
      </c>
      <c r="V306" s="33">
        <f>Ruimtestaat[[#This Row],[Uitvoeringen werkdagen]]*Ruimtestaat[[#This Row],[Oppervlak (netto)]]</f>
        <v>9400</v>
      </c>
      <c r="W306" s="154">
        <f>IF(U306&gt;0,Ruimtestaat[[#This Row],[Prest. (m2 /jaar) werkdagen]]/Ruimtestaat[[#This Row],[Norm (m2/uur) werkdagen]],0)</f>
        <v>0</v>
      </c>
      <c r="X306" s="155">
        <f>Ruimtestaat[[#This Row],[uren / jaar werkdagen]]*Tariefsopbouw!$E$35</f>
        <v>0</v>
      </c>
      <c r="Y306" s="33"/>
      <c r="Z306" s="33">
        <f>IF(Ruimtestaat[[#This Row],[Frequentie weekend]]&gt;0,VALUE(LEFT(Y306,1))*R306,0)</f>
        <v>0</v>
      </c>
      <c r="AA306" s="97">
        <f>IF($Z306&gt;0,VLOOKUP($J306,Ruimtegroepen[],3,FALSE)*VLOOKUP($L306,Vloersoorten[],3,FALSE)*VLOOKUP($Y306,Frequenties[],3,FALSE)*VLOOKUP(Ruimtestaat[[#This Row],[Code]],Locaties[],3,FALSE),0)</f>
        <v>0</v>
      </c>
      <c r="AB306" s="97">
        <f>Ruimtestaat[[#This Row],[Uitvoeringen weekend]]*Ruimtestaat[[#This Row],[Oppervlak (netto)]]</f>
        <v>0</v>
      </c>
      <c r="AC306" s="97">
        <f>IF(AA306&gt;0,Ruimtestaat[[#This Row],[Prest. (m2 /jaar) weekend]]/Ruimtestaat[[#This Row],[Norm (m2/uur) weekend]],0)</f>
        <v>0</v>
      </c>
      <c r="AD306" s="155">
        <f>Ruimtestaat[[#This Row],[uren / jaar weekend]]*Tariefsopbouw!$D$40</f>
        <v>0</v>
      </c>
      <c r="AE306" s="154">
        <f>Ruimtestaat[[#This Row],[Prest. (m2 /jaar) weekend]]+Ruimtestaat[[#This Row],[Prest. (m2 /jaar) werkdagen]]</f>
        <v>9400</v>
      </c>
      <c r="AF306" s="154">
        <f>Ruimtestaat[[#This Row],[uren / jaar weekend]]+Ruimtestaat[[#This Row],[uren / jaar werkdagen]]</f>
        <v>0</v>
      </c>
      <c r="AG306" s="69">
        <f>Ruimtestaat[[#This Row],[kosten / jaar weekend]]+Ruimtestaat[[#This Row],[kosten / jaar werkdagen]]</f>
        <v>0</v>
      </c>
      <c r="AH306" s="69"/>
      <c r="AI306" s="256" t="str">
        <f>IF(Ruimtestaat[[#This Row],[Frequentie werkdagen]]="","",_xlfn.CONCAT(Ruimtestaat[[#This Row],[Ruimte code]],"-",Ruimtestaat[[#This Row],[Frequentie werkdagen]]," ",Ruimtestaat[[#This Row],[Vloer code]]))</f>
        <v>16-5w L</v>
      </c>
      <c r="AJ306" s="300" t="str">
        <f>_xlfn.IFNA(VLOOKUP($AI306,Programma!$F$3:$G$1107,2,0),"")</f>
        <v>_</v>
      </c>
      <c r="AK306" s="300" t="str">
        <f>_xlfn.IFNA(VLOOKUP($AI306,Programma!$F$3:$H$1107,3,0),"")</f>
        <v>_</v>
      </c>
      <c r="AL306" s="300" t="str">
        <f>_xlfn.IFNA(VLOOKUP($AI306,Programma!$F$3:$I$1107,4,0),"")</f>
        <v>4w</v>
      </c>
      <c r="AM306" s="300" t="str">
        <f>_xlfn.IFNA(VLOOKUP($AI306,Programma!$F$3:$J$1107,5,0),"")</f>
        <v>1w</v>
      </c>
      <c r="AN306" s="300" t="str">
        <f>_xlfn.IFNA(VLOOKUP($AI306,Programma!$F$3:$K$1107,6,0),"")</f>
        <v>_</v>
      </c>
      <c r="AO306" s="300" t="str">
        <f>_xlfn.IFNA(VLOOKUP($AI306,Programma!$F$3:$L$1107,7,0),"")</f>
        <v>_</v>
      </c>
      <c r="AP306" s="300" t="str">
        <f>_xlfn.IFNA(VLOOKUP($AI306,Programma!$F$3:$M$1107,8,0),"")</f>
        <v>_</v>
      </c>
      <c r="AQ306" s="300" t="str">
        <f>_xlfn.IFNA(VLOOKUP($AI306,Programma!$F$3:$N$1107,9,0),"")</f>
        <v>_</v>
      </c>
      <c r="AR306" s="300" t="str">
        <f>_xlfn.IFNA(VLOOKUP($AI306,Programma!$F$3:$O$1107,10,0),"")</f>
        <v>5w</v>
      </c>
      <c r="AS306" s="300" t="str">
        <f>_xlfn.IFNA(VLOOKUP($AI306,Programma!$F$3:$P$1107,11,0),"")</f>
        <v>5w</v>
      </c>
      <c r="AT306" s="300" t="str">
        <f>_xlfn.IFNA(VLOOKUP($AI306,Programma!$F$3:$Q$1107,12,0),"")</f>
        <v>1w</v>
      </c>
      <c r="AU306" s="300" t="str">
        <f>_xlfn.IFNA(VLOOKUP($AI306,Programma!$F$3:$R$1107,13,0),"")</f>
        <v>1w</v>
      </c>
      <c r="AV306" s="300" t="str">
        <f>_xlfn.IFNA(VLOOKUP($AI306,Programma!$F$3:$S$1107,14,0),"")</f>
        <v>1m</v>
      </c>
      <c r="AW306" s="300" t="str">
        <f>_xlfn.IFNA(VLOOKUP($AI306,Programma!$F$3:$T$1107,15,0),"")</f>
        <v>2j</v>
      </c>
      <c r="AX306" s="300" t="str">
        <f>_xlfn.IFNA(VLOOKUP($AI306,Programma!$F$3:$U$1107,16,0),"")</f>
        <v>1j</v>
      </c>
      <c r="AY306" s="300" t="str">
        <f>_xlfn.IFNA(VLOOKUP($AI306,Programma!$F$3:$V$1107,17,0),"")</f>
        <v>_</v>
      </c>
      <c r="AZ306" s="300" t="str">
        <f>_xlfn.IFNA(VLOOKUP($AI306,Programma!$F$3:$W$1107,18,0),"")</f>
        <v>_</v>
      </c>
      <c r="BA306" s="300" t="str">
        <f>_xlfn.IFNA(VLOOKUP($AI306,Programma!$F$3:$X$1107,19,0),"")</f>
        <v>_</v>
      </c>
      <c r="BB306" s="300" t="str">
        <f>_xlfn.IFNA(VLOOKUP($AI306,Programma!$F$3:$Y$1107,20,0),"")</f>
        <v>_</v>
      </c>
      <c r="BC306" s="257"/>
      <c r="BD306" s="256" t="str">
        <f>IF(Ruimtestaat[[#This Row],[Frequentie weekend]]="","",_xlfn.CONCAT(Ruimtestaat[[#This Row],[Ruimte code]],"-",Ruimtestaat[[#This Row],[Frequentie weekend]]," ",Ruimtestaat[[#This Row],[Vloer code]]))</f>
        <v/>
      </c>
      <c r="BE306" s="300" t="str">
        <f>_xlfn.IFNA(VLOOKUP($BD306,Programma!$F$3:$G$1107,2,0),"")</f>
        <v/>
      </c>
      <c r="BF306" s="300" t="str">
        <f>_xlfn.IFNA(VLOOKUP($BD306,Programma!$F$3:$H$1107,3,0),"")</f>
        <v/>
      </c>
      <c r="BG306" s="300" t="str">
        <f>_xlfn.IFNA(VLOOKUP($BD306,Programma!$F$3:$I$1107,4,0),"")</f>
        <v/>
      </c>
      <c r="BH306" s="300" t="str">
        <f>_xlfn.IFNA(VLOOKUP($BD306,Programma!$F$3:$J$1107,5,0),"")</f>
        <v/>
      </c>
      <c r="BI306" s="300" t="str">
        <f>_xlfn.IFNA(VLOOKUP($BD306,Programma!$F$3:$K$1107,6,0),"")</f>
        <v/>
      </c>
      <c r="BJ306" s="300" t="str">
        <f>_xlfn.IFNA(VLOOKUP($BD306,Programma!$F$3:$L$1107,7,0),"")</f>
        <v/>
      </c>
      <c r="BK306" s="300" t="str">
        <f>_xlfn.IFNA(VLOOKUP($BD306,Programma!$F$3:$M$1107,8,0),"")</f>
        <v/>
      </c>
      <c r="BL306" s="300" t="str">
        <f>_xlfn.IFNA(VLOOKUP($BD306,Programma!$F$3:$N$1107,9,0),"")</f>
        <v/>
      </c>
      <c r="BM306" s="300" t="str">
        <f>_xlfn.IFNA(VLOOKUP($BD306,Programma!$F$3:$O$1107,10,0),"")</f>
        <v/>
      </c>
      <c r="BN306" s="300" t="str">
        <f>_xlfn.IFNA(VLOOKUP($BD306,Programma!$F$3:$P$1107,11,0),"")</f>
        <v/>
      </c>
      <c r="BO306" s="300" t="str">
        <f>_xlfn.IFNA(VLOOKUP($BD306,Programma!$F$3:$Q$1107,12,0),"")</f>
        <v/>
      </c>
      <c r="BP306" s="300" t="str">
        <f>_xlfn.IFNA(VLOOKUP($BD306,Programma!$F$3:$R$1107,13,0),"")</f>
        <v/>
      </c>
      <c r="BQ306" s="300" t="str">
        <f>_xlfn.IFNA(VLOOKUP($BD306,Programma!$F$3:$S$1107,14,0),"")</f>
        <v/>
      </c>
      <c r="BR306" s="300" t="str">
        <f>_xlfn.IFNA(VLOOKUP($BD306,Programma!$F$3:$T$1107,15,0),"")</f>
        <v/>
      </c>
      <c r="BS306" s="300" t="str">
        <f>_xlfn.IFNA(VLOOKUP($BD306,Programma!$F$3:$U$1107,16,0),"")</f>
        <v/>
      </c>
      <c r="BT306" s="300" t="str">
        <f>_xlfn.IFNA(VLOOKUP($BD306,Programma!$F$3:$V$1107,17,0),"")</f>
        <v/>
      </c>
      <c r="BU306" s="300" t="str">
        <f>_xlfn.IFNA(VLOOKUP($BD306,Programma!$F$3:$W$1107,18,0),"")</f>
        <v/>
      </c>
      <c r="BV306" s="300" t="str">
        <f>_xlfn.IFNA(VLOOKUP($BD306,Programma!$F$3:$X$1107,19,0),"")</f>
        <v/>
      </c>
      <c r="BW306" s="300" t="str">
        <f>_xlfn.IFNA(VLOOKUP($BD306,Programma!$F$3:$Y$1107,20,0),"")</f>
        <v/>
      </c>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row>
    <row r="307" spans="1:220" ht="15" customHeight="1">
      <c r="A307" s="21">
        <v>4</v>
      </c>
      <c r="B307" s="157" t="str">
        <f>VLOOKUP(Ruimtestaat[[#This Row],[Code]],Locaties[[Code]:[Locatie]],2,FALSE)</f>
        <v>Sint-Maartenscollege</v>
      </c>
      <c r="C307" s="157" t="str">
        <f>VLOOKUP(Ruimtestaat[[#This Row],[Code]],Locaties[[#All],[Code]:[Adres]],4,FALSE)</f>
        <v xml:space="preserve">Aart v.d. Leeuwkade 14 </v>
      </c>
      <c r="D307" s="157" t="str">
        <f>VLOOKUP(Ruimtestaat[[#This Row],[Code]],Locaties[[#All],[Code]:[Postcode]],5,FALSE)</f>
        <v>2274 KX</v>
      </c>
      <c r="E307" s="157" t="str">
        <f>VLOOKUP(Ruimtestaat[[#This Row],[Code]],Locaties[#All],6,FALSE)</f>
        <v>Voorburg</v>
      </c>
      <c r="F307" s="62"/>
      <c r="G307" s="21" t="s">
        <v>1706</v>
      </c>
      <c r="H307" s="21" t="s">
        <v>1734</v>
      </c>
      <c r="I307" s="62" t="s">
        <v>1625</v>
      </c>
      <c r="J307" s="21">
        <v>6</v>
      </c>
      <c r="K307" s="62" t="str">
        <f>VLOOKUP(Ruimtestaat[[#This Row],[Ruimte code]],Ruimtegroepen[[#All],[Code]:[Ruimte omschrijving]],2,FALSE)</f>
        <v>Gangen/hallen</v>
      </c>
      <c r="L307" s="33" t="s">
        <v>101</v>
      </c>
      <c r="M307" s="367" t="s">
        <v>2495</v>
      </c>
      <c r="N307" s="140">
        <v>155</v>
      </c>
      <c r="O307" s="140"/>
      <c r="P307" s="125" t="str">
        <f>VLOOKUP(Ruimtestaat[[#This Row],[Ruimte code]],Ruimtegroepen[],4,FALSE)</f>
        <v>Ve</v>
      </c>
      <c r="R307" s="33">
        <v>40</v>
      </c>
      <c r="S307" s="33" t="s">
        <v>2</v>
      </c>
      <c r="T307" s="33">
        <f>IF(R307&gt;0,IF(RIGHT(Ruimtestaat[[#This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7" s="33">
        <f>IF(T307&gt;0,VLOOKUP($J307,Ruimtegroepen[],3,FALSE)*VLOOKUP($L307,Vloersoorten[],3,FALSE)*VLOOKUP($S307,Frequenties[],3,FALSE)*VLOOKUP($A307,Locaties[],3,FALSE),0)</f>
        <v>0</v>
      </c>
      <c r="V307" s="33">
        <f>Ruimtestaat[[#This Row],[Uitvoeringen werkdagen]]*Ruimtestaat[[#This Row],[Oppervlak (netto)]]</f>
        <v>31000</v>
      </c>
      <c r="W307" s="154">
        <f>IF(U307&gt;0,Ruimtestaat[[#This Row],[Prest. (m2 /jaar) werkdagen]]/Ruimtestaat[[#This Row],[Norm (m2/uur) werkdagen]],0)</f>
        <v>0</v>
      </c>
      <c r="X307" s="155">
        <f>Ruimtestaat[[#This Row],[uren / jaar werkdagen]]*Tariefsopbouw!$E$35</f>
        <v>0</v>
      </c>
      <c r="Y307" s="33"/>
      <c r="Z307" s="33">
        <f>IF(Ruimtestaat[[#This Row],[Frequentie weekend]]&gt;0,VALUE(LEFT(Y307,1))*R307,0)</f>
        <v>0</v>
      </c>
      <c r="AA307" s="97">
        <f>IF($Z307&gt;0,VLOOKUP($J307,Ruimtegroepen[],3,FALSE)*VLOOKUP($L307,Vloersoorten[],3,FALSE)*VLOOKUP($Y307,Frequenties[],3,FALSE)*VLOOKUP(Ruimtestaat[[#This Row],[Code]],Locaties[],3,FALSE),0)</f>
        <v>0</v>
      </c>
      <c r="AB307" s="97">
        <f>Ruimtestaat[[#This Row],[Uitvoeringen weekend]]*Ruimtestaat[[#This Row],[Oppervlak (netto)]]</f>
        <v>0</v>
      </c>
      <c r="AC307" s="97">
        <f>IF(AA307&gt;0,Ruimtestaat[[#This Row],[Prest. (m2 /jaar) weekend]]/Ruimtestaat[[#This Row],[Norm (m2/uur) weekend]],0)</f>
        <v>0</v>
      </c>
      <c r="AD307" s="155">
        <f>Ruimtestaat[[#This Row],[uren / jaar weekend]]*Tariefsopbouw!$D$40</f>
        <v>0</v>
      </c>
      <c r="AE307" s="154">
        <f>Ruimtestaat[[#This Row],[Prest. (m2 /jaar) weekend]]+Ruimtestaat[[#This Row],[Prest. (m2 /jaar) werkdagen]]</f>
        <v>31000</v>
      </c>
      <c r="AF307" s="154">
        <f>Ruimtestaat[[#This Row],[uren / jaar weekend]]+Ruimtestaat[[#This Row],[uren / jaar werkdagen]]</f>
        <v>0</v>
      </c>
      <c r="AG307" s="69">
        <f>Ruimtestaat[[#This Row],[kosten / jaar weekend]]+Ruimtestaat[[#This Row],[kosten / jaar werkdagen]]</f>
        <v>0</v>
      </c>
      <c r="AH307" s="69"/>
      <c r="AI307" s="256" t="str">
        <f>IF(Ruimtestaat[[#This Row],[Frequentie werkdagen]]="","",_xlfn.CONCAT(Ruimtestaat[[#This Row],[Ruimte code]],"-",Ruimtestaat[[#This Row],[Frequentie werkdagen]]," ",Ruimtestaat[[#This Row],[Vloer code]]))</f>
        <v>6-5w L</v>
      </c>
      <c r="AJ307" s="300" t="str">
        <f>_xlfn.IFNA(VLOOKUP($AI307,Programma!$F$3:$G$1107,2,0),"")</f>
        <v>_</v>
      </c>
      <c r="AK307" s="300" t="str">
        <f>_xlfn.IFNA(VLOOKUP($AI307,Programma!$F$3:$H$1107,3,0),"")</f>
        <v>_</v>
      </c>
      <c r="AL307" s="300" t="str">
        <f>_xlfn.IFNA(VLOOKUP($AI307,Programma!$F$3:$I$1107,4,0),"")</f>
        <v>_</v>
      </c>
      <c r="AM307" s="300" t="str">
        <f>_xlfn.IFNA(VLOOKUP($AI307,Programma!$F$3:$J$1107,5,0),"")</f>
        <v>5w</v>
      </c>
      <c r="AN307" s="300" t="str">
        <f>_xlfn.IFNA(VLOOKUP($AI307,Programma!$F$3:$K$1107,6,0),"")</f>
        <v>_</v>
      </c>
      <c r="AO307" s="300" t="str">
        <f>_xlfn.IFNA(VLOOKUP($AI307,Programma!$F$3:$L$1107,7,0),"")</f>
        <v>_</v>
      </c>
      <c r="AP307" s="300" t="str">
        <f>_xlfn.IFNA(VLOOKUP($AI307,Programma!$F$3:$M$1107,8,0),"")</f>
        <v>_</v>
      </c>
      <c r="AQ307" s="300" t="str">
        <f>_xlfn.IFNA(VLOOKUP($AI307,Programma!$F$3:$N$1107,9,0),"")</f>
        <v>_</v>
      </c>
      <c r="AR307" s="300" t="str">
        <f>_xlfn.IFNA(VLOOKUP($AI307,Programma!$F$3:$O$1107,10,0),"")</f>
        <v>5w</v>
      </c>
      <c r="AS307" s="300" t="str">
        <f>_xlfn.IFNA(VLOOKUP($AI307,Programma!$F$3:$P$1107,11,0),"")</f>
        <v>5w</v>
      </c>
      <c r="AT307" s="300" t="str">
        <f>_xlfn.IFNA(VLOOKUP($AI307,Programma!$F$3:$Q$1107,12,0),"")</f>
        <v>1w</v>
      </c>
      <c r="AU307" s="300" t="str">
        <f>_xlfn.IFNA(VLOOKUP($AI307,Programma!$F$3:$R$1107,13,0),"")</f>
        <v>1w</v>
      </c>
      <c r="AV307" s="300" t="str">
        <f>_xlfn.IFNA(VLOOKUP($AI307,Programma!$F$3:$S$1107,14,0),"")</f>
        <v>1m</v>
      </c>
      <c r="AW307" s="300" t="str">
        <f>_xlfn.IFNA(VLOOKUP($AI307,Programma!$F$3:$T$1107,15,0),"")</f>
        <v>2j</v>
      </c>
      <c r="AX307" s="300" t="str">
        <f>_xlfn.IFNA(VLOOKUP($AI307,Programma!$F$3:$U$1107,16,0),"")</f>
        <v>1j</v>
      </c>
      <c r="AY307" s="300" t="str">
        <f>_xlfn.IFNA(VLOOKUP($AI307,Programma!$F$3:$V$1107,17,0),"")</f>
        <v>_</v>
      </c>
      <c r="AZ307" s="300" t="str">
        <f>_xlfn.IFNA(VLOOKUP($AI307,Programma!$F$3:$W$1107,18,0),"")</f>
        <v>_</v>
      </c>
      <c r="BA307" s="300" t="str">
        <f>_xlfn.IFNA(VLOOKUP($AI307,Programma!$F$3:$X$1107,19,0),"")</f>
        <v>_</v>
      </c>
      <c r="BB307" s="300" t="str">
        <f>_xlfn.IFNA(VLOOKUP($AI307,Programma!$F$3:$Y$1107,20,0),"")</f>
        <v>_</v>
      </c>
      <c r="BC307" s="257"/>
      <c r="BD307" s="256" t="str">
        <f>IF(Ruimtestaat[[#This Row],[Frequentie weekend]]="","",_xlfn.CONCAT(Ruimtestaat[[#This Row],[Ruimte code]],"-",Ruimtestaat[[#This Row],[Frequentie weekend]]," ",Ruimtestaat[[#This Row],[Vloer code]]))</f>
        <v/>
      </c>
      <c r="BE307" s="300" t="str">
        <f>_xlfn.IFNA(VLOOKUP($BD307,Programma!$F$3:$G$1107,2,0),"")</f>
        <v/>
      </c>
      <c r="BF307" s="300" t="str">
        <f>_xlfn.IFNA(VLOOKUP($BD307,Programma!$F$3:$H$1107,3,0),"")</f>
        <v/>
      </c>
      <c r="BG307" s="300" t="str">
        <f>_xlfn.IFNA(VLOOKUP($BD307,Programma!$F$3:$I$1107,4,0),"")</f>
        <v/>
      </c>
      <c r="BH307" s="300" t="str">
        <f>_xlfn.IFNA(VLOOKUP($BD307,Programma!$F$3:$J$1107,5,0),"")</f>
        <v/>
      </c>
      <c r="BI307" s="300" t="str">
        <f>_xlfn.IFNA(VLOOKUP($BD307,Programma!$F$3:$K$1107,6,0),"")</f>
        <v/>
      </c>
      <c r="BJ307" s="300" t="str">
        <f>_xlfn.IFNA(VLOOKUP($BD307,Programma!$F$3:$L$1107,7,0),"")</f>
        <v/>
      </c>
      <c r="BK307" s="300" t="str">
        <f>_xlfn.IFNA(VLOOKUP($BD307,Programma!$F$3:$M$1107,8,0),"")</f>
        <v/>
      </c>
      <c r="BL307" s="300" t="str">
        <f>_xlfn.IFNA(VLOOKUP($BD307,Programma!$F$3:$N$1107,9,0),"")</f>
        <v/>
      </c>
      <c r="BM307" s="300" t="str">
        <f>_xlfn.IFNA(VLOOKUP($BD307,Programma!$F$3:$O$1107,10,0),"")</f>
        <v/>
      </c>
      <c r="BN307" s="300" t="str">
        <f>_xlfn.IFNA(VLOOKUP($BD307,Programma!$F$3:$P$1107,11,0),"")</f>
        <v/>
      </c>
      <c r="BO307" s="300" t="str">
        <f>_xlfn.IFNA(VLOOKUP($BD307,Programma!$F$3:$Q$1107,12,0),"")</f>
        <v/>
      </c>
      <c r="BP307" s="300" t="str">
        <f>_xlfn.IFNA(VLOOKUP($BD307,Programma!$F$3:$R$1107,13,0),"")</f>
        <v/>
      </c>
      <c r="BQ307" s="300" t="str">
        <f>_xlfn.IFNA(VLOOKUP($BD307,Programma!$F$3:$S$1107,14,0),"")</f>
        <v/>
      </c>
      <c r="BR307" s="300" t="str">
        <f>_xlfn.IFNA(VLOOKUP($BD307,Programma!$F$3:$T$1107,15,0),"")</f>
        <v/>
      </c>
      <c r="BS307" s="300" t="str">
        <f>_xlfn.IFNA(VLOOKUP($BD307,Programma!$F$3:$U$1107,16,0),"")</f>
        <v/>
      </c>
      <c r="BT307" s="300" t="str">
        <f>_xlfn.IFNA(VLOOKUP($BD307,Programma!$F$3:$V$1107,17,0),"")</f>
        <v/>
      </c>
      <c r="BU307" s="300" t="str">
        <f>_xlfn.IFNA(VLOOKUP($BD307,Programma!$F$3:$W$1107,18,0),"")</f>
        <v/>
      </c>
      <c r="BV307" s="300" t="str">
        <f>_xlfn.IFNA(VLOOKUP($BD307,Programma!$F$3:$X$1107,19,0),"")</f>
        <v/>
      </c>
      <c r="BW307" s="300" t="str">
        <f>_xlfn.IFNA(VLOOKUP($BD307,Programma!$F$3:$Y$1107,20,0),"")</f>
        <v/>
      </c>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row>
    <row r="308" spans="1:220" ht="15" customHeight="1">
      <c r="A308" s="21">
        <v>4</v>
      </c>
      <c r="B308" s="157" t="str">
        <f>VLOOKUP(Ruimtestaat[[#This Row],[Code]],Locaties[[Code]:[Locatie]],2,FALSE)</f>
        <v>Sint-Maartenscollege</v>
      </c>
      <c r="C308" s="157" t="str">
        <f>VLOOKUP(Ruimtestaat[[#This Row],[Code]],Locaties[[#All],[Code]:[Adres]],4,FALSE)</f>
        <v xml:space="preserve">Aart v.d. Leeuwkade 14 </v>
      </c>
      <c r="D308" s="157" t="str">
        <f>VLOOKUP(Ruimtestaat[[#This Row],[Code]],Locaties[[#All],[Code]:[Postcode]],5,FALSE)</f>
        <v>2274 KX</v>
      </c>
      <c r="E308" s="157" t="str">
        <f>VLOOKUP(Ruimtestaat[[#This Row],[Code]],Locaties[#All],6,FALSE)</f>
        <v>Voorburg</v>
      </c>
      <c r="F308" s="62"/>
      <c r="G308" s="21" t="s">
        <v>1706</v>
      </c>
      <c r="H308" s="21" t="s">
        <v>1736</v>
      </c>
      <c r="I308" s="62" t="s">
        <v>1625</v>
      </c>
      <c r="J308" s="21">
        <v>6</v>
      </c>
      <c r="K308" s="62" t="str">
        <f>VLOOKUP(Ruimtestaat[[#This Row],[Ruimte code]],Ruimtegroepen[[#All],[Code]:[Ruimte omschrijving]],2,FALSE)</f>
        <v>Gangen/hallen</v>
      </c>
      <c r="L308" s="33" t="s">
        <v>101</v>
      </c>
      <c r="M308" s="367" t="s">
        <v>2495</v>
      </c>
      <c r="N308" s="140">
        <v>77</v>
      </c>
      <c r="O308" s="140"/>
      <c r="P308" s="125" t="str">
        <f>VLOOKUP(Ruimtestaat[[#This Row],[Ruimte code]],Ruimtegroepen[],4,FALSE)</f>
        <v>Ve</v>
      </c>
      <c r="R308" s="33">
        <v>40</v>
      </c>
      <c r="S308" s="33" t="s">
        <v>2</v>
      </c>
      <c r="T308" s="33">
        <f>IF(R308&gt;0,IF(RIGHT(Ruimtestaat[[#This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8" s="33">
        <f>IF(T308&gt;0,VLOOKUP($J308,Ruimtegroepen[],3,FALSE)*VLOOKUP($L308,Vloersoorten[],3,FALSE)*VLOOKUP($S308,Frequenties[],3,FALSE)*VLOOKUP($A308,Locaties[],3,FALSE),0)</f>
        <v>0</v>
      </c>
      <c r="V308" s="33">
        <f>Ruimtestaat[[#This Row],[Uitvoeringen werkdagen]]*Ruimtestaat[[#This Row],[Oppervlak (netto)]]</f>
        <v>15400</v>
      </c>
      <c r="W308" s="154">
        <f>IF(U308&gt;0,Ruimtestaat[[#This Row],[Prest. (m2 /jaar) werkdagen]]/Ruimtestaat[[#This Row],[Norm (m2/uur) werkdagen]],0)</f>
        <v>0</v>
      </c>
      <c r="X308" s="155">
        <f>Ruimtestaat[[#This Row],[uren / jaar werkdagen]]*Tariefsopbouw!$E$35</f>
        <v>0</v>
      </c>
      <c r="Y308" s="33"/>
      <c r="Z308" s="33">
        <f>IF(Ruimtestaat[[#This Row],[Frequentie weekend]]&gt;0,VALUE(LEFT(Y308,1))*R308,0)</f>
        <v>0</v>
      </c>
      <c r="AA308" s="97">
        <f>IF($Z308&gt;0,VLOOKUP($J308,Ruimtegroepen[],3,FALSE)*VLOOKUP($L308,Vloersoorten[],3,FALSE)*VLOOKUP($Y308,Frequenties[],3,FALSE)*VLOOKUP(Ruimtestaat[[#This Row],[Code]],Locaties[],3,FALSE),0)</f>
        <v>0</v>
      </c>
      <c r="AB308" s="97">
        <f>Ruimtestaat[[#This Row],[Uitvoeringen weekend]]*Ruimtestaat[[#This Row],[Oppervlak (netto)]]</f>
        <v>0</v>
      </c>
      <c r="AC308" s="97">
        <f>IF(AA308&gt;0,Ruimtestaat[[#This Row],[Prest. (m2 /jaar) weekend]]/Ruimtestaat[[#This Row],[Norm (m2/uur) weekend]],0)</f>
        <v>0</v>
      </c>
      <c r="AD308" s="155">
        <f>Ruimtestaat[[#This Row],[uren / jaar weekend]]*Tariefsopbouw!$D$40</f>
        <v>0</v>
      </c>
      <c r="AE308" s="154">
        <f>Ruimtestaat[[#This Row],[Prest. (m2 /jaar) weekend]]+Ruimtestaat[[#This Row],[Prest. (m2 /jaar) werkdagen]]</f>
        <v>15400</v>
      </c>
      <c r="AF308" s="154">
        <f>Ruimtestaat[[#This Row],[uren / jaar weekend]]+Ruimtestaat[[#This Row],[uren / jaar werkdagen]]</f>
        <v>0</v>
      </c>
      <c r="AG308" s="69">
        <f>Ruimtestaat[[#This Row],[kosten / jaar weekend]]+Ruimtestaat[[#This Row],[kosten / jaar werkdagen]]</f>
        <v>0</v>
      </c>
      <c r="AH308" s="69"/>
      <c r="AI308" s="256" t="str">
        <f>IF(Ruimtestaat[[#This Row],[Frequentie werkdagen]]="","",_xlfn.CONCAT(Ruimtestaat[[#This Row],[Ruimte code]],"-",Ruimtestaat[[#This Row],[Frequentie werkdagen]]," ",Ruimtestaat[[#This Row],[Vloer code]]))</f>
        <v>6-5w L</v>
      </c>
      <c r="AJ308" s="300" t="str">
        <f>_xlfn.IFNA(VLOOKUP($AI308,Programma!$F$3:$G$1107,2,0),"")</f>
        <v>_</v>
      </c>
      <c r="AK308" s="300" t="str">
        <f>_xlfn.IFNA(VLOOKUP($AI308,Programma!$F$3:$H$1107,3,0),"")</f>
        <v>_</v>
      </c>
      <c r="AL308" s="300" t="str">
        <f>_xlfn.IFNA(VLOOKUP($AI308,Programma!$F$3:$I$1107,4,0),"")</f>
        <v>_</v>
      </c>
      <c r="AM308" s="300" t="str">
        <f>_xlfn.IFNA(VLOOKUP($AI308,Programma!$F$3:$J$1107,5,0),"")</f>
        <v>5w</v>
      </c>
      <c r="AN308" s="300" t="str">
        <f>_xlfn.IFNA(VLOOKUP($AI308,Programma!$F$3:$K$1107,6,0),"")</f>
        <v>_</v>
      </c>
      <c r="AO308" s="300" t="str">
        <f>_xlfn.IFNA(VLOOKUP($AI308,Programma!$F$3:$L$1107,7,0),"")</f>
        <v>_</v>
      </c>
      <c r="AP308" s="300" t="str">
        <f>_xlfn.IFNA(VLOOKUP($AI308,Programma!$F$3:$M$1107,8,0),"")</f>
        <v>_</v>
      </c>
      <c r="AQ308" s="300" t="str">
        <f>_xlfn.IFNA(VLOOKUP($AI308,Programma!$F$3:$N$1107,9,0),"")</f>
        <v>_</v>
      </c>
      <c r="AR308" s="300" t="str">
        <f>_xlfn.IFNA(VLOOKUP($AI308,Programma!$F$3:$O$1107,10,0),"")</f>
        <v>5w</v>
      </c>
      <c r="AS308" s="300" t="str">
        <f>_xlfn.IFNA(VLOOKUP($AI308,Programma!$F$3:$P$1107,11,0),"")</f>
        <v>5w</v>
      </c>
      <c r="AT308" s="300" t="str">
        <f>_xlfn.IFNA(VLOOKUP($AI308,Programma!$F$3:$Q$1107,12,0),"")</f>
        <v>1w</v>
      </c>
      <c r="AU308" s="300" t="str">
        <f>_xlfn.IFNA(VLOOKUP($AI308,Programma!$F$3:$R$1107,13,0),"")</f>
        <v>1w</v>
      </c>
      <c r="AV308" s="300" t="str">
        <f>_xlfn.IFNA(VLOOKUP($AI308,Programma!$F$3:$S$1107,14,0),"")</f>
        <v>1m</v>
      </c>
      <c r="AW308" s="300" t="str">
        <f>_xlfn.IFNA(VLOOKUP($AI308,Programma!$F$3:$T$1107,15,0),"")</f>
        <v>2j</v>
      </c>
      <c r="AX308" s="300" t="str">
        <f>_xlfn.IFNA(VLOOKUP($AI308,Programma!$F$3:$U$1107,16,0),"")</f>
        <v>1j</v>
      </c>
      <c r="AY308" s="300" t="str">
        <f>_xlfn.IFNA(VLOOKUP($AI308,Programma!$F$3:$V$1107,17,0),"")</f>
        <v>_</v>
      </c>
      <c r="AZ308" s="300" t="str">
        <f>_xlfn.IFNA(VLOOKUP($AI308,Programma!$F$3:$W$1107,18,0),"")</f>
        <v>_</v>
      </c>
      <c r="BA308" s="300" t="str">
        <f>_xlfn.IFNA(VLOOKUP($AI308,Programma!$F$3:$X$1107,19,0),"")</f>
        <v>_</v>
      </c>
      <c r="BB308" s="300" t="str">
        <f>_xlfn.IFNA(VLOOKUP($AI308,Programma!$F$3:$Y$1107,20,0),"")</f>
        <v>_</v>
      </c>
      <c r="BC308" s="257"/>
      <c r="BD308" s="256" t="str">
        <f>IF(Ruimtestaat[[#This Row],[Frequentie weekend]]="","",_xlfn.CONCAT(Ruimtestaat[[#This Row],[Ruimte code]],"-",Ruimtestaat[[#This Row],[Frequentie weekend]]," ",Ruimtestaat[[#This Row],[Vloer code]]))</f>
        <v/>
      </c>
      <c r="BE308" s="300" t="str">
        <f>_xlfn.IFNA(VLOOKUP($BD308,Programma!$F$3:$G$1107,2,0),"")</f>
        <v/>
      </c>
      <c r="BF308" s="300" t="str">
        <f>_xlfn.IFNA(VLOOKUP($BD308,Programma!$F$3:$H$1107,3,0),"")</f>
        <v/>
      </c>
      <c r="BG308" s="300" t="str">
        <f>_xlfn.IFNA(VLOOKUP($BD308,Programma!$F$3:$I$1107,4,0),"")</f>
        <v/>
      </c>
      <c r="BH308" s="300" t="str">
        <f>_xlfn.IFNA(VLOOKUP($BD308,Programma!$F$3:$J$1107,5,0),"")</f>
        <v/>
      </c>
      <c r="BI308" s="300" t="str">
        <f>_xlfn.IFNA(VLOOKUP($BD308,Programma!$F$3:$K$1107,6,0),"")</f>
        <v/>
      </c>
      <c r="BJ308" s="300" t="str">
        <f>_xlfn.IFNA(VLOOKUP($BD308,Programma!$F$3:$L$1107,7,0),"")</f>
        <v/>
      </c>
      <c r="BK308" s="300" t="str">
        <f>_xlfn.IFNA(VLOOKUP($BD308,Programma!$F$3:$M$1107,8,0),"")</f>
        <v/>
      </c>
      <c r="BL308" s="300" t="str">
        <f>_xlfn.IFNA(VLOOKUP($BD308,Programma!$F$3:$N$1107,9,0),"")</f>
        <v/>
      </c>
      <c r="BM308" s="300" t="str">
        <f>_xlfn.IFNA(VLOOKUP($BD308,Programma!$F$3:$O$1107,10,0),"")</f>
        <v/>
      </c>
      <c r="BN308" s="300" t="str">
        <f>_xlfn.IFNA(VLOOKUP($BD308,Programma!$F$3:$P$1107,11,0),"")</f>
        <v/>
      </c>
      <c r="BO308" s="300" t="str">
        <f>_xlfn.IFNA(VLOOKUP($BD308,Programma!$F$3:$Q$1107,12,0),"")</f>
        <v/>
      </c>
      <c r="BP308" s="300" t="str">
        <f>_xlfn.IFNA(VLOOKUP($BD308,Programma!$F$3:$R$1107,13,0),"")</f>
        <v/>
      </c>
      <c r="BQ308" s="300" t="str">
        <f>_xlfn.IFNA(VLOOKUP($BD308,Programma!$F$3:$S$1107,14,0),"")</f>
        <v/>
      </c>
      <c r="BR308" s="300" t="str">
        <f>_xlfn.IFNA(VLOOKUP($BD308,Programma!$F$3:$T$1107,15,0),"")</f>
        <v/>
      </c>
      <c r="BS308" s="300" t="str">
        <f>_xlfn.IFNA(VLOOKUP($BD308,Programma!$F$3:$U$1107,16,0),"")</f>
        <v/>
      </c>
      <c r="BT308" s="300" t="str">
        <f>_xlfn.IFNA(VLOOKUP($BD308,Programma!$F$3:$V$1107,17,0),"")</f>
        <v/>
      </c>
      <c r="BU308" s="300" t="str">
        <f>_xlfn.IFNA(VLOOKUP($BD308,Programma!$F$3:$W$1107,18,0),"")</f>
        <v/>
      </c>
      <c r="BV308" s="300" t="str">
        <f>_xlfn.IFNA(VLOOKUP($BD308,Programma!$F$3:$X$1107,19,0),"")</f>
        <v/>
      </c>
      <c r="BW308" s="300" t="str">
        <f>_xlfn.IFNA(VLOOKUP($BD308,Programma!$F$3:$Y$1107,20,0),"")</f>
        <v/>
      </c>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row>
    <row r="309" spans="1:220" ht="15" customHeight="1">
      <c r="A309" s="21">
        <v>4</v>
      </c>
      <c r="B309" s="157" t="str">
        <f>VLOOKUP(Ruimtestaat[[#This Row],[Code]],Locaties[[Code]:[Locatie]],2,FALSE)</f>
        <v>Sint-Maartenscollege</v>
      </c>
      <c r="C309" s="157" t="str">
        <f>VLOOKUP(Ruimtestaat[[#This Row],[Code]],Locaties[[#All],[Code]:[Adres]],4,FALSE)</f>
        <v xml:space="preserve">Aart v.d. Leeuwkade 14 </v>
      </c>
      <c r="D309" s="157" t="str">
        <f>VLOOKUP(Ruimtestaat[[#This Row],[Code]],Locaties[[#All],[Code]:[Postcode]],5,FALSE)</f>
        <v>2274 KX</v>
      </c>
      <c r="E309" s="157" t="str">
        <f>VLOOKUP(Ruimtestaat[[#This Row],[Code]],Locaties[#All],6,FALSE)</f>
        <v>Voorburg</v>
      </c>
      <c r="F309" s="62"/>
      <c r="G309" s="21" t="s">
        <v>1706</v>
      </c>
      <c r="H309" s="21" t="s">
        <v>1738</v>
      </c>
      <c r="I309" s="62" t="s">
        <v>1964</v>
      </c>
      <c r="J309" s="21">
        <v>16</v>
      </c>
      <c r="K309" s="62" t="str">
        <f>VLOOKUP(Ruimtestaat[[#This Row],[Ruimte code]],Ruimtegroepen[[#All],[Code]:[Ruimte omschrijving]],2,FALSE)</f>
        <v>Leslokalen theorie</v>
      </c>
      <c r="L309" s="33" t="s">
        <v>101</v>
      </c>
      <c r="M309" s="367" t="s">
        <v>2495</v>
      </c>
      <c r="N309" s="140">
        <v>47</v>
      </c>
      <c r="O309" s="140"/>
      <c r="P309" s="125" t="str">
        <f>VLOOKUP(Ruimtestaat[[#This Row],[Ruimte code]],Ruimtegroepen[],4,FALSE)</f>
        <v>Le</v>
      </c>
      <c r="R309" s="33">
        <v>40</v>
      </c>
      <c r="S309" s="33" t="s">
        <v>2</v>
      </c>
      <c r="T309" s="33">
        <f>IF(R309&gt;0,IF(RIGHT(Ruimtestaat[[#This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9" s="33">
        <f>IF(T309&gt;0,VLOOKUP($J309,Ruimtegroepen[],3,FALSE)*VLOOKUP($L309,Vloersoorten[],3,FALSE)*VLOOKUP($S309,Frequenties[],3,FALSE)*VLOOKUP($A309,Locaties[],3,FALSE),0)</f>
        <v>0</v>
      </c>
      <c r="V309" s="33">
        <f>Ruimtestaat[[#This Row],[Uitvoeringen werkdagen]]*Ruimtestaat[[#This Row],[Oppervlak (netto)]]</f>
        <v>9400</v>
      </c>
      <c r="W309" s="154">
        <f>IF(U309&gt;0,Ruimtestaat[[#This Row],[Prest. (m2 /jaar) werkdagen]]/Ruimtestaat[[#This Row],[Norm (m2/uur) werkdagen]],0)</f>
        <v>0</v>
      </c>
      <c r="X309" s="155">
        <f>Ruimtestaat[[#This Row],[uren / jaar werkdagen]]*Tariefsopbouw!$E$35</f>
        <v>0</v>
      </c>
      <c r="Y309" s="33"/>
      <c r="Z309" s="33">
        <f>IF(Ruimtestaat[[#This Row],[Frequentie weekend]]&gt;0,VALUE(LEFT(Y309,1))*R309,0)</f>
        <v>0</v>
      </c>
      <c r="AA309" s="97">
        <f>IF($Z309&gt;0,VLOOKUP($J309,Ruimtegroepen[],3,FALSE)*VLOOKUP($L309,Vloersoorten[],3,FALSE)*VLOOKUP($Y309,Frequenties[],3,FALSE)*VLOOKUP(Ruimtestaat[[#This Row],[Code]],Locaties[],3,FALSE),0)</f>
        <v>0</v>
      </c>
      <c r="AB309" s="97">
        <f>Ruimtestaat[[#This Row],[Uitvoeringen weekend]]*Ruimtestaat[[#This Row],[Oppervlak (netto)]]</f>
        <v>0</v>
      </c>
      <c r="AC309" s="97">
        <f>IF(AA309&gt;0,Ruimtestaat[[#This Row],[Prest. (m2 /jaar) weekend]]/Ruimtestaat[[#This Row],[Norm (m2/uur) weekend]],0)</f>
        <v>0</v>
      </c>
      <c r="AD309" s="155">
        <f>Ruimtestaat[[#This Row],[uren / jaar weekend]]*Tariefsopbouw!$D$40</f>
        <v>0</v>
      </c>
      <c r="AE309" s="154">
        <f>Ruimtestaat[[#This Row],[Prest. (m2 /jaar) weekend]]+Ruimtestaat[[#This Row],[Prest. (m2 /jaar) werkdagen]]</f>
        <v>9400</v>
      </c>
      <c r="AF309" s="154">
        <f>Ruimtestaat[[#This Row],[uren / jaar weekend]]+Ruimtestaat[[#This Row],[uren / jaar werkdagen]]</f>
        <v>0</v>
      </c>
      <c r="AG309" s="69">
        <f>Ruimtestaat[[#This Row],[kosten / jaar weekend]]+Ruimtestaat[[#This Row],[kosten / jaar werkdagen]]</f>
        <v>0</v>
      </c>
      <c r="AH309" s="69"/>
      <c r="AI309" s="256" t="str">
        <f>IF(Ruimtestaat[[#This Row],[Frequentie werkdagen]]="","",_xlfn.CONCAT(Ruimtestaat[[#This Row],[Ruimte code]],"-",Ruimtestaat[[#This Row],[Frequentie werkdagen]]," ",Ruimtestaat[[#This Row],[Vloer code]]))</f>
        <v>16-5w L</v>
      </c>
      <c r="AJ309" s="300" t="str">
        <f>_xlfn.IFNA(VLOOKUP($AI309,Programma!$F$3:$G$1107,2,0),"")</f>
        <v>_</v>
      </c>
      <c r="AK309" s="300" t="str">
        <f>_xlfn.IFNA(VLOOKUP($AI309,Programma!$F$3:$H$1107,3,0),"")</f>
        <v>_</v>
      </c>
      <c r="AL309" s="300" t="str">
        <f>_xlfn.IFNA(VLOOKUP($AI309,Programma!$F$3:$I$1107,4,0),"")</f>
        <v>4w</v>
      </c>
      <c r="AM309" s="300" t="str">
        <f>_xlfn.IFNA(VLOOKUP($AI309,Programma!$F$3:$J$1107,5,0),"")</f>
        <v>1w</v>
      </c>
      <c r="AN309" s="300" t="str">
        <f>_xlfn.IFNA(VLOOKUP($AI309,Programma!$F$3:$K$1107,6,0),"")</f>
        <v>_</v>
      </c>
      <c r="AO309" s="300" t="str">
        <f>_xlfn.IFNA(VLOOKUP($AI309,Programma!$F$3:$L$1107,7,0),"")</f>
        <v>_</v>
      </c>
      <c r="AP309" s="300" t="str">
        <f>_xlfn.IFNA(VLOOKUP($AI309,Programma!$F$3:$M$1107,8,0),"")</f>
        <v>_</v>
      </c>
      <c r="AQ309" s="300" t="str">
        <f>_xlfn.IFNA(VLOOKUP($AI309,Programma!$F$3:$N$1107,9,0),"")</f>
        <v>_</v>
      </c>
      <c r="AR309" s="300" t="str">
        <f>_xlfn.IFNA(VLOOKUP($AI309,Programma!$F$3:$O$1107,10,0),"")</f>
        <v>5w</v>
      </c>
      <c r="AS309" s="300" t="str">
        <f>_xlfn.IFNA(VLOOKUP($AI309,Programma!$F$3:$P$1107,11,0),"")</f>
        <v>5w</v>
      </c>
      <c r="AT309" s="300" t="str">
        <f>_xlfn.IFNA(VLOOKUP($AI309,Programma!$F$3:$Q$1107,12,0),"")</f>
        <v>1w</v>
      </c>
      <c r="AU309" s="300" t="str">
        <f>_xlfn.IFNA(VLOOKUP($AI309,Programma!$F$3:$R$1107,13,0),"")</f>
        <v>1w</v>
      </c>
      <c r="AV309" s="300" t="str">
        <f>_xlfn.IFNA(VLOOKUP($AI309,Programma!$F$3:$S$1107,14,0),"")</f>
        <v>1m</v>
      </c>
      <c r="AW309" s="300" t="str">
        <f>_xlfn.IFNA(VLOOKUP($AI309,Programma!$F$3:$T$1107,15,0),"")</f>
        <v>2j</v>
      </c>
      <c r="AX309" s="300" t="str">
        <f>_xlfn.IFNA(VLOOKUP($AI309,Programma!$F$3:$U$1107,16,0),"")</f>
        <v>1j</v>
      </c>
      <c r="AY309" s="300" t="str">
        <f>_xlfn.IFNA(VLOOKUP($AI309,Programma!$F$3:$V$1107,17,0),"")</f>
        <v>_</v>
      </c>
      <c r="AZ309" s="300" t="str">
        <f>_xlfn.IFNA(VLOOKUP($AI309,Programma!$F$3:$W$1107,18,0),"")</f>
        <v>_</v>
      </c>
      <c r="BA309" s="300" t="str">
        <f>_xlfn.IFNA(VLOOKUP($AI309,Programma!$F$3:$X$1107,19,0),"")</f>
        <v>_</v>
      </c>
      <c r="BB309" s="300" t="str">
        <f>_xlfn.IFNA(VLOOKUP($AI309,Programma!$F$3:$Y$1107,20,0),"")</f>
        <v>_</v>
      </c>
      <c r="BC309" s="257"/>
      <c r="BD309" s="256" t="str">
        <f>IF(Ruimtestaat[[#This Row],[Frequentie weekend]]="","",_xlfn.CONCAT(Ruimtestaat[[#This Row],[Ruimte code]],"-",Ruimtestaat[[#This Row],[Frequentie weekend]]," ",Ruimtestaat[[#This Row],[Vloer code]]))</f>
        <v/>
      </c>
      <c r="BE309" s="300" t="str">
        <f>_xlfn.IFNA(VLOOKUP($BD309,Programma!$F$3:$G$1107,2,0),"")</f>
        <v/>
      </c>
      <c r="BF309" s="300" t="str">
        <f>_xlfn.IFNA(VLOOKUP($BD309,Programma!$F$3:$H$1107,3,0),"")</f>
        <v/>
      </c>
      <c r="BG309" s="300" t="str">
        <f>_xlfn.IFNA(VLOOKUP($BD309,Programma!$F$3:$I$1107,4,0),"")</f>
        <v/>
      </c>
      <c r="BH309" s="300" t="str">
        <f>_xlfn.IFNA(VLOOKUP($BD309,Programma!$F$3:$J$1107,5,0),"")</f>
        <v/>
      </c>
      <c r="BI309" s="300" t="str">
        <f>_xlfn.IFNA(VLOOKUP($BD309,Programma!$F$3:$K$1107,6,0),"")</f>
        <v/>
      </c>
      <c r="BJ309" s="300" t="str">
        <f>_xlfn.IFNA(VLOOKUP($BD309,Programma!$F$3:$L$1107,7,0),"")</f>
        <v/>
      </c>
      <c r="BK309" s="300" t="str">
        <f>_xlfn.IFNA(VLOOKUP($BD309,Programma!$F$3:$M$1107,8,0),"")</f>
        <v/>
      </c>
      <c r="BL309" s="300" t="str">
        <f>_xlfn.IFNA(VLOOKUP($BD309,Programma!$F$3:$N$1107,9,0),"")</f>
        <v/>
      </c>
      <c r="BM309" s="300" t="str">
        <f>_xlfn.IFNA(VLOOKUP($BD309,Programma!$F$3:$O$1107,10,0),"")</f>
        <v/>
      </c>
      <c r="BN309" s="300" t="str">
        <f>_xlfn.IFNA(VLOOKUP($BD309,Programma!$F$3:$P$1107,11,0),"")</f>
        <v/>
      </c>
      <c r="BO309" s="300" t="str">
        <f>_xlfn.IFNA(VLOOKUP($BD309,Programma!$F$3:$Q$1107,12,0),"")</f>
        <v/>
      </c>
      <c r="BP309" s="300" t="str">
        <f>_xlfn.IFNA(VLOOKUP($BD309,Programma!$F$3:$R$1107,13,0),"")</f>
        <v/>
      </c>
      <c r="BQ309" s="300" t="str">
        <f>_xlfn.IFNA(VLOOKUP($BD309,Programma!$F$3:$S$1107,14,0),"")</f>
        <v/>
      </c>
      <c r="BR309" s="300" t="str">
        <f>_xlfn.IFNA(VLOOKUP($BD309,Programma!$F$3:$T$1107,15,0),"")</f>
        <v/>
      </c>
      <c r="BS309" s="300" t="str">
        <f>_xlfn.IFNA(VLOOKUP($BD309,Programma!$F$3:$U$1107,16,0),"")</f>
        <v/>
      </c>
      <c r="BT309" s="300" t="str">
        <f>_xlfn.IFNA(VLOOKUP($BD309,Programma!$F$3:$V$1107,17,0),"")</f>
        <v/>
      </c>
      <c r="BU309" s="300" t="str">
        <f>_xlfn.IFNA(VLOOKUP($BD309,Programma!$F$3:$W$1107,18,0),"")</f>
        <v/>
      </c>
      <c r="BV309" s="300" t="str">
        <f>_xlfn.IFNA(VLOOKUP($BD309,Programma!$F$3:$X$1107,19,0),"")</f>
        <v/>
      </c>
      <c r="BW309" s="300" t="str">
        <f>_xlfn.IFNA(VLOOKUP($BD309,Programma!$F$3:$Y$1107,20,0),"")</f>
        <v/>
      </c>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row>
    <row r="310" spans="1:220" ht="15" customHeight="1">
      <c r="A310" s="21">
        <v>4</v>
      </c>
      <c r="B310" s="157" t="str">
        <f>VLOOKUP(Ruimtestaat[[#This Row],[Code]],Locaties[[Code]:[Locatie]],2,FALSE)</f>
        <v>Sint-Maartenscollege</v>
      </c>
      <c r="C310" s="157" t="str">
        <f>VLOOKUP(Ruimtestaat[[#This Row],[Code]],Locaties[[#All],[Code]:[Adres]],4,FALSE)</f>
        <v xml:space="preserve">Aart v.d. Leeuwkade 14 </v>
      </c>
      <c r="D310" s="157" t="str">
        <f>VLOOKUP(Ruimtestaat[[#This Row],[Code]],Locaties[[#All],[Code]:[Postcode]],5,FALSE)</f>
        <v>2274 KX</v>
      </c>
      <c r="E310" s="157" t="str">
        <f>VLOOKUP(Ruimtestaat[[#This Row],[Code]],Locaties[#All],6,FALSE)</f>
        <v>Voorburg</v>
      </c>
      <c r="F310" s="62"/>
      <c r="G310" s="21" t="s">
        <v>1706</v>
      </c>
      <c r="H310" s="21" t="s">
        <v>1740</v>
      </c>
      <c r="I310" s="62" t="s">
        <v>1965</v>
      </c>
      <c r="J310" s="21">
        <v>16</v>
      </c>
      <c r="K310" s="62" t="str">
        <f>VLOOKUP(Ruimtestaat[[#This Row],[Ruimte code]],Ruimtegroepen[[#All],[Code]:[Ruimte omschrijving]],2,FALSE)</f>
        <v>Leslokalen theorie</v>
      </c>
      <c r="L310" s="33" t="s">
        <v>101</v>
      </c>
      <c r="M310" s="367" t="s">
        <v>2495</v>
      </c>
      <c r="N310" s="140">
        <v>47</v>
      </c>
      <c r="O310" s="140"/>
      <c r="P310" s="125" t="str">
        <f>VLOOKUP(Ruimtestaat[[#This Row],[Ruimte code]],Ruimtegroepen[],4,FALSE)</f>
        <v>Le</v>
      </c>
      <c r="R310" s="33">
        <v>40</v>
      </c>
      <c r="S310" s="33" t="s">
        <v>2</v>
      </c>
      <c r="T310" s="33">
        <f>IF(R310&gt;0,IF(RIGHT(Ruimtestaat[[#This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0" s="33">
        <f>IF(T310&gt;0,VLOOKUP($J310,Ruimtegroepen[],3,FALSE)*VLOOKUP($L310,Vloersoorten[],3,FALSE)*VLOOKUP($S310,Frequenties[],3,FALSE)*VLOOKUP($A310,Locaties[],3,FALSE),0)</f>
        <v>0</v>
      </c>
      <c r="V310" s="33">
        <f>Ruimtestaat[[#This Row],[Uitvoeringen werkdagen]]*Ruimtestaat[[#This Row],[Oppervlak (netto)]]</f>
        <v>9400</v>
      </c>
      <c r="W310" s="154">
        <f>IF(U310&gt;0,Ruimtestaat[[#This Row],[Prest. (m2 /jaar) werkdagen]]/Ruimtestaat[[#This Row],[Norm (m2/uur) werkdagen]],0)</f>
        <v>0</v>
      </c>
      <c r="X310" s="155">
        <f>Ruimtestaat[[#This Row],[uren / jaar werkdagen]]*Tariefsopbouw!$E$35</f>
        <v>0</v>
      </c>
      <c r="Y310" s="33"/>
      <c r="Z310" s="33">
        <f>IF(Ruimtestaat[[#This Row],[Frequentie weekend]]&gt;0,VALUE(LEFT(Y310,1))*R310,0)</f>
        <v>0</v>
      </c>
      <c r="AA310" s="97">
        <f>IF($Z310&gt;0,VLOOKUP($J310,Ruimtegroepen[],3,FALSE)*VLOOKUP($L310,Vloersoorten[],3,FALSE)*VLOOKUP($Y310,Frequenties[],3,FALSE)*VLOOKUP(Ruimtestaat[[#This Row],[Code]],Locaties[],3,FALSE),0)</f>
        <v>0</v>
      </c>
      <c r="AB310" s="97">
        <f>Ruimtestaat[[#This Row],[Uitvoeringen weekend]]*Ruimtestaat[[#This Row],[Oppervlak (netto)]]</f>
        <v>0</v>
      </c>
      <c r="AC310" s="97">
        <f>IF(AA310&gt;0,Ruimtestaat[[#This Row],[Prest. (m2 /jaar) weekend]]/Ruimtestaat[[#This Row],[Norm (m2/uur) weekend]],0)</f>
        <v>0</v>
      </c>
      <c r="AD310" s="155">
        <f>Ruimtestaat[[#This Row],[uren / jaar weekend]]*Tariefsopbouw!$D$40</f>
        <v>0</v>
      </c>
      <c r="AE310" s="154">
        <f>Ruimtestaat[[#This Row],[Prest. (m2 /jaar) weekend]]+Ruimtestaat[[#This Row],[Prest. (m2 /jaar) werkdagen]]</f>
        <v>9400</v>
      </c>
      <c r="AF310" s="154">
        <f>Ruimtestaat[[#This Row],[uren / jaar weekend]]+Ruimtestaat[[#This Row],[uren / jaar werkdagen]]</f>
        <v>0</v>
      </c>
      <c r="AG310" s="69">
        <f>Ruimtestaat[[#This Row],[kosten / jaar weekend]]+Ruimtestaat[[#This Row],[kosten / jaar werkdagen]]</f>
        <v>0</v>
      </c>
      <c r="AH310" s="69"/>
      <c r="AI310" s="256" t="str">
        <f>IF(Ruimtestaat[[#This Row],[Frequentie werkdagen]]="","",_xlfn.CONCAT(Ruimtestaat[[#This Row],[Ruimte code]],"-",Ruimtestaat[[#This Row],[Frequentie werkdagen]]," ",Ruimtestaat[[#This Row],[Vloer code]]))</f>
        <v>16-5w L</v>
      </c>
      <c r="AJ310" s="300" t="str">
        <f>_xlfn.IFNA(VLOOKUP($AI310,Programma!$F$3:$G$1107,2,0),"")</f>
        <v>_</v>
      </c>
      <c r="AK310" s="300" t="str">
        <f>_xlfn.IFNA(VLOOKUP($AI310,Programma!$F$3:$H$1107,3,0),"")</f>
        <v>_</v>
      </c>
      <c r="AL310" s="300" t="str">
        <f>_xlfn.IFNA(VLOOKUP($AI310,Programma!$F$3:$I$1107,4,0),"")</f>
        <v>4w</v>
      </c>
      <c r="AM310" s="300" t="str">
        <f>_xlfn.IFNA(VLOOKUP($AI310,Programma!$F$3:$J$1107,5,0),"")</f>
        <v>1w</v>
      </c>
      <c r="AN310" s="300" t="str">
        <f>_xlfn.IFNA(VLOOKUP($AI310,Programma!$F$3:$K$1107,6,0),"")</f>
        <v>_</v>
      </c>
      <c r="AO310" s="300" t="str">
        <f>_xlfn.IFNA(VLOOKUP($AI310,Programma!$F$3:$L$1107,7,0),"")</f>
        <v>_</v>
      </c>
      <c r="AP310" s="300" t="str">
        <f>_xlfn.IFNA(VLOOKUP($AI310,Programma!$F$3:$M$1107,8,0),"")</f>
        <v>_</v>
      </c>
      <c r="AQ310" s="300" t="str">
        <f>_xlfn.IFNA(VLOOKUP($AI310,Programma!$F$3:$N$1107,9,0),"")</f>
        <v>_</v>
      </c>
      <c r="AR310" s="300" t="str">
        <f>_xlfn.IFNA(VLOOKUP($AI310,Programma!$F$3:$O$1107,10,0),"")</f>
        <v>5w</v>
      </c>
      <c r="AS310" s="300" t="str">
        <f>_xlfn.IFNA(VLOOKUP($AI310,Programma!$F$3:$P$1107,11,0),"")</f>
        <v>5w</v>
      </c>
      <c r="AT310" s="300" t="str">
        <f>_xlfn.IFNA(VLOOKUP($AI310,Programma!$F$3:$Q$1107,12,0),"")</f>
        <v>1w</v>
      </c>
      <c r="AU310" s="300" t="str">
        <f>_xlfn.IFNA(VLOOKUP($AI310,Programma!$F$3:$R$1107,13,0),"")</f>
        <v>1w</v>
      </c>
      <c r="AV310" s="300" t="str">
        <f>_xlfn.IFNA(VLOOKUP($AI310,Programma!$F$3:$S$1107,14,0),"")</f>
        <v>1m</v>
      </c>
      <c r="AW310" s="300" t="str">
        <f>_xlfn.IFNA(VLOOKUP($AI310,Programma!$F$3:$T$1107,15,0),"")</f>
        <v>2j</v>
      </c>
      <c r="AX310" s="300" t="str">
        <f>_xlfn.IFNA(VLOOKUP($AI310,Programma!$F$3:$U$1107,16,0),"")</f>
        <v>1j</v>
      </c>
      <c r="AY310" s="300" t="str">
        <f>_xlfn.IFNA(VLOOKUP($AI310,Programma!$F$3:$V$1107,17,0),"")</f>
        <v>_</v>
      </c>
      <c r="AZ310" s="300" t="str">
        <f>_xlfn.IFNA(VLOOKUP($AI310,Programma!$F$3:$W$1107,18,0),"")</f>
        <v>_</v>
      </c>
      <c r="BA310" s="300" t="str">
        <f>_xlfn.IFNA(VLOOKUP($AI310,Programma!$F$3:$X$1107,19,0),"")</f>
        <v>_</v>
      </c>
      <c r="BB310" s="300" t="str">
        <f>_xlfn.IFNA(VLOOKUP($AI310,Programma!$F$3:$Y$1107,20,0),"")</f>
        <v>_</v>
      </c>
      <c r="BC310" s="257"/>
      <c r="BD310" s="256" t="str">
        <f>IF(Ruimtestaat[[#This Row],[Frequentie weekend]]="","",_xlfn.CONCAT(Ruimtestaat[[#This Row],[Ruimte code]],"-",Ruimtestaat[[#This Row],[Frequentie weekend]]," ",Ruimtestaat[[#This Row],[Vloer code]]))</f>
        <v/>
      </c>
      <c r="BE310" s="300" t="str">
        <f>_xlfn.IFNA(VLOOKUP($BD310,Programma!$F$3:$G$1107,2,0),"")</f>
        <v/>
      </c>
      <c r="BF310" s="300" t="str">
        <f>_xlfn.IFNA(VLOOKUP($BD310,Programma!$F$3:$H$1107,3,0),"")</f>
        <v/>
      </c>
      <c r="BG310" s="300" t="str">
        <f>_xlfn.IFNA(VLOOKUP($BD310,Programma!$F$3:$I$1107,4,0),"")</f>
        <v/>
      </c>
      <c r="BH310" s="300" t="str">
        <f>_xlfn.IFNA(VLOOKUP($BD310,Programma!$F$3:$J$1107,5,0),"")</f>
        <v/>
      </c>
      <c r="BI310" s="300" t="str">
        <f>_xlfn.IFNA(VLOOKUP($BD310,Programma!$F$3:$K$1107,6,0),"")</f>
        <v/>
      </c>
      <c r="BJ310" s="300" t="str">
        <f>_xlfn.IFNA(VLOOKUP($BD310,Programma!$F$3:$L$1107,7,0),"")</f>
        <v/>
      </c>
      <c r="BK310" s="300" t="str">
        <f>_xlfn.IFNA(VLOOKUP($BD310,Programma!$F$3:$M$1107,8,0),"")</f>
        <v/>
      </c>
      <c r="BL310" s="300" t="str">
        <f>_xlfn.IFNA(VLOOKUP($BD310,Programma!$F$3:$N$1107,9,0),"")</f>
        <v/>
      </c>
      <c r="BM310" s="300" t="str">
        <f>_xlfn.IFNA(VLOOKUP($BD310,Programma!$F$3:$O$1107,10,0),"")</f>
        <v/>
      </c>
      <c r="BN310" s="300" t="str">
        <f>_xlfn.IFNA(VLOOKUP($BD310,Programma!$F$3:$P$1107,11,0),"")</f>
        <v/>
      </c>
      <c r="BO310" s="300" t="str">
        <f>_xlfn.IFNA(VLOOKUP($BD310,Programma!$F$3:$Q$1107,12,0),"")</f>
        <v/>
      </c>
      <c r="BP310" s="300" t="str">
        <f>_xlfn.IFNA(VLOOKUP($BD310,Programma!$F$3:$R$1107,13,0),"")</f>
        <v/>
      </c>
      <c r="BQ310" s="300" t="str">
        <f>_xlfn.IFNA(VLOOKUP($BD310,Programma!$F$3:$S$1107,14,0),"")</f>
        <v/>
      </c>
      <c r="BR310" s="300" t="str">
        <f>_xlfn.IFNA(VLOOKUP($BD310,Programma!$F$3:$T$1107,15,0),"")</f>
        <v/>
      </c>
      <c r="BS310" s="300" t="str">
        <f>_xlfn.IFNA(VLOOKUP($BD310,Programma!$F$3:$U$1107,16,0),"")</f>
        <v/>
      </c>
      <c r="BT310" s="300" t="str">
        <f>_xlfn.IFNA(VLOOKUP($BD310,Programma!$F$3:$V$1107,17,0),"")</f>
        <v/>
      </c>
      <c r="BU310" s="300" t="str">
        <f>_xlfn.IFNA(VLOOKUP($BD310,Programma!$F$3:$W$1107,18,0),"")</f>
        <v/>
      </c>
      <c r="BV310" s="300" t="str">
        <f>_xlfn.IFNA(VLOOKUP($BD310,Programma!$F$3:$X$1107,19,0),"")</f>
        <v/>
      </c>
      <c r="BW310" s="300" t="str">
        <f>_xlfn.IFNA(VLOOKUP($BD310,Programma!$F$3:$Y$1107,20,0),"")</f>
        <v/>
      </c>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row>
    <row r="311" spans="1:220" ht="15" customHeight="1">
      <c r="A311" s="21">
        <v>4</v>
      </c>
      <c r="B311" s="157" t="str">
        <f>VLOOKUP(Ruimtestaat[[#This Row],[Code]],Locaties[[Code]:[Locatie]],2,FALSE)</f>
        <v>Sint-Maartenscollege</v>
      </c>
      <c r="C311" s="157" t="str">
        <f>VLOOKUP(Ruimtestaat[[#This Row],[Code]],Locaties[[#All],[Code]:[Adres]],4,FALSE)</f>
        <v xml:space="preserve">Aart v.d. Leeuwkade 14 </v>
      </c>
      <c r="D311" s="157" t="str">
        <f>VLOOKUP(Ruimtestaat[[#This Row],[Code]],Locaties[[#All],[Code]:[Postcode]],5,FALSE)</f>
        <v>2274 KX</v>
      </c>
      <c r="E311" s="157" t="str">
        <f>VLOOKUP(Ruimtestaat[[#This Row],[Code]],Locaties[#All],6,FALSE)</f>
        <v>Voorburg</v>
      </c>
      <c r="F311" s="62"/>
      <c r="G311" s="21" t="s">
        <v>1706</v>
      </c>
      <c r="H311" s="21" t="s">
        <v>1742</v>
      </c>
      <c r="I311" s="62" t="s">
        <v>1966</v>
      </c>
      <c r="J311" s="21">
        <v>16</v>
      </c>
      <c r="K311" s="62" t="str">
        <f>VLOOKUP(Ruimtestaat[[#This Row],[Ruimte code]],Ruimtegroepen[[#All],[Code]:[Ruimte omschrijving]],2,FALSE)</f>
        <v>Leslokalen theorie</v>
      </c>
      <c r="L311" s="33" t="s">
        <v>101</v>
      </c>
      <c r="M311" s="367" t="s">
        <v>2495</v>
      </c>
      <c r="N311" s="140">
        <v>47</v>
      </c>
      <c r="O311" s="140"/>
      <c r="P311" s="125" t="str">
        <f>VLOOKUP(Ruimtestaat[[#This Row],[Ruimte code]],Ruimtegroepen[],4,FALSE)</f>
        <v>Le</v>
      </c>
      <c r="R311" s="33">
        <v>40</v>
      </c>
      <c r="S311" s="33" t="s">
        <v>2</v>
      </c>
      <c r="T311" s="33">
        <f>IF(R311&gt;0,IF(RIGHT(Ruimtestaat[[#This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1" s="33">
        <f>IF(T311&gt;0,VLOOKUP($J311,Ruimtegroepen[],3,FALSE)*VLOOKUP($L311,Vloersoorten[],3,FALSE)*VLOOKUP($S311,Frequenties[],3,FALSE)*VLOOKUP($A311,Locaties[],3,FALSE),0)</f>
        <v>0</v>
      </c>
      <c r="V311" s="33">
        <f>Ruimtestaat[[#This Row],[Uitvoeringen werkdagen]]*Ruimtestaat[[#This Row],[Oppervlak (netto)]]</f>
        <v>9400</v>
      </c>
      <c r="W311" s="154">
        <f>IF(U311&gt;0,Ruimtestaat[[#This Row],[Prest. (m2 /jaar) werkdagen]]/Ruimtestaat[[#This Row],[Norm (m2/uur) werkdagen]],0)</f>
        <v>0</v>
      </c>
      <c r="X311" s="155">
        <f>Ruimtestaat[[#This Row],[uren / jaar werkdagen]]*Tariefsopbouw!$E$35</f>
        <v>0</v>
      </c>
      <c r="Y311" s="33"/>
      <c r="Z311" s="33">
        <f>IF(Ruimtestaat[[#This Row],[Frequentie weekend]]&gt;0,VALUE(LEFT(Y311,1))*R311,0)</f>
        <v>0</v>
      </c>
      <c r="AA311" s="97">
        <f>IF($Z311&gt;0,VLOOKUP($J311,Ruimtegroepen[],3,FALSE)*VLOOKUP($L311,Vloersoorten[],3,FALSE)*VLOOKUP($Y311,Frequenties[],3,FALSE)*VLOOKUP(Ruimtestaat[[#This Row],[Code]],Locaties[],3,FALSE),0)</f>
        <v>0</v>
      </c>
      <c r="AB311" s="97">
        <f>Ruimtestaat[[#This Row],[Uitvoeringen weekend]]*Ruimtestaat[[#This Row],[Oppervlak (netto)]]</f>
        <v>0</v>
      </c>
      <c r="AC311" s="97">
        <f>IF(AA311&gt;0,Ruimtestaat[[#This Row],[Prest. (m2 /jaar) weekend]]/Ruimtestaat[[#This Row],[Norm (m2/uur) weekend]],0)</f>
        <v>0</v>
      </c>
      <c r="AD311" s="155">
        <f>Ruimtestaat[[#This Row],[uren / jaar weekend]]*Tariefsopbouw!$D$40</f>
        <v>0</v>
      </c>
      <c r="AE311" s="154">
        <f>Ruimtestaat[[#This Row],[Prest. (m2 /jaar) weekend]]+Ruimtestaat[[#This Row],[Prest. (m2 /jaar) werkdagen]]</f>
        <v>9400</v>
      </c>
      <c r="AF311" s="154">
        <f>Ruimtestaat[[#This Row],[uren / jaar weekend]]+Ruimtestaat[[#This Row],[uren / jaar werkdagen]]</f>
        <v>0</v>
      </c>
      <c r="AG311" s="69">
        <f>Ruimtestaat[[#This Row],[kosten / jaar weekend]]+Ruimtestaat[[#This Row],[kosten / jaar werkdagen]]</f>
        <v>0</v>
      </c>
      <c r="AH311" s="69"/>
      <c r="AI311" s="256" t="str">
        <f>IF(Ruimtestaat[[#This Row],[Frequentie werkdagen]]="","",_xlfn.CONCAT(Ruimtestaat[[#This Row],[Ruimte code]],"-",Ruimtestaat[[#This Row],[Frequentie werkdagen]]," ",Ruimtestaat[[#This Row],[Vloer code]]))</f>
        <v>16-5w L</v>
      </c>
      <c r="AJ311" s="300" t="str">
        <f>_xlfn.IFNA(VLOOKUP($AI311,Programma!$F$3:$G$1107,2,0),"")</f>
        <v>_</v>
      </c>
      <c r="AK311" s="300" t="str">
        <f>_xlfn.IFNA(VLOOKUP($AI311,Programma!$F$3:$H$1107,3,0),"")</f>
        <v>_</v>
      </c>
      <c r="AL311" s="300" t="str">
        <f>_xlfn.IFNA(VLOOKUP($AI311,Programma!$F$3:$I$1107,4,0),"")</f>
        <v>4w</v>
      </c>
      <c r="AM311" s="300" t="str">
        <f>_xlfn.IFNA(VLOOKUP($AI311,Programma!$F$3:$J$1107,5,0),"")</f>
        <v>1w</v>
      </c>
      <c r="AN311" s="300" t="str">
        <f>_xlfn.IFNA(VLOOKUP($AI311,Programma!$F$3:$K$1107,6,0),"")</f>
        <v>_</v>
      </c>
      <c r="AO311" s="300" t="str">
        <f>_xlfn.IFNA(VLOOKUP($AI311,Programma!$F$3:$L$1107,7,0),"")</f>
        <v>_</v>
      </c>
      <c r="AP311" s="300" t="str">
        <f>_xlfn.IFNA(VLOOKUP($AI311,Programma!$F$3:$M$1107,8,0),"")</f>
        <v>_</v>
      </c>
      <c r="AQ311" s="300" t="str">
        <f>_xlfn.IFNA(VLOOKUP($AI311,Programma!$F$3:$N$1107,9,0),"")</f>
        <v>_</v>
      </c>
      <c r="AR311" s="300" t="str">
        <f>_xlfn.IFNA(VLOOKUP($AI311,Programma!$F$3:$O$1107,10,0),"")</f>
        <v>5w</v>
      </c>
      <c r="AS311" s="300" t="str">
        <f>_xlfn.IFNA(VLOOKUP($AI311,Programma!$F$3:$P$1107,11,0),"")</f>
        <v>5w</v>
      </c>
      <c r="AT311" s="300" t="str">
        <f>_xlfn.IFNA(VLOOKUP($AI311,Programma!$F$3:$Q$1107,12,0),"")</f>
        <v>1w</v>
      </c>
      <c r="AU311" s="300" t="str">
        <f>_xlfn.IFNA(VLOOKUP($AI311,Programma!$F$3:$R$1107,13,0),"")</f>
        <v>1w</v>
      </c>
      <c r="AV311" s="300" t="str">
        <f>_xlfn.IFNA(VLOOKUP($AI311,Programma!$F$3:$S$1107,14,0),"")</f>
        <v>1m</v>
      </c>
      <c r="AW311" s="300" t="str">
        <f>_xlfn.IFNA(VLOOKUP($AI311,Programma!$F$3:$T$1107,15,0),"")</f>
        <v>2j</v>
      </c>
      <c r="AX311" s="300" t="str">
        <f>_xlfn.IFNA(VLOOKUP($AI311,Programma!$F$3:$U$1107,16,0),"")</f>
        <v>1j</v>
      </c>
      <c r="AY311" s="300" t="str">
        <f>_xlfn.IFNA(VLOOKUP($AI311,Programma!$F$3:$V$1107,17,0),"")</f>
        <v>_</v>
      </c>
      <c r="AZ311" s="300" t="str">
        <f>_xlfn.IFNA(VLOOKUP($AI311,Programma!$F$3:$W$1107,18,0),"")</f>
        <v>_</v>
      </c>
      <c r="BA311" s="300" t="str">
        <f>_xlfn.IFNA(VLOOKUP($AI311,Programma!$F$3:$X$1107,19,0),"")</f>
        <v>_</v>
      </c>
      <c r="BB311" s="300" t="str">
        <f>_xlfn.IFNA(VLOOKUP($AI311,Programma!$F$3:$Y$1107,20,0),"")</f>
        <v>_</v>
      </c>
      <c r="BC311" s="257"/>
      <c r="BD311" s="256" t="str">
        <f>IF(Ruimtestaat[[#This Row],[Frequentie weekend]]="","",_xlfn.CONCAT(Ruimtestaat[[#This Row],[Ruimte code]],"-",Ruimtestaat[[#This Row],[Frequentie weekend]]," ",Ruimtestaat[[#This Row],[Vloer code]]))</f>
        <v/>
      </c>
      <c r="BE311" s="300" t="str">
        <f>_xlfn.IFNA(VLOOKUP($BD311,Programma!$F$3:$G$1107,2,0),"")</f>
        <v/>
      </c>
      <c r="BF311" s="300" t="str">
        <f>_xlfn.IFNA(VLOOKUP($BD311,Programma!$F$3:$H$1107,3,0),"")</f>
        <v/>
      </c>
      <c r="BG311" s="300" t="str">
        <f>_xlfn.IFNA(VLOOKUP($BD311,Programma!$F$3:$I$1107,4,0),"")</f>
        <v/>
      </c>
      <c r="BH311" s="300" t="str">
        <f>_xlfn.IFNA(VLOOKUP($BD311,Programma!$F$3:$J$1107,5,0),"")</f>
        <v/>
      </c>
      <c r="BI311" s="300" t="str">
        <f>_xlfn.IFNA(VLOOKUP($BD311,Programma!$F$3:$K$1107,6,0),"")</f>
        <v/>
      </c>
      <c r="BJ311" s="300" t="str">
        <f>_xlfn.IFNA(VLOOKUP($BD311,Programma!$F$3:$L$1107,7,0),"")</f>
        <v/>
      </c>
      <c r="BK311" s="300" t="str">
        <f>_xlfn.IFNA(VLOOKUP($BD311,Programma!$F$3:$M$1107,8,0),"")</f>
        <v/>
      </c>
      <c r="BL311" s="300" t="str">
        <f>_xlfn.IFNA(VLOOKUP($BD311,Programma!$F$3:$N$1107,9,0),"")</f>
        <v/>
      </c>
      <c r="BM311" s="300" t="str">
        <f>_xlfn.IFNA(VLOOKUP($BD311,Programma!$F$3:$O$1107,10,0),"")</f>
        <v/>
      </c>
      <c r="BN311" s="300" t="str">
        <f>_xlfn.IFNA(VLOOKUP($BD311,Programma!$F$3:$P$1107,11,0),"")</f>
        <v/>
      </c>
      <c r="BO311" s="300" t="str">
        <f>_xlfn.IFNA(VLOOKUP($BD311,Programma!$F$3:$Q$1107,12,0),"")</f>
        <v/>
      </c>
      <c r="BP311" s="300" t="str">
        <f>_xlfn.IFNA(VLOOKUP($BD311,Programma!$F$3:$R$1107,13,0),"")</f>
        <v/>
      </c>
      <c r="BQ311" s="300" t="str">
        <f>_xlfn.IFNA(VLOOKUP($BD311,Programma!$F$3:$S$1107,14,0),"")</f>
        <v/>
      </c>
      <c r="BR311" s="300" t="str">
        <f>_xlfn.IFNA(VLOOKUP($BD311,Programma!$F$3:$T$1107,15,0),"")</f>
        <v/>
      </c>
      <c r="BS311" s="300" t="str">
        <f>_xlfn.IFNA(VLOOKUP($BD311,Programma!$F$3:$U$1107,16,0),"")</f>
        <v/>
      </c>
      <c r="BT311" s="300" t="str">
        <f>_xlfn.IFNA(VLOOKUP($BD311,Programma!$F$3:$V$1107,17,0),"")</f>
        <v/>
      </c>
      <c r="BU311" s="300" t="str">
        <f>_xlfn.IFNA(VLOOKUP($BD311,Programma!$F$3:$W$1107,18,0),"")</f>
        <v/>
      </c>
      <c r="BV311" s="300" t="str">
        <f>_xlfn.IFNA(VLOOKUP($BD311,Programma!$F$3:$X$1107,19,0),"")</f>
        <v/>
      </c>
      <c r="BW311" s="300" t="str">
        <f>_xlfn.IFNA(VLOOKUP($BD311,Programma!$F$3:$Y$1107,20,0),"")</f>
        <v/>
      </c>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row>
    <row r="312" spans="1:220" ht="15" customHeight="1">
      <c r="A312" s="21">
        <v>4</v>
      </c>
      <c r="B312" s="157" t="str">
        <f>VLOOKUP(Ruimtestaat[[#This Row],[Code]],Locaties[[Code]:[Locatie]],2,FALSE)</f>
        <v>Sint-Maartenscollege</v>
      </c>
      <c r="C312" s="157" t="str">
        <f>VLOOKUP(Ruimtestaat[[#This Row],[Code]],Locaties[[#All],[Code]:[Adres]],4,FALSE)</f>
        <v xml:space="preserve">Aart v.d. Leeuwkade 14 </v>
      </c>
      <c r="D312" s="157" t="str">
        <f>VLOOKUP(Ruimtestaat[[#This Row],[Code]],Locaties[[#All],[Code]:[Postcode]],5,FALSE)</f>
        <v>2274 KX</v>
      </c>
      <c r="E312" s="157" t="str">
        <f>VLOOKUP(Ruimtestaat[[#This Row],[Code]],Locaties[#All],6,FALSE)</f>
        <v>Voorburg</v>
      </c>
      <c r="F312" s="62"/>
      <c r="G312" s="21" t="s">
        <v>1706</v>
      </c>
      <c r="H312" s="21" t="s">
        <v>1744</v>
      </c>
      <c r="I312" s="62" t="s">
        <v>1967</v>
      </c>
      <c r="J312" s="21">
        <v>16</v>
      </c>
      <c r="K312" s="62" t="str">
        <f>VLOOKUP(Ruimtestaat[[#This Row],[Ruimte code]],Ruimtegroepen[[#All],[Code]:[Ruimte omschrijving]],2,FALSE)</f>
        <v>Leslokalen theorie</v>
      </c>
      <c r="L312" s="33" t="s">
        <v>101</v>
      </c>
      <c r="M312" s="367" t="s">
        <v>2495</v>
      </c>
      <c r="N312" s="140">
        <v>48</v>
      </c>
      <c r="O312" s="140"/>
      <c r="P312" s="125" t="str">
        <f>VLOOKUP(Ruimtestaat[[#This Row],[Ruimte code]],Ruimtegroepen[],4,FALSE)</f>
        <v>Le</v>
      </c>
      <c r="R312" s="33">
        <v>40</v>
      </c>
      <c r="S312" s="33" t="s">
        <v>2</v>
      </c>
      <c r="T312" s="33">
        <f>IF(R312&gt;0,IF(RIGHT(Ruimtestaat[[#This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2" s="33">
        <f>IF(T312&gt;0,VLOOKUP($J312,Ruimtegroepen[],3,FALSE)*VLOOKUP($L312,Vloersoorten[],3,FALSE)*VLOOKUP($S312,Frequenties[],3,FALSE)*VLOOKUP($A312,Locaties[],3,FALSE),0)</f>
        <v>0</v>
      </c>
      <c r="V312" s="33">
        <f>Ruimtestaat[[#This Row],[Uitvoeringen werkdagen]]*Ruimtestaat[[#This Row],[Oppervlak (netto)]]</f>
        <v>9600</v>
      </c>
      <c r="W312" s="154">
        <f>IF(U312&gt;0,Ruimtestaat[[#This Row],[Prest. (m2 /jaar) werkdagen]]/Ruimtestaat[[#This Row],[Norm (m2/uur) werkdagen]],0)</f>
        <v>0</v>
      </c>
      <c r="X312" s="155">
        <f>Ruimtestaat[[#This Row],[uren / jaar werkdagen]]*Tariefsopbouw!$E$35</f>
        <v>0</v>
      </c>
      <c r="Y312" s="33"/>
      <c r="Z312" s="33">
        <f>IF(Ruimtestaat[[#This Row],[Frequentie weekend]]&gt;0,VALUE(LEFT(Y312,1))*R312,0)</f>
        <v>0</v>
      </c>
      <c r="AA312" s="97">
        <f>IF($Z312&gt;0,VLOOKUP($J312,Ruimtegroepen[],3,FALSE)*VLOOKUP($L312,Vloersoorten[],3,FALSE)*VLOOKUP($Y312,Frequenties[],3,FALSE)*VLOOKUP(Ruimtestaat[[#This Row],[Code]],Locaties[],3,FALSE),0)</f>
        <v>0</v>
      </c>
      <c r="AB312" s="97">
        <f>Ruimtestaat[[#This Row],[Uitvoeringen weekend]]*Ruimtestaat[[#This Row],[Oppervlak (netto)]]</f>
        <v>0</v>
      </c>
      <c r="AC312" s="97">
        <f>IF(AA312&gt;0,Ruimtestaat[[#This Row],[Prest. (m2 /jaar) weekend]]/Ruimtestaat[[#This Row],[Norm (m2/uur) weekend]],0)</f>
        <v>0</v>
      </c>
      <c r="AD312" s="155">
        <f>Ruimtestaat[[#This Row],[uren / jaar weekend]]*Tariefsopbouw!$D$40</f>
        <v>0</v>
      </c>
      <c r="AE312" s="154">
        <f>Ruimtestaat[[#This Row],[Prest. (m2 /jaar) weekend]]+Ruimtestaat[[#This Row],[Prest. (m2 /jaar) werkdagen]]</f>
        <v>9600</v>
      </c>
      <c r="AF312" s="154">
        <f>Ruimtestaat[[#This Row],[uren / jaar weekend]]+Ruimtestaat[[#This Row],[uren / jaar werkdagen]]</f>
        <v>0</v>
      </c>
      <c r="AG312" s="69">
        <f>Ruimtestaat[[#This Row],[kosten / jaar weekend]]+Ruimtestaat[[#This Row],[kosten / jaar werkdagen]]</f>
        <v>0</v>
      </c>
      <c r="AH312" s="69"/>
      <c r="AI312" s="256" t="str">
        <f>IF(Ruimtestaat[[#This Row],[Frequentie werkdagen]]="","",_xlfn.CONCAT(Ruimtestaat[[#This Row],[Ruimte code]],"-",Ruimtestaat[[#This Row],[Frequentie werkdagen]]," ",Ruimtestaat[[#This Row],[Vloer code]]))</f>
        <v>16-5w L</v>
      </c>
      <c r="AJ312" s="300" t="str">
        <f>_xlfn.IFNA(VLOOKUP($AI312,Programma!$F$3:$G$1107,2,0),"")</f>
        <v>_</v>
      </c>
      <c r="AK312" s="300" t="str">
        <f>_xlfn.IFNA(VLOOKUP($AI312,Programma!$F$3:$H$1107,3,0),"")</f>
        <v>_</v>
      </c>
      <c r="AL312" s="300" t="str">
        <f>_xlfn.IFNA(VLOOKUP($AI312,Programma!$F$3:$I$1107,4,0),"")</f>
        <v>4w</v>
      </c>
      <c r="AM312" s="300" t="str">
        <f>_xlfn.IFNA(VLOOKUP($AI312,Programma!$F$3:$J$1107,5,0),"")</f>
        <v>1w</v>
      </c>
      <c r="AN312" s="300" t="str">
        <f>_xlfn.IFNA(VLOOKUP($AI312,Programma!$F$3:$K$1107,6,0),"")</f>
        <v>_</v>
      </c>
      <c r="AO312" s="300" t="str">
        <f>_xlfn.IFNA(VLOOKUP($AI312,Programma!$F$3:$L$1107,7,0),"")</f>
        <v>_</v>
      </c>
      <c r="AP312" s="300" t="str">
        <f>_xlfn.IFNA(VLOOKUP($AI312,Programma!$F$3:$M$1107,8,0),"")</f>
        <v>_</v>
      </c>
      <c r="AQ312" s="300" t="str">
        <f>_xlfn.IFNA(VLOOKUP($AI312,Programma!$F$3:$N$1107,9,0),"")</f>
        <v>_</v>
      </c>
      <c r="AR312" s="300" t="str">
        <f>_xlfn.IFNA(VLOOKUP($AI312,Programma!$F$3:$O$1107,10,0),"")</f>
        <v>5w</v>
      </c>
      <c r="AS312" s="300" t="str">
        <f>_xlfn.IFNA(VLOOKUP($AI312,Programma!$F$3:$P$1107,11,0),"")</f>
        <v>5w</v>
      </c>
      <c r="AT312" s="300" t="str">
        <f>_xlfn.IFNA(VLOOKUP($AI312,Programma!$F$3:$Q$1107,12,0),"")</f>
        <v>1w</v>
      </c>
      <c r="AU312" s="300" t="str">
        <f>_xlfn.IFNA(VLOOKUP($AI312,Programma!$F$3:$R$1107,13,0),"")</f>
        <v>1w</v>
      </c>
      <c r="AV312" s="300" t="str">
        <f>_xlfn.IFNA(VLOOKUP($AI312,Programma!$F$3:$S$1107,14,0),"")</f>
        <v>1m</v>
      </c>
      <c r="AW312" s="300" t="str">
        <f>_xlfn.IFNA(VLOOKUP($AI312,Programma!$F$3:$T$1107,15,0),"")</f>
        <v>2j</v>
      </c>
      <c r="AX312" s="300" t="str">
        <f>_xlfn.IFNA(VLOOKUP($AI312,Programma!$F$3:$U$1107,16,0),"")</f>
        <v>1j</v>
      </c>
      <c r="AY312" s="300" t="str">
        <f>_xlfn.IFNA(VLOOKUP($AI312,Programma!$F$3:$V$1107,17,0),"")</f>
        <v>_</v>
      </c>
      <c r="AZ312" s="300" t="str">
        <f>_xlfn.IFNA(VLOOKUP($AI312,Programma!$F$3:$W$1107,18,0),"")</f>
        <v>_</v>
      </c>
      <c r="BA312" s="300" t="str">
        <f>_xlfn.IFNA(VLOOKUP($AI312,Programma!$F$3:$X$1107,19,0),"")</f>
        <v>_</v>
      </c>
      <c r="BB312" s="300" t="str">
        <f>_xlfn.IFNA(VLOOKUP($AI312,Programma!$F$3:$Y$1107,20,0),"")</f>
        <v>_</v>
      </c>
      <c r="BC312" s="257"/>
      <c r="BD312" s="256" t="str">
        <f>IF(Ruimtestaat[[#This Row],[Frequentie weekend]]="","",_xlfn.CONCAT(Ruimtestaat[[#This Row],[Ruimte code]],"-",Ruimtestaat[[#This Row],[Frequentie weekend]]," ",Ruimtestaat[[#This Row],[Vloer code]]))</f>
        <v/>
      </c>
      <c r="BE312" s="300" t="str">
        <f>_xlfn.IFNA(VLOOKUP($BD312,Programma!$F$3:$G$1107,2,0),"")</f>
        <v/>
      </c>
      <c r="BF312" s="300" t="str">
        <f>_xlfn.IFNA(VLOOKUP($BD312,Programma!$F$3:$H$1107,3,0),"")</f>
        <v/>
      </c>
      <c r="BG312" s="300" t="str">
        <f>_xlfn.IFNA(VLOOKUP($BD312,Programma!$F$3:$I$1107,4,0),"")</f>
        <v/>
      </c>
      <c r="BH312" s="300" t="str">
        <f>_xlfn.IFNA(VLOOKUP($BD312,Programma!$F$3:$J$1107,5,0),"")</f>
        <v/>
      </c>
      <c r="BI312" s="300" t="str">
        <f>_xlfn.IFNA(VLOOKUP($BD312,Programma!$F$3:$K$1107,6,0),"")</f>
        <v/>
      </c>
      <c r="BJ312" s="300" t="str">
        <f>_xlfn.IFNA(VLOOKUP($BD312,Programma!$F$3:$L$1107,7,0),"")</f>
        <v/>
      </c>
      <c r="BK312" s="300" t="str">
        <f>_xlfn.IFNA(VLOOKUP($BD312,Programma!$F$3:$M$1107,8,0),"")</f>
        <v/>
      </c>
      <c r="BL312" s="300" t="str">
        <f>_xlfn.IFNA(VLOOKUP($BD312,Programma!$F$3:$N$1107,9,0),"")</f>
        <v/>
      </c>
      <c r="BM312" s="300" t="str">
        <f>_xlfn.IFNA(VLOOKUP($BD312,Programma!$F$3:$O$1107,10,0),"")</f>
        <v/>
      </c>
      <c r="BN312" s="300" t="str">
        <f>_xlfn.IFNA(VLOOKUP($BD312,Programma!$F$3:$P$1107,11,0),"")</f>
        <v/>
      </c>
      <c r="BO312" s="300" t="str">
        <f>_xlfn.IFNA(VLOOKUP($BD312,Programma!$F$3:$Q$1107,12,0),"")</f>
        <v/>
      </c>
      <c r="BP312" s="300" t="str">
        <f>_xlfn.IFNA(VLOOKUP($BD312,Programma!$F$3:$R$1107,13,0),"")</f>
        <v/>
      </c>
      <c r="BQ312" s="300" t="str">
        <f>_xlfn.IFNA(VLOOKUP($BD312,Programma!$F$3:$S$1107,14,0),"")</f>
        <v/>
      </c>
      <c r="BR312" s="300" t="str">
        <f>_xlfn.IFNA(VLOOKUP($BD312,Programma!$F$3:$T$1107,15,0),"")</f>
        <v/>
      </c>
      <c r="BS312" s="300" t="str">
        <f>_xlfn.IFNA(VLOOKUP($BD312,Programma!$F$3:$U$1107,16,0),"")</f>
        <v/>
      </c>
      <c r="BT312" s="300" t="str">
        <f>_xlfn.IFNA(VLOOKUP($BD312,Programma!$F$3:$V$1107,17,0),"")</f>
        <v/>
      </c>
      <c r="BU312" s="300" t="str">
        <f>_xlfn.IFNA(VLOOKUP($BD312,Programma!$F$3:$W$1107,18,0),"")</f>
        <v/>
      </c>
      <c r="BV312" s="300" t="str">
        <f>_xlfn.IFNA(VLOOKUP($BD312,Programma!$F$3:$X$1107,19,0),"")</f>
        <v/>
      </c>
      <c r="BW312" s="300" t="str">
        <f>_xlfn.IFNA(VLOOKUP($BD312,Programma!$F$3:$Y$1107,20,0),"")</f>
        <v/>
      </c>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row>
    <row r="313" spans="1:220" ht="15" customHeight="1">
      <c r="A313" s="21">
        <v>4</v>
      </c>
      <c r="B313" s="157" t="str">
        <f>VLOOKUP(Ruimtestaat[[#This Row],[Code]],Locaties[[Code]:[Locatie]],2,FALSE)</f>
        <v>Sint-Maartenscollege</v>
      </c>
      <c r="C313" s="157" t="str">
        <f>VLOOKUP(Ruimtestaat[[#This Row],[Code]],Locaties[[#All],[Code]:[Adres]],4,FALSE)</f>
        <v xml:space="preserve">Aart v.d. Leeuwkade 14 </v>
      </c>
      <c r="D313" s="157" t="str">
        <f>VLOOKUP(Ruimtestaat[[#This Row],[Code]],Locaties[[#All],[Code]:[Postcode]],5,FALSE)</f>
        <v>2274 KX</v>
      </c>
      <c r="E313" s="157" t="str">
        <f>VLOOKUP(Ruimtestaat[[#This Row],[Code]],Locaties[#All],6,FALSE)</f>
        <v>Voorburg</v>
      </c>
      <c r="F313" s="62"/>
      <c r="G313" s="21" t="s">
        <v>1706</v>
      </c>
      <c r="H313" s="21" t="s">
        <v>1746</v>
      </c>
      <c r="I313" s="62" t="s">
        <v>1968</v>
      </c>
      <c r="J313" s="21">
        <v>16</v>
      </c>
      <c r="K313" s="62" t="str">
        <f>VLOOKUP(Ruimtestaat[[#This Row],[Ruimte code]],Ruimtegroepen[[#All],[Code]:[Ruimte omschrijving]],2,FALSE)</f>
        <v>Leslokalen theorie</v>
      </c>
      <c r="L313" s="33" t="s">
        <v>101</v>
      </c>
      <c r="M313" s="367" t="s">
        <v>2495</v>
      </c>
      <c r="N313" s="140">
        <v>47</v>
      </c>
      <c r="O313" s="140"/>
      <c r="P313" s="125" t="str">
        <f>VLOOKUP(Ruimtestaat[[#This Row],[Ruimte code]],Ruimtegroepen[],4,FALSE)</f>
        <v>Le</v>
      </c>
      <c r="R313" s="33">
        <v>40</v>
      </c>
      <c r="S313" s="33" t="s">
        <v>2</v>
      </c>
      <c r="T313" s="33">
        <f>IF(R313&gt;0,IF(RIGHT(Ruimtestaat[[#This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3" s="33">
        <f>IF(T313&gt;0,VLOOKUP($J313,Ruimtegroepen[],3,FALSE)*VLOOKUP($L313,Vloersoorten[],3,FALSE)*VLOOKUP($S313,Frequenties[],3,FALSE)*VLOOKUP($A313,Locaties[],3,FALSE),0)</f>
        <v>0</v>
      </c>
      <c r="V313" s="33">
        <f>Ruimtestaat[[#This Row],[Uitvoeringen werkdagen]]*Ruimtestaat[[#This Row],[Oppervlak (netto)]]</f>
        <v>9400</v>
      </c>
      <c r="W313" s="154">
        <f>IF(U313&gt;0,Ruimtestaat[[#This Row],[Prest. (m2 /jaar) werkdagen]]/Ruimtestaat[[#This Row],[Norm (m2/uur) werkdagen]],0)</f>
        <v>0</v>
      </c>
      <c r="X313" s="155">
        <f>Ruimtestaat[[#This Row],[uren / jaar werkdagen]]*Tariefsopbouw!$E$35</f>
        <v>0</v>
      </c>
      <c r="Y313" s="33"/>
      <c r="Z313" s="33">
        <f>IF(Ruimtestaat[[#This Row],[Frequentie weekend]]&gt;0,VALUE(LEFT(Y313,1))*R313,0)</f>
        <v>0</v>
      </c>
      <c r="AA313" s="97">
        <f>IF($Z313&gt;0,VLOOKUP($J313,Ruimtegroepen[],3,FALSE)*VLOOKUP($L313,Vloersoorten[],3,FALSE)*VLOOKUP($Y313,Frequenties[],3,FALSE)*VLOOKUP(Ruimtestaat[[#This Row],[Code]],Locaties[],3,FALSE),0)</f>
        <v>0</v>
      </c>
      <c r="AB313" s="97">
        <f>Ruimtestaat[[#This Row],[Uitvoeringen weekend]]*Ruimtestaat[[#This Row],[Oppervlak (netto)]]</f>
        <v>0</v>
      </c>
      <c r="AC313" s="97">
        <f>IF(AA313&gt;0,Ruimtestaat[[#This Row],[Prest. (m2 /jaar) weekend]]/Ruimtestaat[[#This Row],[Norm (m2/uur) weekend]],0)</f>
        <v>0</v>
      </c>
      <c r="AD313" s="155">
        <f>Ruimtestaat[[#This Row],[uren / jaar weekend]]*Tariefsopbouw!$D$40</f>
        <v>0</v>
      </c>
      <c r="AE313" s="154">
        <f>Ruimtestaat[[#This Row],[Prest. (m2 /jaar) weekend]]+Ruimtestaat[[#This Row],[Prest. (m2 /jaar) werkdagen]]</f>
        <v>9400</v>
      </c>
      <c r="AF313" s="154">
        <f>Ruimtestaat[[#This Row],[uren / jaar weekend]]+Ruimtestaat[[#This Row],[uren / jaar werkdagen]]</f>
        <v>0</v>
      </c>
      <c r="AG313" s="69">
        <f>Ruimtestaat[[#This Row],[kosten / jaar weekend]]+Ruimtestaat[[#This Row],[kosten / jaar werkdagen]]</f>
        <v>0</v>
      </c>
      <c r="AH313" s="69"/>
      <c r="AI313" s="256" t="str">
        <f>IF(Ruimtestaat[[#This Row],[Frequentie werkdagen]]="","",_xlfn.CONCAT(Ruimtestaat[[#This Row],[Ruimte code]],"-",Ruimtestaat[[#This Row],[Frequentie werkdagen]]," ",Ruimtestaat[[#This Row],[Vloer code]]))</f>
        <v>16-5w L</v>
      </c>
      <c r="AJ313" s="300" t="str">
        <f>_xlfn.IFNA(VLOOKUP($AI313,Programma!$F$3:$G$1107,2,0),"")</f>
        <v>_</v>
      </c>
      <c r="AK313" s="300" t="str">
        <f>_xlfn.IFNA(VLOOKUP($AI313,Programma!$F$3:$H$1107,3,0),"")</f>
        <v>_</v>
      </c>
      <c r="AL313" s="300" t="str">
        <f>_xlfn.IFNA(VLOOKUP($AI313,Programma!$F$3:$I$1107,4,0),"")</f>
        <v>4w</v>
      </c>
      <c r="AM313" s="300" t="str">
        <f>_xlfn.IFNA(VLOOKUP($AI313,Programma!$F$3:$J$1107,5,0),"")</f>
        <v>1w</v>
      </c>
      <c r="AN313" s="300" t="str">
        <f>_xlfn.IFNA(VLOOKUP($AI313,Programma!$F$3:$K$1107,6,0),"")</f>
        <v>_</v>
      </c>
      <c r="AO313" s="300" t="str">
        <f>_xlfn.IFNA(VLOOKUP($AI313,Programma!$F$3:$L$1107,7,0),"")</f>
        <v>_</v>
      </c>
      <c r="AP313" s="300" t="str">
        <f>_xlfn.IFNA(VLOOKUP($AI313,Programma!$F$3:$M$1107,8,0),"")</f>
        <v>_</v>
      </c>
      <c r="AQ313" s="300" t="str">
        <f>_xlfn.IFNA(VLOOKUP($AI313,Programma!$F$3:$N$1107,9,0),"")</f>
        <v>_</v>
      </c>
      <c r="AR313" s="300" t="str">
        <f>_xlfn.IFNA(VLOOKUP($AI313,Programma!$F$3:$O$1107,10,0),"")</f>
        <v>5w</v>
      </c>
      <c r="AS313" s="300" t="str">
        <f>_xlfn.IFNA(VLOOKUP($AI313,Programma!$F$3:$P$1107,11,0),"")</f>
        <v>5w</v>
      </c>
      <c r="AT313" s="300" t="str">
        <f>_xlfn.IFNA(VLOOKUP($AI313,Programma!$F$3:$Q$1107,12,0),"")</f>
        <v>1w</v>
      </c>
      <c r="AU313" s="300" t="str">
        <f>_xlfn.IFNA(VLOOKUP($AI313,Programma!$F$3:$R$1107,13,0),"")</f>
        <v>1w</v>
      </c>
      <c r="AV313" s="300" t="str">
        <f>_xlfn.IFNA(VLOOKUP($AI313,Programma!$F$3:$S$1107,14,0),"")</f>
        <v>1m</v>
      </c>
      <c r="AW313" s="300" t="str">
        <f>_xlfn.IFNA(VLOOKUP($AI313,Programma!$F$3:$T$1107,15,0),"")</f>
        <v>2j</v>
      </c>
      <c r="AX313" s="300" t="str">
        <f>_xlfn.IFNA(VLOOKUP($AI313,Programma!$F$3:$U$1107,16,0),"")</f>
        <v>1j</v>
      </c>
      <c r="AY313" s="300" t="str">
        <f>_xlfn.IFNA(VLOOKUP($AI313,Programma!$F$3:$V$1107,17,0),"")</f>
        <v>_</v>
      </c>
      <c r="AZ313" s="300" t="str">
        <f>_xlfn.IFNA(VLOOKUP($AI313,Programma!$F$3:$W$1107,18,0),"")</f>
        <v>_</v>
      </c>
      <c r="BA313" s="300" t="str">
        <f>_xlfn.IFNA(VLOOKUP($AI313,Programma!$F$3:$X$1107,19,0),"")</f>
        <v>_</v>
      </c>
      <c r="BB313" s="300" t="str">
        <f>_xlfn.IFNA(VLOOKUP($AI313,Programma!$F$3:$Y$1107,20,0),"")</f>
        <v>_</v>
      </c>
      <c r="BC313" s="257"/>
      <c r="BD313" s="256" t="str">
        <f>IF(Ruimtestaat[[#This Row],[Frequentie weekend]]="","",_xlfn.CONCAT(Ruimtestaat[[#This Row],[Ruimte code]],"-",Ruimtestaat[[#This Row],[Frequentie weekend]]," ",Ruimtestaat[[#This Row],[Vloer code]]))</f>
        <v/>
      </c>
      <c r="BE313" s="300" t="str">
        <f>_xlfn.IFNA(VLOOKUP($BD313,Programma!$F$3:$G$1107,2,0),"")</f>
        <v/>
      </c>
      <c r="BF313" s="300" t="str">
        <f>_xlfn.IFNA(VLOOKUP($BD313,Programma!$F$3:$H$1107,3,0),"")</f>
        <v/>
      </c>
      <c r="BG313" s="300" t="str">
        <f>_xlfn.IFNA(VLOOKUP($BD313,Programma!$F$3:$I$1107,4,0),"")</f>
        <v/>
      </c>
      <c r="BH313" s="300" t="str">
        <f>_xlfn.IFNA(VLOOKUP($BD313,Programma!$F$3:$J$1107,5,0),"")</f>
        <v/>
      </c>
      <c r="BI313" s="300" t="str">
        <f>_xlfn.IFNA(VLOOKUP($BD313,Programma!$F$3:$K$1107,6,0),"")</f>
        <v/>
      </c>
      <c r="BJ313" s="300" t="str">
        <f>_xlfn.IFNA(VLOOKUP($BD313,Programma!$F$3:$L$1107,7,0),"")</f>
        <v/>
      </c>
      <c r="BK313" s="300" t="str">
        <f>_xlfn.IFNA(VLOOKUP($BD313,Programma!$F$3:$M$1107,8,0),"")</f>
        <v/>
      </c>
      <c r="BL313" s="300" t="str">
        <f>_xlfn.IFNA(VLOOKUP($BD313,Programma!$F$3:$N$1107,9,0),"")</f>
        <v/>
      </c>
      <c r="BM313" s="300" t="str">
        <f>_xlfn.IFNA(VLOOKUP($BD313,Programma!$F$3:$O$1107,10,0),"")</f>
        <v/>
      </c>
      <c r="BN313" s="300" t="str">
        <f>_xlfn.IFNA(VLOOKUP($BD313,Programma!$F$3:$P$1107,11,0),"")</f>
        <v/>
      </c>
      <c r="BO313" s="300" t="str">
        <f>_xlfn.IFNA(VLOOKUP($BD313,Programma!$F$3:$Q$1107,12,0),"")</f>
        <v/>
      </c>
      <c r="BP313" s="300" t="str">
        <f>_xlfn.IFNA(VLOOKUP($BD313,Programma!$F$3:$R$1107,13,0),"")</f>
        <v/>
      </c>
      <c r="BQ313" s="300" t="str">
        <f>_xlfn.IFNA(VLOOKUP($BD313,Programma!$F$3:$S$1107,14,0),"")</f>
        <v/>
      </c>
      <c r="BR313" s="300" t="str">
        <f>_xlfn.IFNA(VLOOKUP($BD313,Programma!$F$3:$T$1107,15,0),"")</f>
        <v/>
      </c>
      <c r="BS313" s="300" t="str">
        <f>_xlfn.IFNA(VLOOKUP($BD313,Programma!$F$3:$U$1107,16,0),"")</f>
        <v/>
      </c>
      <c r="BT313" s="300" t="str">
        <f>_xlfn.IFNA(VLOOKUP($BD313,Programma!$F$3:$V$1107,17,0),"")</f>
        <v/>
      </c>
      <c r="BU313" s="300" t="str">
        <f>_xlfn.IFNA(VLOOKUP($BD313,Programma!$F$3:$W$1107,18,0),"")</f>
        <v/>
      </c>
      <c r="BV313" s="300" t="str">
        <f>_xlfn.IFNA(VLOOKUP($BD313,Programma!$F$3:$X$1107,19,0),"")</f>
        <v/>
      </c>
      <c r="BW313" s="300" t="str">
        <f>_xlfn.IFNA(VLOOKUP($BD313,Programma!$F$3:$Y$1107,20,0),"")</f>
        <v/>
      </c>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row>
    <row r="314" spans="1:220" ht="15" customHeight="1">
      <c r="A314" s="21">
        <v>4</v>
      </c>
      <c r="B314" s="157" t="str">
        <f>VLOOKUP(Ruimtestaat[[#This Row],[Code]],Locaties[[Code]:[Locatie]],2,FALSE)</f>
        <v>Sint-Maartenscollege</v>
      </c>
      <c r="C314" s="157" t="str">
        <f>VLOOKUP(Ruimtestaat[[#This Row],[Code]],Locaties[[#All],[Code]:[Adres]],4,FALSE)</f>
        <v xml:space="preserve">Aart v.d. Leeuwkade 14 </v>
      </c>
      <c r="D314" s="157" t="str">
        <f>VLOOKUP(Ruimtestaat[[#This Row],[Code]],Locaties[[#All],[Code]:[Postcode]],5,FALSE)</f>
        <v>2274 KX</v>
      </c>
      <c r="E314" s="157" t="str">
        <f>VLOOKUP(Ruimtestaat[[#This Row],[Code]],Locaties[#All],6,FALSE)</f>
        <v>Voorburg</v>
      </c>
      <c r="F314" s="62"/>
      <c r="G314" s="21" t="s">
        <v>1706</v>
      </c>
      <c r="H314" s="21" t="s">
        <v>1969</v>
      </c>
      <c r="I314" s="62" t="s">
        <v>1970</v>
      </c>
      <c r="J314" s="21">
        <v>16</v>
      </c>
      <c r="K314" s="62" t="str">
        <f>VLOOKUP(Ruimtestaat[[#This Row],[Ruimte code]],Ruimtegroepen[[#All],[Code]:[Ruimte omschrijving]],2,FALSE)</f>
        <v>Leslokalen theorie</v>
      </c>
      <c r="L314" s="33" t="s">
        <v>101</v>
      </c>
      <c r="M314" s="367" t="s">
        <v>2495</v>
      </c>
      <c r="N314" s="140">
        <v>47</v>
      </c>
      <c r="O314" s="140"/>
      <c r="P314" s="125" t="str">
        <f>VLOOKUP(Ruimtestaat[[#This Row],[Ruimte code]],Ruimtegroepen[],4,FALSE)</f>
        <v>Le</v>
      </c>
      <c r="R314" s="33">
        <v>40</v>
      </c>
      <c r="S314" s="33" t="s">
        <v>2</v>
      </c>
      <c r="T314" s="33">
        <f>IF(R314&gt;0,IF(RIGHT(Ruimtestaat[[#This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4" s="33">
        <f>IF(T314&gt;0,VLOOKUP($J314,Ruimtegroepen[],3,FALSE)*VLOOKUP($L314,Vloersoorten[],3,FALSE)*VLOOKUP($S314,Frequenties[],3,FALSE)*VLOOKUP($A314,Locaties[],3,FALSE),0)</f>
        <v>0</v>
      </c>
      <c r="V314" s="33">
        <f>Ruimtestaat[[#This Row],[Uitvoeringen werkdagen]]*Ruimtestaat[[#This Row],[Oppervlak (netto)]]</f>
        <v>9400</v>
      </c>
      <c r="W314" s="154">
        <f>IF(U314&gt;0,Ruimtestaat[[#This Row],[Prest. (m2 /jaar) werkdagen]]/Ruimtestaat[[#This Row],[Norm (m2/uur) werkdagen]],0)</f>
        <v>0</v>
      </c>
      <c r="X314" s="155">
        <f>Ruimtestaat[[#This Row],[uren / jaar werkdagen]]*Tariefsopbouw!$E$35</f>
        <v>0</v>
      </c>
      <c r="Y314" s="33"/>
      <c r="Z314" s="33">
        <f>IF(Ruimtestaat[[#This Row],[Frequentie weekend]]&gt;0,VALUE(LEFT(Y314,1))*R314,0)</f>
        <v>0</v>
      </c>
      <c r="AA314" s="97">
        <f>IF($Z314&gt;0,VLOOKUP($J314,Ruimtegroepen[],3,FALSE)*VLOOKUP($L314,Vloersoorten[],3,FALSE)*VLOOKUP($Y314,Frequenties[],3,FALSE)*VLOOKUP(Ruimtestaat[[#This Row],[Code]],Locaties[],3,FALSE),0)</f>
        <v>0</v>
      </c>
      <c r="AB314" s="97">
        <f>Ruimtestaat[[#This Row],[Uitvoeringen weekend]]*Ruimtestaat[[#This Row],[Oppervlak (netto)]]</f>
        <v>0</v>
      </c>
      <c r="AC314" s="97">
        <f>IF(AA314&gt;0,Ruimtestaat[[#This Row],[Prest. (m2 /jaar) weekend]]/Ruimtestaat[[#This Row],[Norm (m2/uur) weekend]],0)</f>
        <v>0</v>
      </c>
      <c r="AD314" s="155">
        <f>Ruimtestaat[[#This Row],[uren / jaar weekend]]*Tariefsopbouw!$D$40</f>
        <v>0</v>
      </c>
      <c r="AE314" s="154">
        <f>Ruimtestaat[[#This Row],[Prest. (m2 /jaar) weekend]]+Ruimtestaat[[#This Row],[Prest. (m2 /jaar) werkdagen]]</f>
        <v>9400</v>
      </c>
      <c r="AF314" s="154">
        <f>Ruimtestaat[[#This Row],[uren / jaar weekend]]+Ruimtestaat[[#This Row],[uren / jaar werkdagen]]</f>
        <v>0</v>
      </c>
      <c r="AG314" s="69">
        <f>Ruimtestaat[[#This Row],[kosten / jaar weekend]]+Ruimtestaat[[#This Row],[kosten / jaar werkdagen]]</f>
        <v>0</v>
      </c>
      <c r="AH314" s="69"/>
      <c r="AI314" s="256" t="str">
        <f>IF(Ruimtestaat[[#This Row],[Frequentie werkdagen]]="","",_xlfn.CONCAT(Ruimtestaat[[#This Row],[Ruimte code]],"-",Ruimtestaat[[#This Row],[Frequentie werkdagen]]," ",Ruimtestaat[[#This Row],[Vloer code]]))</f>
        <v>16-5w L</v>
      </c>
      <c r="AJ314" s="300" t="str">
        <f>_xlfn.IFNA(VLOOKUP($AI314,Programma!$F$3:$G$1107,2,0),"")</f>
        <v>_</v>
      </c>
      <c r="AK314" s="300" t="str">
        <f>_xlfn.IFNA(VLOOKUP($AI314,Programma!$F$3:$H$1107,3,0),"")</f>
        <v>_</v>
      </c>
      <c r="AL314" s="300" t="str">
        <f>_xlfn.IFNA(VLOOKUP($AI314,Programma!$F$3:$I$1107,4,0),"")</f>
        <v>4w</v>
      </c>
      <c r="AM314" s="300" t="str">
        <f>_xlfn.IFNA(VLOOKUP($AI314,Programma!$F$3:$J$1107,5,0),"")</f>
        <v>1w</v>
      </c>
      <c r="AN314" s="300" t="str">
        <f>_xlfn.IFNA(VLOOKUP($AI314,Programma!$F$3:$K$1107,6,0),"")</f>
        <v>_</v>
      </c>
      <c r="AO314" s="300" t="str">
        <f>_xlfn.IFNA(VLOOKUP($AI314,Programma!$F$3:$L$1107,7,0),"")</f>
        <v>_</v>
      </c>
      <c r="AP314" s="300" t="str">
        <f>_xlfn.IFNA(VLOOKUP($AI314,Programma!$F$3:$M$1107,8,0),"")</f>
        <v>_</v>
      </c>
      <c r="AQ314" s="300" t="str">
        <f>_xlfn.IFNA(VLOOKUP($AI314,Programma!$F$3:$N$1107,9,0),"")</f>
        <v>_</v>
      </c>
      <c r="AR314" s="300" t="str">
        <f>_xlfn.IFNA(VLOOKUP($AI314,Programma!$F$3:$O$1107,10,0),"")</f>
        <v>5w</v>
      </c>
      <c r="AS314" s="300" t="str">
        <f>_xlfn.IFNA(VLOOKUP($AI314,Programma!$F$3:$P$1107,11,0),"")</f>
        <v>5w</v>
      </c>
      <c r="AT314" s="300" t="str">
        <f>_xlfn.IFNA(VLOOKUP($AI314,Programma!$F$3:$Q$1107,12,0),"")</f>
        <v>1w</v>
      </c>
      <c r="AU314" s="300" t="str">
        <f>_xlfn.IFNA(VLOOKUP($AI314,Programma!$F$3:$R$1107,13,0),"")</f>
        <v>1w</v>
      </c>
      <c r="AV314" s="300" t="str">
        <f>_xlfn.IFNA(VLOOKUP($AI314,Programma!$F$3:$S$1107,14,0),"")</f>
        <v>1m</v>
      </c>
      <c r="AW314" s="300" t="str">
        <f>_xlfn.IFNA(VLOOKUP($AI314,Programma!$F$3:$T$1107,15,0),"")</f>
        <v>2j</v>
      </c>
      <c r="AX314" s="300" t="str">
        <f>_xlfn.IFNA(VLOOKUP($AI314,Programma!$F$3:$U$1107,16,0),"")</f>
        <v>1j</v>
      </c>
      <c r="AY314" s="300" t="str">
        <f>_xlfn.IFNA(VLOOKUP($AI314,Programma!$F$3:$V$1107,17,0),"")</f>
        <v>_</v>
      </c>
      <c r="AZ314" s="300" t="str">
        <f>_xlfn.IFNA(VLOOKUP($AI314,Programma!$F$3:$W$1107,18,0),"")</f>
        <v>_</v>
      </c>
      <c r="BA314" s="300" t="str">
        <f>_xlfn.IFNA(VLOOKUP($AI314,Programma!$F$3:$X$1107,19,0),"")</f>
        <v>_</v>
      </c>
      <c r="BB314" s="300" t="str">
        <f>_xlfn.IFNA(VLOOKUP($AI314,Programma!$F$3:$Y$1107,20,0),"")</f>
        <v>_</v>
      </c>
      <c r="BC314" s="257"/>
      <c r="BD314" s="256" t="str">
        <f>IF(Ruimtestaat[[#This Row],[Frequentie weekend]]="","",_xlfn.CONCAT(Ruimtestaat[[#This Row],[Ruimte code]],"-",Ruimtestaat[[#This Row],[Frequentie weekend]]," ",Ruimtestaat[[#This Row],[Vloer code]]))</f>
        <v/>
      </c>
      <c r="BE314" s="300" t="str">
        <f>_xlfn.IFNA(VLOOKUP($BD314,Programma!$F$3:$G$1107,2,0),"")</f>
        <v/>
      </c>
      <c r="BF314" s="300" t="str">
        <f>_xlfn.IFNA(VLOOKUP($BD314,Programma!$F$3:$H$1107,3,0),"")</f>
        <v/>
      </c>
      <c r="BG314" s="300" t="str">
        <f>_xlfn.IFNA(VLOOKUP($BD314,Programma!$F$3:$I$1107,4,0),"")</f>
        <v/>
      </c>
      <c r="BH314" s="300" t="str">
        <f>_xlfn.IFNA(VLOOKUP($BD314,Programma!$F$3:$J$1107,5,0),"")</f>
        <v/>
      </c>
      <c r="BI314" s="300" t="str">
        <f>_xlfn.IFNA(VLOOKUP($BD314,Programma!$F$3:$K$1107,6,0),"")</f>
        <v/>
      </c>
      <c r="BJ314" s="300" t="str">
        <f>_xlfn.IFNA(VLOOKUP($BD314,Programma!$F$3:$L$1107,7,0),"")</f>
        <v/>
      </c>
      <c r="BK314" s="300" t="str">
        <f>_xlfn.IFNA(VLOOKUP($BD314,Programma!$F$3:$M$1107,8,0),"")</f>
        <v/>
      </c>
      <c r="BL314" s="300" t="str">
        <f>_xlfn.IFNA(VLOOKUP($BD314,Programma!$F$3:$N$1107,9,0),"")</f>
        <v/>
      </c>
      <c r="BM314" s="300" t="str">
        <f>_xlfn.IFNA(VLOOKUP($BD314,Programma!$F$3:$O$1107,10,0),"")</f>
        <v/>
      </c>
      <c r="BN314" s="300" t="str">
        <f>_xlfn.IFNA(VLOOKUP($BD314,Programma!$F$3:$P$1107,11,0),"")</f>
        <v/>
      </c>
      <c r="BO314" s="300" t="str">
        <f>_xlfn.IFNA(VLOOKUP($BD314,Programma!$F$3:$Q$1107,12,0),"")</f>
        <v/>
      </c>
      <c r="BP314" s="300" t="str">
        <f>_xlfn.IFNA(VLOOKUP($BD314,Programma!$F$3:$R$1107,13,0),"")</f>
        <v/>
      </c>
      <c r="BQ314" s="300" t="str">
        <f>_xlfn.IFNA(VLOOKUP($BD314,Programma!$F$3:$S$1107,14,0),"")</f>
        <v/>
      </c>
      <c r="BR314" s="300" t="str">
        <f>_xlfn.IFNA(VLOOKUP($BD314,Programma!$F$3:$T$1107,15,0),"")</f>
        <v/>
      </c>
      <c r="BS314" s="300" t="str">
        <f>_xlfn.IFNA(VLOOKUP($BD314,Programma!$F$3:$U$1107,16,0),"")</f>
        <v/>
      </c>
      <c r="BT314" s="300" t="str">
        <f>_xlfn.IFNA(VLOOKUP($BD314,Programma!$F$3:$V$1107,17,0),"")</f>
        <v/>
      </c>
      <c r="BU314" s="300" t="str">
        <f>_xlfn.IFNA(VLOOKUP($BD314,Programma!$F$3:$W$1107,18,0),"")</f>
        <v/>
      </c>
      <c r="BV314" s="300" t="str">
        <f>_xlfn.IFNA(VLOOKUP($BD314,Programma!$F$3:$X$1107,19,0),"")</f>
        <v/>
      </c>
      <c r="BW314" s="300" t="str">
        <f>_xlfn.IFNA(VLOOKUP($BD314,Programma!$F$3:$Y$1107,20,0),"")</f>
        <v/>
      </c>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row>
    <row r="315" spans="1:220" ht="15" customHeight="1">
      <c r="A315" s="21">
        <v>4</v>
      </c>
      <c r="B315" s="157" t="str">
        <f>VLOOKUP(Ruimtestaat[[#This Row],[Code]],Locaties[[Code]:[Locatie]],2,FALSE)</f>
        <v>Sint-Maartenscollege</v>
      </c>
      <c r="C315" s="157" t="str">
        <f>VLOOKUP(Ruimtestaat[[#This Row],[Code]],Locaties[[#All],[Code]:[Adres]],4,FALSE)</f>
        <v xml:space="preserve">Aart v.d. Leeuwkade 14 </v>
      </c>
      <c r="D315" s="157" t="str">
        <f>VLOOKUP(Ruimtestaat[[#This Row],[Code]],Locaties[[#All],[Code]:[Postcode]],5,FALSE)</f>
        <v>2274 KX</v>
      </c>
      <c r="E315" s="157" t="str">
        <f>VLOOKUP(Ruimtestaat[[#This Row],[Code]],Locaties[#All],6,FALSE)</f>
        <v>Voorburg</v>
      </c>
      <c r="F315" s="62"/>
      <c r="G315" s="21" t="s">
        <v>1706</v>
      </c>
      <c r="H315" s="21" t="s">
        <v>1971</v>
      </c>
      <c r="I315" s="62" t="s">
        <v>1972</v>
      </c>
      <c r="J315" s="21">
        <v>16</v>
      </c>
      <c r="K315" s="62" t="str">
        <f>VLOOKUP(Ruimtestaat[[#This Row],[Ruimte code]],Ruimtegroepen[[#All],[Code]:[Ruimte omschrijving]],2,FALSE)</f>
        <v>Leslokalen theorie</v>
      </c>
      <c r="L315" s="33" t="s">
        <v>101</v>
      </c>
      <c r="M315" s="367" t="s">
        <v>2495</v>
      </c>
      <c r="N315" s="140">
        <v>47</v>
      </c>
      <c r="O315" s="140"/>
      <c r="P315" s="125" t="str">
        <f>VLOOKUP(Ruimtestaat[[#This Row],[Ruimte code]],Ruimtegroepen[],4,FALSE)</f>
        <v>Le</v>
      </c>
      <c r="R315" s="33">
        <v>40</v>
      </c>
      <c r="S315" s="33" t="s">
        <v>2</v>
      </c>
      <c r="T315" s="33">
        <f>IF(R315&gt;0,IF(RIGHT(Ruimtestaat[[#This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5" s="33">
        <f>IF(T315&gt;0,VLOOKUP($J315,Ruimtegroepen[],3,FALSE)*VLOOKUP($L315,Vloersoorten[],3,FALSE)*VLOOKUP($S315,Frequenties[],3,FALSE)*VLOOKUP($A315,Locaties[],3,FALSE),0)</f>
        <v>0</v>
      </c>
      <c r="V315" s="33">
        <f>Ruimtestaat[[#This Row],[Uitvoeringen werkdagen]]*Ruimtestaat[[#This Row],[Oppervlak (netto)]]</f>
        <v>9400</v>
      </c>
      <c r="W315" s="154">
        <f>IF(U315&gt;0,Ruimtestaat[[#This Row],[Prest. (m2 /jaar) werkdagen]]/Ruimtestaat[[#This Row],[Norm (m2/uur) werkdagen]],0)</f>
        <v>0</v>
      </c>
      <c r="X315" s="155">
        <f>Ruimtestaat[[#This Row],[uren / jaar werkdagen]]*Tariefsopbouw!$E$35</f>
        <v>0</v>
      </c>
      <c r="Y315" s="33"/>
      <c r="Z315" s="33">
        <f>IF(Ruimtestaat[[#This Row],[Frequentie weekend]]&gt;0,VALUE(LEFT(Y315,1))*R315,0)</f>
        <v>0</v>
      </c>
      <c r="AA315" s="97">
        <f>IF($Z315&gt;0,VLOOKUP($J315,Ruimtegroepen[],3,FALSE)*VLOOKUP($L315,Vloersoorten[],3,FALSE)*VLOOKUP($Y315,Frequenties[],3,FALSE)*VLOOKUP(Ruimtestaat[[#This Row],[Code]],Locaties[],3,FALSE),0)</f>
        <v>0</v>
      </c>
      <c r="AB315" s="97">
        <f>Ruimtestaat[[#This Row],[Uitvoeringen weekend]]*Ruimtestaat[[#This Row],[Oppervlak (netto)]]</f>
        <v>0</v>
      </c>
      <c r="AC315" s="97">
        <f>IF(AA315&gt;0,Ruimtestaat[[#This Row],[Prest. (m2 /jaar) weekend]]/Ruimtestaat[[#This Row],[Norm (m2/uur) weekend]],0)</f>
        <v>0</v>
      </c>
      <c r="AD315" s="155">
        <f>Ruimtestaat[[#This Row],[uren / jaar weekend]]*Tariefsopbouw!$D$40</f>
        <v>0</v>
      </c>
      <c r="AE315" s="154">
        <f>Ruimtestaat[[#This Row],[Prest. (m2 /jaar) weekend]]+Ruimtestaat[[#This Row],[Prest. (m2 /jaar) werkdagen]]</f>
        <v>9400</v>
      </c>
      <c r="AF315" s="154">
        <f>Ruimtestaat[[#This Row],[uren / jaar weekend]]+Ruimtestaat[[#This Row],[uren / jaar werkdagen]]</f>
        <v>0</v>
      </c>
      <c r="AG315" s="69">
        <f>Ruimtestaat[[#This Row],[kosten / jaar weekend]]+Ruimtestaat[[#This Row],[kosten / jaar werkdagen]]</f>
        <v>0</v>
      </c>
      <c r="AH315" s="69"/>
      <c r="AI315" s="256" t="str">
        <f>IF(Ruimtestaat[[#This Row],[Frequentie werkdagen]]="","",_xlfn.CONCAT(Ruimtestaat[[#This Row],[Ruimte code]],"-",Ruimtestaat[[#This Row],[Frequentie werkdagen]]," ",Ruimtestaat[[#This Row],[Vloer code]]))</f>
        <v>16-5w L</v>
      </c>
      <c r="AJ315" s="300" t="str">
        <f>_xlfn.IFNA(VLOOKUP($AI315,Programma!$F$3:$G$1107,2,0),"")</f>
        <v>_</v>
      </c>
      <c r="AK315" s="300" t="str">
        <f>_xlfn.IFNA(VLOOKUP($AI315,Programma!$F$3:$H$1107,3,0),"")</f>
        <v>_</v>
      </c>
      <c r="AL315" s="300" t="str">
        <f>_xlfn.IFNA(VLOOKUP($AI315,Programma!$F$3:$I$1107,4,0),"")</f>
        <v>4w</v>
      </c>
      <c r="AM315" s="300" t="str">
        <f>_xlfn.IFNA(VLOOKUP($AI315,Programma!$F$3:$J$1107,5,0),"")</f>
        <v>1w</v>
      </c>
      <c r="AN315" s="300" t="str">
        <f>_xlfn.IFNA(VLOOKUP($AI315,Programma!$F$3:$K$1107,6,0),"")</f>
        <v>_</v>
      </c>
      <c r="AO315" s="300" t="str">
        <f>_xlfn.IFNA(VLOOKUP($AI315,Programma!$F$3:$L$1107,7,0),"")</f>
        <v>_</v>
      </c>
      <c r="AP315" s="300" t="str">
        <f>_xlfn.IFNA(VLOOKUP($AI315,Programma!$F$3:$M$1107,8,0),"")</f>
        <v>_</v>
      </c>
      <c r="AQ315" s="300" t="str">
        <f>_xlfn.IFNA(VLOOKUP($AI315,Programma!$F$3:$N$1107,9,0),"")</f>
        <v>_</v>
      </c>
      <c r="AR315" s="300" t="str">
        <f>_xlfn.IFNA(VLOOKUP($AI315,Programma!$F$3:$O$1107,10,0),"")</f>
        <v>5w</v>
      </c>
      <c r="AS315" s="300" t="str">
        <f>_xlfn.IFNA(VLOOKUP($AI315,Programma!$F$3:$P$1107,11,0),"")</f>
        <v>5w</v>
      </c>
      <c r="AT315" s="300" t="str">
        <f>_xlfn.IFNA(VLOOKUP($AI315,Programma!$F$3:$Q$1107,12,0),"")</f>
        <v>1w</v>
      </c>
      <c r="AU315" s="300" t="str">
        <f>_xlfn.IFNA(VLOOKUP($AI315,Programma!$F$3:$R$1107,13,0),"")</f>
        <v>1w</v>
      </c>
      <c r="AV315" s="300" t="str">
        <f>_xlfn.IFNA(VLOOKUP($AI315,Programma!$F$3:$S$1107,14,0),"")</f>
        <v>1m</v>
      </c>
      <c r="AW315" s="300" t="str">
        <f>_xlfn.IFNA(VLOOKUP($AI315,Programma!$F$3:$T$1107,15,0),"")</f>
        <v>2j</v>
      </c>
      <c r="AX315" s="300" t="str">
        <f>_xlfn.IFNA(VLOOKUP($AI315,Programma!$F$3:$U$1107,16,0),"")</f>
        <v>1j</v>
      </c>
      <c r="AY315" s="300" t="str">
        <f>_xlfn.IFNA(VLOOKUP($AI315,Programma!$F$3:$V$1107,17,0),"")</f>
        <v>_</v>
      </c>
      <c r="AZ315" s="300" t="str">
        <f>_xlfn.IFNA(VLOOKUP($AI315,Programma!$F$3:$W$1107,18,0),"")</f>
        <v>_</v>
      </c>
      <c r="BA315" s="300" t="str">
        <f>_xlfn.IFNA(VLOOKUP($AI315,Programma!$F$3:$X$1107,19,0),"")</f>
        <v>_</v>
      </c>
      <c r="BB315" s="300" t="str">
        <f>_xlfn.IFNA(VLOOKUP($AI315,Programma!$F$3:$Y$1107,20,0),"")</f>
        <v>_</v>
      </c>
      <c r="BC315" s="257"/>
      <c r="BD315" s="256" t="str">
        <f>IF(Ruimtestaat[[#This Row],[Frequentie weekend]]="","",_xlfn.CONCAT(Ruimtestaat[[#This Row],[Ruimte code]],"-",Ruimtestaat[[#This Row],[Frequentie weekend]]," ",Ruimtestaat[[#This Row],[Vloer code]]))</f>
        <v/>
      </c>
      <c r="BE315" s="300" t="str">
        <f>_xlfn.IFNA(VLOOKUP($BD315,Programma!$F$3:$G$1107,2,0),"")</f>
        <v/>
      </c>
      <c r="BF315" s="300" t="str">
        <f>_xlfn.IFNA(VLOOKUP($BD315,Programma!$F$3:$H$1107,3,0),"")</f>
        <v/>
      </c>
      <c r="BG315" s="300" t="str">
        <f>_xlfn.IFNA(VLOOKUP($BD315,Programma!$F$3:$I$1107,4,0),"")</f>
        <v/>
      </c>
      <c r="BH315" s="300" t="str">
        <f>_xlfn.IFNA(VLOOKUP($BD315,Programma!$F$3:$J$1107,5,0),"")</f>
        <v/>
      </c>
      <c r="BI315" s="300" t="str">
        <f>_xlfn.IFNA(VLOOKUP($BD315,Programma!$F$3:$K$1107,6,0),"")</f>
        <v/>
      </c>
      <c r="BJ315" s="300" t="str">
        <f>_xlfn.IFNA(VLOOKUP($BD315,Programma!$F$3:$L$1107,7,0),"")</f>
        <v/>
      </c>
      <c r="BK315" s="300" t="str">
        <f>_xlfn.IFNA(VLOOKUP($BD315,Programma!$F$3:$M$1107,8,0),"")</f>
        <v/>
      </c>
      <c r="BL315" s="300" t="str">
        <f>_xlfn.IFNA(VLOOKUP($BD315,Programma!$F$3:$N$1107,9,0),"")</f>
        <v/>
      </c>
      <c r="BM315" s="300" t="str">
        <f>_xlfn.IFNA(VLOOKUP($BD315,Programma!$F$3:$O$1107,10,0),"")</f>
        <v/>
      </c>
      <c r="BN315" s="300" t="str">
        <f>_xlfn.IFNA(VLOOKUP($BD315,Programma!$F$3:$P$1107,11,0),"")</f>
        <v/>
      </c>
      <c r="BO315" s="300" t="str">
        <f>_xlfn.IFNA(VLOOKUP($BD315,Programma!$F$3:$Q$1107,12,0),"")</f>
        <v/>
      </c>
      <c r="BP315" s="300" t="str">
        <f>_xlfn.IFNA(VLOOKUP($BD315,Programma!$F$3:$R$1107,13,0),"")</f>
        <v/>
      </c>
      <c r="BQ315" s="300" t="str">
        <f>_xlfn.IFNA(VLOOKUP($BD315,Programma!$F$3:$S$1107,14,0),"")</f>
        <v/>
      </c>
      <c r="BR315" s="300" t="str">
        <f>_xlfn.IFNA(VLOOKUP($BD315,Programma!$F$3:$T$1107,15,0),"")</f>
        <v/>
      </c>
      <c r="BS315" s="300" t="str">
        <f>_xlfn.IFNA(VLOOKUP($BD315,Programma!$F$3:$U$1107,16,0),"")</f>
        <v/>
      </c>
      <c r="BT315" s="300" t="str">
        <f>_xlfn.IFNA(VLOOKUP($BD315,Programma!$F$3:$V$1107,17,0),"")</f>
        <v/>
      </c>
      <c r="BU315" s="300" t="str">
        <f>_xlfn.IFNA(VLOOKUP($BD315,Programma!$F$3:$W$1107,18,0),"")</f>
        <v/>
      </c>
      <c r="BV315" s="300" t="str">
        <f>_xlfn.IFNA(VLOOKUP($BD315,Programma!$F$3:$X$1107,19,0),"")</f>
        <v/>
      </c>
      <c r="BW315" s="300" t="str">
        <f>_xlfn.IFNA(VLOOKUP($BD315,Programma!$F$3:$Y$1107,20,0),"")</f>
        <v/>
      </c>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row>
    <row r="316" spans="1:220" ht="15" customHeight="1">
      <c r="A316" s="21">
        <v>4</v>
      </c>
      <c r="B316" s="157" t="str">
        <f>VLOOKUP(Ruimtestaat[[#This Row],[Code]],Locaties[[Code]:[Locatie]],2,FALSE)</f>
        <v>Sint-Maartenscollege</v>
      </c>
      <c r="C316" s="157" t="str">
        <f>VLOOKUP(Ruimtestaat[[#This Row],[Code]],Locaties[[#All],[Code]:[Adres]],4,FALSE)</f>
        <v xml:space="preserve">Aart v.d. Leeuwkade 14 </v>
      </c>
      <c r="D316" s="157" t="str">
        <f>VLOOKUP(Ruimtestaat[[#This Row],[Code]],Locaties[[#All],[Code]:[Postcode]],5,FALSE)</f>
        <v>2274 KX</v>
      </c>
      <c r="E316" s="157" t="str">
        <f>VLOOKUP(Ruimtestaat[[#This Row],[Code]],Locaties[#All],6,FALSE)</f>
        <v>Voorburg</v>
      </c>
      <c r="F316" s="62"/>
      <c r="G316" s="21" t="s">
        <v>1706</v>
      </c>
      <c r="H316" s="21" t="s">
        <v>1973</v>
      </c>
      <c r="I316" s="62" t="s">
        <v>1974</v>
      </c>
      <c r="J316" s="21">
        <v>16</v>
      </c>
      <c r="K316" s="62" t="str">
        <f>VLOOKUP(Ruimtestaat[[#This Row],[Ruimte code]],Ruimtegroepen[[#All],[Code]:[Ruimte omschrijving]],2,FALSE)</f>
        <v>Leslokalen theorie</v>
      </c>
      <c r="L316" s="33" t="s">
        <v>101</v>
      </c>
      <c r="M316" s="367" t="s">
        <v>2495</v>
      </c>
      <c r="N316" s="140">
        <v>49</v>
      </c>
      <c r="O316" s="140"/>
      <c r="P316" s="125" t="str">
        <f>VLOOKUP(Ruimtestaat[[#This Row],[Ruimte code]],Ruimtegroepen[],4,FALSE)</f>
        <v>Le</v>
      </c>
      <c r="R316" s="33">
        <v>40</v>
      </c>
      <c r="S316" s="33" t="s">
        <v>2</v>
      </c>
      <c r="T316" s="33">
        <f>IF(R316&gt;0,IF(RIGHT(Ruimtestaat[[#This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6" s="33">
        <f>IF(T316&gt;0,VLOOKUP($J316,Ruimtegroepen[],3,FALSE)*VLOOKUP($L316,Vloersoorten[],3,FALSE)*VLOOKUP($S316,Frequenties[],3,FALSE)*VLOOKUP($A316,Locaties[],3,FALSE),0)</f>
        <v>0</v>
      </c>
      <c r="V316" s="33">
        <f>Ruimtestaat[[#This Row],[Uitvoeringen werkdagen]]*Ruimtestaat[[#This Row],[Oppervlak (netto)]]</f>
        <v>9800</v>
      </c>
      <c r="W316" s="154">
        <f>IF(U316&gt;0,Ruimtestaat[[#This Row],[Prest. (m2 /jaar) werkdagen]]/Ruimtestaat[[#This Row],[Norm (m2/uur) werkdagen]],0)</f>
        <v>0</v>
      </c>
      <c r="X316" s="155">
        <f>Ruimtestaat[[#This Row],[uren / jaar werkdagen]]*Tariefsopbouw!$E$35</f>
        <v>0</v>
      </c>
      <c r="Y316" s="33"/>
      <c r="Z316" s="33">
        <f>IF(Ruimtestaat[[#This Row],[Frequentie weekend]]&gt;0,VALUE(LEFT(Y316,1))*R316,0)</f>
        <v>0</v>
      </c>
      <c r="AA316" s="97">
        <f>IF($Z316&gt;0,VLOOKUP($J316,Ruimtegroepen[],3,FALSE)*VLOOKUP($L316,Vloersoorten[],3,FALSE)*VLOOKUP($Y316,Frequenties[],3,FALSE)*VLOOKUP(Ruimtestaat[[#This Row],[Code]],Locaties[],3,FALSE),0)</f>
        <v>0</v>
      </c>
      <c r="AB316" s="97">
        <f>Ruimtestaat[[#This Row],[Uitvoeringen weekend]]*Ruimtestaat[[#This Row],[Oppervlak (netto)]]</f>
        <v>0</v>
      </c>
      <c r="AC316" s="97">
        <f>IF(AA316&gt;0,Ruimtestaat[[#This Row],[Prest. (m2 /jaar) weekend]]/Ruimtestaat[[#This Row],[Norm (m2/uur) weekend]],0)</f>
        <v>0</v>
      </c>
      <c r="AD316" s="155">
        <f>Ruimtestaat[[#This Row],[uren / jaar weekend]]*Tariefsopbouw!$D$40</f>
        <v>0</v>
      </c>
      <c r="AE316" s="154">
        <f>Ruimtestaat[[#This Row],[Prest. (m2 /jaar) weekend]]+Ruimtestaat[[#This Row],[Prest. (m2 /jaar) werkdagen]]</f>
        <v>9800</v>
      </c>
      <c r="AF316" s="154">
        <f>Ruimtestaat[[#This Row],[uren / jaar weekend]]+Ruimtestaat[[#This Row],[uren / jaar werkdagen]]</f>
        <v>0</v>
      </c>
      <c r="AG316" s="69">
        <f>Ruimtestaat[[#This Row],[kosten / jaar weekend]]+Ruimtestaat[[#This Row],[kosten / jaar werkdagen]]</f>
        <v>0</v>
      </c>
      <c r="AH316" s="69"/>
      <c r="AI316" s="256" t="str">
        <f>IF(Ruimtestaat[[#This Row],[Frequentie werkdagen]]="","",_xlfn.CONCAT(Ruimtestaat[[#This Row],[Ruimte code]],"-",Ruimtestaat[[#This Row],[Frequentie werkdagen]]," ",Ruimtestaat[[#This Row],[Vloer code]]))</f>
        <v>16-5w L</v>
      </c>
      <c r="AJ316" s="300" t="str">
        <f>_xlfn.IFNA(VLOOKUP($AI316,Programma!$F$3:$G$1107,2,0),"")</f>
        <v>_</v>
      </c>
      <c r="AK316" s="300" t="str">
        <f>_xlfn.IFNA(VLOOKUP($AI316,Programma!$F$3:$H$1107,3,0),"")</f>
        <v>_</v>
      </c>
      <c r="AL316" s="300" t="str">
        <f>_xlfn.IFNA(VLOOKUP($AI316,Programma!$F$3:$I$1107,4,0),"")</f>
        <v>4w</v>
      </c>
      <c r="AM316" s="300" t="str">
        <f>_xlfn.IFNA(VLOOKUP($AI316,Programma!$F$3:$J$1107,5,0),"")</f>
        <v>1w</v>
      </c>
      <c r="AN316" s="300" t="str">
        <f>_xlfn.IFNA(VLOOKUP($AI316,Programma!$F$3:$K$1107,6,0),"")</f>
        <v>_</v>
      </c>
      <c r="AO316" s="300" t="str">
        <f>_xlfn.IFNA(VLOOKUP($AI316,Programma!$F$3:$L$1107,7,0),"")</f>
        <v>_</v>
      </c>
      <c r="AP316" s="300" t="str">
        <f>_xlfn.IFNA(VLOOKUP($AI316,Programma!$F$3:$M$1107,8,0),"")</f>
        <v>_</v>
      </c>
      <c r="AQ316" s="300" t="str">
        <f>_xlfn.IFNA(VLOOKUP($AI316,Programma!$F$3:$N$1107,9,0),"")</f>
        <v>_</v>
      </c>
      <c r="AR316" s="300" t="str">
        <f>_xlfn.IFNA(VLOOKUP($AI316,Programma!$F$3:$O$1107,10,0),"")</f>
        <v>5w</v>
      </c>
      <c r="AS316" s="300" t="str">
        <f>_xlfn.IFNA(VLOOKUP($AI316,Programma!$F$3:$P$1107,11,0),"")</f>
        <v>5w</v>
      </c>
      <c r="AT316" s="300" t="str">
        <f>_xlfn.IFNA(VLOOKUP($AI316,Programma!$F$3:$Q$1107,12,0),"")</f>
        <v>1w</v>
      </c>
      <c r="AU316" s="300" t="str">
        <f>_xlfn.IFNA(VLOOKUP($AI316,Programma!$F$3:$R$1107,13,0),"")</f>
        <v>1w</v>
      </c>
      <c r="AV316" s="300" t="str">
        <f>_xlfn.IFNA(VLOOKUP($AI316,Programma!$F$3:$S$1107,14,0),"")</f>
        <v>1m</v>
      </c>
      <c r="AW316" s="300" t="str">
        <f>_xlfn.IFNA(VLOOKUP($AI316,Programma!$F$3:$T$1107,15,0),"")</f>
        <v>2j</v>
      </c>
      <c r="AX316" s="300" t="str">
        <f>_xlfn.IFNA(VLOOKUP($AI316,Programma!$F$3:$U$1107,16,0),"")</f>
        <v>1j</v>
      </c>
      <c r="AY316" s="300" t="str">
        <f>_xlfn.IFNA(VLOOKUP($AI316,Programma!$F$3:$V$1107,17,0),"")</f>
        <v>_</v>
      </c>
      <c r="AZ316" s="300" t="str">
        <f>_xlfn.IFNA(VLOOKUP($AI316,Programma!$F$3:$W$1107,18,0),"")</f>
        <v>_</v>
      </c>
      <c r="BA316" s="300" t="str">
        <f>_xlfn.IFNA(VLOOKUP($AI316,Programma!$F$3:$X$1107,19,0),"")</f>
        <v>_</v>
      </c>
      <c r="BB316" s="300" t="str">
        <f>_xlfn.IFNA(VLOOKUP($AI316,Programma!$F$3:$Y$1107,20,0),"")</f>
        <v>_</v>
      </c>
      <c r="BC316" s="257"/>
      <c r="BD316" s="256" t="str">
        <f>IF(Ruimtestaat[[#This Row],[Frequentie weekend]]="","",_xlfn.CONCAT(Ruimtestaat[[#This Row],[Ruimte code]],"-",Ruimtestaat[[#This Row],[Frequentie weekend]]," ",Ruimtestaat[[#This Row],[Vloer code]]))</f>
        <v/>
      </c>
      <c r="BE316" s="300" t="str">
        <f>_xlfn.IFNA(VLOOKUP($BD316,Programma!$F$3:$G$1107,2,0),"")</f>
        <v/>
      </c>
      <c r="BF316" s="300" t="str">
        <f>_xlfn.IFNA(VLOOKUP($BD316,Programma!$F$3:$H$1107,3,0),"")</f>
        <v/>
      </c>
      <c r="BG316" s="300" t="str">
        <f>_xlfn.IFNA(VLOOKUP($BD316,Programma!$F$3:$I$1107,4,0),"")</f>
        <v/>
      </c>
      <c r="BH316" s="300" t="str">
        <f>_xlfn.IFNA(VLOOKUP($BD316,Programma!$F$3:$J$1107,5,0),"")</f>
        <v/>
      </c>
      <c r="BI316" s="300" t="str">
        <f>_xlfn.IFNA(VLOOKUP($BD316,Programma!$F$3:$K$1107,6,0),"")</f>
        <v/>
      </c>
      <c r="BJ316" s="300" t="str">
        <f>_xlfn.IFNA(VLOOKUP($BD316,Programma!$F$3:$L$1107,7,0),"")</f>
        <v/>
      </c>
      <c r="BK316" s="300" t="str">
        <f>_xlfn.IFNA(VLOOKUP($BD316,Programma!$F$3:$M$1107,8,0),"")</f>
        <v/>
      </c>
      <c r="BL316" s="300" t="str">
        <f>_xlfn.IFNA(VLOOKUP($BD316,Programma!$F$3:$N$1107,9,0),"")</f>
        <v/>
      </c>
      <c r="BM316" s="300" t="str">
        <f>_xlfn.IFNA(VLOOKUP($BD316,Programma!$F$3:$O$1107,10,0),"")</f>
        <v/>
      </c>
      <c r="BN316" s="300" t="str">
        <f>_xlfn.IFNA(VLOOKUP($BD316,Programma!$F$3:$P$1107,11,0),"")</f>
        <v/>
      </c>
      <c r="BO316" s="300" t="str">
        <f>_xlfn.IFNA(VLOOKUP($BD316,Programma!$F$3:$Q$1107,12,0),"")</f>
        <v/>
      </c>
      <c r="BP316" s="300" t="str">
        <f>_xlfn.IFNA(VLOOKUP($BD316,Programma!$F$3:$R$1107,13,0),"")</f>
        <v/>
      </c>
      <c r="BQ316" s="300" t="str">
        <f>_xlfn.IFNA(VLOOKUP($BD316,Programma!$F$3:$S$1107,14,0),"")</f>
        <v/>
      </c>
      <c r="BR316" s="300" t="str">
        <f>_xlfn.IFNA(VLOOKUP($BD316,Programma!$F$3:$T$1107,15,0),"")</f>
        <v/>
      </c>
      <c r="BS316" s="300" t="str">
        <f>_xlfn.IFNA(VLOOKUP($BD316,Programma!$F$3:$U$1107,16,0),"")</f>
        <v/>
      </c>
      <c r="BT316" s="300" t="str">
        <f>_xlfn.IFNA(VLOOKUP($BD316,Programma!$F$3:$V$1107,17,0),"")</f>
        <v/>
      </c>
      <c r="BU316" s="300" t="str">
        <f>_xlfn.IFNA(VLOOKUP($BD316,Programma!$F$3:$W$1107,18,0),"")</f>
        <v/>
      </c>
      <c r="BV316" s="300" t="str">
        <f>_xlfn.IFNA(VLOOKUP($BD316,Programma!$F$3:$X$1107,19,0),"")</f>
        <v/>
      </c>
      <c r="BW316" s="300" t="str">
        <f>_xlfn.IFNA(VLOOKUP($BD316,Programma!$F$3:$Y$1107,20,0),"")</f>
        <v/>
      </c>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row>
    <row r="317" spans="1:220" ht="15" customHeight="1">
      <c r="A317" s="21">
        <v>4</v>
      </c>
      <c r="B317" s="157" t="str">
        <f>VLOOKUP(Ruimtestaat[[#This Row],[Code]],Locaties[[Code]:[Locatie]],2,FALSE)</f>
        <v>Sint-Maartenscollege</v>
      </c>
      <c r="C317" s="157" t="str">
        <f>VLOOKUP(Ruimtestaat[[#This Row],[Code]],Locaties[[#All],[Code]:[Adres]],4,FALSE)</f>
        <v xml:space="preserve">Aart v.d. Leeuwkade 14 </v>
      </c>
      <c r="D317" s="157" t="str">
        <f>VLOOKUP(Ruimtestaat[[#This Row],[Code]],Locaties[[#All],[Code]:[Postcode]],5,FALSE)</f>
        <v>2274 KX</v>
      </c>
      <c r="E317" s="157" t="str">
        <f>VLOOKUP(Ruimtestaat[[#This Row],[Code]],Locaties[#All],6,FALSE)</f>
        <v>Voorburg</v>
      </c>
      <c r="F317" s="62"/>
      <c r="G317" s="21" t="s">
        <v>1706</v>
      </c>
      <c r="H317" s="21" t="s">
        <v>1975</v>
      </c>
      <c r="I317" s="62" t="s">
        <v>1945</v>
      </c>
      <c r="J317" s="21">
        <v>6</v>
      </c>
      <c r="K317" s="62" t="str">
        <f>VLOOKUP(Ruimtestaat[[#This Row],[Ruimte code]],Ruimtegroepen[[#All],[Code]:[Ruimte omschrijving]],2,FALSE)</f>
        <v>Gangen/hallen</v>
      </c>
      <c r="L317" s="33" t="s">
        <v>102</v>
      </c>
      <c r="M317" s="367" t="s">
        <v>2502</v>
      </c>
      <c r="N317" s="140">
        <v>17</v>
      </c>
      <c r="O317" s="140"/>
      <c r="P317" s="125" t="str">
        <f>VLOOKUP(Ruimtestaat[[#This Row],[Ruimte code]],Ruimtegroepen[],4,FALSE)</f>
        <v>Ve</v>
      </c>
      <c r="R317" s="33">
        <v>40</v>
      </c>
      <c r="S317" s="33" t="s">
        <v>2</v>
      </c>
      <c r="T317" s="33">
        <f>IF(R317&gt;0,IF(RIGHT(Ruimtestaat[[#This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7" s="33">
        <f>IF(T317&gt;0,VLOOKUP($J317,Ruimtegroepen[],3,FALSE)*VLOOKUP($L317,Vloersoorten[],3,FALSE)*VLOOKUP($S317,Frequenties[],3,FALSE)*VLOOKUP($A317,Locaties[],3,FALSE),0)</f>
        <v>0</v>
      </c>
      <c r="V317" s="33">
        <f>Ruimtestaat[[#This Row],[Uitvoeringen werkdagen]]*Ruimtestaat[[#This Row],[Oppervlak (netto)]]</f>
        <v>3400</v>
      </c>
      <c r="W317" s="154">
        <f>IF(U317&gt;0,Ruimtestaat[[#This Row],[Prest. (m2 /jaar) werkdagen]]/Ruimtestaat[[#This Row],[Norm (m2/uur) werkdagen]],0)</f>
        <v>0</v>
      </c>
      <c r="X317" s="155">
        <f>Ruimtestaat[[#This Row],[uren / jaar werkdagen]]*Tariefsopbouw!$E$35</f>
        <v>0</v>
      </c>
      <c r="Y317" s="33"/>
      <c r="Z317" s="33">
        <f>IF(Ruimtestaat[[#This Row],[Frequentie weekend]]&gt;0,VALUE(LEFT(Y317,1))*R317,0)</f>
        <v>0</v>
      </c>
      <c r="AA317" s="97">
        <f>IF($Z317&gt;0,VLOOKUP($J317,Ruimtegroepen[],3,FALSE)*VLOOKUP($L317,Vloersoorten[],3,FALSE)*VLOOKUP($Y317,Frequenties[],3,FALSE)*VLOOKUP(Ruimtestaat[[#This Row],[Code]],Locaties[],3,FALSE),0)</f>
        <v>0</v>
      </c>
      <c r="AB317" s="97">
        <f>Ruimtestaat[[#This Row],[Uitvoeringen weekend]]*Ruimtestaat[[#This Row],[Oppervlak (netto)]]</f>
        <v>0</v>
      </c>
      <c r="AC317" s="97">
        <f>IF(AA317&gt;0,Ruimtestaat[[#This Row],[Prest. (m2 /jaar) weekend]]/Ruimtestaat[[#This Row],[Norm (m2/uur) weekend]],0)</f>
        <v>0</v>
      </c>
      <c r="AD317" s="155">
        <f>Ruimtestaat[[#This Row],[uren / jaar weekend]]*Tariefsopbouw!$D$40</f>
        <v>0</v>
      </c>
      <c r="AE317" s="154">
        <f>Ruimtestaat[[#This Row],[Prest. (m2 /jaar) weekend]]+Ruimtestaat[[#This Row],[Prest. (m2 /jaar) werkdagen]]</f>
        <v>3400</v>
      </c>
      <c r="AF317" s="154">
        <f>Ruimtestaat[[#This Row],[uren / jaar weekend]]+Ruimtestaat[[#This Row],[uren / jaar werkdagen]]</f>
        <v>0</v>
      </c>
      <c r="AG317" s="69">
        <f>Ruimtestaat[[#This Row],[kosten / jaar weekend]]+Ruimtestaat[[#This Row],[kosten / jaar werkdagen]]</f>
        <v>0</v>
      </c>
      <c r="AH317" s="69"/>
      <c r="AI317" s="256" t="str">
        <f>IF(Ruimtestaat[[#This Row],[Frequentie werkdagen]]="","",_xlfn.CONCAT(Ruimtestaat[[#This Row],[Ruimte code]],"-",Ruimtestaat[[#This Row],[Frequentie werkdagen]]," ",Ruimtestaat[[#This Row],[Vloer code]]))</f>
        <v>6-5w S</v>
      </c>
      <c r="AJ317" s="300" t="str">
        <f>_xlfn.IFNA(VLOOKUP($AI317,Programma!$F$3:$G$1107,2,0),"")</f>
        <v>_</v>
      </c>
      <c r="AK317" s="300" t="str">
        <f>_xlfn.IFNA(VLOOKUP($AI317,Programma!$F$3:$H$1107,3,0),"")</f>
        <v>_</v>
      </c>
      <c r="AL317" s="300" t="str">
        <f>_xlfn.IFNA(VLOOKUP($AI317,Programma!$F$3:$I$1107,4,0),"")</f>
        <v>5w</v>
      </c>
      <c r="AM317" s="300" t="str">
        <f>_xlfn.IFNA(VLOOKUP($AI317,Programma!$F$3:$J$1107,5,0),"")</f>
        <v>_</v>
      </c>
      <c r="AN317" s="300" t="str">
        <f>_xlfn.IFNA(VLOOKUP($AI317,Programma!$F$3:$K$1107,6,0),"")</f>
        <v>5w</v>
      </c>
      <c r="AO317" s="300" t="str">
        <f>_xlfn.IFNA(VLOOKUP($AI317,Programma!$F$3:$L$1107,7,0),"")</f>
        <v>_</v>
      </c>
      <c r="AP317" s="300" t="str">
        <f>_xlfn.IFNA(VLOOKUP($AI317,Programma!$F$3:$M$1107,8,0),"")</f>
        <v>_</v>
      </c>
      <c r="AQ317" s="300" t="str">
        <f>_xlfn.IFNA(VLOOKUP($AI317,Programma!$F$3:$N$1107,9,0),"")</f>
        <v>_</v>
      </c>
      <c r="AR317" s="300" t="str">
        <f>_xlfn.IFNA(VLOOKUP($AI317,Programma!$F$3:$O$1107,10,0),"")</f>
        <v>5w</v>
      </c>
      <c r="AS317" s="300" t="str">
        <f>_xlfn.IFNA(VLOOKUP($AI317,Programma!$F$3:$P$1107,11,0),"")</f>
        <v>5w</v>
      </c>
      <c r="AT317" s="300" t="str">
        <f>_xlfn.IFNA(VLOOKUP($AI317,Programma!$F$3:$Q$1107,12,0),"")</f>
        <v>1w</v>
      </c>
      <c r="AU317" s="300" t="str">
        <f>_xlfn.IFNA(VLOOKUP($AI317,Programma!$F$3:$R$1107,13,0),"")</f>
        <v>1w</v>
      </c>
      <c r="AV317" s="300" t="str">
        <f>_xlfn.IFNA(VLOOKUP($AI317,Programma!$F$3:$S$1107,14,0),"")</f>
        <v>1m</v>
      </c>
      <c r="AW317" s="300" t="str">
        <f>_xlfn.IFNA(VLOOKUP($AI317,Programma!$F$3:$T$1107,15,0),"")</f>
        <v>2j</v>
      </c>
      <c r="AX317" s="300" t="str">
        <f>_xlfn.IFNA(VLOOKUP($AI317,Programma!$F$3:$U$1107,16,0),"")</f>
        <v>1j</v>
      </c>
      <c r="AY317" s="300" t="str">
        <f>_xlfn.IFNA(VLOOKUP($AI317,Programma!$F$3:$V$1107,17,0),"")</f>
        <v>_</v>
      </c>
      <c r="AZ317" s="300" t="str">
        <f>_xlfn.IFNA(VLOOKUP($AI317,Programma!$F$3:$W$1107,18,0),"")</f>
        <v>_</v>
      </c>
      <c r="BA317" s="300" t="str">
        <f>_xlfn.IFNA(VLOOKUP($AI317,Programma!$F$3:$X$1107,19,0),"")</f>
        <v>_</v>
      </c>
      <c r="BB317" s="300" t="str">
        <f>_xlfn.IFNA(VLOOKUP($AI317,Programma!$F$3:$Y$1107,20,0),"")</f>
        <v>_</v>
      </c>
      <c r="BC317" s="257"/>
      <c r="BD317" s="256" t="str">
        <f>IF(Ruimtestaat[[#This Row],[Frequentie weekend]]="","",_xlfn.CONCAT(Ruimtestaat[[#This Row],[Ruimte code]],"-",Ruimtestaat[[#This Row],[Frequentie weekend]]," ",Ruimtestaat[[#This Row],[Vloer code]]))</f>
        <v/>
      </c>
      <c r="BE317" s="300" t="str">
        <f>_xlfn.IFNA(VLOOKUP($BD317,Programma!$F$3:$G$1107,2,0),"")</f>
        <v/>
      </c>
      <c r="BF317" s="300" t="str">
        <f>_xlfn.IFNA(VLOOKUP($BD317,Programma!$F$3:$H$1107,3,0),"")</f>
        <v/>
      </c>
      <c r="BG317" s="300" t="str">
        <f>_xlfn.IFNA(VLOOKUP($BD317,Programma!$F$3:$I$1107,4,0),"")</f>
        <v/>
      </c>
      <c r="BH317" s="300" t="str">
        <f>_xlfn.IFNA(VLOOKUP($BD317,Programma!$F$3:$J$1107,5,0),"")</f>
        <v/>
      </c>
      <c r="BI317" s="300" t="str">
        <f>_xlfn.IFNA(VLOOKUP($BD317,Programma!$F$3:$K$1107,6,0),"")</f>
        <v/>
      </c>
      <c r="BJ317" s="300" t="str">
        <f>_xlfn.IFNA(VLOOKUP($BD317,Programma!$F$3:$L$1107,7,0),"")</f>
        <v/>
      </c>
      <c r="BK317" s="300" t="str">
        <f>_xlfn.IFNA(VLOOKUP($BD317,Programma!$F$3:$M$1107,8,0),"")</f>
        <v/>
      </c>
      <c r="BL317" s="300" t="str">
        <f>_xlfn.IFNA(VLOOKUP($BD317,Programma!$F$3:$N$1107,9,0),"")</f>
        <v/>
      </c>
      <c r="BM317" s="300" t="str">
        <f>_xlfn.IFNA(VLOOKUP($BD317,Programma!$F$3:$O$1107,10,0),"")</f>
        <v/>
      </c>
      <c r="BN317" s="300" t="str">
        <f>_xlfn.IFNA(VLOOKUP($BD317,Programma!$F$3:$P$1107,11,0),"")</f>
        <v/>
      </c>
      <c r="BO317" s="300" t="str">
        <f>_xlfn.IFNA(VLOOKUP($BD317,Programma!$F$3:$Q$1107,12,0),"")</f>
        <v/>
      </c>
      <c r="BP317" s="300" t="str">
        <f>_xlfn.IFNA(VLOOKUP($BD317,Programma!$F$3:$R$1107,13,0),"")</f>
        <v/>
      </c>
      <c r="BQ317" s="300" t="str">
        <f>_xlfn.IFNA(VLOOKUP($BD317,Programma!$F$3:$S$1107,14,0),"")</f>
        <v/>
      </c>
      <c r="BR317" s="300" t="str">
        <f>_xlfn.IFNA(VLOOKUP($BD317,Programma!$F$3:$T$1107,15,0),"")</f>
        <v/>
      </c>
      <c r="BS317" s="300" t="str">
        <f>_xlfn.IFNA(VLOOKUP($BD317,Programma!$F$3:$U$1107,16,0),"")</f>
        <v/>
      </c>
      <c r="BT317" s="300" t="str">
        <f>_xlfn.IFNA(VLOOKUP($BD317,Programma!$F$3:$V$1107,17,0),"")</f>
        <v/>
      </c>
      <c r="BU317" s="300" t="str">
        <f>_xlfn.IFNA(VLOOKUP($BD317,Programma!$F$3:$W$1107,18,0),"")</f>
        <v/>
      </c>
      <c r="BV317" s="300" t="str">
        <f>_xlfn.IFNA(VLOOKUP($BD317,Programma!$F$3:$X$1107,19,0),"")</f>
        <v/>
      </c>
      <c r="BW317" s="300" t="str">
        <f>_xlfn.IFNA(VLOOKUP($BD317,Programma!$F$3:$Y$1107,20,0),"")</f>
        <v/>
      </c>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row>
    <row r="318" spans="1:220" ht="15" customHeight="1">
      <c r="A318" s="21">
        <v>4</v>
      </c>
      <c r="B318" s="157" t="str">
        <f>VLOOKUP(Ruimtestaat[[#This Row],[Code]],Locaties[[Code]:[Locatie]],2,FALSE)</f>
        <v>Sint-Maartenscollege</v>
      </c>
      <c r="C318" s="157" t="str">
        <f>VLOOKUP(Ruimtestaat[[#This Row],[Code]],Locaties[[#All],[Code]:[Adres]],4,FALSE)</f>
        <v xml:space="preserve">Aart v.d. Leeuwkade 14 </v>
      </c>
      <c r="D318" s="157" t="str">
        <f>VLOOKUP(Ruimtestaat[[#This Row],[Code]],Locaties[[#All],[Code]:[Postcode]],5,FALSE)</f>
        <v>2274 KX</v>
      </c>
      <c r="E318" s="157" t="str">
        <f>VLOOKUP(Ruimtestaat[[#This Row],[Code]],Locaties[#All],6,FALSE)</f>
        <v>Voorburg</v>
      </c>
      <c r="F318" s="62"/>
      <c r="G318" s="21" t="s">
        <v>1706</v>
      </c>
      <c r="H318" s="21" t="s">
        <v>1976</v>
      </c>
      <c r="I318" s="62" t="s">
        <v>1625</v>
      </c>
      <c r="J318" s="21">
        <v>6</v>
      </c>
      <c r="K318" s="62" t="str">
        <f>VLOOKUP(Ruimtestaat[[#This Row],[Ruimte code]],Ruimtegroepen[[#All],[Code]:[Ruimte omschrijving]],2,FALSE)</f>
        <v>Gangen/hallen</v>
      </c>
      <c r="L318" s="33" t="s">
        <v>101</v>
      </c>
      <c r="M318" s="367" t="s">
        <v>2507</v>
      </c>
      <c r="N318" s="140">
        <v>19</v>
      </c>
      <c r="O318" s="140"/>
      <c r="P318" s="125" t="str">
        <f>VLOOKUP(Ruimtestaat[[#This Row],[Ruimte code]],Ruimtegroepen[],4,FALSE)</f>
        <v>Ve</v>
      </c>
      <c r="R318" s="33">
        <v>40</v>
      </c>
      <c r="S318" s="33" t="s">
        <v>2</v>
      </c>
      <c r="T318" s="33">
        <f>IF(R318&gt;0,IF(RIGHT(Ruimtestaat[[#This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8" s="33">
        <f>IF(T318&gt;0,VLOOKUP($J318,Ruimtegroepen[],3,FALSE)*VLOOKUP($L318,Vloersoorten[],3,FALSE)*VLOOKUP($S318,Frequenties[],3,FALSE)*VLOOKUP($A318,Locaties[],3,FALSE),0)</f>
        <v>0</v>
      </c>
      <c r="V318" s="33">
        <f>Ruimtestaat[[#This Row],[Uitvoeringen werkdagen]]*Ruimtestaat[[#This Row],[Oppervlak (netto)]]</f>
        <v>3800</v>
      </c>
      <c r="W318" s="154">
        <f>IF(U318&gt;0,Ruimtestaat[[#This Row],[Prest. (m2 /jaar) werkdagen]]/Ruimtestaat[[#This Row],[Norm (m2/uur) werkdagen]],0)</f>
        <v>0</v>
      </c>
      <c r="X318" s="155">
        <f>Ruimtestaat[[#This Row],[uren / jaar werkdagen]]*Tariefsopbouw!$E$35</f>
        <v>0</v>
      </c>
      <c r="Y318" s="33"/>
      <c r="Z318" s="33">
        <f>IF(Ruimtestaat[[#This Row],[Frequentie weekend]]&gt;0,VALUE(LEFT(Y318,1))*R318,0)</f>
        <v>0</v>
      </c>
      <c r="AA318" s="97">
        <f>IF($Z318&gt;0,VLOOKUP($J318,Ruimtegroepen[],3,FALSE)*VLOOKUP($L318,Vloersoorten[],3,FALSE)*VLOOKUP($Y318,Frequenties[],3,FALSE)*VLOOKUP(Ruimtestaat[[#This Row],[Code]],Locaties[],3,FALSE),0)</f>
        <v>0</v>
      </c>
      <c r="AB318" s="97">
        <f>Ruimtestaat[[#This Row],[Uitvoeringen weekend]]*Ruimtestaat[[#This Row],[Oppervlak (netto)]]</f>
        <v>0</v>
      </c>
      <c r="AC318" s="97">
        <f>IF(AA318&gt;0,Ruimtestaat[[#This Row],[Prest. (m2 /jaar) weekend]]/Ruimtestaat[[#This Row],[Norm (m2/uur) weekend]],0)</f>
        <v>0</v>
      </c>
      <c r="AD318" s="155">
        <f>Ruimtestaat[[#This Row],[uren / jaar weekend]]*Tariefsopbouw!$D$40</f>
        <v>0</v>
      </c>
      <c r="AE318" s="154">
        <f>Ruimtestaat[[#This Row],[Prest. (m2 /jaar) weekend]]+Ruimtestaat[[#This Row],[Prest. (m2 /jaar) werkdagen]]</f>
        <v>3800</v>
      </c>
      <c r="AF318" s="154">
        <f>Ruimtestaat[[#This Row],[uren / jaar weekend]]+Ruimtestaat[[#This Row],[uren / jaar werkdagen]]</f>
        <v>0</v>
      </c>
      <c r="AG318" s="69">
        <f>Ruimtestaat[[#This Row],[kosten / jaar weekend]]+Ruimtestaat[[#This Row],[kosten / jaar werkdagen]]</f>
        <v>0</v>
      </c>
      <c r="AH318" s="69"/>
      <c r="AI318" s="256" t="str">
        <f>IF(Ruimtestaat[[#This Row],[Frequentie werkdagen]]="","",_xlfn.CONCAT(Ruimtestaat[[#This Row],[Ruimte code]],"-",Ruimtestaat[[#This Row],[Frequentie werkdagen]]," ",Ruimtestaat[[#This Row],[Vloer code]]))</f>
        <v>6-5w L</v>
      </c>
      <c r="AJ318" s="300" t="str">
        <f>_xlfn.IFNA(VLOOKUP($AI318,Programma!$F$3:$G$1107,2,0),"")</f>
        <v>_</v>
      </c>
      <c r="AK318" s="300" t="str">
        <f>_xlfn.IFNA(VLOOKUP($AI318,Programma!$F$3:$H$1107,3,0),"")</f>
        <v>_</v>
      </c>
      <c r="AL318" s="300" t="str">
        <f>_xlfn.IFNA(VLOOKUP($AI318,Programma!$F$3:$I$1107,4,0),"")</f>
        <v>_</v>
      </c>
      <c r="AM318" s="300" t="str">
        <f>_xlfn.IFNA(VLOOKUP($AI318,Programma!$F$3:$J$1107,5,0),"")</f>
        <v>5w</v>
      </c>
      <c r="AN318" s="300" t="str">
        <f>_xlfn.IFNA(VLOOKUP($AI318,Programma!$F$3:$K$1107,6,0),"")</f>
        <v>_</v>
      </c>
      <c r="AO318" s="300" t="str">
        <f>_xlfn.IFNA(VLOOKUP($AI318,Programma!$F$3:$L$1107,7,0),"")</f>
        <v>_</v>
      </c>
      <c r="AP318" s="300" t="str">
        <f>_xlfn.IFNA(VLOOKUP($AI318,Programma!$F$3:$M$1107,8,0),"")</f>
        <v>_</v>
      </c>
      <c r="AQ318" s="300" t="str">
        <f>_xlfn.IFNA(VLOOKUP($AI318,Programma!$F$3:$N$1107,9,0),"")</f>
        <v>_</v>
      </c>
      <c r="AR318" s="300" t="str">
        <f>_xlfn.IFNA(VLOOKUP($AI318,Programma!$F$3:$O$1107,10,0),"")</f>
        <v>5w</v>
      </c>
      <c r="AS318" s="300" t="str">
        <f>_xlfn.IFNA(VLOOKUP($AI318,Programma!$F$3:$P$1107,11,0),"")</f>
        <v>5w</v>
      </c>
      <c r="AT318" s="300" t="str">
        <f>_xlfn.IFNA(VLOOKUP($AI318,Programma!$F$3:$Q$1107,12,0),"")</f>
        <v>1w</v>
      </c>
      <c r="AU318" s="300" t="str">
        <f>_xlfn.IFNA(VLOOKUP($AI318,Programma!$F$3:$R$1107,13,0),"")</f>
        <v>1w</v>
      </c>
      <c r="AV318" s="300" t="str">
        <f>_xlfn.IFNA(VLOOKUP($AI318,Programma!$F$3:$S$1107,14,0),"")</f>
        <v>1m</v>
      </c>
      <c r="AW318" s="300" t="str">
        <f>_xlfn.IFNA(VLOOKUP($AI318,Programma!$F$3:$T$1107,15,0),"")</f>
        <v>2j</v>
      </c>
      <c r="AX318" s="300" t="str">
        <f>_xlfn.IFNA(VLOOKUP($AI318,Programma!$F$3:$U$1107,16,0),"")</f>
        <v>1j</v>
      </c>
      <c r="AY318" s="300" t="str">
        <f>_xlfn.IFNA(VLOOKUP($AI318,Programma!$F$3:$V$1107,17,0),"")</f>
        <v>_</v>
      </c>
      <c r="AZ318" s="300" t="str">
        <f>_xlfn.IFNA(VLOOKUP($AI318,Programma!$F$3:$W$1107,18,0),"")</f>
        <v>_</v>
      </c>
      <c r="BA318" s="300" t="str">
        <f>_xlfn.IFNA(VLOOKUP($AI318,Programma!$F$3:$X$1107,19,0),"")</f>
        <v>_</v>
      </c>
      <c r="BB318" s="300" t="str">
        <f>_xlfn.IFNA(VLOOKUP($AI318,Programma!$F$3:$Y$1107,20,0),"")</f>
        <v>_</v>
      </c>
      <c r="BC318" s="257"/>
      <c r="BD318" s="256" t="str">
        <f>IF(Ruimtestaat[[#This Row],[Frequentie weekend]]="","",_xlfn.CONCAT(Ruimtestaat[[#This Row],[Ruimte code]],"-",Ruimtestaat[[#This Row],[Frequentie weekend]]," ",Ruimtestaat[[#This Row],[Vloer code]]))</f>
        <v/>
      </c>
      <c r="BE318" s="300" t="str">
        <f>_xlfn.IFNA(VLOOKUP($BD318,Programma!$F$3:$G$1107,2,0),"")</f>
        <v/>
      </c>
      <c r="BF318" s="300" t="str">
        <f>_xlfn.IFNA(VLOOKUP($BD318,Programma!$F$3:$H$1107,3,0),"")</f>
        <v/>
      </c>
      <c r="BG318" s="300" t="str">
        <f>_xlfn.IFNA(VLOOKUP($BD318,Programma!$F$3:$I$1107,4,0),"")</f>
        <v/>
      </c>
      <c r="BH318" s="300" t="str">
        <f>_xlfn.IFNA(VLOOKUP($BD318,Programma!$F$3:$J$1107,5,0),"")</f>
        <v/>
      </c>
      <c r="BI318" s="300" t="str">
        <f>_xlfn.IFNA(VLOOKUP($BD318,Programma!$F$3:$K$1107,6,0),"")</f>
        <v/>
      </c>
      <c r="BJ318" s="300" t="str">
        <f>_xlfn.IFNA(VLOOKUP($BD318,Programma!$F$3:$L$1107,7,0),"")</f>
        <v/>
      </c>
      <c r="BK318" s="300" t="str">
        <f>_xlfn.IFNA(VLOOKUP($BD318,Programma!$F$3:$M$1107,8,0),"")</f>
        <v/>
      </c>
      <c r="BL318" s="300" t="str">
        <f>_xlfn.IFNA(VLOOKUP($BD318,Programma!$F$3:$N$1107,9,0),"")</f>
        <v/>
      </c>
      <c r="BM318" s="300" t="str">
        <f>_xlfn.IFNA(VLOOKUP($BD318,Programma!$F$3:$O$1107,10,0),"")</f>
        <v/>
      </c>
      <c r="BN318" s="300" t="str">
        <f>_xlfn.IFNA(VLOOKUP($BD318,Programma!$F$3:$P$1107,11,0),"")</f>
        <v/>
      </c>
      <c r="BO318" s="300" t="str">
        <f>_xlfn.IFNA(VLOOKUP($BD318,Programma!$F$3:$Q$1107,12,0),"")</f>
        <v/>
      </c>
      <c r="BP318" s="300" t="str">
        <f>_xlfn.IFNA(VLOOKUP($BD318,Programma!$F$3:$R$1107,13,0),"")</f>
        <v/>
      </c>
      <c r="BQ318" s="300" t="str">
        <f>_xlfn.IFNA(VLOOKUP($BD318,Programma!$F$3:$S$1107,14,0),"")</f>
        <v/>
      </c>
      <c r="BR318" s="300" t="str">
        <f>_xlfn.IFNA(VLOOKUP($BD318,Programma!$F$3:$T$1107,15,0),"")</f>
        <v/>
      </c>
      <c r="BS318" s="300" t="str">
        <f>_xlfn.IFNA(VLOOKUP($BD318,Programma!$F$3:$U$1107,16,0),"")</f>
        <v/>
      </c>
      <c r="BT318" s="300" t="str">
        <f>_xlfn.IFNA(VLOOKUP($BD318,Programma!$F$3:$V$1107,17,0),"")</f>
        <v/>
      </c>
      <c r="BU318" s="300" t="str">
        <f>_xlfn.IFNA(VLOOKUP($BD318,Programma!$F$3:$W$1107,18,0),"")</f>
        <v/>
      </c>
      <c r="BV318" s="300" t="str">
        <f>_xlfn.IFNA(VLOOKUP($BD318,Programma!$F$3:$X$1107,19,0),"")</f>
        <v/>
      </c>
      <c r="BW318" s="300" t="str">
        <f>_xlfn.IFNA(VLOOKUP($BD318,Programma!$F$3:$Y$1107,20,0),"")</f>
        <v/>
      </c>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row>
    <row r="319" spans="1:220" ht="15" customHeight="1">
      <c r="A319" s="21">
        <v>4</v>
      </c>
      <c r="B319" s="157" t="str">
        <f>VLOOKUP(Ruimtestaat[[#This Row],[Code]],Locaties[[Code]:[Locatie]],2,FALSE)</f>
        <v>Sint-Maartenscollege</v>
      </c>
      <c r="C319" s="157" t="str">
        <f>VLOOKUP(Ruimtestaat[[#This Row],[Code]],Locaties[[#All],[Code]:[Adres]],4,FALSE)</f>
        <v xml:space="preserve">Aart v.d. Leeuwkade 14 </v>
      </c>
      <c r="D319" s="157" t="str">
        <f>VLOOKUP(Ruimtestaat[[#This Row],[Code]],Locaties[[#All],[Code]:[Postcode]],5,FALSE)</f>
        <v>2274 KX</v>
      </c>
      <c r="E319" s="157" t="str">
        <f>VLOOKUP(Ruimtestaat[[#This Row],[Code]],Locaties[#All],6,FALSE)</f>
        <v>Voorburg</v>
      </c>
      <c r="F319" s="62"/>
      <c r="G319" s="21" t="s">
        <v>1784</v>
      </c>
      <c r="H319" s="21" t="s">
        <v>1977</v>
      </c>
      <c r="I319" s="62" t="s">
        <v>1625</v>
      </c>
      <c r="J319" s="21">
        <v>6</v>
      </c>
      <c r="K319" s="62" t="str">
        <f>VLOOKUP(Ruimtestaat[[#This Row],[Ruimte code]],Ruimtegroepen[[#All],[Code]:[Ruimte omschrijving]],2,FALSE)</f>
        <v>Gangen/hallen</v>
      </c>
      <c r="L319" s="33" t="s">
        <v>101</v>
      </c>
      <c r="M319" s="367" t="s">
        <v>2495</v>
      </c>
      <c r="N319" s="140">
        <v>155</v>
      </c>
      <c r="O319" s="140"/>
      <c r="P319" s="125" t="str">
        <f>VLOOKUP(Ruimtestaat[[#This Row],[Ruimte code]],Ruimtegroepen[],4,FALSE)</f>
        <v>Ve</v>
      </c>
      <c r="R319" s="33">
        <v>40</v>
      </c>
      <c r="S319" s="33" t="s">
        <v>2</v>
      </c>
      <c r="T319" s="33">
        <f>IF(R319&gt;0,IF(RIGHT(Ruimtestaat[[#This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9" s="33">
        <f>IF(T319&gt;0,VLOOKUP($J319,Ruimtegroepen[],3,FALSE)*VLOOKUP($L319,Vloersoorten[],3,FALSE)*VLOOKUP($S319,Frequenties[],3,FALSE)*VLOOKUP($A319,Locaties[],3,FALSE),0)</f>
        <v>0</v>
      </c>
      <c r="V319" s="33">
        <f>Ruimtestaat[[#This Row],[Uitvoeringen werkdagen]]*Ruimtestaat[[#This Row],[Oppervlak (netto)]]</f>
        <v>31000</v>
      </c>
      <c r="W319" s="154">
        <f>IF(U319&gt;0,Ruimtestaat[[#This Row],[Prest. (m2 /jaar) werkdagen]]/Ruimtestaat[[#This Row],[Norm (m2/uur) werkdagen]],0)</f>
        <v>0</v>
      </c>
      <c r="X319" s="155">
        <f>Ruimtestaat[[#This Row],[uren / jaar werkdagen]]*Tariefsopbouw!$E$35</f>
        <v>0</v>
      </c>
      <c r="Y319" s="33"/>
      <c r="Z319" s="33">
        <f>IF(Ruimtestaat[[#This Row],[Frequentie weekend]]&gt;0,VALUE(LEFT(Y319,1))*R319,0)</f>
        <v>0</v>
      </c>
      <c r="AA319" s="97">
        <f>IF($Z319&gt;0,VLOOKUP($J319,Ruimtegroepen[],3,FALSE)*VLOOKUP($L319,Vloersoorten[],3,FALSE)*VLOOKUP($Y319,Frequenties[],3,FALSE)*VLOOKUP(Ruimtestaat[[#This Row],[Code]],Locaties[],3,FALSE),0)</f>
        <v>0</v>
      </c>
      <c r="AB319" s="97">
        <f>Ruimtestaat[[#This Row],[Uitvoeringen weekend]]*Ruimtestaat[[#This Row],[Oppervlak (netto)]]</f>
        <v>0</v>
      </c>
      <c r="AC319" s="97">
        <f>IF(AA319&gt;0,Ruimtestaat[[#This Row],[Prest. (m2 /jaar) weekend]]/Ruimtestaat[[#This Row],[Norm (m2/uur) weekend]],0)</f>
        <v>0</v>
      </c>
      <c r="AD319" s="155">
        <f>Ruimtestaat[[#This Row],[uren / jaar weekend]]*Tariefsopbouw!$D$40</f>
        <v>0</v>
      </c>
      <c r="AE319" s="154">
        <f>Ruimtestaat[[#This Row],[Prest. (m2 /jaar) weekend]]+Ruimtestaat[[#This Row],[Prest. (m2 /jaar) werkdagen]]</f>
        <v>31000</v>
      </c>
      <c r="AF319" s="154">
        <f>Ruimtestaat[[#This Row],[uren / jaar weekend]]+Ruimtestaat[[#This Row],[uren / jaar werkdagen]]</f>
        <v>0</v>
      </c>
      <c r="AG319" s="69">
        <f>Ruimtestaat[[#This Row],[kosten / jaar weekend]]+Ruimtestaat[[#This Row],[kosten / jaar werkdagen]]</f>
        <v>0</v>
      </c>
      <c r="AH319" s="69"/>
      <c r="AI319" s="256" t="str">
        <f>IF(Ruimtestaat[[#This Row],[Frequentie werkdagen]]="","",_xlfn.CONCAT(Ruimtestaat[[#This Row],[Ruimte code]],"-",Ruimtestaat[[#This Row],[Frequentie werkdagen]]," ",Ruimtestaat[[#This Row],[Vloer code]]))</f>
        <v>6-5w L</v>
      </c>
      <c r="AJ319" s="300" t="str">
        <f>_xlfn.IFNA(VLOOKUP($AI319,Programma!$F$3:$G$1107,2,0),"")</f>
        <v>_</v>
      </c>
      <c r="AK319" s="300" t="str">
        <f>_xlfn.IFNA(VLOOKUP($AI319,Programma!$F$3:$H$1107,3,0),"")</f>
        <v>_</v>
      </c>
      <c r="AL319" s="300" t="str">
        <f>_xlfn.IFNA(VLOOKUP($AI319,Programma!$F$3:$I$1107,4,0),"")</f>
        <v>_</v>
      </c>
      <c r="AM319" s="300" t="str">
        <f>_xlfn.IFNA(VLOOKUP($AI319,Programma!$F$3:$J$1107,5,0),"")</f>
        <v>5w</v>
      </c>
      <c r="AN319" s="300" t="str">
        <f>_xlfn.IFNA(VLOOKUP($AI319,Programma!$F$3:$K$1107,6,0),"")</f>
        <v>_</v>
      </c>
      <c r="AO319" s="300" t="str">
        <f>_xlfn.IFNA(VLOOKUP($AI319,Programma!$F$3:$L$1107,7,0),"")</f>
        <v>_</v>
      </c>
      <c r="AP319" s="300" t="str">
        <f>_xlfn.IFNA(VLOOKUP($AI319,Programma!$F$3:$M$1107,8,0),"")</f>
        <v>_</v>
      </c>
      <c r="AQ319" s="300" t="str">
        <f>_xlfn.IFNA(VLOOKUP($AI319,Programma!$F$3:$N$1107,9,0),"")</f>
        <v>_</v>
      </c>
      <c r="AR319" s="300" t="str">
        <f>_xlfn.IFNA(VLOOKUP($AI319,Programma!$F$3:$O$1107,10,0),"")</f>
        <v>5w</v>
      </c>
      <c r="AS319" s="300" t="str">
        <f>_xlfn.IFNA(VLOOKUP($AI319,Programma!$F$3:$P$1107,11,0),"")</f>
        <v>5w</v>
      </c>
      <c r="AT319" s="300" t="str">
        <f>_xlfn.IFNA(VLOOKUP($AI319,Programma!$F$3:$Q$1107,12,0),"")</f>
        <v>1w</v>
      </c>
      <c r="AU319" s="300" t="str">
        <f>_xlfn.IFNA(VLOOKUP($AI319,Programma!$F$3:$R$1107,13,0),"")</f>
        <v>1w</v>
      </c>
      <c r="AV319" s="300" t="str">
        <f>_xlfn.IFNA(VLOOKUP($AI319,Programma!$F$3:$S$1107,14,0),"")</f>
        <v>1m</v>
      </c>
      <c r="AW319" s="300" t="str">
        <f>_xlfn.IFNA(VLOOKUP($AI319,Programma!$F$3:$T$1107,15,0),"")</f>
        <v>2j</v>
      </c>
      <c r="AX319" s="300" t="str">
        <f>_xlfn.IFNA(VLOOKUP($AI319,Programma!$F$3:$U$1107,16,0),"")</f>
        <v>1j</v>
      </c>
      <c r="AY319" s="300" t="str">
        <f>_xlfn.IFNA(VLOOKUP($AI319,Programma!$F$3:$V$1107,17,0),"")</f>
        <v>_</v>
      </c>
      <c r="AZ319" s="300" t="str">
        <f>_xlfn.IFNA(VLOOKUP($AI319,Programma!$F$3:$W$1107,18,0),"")</f>
        <v>_</v>
      </c>
      <c r="BA319" s="300" t="str">
        <f>_xlfn.IFNA(VLOOKUP($AI319,Programma!$F$3:$X$1107,19,0),"")</f>
        <v>_</v>
      </c>
      <c r="BB319" s="300" t="str">
        <f>_xlfn.IFNA(VLOOKUP($AI319,Programma!$F$3:$Y$1107,20,0),"")</f>
        <v>_</v>
      </c>
      <c r="BC319" s="257"/>
      <c r="BD319" s="256" t="str">
        <f>IF(Ruimtestaat[[#This Row],[Frequentie weekend]]="","",_xlfn.CONCAT(Ruimtestaat[[#This Row],[Ruimte code]],"-",Ruimtestaat[[#This Row],[Frequentie weekend]]," ",Ruimtestaat[[#This Row],[Vloer code]]))</f>
        <v/>
      </c>
      <c r="BE319" s="300" t="str">
        <f>_xlfn.IFNA(VLOOKUP($BD319,Programma!$F$3:$G$1107,2,0),"")</f>
        <v/>
      </c>
      <c r="BF319" s="300" t="str">
        <f>_xlfn.IFNA(VLOOKUP($BD319,Programma!$F$3:$H$1107,3,0),"")</f>
        <v/>
      </c>
      <c r="BG319" s="300" t="str">
        <f>_xlfn.IFNA(VLOOKUP($BD319,Programma!$F$3:$I$1107,4,0),"")</f>
        <v/>
      </c>
      <c r="BH319" s="300" t="str">
        <f>_xlfn.IFNA(VLOOKUP($BD319,Programma!$F$3:$J$1107,5,0),"")</f>
        <v/>
      </c>
      <c r="BI319" s="300" t="str">
        <f>_xlfn.IFNA(VLOOKUP($BD319,Programma!$F$3:$K$1107,6,0),"")</f>
        <v/>
      </c>
      <c r="BJ319" s="300" t="str">
        <f>_xlfn.IFNA(VLOOKUP($BD319,Programma!$F$3:$L$1107,7,0),"")</f>
        <v/>
      </c>
      <c r="BK319" s="300" t="str">
        <f>_xlfn.IFNA(VLOOKUP($BD319,Programma!$F$3:$M$1107,8,0),"")</f>
        <v/>
      </c>
      <c r="BL319" s="300" t="str">
        <f>_xlfn.IFNA(VLOOKUP($BD319,Programma!$F$3:$N$1107,9,0),"")</f>
        <v/>
      </c>
      <c r="BM319" s="300" t="str">
        <f>_xlfn.IFNA(VLOOKUP($BD319,Programma!$F$3:$O$1107,10,0),"")</f>
        <v/>
      </c>
      <c r="BN319" s="300" t="str">
        <f>_xlfn.IFNA(VLOOKUP($BD319,Programma!$F$3:$P$1107,11,0),"")</f>
        <v/>
      </c>
      <c r="BO319" s="300" t="str">
        <f>_xlfn.IFNA(VLOOKUP($BD319,Programma!$F$3:$Q$1107,12,0),"")</f>
        <v/>
      </c>
      <c r="BP319" s="300" t="str">
        <f>_xlfn.IFNA(VLOOKUP($BD319,Programma!$F$3:$R$1107,13,0),"")</f>
        <v/>
      </c>
      <c r="BQ319" s="300" t="str">
        <f>_xlfn.IFNA(VLOOKUP($BD319,Programma!$F$3:$S$1107,14,0),"")</f>
        <v/>
      </c>
      <c r="BR319" s="300" t="str">
        <f>_xlfn.IFNA(VLOOKUP($BD319,Programma!$F$3:$T$1107,15,0),"")</f>
        <v/>
      </c>
      <c r="BS319" s="300" t="str">
        <f>_xlfn.IFNA(VLOOKUP($BD319,Programma!$F$3:$U$1107,16,0),"")</f>
        <v/>
      </c>
      <c r="BT319" s="300" t="str">
        <f>_xlfn.IFNA(VLOOKUP($BD319,Programma!$F$3:$V$1107,17,0),"")</f>
        <v/>
      </c>
      <c r="BU319" s="300" t="str">
        <f>_xlfn.IFNA(VLOOKUP($BD319,Programma!$F$3:$W$1107,18,0),"")</f>
        <v/>
      </c>
      <c r="BV319" s="300" t="str">
        <f>_xlfn.IFNA(VLOOKUP($BD319,Programma!$F$3:$X$1107,19,0),"")</f>
        <v/>
      </c>
      <c r="BW319" s="300" t="str">
        <f>_xlfn.IFNA(VLOOKUP($BD319,Programma!$F$3:$Y$1107,20,0),"")</f>
        <v/>
      </c>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row>
    <row r="320" spans="1:220" ht="15" customHeight="1">
      <c r="A320" s="21">
        <v>4</v>
      </c>
      <c r="B320" s="157" t="str">
        <f>VLOOKUP(Ruimtestaat[[#This Row],[Code]],Locaties[[Code]:[Locatie]],2,FALSE)</f>
        <v>Sint-Maartenscollege</v>
      </c>
      <c r="C320" s="157" t="str">
        <f>VLOOKUP(Ruimtestaat[[#This Row],[Code]],Locaties[[#All],[Code]:[Adres]],4,FALSE)</f>
        <v xml:space="preserve">Aart v.d. Leeuwkade 14 </v>
      </c>
      <c r="D320" s="157" t="str">
        <f>VLOOKUP(Ruimtestaat[[#This Row],[Code]],Locaties[[#All],[Code]:[Postcode]],5,FALSE)</f>
        <v>2274 KX</v>
      </c>
      <c r="E320" s="157" t="str">
        <f>VLOOKUP(Ruimtestaat[[#This Row],[Code]],Locaties[#All],6,FALSE)</f>
        <v>Voorburg</v>
      </c>
      <c r="F320" s="62"/>
      <c r="G320" s="21" t="s">
        <v>1784</v>
      </c>
      <c r="H320" s="21" t="s">
        <v>1978</v>
      </c>
      <c r="I320" s="62" t="s">
        <v>1625</v>
      </c>
      <c r="J320" s="21">
        <v>6</v>
      </c>
      <c r="K320" s="62" t="str">
        <f>VLOOKUP(Ruimtestaat[[#This Row],[Ruimte code]],Ruimtegroepen[[#All],[Code]:[Ruimte omschrijving]],2,FALSE)</f>
        <v>Gangen/hallen</v>
      </c>
      <c r="L320" s="33" t="s">
        <v>102</v>
      </c>
      <c r="M320" s="367" t="s">
        <v>2502</v>
      </c>
      <c r="N320" s="140">
        <v>68</v>
      </c>
      <c r="O320" s="140"/>
      <c r="P320" s="125" t="str">
        <f>VLOOKUP(Ruimtestaat[[#This Row],[Ruimte code]],Ruimtegroepen[],4,FALSE)</f>
        <v>Ve</v>
      </c>
      <c r="R320" s="33">
        <v>40</v>
      </c>
      <c r="S320" s="33" t="s">
        <v>2</v>
      </c>
      <c r="T320" s="33">
        <f>IF(R320&gt;0,IF(RIGHT(Ruimtestaat[[#This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0" s="33">
        <f>IF(T320&gt;0,VLOOKUP($J320,Ruimtegroepen[],3,FALSE)*VLOOKUP($L320,Vloersoorten[],3,FALSE)*VLOOKUP($S320,Frequenties[],3,FALSE)*VLOOKUP($A320,Locaties[],3,FALSE),0)</f>
        <v>0</v>
      </c>
      <c r="V320" s="33">
        <f>Ruimtestaat[[#This Row],[Uitvoeringen werkdagen]]*Ruimtestaat[[#This Row],[Oppervlak (netto)]]</f>
        <v>13600</v>
      </c>
      <c r="W320" s="154">
        <f>IF(U320&gt;0,Ruimtestaat[[#This Row],[Prest. (m2 /jaar) werkdagen]]/Ruimtestaat[[#This Row],[Norm (m2/uur) werkdagen]],0)</f>
        <v>0</v>
      </c>
      <c r="X320" s="155">
        <f>Ruimtestaat[[#This Row],[uren / jaar werkdagen]]*Tariefsopbouw!$E$35</f>
        <v>0</v>
      </c>
      <c r="Y320" s="33"/>
      <c r="Z320" s="33">
        <f>IF(Ruimtestaat[[#This Row],[Frequentie weekend]]&gt;0,VALUE(LEFT(Y320,1))*R320,0)</f>
        <v>0</v>
      </c>
      <c r="AA320" s="97">
        <f>IF($Z320&gt;0,VLOOKUP($J320,Ruimtegroepen[],3,FALSE)*VLOOKUP($L320,Vloersoorten[],3,FALSE)*VLOOKUP($Y320,Frequenties[],3,FALSE)*VLOOKUP(Ruimtestaat[[#This Row],[Code]],Locaties[],3,FALSE),0)</f>
        <v>0</v>
      </c>
      <c r="AB320" s="97">
        <f>Ruimtestaat[[#This Row],[Uitvoeringen weekend]]*Ruimtestaat[[#This Row],[Oppervlak (netto)]]</f>
        <v>0</v>
      </c>
      <c r="AC320" s="97">
        <f>IF(AA320&gt;0,Ruimtestaat[[#This Row],[Prest. (m2 /jaar) weekend]]/Ruimtestaat[[#This Row],[Norm (m2/uur) weekend]],0)</f>
        <v>0</v>
      </c>
      <c r="AD320" s="155">
        <f>Ruimtestaat[[#This Row],[uren / jaar weekend]]*Tariefsopbouw!$D$40</f>
        <v>0</v>
      </c>
      <c r="AE320" s="154">
        <f>Ruimtestaat[[#This Row],[Prest. (m2 /jaar) weekend]]+Ruimtestaat[[#This Row],[Prest. (m2 /jaar) werkdagen]]</f>
        <v>13600</v>
      </c>
      <c r="AF320" s="154">
        <f>Ruimtestaat[[#This Row],[uren / jaar weekend]]+Ruimtestaat[[#This Row],[uren / jaar werkdagen]]</f>
        <v>0</v>
      </c>
      <c r="AG320" s="69">
        <f>Ruimtestaat[[#This Row],[kosten / jaar weekend]]+Ruimtestaat[[#This Row],[kosten / jaar werkdagen]]</f>
        <v>0</v>
      </c>
      <c r="AH320" s="69"/>
      <c r="AI320" s="256" t="str">
        <f>IF(Ruimtestaat[[#This Row],[Frequentie werkdagen]]="","",_xlfn.CONCAT(Ruimtestaat[[#This Row],[Ruimte code]],"-",Ruimtestaat[[#This Row],[Frequentie werkdagen]]," ",Ruimtestaat[[#This Row],[Vloer code]]))</f>
        <v>6-5w S</v>
      </c>
      <c r="AJ320" s="300" t="str">
        <f>_xlfn.IFNA(VLOOKUP($AI320,Programma!$F$3:$G$1107,2,0),"")</f>
        <v>_</v>
      </c>
      <c r="AK320" s="300" t="str">
        <f>_xlfn.IFNA(VLOOKUP($AI320,Programma!$F$3:$H$1107,3,0),"")</f>
        <v>_</v>
      </c>
      <c r="AL320" s="300" t="str">
        <f>_xlfn.IFNA(VLOOKUP($AI320,Programma!$F$3:$I$1107,4,0),"")</f>
        <v>5w</v>
      </c>
      <c r="AM320" s="300" t="str">
        <f>_xlfn.IFNA(VLOOKUP($AI320,Programma!$F$3:$J$1107,5,0),"")</f>
        <v>_</v>
      </c>
      <c r="AN320" s="300" t="str">
        <f>_xlfn.IFNA(VLOOKUP($AI320,Programma!$F$3:$K$1107,6,0),"")</f>
        <v>5w</v>
      </c>
      <c r="AO320" s="300" t="str">
        <f>_xlfn.IFNA(VLOOKUP($AI320,Programma!$F$3:$L$1107,7,0),"")</f>
        <v>_</v>
      </c>
      <c r="AP320" s="300" t="str">
        <f>_xlfn.IFNA(VLOOKUP($AI320,Programma!$F$3:$M$1107,8,0),"")</f>
        <v>_</v>
      </c>
      <c r="AQ320" s="300" t="str">
        <f>_xlfn.IFNA(VLOOKUP($AI320,Programma!$F$3:$N$1107,9,0),"")</f>
        <v>_</v>
      </c>
      <c r="AR320" s="300" t="str">
        <f>_xlfn.IFNA(VLOOKUP($AI320,Programma!$F$3:$O$1107,10,0),"")</f>
        <v>5w</v>
      </c>
      <c r="AS320" s="300" t="str">
        <f>_xlfn.IFNA(VLOOKUP($AI320,Programma!$F$3:$P$1107,11,0),"")</f>
        <v>5w</v>
      </c>
      <c r="AT320" s="300" t="str">
        <f>_xlfn.IFNA(VLOOKUP($AI320,Programma!$F$3:$Q$1107,12,0),"")</f>
        <v>1w</v>
      </c>
      <c r="AU320" s="300" t="str">
        <f>_xlfn.IFNA(VLOOKUP($AI320,Programma!$F$3:$R$1107,13,0),"")</f>
        <v>1w</v>
      </c>
      <c r="AV320" s="300" t="str">
        <f>_xlfn.IFNA(VLOOKUP($AI320,Programma!$F$3:$S$1107,14,0),"")</f>
        <v>1m</v>
      </c>
      <c r="AW320" s="300" t="str">
        <f>_xlfn.IFNA(VLOOKUP($AI320,Programma!$F$3:$T$1107,15,0),"")</f>
        <v>2j</v>
      </c>
      <c r="AX320" s="300" t="str">
        <f>_xlfn.IFNA(VLOOKUP($AI320,Programma!$F$3:$U$1107,16,0),"")</f>
        <v>1j</v>
      </c>
      <c r="AY320" s="300" t="str">
        <f>_xlfn.IFNA(VLOOKUP($AI320,Programma!$F$3:$V$1107,17,0),"")</f>
        <v>_</v>
      </c>
      <c r="AZ320" s="300" t="str">
        <f>_xlfn.IFNA(VLOOKUP($AI320,Programma!$F$3:$W$1107,18,0),"")</f>
        <v>_</v>
      </c>
      <c r="BA320" s="300" t="str">
        <f>_xlfn.IFNA(VLOOKUP($AI320,Programma!$F$3:$X$1107,19,0),"")</f>
        <v>_</v>
      </c>
      <c r="BB320" s="300" t="str">
        <f>_xlfn.IFNA(VLOOKUP($AI320,Programma!$F$3:$Y$1107,20,0),"")</f>
        <v>_</v>
      </c>
      <c r="BC320" s="257"/>
      <c r="BD320" s="256" t="str">
        <f>IF(Ruimtestaat[[#This Row],[Frequentie weekend]]="","",_xlfn.CONCAT(Ruimtestaat[[#This Row],[Ruimte code]],"-",Ruimtestaat[[#This Row],[Frequentie weekend]]," ",Ruimtestaat[[#This Row],[Vloer code]]))</f>
        <v/>
      </c>
      <c r="BE320" s="300" t="str">
        <f>_xlfn.IFNA(VLOOKUP($BD320,Programma!$F$3:$G$1107,2,0),"")</f>
        <v/>
      </c>
      <c r="BF320" s="300" t="str">
        <f>_xlfn.IFNA(VLOOKUP($BD320,Programma!$F$3:$H$1107,3,0),"")</f>
        <v/>
      </c>
      <c r="BG320" s="300" t="str">
        <f>_xlfn.IFNA(VLOOKUP($BD320,Programma!$F$3:$I$1107,4,0),"")</f>
        <v/>
      </c>
      <c r="BH320" s="300" t="str">
        <f>_xlfn.IFNA(VLOOKUP($BD320,Programma!$F$3:$J$1107,5,0),"")</f>
        <v/>
      </c>
      <c r="BI320" s="300" t="str">
        <f>_xlfn.IFNA(VLOOKUP($BD320,Programma!$F$3:$K$1107,6,0),"")</f>
        <v/>
      </c>
      <c r="BJ320" s="300" t="str">
        <f>_xlfn.IFNA(VLOOKUP($BD320,Programma!$F$3:$L$1107,7,0),"")</f>
        <v/>
      </c>
      <c r="BK320" s="300" t="str">
        <f>_xlfn.IFNA(VLOOKUP($BD320,Programma!$F$3:$M$1107,8,0),"")</f>
        <v/>
      </c>
      <c r="BL320" s="300" t="str">
        <f>_xlfn.IFNA(VLOOKUP($BD320,Programma!$F$3:$N$1107,9,0),"")</f>
        <v/>
      </c>
      <c r="BM320" s="300" t="str">
        <f>_xlfn.IFNA(VLOOKUP($BD320,Programma!$F$3:$O$1107,10,0),"")</f>
        <v/>
      </c>
      <c r="BN320" s="300" t="str">
        <f>_xlfn.IFNA(VLOOKUP($BD320,Programma!$F$3:$P$1107,11,0),"")</f>
        <v/>
      </c>
      <c r="BO320" s="300" t="str">
        <f>_xlfn.IFNA(VLOOKUP($BD320,Programma!$F$3:$Q$1107,12,0),"")</f>
        <v/>
      </c>
      <c r="BP320" s="300" t="str">
        <f>_xlfn.IFNA(VLOOKUP($BD320,Programma!$F$3:$R$1107,13,0),"")</f>
        <v/>
      </c>
      <c r="BQ320" s="300" t="str">
        <f>_xlfn.IFNA(VLOOKUP($BD320,Programma!$F$3:$S$1107,14,0),"")</f>
        <v/>
      </c>
      <c r="BR320" s="300" t="str">
        <f>_xlfn.IFNA(VLOOKUP($BD320,Programma!$F$3:$T$1107,15,0),"")</f>
        <v/>
      </c>
      <c r="BS320" s="300" t="str">
        <f>_xlfn.IFNA(VLOOKUP($BD320,Programma!$F$3:$U$1107,16,0),"")</f>
        <v/>
      </c>
      <c r="BT320" s="300" t="str">
        <f>_xlfn.IFNA(VLOOKUP($BD320,Programma!$F$3:$V$1107,17,0),"")</f>
        <v/>
      </c>
      <c r="BU320" s="300" t="str">
        <f>_xlfn.IFNA(VLOOKUP($BD320,Programma!$F$3:$W$1107,18,0),"")</f>
        <v/>
      </c>
      <c r="BV320" s="300" t="str">
        <f>_xlfn.IFNA(VLOOKUP($BD320,Programma!$F$3:$X$1107,19,0),"")</f>
        <v/>
      </c>
      <c r="BW320" s="300" t="str">
        <f>_xlfn.IFNA(VLOOKUP($BD320,Programma!$F$3:$Y$1107,20,0),"")</f>
        <v/>
      </c>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row>
    <row r="321" spans="1:220" ht="15" customHeight="1">
      <c r="A321" s="21">
        <v>4</v>
      </c>
      <c r="B321" s="157" t="str">
        <f>VLOOKUP(Ruimtestaat[[#This Row],[Code]],Locaties[[Code]:[Locatie]],2,FALSE)</f>
        <v>Sint-Maartenscollege</v>
      </c>
      <c r="C321" s="157" t="str">
        <f>VLOOKUP(Ruimtestaat[[#This Row],[Code]],Locaties[[#All],[Code]:[Adres]],4,FALSE)</f>
        <v xml:space="preserve">Aart v.d. Leeuwkade 14 </v>
      </c>
      <c r="D321" s="157" t="str">
        <f>VLOOKUP(Ruimtestaat[[#This Row],[Code]],Locaties[[#All],[Code]:[Postcode]],5,FALSE)</f>
        <v>2274 KX</v>
      </c>
      <c r="E321" s="157" t="str">
        <f>VLOOKUP(Ruimtestaat[[#This Row],[Code]],Locaties[#All],6,FALSE)</f>
        <v>Voorburg</v>
      </c>
      <c r="F321" s="62"/>
      <c r="G321" s="21" t="s">
        <v>1784</v>
      </c>
      <c r="H321" s="21" t="s">
        <v>1979</v>
      </c>
      <c r="I321" s="62" t="s">
        <v>1945</v>
      </c>
      <c r="J321" s="21">
        <v>6</v>
      </c>
      <c r="K321" s="62" t="str">
        <f>VLOOKUP(Ruimtestaat[[#This Row],[Ruimte code]],Ruimtegroepen[[#All],[Code]:[Ruimte omschrijving]],2,FALSE)</f>
        <v>Gangen/hallen</v>
      </c>
      <c r="L321" s="33" t="s">
        <v>102</v>
      </c>
      <c r="M321" s="367" t="s">
        <v>2502</v>
      </c>
      <c r="N321" s="140">
        <v>17</v>
      </c>
      <c r="O321" s="140"/>
      <c r="P321" s="125" t="str">
        <f>VLOOKUP(Ruimtestaat[[#This Row],[Ruimte code]],Ruimtegroepen[],4,FALSE)</f>
        <v>Ve</v>
      </c>
      <c r="R321" s="33">
        <v>40</v>
      </c>
      <c r="S321" s="33" t="s">
        <v>2</v>
      </c>
      <c r="T321" s="33">
        <f>IF(R321&gt;0,IF(RIGHT(Ruimtestaat[[#This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1" s="33">
        <f>IF(T321&gt;0,VLOOKUP($J321,Ruimtegroepen[],3,FALSE)*VLOOKUP($L321,Vloersoorten[],3,FALSE)*VLOOKUP($S321,Frequenties[],3,FALSE)*VLOOKUP($A321,Locaties[],3,FALSE),0)</f>
        <v>0</v>
      </c>
      <c r="V321" s="33">
        <f>Ruimtestaat[[#This Row],[Uitvoeringen werkdagen]]*Ruimtestaat[[#This Row],[Oppervlak (netto)]]</f>
        <v>3400</v>
      </c>
      <c r="W321" s="154">
        <f>IF(U321&gt;0,Ruimtestaat[[#This Row],[Prest. (m2 /jaar) werkdagen]]/Ruimtestaat[[#This Row],[Norm (m2/uur) werkdagen]],0)</f>
        <v>0</v>
      </c>
      <c r="X321" s="155">
        <f>Ruimtestaat[[#This Row],[uren / jaar werkdagen]]*Tariefsopbouw!$E$35</f>
        <v>0</v>
      </c>
      <c r="Y321" s="33"/>
      <c r="Z321" s="33">
        <f>IF(Ruimtestaat[[#This Row],[Frequentie weekend]]&gt;0,VALUE(LEFT(Y321,1))*R321,0)</f>
        <v>0</v>
      </c>
      <c r="AA321" s="97">
        <f>IF($Z321&gt;0,VLOOKUP($J321,Ruimtegroepen[],3,FALSE)*VLOOKUP($L321,Vloersoorten[],3,FALSE)*VLOOKUP($Y321,Frequenties[],3,FALSE)*VLOOKUP(Ruimtestaat[[#This Row],[Code]],Locaties[],3,FALSE),0)</f>
        <v>0</v>
      </c>
      <c r="AB321" s="97">
        <f>Ruimtestaat[[#This Row],[Uitvoeringen weekend]]*Ruimtestaat[[#This Row],[Oppervlak (netto)]]</f>
        <v>0</v>
      </c>
      <c r="AC321" s="97">
        <f>IF(AA321&gt;0,Ruimtestaat[[#This Row],[Prest. (m2 /jaar) weekend]]/Ruimtestaat[[#This Row],[Norm (m2/uur) weekend]],0)</f>
        <v>0</v>
      </c>
      <c r="AD321" s="155">
        <f>Ruimtestaat[[#This Row],[uren / jaar weekend]]*Tariefsopbouw!$D$40</f>
        <v>0</v>
      </c>
      <c r="AE321" s="154">
        <f>Ruimtestaat[[#This Row],[Prest. (m2 /jaar) weekend]]+Ruimtestaat[[#This Row],[Prest. (m2 /jaar) werkdagen]]</f>
        <v>3400</v>
      </c>
      <c r="AF321" s="154">
        <f>Ruimtestaat[[#This Row],[uren / jaar weekend]]+Ruimtestaat[[#This Row],[uren / jaar werkdagen]]</f>
        <v>0</v>
      </c>
      <c r="AG321" s="69">
        <f>Ruimtestaat[[#This Row],[kosten / jaar weekend]]+Ruimtestaat[[#This Row],[kosten / jaar werkdagen]]</f>
        <v>0</v>
      </c>
      <c r="AH321" s="69"/>
      <c r="AI321" s="256" t="str">
        <f>IF(Ruimtestaat[[#This Row],[Frequentie werkdagen]]="","",_xlfn.CONCAT(Ruimtestaat[[#This Row],[Ruimte code]],"-",Ruimtestaat[[#This Row],[Frequentie werkdagen]]," ",Ruimtestaat[[#This Row],[Vloer code]]))</f>
        <v>6-5w S</v>
      </c>
      <c r="AJ321" s="300" t="str">
        <f>_xlfn.IFNA(VLOOKUP($AI321,Programma!$F$3:$G$1107,2,0),"")</f>
        <v>_</v>
      </c>
      <c r="AK321" s="300" t="str">
        <f>_xlfn.IFNA(VLOOKUP($AI321,Programma!$F$3:$H$1107,3,0),"")</f>
        <v>_</v>
      </c>
      <c r="AL321" s="300" t="str">
        <f>_xlfn.IFNA(VLOOKUP($AI321,Programma!$F$3:$I$1107,4,0),"")</f>
        <v>5w</v>
      </c>
      <c r="AM321" s="300" t="str">
        <f>_xlfn.IFNA(VLOOKUP($AI321,Programma!$F$3:$J$1107,5,0),"")</f>
        <v>_</v>
      </c>
      <c r="AN321" s="300" t="str">
        <f>_xlfn.IFNA(VLOOKUP($AI321,Programma!$F$3:$K$1107,6,0),"")</f>
        <v>5w</v>
      </c>
      <c r="AO321" s="300" t="str">
        <f>_xlfn.IFNA(VLOOKUP($AI321,Programma!$F$3:$L$1107,7,0),"")</f>
        <v>_</v>
      </c>
      <c r="AP321" s="300" t="str">
        <f>_xlfn.IFNA(VLOOKUP($AI321,Programma!$F$3:$M$1107,8,0),"")</f>
        <v>_</v>
      </c>
      <c r="AQ321" s="300" t="str">
        <f>_xlfn.IFNA(VLOOKUP($AI321,Programma!$F$3:$N$1107,9,0),"")</f>
        <v>_</v>
      </c>
      <c r="AR321" s="300" t="str">
        <f>_xlfn.IFNA(VLOOKUP($AI321,Programma!$F$3:$O$1107,10,0),"")</f>
        <v>5w</v>
      </c>
      <c r="AS321" s="300" t="str">
        <f>_xlfn.IFNA(VLOOKUP($AI321,Programma!$F$3:$P$1107,11,0),"")</f>
        <v>5w</v>
      </c>
      <c r="AT321" s="300" t="str">
        <f>_xlfn.IFNA(VLOOKUP($AI321,Programma!$F$3:$Q$1107,12,0),"")</f>
        <v>1w</v>
      </c>
      <c r="AU321" s="300" t="str">
        <f>_xlfn.IFNA(VLOOKUP($AI321,Programma!$F$3:$R$1107,13,0),"")</f>
        <v>1w</v>
      </c>
      <c r="AV321" s="300" t="str">
        <f>_xlfn.IFNA(VLOOKUP($AI321,Programma!$F$3:$S$1107,14,0),"")</f>
        <v>1m</v>
      </c>
      <c r="AW321" s="300" t="str">
        <f>_xlfn.IFNA(VLOOKUP($AI321,Programma!$F$3:$T$1107,15,0),"")</f>
        <v>2j</v>
      </c>
      <c r="AX321" s="300" t="str">
        <f>_xlfn.IFNA(VLOOKUP($AI321,Programma!$F$3:$U$1107,16,0),"")</f>
        <v>1j</v>
      </c>
      <c r="AY321" s="300" t="str">
        <f>_xlfn.IFNA(VLOOKUP($AI321,Programma!$F$3:$V$1107,17,0),"")</f>
        <v>_</v>
      </c>
      <c r="AZ321" s="300" t="str">
        <f>_xlfn.IFNA(VLOOKUP($AI321,Programma!$F$3:$W$1107,18,0),"")</f>
        <v>_</v>
      </c>
      <c r="BA321" s="300" t="str">
        <f>_xlfn.IFNA(VLOOKUP($AI321,Programma!$F$3:$X$1107,19,0),"")</f>
        <v>_</v>
      </c>
      <c r="BB321" s="300" t="str">
        <f>_xlfn.IFNA(VLOOKUP($AI321,Programma!$F$3:$Y$1107,20,0),"")</f>
        <v>_</v>
      </c>
      <c r="BC321" s="257"/>
      <c r="BD321" s="256" t="str">
        <f>IF(Ruimtestaat[[#This Row],[Frequentie weekend]]="","",_xlfn.CONCAT(Ruimtestaat[[#This Row],[Ruimte code]],"-",Ruimtestaat[[#This Row],[Frequentie weekend]]," ",Ruimtestaat[[#This Row],[Vloer code]]))</f>
        <v/>
      </c>
      <c r="BE321" s="300" t="str">
        <f>_xlfn.IFNA(VLOOKUP($BD321,Programma!$F$3:$G$1107,2,0),"")</f>
        <v/>
      </c>
      <c r="BF321" s="300" t="str">
        <f>_xlfn.IFNA(VLOOKUP($BD321,Programma!$F$3:$H$1107,3,0),"")</f>
        <v/>
      </c>
      <c r="BG321" s="300" t="str">
        <f>_xlfn.IFNA(VLOOKUP($BD321,Programma!$F$3:$I$1107,4,0),"")</f>
        <v/>
      </c>
      <c r="BH321" s="300" t="str">
        <f>_xlfn.IFNA(VLOOKUP($BD321,Programma!$F$3:$J$1107,5,0),"")</f>
        <v/>
      </c>
      <c r="BI321" s="300" t="str">
        <f>_xlfn.IFNA(VLOOKUP($BD321,Programma!$F$3:$K$1107,6,0),"")</f>
        <v/>
      </c>
      <c r="BJ321" s="300" t="str">
        <f>_xlfn.IFNA(VLOOKUP($BD321,Programma!$F$3:$L$1107,7,0),"")</f>
        <v/>
      </c>
      <c r="BK321" s="300" t="str">
        <f>_xlfn.IFNA(VLOOKUP($BD321,Programma!$F$3:$M$1107,8,0),"")</f>
        <v/>
      </c>
      <c r="BL321" s="300" t="str">
        <f>_xlfn.IFNA(VLOOKUP($BD321,Programma!$F$3:$N$1107,9,0),"")</f>
        <v/>
      </c>
      <c r="BM321" s="300" t="str">
        <f>_xlfn.IFNA(VLOOKUP($BD321,Programma!$F$3:$O$1107,10,0),"")</f>
        <v/>
      </c>
      <c r="BN321" s="300" t="str">
        <f>_xlfn.IFNA(VLOOKUP($BD321,Programma!$F$3:$P$1107,11,0),"")</f>
        <v/>
      </c>
      <c r="BO321" s="300" t="str">
        <f>_xlfn.IFNA(VLOOKUP($BD321,Programma!$F$3:$Q$1107,12,0),"")</f>
        <v/>
      </c>
      <c r="BP321" s="300" t="str">
        <f>_xlfn.IFNA(VLOOKUP($BD321,Programma!$F$3:$R$1107,13,0),"")</f>
        <v/>
      </c>
      <c r="BQ321" s="300" t="str">
        <f>_xlfn.IFNA(VLOOKUP($BD321,Programma!$F$3:$S$1107,14,0),"")</f>
        <v/>
      </c>
      <c r="BR321" s="300" t="str">
        <f>_xlfn.IFNA(VLOOKUP($BD321,Programma!$F$3:$T$1107,15,0),"")</f>
        <v/>
      </c>
      <c r="BS321" s="300" t="str">
        <f>_xlfn.IFNA(VLOOKUP($BD321,Programma!$F$3:$U$1107,16,0),"")</f>
        <v/>
      </c>
      <c r="BT321" s="300" t="str">
        <f>_xlfn.IFNA(VLOOKUP($BD321,Programma!$F$3:$V$1107,17,0),"")</f>
        <v/>
      </c>
      <c r="BU321" s="300" t="str">
        <f>_xlfn.IFNA(VLOOKUP($BD321,Programma!$F$3:$W$1107,18,0),"")</f>
        <v/>
      </c>
      <c r="BV321" s="300" t="str">
        <f>_xlfn.IFNA(VLOOKUP($BD321,Programma!$F$3:$X$1107,19,0),"")</f>
        <v/>
      </c>
      <c r="BW321" s="300" t="str">
        <f>_xlfn.IFNA(VLOOKUP($BD321,Programma!$F$3:$Y$1107,20,0),"")</f>
        <v/>
      </c>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row>
    <row r="322" spans="1:220" ht="15" customHeight="1">
      <c r="A322" s="21">
        <v>4</v>
      </c>
      <c r="B322" s="157" t="str">
        <f>VLOOKUP(Ruimtestaat[[#This Row],[Code]],Locaties[[Code]:[Locatie]],2,FALSE)</f>
        <v>Sint-Maartenscollege</v>
      </c>
      <c r="C322" s="157" t="str">
        <f>VLOOKUP(Ruimtestaat[[#This Row],[Code]],Locaties[[#All],[Code]:[Adres]],4,FALSE)</f>
        <v xml:space="preserve">Aart v.d. Leeuwkade 14 </v>
      </c>
      <c r="D322" s="157" t="str">
        <f>VLOOKUP(Ruimtestaat[[#This Row],[Code]],Locaties[[#All],[Code]:[Postcode]],5,FALSE)</f>
        <v>2274 KX</v>
      </c>
      <c r="E322" s="157" t="str">
        <f>VLOOKUP(Ruimtestaat[[#This Row],[Code]],Locaties[#All],6,FALSE)</f>
        <v>Voorburg</v>
      </c>
      <c r="F322" s="62"/>
      <c r="G322" s="21" t="s">
        <v>1784</v>
      </c>
      <c r="H322" s="21" t="s">
        <v>1980</v>
      </c>
      <c r="I322" s="62" t="s">
        <v>1981</v>
      </c>
      <c r="J322" s="21">
        <v>13</v>
      </c>
      <c r="K322" s="62" t="str">
        <f>VLOOKUP(Ruimtestaat[[#This Row],[Ruimte code]],Ruimtegroepen[[#All],[Code]:[Ruimte omschrijving]],2,FALSE)</f>
        <v>HV/Technieklokaal</v>
      </c>
      <c r="L322" s="33" t="s">
        <v>101</v>
      </c>
      <c r="M322" s="367" t="s">
        <v>2495</v>
      </c>
      <c r="N322" s="140">
        <v>110</v>
      </c>
      <c r="O322" s="140"/>
      <c r="P322" s="125" t="str">
        <f>VLOOKUP(Ruimtestaat[[#This Row],[Ruimte code]],Ruimtegroepen[],4,FALSE)</f>
        <v>Le</v>
      </c>
      <c r="R322" s="33">
        <v>40</v>
      </c>
      <c r="S322" s="33" t="s">
        <v>2</v>
      </c>
      <c r="T322" s="33">
        <f>IF(R322&gt;0,IF(RIGHT(Ruimtestaat[[#This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2" s="33">
        <f>IF(T322&gt;0,VLOOKUP($J322,Ruimtegroepen[],3,FALSE)*VLOOKUP($L322,Vloersoorten[],3,FALSE)*VLOOKUP($S322,Frequenties[],3,FALSE)*VLOOKUP($A322,Locaties[],3,FALSE),0)</f>
        <v>0</v>
      </c>
      <c r="V322" s="33">
        <f>Ruimtestaat[[#This Row],[Uitvoeringen werkdagen]]*Ruimtestaat[[#This Row],[Oppervlak (netto)]]</f>
        <v>22000</v>
      </c>
      <c r="W322" s="154">
        <f>IF(U322&gt;0,Ruimtestaat[[#This Row],[Prest. (m2 /jaar) werkdagen]]/Ruimtestaat[[#This Row],[Norm (m2/uur) werkdagen]],0)</f>
        <v>0</v>
      </c>
      <c r="X322" s="155">
        <f>Ruimtestaat[[#This Row],[uren / jaar werkdagen]]*Tariefsopbouw!$E$35</f>
        <v>0</v>
      </c>
      <c r="Y322" s="33"/>
      <c r="Z322" s="33">
        <f>IF(Ruimtestaat[[#This Row],[Frequentie weekend]]&gt;0,VALUE(LEFT(Y322,1))*R322,0)</f>
        <v>0</v>
      </c>
      <c r="AA322" s="97">
        <f>IF($Z322&gt;0,VLOOKUP($J322,Ruimtegroepen[],3,FALSE)*VLOOKUP($L322,Vloersoorten[],3,FALSE)*VLOOKUP($Y322,Frequenties[],3,FALSE)*VLOOKUP(Ruimtestaat[[#This Row],[Code]],Locaties[],3,FALSE),0)</f>
        <v>0</v>
      </c>
      <c r="AB322" s="97">
        <f>Ruimtestaat[[#This Row],[Uitvoeringen weekend]]*Ruimtestaat[[#This Row],[Oppervlak (netto)]]</f>
        <v>0</v>
      </c>
      <c r="AC322" s="97">
        <f>IF(AA322&gt;0,Ruimtestaat[[#This Row],[Prest. (m2 /jaar) weekend]]/Ruimtestaat[[#This Row],[Norm (m2/uur) weekend]],0)</f>
        <v>0</v>
      </c>
      <c r="AD322" s="155">
        <f>Ruimtestaat[[#This Row],[uren / jaar weekend]]*Tariefsopbouw!$D$40</f>
        <v>0</v>
      </c>
      <c r="AE322" s="154">
        <f>Ruimtestaat[[#This Row],[Prest. (m2 /jaar) weekend]]+Ruimtestaat[[#This Row],[Prest. (m2 /jaar) werkdagen]]</f>
        <v>22000</v>
      </c>
      <c r="AF322" s="154">
        <f>Ruimtestaat[[#This Row],[uren / jaar weekend]]+Ruimtestaat[[#This Row],[uren / jaar werkdagen]]</f>
        <v>0</v>
      </c>
      <c r="AG322" s="69">
        <f>Ruimtestaat[[#This Row],[kosten / jaar weekend]]+Ruimtestaat[[#This Row],[kosten / jaar werkdagen]]</f>
        <v>0</v>
      </c>
      <c r="AH322" s="69"/>
      <c r="AI322" s="256" t="str">
        <f>IF(Ruimtestaat[[#This Row],[Frequentie werkdagen]]="","",_xlfn.CONCAT(Ruimtestaat[[#This Row],[Ruimte code]],"-",Ruimtestaat[[#This Row],[Frequentie werkdagen]]," ",Ruimtestaat[[#This Row],[Vloer code]]))</f>
        <v>13-5w L</v>
      </c>
      <c r="AJ322" s="300" t="str">
        <f>_xlfn.IFNA(VLOOKUP($AI322,Programma!$F$3:$G$1107,2,0),"")</f>
        <v>_</v>
      </c>
      <c r="AK322" s="300" t="str">
        <f>_xlfn.IFNA(VLOOKUP($AI322,Programma!$F$3:$H$1107,3,0),"")</f>
        <v>_</v>
      </c>
      <c r="AL322" s="300" t="str">
        <f>_xlfn.IFNA(VLOOKUP($AI322,Programma!$F$3:$I$1107,4,0),"")</f>
        <v>4w</v>
      </c>
      <c r="AM322" s="300" t="str">
        <f>_xlfn.IFNA(VLOOKUP($AI322,Programma!$F$3:$J$1107,5,0),"")</f>
        <v>1w</v>
      </c>
      <c r="AN322" s="300" t="str">
        <f>_xlfn.IFNA(VLOOKUP($AI322,Programma!$F$3:$K$1107,6,0),"")</f>
        <v>_</v>
      </c>
      <c r="AO322" s="300" t="str">
        <f>_xlfn.IFNA(VLOOKUP($AI322,Programma!$F$3:$L$1107,7,0),"")</f>
        <v>_</v>
      </c>
      <c r="AP322" s="300" t="str">
        <f>_xlfn.IFNA(VLOOKUP($AI322,Programma!$F$3:$M$1107,8,0),"")</f>
        <v>_</v>
      </c>
      <c r="AQ322" s="300" t="str">
        <f>_xlfn.IFNA(VLOOKUP($AI322,Programma!$F$3:$N$1107,9,0),"")</f>
        <v>_</v>
      </c>
      <c r="AR322" s="300" t="str">
        <f>_xlfn.IFNA(VLOOKUP($AI322,Programma!$F$3:$O$1107,10,0),"")</f>
        <v>5w</v>
      </c>
      <c r="AS322" s="300" t="str">
        <f>_xlfn.IFNA(VLOOKUP($AI322,Programma!$F$3:$P$1107,11,0),"")</f>
        <v>5w</v>
      </c>
      <c r="AT322" s="300" t="str">
        <f>_xlfn.IFNA(VLOOKUP($AI322,Programma!$F$3:$Q$1107,12,0),"")</f>
        <v>1w</v>
      </c>
      <c r="AU322" s="300" t="str">
        <f>_xlfn.IFNA(VLOOKUP($AI322,Programma!$F$3:$R$1107,13,0),"")</f>
        <v>1w</v>
      </c>
      <c r="AV322" s="300" t="str">
        <f>_xlfn.IFNA(VLOOKUP($AI322,Programma!$F$3:$S$1107,14,0),"")</f>
        <v>1m</v>
      </c>
      <c r="AW322" s="300" t="str">
        <f>_xlfn.IFNA(VLOOKUP($AI322,Programma!$F$3:$T$1107,15,0),"")</f>
        <v>2j</v>
      </c>
      <c r="AX322" s="300" t="str">
        <f>_xlfn.IFNA(VLOOKUP($AI322,Programma!$F$3:$U$1107,16,0),"")</f>
        <v>1j</v>
      </c>
      <c r="AY322" s="300" t="str">
        <f>_xlfn.IFNA(VLOOKUP($AI322,Programma!$F$3:$V$1107,17,0),"")</f>
        <v>_</v>
      </c>
      <c r="AZ322" s="300" t="str">
        <f>_xlfn.IFNA(VLOOKUP($AI322,Programma!$F$3:$W$1107,18,0),"")</f>
        <v>_</v>
      </c>
      <c r="BA322" s="300" t="str">
        <f>_xlfn.IFNA(VLOOKUP($AI322,Programma!$F$3:$X$1107,19,0),"")</f>
        <v>_</v>
      </c>
      <c r="BB322" s="300" t="str">
        <f>_xlfn.IFNA(VLOOKUP($AI322,Programma!$F$3:$Y$1107,20,0),"")</f>
        <v>_</v>
      </c>
      <c r="BC322" s="257"/>
      <c r="BD322" s="256" t="str">
        <f>IF(Ruimtestaat[[#This Row],[Frequentie weekend]]="","",_xlfn.CONCAT(Ruimtestaat[[#This Row],[Ruimte code]],"-",Ruimtestaat[[#This Row],[Frequentie weekend]]," ",Ruimtestaat[[#This Row],[Vloer code]]))</f>
        <v/>
      </c>
      <c r="BE322" s="300" t="str">
        <f>_xlfn.IFNA(VLOOKUP($BD322,Programma!$F$3:$G$1107,2,0),"")</f>
        <v/>
      </c>
      <c r="BF322" s="300" t="str">
        <f>_xlfn.IFNA(VLOOKUP($BD322,Programma!$F$3:$H$1107,3,0),"")</f>
        <v/>
      </c>
      <c r="BG322" s="300" t="str">
        <f>_xlfn.IFNA(VLOOKUP($BD322,Programma!$F$3:$I$1107,4,0),"")</f>
        <v/>
      </c>
      <c r="BH322" s="300" t="str">
        <f>_xlfn.IFNA(VLOOKUP($BD322,Programma!$F$3:$J$1107,5,0),"")</f>
        <v/>
      </c>
      <c r="BI322" s="300" t="str">
        <f>_xlfn.IFNA(VLOOKUP($BD322,Programma!$F$3:$K$1107,6,0),"")</f>
        <v/>
      </c>
      <c r="BJ322" s="300" t="str">
        <f>_xlfn.IFNA(VLOOKUP($BD322,Programma!$F$3:$L$1107,7,0),"")</f>
        <v/>
      </c>
      <c r="BK322" s="300" t="str">
        <f>_xlfn.IFNA(VLOOKUP($BD322,Programma!$F$3:$M$1107,8,0),"")</f>
        <v/>
      </c>
      <c r="BL322" s="300" t="str">
        <f>_xlfn.IFNA(VLOOKUP($BD322,Programma!$F$3:$N$1107,9,0),"")</f>
        <v/>
      </c>
      <c r="BM322" s="300" t="str">
        <f>_xlfn.IFNA(VLOOKUP($BD322,Programma!$F$3:$O$1107,10,0),"")</f>
        <v/>
      </c>
      <c r="BN322" s="300" t="str">
        <f>_xlfn.IFNA(VLOOKUP($BD322,Programma!$F$3:$P$1107,11,0),"")</f>
        <v/>
      </c>
      <c r="BO322" s="300" t="str">
        <f>_xlfn.IFNA(VLOOKUP($BD322,Programma!$F$3:$Q$1107,12,0),"")</f>
        <v/>
      </c>
      <c r="BP322" s="300" t="str">
        <f>_xlfn.IFNA(VLOOKUP($BD322,Programma!$F$3:$R$1107,13,0),"")</f>
        <v/>
      </c>
      <c r="BQ322" s="300" t="str">
        <f>_xlfn.IFNA(VLOOKUP($BD322,Programma!$F$3:$S$1107,14,0),"")</f>
        <v/>
      </c>
      <c r="BR322" s="300" t="str">
        <f>_xlfn.IFNA(VLOOKUP($BD322,Programma!$F$3:$T$1107,15,0),"")</f>
        <v/>
      </c>
      <c r="BS322" s="300" t="str">
        <f>_xlfn.IFNA(VLOOKUP($BD322,Programma!$F$3:$U$1107,16,0),"")</f>
        <v/>
      </c>
      <c r="BT322" s="300" t="str">
        <f>_xlfn.IFNA(VLOOKUP($BD322,Programma!$F$3:$V$1107,17,0),"")</f>
        <v/>
      </c>
      <c r="BU322" s="300" t="str">
        <f>_xlfn.IFNA(VLOOKUP($BD322,Programma!$F$3:$W$1107,18,0),"")</f>
        <v/>
      </c>
      <c r="BV322" s="300" t="str">
        <f>_xlfn.IFNA(VLOOKUP($BD322,Programma!$F$3:$X$1107,19,0),"")</f>
        <v/>
      </c>
      <c r="BW322" s="300" t="str">
        <f>_xlfn.IFNA(VLOOKUP($BD322,Programma!$F$3:$Y$1107,20,0),"")</f>
        <v/>
      </c>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row>
    <row r="323" spans="1:220" ht="15" customHeight="1">
      <c r="A323" s="21">
        <v>4</v>
      </c>
      <c r="B323" s="157" t="str">
        <f>VLOOKUP(Ruimtestaat[[#This Row],[Code]],Locaties[[Code]:[Locatie]],2,FALSE)</f>
        <v>Sint-Maartenscollege</v>
      </c>
      <c r="C323" s="157" t="str">
        <f>VLOOKUP(Ruimtestaat[[#This Row],[Code]],Locaties[[#All],[Code]:[Adres]],4,FALSE)</f>
        <v xml:space="preserve">Aart v.d. Leeuwkade 14 </v>
      </c>
      <c r="D323" s="157" t="str">
        <f>VLOOKUP(Ruimtestaat[[#This Row],[Code]],Locaties[[#All],[Code]:[Postcode]],5,FALSE)</f>
        <v>2274 KX</v>
      </c>
      <c r="E323" s="157" t="str">
        <f>VLOOKUP(Ruimtestaat[[#This Row],[Code]],Locaties[#All],6,FALSE)</f>
        <v>Voorburg</v>
      </c>
      <c r="F323" s="62"/>
      <c r="G323" s="21" t="s">
        <v>1784</v>
      </c>
      <c r="H323" s="21" t="s">
        <v>1982</v>
      </c>
      <c r="I323" s="62" t="s">
        <v>1983</v>
      </c>
      <c r="J323" s="21">
        <v>20</v>
      </c>
      <c r="K323" s="62" t="str">
        <f>VLOOKUP(Ruimtestaat[[#This Row],[Ruimte code]],Ruimtegroepen[[#All],[Code]:[Ruimte omschrijving]],2,FALSE)</f>
        <v>Niet in Onderhoud</v>
      </c>
      <c r="L323" s="33" t="s">
        <v>101</v>
      </c>
      <c r="M323" s="367" t="s">
        <v>2495</v>
      </c>
      <c r="N323" s="140"/>
      <c r="O323" s="140">
        <v>14</v>
      </c>
      <c r="P323" s="125">
        <f>VLOOKUP(Ruimtestaat[[#This Row],[Ruimte code]],Ruimtegroepen[],4,FALSE)</f>
        <v>0</v>
      </c>
      <c r="R323" s="33"/>
      <c r="S323" s="33"/>
      <c r="T323" s="33">
        <f>IF(R323&gt;0,IF(RIGHT(Ruimtestaat[[#This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23" s="33">
        <f>IF(T323&gt;0,VLOOKUP($J323,Ruimtegroepen[],3,FALSE)*VLOOKUP($L323,Vloersoorten[],3,FALSE)*VLOOKUP($S323,Frequenties[],3,FALSE)*VLOOKUP($A323,Locaties[],3,FALSE),0)</f>
        <v>0</v>
      </c>
      <c r="V323" s="33">
        <f>Ruimtestaat[[#This Row],[Uitvoeringen werkdagen]]*Ruimtestaat[[#This Row],[Oppervlak (netto)]]</f>
        <v>0</v>
      </c>
      <c r="W323" s="154">
        <f>IF(U323&gt;0,Ruimtestaat[[#This Row],[Prest. (m2 /jaar) werkdagen]]/Ruimtestaat[[#This Row],[Norm (m2/uur) werkdagen]],0)</f>
        <v>0</v>
      </c>
      <c r="X323" s="155">
        <f>Ruimtestaat[[#This Row],[uren / jaar werkdagen]]*Tariefsopbouw!$E$35</f>
        <v>0</v>
      </c>
      <c r="Y323" s="33"/>
      <c r="Z323" s="33">
        <f>IF(Ruimtestaat[[#This Row],[Frequentie weekend]]&gt;0,VALUE(LEFT(Y323,1))*R323,0)</f>
        <v>0</v>
      </c>
      <c r="AA323" s="97">
        <f>IF($Z323&gt;0,VLOOKUP($J323,Ruimtegroepen[],3,FALSE)*VLOOKUP($L323,Vloersoorten[],3,FALSE)*VLOOKUP($Y323,Frequenties[],3,FALSE)*VLOOKUP(Ruimtestaat[[#This Row],[Code]],Locaties[],3,FALSE),0)</f>
        <v>0</v>
      </c>
      <c r="AB323" s="97">
        <f>Ruimtestaat[[#This Row],[Uitvoeringen weekend]]*Ruimtestaat[[#This Row],[Oppervlak (netto)]]</f>
        <v>0</v>
      </c>
      <c r="AC323" s="97">
        <f>IF(AA323&gt;0,Ruimtestaat[[#This Row],[Prest. (m2 /jaar) weekend]]/Ruimtestaat[[#This Row],[Norm (m2/uur) weekend]],0)</f>
        <v>0</v>
      </c>
      <c r="AD323" s="155">
        <f>Ruimtestaat[[#This Row],[uren / jaar weekend]]*Tariefsopbouw!$D$40</f>
        <v>0</v>
      </c>
      <c r="AE323" s="154">
        <f>Ruimtestaat[[#This Row],[Prest. (m2 /jaar) weekend]]+Ruimtestaat[[#This Row],[Prest. (m2 /jaar) werkdagen]]</f>
        <v>0</v>
      </c>
      <c r="AF323" s="154">
        <f>Ruimtestaat[[#This Row],[uren / jaar weekend]]+Ruimtestaat[[#This Row],[uren / jaar werkdagen]]</f>
        <v>0</v>
      </c>
      <c r="AG323" s="69">
        <f>Ruimtestaat[[#This Row],[kosten / jaar weekend]]+Ruimtestaat[[#This Row],[kosten / jaar werkdagen]]</f>
        <v>0</v>
      </c>
      <c r="AH323" s="69"/>
      <c r="AI323" s="256" t="str">
        <f>IF(Ruimtestaat[[#This Row],[Frequentie werkdagen]]="","",_xlfn.CONCAT(Ruimtestaat[[#This Row],[Ruimte code]],"-",Ruimtestaat[[#This Row],[Frequentie werkdagen]]," ",Ruimtestaat[[#This Row],[Vloer code]]))</f>
        <v/>
      </c>
      <c r="AJ323" s="300" t="str">
        <f>_xlfn.IFNA(VLOOKUP($AI323,Programma!$F$3:$G$1107,2,0),"")</f>
        <v/>
      </c>
      <c r="AK323" s="300" t="str">
        <f>_xlfn.IFNA(VLOOKUP($AI323,Programma!$F$3:$H$1107,3,0),"")</f>
        <v/>
      </c>
      <c r="AL323" s="300" t="str">
        <f>_xlfn.IFNA(VLOOKUP($AI323,Programma!$F$3:$I$1107,4,0),"")</f>
        <v/>
      </c>
      <c r="AM323" s="300" t="str">
        <f>_xlfn.IFNA(VLOOKUP($AI323,Programma!$F$3:$J$1107,5,0),"")</f>
        <v/>
      </c>
      <c r="AN323" s="300" t="str">
        <f>_xlfn.IFNA(VLOOKUP($AI323,Programma!$F$3:$K$1107,6,0),"")</f>
        <v/>
      </c>
      <c r="AO323" s="300" t="str">
        <f>_xlfn.IFNA(VLOOKUP($AI323,Programma!$F$3:$L$1107,7,0),"")</f>
        <v/>
      </c>
      <c r="AP323" s="300" t="str">
        <f>_xlfn.IFNA(VLOOKUP($AI323,Programma!$F$3:$M$1107,8,0),"")</f>
        <v/>
      </c>
      <c r="AQ323" s="300" t="str">
        <f>_xlfn.IFNA(VLOOKUP($AI323,Programma!$F$3:$N$1107,9,0),"")</f>
        <v/>
      </c>
      <c r="AR323" s="300" t="str">
        <f>_xlfn.IFNA(VLOOKUP($AI323,Programma!$F$3:$O$1107,10,0),"")</f>
        <v/>
      </c>
      <c r="AS323" s="300" t="str">
        <f>_xlfn.IFNA(VLOOKUP($AI323,Programma!$F$3:$P$1107,11,0),"")</f>
        <v/>
      </c>
      <c r="AT323" s="300" t="str">
        <f>_xlfn.IFNA(VLOOKUP($AI323,Programma!$F$3:$Q$1107,12,0),"")</f>
        <v/>
      </c>
      <c r="AU323" s="300" t="str">
        <f>_xlfn.IFNA(VLOOKUP($AI323,Programma!$F$3:$R$1107,13,0),"")</f>
        <v/>
      </c>
      <c r="AV323" s="300" t="str">
        <f>_xlfn.IFNA(VLOOKUP($AI323,Programma!$F$3:$S$1107,14,0),"")</f>
        <v/>
      </c>
      <c r="AW323" s="300" t="str">
        <f>_xlfn.IFNA(VLOOKUP($AI323,Programma!$F$3:$T$1107,15,0),"")</f>
        <v/>
      </c>
      <c r="AX323" s="300" t="str">
        <f>_xlfn.IFNA(VLOOKUP($AI323,Programma!$F$3:$U$1107,16,0),"")</f>
        <v/>
      </c>
      <c r="AY323" s="300" t="str">
        <f>_xlfn.IFNA(VLOOKUP($AI323,Programma!$F$3:$V$1107,17,0),"")</f>
        <v/>
      </c>
      <c r="AZ323" s="300" t="str">
        <f>_xlfn.IFNA(VLOOKUP($AI323,Programma!$F$3:$W$1107,18,0),"")</f>
        <v/>
      </c>
      <c r="BA323" s="300" t="str">
        <f>_xlfn.IFNA(VLOOKUP($AI323,Programma!$F$3:$X$1107,19,0),"")</f>
        <v/>
      </c>
      <c r="BB323" s="300" t="str">
        <f>_xlfn.IFNA(VLOOKUP($AI323,Programma!$F$3:$Y$1107,20,0),"")</f>
        <v/>
      </c>
      <c r="BC323" s="257"/>
      <c r="BD323" s="256" t="str">
        <f>IF(Ruimtestaat[[#This Row],[Frequentie weekend]]="","",_xlfn.CONCAT(Ruimtestaat[[#This Row],[Ruimte code]],"-",Ruimtestaat[[#This Row],[Frequentie weekend]]," ",Ruimtestaat[[#This Row],[Vloer code]]))</f>
        <v/>
      </c>
      <c r="BE323" s="300" t="str">
        <f>_xlfn.IFNA(VLOOKUP($BD323,Programma!$F$3:$G$1107,2,0),"")</f>
        <v/>
      </c>
      <c r="BF323" s="300" t="str">
        <f>_xlfn.IFNA(VLOOKUP($BD323,Programma!$F$3:$H$1107,3,0),"")</f>
        <v/>
      </c>
      <c r="BG323" s="300" t="str">
        <f>_xlfn.IFNA(VLOOKUP($BD323,Programma!$F$3:$I$1107,4,0),"")</f>
        <v/>
      </c>
      <c r="BH323" s="300" t="str">
        <f>_xlfn.IFNA(VLOOKUP($BD323,Programma!$F$3:$J$1107,5,0),"")</f>
        <v/>
      </c>
      <c r="BI323" s="300" t="str">
        <f>_xlfn.IFNA(VLOOKUP($BD323,Programma!$F$3:$K$1107,6,0),"")</f>
        <v/>
      </c>
      <c r="BJ323" s="300" t="str">
        <f>_xlfn.IFNA(VLOOKUP($BD323,Programma!$F$3:$L$1107,7,0),"")</f>
        <v/>
      </c>
      <c r="BK323" s="300" t="str">
        <f>_xlfn.IFNA(VLOOKUP($BD323,Programma!$F$3:$M$1107,8,0),"")</f>
        <v/>
      </c>
      <c r="BL323" s="300" t="str">
        <f>_xlfn.IFNA(VLOOKUP($BD323,Programma!$F$3:$N$1107,9,0),"")</f>
        <v/>
      </c>
      <c r="BM323" s="300" t="str">
        <f>_xlfn.IFNA(VLOOKUP($BD323,Programma!$F$3:$O$1107,10,0),"")</f>
        <v/>
      </c>
      <c r="BN323" s="300" t="str">
        <f>_xlfn.IFNA(VLOOKUP($BD323,Programma!$F$3:$P$1107,11,0),"")</f>
        <v/>
      </c>
      <c r="BO323" s="300" t="str">
        <f>_xlfn.IFNA(VLOOKUP($BD323,Programma!$F$3:$Q$1107,12,0),"")</f>
        <v/>
      </c>
      <c r="BP323" s="300" t="str">
        <f>_xlfn.IFNA(VLOOKUP($BD323,Programma!$F$3:$R$1107,13,0),"")</f>
        <v/>
      </c>
      <c r="BQ323" s="300" t="str">
        <f>_xlfn.IFNA(VLOOKUP($BD323,Programma!$F$3:$S$1107,14,0),"")</f>
        <v/>
      </c>
      <c r="BR323" s="300" t="str">
        <f>_xlfn.IFNA(VLOOKUP($BD323,Programma!$F$3:$T$1107,15,0),"")</f>
        <v/>
      </c>
      <c r="BS323" s="300" t="str">
        <f>_xlfn.IFNA(VLOOKUP($BD323,Programma!$F$3:$U$1107,16,0),"")</f>
        <v/>
      </c>
      <c r="BT323" s="300" t="str">
        <f>_xlfn.IFNA(VLOOKUP($BD323,Programma!$F$3:$V$1107,17,0),"")</f>
        <v/>
      </c>
      <c r="BU323" s="300" t="str">
        <f>_xlfn.IFNA(VLOOKUP($BD323,Programma!$F$3:$W$1107,18,0),"")</f>
        <v/>
      </c>
      <c r="BV323" s="300" t="str">
        <f>_xlfn.IFNA(VLOOKUP($BD323,Programma!$F$3:$X$1107,19,0),"")</f>
        <v/>
      </c>
      <c r="BW323" s="300" t="str">
        <f>_xlfn.IFNA(VLOOKUP($BD323,Programma!$F$3:$Y$1107,20,0),"")</f>
        <v/>
      </c>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row>
    <row r="324" spans="1:220" ht="15" customHeight="1">
      <c r="A324" s="21">
        <v>4</v>
      </c>
      <c r="B324" s="157" t="str">
        <f>VLOOKUP(Ruimtestaat[[#This Row],[Code]],Locaties[[Code]:[Locatie]],2,FALSE)</f>
        <v>Sint-Maartenscollege</v>
      </c>
      <c r="C324" s="157" t="str">
        <f>VLOOKUP(Ruimtestaat[[#This Row],[Code]],Locaties[[#All],[Code]:[Adres]],4,FALSE)</f>
        <v xml:space="preserve">Aart v.d. Leeuwkade 14 </v>
      </c>
      <c r="D324" s="157" t="str">
        <f>VLOOKUP(Ruimtestaat[[#This Row],[Code]],Locaties[[#All],[Code]:[Postcode]],5,FALSE)</f>
        <v>2274 KX</v>
      </c>
      <c r="E324" s="157" t="str">
        <f>VLOOKUP(Ruimtestaat[[#This Row],[Code]],Locaties[#All],6,FALSE)</f>
        <v>Voorburg</v>
      </c>
      <c r="F324" s="62"/>
      <c r="G324" s="21" t="s">
        <v>1784</v>
      </c>
      <c r="H324" s="21" t="s">
        <v>1984</v>
      </c>
      <c r="I324" s="62" t="s">
        <v>1640</v>
      </c>
      <c r="J324" s="21">
        <v>5</v>
      </c>
      <c r="K324" s="62" t="str">
        <f>VLOOKUP(Ruimtestaat[[#This Row],[Ruimte code]],Ruimtegroepen[[#All],[Code]:[Ruimte omschrijving]],2,FALSE)</f>
        <v>Sanitair</v>
      </c>
      <c r="L324" s="33" t="s">
        <v>102</v>
      </c>
      <c r="M324" s="367" t="s">
        <v>2502</v>
      </c>
      <c r="N324" s="140">
        <v>11</v>
      </c>
      <c r="O324" s="140"/>
      <c r="P324" s="125" t="str">
        <f>VLOOKUP(Ruimtestaat[[#This Row],[Ruimte code]],Ruimtegroepen[],4,FALSE)</f>
        <v>Sa</v>
      </c>
      <c r="R324" s="33">
        <v>40</v>
      </c>
      <c r="S324" s="33" t="s">
        <v>2</v>
      </c>
      <c r="T324" s="33">
        <f>IF(R324&gt;0,IF(RIGHT(Ruimtestaat[[#This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4" s="33">
        <f>IF(T324&gt;0,VLOOKUP($J324,Ruimtegroepen[],3,FALSE)*VLOOKUP($L324,Vloersoorten[],3,FALSE)*VLOOKUP($S324,Frequenties[],3,FALSE)*VLOOKUP($A324,Locaties[],3,FALSE),0)</f>
        <v>0</v>
      </c>
      <c r="V324" s="33">
        <f>Ruimtestaat[[#This Row],[Uitvoeringen werkdagen]]*Ruimtestaat[[#This Row],[Oppervlak (netto)]]</f>
        <v>2200</v>
      </c>
      <c r="W324" s="154">
        <f>IF(U324&gt;0,Ruimtestaat[[#This Row],[Prest. (m2 /jaar) werkdagen]]/Ruimtestaat[[#This Row],[Norm (m2/uur) werkdagen]],0)</f>
        <v>0</v>
      </c>
      <c r="X324" s="155">
        <f>Ruimtestaat[[#This Row],[uren / jaar werkdagen]]*Tariefsopbouw!$E$35</f>
        <v>0</v>
      </c>
      <c r="Y324" s="33"/>
      <c r="Z324" s="33">
        <f>IF(Ruimtestaat[[#This Row],[Frequentie weekend]]&gt;0,VALUE(LEFT(Y324,1))*R324,0)</f>
        <v>0</v>
      </c>
      <c r="AA324" s="97">
        <f>IF($Z324&gt;0,VLOOKUP($J324,Ruimtegroepen[],3,FALSE)*VLOOKUP($L324,Vloersoorten[],3,FALSE)*VLOOKUP($Y324,Frequenties[],3,FALSE)*VLOOKUP(Ruimtestaat[[#This Row],[Code]],Locaties[],3,FALSE),0)</f>
        <v>0</v>
      </c>
      <c r="AB324" s="97">
        <f>Ruimtestaat[[#This Row],[Uitvoeringen weekend]]*Ruimtestaat[[#This Row],[Oppervlak (netto)]]</f>
        <v>0</v>
      </c>
      <c r="AC324" s="97">
        <f>IF(AA324&gt;0,Ruimtestaat[[#This Row],[Prest. (m2 /jaar) weekend]]/Ruimtestaat[[#This Row],[Norm (m2/uur) weekend]],0)</f>
        <v>0</v>
      </c>
      <c r="AD324" s="155">
        <f>Ruimtestaat[[#This Row],[uren / jaar weekend]]*Tariefsopbouw!$D$40</f>
        <v>0</v>
      </c>
      <c r="AE324" s="154">
        <f>Ruimtestaat[[#This Row],[Prest. (m2 /jaar) weekend]]+Ruimtestaat[[#This Row],[Prest. (m2 /jaar) werkdagen]]</f>
        <v>2200</v>
      </c>
      <c r="AF324" s="154">
        <f>Ruimtestaat[[#This Row],[uren / jaar weekend]]+Ruimtestaat[[#This Row],[uren / jaar werkdagen]]</f>
        <v>0</v>
      </c>
      <c r="AG324" s="69">
        <f>Ruimtestaat[[#This Row],[kosten / jaar weekend]]+Ruimtestaat[[#This Row],[kosten / jaar werkdagen]]</f>
        <v>0</v>
      </c>
      <c r="AH324" s="69"/>
      <c r="AI324" s="256" t="str">
        <f>IF(Ruimtestaat[[#This Row],[Frequentie werkdagen]]="","",_xlfn.CONCAT(Ruimtestaat[[#This Row],[Ruimte code]],"-",Ruimtestaat[[#This Row],[Frequentie werkdagen]]," ",Ruimtestaat[[#This Row],[Vloer code]]))</f>
        <v>5-5w S</v>
      </c>
      <c r="AJ324" s="300" t="str">
        <f>_xlfn.IFNA(VLOOKUP($AI324,Programma!$F$3:$G$1107,2,0),"")</f>
        <v>_</v>
      </c>
      <c r="AK324" s="300" t="str">
        <f>_xlfn.IFNA(VLOOKUP($AI324,Programma!$F$3:$H$1107,3,0),"")</f>
        <v>_</v>
      </c>
      <c r="AL324" s="300" t="str">
        <f>_xlfn.IFNA(VLOOKUP($AI324,Programma!$F$3:$I$1107,4,0),"")</f>
        <v>_</v>
      </c>
      <c r="AM324" s="300" t="str">
        <f>_xlfn.IFNA(VLOOKUP($AI324,Programma!$F$3:$J$1107,5,0),"")</f>
        <v>4w</v>
      </c>
      <c r="AN324" s="300" t="str">
        <f>_xlfn.IFNA(VLOOKUP($AI324,Programma!$F$3:$K$1107,6,0),"")</f>
        <v>1w</v>
      </c>
      <c r="AO324" s="300" t="str">
        <f>_xlfn.IFNA(VLOOKUP($AI324,Programma!$F$3:$L$1107,7,0),"")</f>
        <v>_</v>
      </c>
      <c r="AP324" s="300" t="str">
        <f>_xlfn.IFNA(VLOOKUP($AI324,Programma!$F$3:$M$1107,8,0),"")</f>
        <v>_</v>
      </c>
      <c r="AQ324" s="300" t="str">
        <f>_xlfn.IFNA(VLOOKUP($AI324,Programma!$F$3:$N$1107,9,0),"")</f>
        <v>_</v>
      </c>
      <c r="AR324" s="300" t="str">
        <f>_xlfn.IFNA(VLOOKUP($AI324,Programma!$F$3:$O$1107,10,0),"")</f>
        <v>_</v>
      </c>
      <c r="AS324" s="300" t="str">
        <f>_xlfn.IFNA(VLOOKUP($AI324,Programma!$F$3:$P$1107,11,0),"")</f>
        <v>_</v>
      </c>
      <c r="AT324" s="300" t="str">
        <f>_xlfn.IFNA(VLOOKUP($AI324,Programma!$F$3:$Q$1107,12,0),"")</f>
        <v>_</v>
      </c>
      <c r="AU324" s="300" t="str">
        <f>_xlfn.IFNA(VLOOKUP($AI324,Programma!$F$3:$R$1107,13,0),"")</f>
        <v>_</v>
      </c>
      <c r="AV324" s="300" t="str">
        <f>_xlfn.IFNA(VLOOKUP($AI324,Programma!$F$3:$S$1107,14,0),"")</f>
        <v>_</v>
      </c>
      <c r="AW324" s="300" t="str">
        <f>_xlfn.IFNA(VLOOKUP($AI324,Programma!$F$3:$T$1107,15,0),"")</f>
        <v>_</v>
      </c>
      <c r="AX324" s="300" t="str">
        <f>_xlfn.IFNA(VLOOKUP($AI324,Programma!$F$3:$U$1107,16,0),"")</f>
        <v>_</v>
      </c>
      <c r="AY324" s="300" t="str">
        <f>_xlfn.IFNA(VLOOKUP($AI324,Programma!$F$3:$V$1107,17,0),"")</f>
        <v>_</v>
      </c>
      <c r="AZ324" s="300" t="str">
        <f>_xlfn.IFNA(VLOOKUP($AI324,Programma!$F$3:$W$1107,18,0),"")</f>
        <v>4w</v>
      </c>
      <c r="BA324" s="300" t="str">
        <f>_xlfn.IFNA(VLOOKUP($AI324,Programma!$F$3:$X$1107,19,0),"")</f>
        <v>1w</v>
      </c>
      <c r="BB324" s="300" t="str">
        <f>_xlfn.IFNA(VLOOKUP($AI324,Programma!$F$3:$Y$1107,20,0),"")</f>
        <v>_</v>
      </c>
      <c r="BC324" s="257"/>
      <c r="BD324" s="256" t="str">
        <f>IF(Ruimtestaat[[#This Row],[Frequentie weekend]]="","",_xlfn.CONCAT(Ruimtestaat[[#This Row],[Ruimte code]],"-",Ruimtestaat[[#This Row],[Frequentie weekend]]," ",Ruimtestaat[[#This Row],[Vloer code]]))</f>
        <v/>
      </c>
      <c r="BE324" s="300" t="str">
        <f>_xlfn.IFNA(VLOOKUP($BD324,Programma!$F$3:$G$1107,2,0),"")</f>
        <v/>
      </c>
      <c r="BF324" s="300" t="str">
        <f>_xlfn.IFNA(VLOOKUP($BD324,Programma!$F$3:$H$1107,3,0),"")</f>
        <v/>
      </c>
      <c r="BG324" s="300" t="str">
        <f>_xlfn.IFNA(VLOOKUP($BD324,Programma!$F$3:$I$1107,4,0),"")</f>
        <v/>
      </c>
      <c r="BH324" s="300" t="str">
        <f>_xlfn.IFNA(VLOOKUP($BD324,Programma!$F$3:$J$1107,5,0),"")</f>
        <v/>
      </c>
      <c r="BI324" s="300" t="str">
        <f>_xlfn.IFNA(VLOOKUP($BD324,Programma!$F$3:$K$1107,6,0),"")</f>
        <v/>
      </c>
      <c r="BJ324" s="300" t="str">
        <f>_xlfn.IFNA(VLOOKUP($BD324,Programma!$F$3:$L$1107,7,0),"")</f>
        <v/>
      </c>
      <c r="BK324" s="300" t="str">
        <f>_xlfn.IFNA(VLOOKUP($BD324,Programma!$F$3:$M$1107,8,0),"")</f>
        <v/>
      </c>
      <c r="BL324" s="300" t="str">
        <f>_xlfn.IFNA(VLOOKUP($BD324,Programma!$F$3:$N$1107,9,0),"")</f>
        <v/>
      </c>
      <c r="BM324" s="300" t="str">
        <f>_xlfn.IFNA(VLOOKUP($BD324,Programma!$F$3:$O$1107,10,0),"")</f>
        <v/>
      </c>
      <c r="BN324" s="300" t="str">
        <f>_xlfn.IFNA(VLOOKUP($BD324,Programma!$F$3:$P$1107,11,0),"")</f>
        <v/>
      </c>
      <c r="BO324" s="300" t="str">
        <f>_xlfn.IFNA(VLOOKUP($BD324,Programma!$F$3:$Q$1107,12,0),"")</f>
        <v/>
      </c>
      <c r="BP324" s="300" t="str">
        <f>_xlfn.IFNA(VLOOKUP($BD324,Programma!$F$3:$R$1107,13,0),"")</f>
        <v/>
      </c>
      <c r="BQ324" s="300" t="str">
        <f>_xlfn.IFNA(VLOOKUP($BD324,Programma!$F$3:$S$1107,14,0),"")</f>
        <v/>
      </c>
      <c r="BR324" s="300" t="str">
        <f>_xlfn.IFNA(VLOOKUP($BD324,Programma!$F$3:$T$1107,15,0),"")</f>
        <v/>
      </c>
      <c r="BS324" s="300" t="str">
        <f>_xlfn.IFNA(VLOOKUP($BD324,Programma!$F$3:$U$1107,16,0),"")</f>
        <v/>
      </c>
      <c r="BT324" s="300" t="str">
        <f>_xlfn.IFNA(VLOOKUP($BD324,Programma!$F$3:$V$1107,17,0),"")</f>
        <v/>
      </c>
      <c r="BU324" s="300" t="str">
        <f>_xlfn.IFNA(VLOOKUP($BD324,Programma!$F$3:$W$1107,18,0),"")</f>
        <v/>
      </c>
      <c r="BV324" s="300" t="str">
        <f>_xlfn.IFNA(VLOOKUP($BD324,Programma!$F$3:$X$1107,19,0),"")</f>
        <v/>
      </c>
      <c r="BW324" s="300" t="str">
        <f>_xlfn.IFNA(VLOOKUP($BD324,Programma!$F$3:$Y$1107,20,0),"")</f>
        <v/>
      </c>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row>
    <row r="325" spans="1:220" ht="15" customHeight="1">
      <c r="A325" s="21">
        <v>4</v>
      </c>
      <c r="B325" s="157" t="str">
        <f>VLOOKUP(Ruimtestaat[[#This Row],[Code]],Locaties[[Code]:[Locatie]],2,FALSE)</f>
        <v>Sint-Maartenscollege</v>
      </c>
      <c r="C325" s="157" t="str">
        <f>VLOOKUP(Ruimtestaat[[#This Row],[Code]],Locaties[[#All],[Code]:[Adres]],4,FALSE)</f>
        <v xml:space="preserve">Aart v.d. Leeuwkade 14 </v>
      </c>
      <c r="D325" s="157" t="str">
        <f>VLOOKUP(Ruimtestaat[[#This Row],[Code]],Locaties[[#All],[Code]:[Postcode]],5,FALSE)</f>
        <v>2274 KX</v>
      </c>
      <c r="E325" s="157" t="str">
        <f>VLOOKUP(Ruimtestaat[[#This Row],[Code]],Locaties[#All],6,FALSE)</f>
        <v>Voorburg</v>
      </c>
      <c r="F325" s="62"/>
      <c r="G325" s="21" t="s">
        <v>1784</v>
      </c>
      <c r="H325" s="21" t="s">
        <v>1985</v>
      </c>
      <c r="I325" s="62" t="s">
        <v>1627</v>
      </c>
      <c r="J325" s="21">
        <v>5</v>
      </c>
      <c r="K325" s="62" t="str">
        <f>VLOOKUP(Ruimtestaat[[#This Row],[Ruimte code]],Ruimtegroepen[[#All],[Code]:[Ruimte omschrijving]],2,FALSE)</f>
        <v>Sanitair</v>
      </c>
      <c r="L325" s="33" t="s">
        <v>102</v>
      </c>
      <c r="M325" s="367" t="s">
        <v>2502</v>
      </c>
      <c r="N325" s="140">
        <v>1</v>
      </c>
      <c r="O325" s="140"/>
      <c r="P325" s="125" t="str">
        <f>VLOOKUP(Ruimtestaat[[#This Row],[Ruimte code]],Ruimtegroepen[],4,FALSE)</f>
        <v>Sa</v>
      </c>
      <c r="R325" s="33">
        <v>40</v>
      </c>
      <c r="S325" s="33" t="s">
        <v>2</v>
      </c>
      <c r="T325" s="33">
        <f>IF(R325&gt;0,IF(RIGHT(Ruimtestaat[[#This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5" s="33">
        <f>IF(T325&gt;0,VLOOKUP($J325,Ruimtegroepen[],3,FALSE)*VLOOKUP($L325,Vloersoorten[],3,FALSE)*VLOOKUP($S325,Frequenties[],3,FALSE)*VLOOKUP($A325,Locaties[],3,FALSE),0)</f>
        <v>0</v>
      </c>
      <c r="V325" s="33">
        <f>Ruimtestaat[[#This Row],[Uitvoeringen werkdagen]]*Ruimtestaat[[#This Row],[Oppervlak (netto)]]</f>
        <v>200</v>
      </c>
      <c r="W325" s="154">
        <f>IF(U325&gt;0,Ruimtestaat[[#This Row],[Prest. (m2 /jaar) werkdagen]]/Ruimtestaat[[#This Row],[Norm (m2/uur) werkdagen]],0)</f>
        <v>0</v>
      </c>
      <c r="X325" s="155">
        <f>Ruimtestaat[[#This Row],[uren / jaar werkdagen]]*Tariefsopbouw!$E$35</f>
        <v>0</v>
      </c>
      <c r="Y325" s="33"/>
      <c r="Z325" s="33">
        <f>IF(Ruimtestaat[[#This Row],[Frequentie weekend]]&gt;0,VALUE(LEFT(Y325,1))*R325,0)</f>
        <v>0</v>
      </c>
      <c r="AA325" s="97">
        <f>IF($Z325&gt;0,VLOOKUP($J325,Ruimtegroepen[],3,FALSE)*VLOOKUP($L325,Vloersoorten[],3,FALSE)*VLOOKUP($Y325,Frequenties[],3,FALSE)*VLOOKUP(Ruimtestaat[[#This Row],[Code]],Locaties[],3,FALSE),0)</f>
        <v>0</v>
      </c>
      <c r="AB325" s="97">
        <f>Ruimtestaat[[#This Row],[Uitvoeringen weekend]]*Ruimtestaat[[#This Row],[Oppervlak (netto)]]</f>
        <v>0</v>
      </c>
      <c r="AC325" s="97">
        <f>IF(AA325&gt;0,Ruimtestaat[[#This Row],[Prest. (m2 /jaar) weekend]]/Ruimtestaat[[#This Row],[Norm (m2/uur) weekend]],0)</f>
        <v>0</v>
      </c>
      <c r="AD325" s="155">
        <f>Ruimtestaat[[#This Row],[uren / jaar weekend]]*Tariefsopbouw!$D$40</f>
        <v>0</v>
      </c>
      <c r="AE325" s="154">
        <f>Ruimtestaat[[#This Row],[Prest. (m2 /jaar) weekend]]+Ruimtestaat[[#This Row],[Prest. (m2 /jaar) werkdagen]]</f>
        <v>200</v>
      </c>
      <c r="AF325" s="154">
        <f>Ruimtestaat[[#This Row],[uren / jaar weekend]]+Ruimtestaat[[#This Row],[uren / jaar werkdagen]]</f>
        <v>0</v>
      </c>
      <c r="AG325" s="69">
        <f>Ruimtestaat[[#This Row],[kosten / jaar weekend]]+Ruimtestaat[[#This Row],[kosten / jaar werkdagen]]</f>
        <v>0</v>
      </c>
      <c r="AH325" s="69"/>
      <c r="AI325" s="256" t="str">
        <f>IF(Ruimtestaat[[#This Row],[Frequentie werkdagen]]="","",_xlfn.CONCAT(Ruimtestaat[[#This Row],[Ruimte code]],"-",Ruimtestaat[[#This Row],[Frequentie werkdagen]]," ",Ruimtestaat[[#This Row],[Vloer code]]))</f>
        <v>5-5w S</v>
      </c>
      <c r="AJ325" s="300" t="str">
        <f>_xlfn.IFNA(VLOOKUP($AI325,Programma!$F$3:$G$1107,2,0),"")</f>
        <v>_</v>
      </c>
      <c r="AK325" s="300" t="str">
        <f>_xlfn.IFNA(VLOOKUP($AI325,Programma!$F$3:$H$1107,3,0),"")</f>
        <v>_</v>
      </c>
      <c r="AL325" s="300" t="str">
        <f>_xlfn.IFNA(VLOOKUP($AI325,Programma!$F$3:$I$1107,4,0),"")</f>
        <v>_</v>
      </c>
      <c r="AM325" s="300" t="str">
        <f>_xlfn.IFNA(VLOOKUP($AI325,Programma!$F$3:$J$1107,5,0),"")</f>
        <v>4w</v>
      </c>
      <c r="AN325" s="300" t="str">
        <f>_xlfn.IFNA(VLOOKUP($AI325,Programma!$F$3:$K$1107,6,0),"")</f>
        <v>1w</v>
      </c>
      <c r="AO325" s="300" t="str">
        <f>_xlfn.IFNA(VLOOKUP($AI325,Programma!$F$3:$L$1107,7,0),"")</f>
        <v>_</v>
      </c>
      <c r="AP325" s="300" t="str">
        <f>_xlfn.IFNA(VLOOKUP($AI325,Programma!$F$3:$M$1107,8,0),"")</f>
        <v>_</v>
      </c>
      <c r="AQ325" s="300" t="str">
        <f>_xlfn.IFNA(VLOOKUP($AI325,Programma!$F$3:$N$1107,9,0),"")</f>
        <v>_</v>
      </c>
      <c r="AR325" s="300" t="str">
        <f>_xlfn.IFNA(VLOOKUP($AI325,Programma!$F$3:$O$1107,10,0),"")</f>
        <v>_</v>
      </c>
      <c r="AS325" s="300" t="str">
        <f>_xlfn.IFNA(VLOOKUP($AI325,Programma!$F$3:$P$1107,11,0),"")</f>
        <v>_</v>
      </c>
      <c r="AT325" s="300" t="str">
        <f>_xlfn.IFNA(VLOOKUP($AI325,Programma!$F$3:$Q$1107,12,0),"")</f>
        <v>_</v>
      </c>
      <c r="AU325" s="300" t="str">
        <f>_xlfn.IFNA(VLOOKUP($AI325,Programma!$F$3:$R$1107,13,0),"")</f>
        <v>_</v>
      </c>
      <c r="AV325" s="300" t="str">
        <f>_xlfn.IFNA(VLOOKUP($AI325,Programma!$F$3:$S$1107,14,0),"")</f>
        <v>_</v>
      </c>
      <c r="AW325" s="300" t="str">
        <f>_xlfn.IFNA(VLOOKUP($AI325,Programma!$F$3:$T$1107,15,0),"")</f>
        <v>_</v>
      </c>
      <c r="AX325" s="300" t="str">
        <f>_xlfn.IFNA(VLOOKUP($AI325,Programma!$F$3:$U$1107,16,0),"")</f>
        <v>_</v>
      </c>
      <c r="AY325" s="300" t="str">
        <f>_xlfn.IFNA(VLOOKUP($AI325,Programma!$F$3:$V$1107,17,0),"")</f>
        <v>_</v>
      </c>
      <c r="AZ325" s="300" t="str">
        <f>_xlfn.IFNA(VLOOKUP($AI325,Programma!$F$3:$W$1107,18,0),"")</f>
        <v>4w</v>
      </c>
      <c r="BA325" s="300" t="str">
        <f>_xlfn.IFNA(VLOOKUP($AI325,Programma!$F$3:$X$1107,19,0),"")</f>
        <v>1w</v>
      </c>
      <c r="BB325" s="300" t="str">
        <f>_xlfn.IFNA(VLOOKUP($AI325,Programma!$F$3:$Y$1107,20,0),"")</f>
        <v>_</v>
      </c>
      <c r="BC325" s="257"/>
      <c r="BD325" s="256" t="str">
        <f>IF(Ruimtestaat[[#This Row],[Frequentie weekend]]="","",_xlfn.CONCAT(Ruimtestaat[[#This Row],[Ruimte code]],"-",Ruimtestaat[[#This Row],[Frequentie weekend]]," ",Ruimtestaat[[#This Row],[Vloer code]]))</f>
        <v/>
      </c>
      <c r="BE325" s="300" t="str">
        <f>_xlfn.IFNA(VLOOKUP($BD325,Programma!$F$3:$G$1107,2,0),"")</f>
        <v/>
      </c>
      <c r="BF325" s="300" t="str">
        <f>_xlfn.IFNA(VLOOKUP($BD325,Programma!$F$3:$H$1107,3,0),"")</f>
        <v/>
      </c>
      <c r="BG325" s="300" t="str">
        <f>_xlfn.IFNA(VLOOKUP($BD325,Programma!$F$3:$I$1107,4,0),"")</f>
        <v/>
      </c>
      <c r="BH325" s="300" t="str">
        <f>_xlfn.IFNA(VLOOKUP($BD325,Programma!$F$3:$J$1107,5,0),"")</f>
        <v/>
      </c>
      <c r="BI325" s="300" t="str">
        <f>_xlfn.IFNA(VLOOKUP($BD325,Programma!$F$3:$K$1107,6,0),"")</f>
        <v/>
      </c>
      <c r="BJ325" s="300" t="str">
        <f>_xlfn.IFNA(VLOOKUP($BD325,Programma!$F$3:$L$1107,7,0),"")</f>
        <v/>
      </c>
      <c r="BK325" s="300" t="str">
        <f>_xlfn.IFNA(VLOOKUP($BD325,Programma!$F$3:$M$1107,8,0),"")</f>
        <v/>
      </c>
      <c r="BL325" s="300" t="str">
        <f>_xlfn.IFNA(VLOOKUP($BD325,Programma!$F$3:$N$1107,9,0),"")</f>
        <v/>
      </c>
      <c r="BM325" s="300" t="str">
        <f>_xlfn.IFNA(VLOOKUP($BD325,Programma!$F$3:$O$1107,10,0),"")</f>
        <v/>
      </c>
      <c r="BN325" s="300" t="str">
        <f>_xlfn.IFNA(VLOOKUP($BD325,Programma!$F$3:$P$1107,11,0),"")</f>
        <v/>
      </c>
      <c r="BO325" s="300" t="str">
        <f>_xlfn.IFNA(VLOOKUP($BD325,Programma!$F$3:$Q$1107,12,0),"")</f>
        <v/>
      </c>
      <c r="BP325" s="300" t="str">
        <f>_xlfn.IFNA(VLOOKUP($BD325,Programma!$F$3:$R$1107,13,0),"")</f>
        <v/>
      </c>
      <c r="BQ325" s="300" t="str">
        <f>_xlfn.IFNA(VLOOKUP($BD325,Programma!$F$3:$S$1107,14,0),"")</f>
        <v/>
      </c>
      <c r="BR325" s="300" t="str">
        <f>_xlfn.IFNA(VLOOKUP($BD325,Programma!$F$3:$T$1107,15,0),"")</f>
        <v/>
      </c>
      <c r="BS325" s="300" t="str">
        <f>_xlfn.IFNA(VLOOKUP($BD325,Programma!$F$3:$U$1107,16,0),"")</f>
        <v/>
      </c>
      <c r="BT325" s="300" t="str">
        <f>_xlfn.IFNA(VLOOKUP($BD325,Programma!$F$3:$V$1107,17,0),"")</f>
        <v/>
      </c>
      <c r="BU325" s="300" t="str">
        <f>_xlfn.IFNA(VLOOKUP($BD325,Programma!$F$3:$W$1107,18,0),"")</f>
        <v/>
      </c>
      <c r="BV325" s="300" t="str">
        <f>_xlfn.IFNA(VLOOKUP($BD325,Programma!$F$3:$X$1107,19,0),"")</f>
        <v/>
      </c>
      <c r="BW325" s="300" t="str">
        <f>_xlfn.IFNA(VLOOKUP($BD325,Programma!$F$3:$Y$1107,20,0),"")</f>
        <v/>
      </c>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row>
    <row r="326" spans="1:220" ht="15" customHeight="1">
      <c r="A326" s="21">
        <v>4</v>
      </c>
      <c r="B326" s="157" t="str">
        <f>VLOOKUP(Ruimtestaat[[#This Row],[Code]],Locaties[[Code]:[Locatie]],2,FALSE)</f>
        <v>Sint-Maartenscollege</v>
      </c>
      <c r="C326" s="157" t="str">
        <f>VLOOKUP(Ruimtestaat[[#This Row],[Code]],Locaties[[#All],[Code]:[Adres]],4,FALSE)</f>
        <v xml:space="preserve">Aart v.d. Leeuwkade 14 </v>
      </c>
      <c r="D326" s="157" t="str">
        <f>VLOOKUP(Ruimtestaat[[#This Row],[Code]],Locaties[[#All],[Code]:[Postcode]],5,FALSE)</f>
        <v>2274 KX</v>
      </c>
      <c r="E326" s="157" t="str">
        <f>VLOOKUP(Ruimtestaat[[#This Row],[Code]],Locaties[#All],6,FALSE)</f>
        <v>Voorburg</v>
      </c>
      <c r="F326" s="62"/>
      <c r="G326" s="21" t="s">
        <v>1784</v>
      </c>
      <c r="H326" s="21" t="s">
        <v>1986</v>
      </c>
      <c r="I326" s="62" t="s">
        <v>1631</v>
      </c>
      <c r="J326" s="21">
        <v>2</v>
      </c>
      <c r="K326" s="62" t="str">
        <f>VLOOKUP(Ruimtestaat[[#This Row],[Ruimte code]],Ruimtegroepen[[#All],[Code]:[Ruimte omschrijving]],2,FALSE)</f>
        <v>Kantoren</v>
      </c>
      <c r="L326" s="33" t="s">
        <v>101</v>
      </c>
      <c r="M326" s="367" t="s">
        <v>2495</v>
      </c>
      <c r="N326" s="140">
        <v>11</v>
      </c>
      <c r="O326" s="140"/>
      <c r="P326" s="125" t="str">
        <f>VLOOKUP(Ruimtestaat[[#This Row],[Ruimte code]],Ruimtegroepen[],4,FALSE)</f>
        <v>Bu</v>
      </c>
      <c r="R326" s="33">
        <v>42</v>
      </c>
      <c r="S326" s="33" t="s">
        <v>18</v>
      </c>
      <c r="T326" s="33">
        <f>IF(R326&gt;0,IF(RIGHT(Ruimtestaat[[#This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26" s="33">
        <f>IF(T326&gt;0,VLOOKUP($J326,Ruimtegroepen[],3,FALSE)*VLOOKUP($L326,Vloersoorten[],3,FALSE)*VLOOKUP($S326,Frequenties[],3,FALSE)*VLOOKUP($A326,Locaties[],3,FALSE),0)</f>
        <v>0</v>
      </c>
      <c r="V326" s="33">
        <f>Ruimtestaat[[#This Row],[Uitvoeringen werkdagen]]*Ruimtestaat[[#This Row],[Oppervlak (netto)]]</f>
        <v>1386</v>
      </c>
      <c r="W326" s="154">
        <f>IF(U326&gt;0,Ruimtestaat[[#This Row],[Prest. (m2 /jaar) werkdagen]]/Ruimtestaat[[#This Row],[Norm (m2/uur) werkdagen]],0)</f>
        <v>0</v>
      </c>
      <c r="X326" s="155">
        <f>Ruimtestaat[[#This Row],[uren / jaar werkdagen]]*Tariefsopbouw!$E$35</f>
        <v>0</v>
      </c>
      <c r="Y326" s="33"/>
      <c r="Z326" s="33">
        <f>IF(Ruimtestaat[[#This Row],[Frequentie weekend]]&gt;0,VALUE(LEFT(Y326,1))*R326,0)</f>
        <v>0</v>
      </c>
      <c r="AA326" s="97">
        <f>IF($Z326&gt;0,VLOOKUP($J326,Ruimtegroepen[],3,FALSE)*VLOOKUP($L326,Vloersoorten[],3,FALSE)*VLOOKUP($Y326,Frequenties[],3,FALSE)*VLOOKUP(Ruimtestaat[[#This Row],[Code]],Locaties[],3,FALSE),0)</f>
        <v>0</v>
      </c>
      <c r="AB326" s="97">
        <f>Ruimtestaat[[#This Row],[Uitvoeringen weekend]]*Ruimtestaat[[#This Row],[Oppervlak (netto)]]</f>
        <v>0</v>
      </c>
      <c r="AC326" s="97">
        <f>IF(AA326&gt;0,Ruimtestaat[[#This Row],[Prest. (m2 /jaar) weekend]]/Ruimtestaat[[#This Row],[Norm (m2/uur) weekend]],0)</f>
        <v>0</v>
      </c>
      <c r="AD326" s="155">
        <f>Ruimtestaat[[#This Row],[uren / jaar weekend]]*Tariefsopbouw!$D$40</f>
        <v>0</v>
      </c>
      <c r="AE326" s="154">
        <f>Ruimtestaat[[#This Row],[Prest. (m2 /jaar) weekend]]+Ruimtestaat[[#This Row],[Prest. (m2 /jaar) werkdagen]]</f>
        <v>1386</v>
      </c>
      <c r="AF326" s="154">
        <f>Ruimtestaat[[#This Row],[uren / jaar weekend]]+Ruimtestaat[[#This Row],[uren / jaar werkdagen]]</f>
        <v>0</v>
      </c>
      <c r="AG326" s="69">
        <f>Ruimtestaat[[#This Row],[kosten / jaar weekend]]+Ruimtestaat[[#This Row],[kosten / jaar werkdagen]]</f>
        <v>0</v>
      </c>
      <c r="AH326" s="69"/>
      <c r="AI326" s="256" t="str">
        <f>IF(Ruimtestaat[[#This Row],[Frequentie werkdagen]]="","",_xlfn.CONCAT(Ruimtestaat[[#This Row],[Ruimte code]],"-",Ruimtestaat[[#This Row],[Frequentie werkdagen]]," ",Ruimtestaat[[#This Row],[Vloer code]]))</f>
        <v>2-3w L</v>
      </c>
      <c r="AJ326" s="300" t="str">
        <f>_xlfn.IFNA(VLOOKUP($AI326,Programma!$F$3:$G$1107,2,0),"")</f>
        <v>_</v>
      </c>
      <c r="AK326" s="300" t="str">
        <f>_xlfn.IFNA(VLOOKUP($AI326,Programma!$F$3:$H$1107,3,0),"")</f>
        <v>_</v>
      </c>
      <c r="AL326" s="300" t="str">
        <f>_xlfn.IFNA(VLOOKUP($AI326,Programma!$F$3:$I$1107,4,0),"")</f>
        <v>2w</v>
      </c>
      <c r="AM326" s="300" t="str">
        <f>_xlfn.IFNA(VLOOKUP($AI326,Programma!$F$3:$J$1107,5,0),"")</f>
        <v>1w</v>
      </c>
      <c r="AN326" s="300" t="str">
        <f>_xlfn.IFNA(VLOOKUP($AI326,Programma!$F$3:$K$1107,6,0),"")</f>
        <v>_</v>
      </c>
      <c r="AO326" s="300" t="str">
        <f>_xlfn.IFNA(VLOOKUP($AI326,Programma!$F$3:$L$1107,7,0),"")</f>
        <v>_</v>
      </c>
      <c r="AP326" s="300" t="str">
        <f>_xlfn.IFNA(VLOOKUP($AI326,Programma!$F$3:$M$1107,8,0),"")</f>
        <v>_</v>
      </c>
      <c r="AQ326" s="300" t="str">
        <f>_xlfn.IFNA(VLOOKUP($AI326,Programma!$F$3:$N$1107,9,0),"")</f>
        <v>_</v>
      </c>
      <c r="AR326" s="300" t="str">
        <f>_xlfn.IFNA(VLOOKUP($AI326,Programma!$F$3:$O$1107,10,0),"")</f>
        <v>3w</v>
      </c>
      <c r="AS326" s="300" t="str">
        <f>_xlfn.IFNA(VLOOKUP($AI326,Programma!$F$3:$P$1107,11,0),"")</f>
        <v>3w</v>
      </c>
      <c r="AT326" s="300" t="str">
        <f>_xlfn.IFNA(VLOOKUP($AI326,Programma!$F$3:$Q$1107,12,0),"")</f>
        <v>1w</v>
      </c>
      <c r="AU326" s="300" t="str">
        <f>_xlfn.IFNA(VLOOKUP($AI326,Programma!$F$3:$R$1107,13,0),"")</f>
        <v>1w</v>
      </c>
      <c r="AV326" s="300" t="str">
        <f>_xlfn.IFNA(VLOOKUP($AI326,Programma!$F$3:$S$1107,14,0),"")</f>
        <v>1m</v>
      </c>
      <c r="AW326" s="300" t="str">
        <f>_xlfn.IFNA(VLOOKUP($AI326,Programma!$F$3:$T$1107,15,0),"")</f>
        <v>2j</v>
      </c>
      <c r="AX326" s="300" t="str">
        <f>_xlfn.IFNA(VLOOKUP($AI326,Programma!$F$3:$U$1107,16,0),"")</f>
        <v>1j</v>
      </c>
      <c r="AY326" s="300" t="str">
        <f>_xlfn.IFNA(VLOOKUP($AI326,Programma!$F$3:$V$1107,17,0),"")</f>
        <v>_</v>
      </c>
      <c r="AZ326" s="300" t="str">
        <f>_xlfn.IFNA(VLOOKUP($AI326,Programma!$F$3:$W$1107,18,0),"")</f>
        <v>_</v>
      </c>
      <c r="BA326" s="300" t="str">
        <f>_xlfn.IFNA(VLOOKUP($AI326,Programma!$F$3:$X$1107,19,0),"")</f>
        <v>_</v>
      </c>
      <c r="BB326" s="300" t="str">
        <f>_xlfn.IFNA(VLOOKUP($AI326,Programma!$F$3:$Y$1107,20,0),"")</f>
        <v>_</v>
      </c>
      <c r="BC326" s="257"/>
      <c r="BD326" s="256" t="str">
        <f>IF(Ruimtestaat[[#This Row],[Frequentie weekend]]="","",_xlfn.CONCAT(Ruimtestaat[[#This Row],[Ruimte code]],"-",Ruimtestaat[[#This Row],[Frequentie weekend]]," ",Ruimtestaat[[#This Row],[Vloer code]]))</f>
        <v/>
      </c>
      <c r="BE326" s="300" t="str">
        <f>_xlfn.IFNA(VLOOKUP($BD326,Programma!$F$3:$G$1107,2,0),"")</f>
        <v/>
      </c>
      <c r="BF326" s="300" t="str">
        <f>_xlfn.IFNA(VLOOKUP($BD326,Programma!$F$3:$H$1107,3,0),"")</f>
        <v/>
      </c>
      <c r="BG326" s="300" t="str">
        <f>_xlfn.IFNA(VLOOKUP($BD326,Programma!$F$3:$I$1107,4,0),"")</f>
        <v/>
      </c>
      <c r="BH326" s="300" t="str">
        <f>_xlfn.IFNA(VLOOKUP($BD326,Programma!$F$3:$J$1107,5,0),"")</f>
        <v/>
      </c>
      <c r="BI326" s="300" t="str">
        <f>_xlfn.IFNA(VLOOKUP($BD326,Programma!$F$3:$K$1107,6,0),"")</f>
        <v/>
      </c>
      <c r="BJ326" s="300" t="str">
        <f>_xlfn.IFNA(VLOOKUP($BD326,Programma!$F$3:$L$1107,7,0),"")</f>
        <v/>
      </c>
      <c r="BK326" s="300" t="str">
        <f>_xlfn.IFNA(VLOOKUP($BD326,Programma!$F$3:$M$1107,8,0),"")</f>
        <v/>
      </c>
      <c r="BL326" s="300" t="str">
        <f>_xlfn.IFNA(VLOOKUP($BD326,Programma!$F$3:$N$1107,9,0),"")</f>
        <v/>
      </c>
      <c r="BM326" s="300" t="str">
        <f>_xlfn.IFNA(VLOOKUP($BD326,Programma!$F$3:$O$1107,10,0),"")</f>
        <v/>
      </c>
      <c r="BN326" s="300" t="str">
        <f>_xlfn.IFNA(VLOOKUP($BD326,Programma!$F$3:$P$1107,11,0),"")</f>
        <v/>
      </c>
      <c r="BO326" s="300" t="str">
        <f>_xlfn.IFNA(VLOOKUP($BD326,Programma!$F$3:$Q$1107,12,0),"")</f>
        <v/>
      </c>
      <c r="BP326" s="300" t="str">
        <f>_xlfn.IFNA(VLOOKUP($BD326,Programma!$F$3:$R$1107,13,0),"")</f>
        <v/>
      </c>
      <c r="BQ326" s="300" t="str">
        <f>_xlfn.IFNA(VLOOKUP($BD326,Programma!$F$3:$S$1107,14,0),"")</f>
        <v/>
      </c>
      <c r="BR326" s="300" t="str">
        <f>_xlfn.IFNA(VLOOKUP($BD326,Programma!$F$3:$T$1107,15,0),"")</f>
        <v/>
      </c>
      <c r="BS326" s="300" t="str">
        <f>_xlfn.IFNA(VLOOKUP($BD326,Programma!$F$3:$U$1107,16,0),"")</f>
        <v/>
      </c>
      <c r="BT326" s="300" t="str">
        <f>_xlfn.IFNA(VLOOKUP($BD326,Programma!$F$3:$V$1107,17,0),"")</f>
        <v/>
      </c>
      <c r="BU326" s="300" t="str">
        <f>_xlfn.IFNA(VLOOKUP($BD326,Programma!$F$3:$W$1107,18,0),"")</f>
        <v/>
      </c>
      <c r="BV326" s="300" t="str">
        <f>_xlfn.IFNA(VLOOKUP($BD326,Programma!$F$3:$X$1107,19,0),"")</f>
        <v/>
      </c>
      <c r="BW326" s="300" t="str">
        <f>_xlfn.IFNA(VLOOKUP($BD326,Programma!$F$3:$Y$1107,20,0),"")</f>
        <v/>
      </c>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row>
    <row r="327" spans="1:220" ht="15" customHeight="1">
      <c r="A327" s="21">
        <v>4</v>
      </c>
      <c r="B327" s="157" t="str">
        <f>VLOOKUP(Ruimtestaat[[#This Row],[Code]],Locaties[[Code]:[Locatie]],2,FALSE)</f>
        <v>Sint-Maartenscollege</v>
      </c>
      <c r="C327" s="157" t="str">
        <f>VLOOKUP(Ruimtestaat[[#This Row],[Code]],Locaties[[#All],[Code]:[Adres]],4,FALSE)</f>
        <v xml:space="preserve">Aart v.d. Leeuwkade 14 </v>
      </c>
      <c r="D327" s="157" t="str">
        <f>VLOOKUP(Ruimtestaat[[#This Row],[Code]],Locaties[[#All],[Code]:[Postcode]],5,FALSE)</f>
        <v>2274 KX</v>
      </c>
      <c r="E327" s="157" t="str">
        <f>VLOOKUP(Ruimtestaat[[#This Row],[Code]],Locaties[#All],6,FALSE)</f>
        <v>Voorburg</v>
      </c>
      <c r="F327" s="62"/>
      <c r="G327" s="21" t="s">
        <v>1784</v>
      </c>
      <c r="H327" s="21" t="s">
        <v>1987</v>
      </c>
      <c r="I327" s="62" t="s">
        <v>1988</v>
      </c>
      <c r="J327" s="21">
        <v>20</v>
      </c>
      <c r="K327" s="62" t="str">
        <f>VLOOKUP(Ruimtestaat[[#This Row],[Ruimte code]],Ruimtegroepen[[#All],[Code]:[Ruimte omschrijving]],2,FALSE)</f>
        <v>Niet in Onderhoud</v>
      </c>
      <c r="L327" s="33" t="s">
        <v>100</v>
      </c>
      <c r="M327" s="367" t="s">
        <v>2493</v>
      </c>
      <c r="N327" s="140"/>
      <c r="O327" s="140">
        <v>45</v>
      </c>
      <c r="P327" s="125">
        <f>VLOOKUP(Ruimtestaat[[#This Row],[Ruimte code]],Ruimtegroepen[],4,FALSE)</f>
        <v>0</v>
      </c>
      <c r="R327" s="33"/>
      <c r="S327" s="33"/>
      <c r="T327" s="33">
        <f>IF(R327&gt;0,IF(RIGHT(Ruimtestaat[[#This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27" s="33">
        <f>IF(T327&gt;0,VLOOKUP($J327,Ruimtegroepen[],3,FALSE)*VLOOKUP($L327,Vloersoorten[],3,FALSE)*VLOOKUP($S327,Frequenties[],3,FALSE)*VLOOKUP($A327,Locaties[],3,FALSE),0)</f>
        <v>0</v>
      </c>
      <c r="V327" s="33">
        <f>Ruimtestaat[[#This Row],[Uitvoeringen werkdagen]]*Ruimtestaat[[#This Row],[Oppervlak (netto)]]</f>
        <v>0</v>
      </c>
      <c r="W327" s="154">
        <f>IF(U327&gt;0,Ruimtestaat[[#This Row],[Prest. (m2 /jaar) werkdagen]]/Ruimtestaat[[#This Row],[Norm (m2/uur) werkdagen]],0)</f>
        <v>0</v>
      </c>
      <c r="X327" s="155">
        <f>Ruimtestaat[[#This Row],[uren / jaar werkdagen]]*Tariefsopbouw!$E$35</f>
        <v>0</v>
      </c>
      <c r="Y327" s="33"/>
      <c r="Z327" s="33">
        <f>IF(Ruimtestaat[[#This Row],[Frequentie weekend]]&gt;0,VALUE(LEFT(Y327,1))*R327,0)</f>
        <v>0</v>
      </c>
      <c r="AA327" s="97">
        <f>IF($Z327&gt;0,VLOOKUP($J327,Ruimtegroepen[],3,FALSE)*VLOOKUP($L327,Vloersoorten[],3,FALSE)*VLOOKUP($Y327,Frequenties[],3,FALSE)*VLOOKUP(Ruimtestaat[[#This Row],[Code]],Locaties[],3,FALSE),0)</f>
        <v>0</v>
      </c>
      <c r="AB327" s="97">
        <f>Ruimtestaat[[#This Row],[Uitvoeringen weekend]]*Ruimtestaat[[#This Row],[Oppervlak (netto)]]</f>
        <v>0</v>
      </c>
      <c r="AC327" s="97">
        <f>IF(AA327&gt;0,Ruimtestaat[[#This Row],[Prest. (m2 /jaar) weekend]]/Ruimtestaat[[#This Row],[Norm (m2/uur) weekend]],0)</f>
        <v>0</v>
      </c>
      <c r="AD327" s="155">
        <f>Ruimtestaat[[#This Row],[uren / jaar weekend]]*Tariefsopbouw!$D$40</f>
        <v>0</v>
      </c>
      <c r="AE327" s="154">
        <f>Ruimtestaat[[#This Row],[Prest. (m2 /jaar) weekend]]+Ruimtestaat[[#This Row],[Prest. (m2 /jaar) werkdagen]]</f>
        <v>0</v>
      </c>
      <c r="AF327" s="154">
        <f>Ruimtestaat[[#This Row],[uren / jaar weekend]]+Ruimtestaat[[#This Row],[uren / jaar werkdagen]]</f>
        <v>0</v>
      </c>
      <c r="AG327" s="69">
        <f>Ruimtestaat[[#This Row],[kosten / jaar weekend]]+Ruimtestaat[[#This Row],[kosten / jaar werkdagen]]</f>
        <v>0</v>
      </c>
      <c r="AH327" s="69"/>
      <c r="AI327" s="256" t="str">
        <f>IF(Ruimtestaat[[#This Row],[Frequentie werkdagen]]="","",_xlfn.CONCAT(Ruimtestaat[[#This Row],[Ruimte code]],"-",Ruimtestaat[[#This Row],[Frequentie werkdagen]]," ",Ruimtestaat[[#This Row],[Vloer code]]))</f>
        <v/>
      </c>
      <c r="AJ327" s="300" t="str">
        <f>_xlfn.IFNA(VLOOKUP($AI327,Programma!$F$3:$G$1107,2,0),"")</f>
        <v/>
      </c>
      <c r="AK327" s="300" t="str">
        <f>_xlfn.IFNA(VLOOKUP($AI327,Programma!$F$3:$H$1107,3,0),"")</f>
        <v/>
      </c>
      <c r="AL327" s="300" t="str">
        <f>_xlfn.IFNA(VLOOKUP($AI327,Programma!$F$3:$I$1107,4,0),"")</f>
        <v/>
      </c>
      <c r="AM327" s="300" t="str">
        <f>_xlfn.IFNA(VLOOKUP($AI327,Programma!$F$3:$J$1107,5,0),"")</f>
        <v/>
      </c>
      <c r="AN327" s="300" t="str">
        <f>_xlfn.IFNA(VLOOKUP($AI327,Programma!$F$3:$K$1107,6,0),"")</f>
        <v/>
      </c>
      <c r="AO327" s="300" t="str">
        <f>_xlfn.IFNA(VLOOKUP($AI327,Programma!$F$3:$L$1107,7,0),"")</f>
        <v/>
      </c>
      <c r="AP327" s="300" t="str">
        <f>_xlfn.IFNA(VLOOKUP($AI327,Programma!$F$3:$M$1107,8,0),"")</f>
        <v/>
      </c>
      <c r="AQ327" s="300" t="str">
        <f>_xlfn.IFNA(VLOOKUP($AI327,Programma!$F$3:$N$1107,9,0),"")</f>
        <v/>
      </c>
      <c r="AR327" s="300" t="str">
        <f>_xlfn.IFNA(VLOOKUP($AI327,Programma!$F$3:$O$1107,10,0),"")</f>
        <v/>
      </c>
      <c r="AS327" s="300" t="str">
        <f>_xlfn.IFNA(VLOOKUP($AI327,Programma!$F$3:$P$1107,11,0),"")</f>
        <v/>
      </c>
      <c r="AT327" s="300" t="str">
        <f>_xlfn.IFNA(VLOOKUP($AI327,Programma!$F$3:$Q$1107,12,0),"")</f>
        <v/>
      </c>
      <c r="AU327" s="300" t="str">
        <f>_xlfn.IFNA(VLOOKUP($AI327,Programma!$F$3:$R$1107,13,0),"")</f>
        <v/>
      </c>
      <c r="AV327" s="300" t="str">
        <f>_xlfn.IFNA(VLOOKUP($AI327,Programma!$F$3:$S$1107,14,0),"")</f>
        <v/>
      </c>
      <c r="AW327" s="300" t="str">
        <f>_xlfn.IFNA(VLOOKUP($AI327,Programma!$F$3:$T$1107,15,0),"")</f>
        <v/>
      </c>
      <c r="AX327" s="300" t="str">
        <f>_xlfn.IFNA(VLOOKUP($AI327,Programma!$F$3:$U$1107,16,0),"")</f>
        <v/>
      </c>
      <c r="AY327" s="300" t="str">
        <f>_xlfn.IFNA(VLOOKUP($AI327,Programma!$F$3:$V$1107,17,0),"")</f>
        <v/>
      </c>
      <c r="AZ327" s="300" t="str">
        <f>_xlfn.IFNA(VLOOKUP($AI327,Programma!$F$3:$W$1107,18,0),"")</f>
        <v/>
      </c>
      <c r="BA327" s="300" t="str">
        <f>_xlfn.IFNA(VLOOKUP($AI327,Programma!$F$3:$X$1107,19,0),"")</f>
        <v/>
      </c>
      <c r="BB327" s="300" t="str">
        <f>_xlfn.IFNA(VLOOKUP($AI327,Programma!$F$3:$Y$1107,20,0),"")</f>
        <v/>
      </c>
      <c r="BC327" s="257"/>
      <c r="BD327" s="256" t="str">
        <f>IF(Ruimtestaat[[#This Row],[Frequentie weekend]]="","",_xlfn.CONCAT(Ruimtestaat[[#This Row],[Ruimte code]],"-",Ruimtestaat[[#This Row],[Frequentie weekend]]," ",Ruimtestaat[[#This Row],[Vloer code]]))</f>
        <v/>
      </c>
      <c r="BE327" s="300" t="str">
        <f>_xlfn.IFNA(VLOOKUP($BD327,Programma!$F$3:$G$1107,2,0),"")</f>
        <v/>
      </c>
      <c r="BF327" s="300" t="str">
        <f>_xlfn.IFNA(VLOOKUP($BD327,Programma!$F$3:$H$1107,3,0),"")</f>
        <v/>
      </c>
      <c r="BG327" s="300" t="str">
        <f>_xlfn.IFNA(VLOOKUP($BD327,Programma!$F$3:$I$1107,4,0),"")</f>
        <v/>
      </c>
      <c r="BH327" s="300" t="str">
        <f>_xlfn.IFNA(VLOOKUP($BD327,Programma!$F$3:$J$1107,5,0),"")</f>
        <v/>
      </c>
      <c r="BI327" s="300" t="str">
        <f>_xlfn.IFNA(VLOOKUP($BD327,Programma!$F$3:$K$1107,6,0),"")</f>
        <v/>
      </c>
      <c r="BJ327" s="300" t="str">
        <f>_xlfn.IFNA(VLOOKUP($BD327,Programma!$F$3:$L$1107,7,0),"")</f>
        <v/>
      </c>
      <c r="BK327" s="300" t="str">
        <f>_xlfn.IFNA(VLOOKUP($BD327,Programma!$F$3:$M$1107,8,0),"")</f>
        <v/>
      </c>
      <c r="BL327" s="300" t="str">
        <f>_xlfn.IFNA(VLOOKUP($BD327,Programma!$F$3:$N$1107,9,0),"")</f>
        <v/>
      </c>
      <c r="BM327" s="300" t="str">
        <f>_xlfn.IFNA(VLOOKUP($BD327,Programma!$F$3:$O$1107,10,0),"")</f>
        <v/>
      </c>
      <c r="BN327" s="300" t="str">
        <f>_xlfn.IFNA(VLOOKUP($BD327,Programma!$F$3:$P$1107,11,0),"")</f>
        <v/>
      </c>
      <c r="BO327" s="300" t="str">
        <f>_xlfn.IFNA(VLOOKUP($BD327,Programma!$F$3:$Q$1107,12,0),"")</f>
        <v/>
      </c>
      <c r="BP327" s="300" t="str">
        <f>_xlfn.IFNA(VLOOKUP($BD327,Programma!$F$3:$R$1107,13,0),"")</f>
        <v/>
      </c>
      <c r="BQ327" s="300" t="str">
        <f>_xlfn.IFNA(VLOOKUP($BD327,Programma!$F$3:$S$1107,14,0),"")</f>
        <v/>
      </c>
      <c r="BR327" s="300" t="str">
        <f>_xlfn.IFNA(VLOOKUP($BD327,Programma!$F$3:$T$1107,15,0),"")</f>
        <v/>
      </c>
      <c r="BS327" s="300" t="str">
        <f>_xlfn.IFNA(VLOOKUP($BD327,Programma!$F$3:$U$1107,16,0),"")</f>
        <v/>
      </c>
      <c r="BT327" s="300" t="str">
        <f>_xlfn.IFNA(VLOOKUP($BD327,Programma!$F$3:$V$1107,17,0),"")</f>
        <v/>
      </c>
      <c r="BU327" s="300" t="str">
        <f>_xlfn.IFNA(VLOOKUP($BD327,Programma!$F$3:$W$1107,18,0),"")</f>
        <v/>
      </c>
      <c r="BV327" s="300" t="str">
        <f>_xlfn.IFNA(VLOOKUP($BD327,Programma!$F$3:$X$1107,19,0),"")</f>
        <v/>
      </c>
      <c r="BW327" s="300" t="str">
        <f>_xlfn.IFNA(VLOOKUP($BD327,Programma!$F$3:$Y$1107,20,0),"")</f>
        <v/>
      </c>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row>
    <row r="328" spans="1:220" ht="15" customHeight="1">
      <c r="A328" s="21">
        <v>4</v>
      </c>
      <c r="B328" s="157" t="str">
        <f>VLOOKUP(Ruimtestaat[[#This Row],[Code]],Locaties[[Code]:[Locatie]],2,FALSE)</f>
        <v>Sint-Maartenscollege</v>
      </c>
      <c r="C328" s="157" t="str">
        <f>VLOOKUP(Ruimtestaat[[#This Row],[Code]],Locaties[[#All],[Code]:[Adres]],4,FALSE)</f>
        <v xml:space="preserve">Aart v.d. Leeuwkade 14 </v>
      </c>
      <c r="D328" s="157" t="str">
        <f>VLOOKUP(Ruimtestaat[[#This Row],[Code]],Locaties[[#All],[Code]:[Postcode]],5,FALSE)</f>
        <v>2274 KX</v>
      </c>
      <c r="E328" s="157" t="str">
        <f>VLOOKUP(Ruimtestaat[[#This Row],[Code]],Locaties[#All],6,FALSE)</f>
        <v>Voorburg</v>
      </c>
      <c r="F328" s="62"/>
      <c r="G328" s="21" t="s">
        <v>1784</v>
      </c>
      <c r="H328" s="21" t="s">
        <v>1989</v>
      </c>
      <c r="I328" s="62" t="s">
        <v>1990</v>
      </c>
      <c r="J328" s="21">
        <v>16</v>
      </c>
      <c r="K328" s="62" t="str">
        <f>VLOOKUP(Ruimtestaat[[#This Row],[Ruimte code]],Ruimtegroepen[[#All],[Code]:[Ruimte omschrijving]],2,FALSE)</f>
        <v>Leslokalen theorie</v>
      </c>
      <c r="L328" s="33" t="s">
        <v>101</v>
      </c>
      <c r="M328" s="367" t="s">
        <v>2495</v>
      </c>
      <c r="N328" s="140">
        <v>47</v>
      </c>
      <c r="O328" s="140"/>
      <c r="P328" s="125" t="str">
        <f>VLOOKUP(Ruimtestaat[[#This Row],[Ruimte code]],Ruimtegroepen[],4,FALSE)</f>
        <v>Le</v>
      </c>
      <c r="R328" s="33">
        <v>40</v>
      </c>
      <c r="S328" s="33" t="s">
        <v>2</v>
      </c>
      <c r="T328" s="33">
        <f>IF(R328&gt;0,IF(RIGHT(Ruimtestaat[[#This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8" s="33">
        <f>IF(T328&gt;0,VLOOKUP($J328,Ruimtegroepen[],3,FALSE)*VLOOKUP($L328,Vloersoorten[],3,FALSE)*VLOOKUP($S328,Frequenties[],3,FALSE)*VLOOKUP($A328,Locaties[],3,FALSE),0)</f>
        <v>0</v>
      </c>
      <c r="V328" s="33">
        <f>Ruimtestaat[[#This Row],[Uitvoeringen werkdagen]]*Ruimtestaat[[#This Row],[Oppervlak (netto)]]</f>
        <v>9400</v>
      </c>
      <c r="W328" s="154">
        <f>IF(U328&gt;0,Ruimtestaat[[#This Row],[Prest. (m2 /jaar) werkdagen]]/Ruimtestaat[[#This Row],[Norm (m2/uur) werkdagen]],0)</f>
        <v>0</v>
      </c>
      <c r="X328" s="155">
        <f>Ruimtestaat[[#This Row],[uren / jaar werkdagen]]*Tariefsopbouw!$E$35</f>
        <v>0</v>
      </c>
      <c r="Y328" s="33"/>
      <c r="Z328" s="33">
        <f>IF(Ruimtestaat[[#This Row],[Frequentie weekend]]&gt;0,VALUE(LEFT(Y328,1))*R328,0)</f>
        <v>0</v>
      </c>
      <c r="AA328" s="97">
        <f>IF($Z328&gt;0,VLOOKUP($J328,Ruimtegroepen[],3,FALSE)*VLOOKUP($L328,Vloersoorten[],3,FALSE)*VLOOKUP($Y328,Frequenties[],3,FALSE)*VLOOKUP(Ruimtestaat[[#This Row],[Code]],Locaties[],3,FALSE),0)</f>
        <v>0</v>
      </c>
      <c r="AB328" s="97">
        <f>Ruimtestaat[[#This Row],[Uitvoeringen weekend]]*Ruimtestaat[[#This Row],[Oppervlak (netto)]]</f>
        <v>0</v>
      </c>
      <c r="AC328" s="97">
        <f>IF(AA328&gt;0,Ruimtestaat[[#This Row],[Prest. (m2 /jaar) weekend]]/Ruimtestaat[[#This Row],[Norm (m2/uur) weekend]],0)</f>
        <v>0</v>
      </c>
      <c r="AD328" s="155">
        <f>Ruimtestaat[[#This Row],[uren / jaar weekend]]*Tariefsopbouw!$D$40</f>
        <v>0</v>
      </c>
      <c r="AE328" s="154">
        <f>Ruimtestaat[[#This Row],[Prest. (m2 /jaar) weekend]]+Ruimtestaat[[#This Row],[Prest. (m2 /jaar) werkdagen]]</f>
        <v>9400</v>
      </c>
      <c r="AF328" s="154">
        <f>Ruimtestaat[[#This Row],[uren / jaar weekend]]+Ruimtestaat[[#This Row],[uren / jaar werkdagen]]</f>
        <v>0</v>
      </c>
      <c r="AG328" s="69">
        <f>Ruimtestaat[[#This Row],[kosten / jaar weekend]]+Ruimtestaat[[#This Row],[kosten / jaar werkdagen]]</f>
        <v>0</v>
      </c>
      <c r="AH328" s="69"/>
      <c r="AI328" s="256" t="str">
        <f>IF(Ruimtestaat[[#This Row],[Frequentie werkdagen]]="","",_xlfn.CONCAT(Ruimtestaat[[#This Row],[Ruimte code]],"-",Ruimtestaat[[#This Row],[Frequentie werkdagen]]," ",Ruimtestaat[[#This Row],[Vloer code]]))</f>
        <v>16-5w L</v>
      </c>
      <c r="AJ328" s="300" t="str">
        <f>_xlfn.IFNA(VLOOKUP($AI328,Programma!$F$3:$G$1107,2,0),"")</f>
        <v>_</v>
      </c>
      <c r="AK328" s="300" t="str">
        <f>_xlfn.IFNA(VLOOKUP($AI328,Programma!$F$3:$H$1107,3,0),"")</f>
        <v>_</v>
      </c>
      <c r="AL328" s="300" t="str">
        <f>_xlfn.IFNA(VLOOKUP($AI328,Programma!$F$3:$I$1107,4,0),"")</f>
        <v>4w</v>
      </c>
      <c r="AM328" s="300" t="str">
        <f>_xlfn.IFNA(VLOOKUP($AI328,Programma!$F$3:$J$1107,5,0),"")</f>
        <v>1w</v>
      </c>
      <c r="AN328" s="300" t="str">
        <f>_xlfn.IFNA(VLOOKUP($AI328,Programma!$F$3:$K$1107,6,0),"")</f>
        <v>_</v>
      </c>
      <c r="AO328" s="300" t="str">
        <f>_xlfn.IFNA(VLOOKUP($AI328,Programma!$F$3:$L$1107,7,0),"")</f>
        <v>_</v>
      </c>
      <c r="AP328" s="300" t="str">
        <f>_xlfn.IFNA(VLOOKUP($AI328,Programma!$F$3:$M$1107,8,0),"")</f>
        <v>_</v>
      </c>
      <c r="AQ328" s="300" t="str">
        <f>_xlfn.IFNA(VLOOKUP($AI328,Programma!$F$3:$N$1107,9,0),"")</f>
        <v>_</v>
      </c>
      <c r="AR328" s="300" t="str">
        <f>_xlfn.IFNA(VLOOKUP($AI328,Programma!$F$3:$O$1107,10,0),"")</f>
        <v>5w</v>
      </c>
      <c r="AS328" s="300" t="str">
        <f>_xlfn.IFNA(VLOOKUP($AI328,Programma!$F$3:$P$1107,11,0),"")</f>
        <v>5w</v>
      </c>
      <c r="AT328" s="300" t="str">
        <f>_xlfn.IFNA(VLOOKUP($AI328,Programma!$F$3:$Q$1107,12,0),"")</f>
        <v>1w</v>
      </c>
      <c r="AU328" s="300" t="str">
        <f>_xlfn.IFNA(VLOOKUP($AI328,Programma!$F$3:$R$1107,13,0),"")</f>
        <v>1w</v>
      </c>
      <c r="AV328" s="300" t="str">
        <f>_xlfn.IFNA(VLOOKUP($AI328,Programma!$F$3:$S$1107,14,0),"")</f>
        <v>1m</v>
      </c>
      <c r="AW328" s="300" t="str">
        <f>_xlfn.IFNA(VLOOKUP($AI328,Programma!$F$3:$T$1107,15,0),"")</f>
        <v>2j</v>
      </c>
      <c r="AX328" s="300" t="str">
        <f>_xlfn.IFNA(VLOOKUP($AI328,Programma!$F$3:$U$1107,16,0),"")</f>
        <v>1j</v>
      </c>
      <c r="AY328" s="300" t="str">
        <f>_xlfn.IFNA(VLOOKUP($AI328,Programma!$F$3:$V$1107,17,0),"")</f>
        <v>_</v>
      </c>
      <c r="AZ328" s="300" t="str">
        <f>_xlfn.IFNA(VLOOKUP($AI328,Programma!$F$3:$W$1107,18,0),"")</f>
        <v>_</v>
      </c>
      <c r="BA328" s="300" t="str">
        <f>_xlfn.IFNA(VLOOKUP($AI328,Programma!$F$3:$X$1107,19,0),"")</f>
        <v>_</v>
      </c>
      <c r="BB328" s="300" t="str">
        <f>_xlfn.IFNA(VLOOKUP($AI328,Programma!$F$3:$Y$1107,20,0),"")</f>
        <v>_</v>
      </c>
      <c r="BC328" s="257"/>
      <c r="BD328" s="256" t="str">
        <f>IF(Ruimtestaat[[#This Row],[Frequentie weekend]]="","",_xlfn.CONCAT(Ruimtestaat[[#This Row],[Ruimte code]],"-",Ruimtestaat[[#This Row],[Frequentie weekend]]," ",Ruimtestaat[[#This Row],[Vloer code]]))</f>
        <v/>
      </c>
      <c r="BE328" s="300" t="str">
        <f>_xlfn.IFNA(VLOOKUP($BD328,Programma!$F$3:$G$1107,2,0),"")</f>
        <v/>
      </c>
      <c r="BF328" s="300" t="str">
        <f>_xlfn.IFNA(VLOOKUP($BD328,Programma!$F$3:$H$1107,3,0),"")</f>
        <v/>
      </c>
      <c r="BG328" s="300" t="str">
        <f>_xlfn.IFNA(VLOOKUP($BD328,Programma!$F$3:$I$1107,4,0),"")</f>
        <v/>
      </c>
      <c r="BH328" s="300" t="str">
        <f>_xlfn.IFNA(VLOOKUP($BD328,Programma!$F$3:$J$1107,5,0),"")</f>
        <v/>
      </c>
      <c r="BI328" s="300" t="str">
        <f>_xlfn.IFNA(VLOOKUP($BD328,Programma!$F$3:$K$1107,6,0),"")</f>
        <v/>
      </c>
      <c r="BJ328" s="300" t="str">
        <f>_xlfn.IFNA(VLOOKUP($BD328,Programma!$F$3:$L$1107,7,0),"")</f>
        <v/>
      </c>
      <c r="BK328" s="300" t="str">
        <f>_xlfn.IFNA(VLOOKUP($BD328,Programma!$F$3:$M$1107,8,0),"")</f>
        <v/>
      </c>
      <c r="BL328" s="300" t="str">
        <f>_xlfn.IFNA(VLOOKUP($BD328,Programma!$F$3:$N$1107,9,0),"")</f>
        <v/>
      </c>
      <c r="BM328" s="300" t="str">
        <f>_xlfn.IFNA(VLOOKUP($BD328,Programma!$F$3:$O$1107,10,0),"")</f>
        <v/>
      </c>
      <c r="BN328" s="300" t="str">
        <f>_xlfn.IFNA(VLOOKUP($BD328,Programma!$F$3:$P$1107,11,0),"")</f>
        <v/>
      </c>
      <c r="BO328" s="300" t="str">
        <f>_xlfn.IFNA(VLOOKUP($BD328,Programma!$F$3:$Q$1107,12,0),"")</f>
        <v/>
      </c>
      <c r="BP328" s="300" t="str">
        <f>_xlfn.IFNA(VLOOKUP($BD328,Programma!$F$3:$R$1107,13,0),"")</f>
        <v/>
      </c>
      <c r="BQ328" s="300" t="str">
        <f>_xlfn.IFNA(VLOOKUP($BD328,Programma!$F$3:$S$1107,14,0),"")</f>
        <v/>
      </c>
      <c r="BR328" s="300" t="str">
        <f>_xlfn.IFNA(VLOOKUP($BD328,Programma!$F$3:$T$1107,15,0),"")</f>
        <v/>
      </c>
      <c r="BS328" s="300" t="str">
        <f>_xlfn.IFNA(VLOOKUP($BD328,Programma!$F$3:$U$1107,16,0),"")</f>
        <v/>
      </c>
      <c r="BT328" s="300" t="str">
        <f>_xlfn.IFNA(VLOOKUP($BD328,Programma!$F$3:$V$1107,17,0),"")</f>
        <v/>
      </c>
      <c r="BU328" s="300" t="str">
        <f>_xlfn.IFNA(VLOOKUP($BD328,Programma!$F$3:$W$1107,18,0),"")</f>
        <v/>
      </c>
      <c r="BV328" s="300" t="str">
        <f>_xlfn.IFNA(VLOOKUP($BD328,Programma!$F$3:$X$1107,19,0),"")</f>
        <v/>
      </c>
      <c r="BW328" s="300" t="str">
        <f>_xlfn.IFNA(VLOOKUP($BD328,Programma!$F$3:$Y$1107,20,0),"")</f>
        <v/>
      </c>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row>
    <row r="329" spans="1:220" ht="15" customHeight="1">
      <c r="A329" s="21">
        <v>4</v>
      </c>
      <c r="B329" s="157" t="str">
        <f>VLOOKUP(Ruimtestaat[[#This Row],[Code]],Locaties[[Code]:[Locatie]],2,FALSE)</f>
        <v>Sint-Maartenscollege</v>
      </c>
      <c r="C329" s="157" t="str">
        <f>VLOOKUP(Ruimtestaat[[#This Row],[Code]],Locaties[[#All],[Code]:[Adres]],4,FALSE)</f>
        <v xml:space="preserve">Aart v.d. Leeuwkade 14 </v>
      </c>
      <c r="D329" s="157" t="str">
        <f>VLOOKUP(Ruimtestaat[[#This Row],[Code]],Locaties[[#All],[Code]:[Postcode]],5,FALSE)</f>
        <v>2274 KX</v>
      </c>
      <c r="E329" s="157" t="str">
        <f>VLOOKUP(Ruimtestaat[[#This Row],[Code]],Locaties[#All],6,FALSE)</f>
        <v>Voorburg</v>
      </c>
      <c r="F329" s="62"/>
      <c r="G329" s="21" t="s">
        <v>1784</v>
      </c>
      <c r="H329" s="21" t="s">
        <v>1991</v>
      </c>
      <c r="I329" s="62" t="s">
        <v>1992</v>
      </c>
      <c r="J329" s="21">
        <v>16</v>
      </c>
      <c r="K329" s="62" t="str">
        <f>VLOOKUP(Ruimtestaat[[#This Row],[Ruimte code]],Ruimtegroepen[[#All],[Code]:[Ruimte omschrijving]],2,FALSE)</f>
        <v>Leslokalen theorie</v>
      </c>
      <c r="L329" s="33" t="s">
        <v>101</v>
      </c>
      <c r="M329" s="367" t="s">
        <v>2495</v>
      </c>
      <c r="N329" s="140">
        <v>47</v>
      </c>
      <c r="O329" s="140"/>
      <c r="P329" s="125" t="str">
        <f>VLOOKUP(Ruimtestaat[[#This Row],[Ruimte code]],Ruimtegroepen[],4,FALSE)</f>
        <v>Le</v>
      </c>
      <c r="R329" s="33">
        <v>40</v>
      </c>
      <c r="S329" s="33" t="s">
        <v>2</v>
      </c>
      <c r="T329" s="33">
        <f>IF(R329&gt;0,IF(RIGHT(Ruimtestaat[[#This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9" s="33">
        <f>IF(T329&gt;0,VLOOKUP($J329,Ruimtegroepen[],3,FALSE)*VLOOKUP($L329,Vloersoorten[],3,FALSE)*VLOOKUP($S329,Frequenties[],3,FALSE)*VLOOKUP($A329,Locaties[],3,FALSE),0)</f>
        <v>0</v>
      </c>
      <c r="V329" s="33">
        <f>Ruimtestaat[[#This Row],[Uitvoeringen werkdagen]]*Ruimtestaat[[#This Row],[Oppervlak (netto)]]</f>
        <v>9400</v>
      </c>
      <c r="W329" s="154">
        <f>IF(U329&gt;0,Ruimtestaat[[#This Row],[Prest. (m2 /jaar) werkdagen]]/Ruimtestaat[[#This Row],[Norm (m2/uur) werkdagen]],0)</f>
        <v>0</v>
      </c>
      <c r="X329" s="155">
        <f>Ruimtestaat[[#This Row],[uren / jaar werkdagen]]*Tariefsopbouw!$E$35</f>
        <v>0</v>
      </c>
      <c r="Y329" s="33"/>
      <c r="Z329" s="33">
        <f>IF(Ruimtestaat[[#This Row],[Frequentie weekend]]&gt;0,VALUE(LEFT(Y329,1))*R329,0)</f>
        <v>0</v>
      </c>
      <c r="AA329" s="97">
        <f>IF($Z329&gt;0,VLOOKUP($J329,Ruimtegroepen[],3,FALSE)*VLOOKUP($L329,Vloersoorten[],3,FALSE)*VLOOKUP($Y329,Frequenties[],3,FALSE)*VLOOKUP(Ruimtestaat[[#This Row],[Code]],Locaties[],3,FALSE),0)</f>
        <v>0</v>
      </c>
      <c r="AB329" s="97">
        <f>Ruimtestaat[[#This Row],[Uitvoeringen weekend]]*Ruimtestaat[[#This Row],[Oppervlak (netto)]]</f>
        <v>0</v>
      </c>
      <c r="AC329" s="97">
        <f>IF(AA329&gt;0,Ruimtestaat[[#This Row],[Prest. (m2 /jaar) weekend]]/Ruimtestaat[[#This Row],[Norm (m2/uur) weekend]],0)</f>
        <v>0</v>
      </c>
      <c r="AD329" s="155">
        <f>Ruimtestaat[[#This Row],[uren / jaar weekend]]*Tariefsopbouw!$D$40</f>
        <v>0</v>
      </c>
      <c r="AE329" s="154">
        <f>Ruimtestaat[[#This Row],[Prest. (m2 /jaar) weekend]]+Ruimtestaat[[#This Row],[Prest. (m2 /jaar) werkdagen]]</f>
        <v>9400</v>
      </c>
      <c r="AF329" s="154">
        <f>Ruimtestaat[[#This Row],[uren / jaar weekend]]+Ruimtestaat[[#This Row],[uren / jaar werkdagen]]</f>
        <v>0</v>
      </c>
      <c r="AG329" s="69">
        <f>Ruimtestaat[[#This Row],[kosten / jaar weekend]]+Ruimtestaat[[#This Row],[kosten / jaar werkdagen]]</f>
        <v>0</v>
      </c>
      <c r="AH329" s="69"/>
      <c r="AI329" s="256" t="str">
        <f>IF(Ruimtestaat[[#This Row],[Frequentie werkdagen]]="","",_xlfn.CONCAT(Ruimtestaat[[#This Row],[Ruimte code]],"-",Ruimtestaat[[#This Row],[Frequentie werkdagen]]," ",Ruimtestaat[[#This Row],[Vloer code]]))</f>
        <v>16-5w L</v>
      </c>
      <c r="AJ329" s="300" t="str">
        <f>_xlfn.IFNA(VLOOKUP($AI329,Programma!$F$3:$G$1107,2,0),"")</f>
        <v>_</v>
      </c>
      <c r="AK329" s="300" t="str">
        <f>_xlfn.IFNA(VLOOKUP($AI329,Programma!$F$3:$H$1107,3,0),"")</f>
        <v>_</v>
      </c>
      <c r="AL329" s="300" t="str">
        <f>_xlfn.IFNA(VLOOKUP($AI329,Programma!$F$3:$I$1107,4,0),"")</f>
        <v>4w</v>
      </c>
      <c r="AM329" s="300" t="str">
        <f>_xlfn.IFNA(VLOOKUP($AI329,Programma!$F$3:$J$1107,5,0),"")</f>
        <v>1w</v>
      </c>
      <c r="AN329" s="300" t="str">
        <f>_xlfn.IFNA(VLOOKUP($AI329,Programma!$F$3:$K$1107,6,0),"")</f>
        <v>_</v>
      </c>
      <c r="AO329" s="300" t="str">
        <f>_xlfn.IFNA(VLOOKUP($AI329,Programma!$F$3:$L$1107,7,0),"")</f>
        <v>_</v>
      </c>
      <c r="AP329" s="300" t="str">
        <f>_xlfn.IFNA(VLOOKUP($AI329,Programma!$F$3:$M$1107,8,0),"")</f>
        <v>_</v>
      </c>
      <c r="AQ329" s="300" t="str">
        <f>_xlfn.IFNA(VLOOKUP($AI329,Programma!$F$3:$N$1107,9,0),"")</f>
        <v>_</v>
      </c>
      <c r="AR329" s="300" t="str">
        <f>_xlfn.IFNA(VLOOKUP($AI329,Programma!$F$3:$O$1107,10,0),"")</f>
        <v>5w</v>
      </c>
      <c r="AS329" s="300" t="str">
        <f>_xlfn.IFNA(VLOOKUP($AI329,Programma!$F$3:$P$1107,11,0),"")</f>
        <v>5w</v>
      </c>
      <c r="AT329" s="300" t="str">
        <f>_xlfn.IFNA(VLOOKUP($AI329,Programma!$F$3:$Q$1107,12,0),"")</f>
        <v>1w</v>
      </c>
      <c r="AU329" s="300" t="str">
        <f>_xlfn.IFNA(VLOOKUP($AI329,Programma!$F$3:$R$1107,13,0),"")</f>
        <v>1w</v>
      </c>
      <c r="AV329" s="300" t="str">
        <f>_xlfn.IFNA(VLOOKUP($AI329,Programma!$F$3:$S$1107,14,0),"")</f>
        <v>1m</v>
      </c>
      <c r="AW329" s="300" t="str">
        <f>_xlfn.IFNA(VLOOKUP($AI329,Programma!$F$3:$T$1107,15,0),"")</f>
        <v>2j</v>
      </c>
      <c r="AX329" s="300" t="str">
        <f>_xlfn.IFNA(VLOOKUP($AI329,Programma!$F$3:$U$1107,16,0),"")</f>
        <v>1j</v>
      </c>
      <c r="AY329" s="300" t="str">
        <f>_xlfn.IFNA(VLOOKUP($AI329,Programma!$F$3:$V$1107,17,0),"")</f>
        <v>_</v>
      </c>
      <c r="AZ329" s="300" t="str">
        <f>_xlfn.IFNA(VLOOKUP($AI329,Programma!$F$3:$W$1107,18,0),"")</f>
        <v>_</v>
      </c>
      <c r="BA329" s="300" t="str">
        <f>_xlfn.IFNA(VLOOKUP($AI329,Programma!$F$3:$X$1107,19,0),"")</f>
        <v>_</v>
      </c>
      <c r="BB329" s="300" t="str">
        <f>_xlfn.IFNA(VLOOKUP($AI329,Programma!$F$3:$Y$1107,20,0),"")</f>
        <v>_</v>
      </c>
      <c r="BC329" s="257"/>
      <c r="BD329" s="256" t="str">
        <f>IF(Ruimtestaat[[#This Row],[Frequentie weekend]]="","",_xlfn.CONCAT(Ruimtestaat[[#This Row],[Ruimte code]],"-",Ruimtestaat[[#This Row],[Frequentie weekend]]," ",Ruimtestaat[[#This Row],[Vloer code]]))</f>
        <v/>
      </c>
      <c r="BE329" s="300" t="str">
        <f>_xlfn.IFNA(VLOOKUP($BD329,Programma!$F$3:$G$1107,2,0),"")</f>
        <v/>
      </c>
      <c r="BF329" s="300" t="str">
        <f>_xlfn.IFNA(VLOOKUP($BD329,Programma!$F$3:$H$1107,3,0),"")</f>
        <v/>
      </c>
      <c r="BG329" s="300" t="str">
        <f>_xlfn.IFNA(VLOOKUP($BD329,Programma!$F$3:$I$1107,4,0),"")</f>
        <v/>
      </c>
      <c r="BH329" s="300" t="str">
        <f>_xlfn.IFNA(VLOOKUP($BD329,Programma!$F$3:$J$1107,5,0),"")</f>
        <v/>
      </c>
      <c r="BI329" s="300" t="str">
        <f>_xlfn.IFNA(VLOOKUP($BD329,Programma!$F$3:$K$1107,6,0),"")</f>
        <v/>
      </c>
      <c r="BJ329" s="300" t="str">
        <f>_xlfn.IFNA(VLOOKUP($BD329,Programma!$F$3:$L$1107,7,0),"")</f>
        <v/>
      </c>
      <c r="BK329" s="300" t="str">
        <f>_xlfn.IFNA(VLOOKUP($BD329,Programma!$F$3:$M$1107,8,0),"")</f>
        <v/>
      </c>
      <c r="BL329" s="300" t="str">
        <f>_xlfn.IFNA(VLOOKUP($BD329,Programma!$F$3:$N$1107,9,0),"")</f>
        <v/>
      </c>
      <c r="BM329" s="300" t="str">
        <f>_xlfn.IFNA(VLOOKUP($BD329,Programma!$F$3:$O$1107,10,0),"")</f>
        <v/>
      </c>
      <c r="BN329" s="300" t="str">
        <f>_xlfn.IFNA(VLOOKUP($BD329,Programma!$F$3:$P$1107,11,0),"")</f>
        <v/>
      </c>
      <c r="BO329" s="300" t="str">
        <f>_xlfn.IFNA(VLOOKUP($BD329,Programma!$F$3:$Q$1107,12,0),"")</f>
        <v/>
      </c>
      <c r="BP329" s="300" t="str">
        <f>_xlfn.IFNA(VLOOKUP($BD329,Programma!$F$3:$R$1107,13,0),"")</f>
        <v/>
      </c>
      <c r="BQ329" s="300" t="str">
        <f>_xlfn.IFNA(VLOOKUP($BD329,Programma!$F$3:$S$1107,14,0),"")</f>
        <v/>
      </c>
      <c r="BR329" s="300" t="str">
        <f>_xlfn.IFNA(VLOOKUP($BD329,Programma!$F$3:$T$1107,15,0),"")</f>
        <v/>
      </c>
      <c r="BS329" s="300" t="str">
        <f>_xlfn.IFNA(VLOOKUP($BD329,Programma!$F$3:$U$1107,16,0),"")</f>
        <v/>
      </c>
      <c r="BT329" s="300" t="str">
        <f>_xlfn.IFNA(VLOOKUP($BD329,Programma!$F$3:$V$1107,17,0),"")</f>
        <v/>
      </c>
      <c r="BU329" s="300" t="str">
        <f>_xlfn.IFNA(VLOOKUP($BD329,Programma!$F$3:$W$1107,18,0),"")</f>
        <v/>
      </c>
      <c r="BV329" s="300" t="str">
        <f>_xlfn.IFNA(VLOOKUP($BD329,Programma!$F$3:$X$1107,19,0),"")</f>
        <v/>
      </c>
      <c r="BW329" s="300" t="str">
        <f>_xlfn.IFNA(VLOOKUP($BD329,Programma!$F$3:$Y$1107,20,0),"")</f>
        <v/>
      </c>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row>
    <row r="330" spans="1:220" ht="15" customHeight="1">
      <c r="A330" s="21">
        <v>4</v>
      </c>
      <c r="B330" s="157" t="str">
        <f>VLOOKUP(Ruimtestaat[[#This Row],[Code]],Locaties[[Code]:[Locatie]],2,FALSE)</f>
        <v>Sint-Maartenscollege</v>
      </c>
      <c r="C330" s="157" t="str">
        <f>VLOOKUP(Ruimtestaat[[#This Row],[Code]],Locaties[[#All],[Code]:[Adres]],4,FALSE)</f>
        <v xml:space="preserve">Aart v.d. Leeuwkade 14 </v>
      </c>
      <c r="D330" s="157" t="str">
        <f>VLOOKUP(Ruimtestaat[[#This Row],[Code]],Locaties[[#All],[Code]:[Postcode]],5,FALSE)</f>
        <v>2274 KX</v>
      </c>
      <c r="E330" s="157" t="str">
        <f>VLOOKUP(Ruimtestaat[[#This Row],[Code]],Locaties[#All],6,FALSE)</f>
        <v>Voorburg</v>
      </c>
      <c r="F330" s="62"/>
      <c r="G330" s="21" t="s">
        <v>1784</v>
      </c>
      <c r="H330" s="21" t="s">
        <v>1993</v>
      </c>
      <c r="I330" s="62" t="s">
        <v>1994</v>
      </c>
      <c r="J330" s="21">
        <v>16</v>
      </c>
      <c r="K330" s="62" t="str">
        <f>VLOOKUP(Ruimtestaat[[#This Row],[Ruimte code]],Ruimtegroepen[[#All],[Code]:[Ruimte omschrijving]],2,FALSE)</f>
        <v>Leslokalen theorie</v>
      </c>
      <c r="L330" s="33" t="s">
        <v>101</v>
      </c>
      <c r="M330" s="367" t="s">
        <v>2495</v>
      </c>
      <c r="N330" s="140">
        <v>47</v>
      </c>
      <c r="O330" s="140"/>
      <c r="P330" s="125" t="str">
        <f>VLOOKUP(Ruimtestaat[[#This Row],[Ruimte code]],Ruimtegroepen[],4,FALSE)</f>
        <v>Le</v>
      </c>
      <c r="R330" s="33">
        <v>40</v>
      </c>
      <c r="S330" s="33" t="s">
        <v>2</v>
      </c>
      <c r="T330" s="33">
        <f>IF(R330&gt;0,IF(RIGHT(Ruimtestaat[[#This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0" s="33">
        <f>IF(T330&gt;0,VLOOKUP($J330,Ruimtegroepen[],3,FALSE)*VLOOKUP($L330,Vloersoorten[],3,FALSE)*VLOOKUP($S330,Frequenties[],3,FALSE)*VLOOKUP($A330,Locaties[],3,FALSE),0)</f>
        <v>0</v>
      </c>
      <c r="V330" s="33">
        <f>Ruimtestaat[[#This Row],[Uitvoeringen werkdagen]]*Ruimtestaat[[#This Row],[Oppervlak (netto)]]</f>
        <v>9400</v>
      </c>
      <c r="W330" s="154">
        <f>IF(U330&gt;0,Ruimtestaat[[#This Row],[Prest. (m2 /jaar) werkdagen]]/Ruimtestaat[[#This Row],[Norm (m2/uur) werkdagen]],0)</f>
        <v>0</v>
      </c>
      <c r="X330" s="155">
        <f>Ruimtestaat[[#This Row],[uren / jaar werkdagen]]*Tariefsopbouw!$E$35</f>
        <v>0</v>
      </c>
      <c r="Y330" s="33"/>
      <c r="Z330" s="33">
        <f>IF(Ruimtestaat[[#This Row],[Frequentie weekend]]&gt;0,VALUE(LEFT(Y330,1))*R330,0)</f>
        <v>0</v>
      </c>
      <c r="AA330" s="97">
        <f>IF($Z330&gt;0,VLOOKUP($J330,Ruimtegroepen[],3,FALSE)*VLOOKUP($L330,Vloersoorten[],3,FALSE)*VLOOKUP($Y330,Frequenties[],3,FALSE)*VLOOKUP(Ruimtestaat[[#This Row],[Code]],Locaties[],3,FALSE),0)</f>
        <v>0</v>
      </c>
      <c r="AB330" s="97">
        <f>Ruimtestaat[[#This Row],[Uitvoeringen weekend]]*Ruimtestaat[[#This Row],[Oppervlak (netto)]]</f>
        <v>0</v>
      </c>
      <c r="AC330" s="97">
        <f>IF(AA330&gt;0,Ruimtestaat[[#This Row],[Prest. (m2 /jaar) weekend]]/Ruimtestaat[[#This Row],[Norm (m2/uur) weekend]],0)</f>
        <v>0</v>
      </c>
      <c r="AD330" s="155">
        <f>Ruimtestaat[[#This Row],[uren / jaar weekend]]*Tariefsopbouw!$D$40</f>
        <v>0</v>
      </c>
      <c r="AE330" s="154">
        <f>Ruimtestaat[[#This Row],[Prest. (m2 /jaar) weekend]]+Ruimtestaat[[#This Row],[Prest. (m2 /jaar) werkdagen]]</f>
        <v>9400</v>
      </c>
      <c r="AF330" s="154">
        <f>Ruimtestaat[[#This Row],[uren / jaar weekend]]+Ruimtestaat[[#This Row],[uren / jaar werkdagen]]</f>
        <v>0</v>
      </c>
      <c r="AG330" s="69">
        <f>Ruimtestaat[[#This Row],[kosten / jaar weekend]]+Ruimtestaat[[#This Row],[kosten / jaar werkdagen]]</f>
        <v>0</v>
      </c>
      <c r="AH330" s="69"/>
      <c r="AI330" s="256" t="str">
        <f>IF(Ruimtestaat[[#This Row],[Frequentie werkdagen]]="","",_xlfn.CONCAT(Ruimtestaat[[#This Row],[Ruimte code]],"-",Ruimtestaat[[#This Row],[Frequentie werkdagen]]," ",Ruimtestaat[[#This Row],[Vloer code]]))</f>
        <v>16-5w L</v>
      </c>
      <c r="AJ330" s="300" t="str">
        <f>_xlfn.IFNA(VLOOKUP($AI330,Programma!$F$3:$G$1107,2,0),"")</f>
        <v>_</v>
      </c>
      <c r="AK330" s="300" t="str">
        <f>_xlfn.IFNA(VLOOKUP($AI330,Programma!$F$3:$H$1107,3,0),"")</f>
        <v>_</v>
      </c>
      <c r="AL330" s="300" t="str">
        <f>_xlfn.IFNA(VLOOKUP($AI330,Programma!$F$3:$I$1107,4,0),"")</f>
        <v>4w</v>
      </c>
      <c r="AM330" s="300" t="str">
        <f>_xlfn.IFNA(VLOOKUP($AI330,Programma!$F$3:$J$1107,5,0),"")</f>
        <v>1w</v>
      </c>
      <c r="AN330" s="300" t="str">
        <f>_xlfn.IFNA(VLOOKUP($AI330,Programma!$F$3:$K$1107,6,0),"")</f>
        <v>_</v>
      </c>
      <c r="AO330" s="300" t="str">
        <f>_xlfn.IFNA(VLOOKUP($AI330,Programma!$F$3:$L$1107,7,0),"")</f>
        <v>_</v>
      </c>
      <c r="AP330" s="300" t="str">
        <f>_xlfn.IFNA(VLOOKUP($AI330,Programma!$F$3:$M$1107,8,0),"")</f>
        <v>_</v>
      </c>
      <c r="AQ330" s="300" t="str">
        <f>_xlfn.IFNA(VLOOKUP($AI330,Programma!$F$3:$N$1107,9,0),"")</f>
        <v>_</v>
      </c>
      <c r="AR330" s="300" t="str">
        <f>_xlfn.IFNA(VLOOKUP($AI330,Programma!$F$3:$O$1107,10,0),"")</f>
        <v>5w</v>
      </c>
      <c r="AS330" s="300" t="str">
        <f>_xlfn.IFNA(VLOOKUP($AI330,Programma!$F$3:$P$1107,11,0),"")</f>
        <v>5w</v>
      </c>
      <c r="AT330" s="300" t="str">
        <f>_xlfn.IFNA(VLOOKUP($AI330,Programma!$F$3:$Q$1107,12,0),"")</f>
        <v>1w</v>
      </c>
      <c r="AU330" s="300" t="str">
        <f>_xlfn.IFNA(VLOOKUP($AI330,Programma!$F$3:$R$1107,13,0),"")</f>
        <v>1w</v>
      </c>
      <c r="AV330" s="300" t="str">
        <f>_xlfn.IFNA(VLOOKUP($AI330,Programma!$F$3:$S$1107,14,0),"")</f>
        <v>1m</v>
      </c>
      <c r="AW330" s="300" t="str">
        <f>_xlfn.IFNA(VLOOKUP($AI330,Programma!$F$3:$T$1107,15,0),"")</f>
        <v>2j</v>
      </c>
      <c r="AX330" s="300" t="str">
        <f>_xlfn.IFNA(VLOOKUP($AI330,Programma!$F$3:$U$1107,16,0),"")</f>
        <v>1j</v>
      </c>
      <c r="AY330" s="300" t="str">
        <f>_xlfn.IFNA(VLOOKUP($AI330,Programma!$F$3:$V$1107,17,0),"")</f>
        <v>_</v>
      </c>
      <c r="AZ330" s="300" t="str">
        <f>_xlfn.IFNA(VLOOKUP($AI330,Programma!$F$3:$W$1107,18,0),"")</f>
        <v>_</v>
      </c>
      <c r="BA330" s="300" t="str">
        <f>_xlfn.IFNA(VLOOKUP($AI330,Programma!$F$3:$X$1107,19,0),"")</f>
        <v>_</v>
      </c>
      <c r="BB330" s="300" t="str">
        <f>_xlfn.IFNA(VLOOKUP($AI330,Programma!$F$3:$Y$1107,20,0),"")</f>
        <v>_</v>
      </c>
      <c r="BC330" s="257"/>
      <c r="BD330" s="256" t="str">
        <f>IF(Ruimtestaat[[#This Row],[Frequentie weekend]]="","",_xlfn.CONCAT(Ruimtestaat[[#This Row],[Ruimte code]],"-",Ruimtestaat[[#This Row],[Frequentie weekend]]," ",Ruimtestaat[[#This Row],[Vloer code]]))</f>
        <v/>
      </c>
      <c r="BE330" s="300" t="str">
        <f>_xlfn.IFNA(VLOOKUP($BD330,Programma!$F$3:$G$1107,2,0),"")</f>
        <v/>
      </c>
      <c r="BF330" s="300" t="str">
        <f>_xlfn.IFNA(VLOOKUP($BD330,Programma!$F$3:$H$1107,3,0),"")</f>
        <v/>
      </c>
      <c r="BG330" s="300" t="str">
        <f>_xlfn.IFNA(VLOOKUP($BD330,Programma!$F$3:$I$1107,4,0),"")</f>
        <v/>
      </c>
      <c r="BH330" s="300" t="str">
        <f>_xlfn.IFNA(VLOOKUP($BD330,Programma!$F$3:$J$1107,5,0),"")</f>
        <v/>
      </c>
      <c r="BI330" s="300" t="str">
        <f>_xlfn.IFNA(VLOOKUP($BD330,Programma!$F$3:$K$1107,6,0),"")</f>
        <v/>
      </c>
      <c r="BJ330" s="300" t="str">
        <f>_xlfn.IFNA(VLOOKUP($BD330,Programma!$F$3:$L$1107,7,0),"")</f>
        <v/>
      </c>
      <c r="BK330" s="300" t="str">
        <f>_xlfn.IFNA(VLOOKUP($BD330,Programma!$F$3:$M$1107,8,0),"")</f>
        <v/>
      </c>
      <c r="BL330" s="300" t="str">
        <f>_xlfn.IFNA(VLOOKUP($BD330,Programma!$F$3:$N$1107,9,0),"")</f>
        <v/>
      </c>
      <c r="BM330" s="300" t="str">
        <f>_xlfn.IFNA(VLOOKUP($BD330,Programma!$F$3:$O$1107,10,0),"")</f>
        <v/>
      </c>
      <c r="BN330" s="300" t="str">
        <f>_xlfn.IFNA(VLOOKUP($BD330,Programma!$F$3:$P$1107,11,0),"")</f>
        <v/>
      </c>
      <c r="BO330" s="300" t="str">
        <f>_xlfn.IFNA(VLOOKUP($BD330,Programma!$F$3:$Q$1107,12,0),"")</f>
        <v/>
      </c>
      <c r="BP330" s="300" t="str">
        <f>_xlfn.IFNA(VLOOKUP($BD330,Programma!$F$3:$R$1107,13,0),"")</f>
        <v/>
      </c>
      <c r="BQ330" s="300" t="str">
        <f>_xlfn.IFNA(VLOOKUP($BD330,Programma!$F$3:$S$1107,14,0),"")</f>
        <v/>
      </c>
      <c r="BR330" s="300" t="str">
        <f>_xlfn.IFNA(VLOOKUP($BD330,Programma!$F$3:$T$1107,15,0),"")</f>
        <v/>
      </c>
      <c r="BS330" s="300" t="str">
        <f>_xlfn.IFNA(VLOOKUP($BD330,Programma!$F$3:$U$1107,16,0),"")</f>
        <v/>
      </c>
      <c r="BT330" s="300" t="str">
        <f>_xlfn.IFNA(VLOOKUP($BD330,Programma!$F$3:$V$1107,17,0),"")</f>
        <v/>
      </c>
      <c r="BU330" s="300" t="str">
        <f>_xlfn.IFNA(VLOOKUP($BD330,Programma!$F$3:$W$1107,18,0),"")</f>
        <v/>
      </c>
      <c r="BV330" s="300" t="str">
        <f>_xlfn.IFNA(VLOOKUP($BD330,Programma!$F$3:$X$1107,19,0),"")</f>
        <v/>
      </c>
      <c r="BW330" s="300" t="str">
        <f>_xlfn.IFNA(VLOOKUP($BD330,Programma!$F$3:$Y$1107,20,0),"")</f>
        <v/>
      </c>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row>
    <row r="331" spans="1:220" ht="15" customHeight="1">
      <c r="A331" s="21">
        <v>4</v>
      </c>
      <c r="B331" s="157" t="str">
        <f>VLOOKUP(Ruimtestaat[[#This Row],[Code]],Locaties[[Code]:[Locatie]],2,FALSE)</f>
        <v>Sint-Maartenscollege</v>
      </c>
      <c r="C331" s="157" t="str">
        <f>VLOOKUP(Ruimtestaat[[#This Row],[Code]],Locaties[[#All],[Code]:[Adres]],4,FALSE)</f>
        <v xml:space="preserve">Aart v.d. Leeuwkade 14 </v>
      </c>
      <c r="D331" s="157" t="str">
        <f>VLOOKUP(Ruimtestaat[[#This Row],[Code]],Locaties[[#All],[Code]:[Postcode]],5,FALSE)</f>
        <v>2274 KX</v>
      </c>
      <c r="E331" s="157" t="str">
        <f>VLOOKUP(Ruimtestaat[[#This Row],[Code]],Locaties[#All],6,FALSE)</f>
        <v>Voorburg</v>
      </c>
      <c r="F331" s="62"/>
      <c r="G331" s="21" t="s">
        <v>1784</v>
      </c>
      <c r="H331" s="21" t="s">
        <v>1995</v>
      </c>
      <c r="I331" s="62" t="s">
        <v>1996</v>
      </c>
      <c r="J331" s="21">
        <v>16</v>
      </c>
      <c r="K331" s="62" t="str">
        <f>VLOOKUP(Ruimtestaat[[#This Row],[Ruimte code]],Ruimtegroepen[[#All],[Code]:[Ruimte omschrijving]],2,FALSE)</f>
        <v>Leslokalen theorie</v>
      </c>
      <c r="L331" s="33" t="s">
        <v>101</v>
      </c>
      <c r="M331" s="367" t="s">
        <v>2495</v>
      </c>
      <c r="N331" s="140">
        <v>47</v>
      </c>
      <c r="O331" s="140"/>
      <c r="P331" s="125" t="str">
        <f>VLOOKUP(Ruimtestaat[[#This Row],[Ruimte code]],Ruimtegroepen[],4,FALSE)</f>
        <v>Le</v>
      </c>
      <c r="R331" s="33">
        <v>40</v>
      </c>
      <c r="S331" s="33" t="s">
        <v>2</v>
      </c>
      <c r="T331" s="33">
        <f>IF(R331&gt;0,IF(RIGHT(Ruimtestaat[[#This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1" s="33">
        <f>IF(T331&gt;0,VLOOKUP($J331,Ruimtegroepen[],3,FALSE)*VLOOKUP($L331,Vloersoorten[],3,FALSE)*VLOOKUP($S331,Frequenties[],3,FALSE)*VLOOKUP($A331,Locaties[],3,FALSE),0)</f>
        <v>0</v>
      </c>
      <c r="V331" s="33">
        <f>Ruimtestaat[[#This Row],[Uitvoeringen werkdagen]]*Ruimtestaat[[#This Row],[Oppervlak (netto)]]</f>
        <v>9400</v>
      </c>
      <c r="W331" s="154">
        <f>IF(U331&gt;0,Ruimtestaat[[#This Row],[Prest. (m2 /jaar) werkdagen]]/Ruimtestaat[[#This Row],[Norm (m2/uur) werkdagen]],0)</f>
        <v>0</v>
      </c>
      <c r="X331" s="155">
        <f>Ruimtestaat[[#This Row],[uren / jaar werkdagen]]*Tariefsopbouw!$E$35</f>
        <v>0</v>
      </c>
      <c r="Y331" s="33"/>
      <c r="Z331" s="33">
        <f>IF(Ruimtestaat[[#This Row],[Frequentie weekend]]&gt;0,VALUE(LEFT(Y331,1))*R331,0)</f>
        <v>0</v>
      </c>
      <c r="AA331" s="97">
        <f>IF($Z331&gt;0,VLOOKUP($J331,Ruimtegroepen[],3,FALSE)*VLOOKUP($L331,Vloersoorten[],3,FALSE)*VLOOKUP($Y331,Frequenties[],3,FALSE)*VLOOKUP(Ruimtestaat[[#This Row],[Code]],Locaties[],3,FALSE),0)</f>
        <v>0</v>
      </c>
      <c r="AB331" s="97">
        <f>Ruimtestaat[[#This Row],[Uitvoeringen weekend]]*Ruimtestaat[[#This Row],[Oppervlak (netto)]]</f>
        <v>0</v>
      </c>
      <c r="AC331" s="97">
        <f>IF(AA331&gt;0,Ruimtestaat[[#This Row],[Prest. (m2 /jaar) weekend]]/Ruimtestaat[[#This Row],[Norm (m2/uur) weekend]],0)</f>
        <v>0</v>
      </c>
      <c r="AD331" s="155">
        <f>Ruimtestaat[[#This Row],[uren / jaar weekend]]*Tariefsopbouw!$D$40</f>
        <v>0</v>
      </c>
      <c r="AE331" s="154">
        <f>Ruimtestaat[[#This Row],[Prest. (m2 /jaar) weekend]]+Ruimtestaat[[#This Row],[Prest. (m2 /jaar) werkdagen]]</f>
        <v>9400</v>
      </c>
      <c r="AF331" s="154">
        <f>Ruimtestaat[[#This Row],[uren / jaar weekend]]+Ruimtestaat[[#This Row],[uren / jaar werkdagen]]</f>
        <v>0</v>
      </c>
      <c r="AG331" s="69">
        <f>Ruimtestaat[[#This Row],[kosten / jaar weekend]]+Ruimtestaat[[#This Row],[kosten / jaar werkdagen]]</f>
        <v>0</v>
      </c>
      <c r="AH331" s="69"/>
      <c r="AI331" s="256" t="str">
        <f>IF(Ruimtestaat[[#This Row],[Frequentie werkdagen]]="","",_xlfn.CONCAT(Ruimtestaat[[#This Row],[Ruimte code]],"-",Ruimtestaat[[#This Row],[Frequentie werkdagen]]," ",Ruimtestaat[[#This Row],[Vloer code]]))</f>
        <v>16-5w L</v>
      </c>
      <c r="AJ331" s="300" t="str">
        <f>_xlfn.IFNA(VLOOKUP($AI331,Programma!$F$3:$G$1107,2,0),"")</f>
        <v>_</v>
      </c>
      <c r="AK331" s="300" t="str">
        <f>_xlfn.IFNA(VLOOKUP($AI331,Programma!$F$3:$H$1107,3,0),"")</f>
        <v>_</v>
      </c>
      <c r="AL331" s="300" t="str">
        <f>_xlfn.IFNA(VLOOKUP($AI331,Programma!$F$3:$I$1107,4,0),"")</f>
        <v>4w</v>
      </c>
      <c r="AM331" s="300" t="str">
        <f>_xlfn.IFNA(VLOOKUP($AI331,Programma!$F$3:$J$1107,5,0),"")</f>
        <v>1w</v>
      </c>
      <c r="AN331" s="300" t="str">
        <f>_xlfn.IFNA(VLOOKUP($AI331,Programma!$F$3:$K$1107,6,0),"")</f>
        <v>_</v>
      </c>
      <c r="AO331" s="300" t="str">
        <f>_xlfn.IFNA(VLOOKUP($AI331,Programma!$F$3:$L$1107,7,0),"")</f>
        <v>_</v>
      </c>
      <c r="AP331" s="300" t="str">
        <f>_xlfn.IFNA(VLOOKUP($AI331,Programma!$F$3:$M$1107,8,0),"")</f>
        <v>_</v>
      </c>
      <c r="AQ331" s="300" t="str">
        <f>_xlfn.IFNA(VLOOKUP($AI331,Programma!$F$3:$N$1107,9,0),"")</f>
        <v>_</v>
      </c>
      <c r="AR331" s="300" t="str">
        <f>_xlfn.IFNA(VLOOKUP($AI331,Programma!$F$3:$O$1107,10,0),"")</f>
        <v>5w</v>
      </c>
      <c r="AS331" s="300" t="str">
        <f>_xlfn.IFNA(VLOOKUP($AI331,Programma!$F$3:$P$1107,11,0),"")</f>
        <v>5w</v>
      </c>
      <c r="AT331" s="300" t="str">
        <f>_xlfn.IFNA(VLOOKUP($AI331,Programma!$F$3:$Q$1107,12,0),"")</f>
        <v>1w</v>
      </c>
      <c r="AU331" s="300" t="str">
        <f>_xlfn.IFNA(VLOOKUP($AI331,Programma!$F$3:$R$1107,13,0),"")</f>
        <v>1w</v>
      </c>
      <c r="AV331" s="300" t="str">
        <f>_xlfn.IFNA(VLOOKUP($AI331,Programma!$F$3:$S$1107,14,0),"")</f>
        <v>1m</v>
      </c>
      <c r="AW331" s="300" t="str">
        <f>_xlfn.IFNA(VLOOKUP($AI331,Programma!$F$3:$T$1107,15,0),"")</f>
        <v>2j</v>
      </c>
      <c r="AX331" s="300" t="str">
        <f>_xlfn.IFNA(VLOOKUP($AI331,Programma!$F$3:$U$1107,16,0),"")</f>
        <v>1j</v>
      </c>
      <c r="AY331" s="300" t="str">
        <f>_xlfn.IFNA(VLOOKUP($AI331,Programma!$F$3:$V$1107,17,0),"")</f>
        <v>_</v>
      </c>
      <c r="AZ331" s="300" t="str">
        <f>_xlfn.IFNA(VLOOKUP($AI331,Programma!$F$3:$W$1107,18,0),"")</f>
        <v>_</v>
      </c>
      <c r="BA331" s="300" t="str">
        <f>_xlfn.IFNA(VLOOKUP($AI331,Programma!$F$3:$X$1107,19,0),"")</f>
        <v>_</v>
      </c>
      <c r="BB331" s="300" t="str">
        <f>_xlfn.IFNA(VLOOKUP($AI331,Programma!$F$3:$Y$1107,20,0),"")</f>
        <v>_</v>
      </c>
      <c r="BC331" s="257"/>
      <c r="BD331" s="256" t="str">
        <f>IF(Ruimtestaat[[#This Row],[Frequentie weekend]]="","",_xlfn.CONCAT(Ruimtestaat[[#This Row],[Ruimte code]],"-",Ruimtestaat[[#This Row],[Frequentie weekend]]," ",Ruimtestaat[[#This Row],[Vloer code]]))</f>
        <v/>
      </c>
      <c r="BE331" s="300" t="str">
        <f>_xlfn.IFNA(VLOOKUP($BD331,Programma!$F$3:$G$1107,2,0),"")</f>
        <v/>
      </c>
      <c r="BF331" s="300" t="str">
        <f>_xlfn.IFNA(VLOOKUP($BD331,Programma!$F$3:$H$1107,3,0),"")</f>
        <v/>
      </c>
      <c r="BG331" s="300" t="str">
        <f>_xlfn.IFNA(VLOOKUP($BD331,Programma!$F$3:$I$1107,4,0),"")</f>
        <v/>
      </c>
      <c r="BH331" s="300" t="str">
        <f>_xlfn.IFNA(VLOOKUP($BD331,Programma!$F$3:$J$1107,5,0),"")</f>
        <v/>
      </c>
      <c r="BI331" s="300" t="str">
        <f>_xlfn.IFNA(VLOOKUP($BD331,Programma!$F$3:$K$1107,6,0),"")</f>
        <v/>
      </c>
      <c r="BJ331" s="300" t="str">
        <f>_xlfn.IFNA(VLOOKUP($BD331,Programma!$F$3:$L$1107,7,0),"")</f>
        <v/>
      </c>
      <c r="BK331" s="300" t="str">
        <f>_xlfn.IFNA(VLOOKUP($BD331,Programma!$F$3:$M$1107,8,0),"")</f>
        <v/>
      </c>
      <c r="BL331" s="300" t="str">
        <f>_xlfn.IFNA(VLOOKUP($BD331,Programma!$F$3:$N$1107,9,0),"")</f>
        <v/>
      </c>
      <c r="BM331" s="300" t="str">
        <f>_xlfn.IFNA(VLOOKUP($BD331,Programma!$F$3:$O$1107,10,0),"")</f>
        <v/>
      </c>
      <c r="BN331" s="300" t="str">
        <f>_xlfn.IFNA(VLOOKUP($BD331,Programma!$F$3:$P$1107,11,0),"")</f>
        <v/>
      </c>
      <c r="BO331" s="300" t="str">
        <f>_xlfn.IFNA(VLOOKUP($BD331,Programma!$F$3:$Q$1107,12,0),"")</f>
        <v/>
      </c>
      <c r="BP331" s="300" t="str">
        <f>_xlfn.IFNA(VLOOKUP($BD331,Programma!$F$3:$R$1107,13,0),"")</f>
        <v/>
      </c>
      <c r="BQ331" s="300" t="str">
        <f>_xlfn.IFNA(VLOOKUP($BD331,Programma!$F$3:$S$1107,14,0),"")</f>
        <v/>
      </c>
      <c r="BR331" s="300" t="str">
        <f>_xlfn.IFNA(VLOOKUP($BD331,Programma!$F$3:$T$1107,15,0),"")</f>
        <v/>
      </c>
      <c r="BS331" s="300" t="str">
        <f>_xlfn.IFNA(VLOOKUP($BD331,Programma!$F$3:$U$1107,16,0),"")</f>
        <v/>
      </c>
      <c r="BT331" s="300" t="str">
        <f>_xlfn.IFNA(VLOOKUP($BD331,Programma!$F$3:$V$1107,17,0),"")</f>
        <v/>
      </c>
      <c r="BU331" s="300" t="str">
        <f>_xlfn.IFNA(VLOOKUP($BD331,Programma!$F$3:$W$1107,18,0),"")</f>
        <v/>
      </c>
      <c r="BV331" s="300" t="str">
        <f>_xlfn.IFNA(VLOOKUP($BD331,Programma!$F$3:$X$1107,19,0),"")</f>
        <v/>
      </c>
      <c r="BW331" s="300" t="str">
        <f>_xlfn.IFNA(VLOOKUP($BD331,Programma!$F$3:$Y$1107,20,0),"")</f>
        <v/>
      </c>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row>
    <row r="332" spans="1:220" ht="15" customHeight="1">
      <c r="A332" s="21">
        <v>4</v>
      </c>
      <c r="B332" s="157" t="str">
        <f>VLOOKUP(Ruimtestaat[[#This Row],[Code]],Locaties[[Code]:[Locatie]],2,FALSE)</f>
        <v>Sint-Maartenscollege</v>
      </c>
      <c r="C332" s="157" t="str">
        <f>VLOOKUP(Ruimtestaat[[#This Row],[Code]],Locaties[[#All],[Code]:[Adres]],4,FALSE)</f>
        <v xml:space="preserve">Aart v.d. Leeuwkade 14 </v>
      </c>
      <c r="D332" s="157" t="str">
        <f>VLOOKUP(Ruimtestaat[[#This Row],[Code]],Locaties[[#All],[Code]:[Postcode]],5,FALSE)</f>
        <v>2274 KX</v>
      </c>
      <c r="E332" s="157" t="str">
        <f>VLOOKUP(Ruimtestaat[[#This Row],[Code]],Locaties[#All],6,FALSE)</f>
        <v>Voorburg</v>
      </c>
      <c r="F332" s="62"/>
      <c r="G332" s="21" t="s">
        <v>1784</v>
      </c>
      <c r="H332" s="21" t="s">
        <v>1997</v>
      </c>
      <c r="I332" s="62" t="s">
        <v>1998</v>
      </c>
      <c r="J332" s="21">
        <v>16</v>
      </c>
      <c r="K332" s="62" t="str">
        <f>VLOOKUP(Ruimtestaat[[#This Row],[Ruimte code]],Ruimtegroepen[[#All],[Code]:[Ruimte omschrijving]],2,FALSE)</f>
        <v>Leslokalen theorie</v>
      </c>
      <c r="L332" s="33" t="s">
        <v>101</v>
      </c>
      <c r="M332" s="367" t="s">
        <v>2495</v>
      </c>
      <c r="N332" s="140">
        <v>47</v>
      </c>
      <c r="O332" s="140"/>
      <c r="P332" s="125" t="str">
        <f>VLOOKUP(Ruimtestaat[[#This Row],[Ruimte code]],Ruimtegroepen[],4,FALSE)</f>
        <v>Le</v>
      </c>
      <c r="R332" s="33">
        <v>40</v>
      </c>
      <c r="S332" s="33" t="s">
        <v>2</v>
      </c>
      <c r="T332" s="33">
        <f>IF(R332&gt;0,IF(RIGHT(Ruimtestaat[[#This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2" s="33">
        <f>IF(T332&gt;0,VLOOKUP($J332,Ruimtegroepen[],3,FALSE)*VLOOKUP($L332,Vloersoorten[],3,FALSE)*VLOOKUP($S332,Frequenties[],3,FALSE)*VLOOKUP($A332,Locaties[],3,FALSE),0)</f>
        <v>0</v>
      </c>
      <c r="V332" s="33">
        <f>Ruimtestaat[[#This Row],[Uitvoeringen werkdagen]]*Ruimtestaat[[#This Row],[Oppervlak (netto)]]</f>
        <v>9400</v>
      </c>
      <c r="W332" s="154">
        <f>IF(U332&gt;0,Ruimtestaat[[#This Row],[Prest. (m2 /jaar) werkdagen]]/Ruimtestaat[[#This Row],[Norm (m2/uur) werkdagen]],0)</f>
        <v>0</v>
      </c>
      <c r="X332" s="155">
        <f>Ruimtestaat[[#This Row],[uren / jaar werkdagen]]*Tariefsopbouw!$E$35</f>
        <v>0</v>
      </c>
      <c r="Y332" s="33"/>
      <c r="Z332" s="33">
        <f>IF(Ruimtestaat[[#This Row],[Frequentie weekend]]&gt;0,VALUE(LEFT(Y332,1))*R332,0)</f>
        <v>0</v>
      </c>
      <c r="AA332" s="97">
        <f>IF($Z332&gt;0,VLOOKUP($J332,Ruimtegroepen[],3,FALSE)*VLOOKUP($L332,Vloersoorten[],3,FALSE)*VLOOKUP($Y332,Frequenties[],3,FALSE)*VLOOKUP(Ruimtestaat[[#This Row],[Code]],Locaties[],3,FALSE),0)</f>
        <v>0</v>
      </c>
      <c r="AB332" s="97">
        <f>Ruimtestaat[[#This Row],[Uitvoeringen weekend]]*Ruimtestaat[[#This Row],[Oppervlak (netto)]]</f>
        <v>0</v>
      </c>
      <c r="AC332" s="97">
        <f>IF(AA332&gt;0,Ruimtestaat[[#This Row],[Prest. (m2 /jaar) weekend]]/Ruimtestaat[[#This Row],[Norm (m2/uur) weekend]],0)</f>
        <v>0</v>
      </c>
      <c r="AD332" s="155">
        <f>Ruimtestaat[[#This Row],[uren / jaar weekend]]*Tariefsopbouw!$D$40</f>
        <v>0</v>
      </c>
      <c r="AE332" s="154">
        <f>Ruimtestaat[[#This Row],[Prest. (m2 /jaar) weekend]]+Ruimtestaat[[#This Row],[Prest. (m2 /jaar) werkdagen]]</f>
        <v>9400</v>
      </c>
      <c r="AF332" s="154">
        <f>Ruimtestaat[[#This Row],[uren / jaar weekend]]+Ruimtestaat[[#This Row],[uren / jaar werkdagen]]</f>
        <v>0</v>
      </c>
      <c r="AG332" s="69">
        <f>Ruimtestaat[[#This Row],[kosten / jaar weekend]]+Ruimtestaat[[#This Row],[kosten / jaar werkdagen]]</f>
        <v>0</v>
      </c>
      <c r="AH332" s="69"/>
      <c r="AI332" s="256" t="str">
        <f>IF(Ruimtestaat[[#This Row],[Frequentie werkdagen]]="","",_xlfn.CONCAT(Ruimtestaat[[#This Row],[Ruimte code]],"-",Ruimtestaat[[#This Row],[Frequentie werkdagen]]," ",Ruimtestaat[[#This Row],[Vloer code]]))</f>
        <v>16-5w L</v>
      </c>
      <c r="AJ332" s="300" t="str">
        <f>_xlfn.IFNA(VLOOKUP($AI332,Programma!$F$3:$G$1107,2,0),"")</f>
        <v>_</v>
      </c>
      <c r="AK332" s="300" t="str">
        <f>_xlfn.IFNA(VLOOKUP($AI332,Programma!$F$3:$H$1107,3,0),"")</f>
        <v>_</v>
      </c>
      <c r="AL332" s="300" t="str">
        <f>_xlfn.IFNA(VLOOKUP($AI332,Programma!$F$3:$I$1107,4,0),"")</f>
        <v>4w</v>
      </c>
      <c r="AM332" s="300" t="str">
        <f>_xlfn.IFNA(VLOOKUP($AI332,Programma!$F$3:$J$1107,5,0),"")</f>
        <v>1w</v>
      </c>
      <c r="AN332" s="300" t="str">
        <f>_xlfn.IFNA(VLOOKUP($AI332,Programma!$F$3:$K$1107,6,0),"")</f>
        <v>_</v>
      </c>
      <c r="AO332" s="300" t="str">
        <f>_xlfn.IFNA(VLOOKUP($AI332,Programma!$F$3:$L$1107,7,0),"")</f>
        <v>_</v>
      </c>
      <c r="AP332" s="300" t="str">
        <f>_xlfn.IFNA(VLOOKUP($AI332,Programma!$F$3:$M$1107,8,0),"")</f>
        <v>_</v>
      </c>
      <c r="AQ332" s="300" t="str">
        <f>_xlfn.IFNA(VLOOKUP($AI332,Programma!$F$3:$N$1107,9,0),"")</f>
        <v>_</v>
      </c>
      <c r="AR332" s="300" t="str">
        <f>_xlfn.IFNA(VLOOKUP($AI332,Programma!$F$3:$O$1107,10,0),"")</f>
        <v>5w</v>
      </c>
      <c r="AS332" s="300" t="str">
        <f>_xlfn.IFNA(VLOOKUP($AI332,Programma!$F$3:$P$1107,11,0),"")</f>
        <v>5w</v>
      </c>
      <c r="AT332" s="300" t="str">
        <f>_xlfn.IFNA(VLOOKUP($AI332,Programma!$F$3:$Q$1107,12,0),"")</f>
        <v>1w</v>
      </c>
      <c r="AU332" s="300" t="str">
        <f>_xlfn.IFNA(VLOOKUP($AI332,Programma!$F$3:$R$1107,13,0),"")</f>
        <v>1w</v>
      </c>
      <c r="AV332" s="300" t="str">
        <f>_xlfn.IFNA(VLOOKUP($AI332,Programma!$F$3:$S$1107,14,0),"")</f>
        <v>1m</v>
      </c>
      <c r="AW332" s="300" t="str">
        <f>_xlfn.IFNA(VLOOKUP($AI332,Programma!$F$3:$T$1107,15,0),"")</f>
        <v>2j</v>
      </c>
      <c r="AX332" s="300" t="str">
        <f>_xlfn.IFNA(VLOOKUP($AI332,Programma!$F$3:$U$1107,16,0),"")</f>
        <v>1j</v>
      </c>
      <c r="AY332" s="300" t="str">
        <f>_xlfn.IFNA(VLOOKUP($AI332,Programma!$F$3:$V$1107,17,0),"")</f>
        <v>_</v>
      </c>
      <c r="AZ332" s="300" t="str">
        <f>_xlfn.IFNA(VLOOKUP($AI332,Programma!$F$3:$W$1107,18,0),"")</f>
        <v>_</v>
      </c>
      <c r="BA332" s="300" t="str">
        <f>_xlfn.IFNA(VLOOKUP($AI332,Programma!$F$3:$X$1107,19,0),"")</f>
        <v>_</v>
      </c>
      <c r="BB332" s="300" t="str">
        <f>_xlfn.IFNA(VLOOKUP($AI332,Programma!$F$3:$Y$1107,20,0),"")</f>
        <v>_</v>
      </c>
      <c r="BC332" s="257"/>
      <c r="BD332" s="256" t="str">
        <f>IF(Ruimtestaat[[#This Row],[Frequentie weekend]]="","",_xlfn.CONCAT(Ruimtestaat[[#This Row],[Ruimte code]],"-",Ruimtestaat[[#This Row],[Frequentie weekend]]," ",Ruimtestaat[[#This Row],[Vloer code]]))</f>
        <v/>
      </c>
      <c r="BE332" s="300" t="str">
        <f>_xlfn.IFNA(VLOOKUP($BD332,Programma!$F$3:$G$1107,2,0),"")</f>
        <v/>
      </c>
      <c r="BF332" s="300" t="str">
        <f>_xlfn.IFNA(VLOOKUP($BD332,Programma!$F$3:$H$1107,3,0),"")</f>
        <v/>
      </c>
      <c r="BG332" s="300" t="str">
        <f>_xlfn.IFNA(VLOOKUP($BD332,Programma!$F$3:$I$1107,4,0),"")</f>
        <v/>
      </c>
      <c r="BH332" s="300" t="str">
        <f>_xlfn.IFNA(VLOOKUP($BD332,Programma!$F$3:$J$1107,5,0),"")</f>
        <v/>
      </c>
      <c r="BI332" s="300" t="str">
        <f>_xlfn.IFNA(VLOOKUP($BD332,Programma!$F$3:$K$1107,6,0),"")</f>
        <v/>
      </c>
      <c r="BJ332" s="300" t="str">
        <f>_xlfn.IFNA(VLOOKUP($BD332,Programma!$F$3:$L$1107,7,0),"")</f>
        <v/>
      </c>
      <c r="BK332" s="300" t="str">
        <f>_xlfn.IFNA(VLOOKUP($BD332,Programma!$F$3:$M$1107,8,0),"")</f>
        <v/>
      </c>
      <c r="BL332" s="300" t="str">
        <f>_xlfn.IFNA(VLOOKUP($BD332,Programma!$F$3:$N$1107,9,0),"")</f>
        <v/>
      </c>
      <c r="BM332" s="300" t="str">
        <f>_xlfn.IFNA(VLOOKUP($BD332,Programma!$F$3:$O$1107,10,0),"")</f>
        <v/>
      </c>
      <c r="BN332" s="300" t="str">
        <f>_xlfn.IFNA(VLOOKUP($BD332,Programma!$F$3:$P$1107,11,0),"")</f>
        <v/>
      </c>
      <c r="BO332" s="300" t="str">
        <f>_xlfn.IFNA(VLOOKUP($BD332,Programma!$F$3:$Q$1107,12,0),"")</f>
        <v/>
      </c>
      <c r="BP332" s="300" t="str">
        <f>_xlfn.IFNA(VLOOKUP($BD332,Programma!$F$3:$R$1107,13,0),"")</f>
        <v/>
      </c>
      <c r="BQ332" s="300" t="str">
        <f>_xlfn.IFNA(VLOOKUP($BD332,Programma!$F$3:$S$1107,14,0),"")</f>
        <v/>
      </c>
      <c r="BR332" s="300" t="str">
        <f>_xlfn.IFNA(VLOOKUP($BD332,Programma!$F$3:$T$1107,15,0),"")</f>
        <v/>
      </c>
      <c r="BS332" s="300" t="str">
        <f>_xlfn.IFNA(VLOOKUP($BD332,Programma!$F$3:$U$1107,16,0),"")</f>
        <v/>
      </c>
      <c r="BT332" s="300" t="str">
        <f>_xlfn.IFNA(VLOOKUP($BD332,Programma!$F$3:$V$1107,17,0),"")</f>
        <v/>
      </c>
      <c r="BU332" s="300" t="str">
        <f>_xlfn.IFNA(VLOOKUP($BD332,Programma!$F$3:$W$1107,18,0),"")</f>
        <v/>
      </c>
      <c r="BV332" s="300" t="str">
        <f>_xlfn.IFNA(VLOOKUP($BD332,Programma!$F$3:$X$1107,19,0),"")</f>
        <v/>
      </c>
      <c r="BW332" s="300" t="str">
        <f>_xlfn.IFNA(VLOOKUP($BD332,Programma!$F$3:$Y$1107,20,0),"")</f>
        <v/>
      </c>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row>
    <row r="333" spans="1:220" ht="15" customHeight="1">
      <c r="A333" s="21">
        <v>4</v>
      </c>
      <c r="B333" s="157" t="str">
        <f>VLOOKUP(Ruimtestaat[[#This Row],[Code]],Locaties[[Code]:[Locatie]],2,FALSE)</f>
        <v>Sint-Maartenscollege</v>
      </c>
      <c r="C333" s="157" t="str">
        <f>VLOOKUP(Ruimtestaat[[#This Row],[Code]],Locaties[[#All],[Code]:[Adres]],4,FALSE)</f>
        <v xml:space="preserve">Aart v.d. Leeuwkade 14 </v>
      </c>
      <c r="D333" s="157" t="str">
        <f>VLOOKUP(Ruimtestaat[[#This Row],[Code]],Locaties[[#All],[Code]:[Postcode]],5,FALSE)</f>
        <v>2274 KX</v>
      </c>
      <c r="E333" s="157" t="str">
        <f>VLOOKUP(Ruimtestaat[[#This Row],[Code]],Locaties[#All],6,FALSE)</f>
        <v>Voorburg</v>
      </c>
      <c r="F333" s="62"/>
      <c r="G333" s="21" t="s">
        <v>1784</v>
      </c>
      <c r="H333" s="21" t="s">
        <v>1999</v>
      </c>
      <c r="I333" s="62" t="s">
        <v>2000</v>
      </c>
      <c r="J333" s="21">
        <v>16</v>
      </c>
      <c r="K333" s="62" t="str">
        <f>VLOOKUP(Ruimtestaat[[#This Row],[Ruimte code]],Ruimtegroepen[[#All],[Code]:[Ruimte omschrijving]],2,FALSE)</f>
        <v>Leslokalen theorie</v>
      </c>
      <c r="L333" s="33" t="s">
        <v>101</v>
      </c>
      <c r="M333" s="367" t="s">
        <v>2495</v>
      </c>
      <c r="N333" s="140">
        <v>47</v>
      </c>
      <c r="O333" s="140"/>
      <c r="P333" s="125" t="str">
        <f>VLOOKUP(Ruimtestaat[[#This Row],[Ruimte code]],Ruimtegroepen[],4,FALSE)</f>
        <v>Le</v>
      </c>
      <c r="R333" s="33">
        <v>40</v>
      </c>
      <c r="S333" s="33" t="s">
        <v>2</v>
      </c>
      <c r="T333" s="33">
        <f>IF(R333&gt;0,IF(RIGHT(Ruimtestaat[[#This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3" s="33">
        <f>IF(T333&gt;0,VLOOKUP($J333,Ruimtegroepen[],3,FALSE)*VLOOKUP($L333,Vloersoorten[],3,FALSE)*VLOOKUP($S333,Frequenties[],3,FALSE)*VLOOKUP($A333,Locaties[],3,FALSE),0)</f>
        <v>0</v>
      </c>
      <c r="V333" s="33">
        <f>Ruimtestaat[[#This Row],[Uitvoeringen werkdagen]]*Ruimtestaat[[#This Row],[Oppervlak (netto)]]</f>
        <v>9400</v>
      </c>
      <c r="W333" s="154">
        <f>IF(U333&gt;0,Ruimtestaat[[#This Row],[Prest. (m2 /jaar) werkdagen]]/Ruimtestaat[[#This Row],[Norm (m2/uur) werkdagen]],0)</f>
        <v>0</v>
      </c>
      <c r="X333" s="155">
        <f>Ruimtestaat[[#This Row],[uren / jaar werkdagen]]*Tariefsopbouw!$E$35</f>
        <v>0</v>
      </c>
      <c r="Y333" s="33"/>
      <c r="Z333" s="33">
        <f>IF(Ruimtestaat[[#This Row],[Frequentie weekend]]&gt;0,VALUE(LEFT(Y333,1))*R333,0)</f>
        <v>0</v>
      </c>
      <c r="AA333" s="97">
        <f>IF($Z333&gt;0,VLOOKUP($J333,Ruimtegroepen[],3,FALSE)*VLOOKUP($L333,Vloersoorten[],3,FALSE)*VLOOKUP($Y333,Frequenties[],3,FALSE)*VLOOKUP(Ruimtestaat[[#This Row],[Code]],Locaties[],3,FALSE),0)</f>
        <v>0</v>
      </c>
      <c r="AB333" s="97">
        <f>Ruimtestaat[[#This Row],[Uitvoeringen weekend]]*Ruimtestaat[[#This Row],[Oppervlak (netto)]]</f>
        <v>0</v>
      </c>
      <c r="AC333" s="97">
        <f>IF(AA333&gt;0,Ruimtestaat[[#This Row],[Prest. (m2 /jaar) weekend]]/Ruimtestaat[[#This Row],[Norm (m2/uur) weekend]],0)</f>
        <v>0</v>
      </c>
      <c r="AD333" s="155">
        <f>Ruimtestaat[[#This Row],[uren / jaar weekend]]*Tariefsopbouw!$D$40</f>
        <v>0</v>
      </c>
      <c r="AE333" s="154">
        <f>Ruimtestaat[[#This Row],[Prest. (m2 /jaar) weekend]]+Ruimtestaat[[#This Row],[Prest. (m2 /jaar) werkdagen]]</f>
        <v>9400</v>
      </c>
      <c r="AF333" s="154">
        <f>Ruimtestaat[[#This Row],[uren / jaar weekend]]+Ruimtestaat[[#This Row],[uren / jaar werkdagen]]</f>
        <v>0</v>
      </c>
      <c r="AG333" s="69">
        <f>Ruimtestaat[[#This Row],[kosten / jaar weekend]]+Ruimtestaat[[#This Row],[kosten / jaar werkdagen]]</f>
        <v>0</v>
      </c>
      <c r="AH333" s="69"/>
      <c r="AI333" s="256" t="str">
        <f>IF(Ruimtestaat[[#This Row],[Frequentie werkdagen]]="","",_xlfn.CONCAT(Ruimtestaat[[#This Row],[Ruimte code]],"-",Ruimtestaat[[#This Row],[Frequentie werkdagen]]," ",Ruimtestaat[[#This Row],[Vloer code]]))</f>
        <v>16-5w L</v>
      </c>
      <c r="AJ333" s="300" t="str">
        <f>_xlfn.IFNA(VLOOKUP($AI333,Programma!$F$3:$G$1107,2,0),"")</f>
        <v>_</v>
      </c>
      <c r="AK333" s="300" t="str">
        <f>_xlfn.IFNA(VLOOKUP($AI333,Programma!$F$3:$H$1107,3,0),"")</f>
        <v>_</v>
      </c>
      <c r="AL333" s="300" t="str">
        <f>_xlfn.IFNA(VLOOKUP($AI333,Programma!$F$3:$I$1107,4,0),"")</f>
        <v>4w</v>
      </c>
      <c r="AM333" s="300" t="str">
        <f>_xlfn.IFNA(VLOOKUP($AI333,Programma!$F$3:$J$1107,5,0),"")</f>
        <v>1w</v>
      </c>
      <c r="AN333" s="300" t="str">
        <f>_xlfn.IFNA(VLOOKUP($AI333,Programma!$F$3:$K$1107,6,0),"")</f>
        <v>_</v>
      </c>
      <c r="AO333" s="300" t="str">
        <f>_xlfn.IFNA(VLOOKUP($AI333,Programma!$F$3:$L$1107,7,0),"")</f>
        <v>_</v>
      </c>
      <c r="AP333" s="300" t="str">
        <f>_xlfn.IFNA(VLOOKUP($AI333,Programma!$F$3:$M$1107,8,0),"")</f>
        <v>_</v>
      </c>
      <c r="AQ333" s="300" t="str">
        <f>_xlfn.IFNA(VLOOKUP($AI333,Programma!$F$3:$N$1107,9,0),"")</f>
        <v>_</v>
      </c>
      <c r="AR333" s="300" t="str">
        <f>_xlfn.IFNA(VLOOKUP($AI333,Programma!$F$3:$O$1107,10,0),"")</f>
        <v>5w</v>
      </c>
      <c r="AS333" s="300" t="str">
        <f>_xlfn.IFNA(VLOOKUP($AI333,Programma!$F$3:$P$1107,11,0),"")</f>
        <v>5w</v>
      </c>
      <c r="AT333" s="300" t="str">
        <f>_xlfn.IFNA(VLOOKUP($AI333,Programma!$F$3:$Q$1107,12,0),"")</f>
        <v>1w</v>
      </c>
      <c r="AU333" s="300" t="str">
        <f>_xlfn.IFNA(VLOOKUP($AI333,Programma!$F$3:$R$1107,13,0),"")</f>
        <v>1w</v>
      </c>
      <c r="AV333" s="300" t="str">
        <f>_xlfn.IFNA(VLOOKUP($AI333,Programma!$F$3:$S$1107,14,0),"")</f>
        <v>1m</v>
      </c>
      <c r="AW333" s="300" t="str">
        <f>_xlfn.IFNA(VLOOKUP($AI333,Programma!$F$3:$T$1107,15,0),"")</f>
        <v>2j</v>
      </c>
      <c r="AX333" s="300" t="str">
        <f>_xlfn.IFNA(VLOOKUP($AI333,Programma!$F$3:$U$1107,16,0),"")</f>
        <v>1j</v>
      </c>
      <c r="AY333" s="300" t="str">
        <f>_xlfn.IFNA(VLOOKUP($AI333,Programma!$F$3:$V$1107,17,0),"")</f>
        <v>_</v>
      </c>
      <c r="AZ333" s="300" t="str">
        <f>_xlfn.IFNA(VLOOKUP($AI333,Programma!$F$3:$W$1107,18,0),"")</f>
        <v>_</v>
      </c>
      <c r="BA333" s="300" t="str">
        <f>_xlfn.IFNA(VLOOKUP($AI333,Programma!$F$3:$X$1107,19,0),"")</f>
        <v>_</v>
      </c>
      <c r="BB333" s="300" t="str">
        <f>_xlfn.IFNA(VLOOKUP($AI333,Programma!$F$3:$Y$1107,20,0),"")</f>
        <v>_</v>
      </c>
      <c r="BC333" s="257"/>
      <c r="BD333" s="256" t="str">
        <f>IF(Ruimtestaat[[#This Row],[Frequentie weekend]]="","",_xlfn.CONCAT(Ruimtestaat[[#This Row],[Ruimte code]],"-",Ruimtestaat[[#This Row],[Frequentie weekend]]," ",Ruimtestaat[[#This Row],[Vloer code]]))</f>
        <v/>
      </c>
      <c r="BE333" s="300" t="str">
        <f>_xlfn.IFNA(VLOOKUP($BD333,Programma!$F$3:$G$1107,2,0),"")</f>
        <v/>
      </c>
      <c r="BF333" s="300" t="str">
        <f>_xlfn.IFNA(VLOOKUP($BD333,Programma!$F$3:$H$1107,3,0),"")</f>
        <v/>
      </c>
      <c r="BG333" s="300" t="str">
        <f>_xlfn.IFNA(VLOOKUP($BD333,Programma!$F$3:$I$1107,4,0),"")</f>
        <v/>
      </c>
      <c r="BH333" s="300" t="str">
        <f>_xlfn.IFNA(VLOOKUP($BD333,Programma!$F$3:$J$1107,5,0),"")</f>
        <v/>
      </c>
      <c r="BI333" s="300" t="str">
        <f>_xlfn.IFNA(VLOOKUP($BD333,Programma!$F$3:$K$1107,6,0),"")</f>
        <v/>
      </c>
      <c r="BJ333" s="300" t="str">
        <f>_xlfn.IFNA(VLOOKUP($BD333,Programma!$F$3:$L$1107,7,0),"")</f>
        <v/>
      </c>
      <c r="BK333" s="300" t="str">
        <f>_xlfn.IFNA(VLOOKUP($BD333,Programma!$F$3:$M$1107,8,0),"")</f>
        <v/>
      </c>
      <c r="BL333" s="300" t="str">
        <f>_xlfn.IFNA(VLOOKUP($BD333,Programma!$F$3:$N$1107,9,0),"")</f>
        <v/>
      </c>
      <c r="BM333" s="300" t="str">
        <f>_xlfn.IFNA(VLOOKUP($BD333,Programma!$F$3:$O$1107,10,0),"")</f>
        <v/>
      </c>
      <c r="BN333" s="300" t="str">
        <f>_xlfn.IFNA(VLOOKUP($BD333,Programma!$F$3:$P$1107,11,0),"")</f>
        <v/>
      </c>
      <c r="BO333" s="300" t="str">
        <f>_xlfn.IFNA(VLOOKUP($BD333,Programma!$F$3:$Q$1107,12,0),"")</f>
        <v/>
      </c>
      <c r="BP333" s="300" t="str">
        <f>_xlfn.IFNA(VLOOKUP($BD333,Programma!$F$3:$R$1107,13,0),"")</f>
        <v/>
      </c>
      <c r="BQ333" s="300" t="str">
        <f>_xlfn.IFNA(VLOOKUP($BD333,Programma!$F$3:$S$1107,14,0),"")</f>
        <v/>
      </c>
      <c r="BR333" s="300" t="str">
        <f>_xlfn.IFNA(VLOOKUP($BD333,Programma!$F$3:$T$1107,15,0),"")</f>
        <v/>
      </c>
      <c r="BS333" s="300" t="str">
        <f>_xlfn.IFNA(VLOOKUP($BD333,Programma!$F$3:$U$1107,16,0),"")</f>
        <v/>
      </c>
      <c r="BT333" s="300" t="str">
        <f>_xlfn.IFNA(VLOOKUP($BD333,Programma!$F$3:$V$1107,17,0),"")</f>
        <v/>
      </c>
      <c r="BU333" s="300" t="str">
        <f>_xlfn.IFNA(VLOOKUP($BD333,Programma!$F$3:$W$1107,18,0),"")</f>
        <v/>
      </c>
      <c r="BV333" s="300" t="str">
        <f>_xlfn.IFNA(VLOOKUP($BD333,Programma!$F$3:$X$1107,19,0),"")</f>
        <v/>
      </c>
      <c r="BW333" s="300" t="str">
        <f>_xlfn.IFNA(VLOOKUP($BD333,Programma!$F$3:$Y$1107,20,0),"")</f>
        <v/>
      </c>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row>
    <row r="334" spans="1:220" ht="15" customHeight="1">
      <c r="A334" s="21">
        <v>4</v>
      </c>
      <c r="B334" s="157" t="str">
        <f>VLOOKUP(Ruimtestaat[[#This Row],[Code]],Locaties[[Code]:[Locatie]],2,FALSE)</f>
        <v>Sint-Maartenscollege</v>
      </c>
      <c r="C334" s="157" t="str">
        <f>VLOOKUP(Ruimtestaat[[#This Row],[Code]],Locaties[[#All],[Code]:[Adres]],4,FALSE)</f>
        <v xml:space="preserve">Aart v.d. Leeuwkade 14 </v>
      </c>
      <c r="D334" s="157" t="str">
        <f>VLOOKUP(Ruimtestaat[[#This Row],[Code]],Locaties[[#All],[Code]:[Postcode]],5,FALSE)</f>
        <v>2274 KX</v>
      </c>
      <c r="E334" s="157" t="str">
        <f>VLOOKUP(Ruimtestaat[[#This Row],[Code]],Locaties[#All],6,FALSE)</f>
        <v>Voorburg</v>
      </c>
      <c r="F334" s="62"/>
      <c r="G334" s="21" t="s">
        <v>1784</v>
      </c>
      <c r="H334" s="21" t="s">
        <v>2001</v>
      </c>
      <c r="I334" s="62" t="s">
        <v>2002</v>
      </c>
      <c r="J334" s="21">
        <v>16</v>
      </c>
      <c r="K334" s="62" t="str">
        <f>VLOOKUP(Ruimtestaat[[#This Row],[Ruimte code]],Ruimtegroepen[[#All],[Code]:[Ruimte omschrijving]],2,FALSE)</f>
        <v>Leslokalen theorie</v>
      </c>
      <c r="L334" s="33" t="s">
        <v>101</v>
      </c>
      <c r="M334" s="367" t="s">
        <v>2495</v>
      </c>
      <c r="N334" s="140">
        <v>47</v>
      </c>
      <c r="O334" s="140"/>
      <c r="P334" s="125" t="str">
        <f>VLOOKUP(Ruimtestaat[[#This Row],[Ruimte code]],Ruimtegroepen[],4,FALSE)</f>
        <v>Le</v>
      </c>
      <c r="R334" s="33">
        <v>40</v>
      </c>
      <c r="S334" s="33" t="s">
        <v>2</v>
      </c>
      <c r="T334" s="33">
        <f>IF(R334&gt;0,IF(RIGHT(Ruimtestaat[[#This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4" s="33">
        <f>IF(T334&gt;0,VLOOKUP($J334,Ruimtegroepen[],3,FALSE)*VLOOKUP($L334,Vloersoorten[],3,FALSE)*VLOOKUP($S334,Frequenties[],3,FALSE)*VLOOKUP($A334,Locaties[],3,FALSE),0)</f>
        <v>0</v>
      </c>
      <c r="V334" s="33">
        <f>Ruimtestaat[[#This Row],[Uitvoeringen werkdagen]]*Ruimtestaat[[#This Row],[Oppervlak (netto)]]</f>
        <v>9400</v>
      </c>
      <c r="W334" s="154">
        <f>IF(U334&gt;0,Ruimtestaat[[#This Row],[Prest. (m2 /jaar) werkdagen]]/Ruimtestaat[[#This Row],[Norm (m2/uur) werkdagen]],0)</f>
        <v>0</v>
      </c>
      <c r="X334" s="155">
        <f>Ruimtestaat[[#This Row],[uren / jaar werkdagen]]*Tariefsopbouw!$E$35</f>
        <v>0</v>
      </c>
      <c r="Y334" s="33"/>
      <c r="Z334" s="33">
        <f>IF(Ruimtestaat[[#This Row],[Frequentie weekend]]&gt;0,VALUE(LEFT(Y334,1))*R334,0)</f>
        <v>0</v>
      </c>
      <c r="AA334" s="97">
        <f>IF($Z334&gt;0,VLOOKUP($J334,Ruimtegroepen[],3,FALSE)*VLOOKUP($L334,Vloersoorten[],3,FALSE)*VLOOKUP($Y334,Frequenties[],3,FALSE)*VLOOKUP(Ruimtestaat[[#This Row],[Code]],Locaties[],3,FALSE),0)</f>
        <v>0</v>
      </c>
      <c r="AB334" s="97">
        <f>Ruimtestaat[[#This Row],[Uitvoeringen weekend]]*Ruimtestaat[[#This Row],[Oppervlak (netto)]]</f>
        <v>0</v>
      </c>
      <c r="AC334" s="97">
        <f>IF(AA334&gt;0,Ruimtestaat[[#This Row],[Prest. (m2 /jaar) weekend]]/Ruimtestaat[[#This Row],[Norm (m2/uur) weekend]],0)</f>
        <v>0</v>
      </c>
      <c r="AD334" s="155">
        <f>Ruimtestaat[[#This Row],[uren / jaar weekend]]*Tariefsopbouw!$D$40</f>
        <v>0</v>
      </c>
      <c r="AE334" s="154">
        <f>Ruimtestaat[[#This Row],[Prest. (m2 /jaar) weekend]]+Ruimtestaat[[#This Row],[Prest. (m2 /jaar) werkdagen]]</f>
        <v>9400</v>
      </c>
      <c r="AF334" s="154">
        <f>Ruimtestaat[[#This Row],[uren / jaar weekend]]+Ruimtestaat[[#This Row],[uren / jaar werkdagen]]</f>
        <v>0</v>
      </c>
      <c r="AG334" s="69">
        <f>Ruimtestaat[[#This Row],[kosten / jaar weekend]]+Ruimtestaat[[#This Row],[kosten / jaar werkdagen]]</f>
        <v>0</v>
      </c>
      <c r="AH334" s="69"/>
      <c r="AI334" s="256" t="str">
        <f>IF(Ruimtestaat[[#This Row],[Frequentie werkdagen]]="","",_xlfn.CONCAT(Ruimtestaat[[#This Row],[Ruimte code]],"-",Ruimtestaat[[#This Row],[Frequentie werkdagen]]," ",Ruimtestaat[[#This Row],[Vloer code]]))</f>
        <v>16-5w L</v>
      </c>
      <c r="AJ334" s="300" t="str">
        <f>_xlfn.IFNA(VLOOKUP($AI334,Programma!$F$3:$G$1107,2,0),"")</f>
        <v>_</v>
      </c>
      <c r="AK334" s="300" t="str">
        <f>_xlfn.IFNA(VLOOKUP($AI334,Programma!$F$3:$H$1107,3,0),"")</f>
        <v>_</v>
      </c>
      <c r="AL334" s="300" t="str">
        <f>_xlfn.IFNA(VLOOKUP($AI334,Programma!$F$3:$I$1107,4,0),"")</f>
        <v>4w</v>
      </c>
      <c r="AM334" s="300" t="str">
        <f>_xlfn.IFNA(VLOOKUP($AI334,Programma!$F$3:$J$1107,5,0),"")</f>
        <v>1w</v>
      </c>
      <c r="AN334" s="300" t="str">
        <f>_xlfn.IFNA(VLOOKUP($AI334,Programma!$F$3:$K$1107,6,0),"")</f>
        <v>_</v>
      </c>
      <c r="AO334" s="300" t="str">
        <f>_xlfn.IFNA(VLOOKUP($AI334,Programma!$F$3:$L$1107,7,0),"")</f>
        <v>_</v>
      </c>
      <c r="AP334" s="300" t="str">
        <f>_xlfn.IFNA(VLOOKUP($AI334,Programma!$F$3:$M$1107,8,0),"")</f>
        <v>_</v>
      </c>
      <c r="AQ334" s="300" t="str">
        <f>_xlfn.IFNA(VLOOKUP($AI334,Programma!$F$3:$N$1107,9,0),"")</f>
        <v>_</v>
      </c>
      <c r="AR334" s="300" t="str">
        <f>_xlfn.IFNA(VLOOKUP($AI334,Programma!$F$3:$O$1107,10,0),"")</f>
        <v>5w</v>
      </c>
      <c r="AS334" s="300" t="str">
        <f>_xlfn.IFNA(VLOOKUP($AI334,Programma!$F$3:$P$1107,11,0),"")</f>
        <v>5w</v>
      </c>
      <c r="AT334" s="300" t="str">
        <f>_xlfn.IFNA(VLOOKUP($AI334,Programma!$F$3:$Q$1107,12,0),"")</f>
        <v>1w</v>
      </c>
      <c r="AU334" s="300" t="str">
        <f>_xlfn.IFNA(VLOOKUP($AI334,Programma!$F$3:$R$1107,13,0),"")</f>
        <v>1w</v>
      </c>
      <c r="AV334" s="300" t="str">
        <f>_xlfn.IFNA(VLOOKUP($AI334,Programma!$F$3:$S$1107,14,0),"")</f>
        <v>1m</v>
      </c>
      <c r="AW334" s="300" t="str">
        <f>_xlfn.IFNA(VLOOKUP($AI334,Programma!$F$3:$T$1107,15,0),"")</f>
        <v>2j</v>
      </c>
      <c r="AX334" s="300" t="str">
        <f>_xlfn.IFNA(VLOOKUP($AI334,Programma!$F$3:$U$1107,16,0),"")</f>
        <v>1j</v>
      </c>
      <c r="AY334" s="300" t="str">
        <f>_xlfn.IFNA(VLOOKUP($AI334,Programma!$F$3:$V$1107,17,0),"")</f>
        <v>_</v>
      </c>
      <c r="AZ334" s="300" t="str">
        <f>_xlfn.IFNA(VLOOKUP($AI334,Programma!$F$3:$W$1107,18,0),"")</f>
        <v>_</v>
      </c>
      <c r="BA334" s="300" t="str">
        <f>_xlfn.IFNA(VLOOKUP($AI334,Programma!$F$3:$X$1107,19,0),"")</f>
        <v>_</v>
      </c>
      <c r="BB334" s="300" t="str">
        <f>_xlfn.IFNA(VLOOKUP($AI334,Programma!$F$3:$Y$1107,20,0),"")</f>
        <v>_</v>
      </c>
      <c r="BC334" s="257"/>
      <c r="BD334" s="256" t="str">
        <f>IF(Ruimtestaat[[#This Row],[Frequentie weekend]]="","",_xlfn.CONCAT(Ruimtestaat[[#This Row],[Ruimte code]],"-",Ruimtestaat[[#This Row],[Frequentie weekend]]," ",Ruimtestaat[[#This Row],[Vloer code]]))</f>
        <v/>
      </c>
      <c r="BE334" s="300" t="str">
        <f>_xlfn.IFNA(VLOOKUP($BD334,Programma!$F$3:$G$1107,2,0),"")</f>
        <v/>
      </c>
      <c r="BF334" s="300" t="str">
        <f>_xlfn.IFNA(VLOOKUP($BD334,Programma!$F$3:$H$1107,3,0),"")</f>
        <v/>
      </c>
      <c r="BG334" s="300" t="str">
        <f>_xlfn.IFNA(VLOOKUP($BD334,Programma!$F$3:$I$1107,4,0),"")</f>
        <v/>
      </c>
      <c r="BH334" s="300" t="str">
        <f>_xlfn.IFNA(VLOOKUP($BD334,Programma!$F$3:$J$1107,5,0),"")</f>
        <v/>
      </c>
      <c r="BI334" s="300" t="str">
        <f>_xlfn.IFNA(VLOOKUP($BD334,Programma!$F$3:$K$1107,6,0),"")</f>
        <v/>
      </c>
      <c r="BJ334" s="300" t="str">
        <f>_xlfn.IFNA(VLOOKUP($BD334,Programma!$F$3:$L$1107,7,0),"")</f>
        <v/>
      </c>
      <c r="BK334" s="300" t="str">
        <f>_xlfn.IFNA(VLOOKUP($BD334,Programma!$F$3:$M$1107,8,0),"")</f>
        <v/>
      </c>
      <c r="BL334" s="300" t="str">
        <f>_xlfn.IFNA(VLOOKUP($BD334,Programma!$F$3:$N$1107,9,0),"")</f>
        <v/>
      </c>
      <c r="BM334" s="300" t="str">
        <f>_xlfn.IFNA(VLOOKUP($BD334,Programma!$F$3:$O$1107,10,0),"")</f>
        <v/>
      </c>
      <c r="BN334" s="300" t="str">
        <f>_xlfn.IFNA(VLOOKUP($BD334,Programma!$F$3:$P$1107,11,0),"")</f>
        <v/>
      </c>
      <c r="BO334" s="300" t="str">
        <f>_xlfn.IFNA(VLOOKUP($BD334,Programma!$F$3:$Q$1107,12,0),"")</f>
        <v/>
      </c>
      <c r="BP334" s="300" t="str">
        <f>_xlfn.IFNA(VLOOKUP($BD334,Programma!$F$3:$R$1107,13,0),"")</f>
        <v/>
      </c>
      <c r="BQ334" s="300" t="str">
        <f>_xlfn.IFNA(VLOOKUP($BD334,Programma!$F$3:$S$1107,14,0),"")</f>
        <v/>
      </c>
      <c r="BR334" s="300" t="str">
        <f>_xlfn.IFNA(VLOOKUP($BD334,Programma!$F$3:$T$1107,15,0),"")</f>
        <v/>
      </c>
      <c r="BS334" s="300" t="str">
        <f>_xlfn.IFNA(VLOOKUP($BD334,Programma!$F$3:$U$1107,16,0),"")</f>
        <v/>
      </c>
      <c r="BT334" s="300" t="str">
        <f>_xlfn.IFNA(VLOOKUP($BD334,Programma!$F$3:$V$1107,17,0),"")</f>
        <v/>
      </c>
      <c r="BU334" s="300" t="str">
        <f>_xlfn.IFNA(VLOOKUP($BD334,Programma!$F$3:$W$1107,18,0),"")</f>
        <v/>
      </c>
      <c r="BV334" s="300" t="str">
        <f>_xlfn.IFNA(VLOOKUP($BD334,Programma!$F$3:$X$1107,19,0),"")</f>
        <v/>
      </c>
      <c r="BW334" s="300" t="str">
        <f>_xlfn.IFNA(VLOOKUP($BD334,Programma!$F$3:$Y$1107,20,0),"")</f>
        <v/>
      </c>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row>
    <row r="335" spans="1:220" ht="15" customHeight="1">
      <c r="A335" s="21">
        <v>4</v>
      </c>
      <c r="B335" s="157" t="str">
        <f>VLOOKUP(Ruimtestaat[[#This Row],[Code]],Locaties[[Code]:[Locatie]],2,FALSE)</f>
        <v>Sint-Maartenscollege</v>
      </c>
      <c r="C335" s="157" t="str">
        <f>VLOOKUP(Ruimtestaat[[#This Row],[Code]],Locaties[[#All],[Code]:[Adres]],4,FALSE)</f>
        <v xml:space="preserve">Aart v.d. Leeuwkade 14 </v>
      </c>
      <c r="D335" s="157" t="str">
        <f>VLOOKUP(Ruimtestaat[[#This Row],[Code]],Locaties[[#All],[Code]:[Postcode]],5,FALSE)</f>
        <v>2274 KX</v>
      </c>
      <c r="E335" s="157" t="str">
        <f>VLOOKUP(Ruimtestaat[[#This Row],[Code]],Locaties[#All],6,FALSE)</f>
        <v>Voorburg</v>
      </c>
      <c r="F335" s="62"/>
      <c r="G335" s="21" t="s">
        <v>1784</v>
      </c>
      <c r="H335" s="21" t="s">
        <v>2003</v>
      </c>
      <c r="I335" s="62" t="s">
        <v>2004</v>
      </c>
      <c r="J335" s="21">
        <v>16</v>
      </c>
      <c r="K335" s="62" t="str">
        <f>VLOOKUP(Ruimtestaat[[#This Row],[Ruimte code]],Ruimtegroepen[[#All],[Code]:[Ruimte omschrijving]],2,FALSE)</f>
        <v>Leslokalen theorie</v>
      </c>
      <c r="L335" s="33" t="s">
        <v>101</v>
      </c>
      <c r="M335" s="367" t="s">
        <v>2495</v>
      </c>
      <c r="N335" s="140">
        <v>47</v>
      </c>
      <c r="O335" s="140"/>
      <c r="P335" s="125" t="str">
        <f>VLOOKUP(Ruimtestaat[[#This Row],[Ruimte code]],Ruimtegroepen[],4,FALSE)</f>
        <v>Le</v>
      </c>
      <c r="R335" s="33">
        <v>40</v>
      </c>
      <c r="S335" s="33" t="s">
        <v>2</v>
      </c>
      <c r="T335" s="33">
        <f>IF(R335&gt;0,IF(RIGHT(Ruimtestaat[[#This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5" s="33">
        <f>IF(T335&gt;0,VLOOKUP($J335,Ruimtegroepen[],3,FALSE)*VLOOKUP($L335,Vloersoorten[],3,FALSE)*VLOOKUP($S335,Frequenties[],3,FALSE)*VLOOKUP($A335,Locaties[],3,FALSE),0)</f>
        <v>0</v>
      </c>
      <c r="V335" s="33">
        <f>Ruimtestaat[[#This Row],[Uitvoeringen werkdagen]]*Ruimtestaat[[#This Row],[Oppervlak (netto)]]</f>
        <v>9400</v>
      </c>
      <c r="W335" s="154">
        <f>IF(U335&gt;0,Ruimtestaat[[#This Row],[Prest. (m2 /jaar) werkdagen]]/Ruimtestaat[[#This Row],[Norm (m2/uur) werkdagen]],0)</f>
        <v>0</v>
      </c>
      <c r="X335" s="155">
        <f>Ruimtestaat[[#This Row],[uren / jaar werkdagen]]*Tariefsopbouw!$E$35</f>
        <v>0</v>
      </c>
      <c r="Y335" s="33"/>
      <c r="Z335" s="33">
        <f>IF(Ruimtestaat[[#This Row],[Frequentie weekend]]&gt;0,VALUE(LEFT(Y335,1))*R335,0)</f>
        <v>0</v>
      </c>
      <c r="AA335" s="97">
        <f>IF($Z335&gt;0,VLOOKUP($J335,Ruimtegroepen[],3,FALSE)*VLOOKUP($L335,Vloersoorten[],3,FALSE)*VLOOKUP($Y335,Frequenties[],3,FALSE)*VLOOKUP(Ruimtestaat[[#This Row],[Code]],Locaties[],3,FALSE),0)</f>
        <v>0</v>
      </c>
      <c r="AB335" s="97">
        <f>Ruimtestaat[[#This Row],[Uitvoeringen weekend]]*Ruimtestaat[[#This Row],[Oppervlak (netto)]]</f>
        <v>0</v>
      </c>
      <c r="AC335" s="97">
        <f>IF(AA335&gt;0,Ruimtestaat[[#This Row],[Prest. (m2 /jaar) weekend]]/Ruimtestaat[[#This Row],[Norm (m2/uur) weekend]],0)</f>
        <v>0</v>
      </c>
      <c r="AD335" s="155">
        <f>Ruimtestaat[[#This Row],[uren / jaar weekend]]*Tariefsopbouw!$D$40</f>
        <v>0</v>
      </c>
      <c r="AE335" s="154">
        <f>Ruimtestaat[[#This Row],[Prest. (m2 /jaar) weekend]]+Ruimtestaat[[#This Row],[Prest. (m2 /jaar) werkdagen]]</f>
        <v>9400</v>
      </c>
      <c r="AF335" s="154">
        <f>Ruimtestaat[[#This Row],[uren / jaar weekend]]+Ruimtestaat[[#This Row],[uren / jaar werkdagen]]</f>
        <v>0</v>
      </c>
      <c r="AG335" s="69">
        <f>Ruimtestaat[[#This Row],[kosten / jaar weekend]]+Ruimtestaat[[#This Row],[kosten / jaar werkdagen]]</f>
        <v>0</v>
      </c>
      <c r="AH335" s="69"/>
      <c r="AI335" s="256" t="str">
        <f>IF(Ruimtestaat[[#This Row],[Frequentie werkdagen]]="","",_xlfn.CONCAT(Ruimtestaat[[#This Row],[Ruimte code]],"-",Ruimtestaat[[#This Row],[Frequentie werkdagen]]," ",Ruimtestaat[[#This Row],[Vloer code]]))</f>
        <v>16-5w L</v>
      </c>
      <c r="AJ335" s="300" t="str">
        <f>_xlfn.IFNA(VLOOKUP($AI335,Programma!$F$3:$G$1107,2,0),"")</f>
        <v>_</v>
      </c>
      <c r="AK335" s="300" t="str">
        <f>_xlfn.IFNA(VLOOKUP($AI335,Programma!$F$3:$H$1107,3,0),"")</f>
        <v>_</v>
      </c>
      <c r="AL335" s="300" t="str">
        <f>_xlfn.IFNA(VLOOKUP($AI335,Programma!$F$3:$I$1107,4,0),"")</f>
        <v>4w</v>
      </c>
      <c r="AM335" s="300" t="str">
        <f>_xlfn.IFNA(VLOOKUP($AI335,Programma!$F$3:$J$1107,5,0),"")</f>
        <v>1w</v>
      </c>
      <c r="AN335" s="300" t="str">
        <f>_xlfn.IFNA(VLOOKUP($AI335,Programma!$F$3:$K$1107,6,0),"")</f>
        <v>_</v>
      </c>
      <c r="AO335" s="300" t="str">
        <f>_xlfn.IFNA(VLOOKUP($AI335,Programma!$F$3:$L$1107,7,0),"")</f>
        <v>_</v>
      </c>
      <c r="AP335" s="300" t="str">
        <f>_xlfn.IFNA(VLOOKUP($AI335,Programma!$F$3:$M$1107,8,0),"")</f>
        <v>_</v>
      </c>
      <c r="AQ335" s="300" t="str">
        <f>_xlfn.IFNA(VLOOKUP($AI335,Programma!$F$3:$N$1107,9,0),"")</f>
        <v>_</v>
      </c>
      <c r="AR335" s="300" t="str">
        <f>_xlfn.IFNA(VLOOKUP($AI335,Programma!$F$3:$O$1107,10,0),"")</f>
        <v>5w</v>
      </c>
      <c r="AS335" s="300" t="str">
        <f>_xlfn.IFNA(VLOOKUP($AI335,Programma!$F$3:$P$1107,11,0),"")</f>
        <v>5w</v>
      </c>
      <c r="AT335" s="300" t="str">
        <f>_xlfn.IFNA(VLOOKUP($AI335,Programma!$F$3:$Q$1107,12,0),"")</f>
        <v>1w</v>
      </c>
      <c r="AU335" s="300" t="str">
        <f>_xlfn.IFNA(VLOOKUP($AI335,Programma!$F$3:$R$1107,13,0),"")</f>
        <v>1w</v>
      </c>
      <c r="AV335" s="300" t="str">
        <f>_xlfn.IFNA(VLOOKUP($AI335,Programma!$F$3:$S$1107,14,0),"")</f>
        <v>1m</v>
      </c>
      <c r="AW335" s="300" t="str">
        <f>_xlfn.IFNA(VLOOKUP($AI335,Programma!$F$3:$T$1107,15,0),"")</f>
        <v>2j</v>
      </c>
      <c r="AX335" s="300" t="str">
        <f>_xlfn.IFNA(VLOOKUP($AI335,Programma!$F$3:$U$1107,16,0),"")</f>
        <v>1j</v>
      </c>
      <c r="AY335" s="300" t="str">
        <f>_xlfn.IFNA(VLOOKUP($AI335,Programma!$F$3:$V$1107,17,0),"")</f>
        <v>_</v>
      </c>
      <c r="AZ335" s="300" t="str">
        <f>_xlfn.IFNA(VLOOKUP($AI335,Programma!$F$3:$W$1107,18,0),"")</f>
        <v>_</v>
      </c>
      <c r="BA335" s="300" t="str">
        <f>_xlfn.IFNA(VLOOKUP($AI335,Programma!$F$3:$X$1107,19,0),"")</f>
        <v>_</v>
      </c>
      <c r="BB335" s="300" t="str">
        <f>_xlfn.IFNA(VLOOKUP($AI335,Programma!$F$3:$Y$1107,20,0),"")</f>
        <v>_</v>
      </c>
      <c r="BC335" s="257"/>
      <c r="BD335" s="256" t="str">
        <f>IF(Ruimtestaat[[#This Row],[Frequentie weekend]]="","",_xlfn.CONCAT(Ruimtestaat[[#This Row],[Ruimte code]],"-",Ruimtestaat[[#This Row],[Frequentie weekend]]," ",Ruimtestaat[[#This Row],[Vloer code]]))</f>
        <v/>
      </c>
      <c r="BE335" s="300" t="str">
        <f>_xlfn.IFNA(VLOOKUP($BD335,Programma!$F$3:$G$1107,2,0),"")</f>
        <v/>
      </c>
      <c r="BF335" s="300" t="str">
        <f>_xlfn.IFNA(VLOOKUP($BD335,Programma!$F$3:$H$1107,3,0),"")</f>
        <v/>
      </c>
      <c r="BG335" s="300" t="str">
        <f>_xlfn.IFNA(VLOOKUP($BD335,Programma!$F$3:$I$1107,4,0),"")</f>
        <v/>
      </c>
      <c r="BH335" s="300" t="str">
        <f>_xlfn.IFNA(VLOOKUP($BD335,Programma!$F$3:$J$1107,5,0),"")</f>
        <v/>
      </c>
      <c r="BI335" s="300" t="str">
        <f>_xlfn.IFNA(VLOOKUP($BD335,Programma!$F$3:$K$1107,6,0),"")</f>
        <v/>
      </c>
      <c r="BJ335" s="300" t="str">
        <f>_xlfn.IFNA(VLOOKUP($BD335,Programma!$F$3:$L$1107,7,0),"")</f>
        <v/>
      </c>
      <c r="BK335" s="300" t="str">
        <f>_xlfn.IFNA(VLOOKUP($BD335,Programma!$F$3:$M$1107,8,0),"")</f>
        <v/>
      </c>
      <c r="BL335" s="300" t="str">
        <f>_xlfn.IFNA(VLOOKUP($BD335,Programma!$F$3:$N$1107,9,0),"")</f>
        <v/>
      </c>
      <c r="BM335" s="300" t="str">
        <f>_xlfn.IFNA(VLOOKUP($BD335,Programma!$F$3:$O$1107,10,0),"")</f>
        <v/>
      </c>
      <c r="BN335" s="300" t="str">
        <f>_xlfn.IFNA(VLOOKUP($BD335,Programma!$F$3:$P$1107,11,0),"")</f>
        <v/>
      </c>
      <c r="BO335" s="300" t="str">
        <f>_xlfn.IFNA(VLOOKUP($BD335,Programma!$F$3:$Q$1107,12,0),"")</f>
        <v/>
      </c>
      <c r="BP335" s="300" t="str">
        <f>_xlfn.IFNA(VLOOKUP($BD335,Programma!$F$3:$R$1107,13,0),"")</f>
        <v/>
      </c>
      <c r="BQ335" s="300" t="str">
        <f>_xlfn.IFNA(VLOOKUP($BD335,Programma!$F$3:$S$1107,14,0),"")</f>
        <v/>
      </c>
      <c r="BR335" s="300" t="str">
        <f>_xlfn.IFNA(VLOOKUP($BD335,Programma!$F$3:$T$1107,15,0),"")</f>
        <v/>
      </c>
      <c r="BS335" s="300" t="str">
        <f>_xlfn.IFNA(VLOOKUP($BD335,Programma!$F$3:$U$1107,16,0),"")</f>
        <v/>
      </c>
      <c r="BT335" s="300" t="str">
        <f>_xlfn.IFNA(VLOOKUP($BD335,Programma!$F$3:$V$1107,17,0),"")</f>
        <v/>
      </c>
      <c r="BU335" s="300" t="str">
        <f>_xlfn.IFNA(VLOOKUP($BD335,Programma!$F$3:$W$1107,18,0),"")</f>
        <v/>
      </c>
      <c r="BV335" s="300" t="str">
        <f>_xlfn.IFNA(VLOOKUP($BD335,Programma!$F$3:$X$1107,19,0),"")</f>
        <v/>
      </c>
      <c r="BW335" s="300" t="str">
        <f>_xlfn.IFNA(VLOOKUP($BD335,Programma!$F$3:$Y$1107,20,0),"")</f>
        <v/>
      </c>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row>
    <row r="336" spans="1:220" ht="15" customHeight="1">
      <c r="A336" s="21">
        <v>4</v>
      </c>
      <c r="B336" s="157" t="str">
        <f>VLOOKUP(Ruimtestaat[[#This Row],[Code]],Locaties[[Code]:[Locatie]],2,FALSE)</f>
        <v>Sint-Maartenscollege</v>
      </c>
      <c r="C336" s="157" t="str">
        <f>VLOOKUP(Ruimtestaat[[#This Row],[Code]],Locaties[[#All],[Code]:[Adres]],4,FALSE)</f>
        <v xml:space="preserve">Aart v.d. Leeuwkade 14 </v>
      </c>
      <c r="D336" s="157" t="str">
        <f>VLOOKUP(Ruimtestaat[[#This Row],[Code]],Locaties[[#All],[Code]:[Postcode]],5,FALSE)</f>
        <v>2274 KX</v>
      </c>
      <c r="E336" s="157" t="str">
        <f>VLOOKUP(Ruimtestaat[[#This Row],[Code]],Locaties[#All],6,FALSE)</f>
        <v>Voorburg</v>
      </c>
      <c r="F336" s="62"/>
      <c r="G336" s="21" t="s">
        <v>1784</v>
      </c>
      <c r="H336" s="21" t="s">
        <v>2005</v>
      </c>
      <c r="I336" s="62" t="s">
        <v>2006</v>
      </c>
      <c r="J336" s="21">
        <v>16</v>
      </c>
      <c r="K336" s="62" t="str">
        <f>VLOOKUP(Ruimtestaat[[#This Row],[Ruimte code]],Ruimtegroepen[[#All],[Code]:[Ruimte omschrijving]],2,FALSE)</f>
        <v>Leslokalen theorie</v>
      </c>
      <c r="L336" s="33" t="s">
        <v>101</v>
      </c>
      <c r="M336" s="367" t="s">
        <v>2495</v>
      </c>
      <c r="N336" s="140">
        <v>46</v>
      </c>
      <c r="O336" s="140"/>
      <c r="P336" s="125" t="str">
        <f>VLOOKUP(Ruimtestaat[[#This Row],[Ruimte code]],Ruimtegroepen[],4,FALSE)</f>
        <v>Le</v>
      </c>
      <c r="R336" s="33">
        <v>40</v>
      </c>
      <c r="S336" s="33" t="s">
        <v>2</v>
      </c>
      <c r="T336" s="33">
        <f>IF(R336&gt;0,IF(RIGHT(Ruimtestaat[[#This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6" s="33">
        <f>IF(T336&gt;0,VLOOKUP($J336,Ruimtegroepen[],3,FALSE)*VLOOKUP($L336,Vloersoorten[],3,FALSE)*VLOOKUP($S336,Frequenties[],3,FALSE)*VLOOKUP($A336,Locaties[],3,FALSE),0)</f>
        <v>0</v>
      </c>
      <c r="V336" s="33">
        <f>Ruimtestaat[[#This Row],[Uitvoeringen werkdagen]]*Ruimtestaat[[#This Row],[Oppervlak (netto)]]</f>
        <v>9200</v>
      </c>
      <c r="W336" s="154">
        <f>IF(U336&gt;0,Ruimtestaat[[#This Row],[Prest. (m2 /jaar) werkdagen]]/Ruimtestaat[[#This Row],[Norm (m2/uur) werkdagen]],0)</f>
        <v>0</v>
      </c>
      <c r="X336" s="155">
        <f>Ruimtestaat[[#This Row],[uren / jaar werkdagen]]*Tariefsopbouw!$E$35</f>
        <v>0</v>
      </c>
      <c r="Y336" s="33"/>
      <c r="Z336" s="33">
        <f>IF(Ruimtestaat[[#This Row],[Frequentie weekend]]&gt;0,VALUE(LEFT(Y336,1))*R336,0)</f>
        <v>0</v>
      </c>
      <c r="AA336" s="97">
        <f>IF($Z336&gt;0,VLOOKUP($J336,Ruimtegroepen[],3,FALSE)*VLOOKUP($L336,Vloersoorten[],3,FALSE)*VLOOKUP($Y336,Frequenties[],3,FALSE)*VLOOKUP(Ruimtestaat[[#This Row],[Code]],Locaties[],3,FALSE),0)</f>
        <v>0</v>
      </c>
      <c r="AB336" s="97">
        <f>Ruimtestaat[[#This Row],[Uitvoeringen weekend]]*Ruimtestaat[[#This Row],[Oppervlak (netto)]]</f>
        <v>0</v>
      </c>
      <c r="AC336" s="97">
        <f>IF(AA336&gt;0,Ruimtestaat[[#This Row],[Prest. (m2 /jaar) weekend]]/Ruimtestaat[[#This Row],[Norm (m2/uur) weekend]],0)</f>
        <v>0</v>
      </c>
      <c r="AD336" s="155">
        <f>Ruimtestaat[[#This Row],[uren / jaar weekend]]*Tariefsopbouw!$D$40</f>
        <v>0</v>
      </c>
      <c r="AE336" s="154">
        <f>Ruimtestaat[[#This Row],[Prest. (m2 /jaar) weekend]]+Ruimtestaat[[#This Row],[Prest. (m2 /jaar) werkdagen]]</f>
        <v>9200</v>
      </c>
      <c r="AF336" s="154">
        <f>Ruimtestaat[[#This Row],[uren / jaar weekend]]+Ruimtestaat[[#This Row],[uren / jaar werkdagen]]</f>
        <v>0</v>
      </c>
      <c r="AG336" s="69">
        <f>Ruimtestaat[[#This Row],[kosten / jaar weekend]]+Ruimtestaat[[#This Row],[kosten / jaar werkdagen]]</f>
        <v>0</v>
      </c>
      <c r="AH336" s="69"/>
      <c r="AI336" s="256" t="str">
        <f>IF(Ruimtestaat[[#This Row],[Frequentie werkdagen]]="","",_xlfn.CONCAT(Ruimtestaat[[#This Row],[Ruimte code]],"-",Ruimtestaat[[#This Row],[Frequentie werkdagen]]," ",Ruimtestaat[[#This Row],[Vloer code]]))</f>
        <v>16-5w L</v>
      </c>
      <c r="AJ336" s="300" t="str">
        <f>_xlfn.IFNA(VLOOKUP($AI336,Programma!$F$3:$G$1107,2,0),"")</f>
        <v>_</v>
      </c>
      <c r="AK336" s="300" t="str">
        <f>_xlfn.IFNA(VLOOKUP($AI336,Programma!$F$3:$H$1107,3,0),"")</f>
        <v>_</v>
      </c>
      <c r="AL336" s="300" t="str">
        <f>_xlfn.IFNA(VLOOKUP($AI336,Programma!$F$3:$I$1107,4,0),"")</f>
        <v>4w</v>
      </c>
      <c r="AM336" s="300" t="str">
        <f>_xlfn.IFNA(VLOOKUP($AI336,Programma!$F$3:$J$1107,5,0),"")</f>
        <v>1w</v>
      </c>
      <c r="AN336" s="300" t="str">
        <f>_xlfn.IFNA(VLOOKUP($AI336,Programma!$F$3:$K$1107,6,0),"")</f>
        <v>_</v>
      </c>
      <c r="AO336" s="300" t="str">
        <f>_xlfn.IFNA(VLOOKUP($AI336,Programma!$F$3:$L$1107,7,0),"")</f>
        <v>_</v>
      </c>
      <c r="AP336" s="300" t="str">
        <f>_xlfn.IFNA(VLOOKUP($AI336,Programma!$F$3:$M$1107,8,0),"")</f>
        <v>_</v>
      </c>
      <c r="AQ336" s="300" t="str">
        <f>_xlfn.IFNA(VLOOKUP($AI336,Programma!$F$3:$N$1107,9,0),"")</f>
        <v>_</v>
      </c>
      <c r="AR336" s="300" t="str">
        <f>_xlfn.IFNA(VLOOKUP($AI336,Programma!$F$3:$O$1107,10,0),"")</f>
        <v>5w</v>
      </c>
      <c r="AS336" s="300" t="str">
        <f>_xlfn.IFNA(VLOOKUP($AI336,Programma!$F$3:$P$1107,11,0),"")</f>
        <v>5w</v>
      </c>
      <c r="AT336" s="300" t="str">
        <f>_xlfn.IFNA(VLOOKUP($AI336,Programma!$F$3:$Q$1107,12,0),"")</f>
        <v>1w</v>
      </c>
      <c r="AU336" s="300" t="str">
        <f>_xlfn.IFNA(VLOOKUP($AI336,Programma!$F$3:$R$1107,13,0),"")</f>
        <v>1w</v>
      </c>
      <c r="AV336" s="300" t="str">
        <f>_xlfn.IFNA(VLOOKUP($AI336,Programma!$F$3:$S$1107,14,0),"")</f>
        <v>1m</v>
      </c>
      <c r="AW336" s="300" t="str">
        <f>_xlfn.IFNA(VLOOKUP($AI336,Programma!$F$3:$T$1107,15,0),"")</f>
        <v>2j</v>
      </c>
      <c r="AX336" s="300" t="str">
        <f>_xlfn.IFNA(VLOOKUP($AI336,Programma!$F$3:$U$1107,16,0),"")</f>
        <v>1j</v>
      </c>
      <c r="AY336" s="300" t="str">
        <f>_xlfn.IFNA(VLOOKUP($AI336,Programma!$F$3:$V$1107,17,0),"")</f>
        <v>_</v>
      </c>
      <c r="AZ336" s="300" t="str">
        <f>_xlfn.IFNA(VLOOKUP($AI336,Programma!$F$3:$W$1107,18,0),"")</f>
        <v>_</v>
      </c>
      <c r="BA336" s="300" t="str">
        <f>_xlfn.IFNA(VLOOKUP($AI336,Programma!$F$3:$X$1107,19,0),"")</f>
        <v>_</v>
      </c>
      <c r="BB336" s="300" t="str">
        <f>_xlfn.IFNA(VLOOKUP($AI336,Programma!$F$3:$Y$1107,20,0),"")</f>
        <v>_</v>
      </c>
      <c r="BC336" s="257"/>
      <c r="BD336" s="256" t="str">
        <f>IF(Ruimtestaat[[#This Row],[Frequentie weekend]]="","",_xlfn.CONCAT(Ruimtestaat[[#This Row],[Ruimte code]],"-",Ruimtestaat[[#This Row],[Frequentie weekend]]," ",Ruimtestaat[[#This Row],[Vloer code]]))</f>
        <v/>
      </c>
      <c r="BE336" s="300" t="str">
        <f>_xlfn.IFNA(VLOOKUP($BD336,Programma!$F$3:$G$1107,2,0),"")</f>
        <v/>
      </c>
      <c r="BF336" s="300" t="str">
        <f>_xlfn.IFNA(VLOOKUP($BD336,Programma!$F$3:$H$1107,3,0),"")</f>
        <v/>
      </c>
      <c r="BG336" s="300" t="str">
        <f>_xlfn.IFNA(VLOOKUP($BD336,Programma!$F$3:$I$1107,4,0),"")</f>
        <v/>
      </c>
      <c r="BH336" s="300" t="str">
        <f>_xlfn.IFNA(VLOOKUP($BD336,Programma!$F$3:$J$1107,5,0),"")</f>
        <v/>
      </c>
      <c r="BI336" s="300" t="str">
        <f>_xlfn.IFNA(VLOOKUP($BD336,Programma!$F$3:$K$1107,6,0),"")</f>
        <v/>
      </c>
      <c r="BJ336" s="300" t="str">
        <f>_xlfn.IFNA(VLOOKUP($BD336,Programma!$F$3:$L$1107,7,0),"")</f>
        <v/>
      </c>
      <c r="BK336" s="300" t="str">
        <f>_xlfn.IFNA(VLOOKUP($BD336,Programma!$F$3:$M$1107,8,0),"")</f>
        <v/>
      </c>
      <c r="BL336" s="300" t="str">
        <f>_xlfn.IFNA(VLOOKUP($BD336,Programma!$F$3:$N$1107,9,0),"")</f>
        <v/>
      </c>
      <c r="BM336" s="300" t="str">
        <f>_xlfn.IFNA(VLOOKUP($BD336,Programma!$F$3:$O$1107,10,0),"")</f>
        <v/>
      </c>
      <c r="BN336" s="300" t="str">
        <f>_xlfn.IFNA(VLOOKUP($BD336,Programma!$F$3:$P$1107,11,0),"")</f>
        <v/>
      </c>
      <c r="BO336" s="300" t="str">
        <f>_xlfn.IFNA(VLOOKUP($BD336,Programma!$F$3:$Q$1107,12,0),"")</f>
        <v/>
      </c>
      <c r="BP336" s="300" t="str">
        <f>_xlfn.IFNA(VLOOKUP($BD336,Programma!$F$3:$R$1107,13,0),"")</f>
        <v/>
      </c>
      <c r="BQ336" s="300" t="str">
        <f>_xlfn.IFNA(VLOOKUP($BD336,Programma!$F$3:$S$1107,14,0),"")</f>
        <v/>
      </c>
      <c r="BR336" s="300" t="str">
        <f>_xlfn.IFNA(VLOOKUP($BD336,Programma!$F$3:$T$1107,15,0),"")</f>
        <v/>
      </c>
      <c r="BS336" s="300" t="str">
        <f>_xlfn.IFNA(VLOOKUP($BD336,Programma!$F$3:$U$1107,16,0),"")</f>
        <v/>
      </c>
      <c r="BT336" s="300" t="str">
        <f>_xlfn.IFNA(VLOOKUP($BD336,Programma!$F$3:$V$1107,17,0),"")</f>
        <v/>
      </c>
      <c r="BU336" s="300" t="str">
        <f>_xlfn.IFNA(VLOOKUP($BD336,Programma!$F$3:$W$1107,18,0),"")</f>
        <v/>
      </c>
      <c r="BV336" s="300" t="str">
        <f>_xlfn.IFNA(VLOOKUP($BD336,Programma!$F$3:$X$1107,19,0),"")</f>
        <v/>
      </c>
      <c r="BW336" s="300" t="str">
        <f>_xlfn.IFNA(VLOOKUP($BD336,Programma!$F$3:$Y$1107,20,0),"")</f>
        <v/>
      </c>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row>
    <row r="337" spans="1:220" ht="15" customHeight="1">
      <c r="A337" s="21">
        <v>4</v>
      </c>
      <c r="B337" s="157" t="str">
        <f>VLOOKUP(Ruimtestaat[[#This Row],[Code]],Locaties[[Code]:[Locatie]],2,FALSE)</f>
        <v>Sint-Maartenscollege</v>
      </c>
      <c r="C337" s="157" t="str">
        <f>VLOOKUP(Ruimtestaat[[#This Row],[Code]],Locaties[[#All],[Code]:[Adres]],4,FALSE)</f>
        <v xml:space="preserve">Aart v.d. Leeuwkade 14 </v>
      </c>
      <c r="D337" s="157" t="str">
        <f>VLOOKUP(Ruimtestaat[[#This Row],[Code]],Locaties[[#All],[Code]:[Postcode]],5,FALSE)</f>
        <v>2274 KX</v>
      </c>
      <c r="E337" s="157" t="str">
        <f>VLOOKUP(Ruimtestaat[[#This Row],[Code]],Locaties[#All],6,FALSE)</f>
        <v>Voorburg</v>
      </c>
      <c r="F337" s="62"/>
      <c r="G337" s="21" t="s">
        <v>1784</v>
      </c>
      <c r="H337" s="21" t="s">
        <v>2005</v>
      </c>
      <c r="I337" s="62" t="s">
        <v>2007</v>
      </c>
      <c r="J337" s="21">
        <v>16</v>
      </c>
      <c r="K337" s="62" t="str">
        <f>VLOOKUP(Ruimtestaat[[#This Row],[Ruimte code]],Ruimtegroepen[[#All],[Code]:[Ruimte omschrijving]],2,FALSE)</f>
        <v>Leslokalen theorie</v>
      </c>
      <c r="L337" s="33" t="s">
        <v>101</v>
      </c>
      <c r="M337" s="367" t="s">
        <v>2495</v>
      </c>
      <c r="N337" s="140">
        <v>49</v>
      </c>
      <c r="O337" s="140"/>
      <c r="P337" s="125" t="str">
        <f>VLOOKUP(Ruimtestaat[[#This Row],[Ruimte code]],Ruimtegroepen[],4,FALSE)</f>
        <v>Le</v>
      </c>
      <c r="R337" s="33">
        <v>40</v>
      </c>
      <c r="S337" s="33" t="s">
        <v>2</v>
      </c>
      <c r="T337" s="33">
        <f>IF(R337&gt;0,IF(RIGHT(Ruimtestaat[[#This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7" s="33">
        <f>IF(T337&gt;0,VLOOKUP($J337,Ruimtegroepen[],3,FALSE)*VLOOKUP($L337,Vloersoorten[],3,FALSE)*VLOOKUP($S337,Frequenties[],3,FALSE)*VLOOKUP($A337,Locaties[],3,FALSE),0)</f>
        <v>0</v>
      </c>
      <c r="V337" s="33">
        <f>Ruimtestaat[[#This Row],[Uitvoeringen werkdagen]]*Ruimtestaat[[#This Row],[Oppervlak (netto)]]</f>
        <v>9800</v>
      </c>
      <c r="W337" s="154">
        <f>IF(U337&gt;0,Ruimtestaat[[#This Row],[Prest. (m2 /jaar) werkdagen]]/Ruimtestaat[[#This Row],[Norm (m2/uur) werkdagen]],0)</f>
        <v>0</v>
      </c>
      <c r="X337" s="155">
        <f>Ruimtestaat[[#This Row],[uren / jaar werkdagen]]*Tariefsopbouw!$E$35</f>
        <v>0</v>
      </c>
      <c r="Y337" s="33"/>
      <c r="Z337" s="33">
        <f>IF(Ruimtestaat[[#This Row],[Frequentie weekend]]&gt;0,VALUE(LEFT(Y337,1))*R337,0)</f>
        <v>0</v>
      </c>
      <c r="AA337" s="97">
        <f>IF($Z337&gt;0,VLOOKUP($J337,Ruimtegroepen[],3,FALSE)*VLOOKUP($L337,Vloersoorten[],3,FALSE)*VLOOKUP($Y337,Frequenties[],3,FALSE)*VLOOKUP(Ruimtestaat[[#This Row],[Code]],Locaties[],3,FALSE),0)</f>
        <v>0</v>
      </c>
      <c r="AB337" s="97">
        <f>Ruimtestaat[[#This Row],[Uitvoeringen weekend]]*Ruimtestaat[[#This Row],[Oppervlak (netto)]]</f>
        <v>0</v>
      </c>
      <c r="AC337" s="97">
        <f>IF(AA337&gt;0,Ruimtestaat[[#This Row],[Prest. (m2 /jaar) weekend]]/Ruimtestaat[[#This Row],[Norm (m2/uur) weekend]],0)</f>
        <v>0</v>
      </c>
      <c r="AD337" s="155">
        <f>Ruimtestaat[[#This Row],[uren / jaar weekend]]*Tariefsopbouw!$D$40</f>
        <v>0</v>
      </c>
      <c r="AE337" s="154">
        <f>Ruimtestaat[[#This Row],[Prest. (m2 /jaar) weekend]]+Ruimtestaat[[#This Row],[Prest. (m2 /jaar) werkdagen]]</f>
        <v>9800</v>
      </c>
      <c r="AF337" s="154">
        <f>Ruimtestaat[[#This Row],[uren / jaar weekend]]+Ruimtestaat[[#This Row],[uren / jaar werkdagen]]</f>
        <v>0</v>
      </c>
      <c r="AG337" s="69">
        <f>Ruimtestaat[[#This Row],[kosten / jaar weekend]]+Ruimtestaat[[#This Row],[kosten / jaar werkdagen]]</f>
        <v>0</v>
      </c>
      <c r="AH337" s="69"/>
      <c r="AI337" s="256" t="str">
        <f>IF(Ruimtestaat[[#This Row],[Frequentie werkdagen]]="","",_xlfn.CONCAT(Ruimtestaat[[#This Row],[Ruimte code]],"-",Ruimtestaat[[#This Row],[Frequentie werkdagen]]," ",Ruimtestaat[[#This Row],[Vloer code]]))</f>
        <v>16-5w L</v>
      </c>
      <c r="AJ337" s="300" t="str">
        <f>_xlfn.IFNA(VLOOKUP($AI337,Programma!$F$3:$G$1107,2,0),"")</f>
        <v>_</v>
      </c>
      <c r="AK337" s="300" t="str">
        <f>_xlfn.IFNA(VLOOKUP($AI337,Programma!$F$3:$H$1107,3,0),"")</f>
        <v>_</v>
      </c>
      <c r="AL337" s="300" t="str">
        <f>_xlfn.IFNA(VLOOKUP($AI337,Programma!$F$3:$I$1107,4,0),"")</f>
        <v>4w</v>
      </c>
      <c r="AM337" s="300" t="str">
        <f>_xlfn.IFNA(VLOOKUP($AI337,Programma!$F$3:$J$1107,5,0),"")</f>
        <v>1w</v>
      </c>
      <c r="AN337" s="300" t="str">
        <f>_xlfn.IFNA(VLOOKUP($AI337,Programma!$F$3:$K$1107,6,0),"")</f>
        <v>_</v>
      </c>
      <c r="AO337" s="300" t="str">
        <f>_xlfn.IFNA(VLOOKUP($AI337,Programma!$F$3:$L$1107,7,0),"")</f>
        <v>_</v>
      </c>
      <c r="AP337" s="300" t="str">
        <f>_xlfn.IFNA(VLOOKUP($AI337,Programma!$F$3:$M$1107,8,0),"")</f>
        <v>_</v>
      </c>
      <c r="AQ337" s="300" t="str">
        <f>_xlfn.IFNA(VLOOKUP($AI337,Programma!$F$3:$N$1107,9,0),"")</f>
        <v>_</v>
      </c>
      <c r="AR337" s="300" t="str">
        <f>_xlfn.IFNA(VLOOKUP($AI337,Programma!$F$3:$O$1107,10,0),"")</f>
        <v>5w</v>
      </c>
      <c r="AS337" s="300" t="str">
        <f>_xlfn.IFNA(VLOOKUP($AI337,Programma!$F$3:$P$1107,11,0),"")</f>
        <v>5w</v>
      </c>
      <c r="AT337" s="300" t="str">
        <f>_xlfn.IFNA(VLOOKUP($AI337,Programma!$F$3:$Q$1107,12,0),"")</f>
        <v>1w</v>
      </c>
      <c r="AU337" s="300" t="str">
        <f>_xlfn.IFNA(VLOOKUP($AI337,Programma!$F$3:$R$1107,13,0),"")</f>
        <v>1w</v>
      </c>
      <c r="AV337" s="300" t="str">
        <f>_xlfn.IFNA(VLOOKUP($AI337,Programma!$F$3:$S$1107,14,0),"")</f>
        <v>1m</v>
      </c>
      <c r="AW337" s="300" t="str">
        <f>_xlfn.IFNA(VLOOKUP($AI337,Programma!$F$3:$T$1107,15,0),"")</f>
        <v>2j</v>
      </c>
      <c r="AX337" s="300" t="str">
        <f>_xlfn.IFNA(VLOOKUP($AI337,Programma!$F$3:$U$1107,16,0),"")</f>
        <v>1j</v>
      </c>
      <c r="AY337" s="300" t="str">
        <f>_xlfn.IFNA(VLOOKUP($AI337,Programma!$F$3:$V$1107,17,0),"")</f>
        <v>_</v>
      </c>
      <c r="AZ337" s="300" t="str">
        <f>_xlfn.IFNA(VLOOKUP($AI337,Programma!$F$3:$W$1107,18,0),"")</f>
        <v>_</v>
      </c>
      <c r="BA337" s="300" t="str">
        <f>_xlfn.IFNA(VLOOKUP($AI337,Programma!$F$3:$X$1107,19,0),"")</f>
        <v>_</v>
      </c>
      <c r="BB337" s="300" t="str">
        <f>_xlfn.IFNA(VLOOKUP($AI337,Programma!$F$3:$Y$1107,20,0),"")</f>
        <v>_</v>
      </c>
      <c r="BC337" s="257"/>
      <c r="BD337" s="256" t="str">
        <f>IF(Ruimtestaat[[#This Row],[Frequentie weekend]]="","",_xlfn.CONCAT(Ruimtestaat[[#This Row],[Ruimte code]],"-",Ruimtestaat[[#This Row],[Frequentie weekend]]," ",Ruimtestaat[[#This Row],[Vloer code]]))</f>
        <v/>
      </c>
      <c r="BE337" s="300" t="str">
        <f>_xlfn.IFNA(VLOOKUP($BD337,Programma!$F$3:$G$1107,2,0),"")</f>
        <v/>
      </c>
      <c r="BF337" s="300" t="str">
        <f>_xlfn.IFNA(VLOOKUP($BD337,Programma!$F$3:$H$1107,3,0),"")</f>
        <v/>
      </c>
      <c r="BG337" s="300" t="str">
        <f>_xlfn.IFNA(VLOOKUP($BD337,Programma!$F$3:$I$1107,4,0),"")</f>
        <v/>
      </c>
      <c r="BH337" s="300" t="str">
        <f>_xlfn.IFNA(VLOOKUP($BD337,Programma!$F$3:$J$1107,5,0),"")</f>
        <v/>
      </c>
      <c r="BI337" s="300" t="str">
        <f>_xlfn.IFNA(VLOOKUP($BD337,Programma!$F$3:$K$1107,6,0),"")</f>
        <v/>
      </c>
      <c r="BJ337" s="300" t="str">
        <f>_xlfn.IFNA(VLOOKUP($BD337,Programma!$F$3:$L$1107,7,0),"")</f>
        <v/>
      </c>
      <c r="BK337" s="300" t="str">
        <f>_xlfn.IFNA(VLOOKUP($BD337,Programma!$F$3:$M$1107,8,0),"")</f>
        <v/>
      </c>
      <c r="BL337" s="300" t="str">
        <f>_xlfn.IFNA(VLOOKUP($BD337,Programma!$F$3:$N$1107,9,0),"")</f>
        <v/>
      </c>
      <c r="BM337" s="300" t="str">
        <f>_xlfn.IFNA(VLOOKUP($BD337,Programma!$F$3:$O$1107,10,0),"")</f>
        <v/>
      </c>
      <c r="BN337" s="300" t="str">
        <f>_xlfn.IFNA(VLOOKUP($BD337,Programma!$F$3:$P$1107,11,0),"")</f>
        <v/>
      </c>
      <c r="BO337" s="300" t="str">
        <f>_xlfn.IFNA(VLOOKUP($BD337,Programma!$F$3:$Q$1107,12,0),"")</f>
        <v/>
      </c>
      <c r="BP337" s="300" t="str">
        <f>_xlfn.IFNA(VLOOKUP($BD337,Programma!$F$3:$R$1107,13,0),"")</f>
        <v/>
      </c>
      <c r="BQ337" s="300" t="str">
        <f>_xlfn.IFNA(VLOOKUP($BD337,Programma!$F$3:$S$1107,14,0),"")</f>
        <v/>
      </c>
      <c r="BR337" s="300" t="str">
        <f>_xlfn.IFNA(VLOOKUP($BD337,Programma!$F$3:$T$1107,15,0),"")</f>
        <v/>
      </c>
      <c r="BS337" s="300" t="str">
        <f>_xlfn.IFNA(VLOOKUP($BD337,Programma!$F$3:$U$1107,16,0),"")</f>
        <v/>
      </c>
      <c r="BT337" s="300" t="str">
        <f>_xlfn.IFNA(VLOOKUP($BD337,Programma!$F$3:$V$1107,17,0),"")</f>
        <v/>
      </c>
      <c r="BU337" s="300" t="str">
        <f>_xlfn.IFNA(VLOOKUP($BD337,Programma!$F$3:$W$1107,18,0),"")</f>
        <v/>
      </c>
      <c r="BV337" s="300" t="str">
        <f>_xlfn.IFNA(VLOOKUP($BD337,Programma!$F$3:$X$1107,19,0),"")</f>
        <v/>
      </c>
      <c r="BW337" s="300" t="str">
        <f>_xlfn.IFNA(VLOOKUP($BD337,Programma!$F$3:$Y$1107,20,0),"")</f>
        <v/>
      </c>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row>
    <row r="338" spans="1:220" ht="15" customHeight="1">
      <c r="A338" s="21">
        <v>5</v>
      </c>
      <c r="B338" s="157" t="str">
        <f>VLOOKUP(Ruimtestaat[[#This Row],[Code]],Locaties[[Code]:[Locatie]],2,FALSE)</f>
        <v>François Vatel vmbo</v>
      </c>
      <c r="C338" s="157" t="str">
        <f>VLOOKUP(Ruimtestaat[[#This Row],[Code]],Locaties[[#All],[Code]:[Adres]],4,FALSE)</f>
        <v>Granaathorst 20</v>
      </c>
      <c r="D338" s="157" t="str">
        <f>VLOOKUP(Ruimtestaat[[#This Row],[Code]],Locaties[[#All],[Code]:[Postcode]],5,FALSE)</f>
        <v>2592 TD</v>
      </c>
      <c r="E338" s="157" t="str">
        <f>VLOOKUP(Ruimtestaat[[#This Row],[Code]],Locaties[#All],6,FALSE)</f>
        <v>Den Haag</v>
      </c>
      <c r="F338" s="62"/>
      <c r="G338" s="21" t="s">
        <v>1859</v>
      </c>
      <c r="H338" s="21">
        <v>-101</v>
      </c>
      <c r="I338" s="62" t="s">
        <v>1625</v>
      </c>
      <c r="J338" s="21">
        <v>6</v>
      </c>
      <c r="K338" s="62" t="str">
        <f>VLOOKUP(Ruimtestaat[[#This Row],[Ruimte code]],Ruimtegroepen[[#All],[Code]:[Ruimte omschrijving]],2,FALSE)</f>
        <v>Gangen/hallen</v>
      </c>
      <c r="L338" s="33" t="s">
        <v>101</v>
      </c>
      <c r="M338" s="367" t="s">
        <v>2495</v>
      </c>
      <c r="N338" s="140">
        <v>6</v>
      </c>
      <c r="O338" s="140"/>
      <c r="P338" s="125" t="str">
        <f>VLOOKUP(Ruimtestaat[[#This Row],[Ruimte code]],Ruimtegroepen[],4,FALSE)</f>
        <v>Ve</v>
      </c>
      <c r="R338" s="33">
        <v>40</v>
      </c>
      <c r="S338" s="33" t="s">
        <v>2</v>
      </c>
      <c r="T338" s="33">
        <f>IF(R338&gt;0,IF(RIGHT(Ruimtestaat[[#This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8" s="33">
        <f>IF(T338&gt;0,VLOOKUP($J338,Ruimtegroepen[],3,FALSE)*VLOOKUP($L338,Vloersoorten[],3,FALSE)*VLOOKUP($S338,Frequenties[],3,FALSE)*VLOOKUP($A338,Locaties[],3,FALSE),0)</f>
        <v>0</v>
      </c>
      <c r="V338" s="33">
        <f>Ruimtestaat[[#This Row],[Uitvoeringen werkdagen]]*Ruimtestaat[[#This Row],[Oppervlak (netto)]]</f>
        <v>1200</v>
      </c>
      <c r="W338" s="154">
        <f>IF(U338&gt;0,Ruimtestaat[[#This Row],[Prest. (m2 /jaar) werkdagen]]/Ruimtestaat[[#This Row],[Norm (m2/uur) werkdagen]],0)</f>
        <v>0</v>
      </c>
      <c r="X338" s="155">
        <f>Ruimtestaat[[#This Row],[uren / jaar werkdagen]]*Tariefsopbouw!$E$35</f>
        <v>0</v>
      </c>
      <c r="Y338" s="33"/>
      <c r="Z338" s="33">
        <f>IF(Ruimtestaat[[#This Row],[Frequentie weekend]]&gt;0,VALUE(LEFT(Y338,1))*R338,0)</f>
        <v>0</v>
      </c>
      <c r="AA338" s="97">
        <f>IF($Z338&gt;0,VLOOKUP($J338,Ruimtegroepen[],3,FALSE)*VLOOKUP($L338,Vloersoorten[],3,FALSE)*VLOOKUP($Y338,Frequenties[],3,FALSE)*VLOOKUP(Ruimtestaat[[#This Row],[Code]],Locaties[],3,FALSE),0)</f>
        <v>0</v>
      </c>
      <c r="AB338" s="97">
        <f>Ruimtestaat[[#This Row],[Uitvoeringen weekend]]*Ruimtestaat[[#This Row],[Oppervlak (netto)]]</f>
        <v>0</v>
      </c>
      <c r="AC338" s="97">
        <f>IF(AA338&gt;0,Ruimtestaat[[#This Row],[Prest. (m2 /jaar) weekend]]/Ruimtestaat[[#This Row],[Norm (m2/uur) weekend]],0)</f>
        <v>0</v>
      </c>
      <c r="AD338" s="155">
        <f>Ruimtestaat[[#This Row],[uren / jaar weekend]]*Tariefsopbouw!$D$40</f>
        <v>0</v>
      </c>
      <c r="AE338" s="154">
        <f>Ruimtestaat[[#This Row],[Prest. (m2 /jaar) weekend]]+Ruimtestaat[[#This Row],[Prest. (m2 /jaar) werkdagen]]</f>
        <v>1200</v>
      </c>
      <c r="AF338" s="154">
        <f>Ruimtestaat[[#This Row],[uren / jaar weekend]]+Ruimtestaat[[#This Row],[uren / jaar werkdagen]]</f>
        <v>0</v>
      </c>
      <c r="AG338" s="69">
        <f>Ruimtestaat[[#This Row],[kosten / jaar weekend]]+Ruimtestaat[[#This Row],[kosten / jaar werkdagen]]</f>
        <v>0</v>
      </c>
      <c r="AH338" s="69"/>
      <c r="AI338" s="256" t="str">
        <f>IF(Ruimtestaat[[#This Row],[Frequentie werkdagen]]="","",_xlfn.CONCAT(Ruimtestaat[[#This Row],[Ruimte code]],"-",Ruimtestaat[[#This Row],[Frequentie werkdagen]]," ",Ruimtestaat[[#This Row],[Vloer code]]))</f>
        <v>6-5w L</v>
      </c>
      <c r="AJ338" s="300" t="str">
        <f>_xlfn.IFNA(VLOOKUP($AI338,Programma!$F$3:$G$1107,2,0),"")</f>
        <v>_</v>
      </c>
      <c r="AK338" s="300" t="str">
        <f>_xlfn.IFNA(VLOOKUP($AI338,Programma!$F$3:$H$1107,3,0),"")</f>
        <v>_</v>
      </c>
      <c r="AL338" s="300" t="str">
        <f>_xlfn.IFNA(VLOOKUP($AI338,Programma!$F$3:$I$1107,4,0),"")</f>
        <v>_</v>
      </c>
      <c r="AM338" s="300" t="str">
        <f>_xlfn.IFNA(VLOOKUP($AI338,Programma!$F$3:$J$1107,5,0),"")</f>
        <v>5w</v>
      </c>
      <c r="AN338" s="300" t="str">
        <f>_xlfn.IFNA(VLOOKUP($AI338,Programma!$F$3:$K$1107,6,0),"")</f>
        <v>_</v>
      </c>
      <c r="AO338" s="300" t="str">
        <f>_xlfn.IFNA(VLOOKUP($AI338,Programma!$F$3:$L$1107,7,0),"")</f>
        <v>_</v>
      </c>
      <c r="AP338" s="300" t="str">
        <f>_xlfn.IFNA(VLOOKUP($AI338,Programma!$F$3:$M$1107,8,0),"")</f>
        <v>_</v>
      </c>
      <c r="AQ338" s="300" t="str">
        <f>_xlfn.IFNA(VLOOKUP($AI338,Programma!$F$3:$N$1107,9,0),"")</f>
        <v>_</v>
      </c>
      <c r="AR338" s="300" t="str">
        <f>_xlfn.IFNA(VLOOKUP($AI338,Programma!$F$3:$O$1107,10,0),"")</f>
        <v>5w</v>
      </c>
      <c r="AS338" s="300" t="str">
        <f>_xlfn.IFNA(VLOOKUP($AI338,Programma!$F$3:$P$1107,11,0),"")</f>
        <v>5w</v>
      </c>
      <c r="AT338" s="300" t="str">
        <f>_xlfn.IFNA(VLOOKUP($AI338,Programma!$F$3:$Q$1107,12,0),"")</f>
        <v>1w</v>
      </c>
      <c r="AU338" s="300" t="str">
        <f>_xlfn.IFNA(VLOOKUP($AI338,Programma!$F$3:$R$1107,13,0),"")</f>
        <v>1w</v>
      </c>
      <c r="AV338" s="300" t="str">
        <f>_xlfn.IFNA(VLOOKUP($AI338,Programma!$F$3:$S$1107,14,0),"")</f>
        <v>1m</v>
      </c>
      <c r="AW338" s="300" t="str">
        <f>_xlfn.IFNA(VLOOKUP($AI338,Programma!$F$3:$T$1107,15,0),"")</f>
        <v>2j</v>
      </c>
      <c r="AX338" s="300" t="str">
        <f>_xlfn.IFNA(VLOOKUP($AI338,Programma!$F$3:$U$1107,16,0),"")</f>
        <v>1j</v>
      </c>
      <c r="AY338" s="300" t="str">
        <f>_xlfn.IFNA(VLOOKUP($AI338,Programma!$F$3:$V$1107,17,0),"")</f>
        <v>_</v>
      </c>
      <c r="AZ338" s="300" t="str">
        <f>_xlfn.IFNA(VLOOKUP($AI338,Programma!$F$3:$W$1107,18,0),"")</f>
        <v>_</v>
      </c>
      <c r="BA338" s="300" t="str">
        <f>_xlfn.IFNA(VLOOKUP($AI338,Programma!$F$3:$X$1107,19,0),"")</f>
        <v>_</v>
      </c>
      <c r="BB338" s="300" t="str">
        <f>_xlfn.IFNA(VLOOKUP($AI338,Programma!$F$3:$Y$1107,20,0),"")</f>
        <v>_</v>
      </c>
      <c r="BC338" s="257"/>
      <c r="BD338" s="256" t="str">
        <f>IF(Ruimtestaat[[#This Row],[Frequentie weekend]]="","",_xlfn.CONCAT(Ruimtestaat[[#This Row],[Ruimte code]],"-",Ruimtestaat[[#This Row],[Frequentie weekend]]," ",Ruimtestaat[[#This Row],[Vloer code]]))</f>
        <v/>
      </c>
      <c r="BE338" s="300" t="str">
        <f>_xlfn.IFNA(VLOOKUP($BD338,Programma!$F$3:$G$1107,2,0),"")</f>
        <v/>
      </c>
      <c r="BF338" s="300" t="str">
        <f>_xlfn.IFNA(VLOOKUP($BD338,Programma!$F$3:$H$1107,3,0),"")</f>
        <v/>
      </c>
      <c r="BG338" s="300" t="str">
        <f>_xlfn.IFNA(VLOOKUP($BD338,Programma!$F$3:$I$1107,4,0),"")</f>
        <v/>
      </c>
      <c r="BH338" s="300" t="str">
        <f>_xlfn.IFNA(VLOOKUP($BD338,Programma!$F$3:$J$1107,5,0),"")</f>
        <v/>
      </c>
      <c r="BI338" s="300" t="str">
        <f>_xlfn.IFNA(VLOOKUP($BD338,Programma!$F$3:$K$1107,6,0),"")</f>
        <v/>
      </c>
      <c r="BJ338" s="300" t="str">
        <f>_xlfn.IFNA(VLOOKUP($BD338,Programma!$F$3:$L$1107,7,0),"")</f>
        <v/>
      </c>
      <c r="BK338" s="300" t="str">
        <f>_xlfn.IFNA(VLOOKUP($BD338,Programma!$F$3:$M$1107,8,0),"")</f>
        <v/>
      </c>
      <c r="BL338" s="300" t="str">
        <f>_xlfn.IFNA(VLOOKUP($BD338,Programma!$F$3:$N$1107,9,0),"")</f>
        <v/>
      </c>
      <c r="BM338" s="300" t="str">
        <f>_xlfn.IFNA(VLOOKUP($BD338,Programma!$F$3:$O$1107,10,0),"")</f>
        <v/>
      </c>
      <c r="BN338" s="300" t="str">
        <f>_xlfn.IFNA(VLOOKUP($BD338,Programma!$F$3:$P$1107,11,0),"")</f>
        <v/>
      </c>
      <c r="BO338" s="300" t="str">
        <f>_xlfn.IFNA(VLOOKUP($BD338,Programma!$F$3:$Q$1107,12,0),"")</f>
        <v/>
      </c>
      <c r="BP338" s="300" t="str">
        <f>_xlfn.IFNA(VLOOKUP($BD338,Programma!$F$3:$R$1107,13,0),"")</f>
        <v/>
      </c>
      <c r="BQ338" s="300" t="str">
        <f>_xlfn.IFNA(VLOOKUP($BD338,Programma!$F$3:$S$1107,14,0),"")</f>
        <v/>
      </c>
      <c r="BR338" s="300" t="str">
        <f>_xlfn.IFNA(VLOOKUP($BD338,Programma!$F$3:$T$1107,15,0),"")</f>
        <v/>
      </c>
      <c r="BS338" s="300" t="str">
        <f>_xlfn.IFNA(VLOOKUP($BD338,Programma!$F$3:$U$1107,16,0),"")</f>
        <v/>
      </c>
      <c r="BT338" s="300" t="str">
        <f>_xlfn.IFNA(VLOOKUP($BD338,Programma!$F$3:$V$1107,17,0),"")</f>
        <v/>
      </c>
      <c r="BU338" s="300" t="str">
        <f>_xlfn.IFNA(VLOOKUP($BD338,Programma!$F$3:$W$1107,18,0),"")</f>
        <v/>
      </c>
      <c r="BV338" s="300" t="str">
        <f>_xlfn.IFNA(VLOOKUP($BD338,Programma!$F$3:$X$1107,19,0),"")</f>
        <v/>
      </c>
      <c r="BW338" s="300" t="str">
        <f>_xlfn.IFNA(VLOOKUP($BD338,Programma!$F$3:$Y$1107,20,0),"")</f>
        <v/>
      </c>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row>
    <row r="339" spans="1:220" ht="15" customHeight="1">
      <c r="A339" s="21">
        <v>5</v>
      </c>
      <c r="B339" s="157" t="str">
        <f>VLOOKUP(Ruimtestaat[[#This Row],[Code]],Locaties[[Code]:[Locatie]],2,FALSE)</f>
        <v>François Vatel vmbo</v>
      </c>
      <c r="C339" s="157" t="str">
        <f>VLOOKUP(Ruimtestaat[[#This Row],[Code]],Locaties[[#All],[Code]:[Adres]],4,FALSE)</f>
        <v>Granaathorst 20</v>
      </c>
      <c r="D339" s="157" t="str">
        <f>VLOOKUP(Ruimtestaat[[#This Row],[Code]],Locaties[[#All],[Code]:[Postcode]],5,FALSE)</f>
        <v>2592 TD</v>
      </c>
      <c r="E339" s="157" t="str">
        <f>VLOOKUP(Ruimtestaat[[#This Row],[Code]],Locaties[#All],6,FALSE)</f>
        <v>Den Haag</v>
      </c>
      <c r="F339" s="62"/>
      <c r="G339" s="21" t="s">
        <v>1859</v>
      </c>
      <c r="H339" s="21">
        <v>-102</v>
      </c>
      <c r="I339" s="62" t="s">
        <v>1259</v>
      </c>
      <c r="J339" s="21">
        <v>9</v>
      </c>
      <c r="K339" s="62" t="str">
        <f>VLOOKUP(Ruimtestaat[[#This Row],[Ruimte code]],Ruimtegroepen[[#All],[Code]:[Ruimte omschrijving]],2,FALSE)</f>
        <v>Publieksruimte</v>
      </c>
      <c r="L339" s="33" t="s">
        <v>101</v>
      </c>
      <c r="M339" s="367" t="s">
        <v>2495</v>
      </c>
      <c r="N339" s="140">
        <v>45</v>
      </c>
      <c r="O339" s="140"/>
      <c r="P339" s="125" t="str">
        <f>VLOOKUP(Ruimtestaat[[#This Row],[Ruimte code]],Ruimtegroepen[],4,FALSE)</f>
        <v>Ve</v>
      </c>
      <c r="R339" s="33">
        <v>40</v>
      </c>
      <c r="S339" s="33" t="s">
        <v>2</v>
      </c>
      <c r="T339" s="33">
        <f>IF(R339&gt;0,IF(RIGHT(Ruimtestaat[[#This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9" s="33">
        <f>IF(T339&gt;0,VLOOKUP($J339,Ruimtegroepen[],3,FALSE)*VLOOKUP($L339,Vloersoorten[],3,FALSE)*VLOOKUP($S339,Frequenties[],3,FALSE)*VLOOKUP($A339,Locaties[],3,FALSE),0)</f>
        <v>0</v>
      </c>
      <c r="V339" s="33">
        <f>Ruimtestaat[[#This Row],[Uitvoeringen werkdagen]]*Ruimtestaat[[#This Row],[Oppervlak (netto)]]</f>
        <v>9000</v>
      </c>
      <c r="W339" s="154">
        <f>IF(U339&gt;0,Ruimtestaat[[#This Row],[Prest. (m2 /jaar) werkdagen]]/Ruimtestaat[[#This Row],[Norm (m2/uur) werkdagen]],0)</f>
        <v>0</v>
      </c>
      <c r="X339" s="155">
        <f>Ruimtestaat[[#This Row],[uren / jaar werkdagen]]*Tariefsopbouw!$E$35</f>
        <v>0</v>
      </c>
      <c r="Y339" s="33"/>
      <c r="Z339" s="33">
        <f>IF(Ruimtestaat[[#This Row],[Frequentie weekend]]&gt;0,VALUE(LEFT(Y339,1))*R339,0)</f>
        <v>0</v>
      </c>
      <c r="AA339" s="97">
        <f>IF($Z339&gt;0,VLOOKUP($J339,Ruimtegroepen[],3,FALSE)*VLOOKUP($L339,Vloersoorten[],3,FALSE)*VLOOKUP($Y339,Frequenties[],3,FALSE)*VLOOKUP(Ruimtestaat[[#This Row],[Code]],Locaties[],3,FALSE),0)</f>
        <v>0</v>
      </c>
      <c r="AB339" s="97">
        <f>Ruimtestaat[[#This Row],[Uitvoeringen weekend]]*Ruimtestaat[[#This Row],[Oppervlak (netto)]]</f>
        <v>0</v>
      </c>
      <c r="AC339" s="97">
        <f>IF(AA339&gt;0,Ruimtestaat[[#This Row],[Prest. (m2 /jaar) weekend]]/Ruimtestaat[[#This Row],[Norm (m2/uur) weekend]],0)</f>
        <v>0</v>
      </c>
      <c r="AD339" s="155">
        <f>Ruimtestaat[[#This Row],[uren / jaar weekend]]*Tariefsopbouw!$D$40</f>
        <v>0</v>
      </c>
      <c r="AE339" s="154">
        <f>Ruimtestaat[[#This Row],[Prest. (m2 /jaar) weekend]]+Ruimtestaat[[#This Row],[Prest. (m2 /jaar) werkdagen]]</f>
        <v>9000</v>
      </c>
      <c r="AF339" s="154">
        <f>Ruimtestaat[[#This Row],[uren / jaar weekend]]+Ruimtestaat[[#This Row],[uren / jaar werkdagen]]</f>
        <v>0</v>
      </c>
      <c r="AG339" s="69">
        <f>Ruimtestaat[[#This Row],[kosten / jaar weekend]]+Ruimtestaat[[#This Row],[kosten / jaar werkdagen]]</f>
        <v>0</v>
      </c>
      <c r="AH339" s="69"/>
      <c r="AI339" s="256" t="str">
        <f>IF(Ruimtestaat[[#This Row],[Frequentie werkdagen]]="","",_xlfn.CONCAT(Ruimtestaat[[#This Row],[Ruimte code]],"-",Ruimtestaat[[#This Row],[Frequentie werkdagen]]," ",Ruimtestaat[[#This Row],[Vloer code]]))</f>
        <v>9-5w L</v>
      </c>
      <c r="AJ339" s="300" t="str">
        <f>_xlfn.IFNA(VLOOKUP($AI339,Programma!$F$3:$G$1107,2,0),"")</f>
        <v>_</v>
      </c>
      <c r="AK339" s="300" t="str">
        <f>_xlfn.IFNA(VLOOKUP($AI339,Programma!$F$3:$H$1107,3,0),"")</f>
        <v>_</v>
      </c>
      <c r="AL339" s="300" t="str">
        <f>_xlfn.IFNA(VLOOKUP($AI339,Programma!$F$3:$I$1107,4,0),"")</f>
        <v>4w</v>
      </c>
      <c r="AM339" s="300" t="str">
        <f>_xlfn.IFNA(VLOOKUP($AI339,Programma!$F$3:$J$1107,5,0),"")</f>
        <v>1w</v>
      </c>
      <c r="AN339" s="300" t="str">
        <f>_xlfn.IFNA(VLOOKUP($AI339,Programma!$F$3:$K$1107,6,0),"")</f>
        <v>_</v>
      </c>
      <c r="AO339" s="300" t="str">
        <f>_xlfn.IFNA(VLOOKUP($AI339,Programma!$F$3:$L$1107,7,0),"")</f>
        <v>_</v>
      </c>
      <c r="AP339" s="300" t="str">
        <f>_xlfn.IFNA(VLOOKUP($AI339,Programma!$F$3:$M$1107,8,0),"")</f>
        <v>_</v>
      </c>
      <c r="AQ339" s="300" t="str">
        <f>_xlfn.IFNA(VLOOKUP($AI339,Programma!$F$3:$N$1107,9,0),"")</f>
        <v>_</v>
      </c>
      <c r="AR339" s="300" t="str">
        <f>_xlfn.IFNA(VLOOKUP($AI339,Programma!$F$3:$O$1107,10,0),"")</f>
        <v>5w</v>
      </c>
      <c r="AS339" s="300" t="str">
        <f>_xlfn.IFNA(VLOOKUP($AI339,Programma!$F$3:$P$1107,11,0),"")</f>
        <v>5w</v>
      </c>
      <c r="AT339" s="300" t="str">
        <f>_xlfn.IFNA(VLOOKUP($AI339,Programma!$F$3:$Q$1107,12,0),"")</f>
        <v>1w</v>
      </c>
      <c r="AU339" s="300" t="str">
        <f>_xlfn.IFNA(VLOOKUP($AI339,Programma!$F$3:$R$1107,13,0),"")</f>
        <v>1w</v>
      </c>
      <c r="AV339" s="300" t="str">
        <f>_xlfn.IFNA(VLOOKUP($AI339,Programma!$F$3:$S$1107,14,0),"")</f>
        <v>1m</v>
      </c>
      <c r="AW339" s="300" t="str">
        <f>_xlfn.IFNA(VLOOKUP($AI339,Programma!$F$3:$T$1107,15,0),"")</f>
        <v>2j</v>
      </c>
      <c r="AX339" s="300" t="str">
        <f>_xlfn.IFNA(VLOOKUP($AI339,Programma!$F$3:$U$1107,16,0),"")</f>
        <v>1j</v>
      </c>
      <c r="AY339" s="300" t="str">
        <f>_xlfn.IFNA(VLOOKUP($AI339,Programma!$F$3:$V$1107,17,0),"")</f>
        <v>_</v>
      </c>
      <c r="AZ339" s="300" t="str">
        <f>_xlfn.IFNA(VLOOKUP($AI339,Programma!$F$3:$W$1107,18,0),"")</f>
        <v>_</v>
      </c>
      <c r="BA339" s="300" t="str">
        <f>_xlfn.IFNA(VLOOKUP($AI339,Programma!$F$3:$X$1107,19,0),"")</f>
        <v>_</v>
      </c>
      <c r="BB339" s="300" t="str">
        <f>_xlfn.IFNA(VLOOKUP($AI339,Programma!$F$3:$Y$1107,20,0),"")</f>
        <v>_</v>
      </c>
      <c r="BC339" s="257"/>
      <c r="BD339" s="256" t="str">
        <f>IF(Ruimtestaat[[#This Row],[Frequentie weekend]]="","",_xlfn.CONCAT(Ruimtestaat[[#This Row],[Ruimte code]],"-",Ruimtestaat[[#This Row],[Frequentie weekend]]," ",Ruimtestaat[[#This Row],[Vloer code]]))</f>
        <v/>
      </c>
      <c r="BE339" s="300" t="str">
        <f>_xlfn.IFNA(VLOOKUP($BD339,Programma!$F$3:$G$1107,2,0),"")</f>
        <v/>
      </c>
      <c r="BF339" s="300" t="str">
        <f>_xlfn.IFNA(VLOOKUP($BD339,Programma!$F$3:$H$1107,3,0),"")</f>
        <v/>
      </c>
      <c r="BG339" s="300" t="str">
        <f>_xlfn.IFNA(VLOOKUP($BD339,Programma!$F$3:$I$1107,4,0),"")</f>
        <v/>
      </c>
      <c r="BH339" s="300" t="str">
        <f>_xlfn.IFNA(VLOOKUP($BD339,Programma!$F$3:$J$1107,5,0),"")</f>
        <v/>
      </c>
      <c r="BI339" s="300" t="str">
        <f>_xlfn.IFNA(VLOOKUP($BD339,Programma!$F$3:$K$1107,6,0),"")</f>
        <v/>
      </c>
      <c r="BJ339" s="300" t="str">
        <f>_xlfn.IFNA(VLOOKUP($BD339,Programma!$F$3:$L$1107,7,0),"")</f>
        <v/>
      </c>
      <c r="BK339" s="300" t="str">
        <f>_xlfn.IFNA(VLOOKUP($BD339,Programma!$F$3:$M$1107,8,0),"")</f>
        <v/>
      </c>
      <c r="BL339" s="300" t="str">
        <f>_xlfn.IFNA(VLOOKUP($BD339,Programma!$F$3:$N$1107,9,0),"")</f>
        <v/>
      </c>
      <c r="BM339" s="300" t="str">
        <f>_xlfn.IFNA(VLOOKUP($BD339,Programma!$F$3:$O$1107,10,0),"")</f>
        <v/>
      </c>
      <c r="BN339" s="300" t="str">
        <f>_xlfn.IFNA(VLOOKUP($BD339,Programma!$F$3:$P$1107,11,0),"")</f>
        <v/>
      </c>
      <c r="BO339" s="300" t="str">
        <f>_xlfn.IFNA(VLOOKUP($BD339,Programma!$F$3:$Q$1107,12,0),"")</f>
        <v/>
      </c>
      <c r="BP339" s="300" t="str">
        <f>_xlfn.IFNA(VLOOKUP($BD339,Programma!$F$3:$R$1107,13,0),"")</f>
        <v/>
      </c>
      <c r="BQ339" s="300" t="str">
        <f>_xlfn.IFNA(VLOOKUP($BD339,Programma!$F$3:$S$1107,14,0),"")</f>
        <v/>
      </c>
      <c r="BR339" s="300" t="str">
        <f>_xlfn.IFNA(VLOOKUP($BD339,Programma!$F$3:$T$1107,15,0),"")</f>
        <v/>
      </c>
      <c r="BS339" s="300" t="str">
        <f>_xlfn.IFNA(VLOOKUP($BD339,Programma!$F$3:$U$1107,16,0),"")</f>
        <v/>
      </c>
      <c r="BT339" s="300" t="str">
        <f>_xlfn.IFNA(VLOOKUP($BD339,Programma!$F$3:$V$1107,17,0),"")</f>
        <v/>
      </c>
      <c r="BU339" s="300" t="str">
        <f>_xlfn.IFNA(VLOOKUP($BD339,Programma!$F$3:$W$1107,18,0),"")</f>
        <v/>
      </c>
      <c r="BV339" s="300" t="str">
        <f>_xlfn.IFNA(VLOOKUP($BD339,Programma!$F$3:$X$1107,19,0),"")</f>
        <v/>
      </c>
      <c r="BW339" s="300" t="str">
        <f>_xlfn.IFNA(VLOOKUP($BD339,Programma!$F$3:$Y$1107,20,0),"")</f>
        <v/>
      </c>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row>
    <row r="340" spans="1:220" ht="15" customHeight="1">
      <c r="A340" s="21">
        <v>5</v>
      </c>
      <c r="B340" s="157" t="str">
        <f>VLOOKUP(Ruimtestaat[[#This Row],[Code]],Locaties[[Code]:[Locatie]],2,FALSE)</f>
        <v>François Vatel vmbo</v>
      </c>
      <c r="C340" s="157" t="str">
        <f>VLOOKUP(Ruimtestaat[[#This Row],[Code]],Locaties[[#All],[Code]:[Adres]],4,FALSE)</f>
        <v>Granaathorst 20</v>
      </c>
      <c r="D340" s="157" t="str">
        <f>VLOOKUP(Ruimtestaat[[#This Row],[Code]],Locaties[[#All],[Code]:[Postcode]],5,FALSE)</f>
        <v>2592 TD</v>
      </c>
      <c r="E340" s="157" t="str">
        <f>VLOOKUP(Ruimtestaat[[#This Row],[Code]],Locaties[#All],6,FALSE)</f>
        <v>Den Haag</v>
      </c>
      <c r="F340" s="62"/>
      <c r="G340" s="21" t="s">
        <v>1859</v>
      </c>
      <c r="H340" s="21">
        <v>-103</v>
      </c>
      <c r="I340" s="62" t="s">
        <v>2008</v>
      </c>
      <c r="J340" s="21">
        <v>19</v>
      </c>
      <c r="K340" s="62" t="str">
        <f>VLOOKUP(Ruimtestaat[[#This Row],[Ruimte code]],Ruimtegroepen[[#All],[Code]:[Ruimte omschrijving]],2,FALSE)</f>
        <v>kleedruimten</v>
      </c>
      <c r="L340" s="33" t="s">
        <v>102</v>
      </c>
      <c r="M340" s="367" t="s">
        <v>2509</v>
      </c>
      <c r="N340" s="140">
        <v>40</v>
      </c>
      <c r="O340" s="140"/>
      <c r="P340" s="125" t="str">
        <f>VLOOKUP(Ruimtestaat[[#This Row],[Ruimte code]],Ruimtegroepen[],4,FALSE)</f>
        <v>Ve</v>
      </c>
      <c r="R340" s="33">
        <v>40</v>
      </c>
      <c r="S340" s="33" t="s">
        <v>2</v>
      </c>
      <c r="T340" s="33">
        <f>IF(R340&gt;0,IF(RIGHT(Ruimtestaat[[#This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0" s="33">
        <f>IF(T340&gt;0,VLOOKUP($J340,Ruimtegroepen[],3,FALSE)*VLOOKUP($L340,Vloersoorten[],3,FALSE)*VLOOKUP($S340,Frequenties[],3,FALSE)*VLOOKUP($A340,Locaties[],3,FALSE),0)</f>
        <v>0</v>
      </c>
      <c r="V340" s="33">
        <f>Ruimtestaat[[#This Row],[Uitvoeringen werkdagen]]*Ruimtestaat[[#This Row],[Oppervlak (netto)]]</f>
        <v>8000</v>
      </c>
      <c r="W340" s="154">
        <f>IF(U340&gt;0,Ruimtestaat[[#This Row],[Prest. (m2 /jaar) werkdagen]]/Ruimtestaat[[#This Row],[Norm (m2/uur) werkdagen]],0)</f>
        <v>0</v>
      </c>
      <c r="X340" s="155">
        <f>Ruimtestaat[[#This Row],[uren / jaar werkdagen]]*Tariefsopbouw!$E$35</f>
        <v>0</v>
      </c>
      <c r="Y340" s="33"/>
      <c r="Z340" s="33">
        <f>IF(Ruimtestaat[[#This Row],[Frequentie weekend]]&gt;0,VALUE(LEFT(Y340,1))*R340,0)</f>
        <v>0</v>
      </c>
      <c r="AA340" s="97">
        <f>IF($Z340&gt;0,VLOOKUP($J340,Ruimtegroepen[],3,FALSE)*VLOOKUP($L340,Vloersoorten[],3,FALSE)*VLOOKUP($Y340,Frequenties[],3,FALSE)*VLOOKUP(Ruimtestaat[[#This Row],[Code]],Locaties[],3,FALSE),0)</f>
        <v>0</v>
      </c>
      <c r="AB340" s="97">
        <f>Ruimtestaat[[#This Row],[Uitvoeringen weekend]]*Ruimtestaat[[#This Row],[Oppervlak (netto)]]</f>
        <v>0</v>
      </c>
      <c r="AC340" s="97">
        <f>IF(AA340&gt;0,Ruimtestaat[[#This Row],[Prest. (m2 /jaar) weekend]]/Ruimtestaat[[#This Row],[Norm (m2/uur) weekend]],0)</f>
        <v>0</v>
      </c>
      <c r="AD340" s="155">
        <f>Ruimtestaat[[#This Row],[uren / jaar weekend]]*Tariefsopbouw!$D$40</f>
        <v>0</v>
      </c>
      <c r="AE340" s="154">
        <f>Ruimtestaat[[#This Row],[Prest. (m2 /jaar) weekend]]+Ruimtestaat[[#This Row],[Prest. (m2 /jaar) werkdagen]]</f>
        <v>8000</v>
      </c>
      <c r="AF340" s="154">
        <f>Ruimtestaat[[#This Row],[uren / jaar weekend]]+Ruimtestaat[[#This Row],[uren / jaar werkdagen]]</f>
        <v>0</v>
      </c>
      <c r="AG340" s="69">
        <f>Ruimtestaat[[#This Row],[kosten / jaar weekend]]+Ruimtestaat[[#This Row],[kosten / jaar werkdagen]]</f>
        <v>0</v>
      </c>
      <c r="AH340" s="69"/>
      <c r="AI340" s="256" t="str">
        <f>IF(Ruimtestaat[[#This Row],[Frequentie werkdagen]]="","",_xlfn.CONCAT(Ruimtestaat[[#This Row],[Ruimte code]],"-",Ruimtestaat[[#This Row],[Frequentie werkdagen]]," ",Ruimtestaat[[#This Row],[Vloer code]]))</f>
        <v>19-5w S</v>
      </c>
      <c r="AJ340" s="300" t="str">
        <f>_xlfn.IFNA(VLOOKUP($AI340,Programma!$F$3:$G$1107,2,0),"")</f>
        <v>_</v>
      </c>
      <c r="AK340" s="300" t="str">
        <f>_xlfn.IFNA(VLOOKUP($AI340,Programma!$F$3:$H$1107,3,0),"")</f>
        <v>_</v>
      </c>
      <c r="AL340" s="300" t="str">
        <f>_xlfn.IFNA(VLOOKUP($AI340,Programma!$F$3:$I$1107,4,0),"")</f>
        <v>5w</v>
      </c>
      <c r="AM340" s="300" t="str">
        <f>_xlfn.IFNA(VLOOKUP($AI340,Programma!$F$3:$J$1107,5,0),"")</f>
        <v>_</v>
      </c>
      <c r="AN340" s="300" t="str">
        <f>_xlfn.IFNA(VLOOKUP($AI340,Programma!$F$3:$K$1107,6,0),"")</f>
        <v>5w</v>
      </c>
      <c r="AO340" s="300" t="str">
        <f>_xlfn.IFNA(VLOOKUP($AI340,Programma!$F$3:$L$1107,7,0),"")</f>
        <v>_</v>
      </c>
      <c r="AP340" s="300" t="str">
        <f>_xlfn.IFNA(VLOOKUP($AI340,Programma!$F$3:$M$1107,8,0),"")</f>
        <v>_</v>
      </c>
      <c r="AQ340" s="300" t="str">
        <f>_xlfn.IFNA(VLOOKUP($AI340,Programma!$F$3:$N$1107,9,0),"")</f>
        <v>_</v>
      </c>
      <c r="AR340" s="300" t="str">
        <f>_xlfn.IFNA(VLOOKUP($AI340,Programma!$F$3:$O$1107,10,0),"")</f>
        <v>5w</v>
      </c>
      <c r="AS340" s="300" t="str">
        <f>_xlfn.IFNA(VLOOKUP($AI340,Programma!$F$3:$P$1107,11,0),"")</f>
        <v>5w</v>
      </c>
      <c r="AT340" s="300" t="str">
        <f>_xlfn.IFNA(VLOOKUP($AI340,Programma!$F$3:$Q$1107,12,0),"")</f>
        <v>1w</v>
      </c>
      <c r="AU340" s="300" t="str">
        <f>_xlfn.IFNA(VLOOKUP($AI340,Programma!$F$3:$R$1107,13,0),"")</f>
        <v>1w</v>
      </c>
      <c r="AV340" s="300" t="str">
        <f>_xlfn.IFNA(VLOOKUP($AI340,Programma!$F$3:$S$1107,14,0),"")</f>
        <v>1m</v>
      </c>
      <c r="AW340" s="300" t="str">
        <f>_xlfn.IFNA(VLOOKUP($AI340,Programma!$F$3:$T$1107,15,0),"")</f>
        <v>2j</v>
      </c>
      <c r="AX340" s="300" t="str">
        <f>_xlfn.IFNA(VLOOKUP($AI340,Programma!$F$3:$U$1107,16,0),"")</f>
        <v>1j</v>
      </c>
      <c r="AY340" s="300" t="str">
        <f>_xlfn.IFNA(VLOOKUP($AI340,Programma!$F$3:$V$1107,17,0),"")</f>
        <v>_</v>
      </c>
      <c r="AZ340" s="300" t="str">
        <f>_xlfn.IFNA(VLOOKUP($AI340,Programma!$F$3:$W$1107,18,0),"")</f>
        <v>_</v>
      </c>
      <c r="BA340" s="300" t="str">
        <f>_xlfn.IFNA(VLOOKUP($AI340,Programma!$F$3:$X$1107,19,0),"")</f>
        <v>_</v>
      </c>
      <c r="BB340" s="300" t="str">
        <f>_xlfn.IFNA(VLOOKUP($AI340,Programma!$F$3:$Y$1107,20,0),"")</f>
        <v>_</v>
      </c>
      <c r="BC340" s="257"/>
      <c r="BD340" s="256" t="str">
        <f>IF(Ruimtestaat[[#This Row],[Frequentie weekend]]="","",_xlfn.CONCAT(Ruimtestaat[[#This Row],[Ruimte code]],"-",Ruimtestaat[[#This Row],[Frequentie weekend]]," ",Ruimtestaat[[#This Row],[Vloer code]]))</f>
        <v/>
      </c>
      <c r="BE340" s="300" t="str">
        <f>_xlfn.IFNA(VLOOKUP($BD340,Programma!$F$3:$G$1107,2,0),"")</f>
        <v/>
      </c>
      <c r="BF340" s="300" t="str">
        <f>_xlfn.IFNA(VLOOKUP($BD340,Programma!$F$3:$H$1107,3,0),"")</f>
        <v/>
      </c>
      <c r="BG340" s="300" t="str">
        <f>_xlfn.IFNA(VLOOKUP($BD340,Programma!$F$3:$I$1107,4,0),"")</f>
        <v/>
      </c>
      <c r="BH340" s="300" t="str">
        <f>_xlfn.IFNA(VLOOKUP($BD340,Programma!$F$3:$J$1107,5,0),"")</f>
        <v/>
      </c>
      <c r="BI340" s="300" t="str">
        <f>_xlfn.IFNA(VLOOKUP($BD340,Programma!$F$3:$K$1107,6,0),"")</f>
        <v/>
      </c>
      <c r="BJ340" s="300" t="str">
        <f>_xlfn.IFNA(VLOOKUP($BD340,Programma!$F$3:$L$1107,7,0),"")</f>
        <v/>
      </c>
      <c r="BK340" s="300" t="str">
        <f>_xlfn.IFNA(VLOOKUP($BD340,Programma!$F$3:$M$1107,8,0),"")</f>
        <v/>
      </c>
      <c r="BL340" s="300" t="str">
        <f>_xlfn.IFNA(VLOOKUP($BD340,Programma!$F$3:$N$1107,9,0),"")</f>
        <v/>
      </c>
      <c r="BM340" s="300" t="str">
        <f>_xlfn.IFNA(VLOOKUP($BD340,Programma!$F$3:$O$1107,10,0),"")</f>
        <v/>
      </c>
      <c r="BN340" s="300" t="str">
        <f>_xlfn.IFNA(VLOOKUP($BD340,Programma!$F$3:$P$1107,11,0),"")</f>
        <v/>
      </c>
      <c r="BO340" s="300" t="str">
        <f>_xlfn.IFNA(VLOOKUP($BD340,Programma!$F$3:$Q$1107,12,0),"")</f>
        <v/>
      </c>
      <c r="BP340" s="300" t="str">
        <f>_xlfn.IFNA(VLOOKUP($BD340,Programma!$F$3:$R$1107,13,0),"")</f>
        <v/>
      </c>
      <c r="BQ340" s="300" t="str">
        <f>_xlfn.IFNA(VLOOKUP($BD340,Programma!$F$3:$S$1107,14,0),"")</f>
        <v/>
      </c>
      <c r="BR340" s="300" t="str">
        <f>_xlfn.IFNA(VLOOKUP($BD340,Programma!$F$3:$T$1107,15,0),"")</f>
        <v/>
      </c>
      <c r="BS340" s="300" t="str">
        <f>_xlfn.IFNA(VLOOKUP($BD340,Programma!$F$3:$U$1107,16,0),"")</f>
        <v/>
      </c>
      <c r="BT340" s="300" t="str">
        <f>_xlfn.IFNA(VLOOKUP($BD340,Programma!$F$3:$V$1107,17,0),"")</f>
        <v/>
      </c>
      <c r="BU340" s="300" t="str">
        <f>_xlfn.IFNA(VLOOKUP($BD340,Programma!$F$3:$W$1107,18,0),"")</f>
        <v/>
      </c>
      <c r="BV340" s="300" t="str">
        <f>_xlfn.IFNA(VLOOKUP($BD340,Programma!$F$3:$X$1107,19,0),"")</f>
        <v/>
      </c>
      <c r="BW340" s="300" t="str">
        <f>_xlfn.IFNA(VLOOKUP($BD340,Programma!$F$3:$Y$1107,20,0),"")</f>
        <v/>
      </c>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row>
    <row r="341" spans="1:220" ht="15" customHeight="1">
      <c r="A341" s="21">
        <v>5</v>
      </c>
      <c r="B341" s="157" t="str">
        <f>VLOOKUP(Ruimtestaat[[#This Row],[Code]],Locaties[[Code]:[Locatie]],2,FALSE)</f>
        <v>François Vatel vmbo</v>
      </c>
      <c r="C341" s="157" t="str">
        <f>VLOOKUP(Ruimtestaat[[#This Row],[Code]],Locaties[[#All],[Code]:[Adres]],4,FALSE)</f>
        <v>Granaathorst 20</v>
      </c>
      <c r="D341" s="157" t="str">
        <f>VLOOKUP(Ruimtestaat[[#This Row],[Code]],Locaties[[#All],[Code]:[Postcode]],5,FALSE)</f>
        <v>2592 TD</v>
      </c>
      <c r="E341" s="157" t="str">
        <f>VLOOKUP(Ruimtestaat[[#This Row],[Code]],Locaties[#All],6,FALSE)</f>
        <v>Den Haag</v>
      </c>
      <c r="F341" s="62"/>
      <c r="G341" s="21" t="s">
        <v>1859</v>
      </c>
      <c r="H341" s="21">
        <v>-104</v>
      </c>
      <c r="I341" s="62" t="s">
        <v>2009</v>
      </c>
      <c r="J341" s="21">
        <v>19</v>
      </c>
      <c r="K341" s="62" t="str">
        <f>VLOOKUP(Ruimtestaat[[#This Row],[Ruimte code]],Ruimtegroepen[[#All],[Code]:[Ruimte omschrijving]],2,FALSE)</f>
        <v>kleedruimten</v>
      </c>
      <c r="L341" s="33" t="s">
        <v>102</v>
      </c>
      <c r="M341" s="367" t="s">
        <v>2509</v>
      </c>
      <c r="N341" s="140">
        <v>46</v>
      </c>
      <c r="O341" s="140"/>
      <c r="P341" s="125" t="str">
        <f>VLOOKUP(Ruimtestaat[[#This Row],[Ruimte code]],Ruimtegroepen[],4,FALSE)</f>
        <v>Ve</v>
      </c>
      <c r="R341" s="33">
        <v>40</v>
      </c>
      <c r="S341" s="33" t="s">
        <v>2</v>
      </c>
      <c r="T341" s="33">
        <f>IF(R341&gt;0,IF(RIGHT(Ruimtestaat[[#This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1" s="33">
        <f>IF(T341&gt;0,VLOOKUP($J341,Ruimtegroepen[],3,FALSE)*VLOOKUP($L341,Vloersoorten[],3,FALSE)*VLOOKUP($S341,Frequenties[],3,FALSE)*VLOOKUP($A341,Locaties[],3,FALSE),0)</f>
        <v>0</v>
      </c>
      <c r="V341" s="33">
        <f>Ruimtestaat[[#This Row],[Uitvoeringen werkdagen]]*Ruimtestaat[[#This Row],[Oppervlak (netto)]]</f>
        <v>9200</v>
      </c>
      <c r="W341" s="154">
        <f>IF(U341&gt;0,Ruimtestaat[[#This Row],[Prest. (m2 /jaar) werkdagen]]/Ruimtestaat[[#This Row],[Norm (m2/uur) werkdagen]],0)</f>
        <v>0</v>
      </c>
      <c r="X341" s="155">
        <f>Ruimtestaat[[#This Row],[uren / jaar werkdagen]]*Tariefsopbouw!$E$35</f>
        <v>0</v>
      </c>
      <c r="Y341" s="33"/>
      <c r="Z341" s="33">
        <f>IF(Ruimtestaat[[#This Row],[Frequentie weekend]]&gt;0,VALUE(LEFT(Y341,1))*R341,0)</f>
        <v>0</v>
      </c>
      <c r="AA341" s="97">
        <f>IF($Z341&gt;0,VLOOKUP($J341,Ruimtegroepen[],3,FALSE)*VLOOKUP($L341,Vloersoorten[],3,FALSE)*VLOOKUP($Y341,Frequenties[],3,FALSE)*VLOOKUP(Ruimtestaat[[#This Row],[Code]],Locaties[],3,FALSE),0)</f>
        <v>0</v>
      </c>
      <c r="AB341" s="97">
        <f>Ruimtestaat[[#This Row],[Uitvoeringen weekend]]*Ruimtestaat[[#This Row],[Oppervlak (netto)]]</f>
        <v>0</v>
      </c>
      <c r="AC341" s="97">
        <f>IF(AA341&gt;0,Ruimtestaat[[#This Row],[Prest. (m2 /jaar) weekend]]/Ruimtestaat[[#This Row],[Norm (m2/uur) weekend]],0)</f>
        <v>0</v>
      </c>
      <c r="AD341" s="155">
        <f>Ruimtestaat[[#This Row],[uren / jaar weekend]]*Tariefsopbouw!$D$40</f>
        <v>0</v>
      </c>
      <c r="AE341" s="154">
        <f>Ruimtestaat[[#This Row],[Prest. (m2 /jaar) weekend]]+Ruimtestaat[[#This Row],[Prest. (m2 /jaar) werkdagen]]</f>
        <v>9200</v>
      </c>
      <c r="AF341" s="154">
        <f>Ruimtestaat[[#This Row],[uren / jaar weekend]]+Ruimtestaat[[#This Row],[uren / jaar werkdagen]]</f>
        <v>0</v>
      </c>
      <c r="AG341" s="69">
        <f>Ruimtestaat[[#This Row],[kosten / jaar weekend]]+Ruimtestaat[[#This Row],[kosten / jaar werkdagen]]</f>
        <v>0</v>
      </c>
      <c r="AH341" s="69"/>
      <c r="AI341" s="256" t="str">
        <f>IF(Ruimtestaat[[#This Row],[Frequentie werkdagen]]="","",_xlfn.CONCAT(Ruimtestaat[[#This Row],[Ruimte code]],"-",Ruimtestaat[[#This Row],[Frequentie werkdagen]]," ",Ruimtestaat[[#This Row],[Vloer code]]))</f>
        <v>19-5w S</v>
      </c>
      <c r="AJ341" s="300" t="str">
        <f>_xlfn.IFNA(VLOOKUP($AI341,Programma!$F$3:$G$1107,2,0),"")</f>
        <v>_</v>
      </c>
      <c r="AK341" s="300" t="str">
        <f>_xlfn.IFNA(VLOOKUP($AI341,Programma!$F$3:$H$1107,3,0),"")</f>
        <v>_</v>
      </c>
      <c r="AL341" s="300" t="str">
        <f>_xlfn.IFNA(VLOOKUP($AI341,Programma!$F$3:$I$1107,4,0),"")</f>
        <v>5w</v>
      </c>
      <c r="AM341" s="300" t="str">
        <f>_xlfn.IFNA(VLOOKUP($AI341,Programma!$F$3:$J$1107,5,0),"")</f>
        <v>_</v>
      </c>
      <c r="AN341" s="300" t="str">
        <f>_xlfn.IFNA(VLOOKUP($AI341,Programma!$F$3:$K$1107,6,0),"")</f>
        <v>5w</v>
      </c>
      <c r="AO341" s="300" t="str">
        <f>_xlfn.IFNA(VLOOKUP($AI341,Programma!$F$3:$L$1107,7,0),"")</f>
        <v>_</v>
      </c>
      <c r="AP341" s="300" t="str">
        <f>_xlfn.IFNA(VLOOKUP($AI341,Programma!$F$3:$M$1107,8,0),"")</f>
        <v>_</v>
      </c>
      <c r="AQ341" s="300" t="str">
        <f>_xlfn.IFNA(VLOOKUP($AI341,Programma!$F$3:$N$1107,9,0),"")</f>
        <v>_</v>
      </c>
      <c r="AR341" s="300" t="str">
        <f>_xlfn.IFNA(VLOOKUP($AI341,Programma!$F$3:$O$1107,10,0),"")</f>
        <v>5w</v>
      </c>
      <c r="AS341" s="300" t="str">
        <f>_xlfn.IFNA(VLOOKUP($AI341,Programma!$F$3:$P$1107,11,0),"")</f>
        <v>5w</v>
      </c>
      <c r="AT341" s="300" t="str">
        <f>_xlfn.IFNA(VLOOKUP($AI341,Programma!$F$3:$Q$1107,12,0),"")</f>
        <v>1w</v>
      </c>
      <c r="AU341" s="300" t="str">
        <f>_xlfn.IFNA(VLOOKUP($AI341,Programma!$F$3:$R$1107,13,0),"")</f>
        <v>1w</v>
      </c>
      <c r="AV341" s="300" t="str">
        <f>_xlfn.IFNA(VLOOKUP($AI341,Programma!$F$3:$S$1107,14,0),"")</f>
        <v>1m</v>
      </c>
      <c r="AW341" s="300" t="str">
        <f>_xlfn.IFNA(VLOOKUP($AI341,Programma!$F$3:$T$1107,15,0),"")</f>
        <v>2j</v>
      </c>
      <c r="AX341" s="300" t="str">
        <f>_xlfn.IFNA(VLOOKUP($AI341,Programma!$F$3:$U$1107,16,0),"")</f>
        <v>1j</v>
      </c>
      <c r="AY341" s="300" t="str">
        <f>_xlfn.IFNA(VLOOKUP($AI341,Programma!$F$3:$V$1107,17,0),"")</f>
        <v>_</v>
      </c>
      <c r="AZ341" s="300" t="str">
        <f>_xlfn.IFNA(VLOOKUP($AI341,Programma!$F$3:$W$1107,18,0),"")</f>
        <v>_</v>
      </c>
      <c r="BA341" s="300" t="str">
        <f>_xlfn.IFNA(VLOOKUP($AI341,Programma!$F$3:$X$1107,19,0),"")</f>
        <v>_</v>
      </c>
      <c r="BB341" s="300" t="str">
        <f>_xlfn.IFNA(VLOOKUP($AI341,Programma!$F$3:$Y$1107,20,0),"")</f>
        <v>_</v>
      </c>
      <c r="BC341" s="257"/>
      <c r="BD341" s="256" t="str">
        <f>IF(Ruimtestaat[[#This Row],[Frequentie weekend]]="","",_xlfn.CONCAT(Ruimtestaat[[#This Row],[Ruimte code]],"-",Ruimtestaat[[#This Row],[Frequentie weekend]]," ",Ruimtestaat[[#This Row],[Vloer code]]))</f>
        <v/>
      </c>
      <c r="BE341" s="300" t="str">
        <f>_xlfn.IFNA(VLOOKUP($BD341,Programma!$F$3:$G$1107,2,0),"")</f>
        <v/>
      </c>
      <c r="BF341" s="300" t="str">
        <f>_xlfn.IFNA(VLOOKUP($BD341,Programma!$F$3:$H$1107,3,0),"")</f>
        <v/>
      </c>
      <c r="BG341" s="300" t="str">
        <f>_xlfn.IFNA(VLOOKUP($BD341,Programma!$F$3:$I$1107,4,0),"")</f>
        <v/>
      </c>
      <c r="BH341" s="300" t="str">
        <f>_xlfn.IFNA(VLOOKUP($BD341,Programma!$F$3:$J$1107,5,0),"")</f>
        <v/>
      </c>
      <c r="BI341" s="300" t="str">
        <f>_xlfn.IFNA(VLOOKUP($BD341,Programma!$F$3:$K$1107,6,0),"")</f>
        <v/>
      </c>
      <c r="BJ341" s="300" t="str">
        <f>_xlfn.IFNA(VLOOKUP($BD341,Programma!$F$3:$L$1107,7,0),"")</f>
        <v/>
      </c>
      <c r="BK341" s="300" t="str">
        <f>_xlfn.IFNA(VLOOKUP($BD341,Programma!$F$3:$M$1107,8,0),"")</f>
        <v/>
      </c>
      <c r="BL341" s="300" t="str">
        <f>_xlfn.IFNA(VLOOKUP($BD341,Programma!$F$3:$N$1107,9,0),"")</f>
        <v/>
      </c>
      <c r="BM341" s="300" t="str">
        <f>_xlfn.IFNA(VLOOKUP($BD341,Programma!$F$3:$O$1107,10,0),"")</f>
        <v/>
      </c>
      <c r="BN341" s="300" t="str">
        <f>_xlfn.IFNA(VLOOKUP($BD341,Programma!$F$3:$P$1107,11,0),"")</f>
        <v/>
      </c>
      <c r="BO341" s="300" t="str">
        <f>_xlfn.IFNA(VLOOKUP($BD341,Programma!$F$3:$Q$1107,12,0),"")</f>
        <v/>
      </c>
      <c r="BP341" s="300" t="str">
        <f>_xlfn.IFNA(VLOOKUP($BD341,Programma!$F$3:$R$1107,13,0),"")</f>
        <v/>
      </c>
      <c r="BQ341" s="300" t="str">
        <f>_xlfn.IFNA(VLOOKUP($BD341,Programma!$F$3:$S$1107,14,0),"")</f>
        <v/>
      </c>
      <c r="BR341" s="300" t="str">
        <f>_xlfn.IFNA(VLOOKUP($BD341,Programma!$F$3:$T$1107,15,0),"")</f>
        <v/>
      </c>
      <c r="BS341" s="300" t="str">
        <f>_xlfn.IFNA(VLOOKUP($BD341,Programma!$F$3:$U$1107,16,0),"")</f>
        <v/>
      </c>
      <c r="BT341" s="300" t="str">
        <f>_xlfn.IFNA(VLOOKUP($BD341,Programma!$F$3:$V$1107,17,0),"")</f>
        <v/>
      </c>
      <c r="BU341" s="300" t="str">
        <f>_xlfn.IFNA(VLOOKUP($BD341,Programma!$F$3:$W$1107,18,0),"")</f>
        <v/>
      </c>
      <c r="BV341" s="300" t="str">
        <f>_xlfn.IFNA(VLOOKUP($BD341,Programma!$F$3:$X$1107,19,0),"")</f>
        <v/>
      </c>
      <c r="BW341" s="300" t="str">
        <f>_xlfn.IFNA(VLOOKUP($BD341,Programma!$F$3:$Y$1107,20,0),"")</f>
        <v/>
      </c>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row>
    <row r="342" spans="1:220" ht="15" customHeight="1">
      <c r="A342" s="21">
        <v>5</v>
      </c>
      <c r="B342" s="157" t="str">
        <f>VLOOKUP(Ruimtestaat[[#This Row],[Code]],Locaties[[Code]:[Locatie]],2,FALSE)</f>
        <v>François Vatel vmbo</v>
      </c>
      <c r="C342" s="157" t="str">
        <f>VLOOKUP(Ruimtestaat[[#This Row],[Code]],Locaties[[#All],[Code]:[Adres]],4,FALSE)</f>
        <v>Granaathorst 20</v>
      </c>
      <c r="D342" s="157" t="str">
        <f>VLOOKUP(Ruimtestaat[[#This Row],[Code]],Locaties[[#All],[Code]:[Postcode]],5,FALSE)</f>
        <v>2592 TD</v>
      </c>
      <c r="E342" s="157" t="str">
        <f>VLOOKUP(Ruimtestaat[[#This Row],[Code]],Locaties[#All],6,FALSE)</f>
        <v>Den Haag</v>
      </c>
      <c r="F342" s="62"/>
      <c r="G342" s="21" t="s">
        <v>1859</v>
      </c>
      <c r="H342" s="21">
        <v>-105</v>
      </c>
      <c r="I342" s="62" t="s">
        <v>2010</v>
      </c>
      <c r="J342" s="21">
        <v>19</v>
      </c>
      <c r="K342" s="62" t="str">
        <f>VLOOKUP(Ruimtestaat[[#This Row],[Ruimte code]],Ruimtegroepen[[#All],[Code]:[Ruimte omschrijving]],2,FALSE)</f>
        <v>kleedruimten</v>
      </c>
      <c r="L342" s="33" t="s">
        <v>102</v>
      </c>
      <c r="M342" s="367" t="s">
        <v>2509</v>
      </c>
      <c r="N342" s="140">
        <v>8</v>
      </c>
      <c r="O342" s="140"/>
      <c r="P342" s="125" t="str">
        <f>VLOOKUP(Ruimtestaat[[#This Row],[Ruimte code]],Ruimtegroepen[],4,FALSE)</f>
        <v>Ve</v>
      </c>
      <c r="R342" s="33">
        <v>40</v>
      </c>
      <c r="S342" s="33" t="s">
        <v>2</v>
      </c>
      <c r="T342" s="33">
        <f>IF(R342&gt;0,IF(RIGHT(Ruimtestaat[[#This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2" s="33">
        <f>IF(T342&gt;0,VLOOKUP($J342,Ruimtegroepen[],3,FALSE)*VLOOKUP($L342,Vloersoorten[],3,FALSE)*VLOOKUP($S342,Frequenties[],3,FALSE)*VLOOKUP($A342,Locaties[],3,FALSE),0)</f>
        <v>0</v>
      </c>
      <c r="V342" s="33">
        <f>Ruimtestaat[[#This Row],[Uitvoeringen werkdagen]]*Ruimtestaat[[#This Row],[Oppervlak (netto)]]</f>
        <v>1600</v>
      </c>
      <c r="W342" s="154">
        <f>IF(U342&gt;0,Ruimtestaat[[#This Row],[Prest. (m2 /jaar) werkdagen]]/Ruimtestaat[[#This Row],[Norm (m2/uur) werkdagen]],0)</f>
        <v>0</v>
      </c>
      <c r="X342" s="155">
        <f>Ruimtestaat[[#This Row],[uren / jaar werkdagen]]*Tariefsopbouw!$E$35</f>
        <v>0</v>
      </c>
      <c r="Y342" s="33"/>
      <c r="Z342" s="33">
        <f>IF(Ruimtestaat[[#This Row],[Frequentie weekend]]&gt;0,VALUE(LEFT(Y342,1))*R342,0)</f>
        <v>0</v>
      </c>
      <c r="AA342" s="97">
        <f>IF($Z342&gt;0,VLOOKUP($J342,Ruimtegroepen[],3,FALSE)*VLOOKUP($L342,Vloersoorten[],3,FALSE)*VLOOKUP($Y342,Frequenties[],3,FALSE)*VLOOKUP(Ruimtestaat[[#This Row],[Code]],Locaties[],3,FALSE),0)</f>
        <v>0</v>
      </c>
      <c r="AB342" s="97">
        <f>Ruimtestaat[[#This Row],[Uitvoeringen weekend]]*Ruimtestaat[[#This Row],[Oppervlak (netto)]]</f>
        <v>0</v>
      </c>
      <c r="AC342" s="97">
        <f>IF(AA342&gt;0,Ruimtestaat[[#This Row],[Prest. (m2 /jaar) weekend]]/Ruimtestaat[[#This Row],[Norm (m2/uur) weekend]],0)</f>
        <v>0</v>
      </c>
      <c r="AD342" s="155">
        <f>Ruimtestaat[[#This Row],[uren / jaar weekend]]*Tariefsopbouw!$D$40</f>
        <v>0</v>
      </c>
      <c r="AE342" s="154">
        <f>Ruimtestaat[[#This Row],[Prest. (m2 /jaar) weekend]]+Ruimtestaat[[#This Row],[Prest. (m2 /jaar) werkdagen]]</f>
        <v>1600</v>
      </c>
      <c r="AF342" s="154">
        <f>Ruimtestaat[[#This Row],[uren / jaar weekend]]+Ruimtestaat[[#This Row],[uren / jaar werkdagen]]</f>
        <v>0</v>
      </c>
      <c r="AG342" s="69">
        <f>Ruimtestaat[[#This Row],[kosten / jaar weekend]]+Ruimtestaat[[#This Row],[kosten / jaar werkdagen]]</f>
        <v>0</v>
      </c>
      <c r="AH342" s="69"/>
      <c r="AI342" s="256" t="str">
        <f>IF(Ruimtestaat[[#This Row],[Frequentie werkdagen]]="","",_xlfn.CONCAT(Ruimtestaat[[#This Row],[Ruimte code]],"-",Ruimtestaat[[#This Row],[Frequentie werkdagen]]," ",Ruimtestaat[[#This Row],[Vloer code]]))</f>
        <v>19-5w S</v>
      </c>
      <c r="AJ342" s="300" t="str">
        <f>_xlfn.IFNA(VLOOKUP($AI342,Programma!$F$3:$G$1107,2,0),"")</f>
        <v>_</v>
      </c>
      <c r="AK342" s="300" t="str">
        <f>_xlfn.IFNA(VLOOKUP($AI342,Programma!$F$3:$H$1107,3,0),"")</f>
        <v>_</v>
      </c>
      <c r="AL342" s="300" t="str">
        <f>_xlfn.IFNA(VLOOKUP($AI342,Programma!$F$3:$I$1107,4,0),"")</f>
        <v>5w</v>
      </c>
      <c r="AM342" s="300" t="str">
        <f>_xlfn.IFNA(VLOOKUP($AI342,Programma!$F$3:$J$1107,5,0),"")</f>
        <v>_</v>
      </c>
      <c r="AN342" s="300" t="str">
        <f>_xlfn.IFNA(VLOOKUP($AI342,Programma!$F$3:$K$1107,6,0),"")</f>
        <v>5w</v>
      </c>
      <c r="AO342" s="300" t="str">
        <f>_xlfn.IFNA(VLOOKUP($AI342,Programma!$F$3:$L$1107,7,0),"")</f>
        <v>_</v>
      </c>
      <c r="AP342" s="300" t="str">
        <f>_xlfn.IFNA(VLOOKUP($AI342,Programma!$F$3:$M$1107,8,0),"")</f>
        <v>_</v>
      </c>
      <c r="AQ342" s="300" t="str">
        <f>_xlfn.IFNA(VLOOKUP($AI342,Programma!$F$3:$N$1107,9,0),"")</f>
        <v>_</v>
      </c>
      <c r="AR342" s="300" t="str">
        <f>_xlfn.IFNA(VLOOKUP($AI342,Programma!$F$3:$O$1107,10,0),"")</f>
        <v>5w</v>
      </c>
      <c r="AS342" s="300" t="str">
        <f>_xlfn.IFNA(VLOOKUP($AI342,Programma!$F$3:$P$1107,11,0),"")</f>
        <v>5w</v>
      </c>
      <c r="AT342" s="300" t="str">
        <f>_xlfn.IFNA(VLOOKUP($AI342,Programma!$F$3:$Q$1107,12,0),"")</f>
        <v>1w</v>
      </c>
      <c r="AU342" s="300" t="str">
        <f>_xlfn.IFNA(VLOOKUP($AI342,Programma!$F$3:$R$1107,13,0),"")</f>
        <v>1w</v>
      </c>
      <c r="AV342" s="300" t="str">
        <f>_xlfn.IFNA(VLOOKUP($AI342,Programma!$F$3:$S$1107,14,0),"")</f>
        <v>1m</v>
      </c>
      <c r="AW342" s="300" t="str">
        <f>_xlfn.IFNA(VLOOKUP($AI342,Programma!$F$3:$T$1107,15,0),"")</f>
        <v>2j</v>
      </c>
      <c r="AX342" s="300" t="str">
        <f>_xlfn.IFNA(VLOOKUP($AI342,Programma!$F$3:$U$1107,16,0),"")</f>
        <v>1j</v>
      </c>
      <c r="AY342" s="300" t="str">
        <f>_xlfn.IFNA(VLOOKUP($AI342,Programma!$F$3:$V$1107,17,0),"")</f>
        <v>_</v>
      </c>
      <c r="AZ342" s="300" t="str">
        <f>_xlfn.IFNA(VLOOKUP($AI342,Programma!$F$3:$W$1107,18,0),"")</f>
        <v>_</v>
      </c>
      <c r="BA342" s="300" t="str">
        <f>_xlfn.IFNA(VLOOKUP($AI342,Programma!$F$3:$X$1107,19,0),"")</f>
        <v>_</v>
      </c>
      <c r="BB342" s="300" t="str">
        <f>_xlfn.IFNA(VLOOKUP($AI342,Programma!$F$3:$Y$1107,20,0),"")</f>
        <v>_</v>
      </c>
      <c r="BC342" s="257"/>
      <c r="BD342" s="256" t="str">
        <f>IF(Ruimtestaat[[#This Row],[Frequentie weekend]]="","",_xlfn.CONCAT(Ruimtestaat[[#This Row],[Ruimte code]],"-",Ruimtestaat[[#This Row],[Frequentie weekend]]," ",Ruimtestaat[[#This Row],[Vloer code]]))</f>
        <v/>
      </c>
      <c r="BE342" s="300" t="str">
        <f>_xlfn.IFNA(VLOOKUP($BD342,Programma!$F$3:$G$1107,2,0),"")</f>
        <v/>
      </c>
      <c r="BF342" s="300" t="str">
        <f>_xlfn.IFNA(VLOOKUP($BD342,Programma!$F$3:$H$1107,3,0),"")</f>
        <v/>
      </c>
      <c r="BG342" s="300" t="str">
        <f>_xlfn.IFNA(VLOOKUP($BD342,Programma!$F$3:$I$1107,4,0),"")</f>
        <v/>
      </c>
      <c r="BH342" s="300" t="str">
        <f>_xlfn.IFNA(VLOOKUP($BD342,Programma!$F$3:$J$1107,5,0),"")</f>
        <v/>
      </c>
      <c r="BI342" s="300" t="str">
        <f>_xlfn.IFNA(VLOOKUP($BD342,Programma!$F$3:$K$1107,6,0),"")</f>
        <v/>
      </c>
      <c r="BJ342" s="300" t="str">
        <f>_xlfn.IFNA(VLOOKUP($BD342,Programma!$F$3:$L$1107,7,0),"")</f>
        <v/>
      </c>
      <c r="BK342" s="300" t="str">
        <f>_xlfn.IFNA(VLOOKUP($BD342,Programma!$F$3:$M$1107,8,0),"")</f>
        <v/>
      </c>
      <c r="BL342" s="300" t="str">
        <f>_xlfn.IFNA(VLOOKUP($BD342,Programma!$F$3:$N$1107,9,0),"")</f>
        <v/>
      </c>
      <c r="BM342" s="300" t="str">
        <f>_xlfn.IFNA(VLOOKUP($BD342,Programma!$F$3:$O$1107,10,0),"")</f>
        <v/>
      </c>
      <c r="BN342" s="300" t="str">
        <f>_xlfn.IFNA(VLOOKUP($BD342,Programma!$F$3:$P$1107,11,0),"")</f>
        <v/>
      </c>
      <c r="BO342" s="300" t="str">
        <f>_xlfn.IFNA(VLOOKUP($BD342,Programma!$F$3:$Q$1107,12,0),"")</f>
        <v/>
      </c>
      <c r="BP342" s="300" t="str">
        <f>_xlfn.IFNA(VLOOKUP($BD342,Programma!$F$3:$R$1107,13,0),"")</f>
        <v/>
      </c>
      <c r="BQ342" s="300" t="str">
        <f>_xlfn.IFNA(VLOOKUP($BD342,Programma!$F$3:$S$1107,14,0),"")</f>
        <v/>
      </c>
      <c r="BR342" s="300" t="str">
        <f>_xlfn.IFNA(VLOOKUP($BD342,Programma!$F$3:$T$1107,15,0),"")</f>
        <v/>
      </c>
      <c r="BS342" s="300" t="str">
        <f>_xlfn.IFNA(VLOOKUP($BD342,Programma!$F$3:$U$1107,16,0),"")</f>
        <v/>
      </c>
      <c r="BT342" s="300" t="str">
        <f>_xlfn.IFNA(VLOOKUP($BD342,Programma!$F$3:$V$1107,17,0),"")</f>
        <v/>
      </c>
      <c r="BU342" s="300" t="str">
        <f>_xlfn.IFNA(VLOOKUP($BD342,Programma!$F$3:$W$1107,18,0),"")</f>
        <v/>
      </c>
      <c r="BV342" s="300" t="str">
        <f>_xlfn.IFNA(VLOOKUP($BD342,Programma!$F$3:$X$1107,19,0),"")</f>
        <v/>
      </c>
      <c r="BW342" s="300" t="str">
        <f>_xlfn.IFNA(VLOOKUP($BD342,Programma!$F$3:$Y$1107,20,0),"")</f>
        <v/>
      </c>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row>
    <row r="343" spans="1:220" ht="15" customHeight="1">
      <c r="A343" s="21">
        <v>5</v>
      </c>
      <c r="B343" s="157" t="str">
        <f>VLOOKUP(Ruimtestaat[[#This Row],[Code]],Locaties[[Code]:[Locatie]],2,FALSE)</f>
        <v>François Vatel vmbo</v>
      </c>
      <c r="C343" s="157" t="str">
        <f>VLOOKUP(Ruimtestaat[[#This Row],[Code]],Locaties[[#All],[Code]:[Adres]],4,FALSE)</f>
        <v>Granaathorst 20</v>
      </c>
      <c r="D343" s="157" t="str">
        <f>VLOOKUP(Ruimtestaat[[#This Row],[Code]],Locaties[[#All],[Code]:[Postcode]],5,FALSE)</f>
        <v>2592 TD</v>
      </c>
      <c r="E343" s="157" t="str">
        <f>VLOOKUP(Ruimtestaat[[#This Row],[Code]],Locaties[#All],6,FALSE)</f>
        <v>Den Haag</v>
      </c>
      <c r="F343" s="62"/>
      <c r="G343" s="21" t="s">
        <v>1632</v>
      </c>
      <c r="H343" s="21">
        <v>1</v>
      </c>
      <c r="I343" s="62" t="s">
        <v>1633</v>
      </c>
      <c r="J343" s="21">
        <v>7</v>
      </c>
      <c r="K343" s="62" t="str">
        <f>VLOOKUP(Ruimtestaat[[#This Row],[Ruimte code]],Ruimtegroepen[[#All],[Code]:[Ruimte omschrijving]],2,FALSE)</f>
        <v>Entree</v>
      </c>
      <c r="L343" s="33" t="s">
        <v>100</v>
      </c>
      <c r="M343" s="367" t="s">
        <v>2493</v>
      </c>
      <c r="N343" s="140">
        <v>21</v>
      </c>
      <c r="O343" s="140"/>
      <c r="P343" s="125" t="str">
        <f>VLOOKUP(Ruimtestaat[[#This Row],[Ruimte code]],Ruimtegroepen[],4,FALSE)</f>
        <v>Ve</v>
      </c>
      <c r="R343" s="33">
        <v>40</v>
      </c>
      <c r="S343" s="33" t="s">
        <v>2</v>
      </c>
      <c r="T343" s="33">
        <f>IF(R343&gt;0,IF(RIGHT(Ruimtestaat[[#This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3" s="33">
        <f>IF(T343&gt;0,VLOOKUP($J343,Ruimtegroepen[],3,FALSE)*VLOOKUP($L343,Vloersoorten[],3,FALSE)*VLOOKUP($S343,Frequenties[],3,FALSE)*VLOOKUP($A343,Locaties[],3,FALSE),0)</f>
        <v>0</v>
      </c>
      <c r="V343" s="33">
        <f>Ruimtestaat[[#This Row],[Uitvoeringen werkdagen]]*Ruimtestaat[[#This Row],[Oppervlak (netto)]]</f>
        <v>4200</v>
      </c>
      <c r="W343" s="154">
        <f>IF(U343&gt;0,Ruimtestaat[[#This Row],[Prest. (m2 /jaar) werkdagen]]/Ruimtestaat[[#This Row],[Norm (m2/uur) werkdagen]],0)</f>
        <v>0</v>
      </c>
      <c r="X343" s="155">
        <f>Ruimtestaat[[#This Row],[uren / jaar werkdagen]]*Tariefsopbouw!$E$35</f>
        <v>0</v>
      </c>
      <c r="Y343" s="33"/>
      <c r="Z343" s="33">
        <f>IF(Ruimtestaat[[#This Row],[Frequentie weekend]]&gt;0,VALUE(LEFT(Y343,1))*R343,0)</f>
        <v>0</v>
      </c>
      <c r="AA343" s="97">
        <f>IF($Z343&gt;0,VLOOKUP($J343,Ruimtegroepen[],3,FALSE)*VLOOKUP($L343,Vloersoorten[],3,FALSE)*VLOOKUP($Y343,Frequenties[],3,FALSE)*VLOOKUP(Ruimtestaat[[#This Row],[Code]],Locaties[],3,FALSE),0)</f>
        <v>0</v>
      </c>
      <c r="AB343" s="97">
        <f>Ruimtestaat[[#This Row],[Uitvoeringen weekend]]*Ruimtestaat[[#This Row],[Oppervlak (netto)]]</f>
        <v>0</v>
      </c>
      <c r="AC343" s="97">
        <f>IF(AA343&gt;0,Ruimtestaat[[#This Row],[Prest. (m2 /jaar) weekend]]/Ruimtestaat[[#This Row],[Norm (m2/uur) weekend]],0)</f>
        <v>0</v>
      </c>
      <c r="AD343" s="155">
        <f>Ruimtestaat[[#This Row],[uren / jaar weekend]]*Tariefsopbouw!$D$40</f>
        <v>0</v>
      </c>
      <c r="AE343" s="154">
        <f>Ruimtestaat[[#This Row],[Prest. (m2 /jaar) weekend]]+Ruimtestaat[[#This Row],[Prest. (m2 /jaar) werkdagen]]</f>
        <v>4200</v>
      </c>
      <c r="AF343" s="154">
        <f>Ruimtestaat[[#This Row],[uren / jaar weekend]]+Ruimtestaat[[#This Row],[uren / jaar werkdagen]]</f>
        <v>0</v>
      </c>
      <c r="AG343" s="69">
        <f>Ruimtestaat[[#This Row],[kosten / jaar weekend]]+Ruimtestaat[[#This Row],[kosten / jaar werkdagen]]</f>
        <v>0</v>
      </c>
      <c r="AH343" s="69"/>
      <c r="AI343" s="256" t="str">
        <f>IF(Ruimtestaat[[#This Row],[Frequentie werkdagen]]="","",_xlfn.CONCAT(Ruimtestaat[[#This Row],[Ruimte code]],"-",Ruimtestaat[[#This Row],[Frequentie werkdagen]]," ",Ruimtestaat[[#This Row],[Vloer code]]))</f>
        <v>7-5w T</v>
      </c>
      <c r="AJ343" s="300" t="str">
        <f>_xlfn.IFNA(VLOOKUP($AI343,Programma!$F$3:$G$1107,2,0),"")</f>
        <v>_</v>
      </c>
      <c r="AK343" s="300" t="str">
        <f>_xlfn.IFNA(VLOOKUP($AI343,Programma!$F$3:$H$1107,3,0),"")</f>
        <v>5w</v>
      </c>
      <c r="AL343" s="300" t="str">
        <f>_xlfn.IFNA(VLOOKUP($AI343,Programma!$F$3:$I$1107,4,0),"")</f>
        <v>_</v>
      </c>
      <c r="AM343" s="300" t="str">
        <f>_xlfn.IFNA(VLOOKUP($AI343,Programma!$F$3:$J$1107,5,0),"")</f>
        <v>_</v>
      </c>
      <c r="AN343" s="300" t="str">
        <f>_xlfn.IFNA(VLOOKUP($AI343,Programma!$F$3:$K$1107,6,0),"")</f>
        <v>_</v>
      </c>
      <c r="AO343" s="300" t="str">
        <f>_xlfn.IFNA(VLOOKUP($AI343,Programma!$F$3:$L$1107,7,0),"")</f>
        <v>_</v>
      </c>
      <c r="AP343" s="300" t="str">
        <f>_xlfn.IFNA(VLOOKUP($AI343,Programma!$F$3:$M$1107,8,0),"")</f>
        <v>_</v>
      </c>
      <c r="AQ343" s="300" t="str">
        <f>_xlfn.IFNA(VLOOKUP($AI343,Programma!$F$3:$N$1107,9,0),"")</f>
        <v>_</v>
      </c>
      <c r="AR343" s="300" t="str">
        <f>_xlfn.IFNA(VLOOKUP($AI343,Programma!$F$3:$O$1107,10,0),"")</f>
        <v>5w</v>
      </c>
      <c r="AS343" s="300" t="str">
        <f>_xlfn.IFNA(VLOOKUP($AI343,Programma!$F$3:$P$1107,11,0),"")</f>
        <v>5w</v>
      </c>
      <c r="AT343" s="300" t="str">
        <f>_xlfn.IFNA(VLOOKUP($AI343,Programma!$F$3:$Q$1107,12,0),"")</f>
        <v>1w</v>
      </c>
      <c r="AU343" s="300" t="str">
        <f>_xlfn.IFNA(VLOOKUP($AI343,Programma!$F$3:$R$1107,13,0),"")</f>
        <v>1w</v>
      </c>
      <c r="AV343" s="300" t="str">
        <f>_xlfn.IFNA(VLOOKUP($AI343,Programma!$F$3:$S$1107,14,0),"")</f>
        <v>1m</v>
      </c>
      <c r="AW343" s="300" t="str">
        <f>_xlfn.IFNA(VLOOKUP($AI343,Programma!$F$3:$T$1107,15,0),"")</f>
        <v>2j</v>
      </c>
      <c r="AX343" s="300" t="str">
        <f>_xlfn.IFNA(VLOOKUP($AI343,Programma!$F$3:$U$1107,16,0),"")</f>
        <v>1j</v>
      </c>
      <c r="AY343" s="300" t="str">
        <f>_xlfn.IFNA(VLOOKUP($AI343,Programma!$F$3:$V$1107,17,0),"")</f>
        <v>_</v>
      </c>
      <c r="AZ343" s="300" t="str">
        <f>_xlfn.IFNA(VLOOKUP($AI343,Programma!$F$3:$W$1107,18,0),"")</f>
        <v>_</v>
      </c>
      <c r="BA343" s="300" t="str">
        <f>_xlfn.IFNA(VLOOKUP($AI343,Programma!$F$3:$X$1107,19,0),"")</f>
        <v>_</v>
      </c>
      <c r="BB343" s="300" t="str">
        <f>_xlfn.IFNA(VLOOKUP($AI343,Programma!$F$3:$Y$1107,20,0),"")</f>
        <v>_</v>
      </c>
      <c r="BC343" s="257"/>
      <c r="BD343" s="256" t="str">
        <f>IF(Ruimtestaat[[#This Row],[Frequentie weekend]]="","",_xlfn.CONCAT(Ruimtestaat[[#This Row],[Ruimte code]],"-",Ruimtestaat[[#This Row],[Frequentie weekend]]," ",Ruimtestaat[[#This Row],[Vloer code]]))</f>
        <v/>
      </c>
      <c r="BE343" s="300" t="str">
        <f>_xlfn.IFNA(VLOOKUP($BD343,Programma!$F$3:$G$1107,2,0),"")</f>
        <v/>
      </c>
      <c r="BF343" s="300" t="str">
        <f>_xlfn.IFNA(VLOOKUP($BD343,Programma!$F$3:$H$1107,3,0),"")</f>
        <v/>
      </c>
      <c r="BG343" s="300" t="str">
        <f>_xlfn.IFNA(VLOOKUP($BD343,Programma!$F$3:$I$1107,4,0),"")</f>
        <v/>
      </c>
      <c r="BH343" s="300" t="str">
        <f>_xlfn.IFNA(VLOOKUP($BD343,Programma!$F$3:$J$1107,5,0),"")</f>
        <v/>
      </c>
      <c r="BI343" s="300" t="str">
        <f>_xlfn.IFNA(VLOOKUP($BD343,Programma!$F$3:$K$1107,6,0),"")</f>
        <v/>
      </c>
      <c r="BJ343" s="300" t="str">
        <f>_xlfn.IFNA(VLOOKUP($BD343,Programma!$F$3:$L$1107,7,0),"")</f>
        <v/>
      </c>
      <c r="BK343" s="300" t="str">
        <f>_xlfn.IFNA(VLOOKUP($BD343,Programma!$F$3:$M$1107,8,0),"")</f>
        <v/>
      </c>
      <c r="BL343" s="300" t="str">
        <f>_xlfn.IFNA(VLOOKUP($BD343,Programma!$F$3:$N$1107,9,0),"")</f>
        <v/>
      </c>
      <c r="BM343" s="300" t="str">
        <f>_xlfn.IFNA(VLOOKUP($BD343,Programma!$F$3:$O$1107,10,0),"")</f>
        <v/>
      </c>
      <c r="BN343" s="300" t="str">
        <f>_xlfn.IFNA(VLOOKUP($BD343,Programma!$F$3:$P$1107,11,0),"")</f>
        <v/>
      </c>
      <c r="BO343" s="300" t="str">
        <f>_xlfn.IFNA(VLOOKUP($BD343,Programma!$F$3:$Q$1107,12,0),"")</f>
        <v/>
      </c>
      <c r="BP343" s="300" t="str">
        <f>_xlfn.IFNA(VLOOKUP($BD343,Programma!$F$3:$R$1107,13,0),"")</f>
        <v/>
      </c>
      <c r="BQ343" s="300" t="str">
        <f>_xlfn.IFNA(VLOOKUP($BD343,Programma!$F$3:$S$1107,14,0),"")</f>
        <v/>
      </c>
      <c r="BR343" s="300" t="str">
        <f>_xlfn.IFNA(VLOOKUP($BD343,Programma!$F$3:$T$1107,15,0),"")</f>
        <v/>
      </c>
      <c r="BS343" s="300" t="str">
        <f>_xlfn.IFNA(VLOOKUP($BD343,Programma!$F$3:$U$1107,16,0),"")</f>
        <v/>
      </c>
      <c r="BT343" s="300" t="str">
        <f>_xlfn.IFNA(VLOOKUP($BD343,Programma!$F$3:$V$1107,17,0),"")</f>
        <v/>
      </c>
      <c r="BU343" s="300" t="str">
        <f>_xlfn.IFNA(VLOOKUP($BD343,Programma!$F$3:$W$1107,18,0),"")</f>
        <v/>
      </c>
      <c r="BV343" s="300" t="str">
        <f>_xlfn.IFNA(VLOOKUP($BD343,Programma!$F$3:$X$1107,19,0),"")</f>
        <v/>
      </c>
      <c r="BW343" s="300" t="str">
        <f>_xlfn.IFNA(VLOOKUP($BD343,Programma!$F$3:$Y$1107,20,0),"")</f>
        <v/>
      </c>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row>
    <row r="344" spans="1:220" ht="15" customHeight="1">
      <c r="A344" s="21">
        <v>5</v>
      </c>
      <c r="B344" s="157" t="str">
        <f>VLOOKUP(Ruimtestaat[[#This Row],[Code]],Locaties[[Code]:[Locatie]],2,FALSE)</f>
        <v>François Vatel vmbo</v>
      </c>
      <c r="C344" s="157" t="str">
        <f>VLOOKUP(Ruimtestaat[[#This Row],[Code]],Locaties[[#All],[Code]:[Adres]],4,FALSE)</f>
        <v>Granaathorst 20</v>
      </c>
      <c r="D344" s="157" t="str">
        <f>VLOOKUP(Ruimtestaat[[#This Row],[Code]],Locaties[[#All],[Code]:[Postcode]],5,FALSE)</f>
        <v>2592 TD</v>
      </c>
      <c r="E344" s="157" t="str">
        <f>VLOOKUP(Ruimtestaat[[#This Row],[Code]],Locaties[#All],6,FALSE)</f>
        <v>Den Haag</v>
      </c>
      <c r="F344" s="62"/>
      <c r="G344" s="21" t="s">
        <v>1632</v>
      </c>
      <c r="H344" s="21">
        <v>2</v>
      </c>
      <c r="I344" s="62" t="s">
        <v>1807</v>
      </c>
      <c r="J344" s="21">
        <v>6</v>
      </c>
      <c r="K344" s="62" t="str">
        <f>VLOOKUP(Ruimtestaat[[#This Row],[Ruimte code]],Ruimtegroepen[[#All],[Code]:[Ruimte omschrijving]],2,FALSE)</f>
        <v>Gangen/hallen</v>
      </c>
      <c r="L344" s="33" t="s">
        <v>101</v>
      </c>
      <c r="M344" s="367" t="s">
        <v>2495</v>
      </c>
      <c r="N344" s="140">
        <v>287</v>
      </c>
      <c r="O344" s="140"/>
      <c r="P344" s="125" t="str">
        <f>VLOOKUP(Ruimtestaat[[#This Row],[Ruimte code]],Ruimtegroepen[],4,FALSE)</f>
        <v>Ve</v>
      </c>
      <c r="R344" s="33">
        <v>40</v>
      </c>
      <c r="S344" s="33" t="s">
        <v>2</v>
      </c>
      <c r="T344" s="33">
        <f>IF(R344&gt;0,IF(RIGHT(Ruimtestaat[[#This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4" s="33">
        <f>IF(T344&gt;0,VLOOKUP($J344,Ruimtegroepen[],3,FALSE)*VLOOKUP($L344,Vloersoorten[],3,FALSE)*VLOOKUP($S344,Frequenties[],3,FALSE)*VLOOKUP($A344,Locaties[],3,FALSE),0)</f>
        <v>0</v>
      </c>
      <c r="V344" s="33">
        <f>Ruimtestaat[[#This Row],[Uitvoeringen werkdagen]]*Ruimtestaat[[#This Row],[Oppervlak (netto)]]</f>
        <v>57400</v>
      </c>
      <c r="W344" s="154">
        <f>IF(U344&gt;0,Ruimtestaat[[#This Row],[Prest. (m2 /jaar) werkdagen]]/Ruimtestaat[[#This Row],[Norm (m2/uur) werkdagen]],0)</f>
        <v>0</v>
      </c>
      <c r="X344" s="155">
        <f>Ruimtestaat[[#This Row],[uren / jaar werkdagen]]*Tariefsopbouw!$E$35</f>
        <v>0</v>
      </c>
      <c r="Y344" s="33"/>
      <c r="Z344" s="33">
        <f>IF(Ruimtestaat[[#This Row],[Frequentie weekend]]&gt;0,VALUE(LEFT(Y344,1))*R344,0)</f>
        <v>0</v>
      </c>
      <c r="AA344" s="97">
        <f>IF($Z344&gt;0,VLOOKUP($J344,Ruimtegroepen[],3,FALSE)*VLOOKUP($L344,Vloersoorten[],3,FALSE)*VLOOKUP($Y344,Frequenties[],3,FALSE)*VLOOKUP(Ruimtestaat[[#This Row],[Code]],Locaties[],3,FALSE),0)</f>
        <v>0</v>
      </c>
      <c r="AB344" s="97">
        <f>Ruimtestaat[[#This Row],[Uitvoeringen weekend]]*Ruimtestaat[[#This Row],[Oppervlak (netto)]]</f>
        <v>0</v>
      </c>
      <c r="AC344" s="97">
        <f>IF(AA344&gt;0,Ruimtestaat[[#This Row],[Prest. (m2 /jaar) weekend]]/Ruimtestaat[[#This Row],[Norm (m2/uur) weekend]],0)</f>
        <v>0</v>
      </c>
      <c r="AD344" s="155">
        <f>Ruimtestaat[[#This Row],[uren / jaar weekend]]*Tariefsopbouw!$D$40</f>
        <v>0</v>
      </c>
      <c r="AE344" s="154">
        <f>Ruimtestaat[[#This Row],[Prest. (m2 /jaar) weekend]]+Ruimtestaat[[#This Row],[Prest. (m2 /jaar) werkdagen]]</f>
        <v>57400</v>
      </c>
      <c r="AF344" s="154">
        <f>Ruimtestaat[[#This Row],[uren / jaar weekend]]+Ruimtestaat[[#This Row],[uren / jaar werkdagen]]</f>
        <v>0</v>
      </c>
      <c r="AG344" s="69">
        <f>Ruimtestaat[[#This Row],[kosten / jaar weekend]]+Ruimtestaat[[#This Row],[kosten / jaar werkdagen]]</f>
        <v>0</v>
      </c>
      <c r="AH344" s="69"/>
      <c r="AI344" s="256" t="str">
        <f>IF(Ruimtestaat[[#This Row],[Frequentie werkdagen]]="","",_xlfn.CONCAT(Ruimtestaat[[#This Row],[Ruimte code]],"-",Ruimtestaat[[#This Row],[Frequentie werkdagen]]," ",Ruimtestaat[[#This Row],[Vloer code]]))</f>
        <v>6-5w L</v>
      </c>
      <c r="AJ344" s="300" t="str">
        <f>_xlfn.IFNA(VLOOKUP($AI344,Programma!$F$3:$G$1107,2,0),"")</f>
        <v>_</v>
      </c>
      <c r="AK344" s="300" t="str">
        <f>_xlfn.IFNA(VLOOKUP($AI344,Programma!$F$3:$H$1107,3,0),"")</f>
        <v>_</v>
      </c>
      <c r="AL344" s="300" t="str">
        <f>_xlfn.IFNA(VLOOKUP($AI344,Programma!$F$3:$I$1107,4,0),"")</f>
        <v>_</v>
      </c>
      <c r="AM344" s="300" t="str">
        <f>_xlfn.IFNA(VLOOKUP($AI344,Programma!$F$3:$J$1107,5,0),"")</f>
        <v>5w</v>
      </c>
      <c r="AN344" s="300" t="str">
        <f>_xlfn.IFNA(VLOOKUP($AI344,Programma!$F$3:$K$1107,6,0),"")</f>
        <v>_</v>
      </c>
      <c r="AO344" s="300" t="str">
        <f>_xlfn.IFNA(VLOOKUP($AI344,Programma!$F$3:$L$1107,7,0),"")</f>
        <v>_</v>
      </c>
      <c r="AP344" s="300" t="str">
        <f>_xlfn.IFNA(VLOOKUP($AI344,Programma!$F$3:$M$1107,8,0),"")</f>
        <v>_</v>
      </c>
      <c r="AQ344" s="300" t="str">
        <f>_xlfn.IFNA(VLOOKUP($AI344,Programma!$F$3:$N$1107,9,0),"")</f>
        <v>_</v>
      </c>
      <c r="AR344" s="300" t="str">
        <f>_xlfn.IFNA(VLOOKUP($AI344,Programma!$F$3:$O$1107,10,0),"")</f>
        <v>5w</v>
      </c>
      <c r="AS344" s="300" t="str">
        <f>_xlfn.IFNA(VLOOKUP($AI344,Programma!$F$3:$P$1107,11,0),"")</f>
        <v>5w</v>
      </c>
      <c r="AT344" s="300" t="str">
        <f>_xlfn.IFNA(VLOOKUP($AI344,Programma!$F$3:$Q$1107,12,0),"")</f>
        <v>1w</v>
      </c>
      <c r="AU344" s="300" t="str">
        <f>_xlfn.IFNA(VLOOKUP($AI344,Programma!$F$3:$R$1107,13,0),"")</f>
        <v>1w</v>
      </c>
      <c r="AV344" s="300" t="str">
        <f>_xlfn.IFNA(VLOOKUP($AI344,Programma!$F$3:$S$1107,14,0),"")</f>
        <v>1m</v>
      </c>
      <c r="AW344" s="300" t="str">
        <f>_xlfn.IFNA(VLOOKUP($AI344,Programma!$F$3:$T$1107,15,0),"")</f>
        <v>2j</v>
      </c>
      <c r="AX344" s="300" t="str">
        <f>_xlfn.IFNA(VLOOKUP($AI344,Programma!$F$3:$U$1107,16,0),"")</f>
        <v>1j</v>
      </c>
      <c r="AY344" s="300" t="str">
        <f>_xlfn.IFNA(VLOOKUP($AI344,Programma!$F$3:$V$1107,17,0),"")</f>
        <v>_</v>
      </c>
      <c r="AZ344" s="300" t="str">
        <f>_xlfn.IFNA(VLOOKUP($AI344,Programma!$F$3:$W$1107,18,0),"")</f>
        <v>_</v>
      </c>
      <c r="BA344" s="300" t="str">
        <f>_xlfn.IFNA(VLOOKUP($AI344,Programma!$F$3:$X$1107,19,0),"")</f>
        <v>_</v>
      </c>
      <c r="BB344" s="300" t="str">
        <f>_xlfn.IFNA(VLOOKUP($AI344,Programma!$F$3:$Y$1107,20,0),"")</f>
        <v>_</v>
      </c>
      <c r="BC344" s="257"/>
      <c r="BD344" s="256" t="str">
        <f>IF(Ruimtestaat[[#This Row],[Frequentie weekend]]="","",_xlfn.CONCAT(Ruimtestaat[[#This Row],[Ruimte code]],"-",Ruimtestaat[[#This Row],[Frequentie weekend]]," ",Ruimtestaat[[#This Row],[Vloer code]]))</f>
        <v/>
      </c>
      <c r="BE344" s="300" t="str">
        <f>_xlfn.IFNA(VLOOKUP($BD344,Programma!$F$3:$G$1107,2,0),"")</f>
        <v/>
      </c>
      <c r="BF344" s="300" t="str">
        <f>_xlfn.IFNA(VLOOKUP($BD344,Programma!$F$3:$H$1107,3,0),"")</f>
        <v/>
      </c>
      <c r="BG344" s="300" t="str">
        <f>_xlfn.IFNA(VLOOKUP($BD344,Programma!$F$3:$I$1107,4,0),"")</f>
        <v/>
      </c>
      <c r="BH344" s="300" t="str">
        <f>_xlfn.IFNA(VLOOKUP($BD344,Programma!$F$3:$J$1107,5,0),"")</f>
        <v/>
      </c>
      <c r="BI344" s="300" t="str">
        <f>_xlfn.IFNA(VLOOKUP($BD344,Programma!$F$3:$K$1107,6,0),"")</f>
        <v/>
      </c>
      <c r="BJ344" s="300" t="str">
        <f>_xlfn.IFNA(VLOOKUP($BD344,Programma!$F$3:$L$1107,7,0),"")</f>
        <v/>
      </c>
      <c r="BK344" s="300" t="str">
        <f>_xlfn.IFNA(VLOOKUP($BD344,Programma!$F$3:$M$1107,8,0),"")</f>
        <v/>
      </c>
      <c r="BL344" s="300" t="str">
        <f>_xlfn.IFNA(VLOOKUP($BD344,Programma!$F$3:$N$1107,9,0),"")</f>
        <v/>
      </c>
      <c r="BM344" s="300" t="str">
        <f>_xlfn.IFNA(VLOOKUP($BD344,Programma!$F$3:$O$1107,10,0),"")</f>
        <v/>
      </c>
      <c r="BN344" s="300" t="str">
        <f>_xlfn.IFNA(VLOOKUP($BD344,Programma!$F$3:$P$1107,11,0),"")</f>
        <v/>
      </c>
      <c r="BO344" s="300" t="str">
        <f>_xlfn.IFNA(VLOOKUP($BD344,Programma!$F$3:$Q$1107,12,0),"")</f>
        <v/>
      </c>
      <c r="BP344" s="300" t="str">
        <f>_xlfn.IFNA(VLOOKUP($BD344,Programma!$F$3:$R$1107,13,0),"")</f>
        <v/>
      </c>
      <c r="BQ344" s="300" t="str">
        <f>_xlfn.IFNA(VLOOKUP($BD344,Programma!$F$3:$S$1107,14,0),"")</f>
        <v/>
      </c>
      <c r="BR344" s="300" t="str">
        <f>_xlfn.IFNA(VLOOKUP($BD344,Programma!$F$3:$T$1107,15,0),"")</f>
        <v/>
      </c>
      <c r="BS344" s="300" t="str">
        <f>_xlfn.IFNA(VLOOKUP($BD344,Programma!$F$3:$U$1107,16,0),"")</f>
        <v/>
      </c>
      <c r="BT344" s="300" t="str">
        <f>_xlfn.IFNA(VLOOKUP($BD344,Programma!$F$3:$V$1107,17,0),"")</f>
        <v/>
      </c>
      <c r="BU344" s="300" t="str">
        <f>_xlfn.IFNA(VLOOKUP($BD344,Programma!$F$3:$W$1107,18,0),"")</f>
        <v/>
      </c>
      <c r="BV344" s="300" t="str">
        <f>_xlfn.IFNA(VLOOKUP($BD344,Programma!$F$3:$X$1107,19,0),"")</f>
        <v/>
      </c>
      <c r="BW344" s="300" t="str">
        <f>_xlfn.IFNA(VLOOKUP($BD344,Programma!$F$3:$Y$1107,20,0),"")</f>
        <v/>
      </c>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row>
    <row r="345" spans="1:220" ht="15" customHeight="1">
      <c r="A345" s="21">
        <v>5</v>
      </c>
      <c r="B345" s="157" t="str">
        <f>VLOOKUP(Ruimtestaat[[#This Row],[Code]],Locaties[[Code]:[Locatie]],2,FALSE)</f>
        <v>François Vatel vmbo</v>
      </c>
      <c r="C345" s="157" t="str">
        <f>VLOOKUP(Ruimtestaat[[#This Row],[Code]],Locaties[[#All],[Code]:[Adres]],4,FALSE)</f>
        <v>Granaathorst 20</v>
      </c>
      <c r="D345" s="157" t="str">
        <f>VLOOKUP(Ruimtestaat[[#This Row],[Code]],Locaties[[#All],[Code]:[Postcode]],5,FALSE)</f>
        <v>2592 TD</v>
      </c>
      <c r="E345" s="157" t="str">
        <f>VLOOKUP(Ruimtestaat[[#This Row],[Code]],Locaties[#All],6,FALSE)</f>
        <v>Den Haag</v>
      </c>
      <c r="F345" s="62"/>
      <c r="G345" s="21" t="s">
        <v>1632</v>
      </c>
      <c r="H345" s="21">
        <v>3</v>
      </c>
      <c r="I345" s="62" t="s">
        <v>1625</v>
      </c>
      <c r="J345" s="21">
        <v>6</v>
      </c>
      <c r="K345" s="62" t="str">
        <f>VLOOKUP(Ruimtestaat[[#This Row],[Ruimte code]],Ruimtegroepen[[#All],[Code]:[Ruimte omschrijving]],2,FALSE)</f>
        <v>Gangen/hallen</v>
      </c>
      <c r="L345" s="33" t="s">
        <v>101</v>
      </c>
      <c r="M345" s="367" t="s">
        <v>2495</v>
      </c>
      <c r="N345" s="140">
        <v>26</v>
      </c>
      <c r="O345" s="140"/>
      <c r="P345" s="125" t="str">
        <f>VLOOKUP(Ruimtestaat[[#This Row],[Ruimte code]],Ruimtegroepen[],4,FALSE)</f>
        <v>Ve</v>
      </c>
      <c r="R345" s="33">
        <v>40</v>
      </c>
      <c r="S345" s="33" t="s">
        <v>2</v>
      </c>
      <c r="T345" s="33">
        <f>IF(R345&gt;0,IF(RIGHT(Ruimtestaat[[#This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5" s="33">
        <f>IF(T345&gt;0,VLOOKUP($J345,Ruimtegroepen[],3,FALSE)*VLOOKUP($L345,Vloersoorten[],3,FALSE)*VLOOKUP($S345,Frequenties[],3,FALSE)*VLOOKUP($A345,Locaties[],3,FALSE),0)</f>
        <v>0</v>
      </c>
      <c r="V345" s="33">
        <f>Ruimtestaat[[#This Row],[Uitvoeringen werkdagen]]*Ruimtestaat[[#This Row],[Oppervlak (netto)]]</f>
        <v>5200</v>
      </c>
      <c r="W345" s="154">
        <f>IF(U345&gt;0,Ruimtestaat[[#This Row],[Prest. (m2 /jaar) werkdagen]]/Ruimtestaat[[#This Row],[Norm (m2/uur) werkdagen]],0)</f>
        <v>0</v>
      </c>
      <c r="X345" s="155">
        <f>Ruimtestaat[[#This Row],[uren / jaar werkdagen]]*Tariefsopbouw!$E$35</f>
        <v>0</v>
      </c>
      <c r="Y345" s="33"/>
      <c r="Z345" s="33">
        <f>IF(Ruimtestaat[[#This Row],[Frequentie weekend]]&gt;0,VALUE(LEFT(Y345,1))*R345,0)</f>
        <v>0</v>
      </c>
      <c r="AA345" s="97">
        <f>IF($Z345&gt;0,VLOOKUP($J345,Ruimtegroepen[],3,FALSE)*VLOOKUP($L345,Vloersoorten[],3,FALSE)*VLOOKUP($Y345,Frequenties[],3,FALSE)*VLOOKUP(Ruimtestaat[[#This Row],[Code]],Locaties[],3,FALSE),0)</f>
        <v>0</v>
      </c>
      <c r="AB345" s="97">
        <f>Ruimtestaat[[#This Row],[Uitvoeringen weekend]]*Ruimtestaat[[#This Row],[Oppervlak (netto)]]</f>
        <v>0</v>
      </c>
      <c r="AC345" s="97">
        <f>IF(AA345&gt;0,Ruimtestaat[[#This Row],[Prest. (m2 /jaar) weekend]]/Ruimtestaat[[#This Row],[Norm (m2/uur) weekend]],0)</f>
        <v>0</v>
      </c>
      <c r="AD345" s="155">
        <f>Ruimtestaat[[#This Row],[uren / jaar weekend]]*Tariefsopbouw!$D$40</f>
        <v>0</v>
      </c>
      <c r="AE345" s="154">
        <f>Ruimtestaat[[#This Row],[Prest. (m2 /jaar) weekend]]+Ruimtestaat[[#This Row],[Prest. (m2 /jaar) werkdagen]]</f>
        <v>5200</v>
      </c>
      <c r="AF345" s="154">
        <f>Ruimtestaat[[#This Row],[uren / jaar weekend]]+Ruimtestaat[[#This Row],[uren / jaar werkdagen]]</f>
        <v>0</v>
      </c>
      <c r="AG345" s="69">
        <f>Ruimtestaat[[#This Row],[kosten / jaar weekend]]+Ruimtestaat[[#This Row],[kosten / jaar werkdagen]]</f>
        <v>0</v>
      </c>
      <c r="AH345" s="69"/>
      <c r="AI345" s="256" t="str">
        <f>IF(Ruimtestaat[[#This Row],[Frequentie werkdagen]]="","",_xlfn.CONCAT(Ruimtestaat[[#This Row],[Ruimte code]],"-",Ruimtestaat[[#This Row],[Frequentie werkdagen]]," ",Ruimtestaat[[#This Row],[Vloer code]]))</f>
        <v>6-5w L</v>
      </c>
      <c r="AJ345" s="300" t="str">
        <f>_xlfn.IFNA(VLOOKUP($AI345,Programma!$F$3:$G$1107,2,0),"")</f>
        <v>_</v>
      </c>
      <c r="AK345" s="300" t="str">
        <f>_xlfn.IFNA(VLOOKUP($AI345,Programma!$F$3:$H$1107,3,0),"")</f>
        <v>_</v>
      </c>
      <c r="AL345" s="300" t="str">
        <f>_xlfn.IFNA(VLOOKUP($AI345,Programma!$F$3:$I$1107,4,0),"")</f>
        <v>_</v>
      </c>
      <c r="AM345" s="300" t="str">
        <f>_xlfn.IFNA(VLOOKUP($AI345,Programma!$F$3:$J$1107,5,0),"")</f>
        <v>5w</v>
      </c>
      <c r="AN345" s="300" t="str">
        <f>_xlfn.IFNA(VLOOKUP($AI345,Programma!$F$3:$K$1107,6,0),"")</f>
        <v>_</v>
      </c>
      <c r="AO345" s="300" t="str">
        <f>_xlfn.IFNA(VLOOKUP($AI345,Programma!$F$3:$L$1107,7,0),"")</f>
        <v>_</v>
      </c>
      <c r="AP345" s="300" t="str">
        <f>_xlfn.IFNA(VLOOKUP($AI345,Programma!$F$3:$M$1107,8,0),"")</f>
        <v>_</v>
      </c>
      <c r="AQ345" s="300" t="str">
        <f>_xlfn.IFNA(VLOOKUP($AI345,Programma!$F$3:$N$1107,9,0),"")</f>
        <v>_</v>
      </c>
      <c r="AR345" s="300" t="str">
        <f>_xlfn.IFNA(VLOOKUP($AI345,Programma!$F$3:$O$1107,10,0),"")</f>
        <v>5w</v>
      </c>
      <c r="AS345" s="300" t="str">
        <f>_xlfn.IFNA(VLOOKUP($AI345,Programma!$F$3:$P$1107,11,0),"")</f>
        <v>5w</v>
      </c>
      <c r="AT345" s="300" t="str">
        <f>_xlfn.IFNA(VLOOKUP($AI345,Programma!$F$3:$Q$1107,12,0),"")</f>
        <v>1w</v>
      </c>
      <c r="AU345" s="300" t="str">
        <f>_xlfn.IFNA(VLOOKUP($AI345,Programma!$F$3:$R$1107,13,0),"")</f>
        <v>1w</v>
      </c>
      <c r="AV345" s="300" t="str">
        <f>_xlfn.IFNA(VLOOKUP($AI345,Programma!$F$3:$S$1107,14,0),"")</f>
        <v>1m</v>
      </c>
      <c r="AW345" s="300" t="str">
        <f>_xlfn.IFNA(VLOOKUP($AI345,Programma!$F$3:$T$1107,15,0),"")</f>
        <v>2j</v>
      </c>
      <c r="AX345" s="300" t="str">
        <f>_xlfn.IFNA(VLOOKUP($AI345,Programma!$F$3:$U$1107,16,0),"")</f>
        <v>1j</v>
      </c>
      <c r="AY345" s="300" t="str">
        <f>_xlfn.IFNA(VLOOKUP($AI345,Programma!$F$3:$V$1107,17,0),"")</f>
        <v>_</v>
      </c>
      <c r="AZ345" s="300" t="str">
        <f>_xlfn.IFNA(VLOOKUP($AI345,Programma!$F$3:$W$1107,18,0),"")</f>
        <v>_</v>
      </c>
      <c r="BA345" s="300" t="str">
        <f>_xlfn.IFNA(VLOOKUP($AI345,Programma!$F$3:$X$1107,19,0),"")</f>
        <v>_</v>
      </c>
      <c r="BB345" s="300" t="str">
        <f>_xlfn.IFNA(VLOOKUP($AI345,Programma!$F$3:$Y$1107,20,0),"")</f>
        <v>_</v>
      </c>
      <c r="BC345" s="257"/>
      <c r="BD345" s="256" t="str">
        <f>IF(Ruimtestaat[[#This Row],[Frequentie weekend]]="","",_xlfn.CONCAT(Ruimtestaat[[#This Row],[Ruimte code]],"-",Ruimtestaat[[#This Row],[Frequentie weekend]]," ",Ruimtestaat[[#This Row],[Vloer code]]))</f>
        <v/>
      </c>
      <c r="BE345" s="300" t="str">
        <f>_xlfn.IFNA(VLOOKUP($BD345,Programma!$F$3:$G$1107,2,0),"")</f>
        <v/>
      </c>
      <c r="BF345" s="300" t="str">
        <f>_xlfn.IFNA(VLOOKUP($BD345,Programma!$F$3:$H$1107,3,0),"")</f>
        <v/>
      </c>
      <c r="BG345" s="300" t="str">
        <f>_xlfn.IFNA(VLOOKUP($BD345,Programma!$F$3:$I$1107,4,0),"")</f>
        <v/>
      </c>
      <c r="BH345" s="300" t="str">
        <f>_xlfn.IFNA(VLOOKUP($BD345,Programma!$F$3:$J$1107,5,0),"")</f>
        <v/>
      </c>
      <c r="BI345" s="300" t="str">
        <f>_xlfn.IFNA(VLOOKUP($BD345,Programma!$F$3:$K$1107,6,0),"")</f>
        <v/>
      </c>
      <c r="BJ345" s="300" t="str">
        <f>_xlfn.IFNA(VLOOKUP($BD345,Programma!$F$3:$L$1107,7,0),"")</f>
        <v/>
      </c>
      <c r="BK345" s="300" t="str">
        <f>_xlfn.IFNA(VLOOKUP($BD345,Programma!$F$3:$M$1107,8,0),"")</f>
        <v/>
      </c>
      <c r="BL345" s="300" t="str">
        <f>_xlfn.IFNA(VLOOKUP($BD345,Programma!$F$3:$N$1107,9,0),"")</f>
        <v/>
      </c>
      <c r="BM345" s="300" t="str">
        <f>_xlfn.IFNA(VLOOKUP($BD345,Programma!$F$3:$O$1107,10,0),"")</f>
        <v/>
      </c>
      <c r="BN345" s="300" t="str">
        <f>_xlfn.IFNA(VLOOKUP($BD345,Programma!$F$3:$P$1107,11,0),"")</f>
        <v/>
      </c>
      <c r="BO345" s="300" t="str">
        <f>_xlfn.IFNA(VLOOKUP($BD345,Programma!$F$3:$Q$1107,12,0),"")</f>
        <v/>
      </c>
      <c r="BP345" s="300" t="str">
        <f>_xlfn.IFNA(VLOOKUP($BD345,Programma!$F$3:$R$1107,13,0),"")</f>
        <v/>
      </c>
      <c r="BQ345" s="300" t="str">
        <f>_xlfn.IFNA(VLOOKUP($BD345,Programma!$F$3:$S$1107,14,0),"")</f>
        <v/>
      </c>
      <c r="BR345" s="300" t="str">
        <f>_xlfn.IFNA(VLOOKUP($BD345,Programma!$F$3:$T$1107,15,0),"")</f>
        <v/>
      </c>
      <c r="BS345" s="300" t="str">
        <f>_xlfn.IFNA(VLOOKUP($BD345,Programma!$F$3:$U$1107,16,0),"")</f>
        <v/>
      </c>
      <c r="BT345" s="300" t="str">
        <f>_xlfn.IFNA(VLOOKUP($BD345,Programma!$F$3:$V$1107,17,0),"")</f>
        <v/>
      </c>
      <c r="BU345" s="300" t="str">
        <f>_xlfn.IFNA(VLOOKUP($BD345,Programma!$F$3:$W$1107,18,0),"")</f>
        <v/>
      </c>
      <c r="BV345" s="300" t="str">
        <f>_xlfn.IFNA(VLOOKUP($BD345,Programma!$F$3:$X$1107,19,0),"")</f>
        <v/>
      </c>
      <c r="BW345" s="300" t="str">
        <f>_xlfn.IFNA(VLOOKUP($BD345,Programma!$F$3:$Y$1107,20,0),"")</f>
        <v/>
      </c>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row>
    <row r="346" spans="1:220" ht="15" customHeight="1">
      <c r="A346" s="21">
        <v>5</v>
      </c>
      <c r="B346" s="157" t="str">
        <f>VLOOKUP(Ruimtestaat[[#This Row],[Code]],Locaties[[Code]:[Locatie]],2,FALSE)</f>
        <v>François Vatel vmbo</v>
      </c>
      <c r="C346" s="157" t="str">
        <f>VLOOKUP(Ruimtestaat[[#This Row],[Code]],Locaties[[#All],[Code]:[Adres]],4,FALSE)</f>
        <v>Granaathorst 20</v>
      </c>
      <c r="D346" s="157" t="str">
        <f>VLOOKUP(Ruimtestaat[[#This Row],[Code]],Locaties[[#All],[Code]:[Postcode]],5,FALSE)</f>
        <v>2592 TD</v>
      </c>
      <c r="E346" s="157" t="str">
        <f>VLOOKUP(Ruimtestaat[[#This Row],[Code]],Locaties[#All],6,FALSE)</f>
        <v>Den Haag</v>
      </c>
      <c r="F346" s="62"/>
      <c r="G346" s="21" t="s">
        <v>1632</v>
      </c>
      <c r="H346" s="21">
        <v>4</v>
      </c>
      <c r="I346" s="62" t="s">
        <v>2011</v>
      </c>
      <c r="J346" s="21">
        <v>9</v>
      </c>
      <c r="K346" s="62" t="str">
        <f>VLOOKUP(Ruimtestaat[[#This Row],[Ruimte code]],Ruimtegroepen[[#All],[Code]:[Ruimte omschrijving]],2,FALSE)</f>
        <v>Publieksruimte</v>
      </c>
      <c r="L346" s="33" t="s">
        <v>101</v>
      </c>
      <c r="M346" s="367" t="s">
        <v>2495</v>
      </c>
      <c r="N346" s="140">
        <v>51</v>
      </c>
      <c r="O346" s="140"/>
      <c r="P346" s="125" t="str">
        <f>VLOOKUP(Ruimtestaat[[#This Row],[Ruimte code]],Ruimtegroepen[],4,FALSE)</f>
        <v>Ve</v>
      </c>
      <c r="R346" s="33">
        <v>40</v>
      </c>
      <c r="S346" s="33" t="s">
        <v>2</v>
      </c>
      <c r="T346" s="33">
        <f>IF(R346&gt;0,IF(RIGHT(Ruimtestaat[[#This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6" s="33">
        <f>IF(T346&gt;0,VLOOKUP($J346,Ruimtegroepen[],3,FALSE)*VLOOKUP($L346,Vloersoorten[],3,FALSE)*VLOOKUP($S346,Frequenties[],3,FALSE)*VLOOKUP($A346,Locaties[],3,FALSE),0)</f>
        <v>0</v>
      </c>
      <c r="V346" s="33">
        <f>Ruimtestaat[[#This Row],[Uitvoeringen werkdagen]]*Ruimtestaat[[#This Row],[Oppervlak (netto)]]</f>
        <v>10200</v>
      </c>
      <c r="W346" s="154">
        <f>IF(U346&gt;0,Ruimtestaat[[#This Row],[Prest. (m2 /jaar) werkdagen]]/Ruimtestaat[[#This Row],[Norm (m2/uur) werkdagen]],0)</f>
        <v>0</v>
      </c>
      <c r="X346" s="155">
        <f>Ruimtestaat[[#This Row],[uren / jaar werkdagen]]*Tariefsopbouw!$E$35</f>
        <v>0</v>
      </c>
      <c r="Y346" s="33"/>
      <c r="Z346" s="33">
        <f>IF(Ruimtestaat[[#This Row],[Frequentie weekend]]&gt;0,VALUE(LEFT(Y346,1))*R346,0)</f>
        <v>0</v>
      </c>
      <c r="AA346" s="97">
        <f>IF($Z346&gt;0,VLOOKUP($J346,Ruimtegroepen[],3,FALSE)*VLOOKUP($L346,Vloersoorten[],3,FALSE)*VLOOKUP($Y346,Frequenties[],3,FALSE)*VLOOKUP(Ruimtestaat[[#This Row],[Code]],Locaties[],3,FALSE),0)</f>
        <v>0</v>
      </c>
      <c r="AB346" s="97">
        <f>Ruimtestaat[[#This Row],[Uitvoeringen weekend]]*Ruimtestaat[[#This Row],[Oppervlak (netto)]]</f>
        <v>0</v>
      </c>
      <c r="AC346" s="97">
        <f>IF(AA346&gt;0,Ruimtestaat[[#This Row],[Prest. (m2 /jaar) weekend]]/Ruimtestaat[[#This Row],[Norm (m2/uur) weekend]],0)</f>
        <v>0</v>
      </c>
      <c r="AD346" s="155">
        <f>Ruimtestaat[[#This Row],[uren / jaar weekend]]*Tariefsopbouw!$D$40</f>
        <v>0</v>
      </c>
      <c r="AE346" s="154">
        <f>Ruimtestaat[[#This Row],[Prest. (m2 /jaar) weekend]]+Ruimtestaat[[#This Row],[Prest. (m2 /jaar) werkdagen]]</f>
        <v>10200</v>
      </c>
      <c r="AF346" s="154">
        <f>Ruimtestaat[[#This Row],[uren / jaar weekend]]+Ruimtestaat[[#This Row],[uren / jaar werkdagen]]</f>
        <v>0</v>
      </c>
      <c r="AG346" s="69">
        <f>Ruimtestaat[[#This Row],[kosten / jaar weekend]]+Ruimtestaat[[#This Row],[kosten / jaar werkdagen]]</f>
        <v>0</v>
      </c>
      <c r="AH346" s="69"/>
      <c r="AI346" s="256" t="str">
        <f>IF(Ruimtestaat[[#This Row],[Frequentie werkdagen]]="","",_xlfn.CONCAT(Ruimtestaat[[#This Row],[Ruimte code]],"-",Ruimtestaat[[#This Row],[Frequentie werkdagen]]," ",Ruimtestaat[[#This Row],[Vloer code]]))</f>
        <v>9-5w L</v>
      </c>
      <c r="AJ346" s="300" t="str">
        <f>_xlfn.IFNA(VLOOKUP($AI346,Programma!$F$3:$G$1107,2,0),"")</f>
        <v>_</v>
      </c>
      <c r="AK346" s="300" t="str">
        <f>_xlfn.IFNA(VLOOKUP($AI346,Programma!$F$3:$H$1107,3,0),"")</f>
        <v>_</v>
      </c>
      <c r="AL346" s="300" t="str">
        <f>_xlfn.IFNA(VLOOKUP($AI346,Programma!$F$3:$I$1107,4,0),"")</f>
        <v>4w</v>
      </c>
      <c r="AM346" s="300" t="str">
        <f>_xlfn.IFNA(VLOOKUP($AI346,Programma!$F$3:$J$1107,5,0),"")</f>
        <v>1w</v>
      </c>
      <c r="AN346" s="300" t="str">
        <f>_xlfn.IFNA(VLOOKUP($AI346,Programma!$F$3:$K$1107,6,0),"")</f>
        <v>_</v>
      </c>
      <c r="AO346" s="300" t="str">
        <f>_xlfn.IFNA(VLOOKUP($AI346,Programma!$F$3:$L$1107,7,0),"")</f>
        <v>_</v>
      </c>
      <c r="AP346" s="300" t="str">
        <f>_xlfn.IFNA(VLOOKUP($AI346,Programma!$F$3:$M$1107,8,0),"")</f>
        <v>_</v>
      </c>
      <c r="AQ346" s="300" t="str">
        <f>_xlfn.IFNA(VLOOKUP($AI346,Programma!$F$3:$N$1107,9,0),"")</f>
        <v>_</v>
      </c>
      <c r="AR346" s="300" t="str">
        <f>_xlfn.IFNA(VLOOKUP($AI346,Programma!$F$3:$O$1107,10,0),"")</f>
        <v>5w</v>
      </c>
      <c r="AS346" s="300" t="str">
        <f>_xlfn.IFNA(VLOOKUP($AI346,Programma!$F$3:$P$1107,11,0),"")</f>
        <v>5w</v>
      </c>
      <c r="AT346" s="300" t="str">
        <f>_xlfn.IFNA(VLOOKUP($AI346,Programma!$F$3:$Q$1107,12,0),"")</f>
        <v>1w</v>
      </c>
      <c r="AU346" s="300" t="str">
        <f>_xlfn.IFNA(VLOOKUP($AI346,Programma!$F$3:$R$1107,13,0),"")</f>
        <v>1w</v>
      </c>
      <c r="AV346" s="300" t="str">
        <f>_xlfn.IFNA(VLOOKUP($AI346,Programma!$F$3:$S$1107,14,0),"")</f>
        <v>1m</v>
      </c>
      <c r="AW346" s="300" t="str">
        <f>_xlfn.IFNA(VLOOKUP($AI346,Programma!$F$3:$T$1107,15,0),"")</f>
        <v>2j</v>
      </c>
      <c r="AX346" s="300" t="str">
        <f>_xlfn.IFNA(VLOOKUP($AI346,Programma!$F$3:$U$1107,16,0),"")</f>
        <v>1j</v>
      </c>
      <c r="AY346" s="300" t="str">
        <f>_xlfn.IFNA(VLOOKUP($AI346,Programma!$F$3:$V$1107,17,0),"")</f>
        <v>_</v>
      </c>
      <c r="AZ346" s="300" t="str">
        <f>_xlfn.IFNA(VLOOKUP($AI346,Programma!$F$3:$W$1107,18,0),"")</f>
        <v>_</v>
      </c>
      <c r="BA346" s="300" t="str">
        <f>_xlfn.IFNA(VLOOKUP($AI346,Programma!$F$3:$X$1107,19,0),"")</f>
        <v>_</v>
      </c>
      <c r="BB346" s="300" t="str">
        <f>_xlfn.IFNA(VLOOKUP($AI346,Programma!$F$3:$Y$1107,20,0),"")</f>
        <v>_</v>
      </c>
      <c r="BC346" s="257"/>
      <c r="BD346" s="256" t="str">
        <f>IF(Ruimtestaat[[#This Row],[Frequentie weekend]]="","",_xlfn.CONCAT(Ruimtestaat[[#This Row],[Ruimte code]],"-",Ruimtestaat[[#This Row],[Frequentie weekend]]," ",Ruimtestaat[[#This Row],[Vloer code]]))</f>
        <v/>
      </c>
      <c r="BE346" s="300" t="str">
        <f>_xlfn.IFNA(VLOOKUP($BD346,Programma!$F$3:$G$1107,2,0),"")</f>
        <v/>
      </c>
      <c r="BF346" s="300" t="str">
        <f>_xlfn.IFNA(VLOOKUP($BD346,Programma!$F$3:$H$1107,3,0),"")</f>
        <v/>
      </c>
      <c r="BG346" s="300" t="str">
        <f>_xlfn.IFNA(VLOOKUP($BD346,Programma!$F$3:$I$1107,4,0),"")</f>
        <v/>
      </c>
      <c r="BH346" s="300" t="str">
        <f>_xlfn.IFNA(VLOOKUP($BD346,Programma!$F$3:$J$1107,5,0),"")</f>
        <v/>
      </c>
      <c r="BI346" s="300" t="str">
        <f>_xlfn.IFNA(VLOOKUP($BD346,Programma!$F$3:$K$1107,6,0),"")</f>
        <v/>
      </c>
      <c r="BJ346" s="300" t="str">
        <f>_xlfn.IFNA(VLOOKUP($BD346,Programma!$F$3:$L$1107,7,0),"")</f>
        <v/>
      </c>
      <c r="BK346" s="300" t="str">
        <f>_xlfn.IFNA(VLOOKUP($BD346,Programma!$F$3:$M$1107,8,0),"")</f>
        <v/>
      </c>
      <c r="BL346" s="300" t="str">
        <f>_xlfn.IFNA(VLOOKUP($BD346,Programma!$F$3:$N$1107,9,0),"")</f>
        <v/>
      </c>
      <c r="BM346" s="300" t="str">
        <f>_xlfn.IFNA(VLOOKUP($BD346,Programma!$F$3:$O$1107,10,0),"")</f>
        <v/>
      </c>
      <c r="BN346" s="300" t="str">
        <f>_xlfn.IFNA(VLOOKUP($BD346,Programma!$F$3:$P$1107,11,0),"")</f>
        <v/>
      </c>
      <c r="BO346" s="300" t="str">
        <f>_xlfn.IFNA(VLOOKUP($BD346,Programma!$F$3:$Q$1107,12,0),"")</f>
        <v/>
      </c>
      <c r="BP346" s="300" t="str">
        <f>_xlfn.IFNA(VLOOKUP($BD346,Programma!$F$3:$R$1107,13,0),"")</f>
        <v/>
      </c>
      <c r="BQ346" s="300" t="str">
        <f>_xlfn.IFNA(VLOOKUP($BD346,Programma!$F$3:$S$1107,14,0),"")</f>
        <v/>
      </c>
      <c r="BR346" s="300" t="str">
        <f>_xlfn.IFNA(VLOOKUP($BD346,Programma!$F$3:$T$1107,15,0),"")</f>
        <v/>
      </c>
      <c r="BS346" s="300" t="str">
        <f>_xlfn.IFNA(VLOOKUP($BD346,Programma!$F$3:$U$1107,16,0),"")</f>
        <v/>
      </c>
      <c r="BT346" s="300" t="str">
        <f>_xlfn.IFNA(VLOOKUP($BD346,Programma!$F$3:$V$1107,17,0),"")</f>
        <v/>
      </c>
      <c r="BU346" s="300" t="str">
        <f>_xlfn.IFNA(VLOOKUP($BD346,Programma!$F$3:$W$1107,18,0),"")</f>
        <v/>
      </c>
      <c r="BV346" s="300" t="str">
        <f>_xlfn.IFNA(VLOOKUP($BD346,Programma!$F$3:$X$1107,19,0),"")</f>
        <v/>
      </c>
      <c r="BW346" s="300" t="str">
        <f>_xlfn.IFNA(VLOOKUP($BD346,Programma!$F$3:$Y$1107,20,0),"")</f>
        <v/>
      </c>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row>
    <row r="347" spans="1:220" ht="15" customHeight="1">
      <c r="A347" s="21">
        <v>5</v>
      </c>
      <c r="B347" s="157" t="str">
        <f>VLOOKUP(Ruimtestaat[[#This Row],[Code]],Locaties[[Code]:[Locatie]],2,FALSE)</f>
        <v>François Vatel vmbo</v>
      </c>
      <c r="C347" s="157" t="str">
        <f>VLOOKUP(Ruimtestaat[[#This Row],[Code]],Locaties[[#All],[Code]:[Adres]],4,FALSE)</f>
        <v>Granaathorst 20</v>
      </c>
      <c r="D347" s="157" t="str">
        <f>VLOOKUP(Ruimtestaat[[#This Row],[Code]],Locaties[[#All],[Code]:[Postcode]],5,FALSE)</f>
        <v>2592 TD</v>
      </c>
      <c r="E347" s="157" t="str">
        <f>VLOOKUP(Ruimtestaat[[#This Row],[Code]],Locaties[#All],6,FALSE)</f>
        <v>Den Haag</v>
      </c>
      <c r="F347" s="62"/>
      <c r="G347" s="21" t="s">
        <v>1632</v>
      </c>
      <c r="H347" s="21">
        <v>5</v>
      </c>
      <c r="I347" s="62" t="s">
        <v>2012</v>
      </c>
      <c r="J347" s="21">
        <v>6</v>
      </c>
      <c r="K347" s="62" t="str">
        <f>VLOOKUP(Ruimtestaat[[#This Row],[Ruimte code]],Ruimtegroepen[[#All],[Code]:[Ruimte omschrijving]],2,FALSE)</f>
        <v>Gangen/hallen</v>
      </c>
      <c r="L347" s="33" t="s">
        <v>101</v>
      </c>
      <c r="M347" s="367" t="s">
        <v>2495</v>
      </c>
      <c r="N347" s="140">
        <v>57</v>
      </c>
      <c r="O347" s="140"/>
      <c r="P347" s="125" t="str">
        <f>VLOOKUP(Ruimtestaat[[#This Row],[Ruimte code]],Ruimtegroepen[],4,FALSE)</f>
        <v>Ve</v>
      </c>
      <c r="R347" s="33">
        <v>40</v>
      </c>
      <c r="S347" s="33" t="s">
        <v>2</v>
      </c>
      <c r="T347" s="33">
        <f>IF(R347&gt;0,IF(RIGHT(Ruimtestaat[[#This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7" s="33">
        <f>IF(T347&gt;0,VLOOKUP($J347,Ruimtegroepen[],3,FALSE)*VLOOKUP($L347,Vloersoorten[],3,FALSE)*VLOOKUP($S347,Frequenties[],3,FALSE)*VLOOKUP($A347,Locaties[],3,FALSE),0)</f>
        <v>0</v>
      </c>
      <c r="V347" s="33">
        <f>Ruimtestaat[[#This Row],[Uitvoeringen werkdagen]]*Ruimtestaat[[#This Row],[Oppervlak (netto)]]</f>
        <v>11400</v>
      </c>
      <c r="W347" s="154">
        <f>IF(U347&gt;0,Ruimtestaat[[#This Row],[Prest. (m2 /jaar) werkdagen]]/Ruimtestaat[[#This Row],[Norm (m2/uur) werkdagen]],0)</f>
        <v>0</v>
      </c>
      <c r="X347" s="155">
        <f>Ruimtestaat[[#This Row],[uren / jaar werkdagen]]*Tariefsopbouw!$E$35</f>
        <v>0</v>
      </c>
      <c r="Y347" s="33"/>
      <c r="Z347" s="33">
        <f>IF(Ruimtestaat[[#This Row],[Frequentie weekend]]&gt;0,VALUE(LEFT(Y347,1))*R347,0)</f>
        <v>0</v>
      </c>
      <c r="AA347" s="97">
        <f>IF($Z347&gt;0,VLOOKUP($J347,Ruimtegroepen[],3,FALSE)*VLOOKUP($L347,Vloersoorten[],3,FALSE)*VLOOKUP($Y347,Frequenties[],3,FALSE)*VLOOKUP(Ruimtestaat[[#This Row],[Code]],Locaties[],3,FALSE),0)</f>
        <v>0</v>
      </c>
      <c r="AB347" s="97">
        <f>Ruimtestaat[[#This Row],[Uitvoeringen weekend]]*Ruimtestaat[[#This Row],[Oppervlak (netto)]]</f>
        <v>0</v>
      </c>
      <c r="AC347" s="97">
        <f>IF(AA347&gt;0,Ruimtestaat[[#This Row],[Prest. (m2 /jaar) weekend]]/Ruimtestaat[[#This Row],[Norm (m2/uur) weekend]],0)</f>
        <v>0</v>
      </c>
      <c r="AD347" s="155">
        <f>Ruimtestaat[[#This Row],[uren / jaar weekend]]*Tariefsopbouw!$D$40</f>
        <v>0</v>
      </c>
      <c r="AE347" s="154">
        <f>Ruimtestaat[[#This Row],[Prest. (m2 /jaar) weekend]]+Ruimtestaat[[#This Row],[Prest. (m2 /jaar) werkdagen]]</f>
        <v>11400</v>
      </c>
      <c r="AF347" s="154">
        <f>Ruimtestaat[[#This Row],[uren / jaar weekend]]+Ruimtestaat[[#This Row],[uren / jaar werkdagen]]</f>
        <v>0</v>
      </c>
      <c r="AG347" s="69">
        <f>Ruimtestaat[[#This Row],[kosten / jaar weekend]]+Ruimtestaat[[#This Row],[kosten / jaar werkdagen]]</f>
        <v>0</v>
      </c>
      <c r="AH347" s="69"/>
      <c r="AI347" s="256" t="str">
        <f>IF(Ruimtestaat[[#This Row],[Frequentie werkdagen]]="","",_xlfn.CONCAT(Ruimtestaat[[#This Row],[Ruimte code]],"-",Ruimtestaat[[#This Row],[Frequentie werkdagen]]," ",Ruimtestaat[[#This Row],[Vloer code]]))</f>
        <v>6-5w L</v>
      </c>
      <c r="AJ347" s="300" t="str">
        <f>_xlfn.IFNA(VLOOKUP($AI347,Programma!$F$3:$G$1107,2,0),"")</f>
        <v>_</v>
      </c>
      <c r="AK347" s="300" t="str">
        <f>_xlfn.IFNA(VLOOKUP($AI347,Programma!$F$3:$H$1107,3,0),"")</f>
        <v>_</v>
      </c>
      <c r="AL347" s="300" t="str">
        <f>_xlfn.IFNA(VLOOKUP($AI347,Programma!$F$3:$I$1107,4,0),"")</f>
        <v>_</v>
      </c>
      <c r="AM347" s="300" t="str">
        <f>_xlfn.IFNA(VLOOKUP($AI347,Programma!$F$3:$J$1107,5,0),"")</f>
        <v>5w</v>
      </c>
      <c r="AN347" s="300" t="str">
        <f>_xlfn.IFNA(VLOOKUP($AI347,Programma!$F$3:$K$1107,6,0),"")</f>
        <v>_</v>
      </c>
      <c r="AO347" s="300" t="str">
        <f>_xlfn.IFNA(VLOOKUP($AI347,Programma!$F$3:$L$1107,7,0),"")</f>
        <v>_</v>
      </c>
      <c r="AP347" s="300" t="str">
        <f>_xlfn.IFNA(VLOOKUP($AI347,Programma!$F$3:$M$1107,8,0),"")</f>
        <v>_</v>
      </c>
      <c r="AQ347" s="300" t="str">
        <f>_xlfn.IFNA(VLOOKUP($AI347,Programma!$F$3:$N$1107,9,0),"")</f>
        <v>_</v>
      </c>
      <c r="AR347" s="300" t="str">
        <f>_xlfn.IFNA(VLOOKUP($AI347,Programma!$F$3:$O$1107,10,0),"")</f>
        <v>5w</v>
      </c>
      <c r="AS347" s="300" t="str">
        <f>_xlfn.IFNA(VLOOKUP($AI347,Programma!$F$3:$P$1107,11,0),"")</f>
        <v>5w</v>
      </c>
      <c r="AT347" s="300" t="str">
        <f>_xlfn.IFNA(VLOOKUP($AI347,Programma!$F$3:$Q$1107,12,0),"")</f>
        <v>1w</v>
      </c>
      <c r="AU347" s="300" t="str">
        <f>_xlfn.IFNA(VLOOKUP($AI347,Programma!$F$3:$R$1107,13,0),"")</f>
        <v>1w</v>
      </c>
      <c r="AV347" s="300" t="str">
        <f>_xlfn.IFNA(VLOOKUP($AI347,Programma!$F$3:$S$1107,14,0),"")</f>
        <v>1m</v>
      </c>
      <c r="AW347" s="300" t="str">
        <f>_xlfn.IFNA(VLOOKUP($AI347,Programma!$F$3:$T$1107,15,0),"")</f>
        <v>2j</v>
      </c>
      <c r="AX347" s="300" t="str">
        <f>_xlfn.IFNA(VLOOKUP($AI347,Programma!$F$3:$U$1107,16,0),"")</f>
        <v>1j</v>
      </c>
      <c r="AY347" s="300" t="str">
        <f>_xlfn.IFNA(VLOOKUP($AI347,Programma!$F$3:$V$1107,17,0),"")</f>
        <v>_</v>
      </c>
      <c r="AZ347" s="300" t="str">
        <f>_xlfn.IFNA(VLOOKUP($AI347,Programma!$F$3:$W$1107,18,0),"")</f>
        <v>_</v>
      </c>
      <c r="BA347" s="300" t="str">
        <f>_xlfn.IFNA(VLOOKUP($AI347,Programma!$F$3:$X$1107,19,0),"")</f>
        <v>_</v>
      </c>
      <c r="BB347" s="300" t="str">
        <f>_xlfn.IFNA(VLOOKUP($AI347,Programma!$F$3:$Y$1107,20,0),"")</f>
        <v>_</v>
      </c>
      <c r="BC347" s="257"/>
      <c r="BD347" s="256" t="str">
        <f>IF(Ruimtestaat[[#This Row],[Frequentie weekend]]="","",_xlfn.CONCAT(Ruimtestaat[[#This Row],[Ruimte code]],"-",Ruimtestaat[[#This Row],[Frequentie weekend]]," ",Ruimtestaat[[#This Row],[Vloer code]]))</f>
        <v/>
      </c>
      <c r="BE347" s="300" t="str">
        <f>_xlfn.IFNA(VLOOKUP($BD347,Programma!$F$3:$G$1107,2,0),"")</f>
        <v/>
      </c>
      <c r="BF347" s="300" t="str">
        <f>_xlfn.IFNA(VLOOKUP($BD347,Programma!$F$3:$H$1107,3,0),"")</f>
        <v/>
      </c>
      <c r="BG347" s="300" t="str">
        <f>_xlfn.IFNA(VLOOKUP($BD347,Programma!$F$3:$I$1107,4,0),"")</f>
        <v/>
      </c>
      <c r="BH347" s="300" t="str">
        <f>_xlfn.IFNA(VLOOKUP($BD347,Programma!$F$3:$J$1107,5,0),"")</f>
        <v/>
      </c>
      <c r="BI347" s="300" t="str">
        <f>_xlfn.IFNA(VLOOKUP($BD347,Programma!$F$3:$K$1107,6,0),"")</f>
        <v/>
      </c>
      <c r="BJ347" s="300" t="str">
        <f>_xlfn.IFNA(VLOOKUP($BD347,Programma!$F$3:$L$1107,7,0),"")</f>
        <v/>
      </c>
      <c r="BK347" s="300" t="str">
        <f>_xlfn.IFNA(VLOOKUP($BD347,Programma!$F$3:$M$1107,8,0),"")</f>
        <v/>
      </c>
      <c r="BL347" s="300" t="str">
        <f>_xlfn.IFNA(VLOOKUP($BD347,Programma!$F$3:$N$1107,9,0),"")</f>
        <v/>
      </c>
      <c r="BM347" s="300" t="str">
        <f>_xlfn.IFNA(VLOOKUP($BD347,Programma!$F$3:$O$1107,10,0),"")</f>
        <v/>
      </c>
      <c r="BN347" s="300" t="str">
        <f>_xlfn.IFNA(VLOOKUP($BD347,Programma!$F$3:$P$1107,11,0),"")</f>
        <v/>
      </c>
      <c r="BO347" s="300" t="str">
        <f>_xlfn.IFNA(VLOOKUP($BD347,Programma!$F$3:$Q$1107,12,0),"")</f>
        <v/>
      </c>
      <c r="BP347" s="300" t="str">
        <f>_xlfn.IFNA(VLOOKUP($BD347,Programma!$F$3:$R$1107,13,0),"")</f>
        <v/>
      </c>
      <c r="BQ347" s="300" t="str">
        <f>_xlfn.IFNA(VLOOKUP($BD347,Programma!$F$3:$S$1107,14,0),"")</f>
        <v/>
      </c>
      <c r="BR347" s="300" t="str">
        <f>_xlfn.IFNA(VLOOKUP($BD347,Programma!$F$3:$T$1107,15,0),"")</f>
        <v/>
      </c>
      <c r="BS347" s="300" t="str">
        <f>_xlfn.IFNA(VLOOKUP($BD347,Programma!$F$3:$U$1107,16,0),"")</f>
        <v/>
      </c>
      <c r="BT347" s="300" t="str">
        <f>_xlfn.IFNA(VLOOKUP($BD347,Programma!$F$3:$V$1107,17,0),"")</f>
        <v/>
      </c>
      <c r="BU347" s="300" t="str">
        <f>_xlfn.IFNA(VLOOKUP($BD347,Programma!$F$3:$W$1107,18,0),"")</f>
        <v/>
      </c>
      <c r="BV347" s="300" t="str">
        <f>_xlfn.IFNA(VLOOKUP($BD347,Programma!$F$3:$X$1107,19,0),"")</f>
        <v/>
      </c>
      <c r="BW347" s="300" t="str">
        <f>_xlfn.IFNA(VLOOKUP($BD347,Programma!$F$3:$Y$1107,20,0),"")</f>
        <v/>
      </c>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row>
    <row r="348" spans="1:220" ht="15" customHeight="1">
      <c r="A348" s="21">
        <v>5</v>
      </c>
      <c r="B348" s="157" t="str">
        <f>VLOOKUP(Ruimtestaat[[#This Row],[Code]],Locaties[[Code]:[Locatie]],2,FALSE)</f>
        <v>François Vatel vmbo</v>
      </c>
      <c r="C348" s="157" t="str">
        <f>VLOOKUP(Ruimtestaat[[#This Row],[Code]],Locaties[[#All],[Code]:[Adres]],4,FALSE)</f>
        <v>Granaathorst 20</v>
      </c>
      <c r="D348" s="157" t="str">
        <f>VLOOKUP(Ruimtestaat[[#This Row],[Code]],Locaties[[#All],[Code]:[Postcode]],5,FALSE)</f>
        <v>2592 TD</v>
      </c>
      <c r="E348" s="157" t="str">
        <f>VLOOKUP(Ruimtestaat[[#This Row],[Code]],Locaties[#All],6,FALSE)</f>
        <v>Den Haag</v>
      </c>
      <c r="F348" s="62"/>
      <c r="G348" s="21" t="s">
        <v>1632</v>
      </c>
      <c r="H348" s="21">
        <v>6</v>
      </c>
      <c r="I348" s="62" t="s">
        <v>2013</v>
      </c>
      <c r="J348" s="21">
        <v>2</v>
      </c>
      <c r="K348" s="62" t="str">
        <f>VLOOKUP(Ruimtestaat[[#This Row],[Ruimte code]],Ruimtegroepen[[#All],[Code]:[Ruimte omschrijving]],2,FALSE)</f>
        <v>Kantoren</v>
      </c>
      <c r="L348" s="33" t="s">
        <v>103</v>
      </c>
      <c r="M348" s="367" t="s">
        <v>2497</v>
      </c>
      <c r="N348" s="140">
        <v>25</v>
      </c>
      <c r="O348" s="140"/>
      <c r="P348" s="125" t="str">
        <f>VLOOKUP(Ruimtestaat[[#This Row],[Ruimte code]],Ruimtegroepen[],4,FALSE)</f>
        <v>Bu</v>
      </c>
      <c r="R348" s="33">
        <v>40</v>
      </c>
      <c r="S348" s="33" t="s">
        <v>2</v>
      </c>
      <c r="T348" s="33">
        <f>IF(R348&gt;0,IF(RIGHT(Ruimtestaat[[#This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8" s="33">
        <f>IF(T348&gt;0,VLOOKUP($J348,Ruimtegroepen[],3,FALSE)*VLOOKUP($L348,Vloersoorten[],3,FALSE)*VLOOKUP($S348,Frequenties[],3,FALSE)*VLOOKUP($A348,Locaties[],3,FALSE),0)</f>
        <v>0</v>
      </c>
      <c r="V348" s="33">
        <f>Ruimtestaat[[#This Row],[Uitvoeringen werkdagen]]*Ruimtestaat[[#This Row],[Oppervlak (netto)]]</f>
        <v>5000</v>
      </c>
      <c r="W348" s="154">
        <f>IF(U348&gt;0,Ruimtestaat[[#This Row],[Prest. (m2 /jaar) werkdagen]]/Ruimtestaat[[#This Row],[Norm (m2/uur) werkdagen]],0)</f>
        <v>0</v>
      </c>
      <c r="X348" s="155">
        <f>Ruimtestaat[[#This Row],[uren / jaar werkdagen]]*Tariefsopbouw!$E$35</f>
        <v>0</v>
      </c>
      <c r="Y348" s="33"/>
      <c r="Z348" s="33">
        <f>IF(Ruimtestaat[[#This Row],[Frequentie weekend]]&gt;0,VALUE(LEFT(Y348,1))*R348,0)</f>
        <v>0</v>
      </c>
      <c r="AA348" s="97">
        <f>IF($Z348&gt;0,VLOOKUP($J348,Ruimtegroepen[],3,FALSE)*VLOOKUP($L348,Vloersoorten[],3,FALSE)*VLOOKUP($Y348,Frequenties[],3,FALSE)*VLOOKUP(Ruimtestaat[[#This Row],[Code]],Locaties[],3,FALSE),0)</f>
        <v>0</v>
      </c>
      <c r="AB348" s="97">
        <f>Ruimtestaat[[#This Row],[Uitvoeringen weekend]]*Ruimtestaat[[#This Row],[Oppervlak (netto)]]</f>
        <v>0</v>
      </c>
      <c r="AC348" s="97">
        <f>IF(AA348&gt;0,Ruimtestaat[[#This Row],[Prest. (m2 /jaar) weekend]]/Ruimtestaat[[#This Row],[Norm (m2/uur) weekend]],0)</f>
        <v>0</v>
      </c>
      <c r="AD348" s="155">
        <f>Ruimtestaat[[#This Row],[uren / jaar weekend]]*Tariefsopbouw!$D$40</f>
        <v>0</v>
      </c>
      <c r="AE348" s="154">
        <f>Ruimtestaat[[#This Row],[Prest. (m2 /jaar) weekend]]+Ruimtestaat[[#This Row],[Prest. (m2 /jaar) werkdagen]]</f>
        <v>5000</v>
      </c>
      <c r="AF348" s="154">
        <f>Ruimtestaat[[#This Row],[uren / jaar weekend]]+Ruimtestaat[[#This Row],[uren / jaar werkdagen]]</f>
        <v>0</v>
      </c>
      <c r="AG348" s="69">
        <f>Ruimtestaat[[#This Row],[kosten / jaar weekend]]+Ruimtestaat[[#This Row],[kosten / jaar werkdagen]]</f>
        <v>0</v>
      </c>
      <c r="AH348" s="69"/>
      <c r="AI348" s="256" t="str">
        <f>IF(Ruimtestaat[[#This Row],[Frequentie werkdagen]]="","",_xlfn.CONCAT(Ruimtestaat[[#This Row],[Ruimte code]],"-",Ruimtestaat[[#This Row],[Frequentie werkdagen]]," ",Ruimtestaat[[#This Row],[Vloer code]]))</f>
        <v>2-5w P</v>
      </c>
      <c r="AJ348" s="300" t="str">
        <f>_xlfn.IFNA(VLOOKUP($AI348,Programma!$F$3:$G$1107,2,0),"")</f>
        <v>_</v>
      </c>
      <c r="AK348" s="300" t="str">
        <f>_xlfn.IFNA(VLOOKUP($AI348,Programma!$F$3:$H$1107,3,0),"")</f>
        <v>_</v>
      </c>
      <c r="AL348" s="300" t="str">
        <f>_xlfn.IFNA(VLOOKUP($AI348,Programma!$F$3:$I$1107,4,0),"")</f>
        <v>4w</v>
      </c>
      <c r="AM348" s="300" t="str">
        <f>_xlfn.IFNA(VLOOKUP($AI348,Programma!$F$3:$J$1107,5,0),"")</f>
        <v>1w</v>
      </c>
      <c r="AN348" s="300" t="str">
        <f>_xlfn.IFNA(VLOOKUP($AI348,Programma!$F$3:$K$1107,6,0),"")</f>
        <v>1j</v>
      </c>
      <c r="AO348" s="300" t="str">
        <f>_xlfn.IFNA(VLOOKUP($AI348,Programma!$F$3:$L$1107,7,0),"")</f>
        <v>_</v>
      </c>
      <c r="AP348" s="300" t="str">
        <f>_xlfn.IFNA(VLOOKUP($AI348,Programma!$F$3:$M$1107,8,0),"")</f>
        <v>_</v>
      </c>
      <c r="AQ348" s="300" t="str">
        <f>_xlfn.IFNA(VLOOKUP($AI348,Programma!$F$3:$N$1107,9,0),"")</f>
        <v>_</v>
      </c>
      <c r="AR348" s="300" t="str">
        <f>_xlfn.IFNA(VLOOKUP($AI348,Programma!$F$3:$O$1107,10,0),"")</f>
        <v>5w</v>
      </c>
      <c r="AS348" s="300" t="str">
        <f>_xlfn.IFNA(VLOOKUP($AI348,Programma!$F$3:$P$1107,11,0),"")</f>
        <v>5w</v>
      </c>
      <c r="AT348" s="300" t="str">
        <f>_xlfn.IFNA(VLOOKUP($AI348,Programma!$F$3:$Q$1107,12,0),"")</f>
        <v>1w</v>
      </c>
      <c r="AU348" s="300" t="str">
        <f>_xlfn.IFNA(VLOOKUP($AI348,Programma!$F$3:$R$1107,13,0),"")</f>
        <v>1w</v>
      </c>
      <c r="AV348" s="300" t="str">
        <f>_xlfn.IFNA(VLOOKUP($AI348,Programma!$F$3:$S$1107,14,0),"")</f>
        <v>1m</v>
      </c>
      <c r="AW348" s="300" t="str">
        <f>_xlfn.IFNA(VLOOKUP($AI348,Programma!$F$3:$T$1107,15,0),"")</f>
        <v>2j</v>
      </c>
      <c r="AX348" s="300" t="str">
        <f>_xlfn.IFNA(VLOOKUP($AI348,Programma!$F$3:$U$1107,16,0),"")</f>
        <v>1j</v>
      </c>
      <c r="AY348" s="300" t="str">
        <f>_xlfn.IFNA(VLOOKUP($AI348,Programma!$F$3:$V$1107,17,0),"")</f>
        <v>_</v>
      </c>
      <c r="AZ348" s="300" t="str">
        <f>_xlfn.IFNA(VLOOKUP($AI348,Programma!$F$3:$W$1107,18,0),"")</f>
        <v>_</v>
      </c>
      <c r="BA348" s="300" t="str">
        <f>_xlfn.IFNA(VLOOKUP($AI348,Programma!$F$3:$X$1107,19,0),"")</f>
        <v>_</v>
      </c>
      <c r="BB348" s="300" t="str">
        <f>_xlfn.IFNA(VLOOKUP($AI348,Programma!$F$3:$Y$1107,20,0),"")</f>
        <v>_</v>
      </c>
      <c r="BC348" s="257"/>
      <c r="BD348" s="256" t="str">
        <f>IF(Ruimtestaat[[#This Row],[Frequentie weekend]]="","",_xlfn.CONCAT(Ruimtestaat[[#This Row],[Ruimte code]],"-",Ruimtestaat[[#This Row],[Frequentie weekend]]," ",Ruimtestaat[[#This Row],[Vloer code]]))</f>
        <v/>
      </c>
      <c r="BE348" s="300" t="str">
        <f>_xlfn.IFNA(VLOOKUP($BD348,Programma!$F$3:$G$1107,2,0),"")</f>
        <v/>
      </c>
      <c r="BF348" s="300" t="str">
        <f>_xlfn.IFNA(VLOOKUP($BD348,Programma!$F$3:$H$1107,3,0),"")</f>
        <v/>
      </c>
      <c r="BG348" s="300" t="str">
        <f>_xlfn.IFNA(VLOOKUP($BD348,Programma!$F$3:$I$1107,4,0),"")</f>
        <v/>
      </c>
      <c r="BH348" s="300" t="str">
        <f>_xlfn.IFNA(VLOOKUP($BD348,Programma!$F$3:$J$1107,5,0),"")</f>
        <v/>
      </c>
      <c r="BI348" s="300" t="str">
        <f>_xlfn.IFNA(VLOOKUP($BD348,Programma!$F$3:$K$1107,6,0),"")</f>
        <v/>
      </c>
      <c r="BJ348" s="300" t="str">
        <f>_xlfn.IFNA(VLOOKUP($BD348,Programma!$F$3:$L$1107,7,0),"")</f>
        <v/>
      </c>
      <c r="BK348" s="300" t="str">
        <f>_xlfn.IFNA(VLOOKUP($BD348,Programma!$F$3:$M$1107,8,0),"")</f>
        <v/>
      </c>
      <c r="BL348" s="300" t="str">
        <f>_xlfn.IFNA(VLOOKUP($BD348,Programma!$F$3:$N$1107,9,0),"")</f>
        <v/>
      </c>
      <c r="BM348" s="300" t="str">
        <f>_xlfn.IFNA(VLOOKUP($BD348,Programma!$F$3:$O$1107,10,0),"")</f>
        <v/>
      </c>
      <c r="BN348" s="300" t="str">
        <f>_xlfn.IFNA(VLOOKUP($BD348,Programma!$F$3:$P$1107,11,0),"")</f>
        <v/>
      </c>
      <c r="BO348" s="300" t="str">
        <f>_xlfn.IFNA(VLOOKUP($BD348,Programma!$F$3:$Q$1107,12,0),"")</f>
        <v/>
      </c>
      <c r="BP348" s="300" t="str">
        <f>_xlfn.IFNA(VLOOKUP($BD348,Programma!$F$3:$R$1107,13,0),"")</f>
        <v/>
      </c>
      <c r="BQ348" s="300" t="str">
        <f>_xlfn.IFNA(VLOOKUP($BD348,Programma!$F$3:$S$1107,14,0),"")</f>
        <v/>
      </c>
      <c r="BR348" s="300" t="str">
        <f>_xlfn.IFNA(VLOOKUP($BD348,Programma!$F$3:$T$1107,15,0),"")</f>
        <v/>
      </c>
      <c r="BS348" s="300" t="str">
        <f>_xlfn.IFNA(VLOOKUP($BD348,Programma!$F$3:$U$1107,16,0),"")</f>
        <v/>
      </c>
      <c r="BT348" s="300" t="str">
        <f>_xlfn.IFNA(VLOOKUP($BD348,Programma!$F$3:$V$1107,17,0),"")</f>
        <v/>
      </c>
      <c r="BU348" s="300" t="str">
        <f>_xlfn.IFNA(VLOOKUP($BD348,Programma!$F$3:$W$1107,18,0),"")</f>
        <v/>
      </c>
      <c r="BV348" s="300" t="str">
        <f>_xlfn.IFNA(VLOOKUP($BD348,Programma!$F$3:$X$1107,19,0),"")</f>
        <v/>
      </c>
      <c r="BW348" s="300" t="str">
        <f>_xlfn.IFNA(VLOOKUP($BD348,Programma!$F$3:$Y$1107,20,0),"")</f>
        <v/>
      </c>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row>
    <row r="349" spans="1:220" ht="15" customHeight="1">
      <c r="A349" s="21">
        <v>5</v>
      </c>
      <c r="B349" s="157" t="str">
        <f>VLOOKUP(Ruimtestaat[[#This Row],[Code]],Locaties[[Code]:[Locatie]],2,FALSE)</f>
        <v>François Vatel vmbo</v>
      </c>
      <c r="C349" s="157" t="str">
        <f>VLOOKUP(Ruimtestaat[[#This Row],[Code]],Locaties[[#All],[Code]:[Adres]],4,FALSE)</f>
        <v>Granaathorst 20</v>
      </c>
      <c r="D349" s="157" t="str">
        <f>VLOOKUP(Ruimtestaat[[#This Row],[Code]],Locaties[[#All],[Code]:[Postcode]],5,FALSE)</f>
        <v>2592 TD</v>
      </c>
      <c r="E349" s="157" t="str">
        <f>VLOOKUP(Ruimtestaat[[#This Row],[Code]],Locaties[#All],6,FALSE)</f>
        <v>Den Haag</v>
      </c>
      <c r="F349" s="62"/>
      <c r="G349" s="21" t="s">
        <v>1632</v>
      </c>
      <c r="H349" s="21">
        <v>7</v>
      </c>
      <c r="I349" s="62" t="s">
        <v>2014</v>
      </c>
      <c r="J349" s="21">
        <v>5</v>
      </c>
      <c r="K349" s="62" t="str">
        <f>VLOOKUP(Ruimtestaat[[#This Row],[Ruimte code]],Ruimtegroepen[[#All],[Code]:[Ruimte omschrijving]],2,FALSE)</f>
        <v>Sanitair</v>
      </c>
      <c r="L349" s="33" t="s">
        <v>102</v>
      </c>
      <c r="M349" s="367" t="s">
        <v>2509</v>
      </c>
      <c r="N349" s="140">
        <v>15</v>
      </c>
      <c r="O349" s="140"/>
      <c r="P349" s="125" t="str">
        <f>VLOOKUP(Ruimtestaat[[#This Row],[Ruimte code]],Ruimtegroepen[],4,FALSE)</f>
        <v>Sa</v>
      </c>
      <c r="R349" s="33">
        <v>40</v>
      </c>
      <c r="S349" s="33" t="s">
        <v>2</v>
      </c>
      <c r="T349" s="33">
        <f>IF(R349&gt;0,IF(RIGHT(Ruimtestaat[[#This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9" s="33">
        <f>IF(T349&gt;0,VLOOKUP($J349,Ruimtegroepen[],3,FALSE)*VLOOKUP($L349,Vloersoorten[],3,FALSE)*VLOOKUP($S349,Frequenties[],3,FALSE)*VLOOKUP($A349,Locaties[],3,FALSE),0)</f>
        <v>0</v>
      </c>
      <c r="V349" s="33">
        <f>Ruimtestaat[[#This Row],[Uitvoeringen werkdagen]]*Ruimtestaat[[#This Row],[Oppervlak (netto)]]</f>
        <v>3000</v>
      </c>
      <c r="W349" s="154">
        <f>IF(U349&gt;0,Ruimtestaat[[#This Row],[Prest. (m2 /jaar) werkdagen]]/Ruimtestaat[[#This Row],[Norm (m2/uur) werkdagen]],0)</f>
        <v>0</v>
      </c>
      <c r="X349" s="155">
        <f>Ruimtestaat[[#This Row],[uren / jaar werkdagen]]*Tariefsopbouw!$E$35</f>
        <v>0</v>
      </c>
      <c r="Y349" s="33"/>
      <c r="Z349" s="33">
        <f>IF(Ruimtestaat[[#This Row],[Frequentie weekend]]&gt;0,VALUE(LEFT(Y349,1))*R349,0)</f>
        <v>0</v>
      </c>
      <c r="AA349" s="97">
        <f>IF($Z349&gt;0,VLOOKUP($J349,Ruimtegroepen[],3,FALSE)*VLOOKUP($L349,Vloersoorten[],3,FALSE)*VLOOKUP($Y349,Frequenties[],3,FALSE)*VLOOKUP(Ruimtestaat[[#This Row],[Code]],Locaties[],3,FALSE),0)</f>
        <v>0</v>
      </c>
      <c r="AB349" s="97">
        <f>Ruimtestaat[[#This Row],[Uitvoeringen weekend]]*Ruimtestaat[[#This Row],[Oppervlak (netto)]]</f>
        <v>0</v>
      </c>
      <c r="AC349" s="97">
        <f>IF(AA349&gt;0,Ruimtestaat[[#This Row],[Prest. (m2 /jaar) weekend]]/Ruimtestaat[[#This Row],[Norm (m2/uur) weekend]],0)</f>
        <v>0</v>
      </c>
      <c r="AD349" s="155">
        <f>Ruimtestaat[[#This Row],[uren / jaar weekend]]*Tariefsopbouw!$D$40</f>
        <v>0</v>
      </c>
      <c r="AE349" s="154">
        <f>Ruimtestaat[[#This Row],[Prest. (m2 /jaar) weekend]]+Ruimtestaat[[#This Row],[Prest. (m2 /jaar) werkdagen]]</f>
        <v>3000</v>
      </c>
      <c r="AF349" s="154">
        <f>Ruimtestaat[[#This Row],[uren / jaar weekend]]+Ruimtestaat[[#This Row],[uren / jaar werkdagen]]</f>
        <v>0</v>
      </c>
      <c r="AG349" s="69">
        <f>Ruimtestaat[[#This Row],[kosten / jaar weekend]]+Ruimtestaat[[#This Row],[kosten / jaar werkdagen]]</f>
        <v>0</v>
      </c>
      <c r="AH349" s="69"/>
      <c r="AI349" s="256" t="str">
        <f>IF(Ruimtestaat[[#This Row],[Frequentie werkdagen]]="","",_xlfn.CONCAT(Ruimtestaat[[#This Row],[Ruimte code]],"-",Ruimtestaat[[#This Row],[Frequentie werkdagen]]," ",Ruimtestaat[[#This Row],[Vloer code]]))</f>
        <v>5-5w S</v>
      </c>
      <c r="AJ349" s="300" t="str">
        <f>_xlfn.IFNA(VLOOKUP($AI349,Programma!$F$3:$G$1107,2,0),"")</f>
        <v>_</v>
      </c>
      <c r="AK349" s="300" t="str">
        <f>_xlfn.IFNA(VLOOKUP($AI349,Programma!$F$3:$H$1107,3,0),"")</f>
        <v>_</v>
      </c>
      <c r="AL349" s="300" t="str">
        <f>_xlfn.IFNA(VLOOKUP($AI349,Programma!$F$3:$I$1107,4,0),"")</f>
        <v>_</v>
      </c>
      <c r="AM349" s="300" t="str">
        <f>_xlfn.IFNA(VLOOKUP($AI349,Programma!$F$3:$J$1107,5,0),"")</f>
        <v>4w</v>
      </c>
      <c r="AN349" s="300" t="str">
        <f>_xlfn.IFNA(VLOOKUP($AI349,Programma!$F$3:$K$1107,6,0),"")</f>
        <v>1w</v>
      </c>
      <c r="AO349" s="300" t="str">
        <f>_xlfn.IFNA(VLOOKUP($AI349,Programma!$F$3:$L$1107,7,0),"")</f>
        <v>_</v>
      </c>
      <c r="AP349" s="300" t="str">
        <f>_xlfn.IFNA(VLOOKUP($AI349,Programma!$F$3:$M$1107,8,0),"")</f>
        <v>_</v>
      </c>
      <c r="AQ349" s="300" t="str">
        <f>_xlfn.IFNA(VLOOKUP($AI349,Programma!$F$3:$N$1107,9,0),"")</f>
        <v>_</v>
      </c>
      <c r="AR349" s="300" t="str">
        <f>_xlfn.IFNA(VLOOKUP($AI349,Programma!$F$3:$O$1107,10,0),"")</f>
        <v>_</v>
      </c>
      <c r="AS349" s="300" t="str">
        <f>_xlfn.IFNA(VLOOKUP($AI349,Programma!$F$3:$P$1107,11,0),"")</f>
        <v>_</v>
      </c>
      <c r="AT349" s="300" t="str">
        <f>_xlfn.IFNA(VLOOKUP($AI349,Programma!$F$3:$Q$1107,12,0),"")</f>
        <v>_</v>
      </c>
      <c r="AU349" s="300" t="str">
        <f>_xlfn.IFNA(VLOOKUP($AI349,Programma!$F$3:$R$1107,13,0),"")</f>
        <v>_</v>
      </c>
      <c r="AV349" s="300" t="str">
        <f>_xlfn.IFNA(VLOOKUP($AI349,Programma!$F$3:$S$1107,14,0),"")</f>
        <v>_</v>
      </c>
      <c r="AW349" s="300" t="str">
        <f>_xlfn.IFNA(VLOOKUP($AI349,Programma!$F$3:$T$1107,15,0),"")</f>
        <v>_</v>
      </c>
      <c r="AX349" s="300" t="str">
        <f>_xlfn.IFNA(VLOOKUP($AI349,Programma!$F$3:$U$1107,16,0),"")</f>
        <v>_</v>
      </c>
      <c r="AY349" s="300" t="str">
        <f>_xlfn.IFNA(VLOOKUP($AI349,Programma!$F$3:$V$1107,17,0),"")</f>
        <v>_</v>
      </c>
      <c r="AZ349" s="300" t="str">
        <f>_xlfn.IFNA(VLOOKUP($AI349,Programma!$F$3:$W$1107,18,0),"")</f>
        <v>4w</v>
      </c>
      <c r="BA349" s="300" t="str">
        <f>_xlfn.IFNA(VLOOKUP($AI349,Programma!$F$3:$X$1107,19,0),"")</f>
        <v>1w</v>
      </c>
      <c r="BB349" s="300" t="str">
        <f>_xlfn.IFNA(VLOOKUP($AI349,Programma!$F$3:$Y$1107,20,0),"")</f>
        <v>_</v>
      </c>
      <c r="BC349" s="257"/>
      <c r="BD349" s="256" t="str">
        <f>IF(Ruimtestaat[[#This Row],[Frequentie weekend]]="","",_xlfn.CONCAT(Ruimtestaat[[#This Row],[Ruimte code]],"-",Ruimtestaat[[#This Row],[Frequentie weekend]]," ",Ruimtestaat[[#This Row],[Vloer code]]))</f>
        <v/>
      </c>
      <c r="BE349" s="300" t="str">
        <f>_xlfn.IFNA(VLOOKUP($BD349,Programma!$F$3:$G$1107,2,0),"")</f>
        <v/>
      </c>
      <c r="BF349" s="300" t="str">
        <f>_xlfn.IFNA(VLOOKUP($BD349,Programma!$F$3:$H$1107,3,0),"")</f>
        <v/>
      </c>
      <c r="BG349" s="300" t="str">
        <f>_xlfn.IFNA(VLOOKUP($BD349,Programma!$F$3:$I$1107,4,0),"")</f>
        <v/>
      </c>
      <c r="BH349" s="300" t="str">
        <f>_xlfn.IFNA(VLOOKUP($BD349,Programma!$F$3:$J$1107,5,0),"")</f>
        <v/>
      </c>
      <c r="BI349" s="300" t="str">
        <f>_xlfn.IFNA(VLOOKUP($BD349,Programma!$F$3:$K$1107,6,0),"")</f>
        <v/>
      </c>
      <c r="BJ349" s="300" t="str">
        <f>_xlfn.IFNA(VLOOKUP($BD349,Programma!$F$3:$L$1107,7,0),"")</f>
        <v/>
      </c>
      <c r="BK349" s="300" t="str">
        <f>_xlfn.IFNA(VLOOKUP($BD349,Programma!$F$3:$M$1107,8,0),"")</f>
        <v/>
      </c>
      <c r="BL349" s="300" t="str">
        <f>_xlfn.IFNA(VLOOKUP($BD349,Programma!$F$3:$N$1107,9,0),"")</f>
        <v/>
      </c>
      <c r="BM349" s="300" t="str">
        <f>_xlfn.IFNA(VLOOKUP($BD349,Programma!$F$3:$O$1107,10,0),"")</f>
        <v/>
      </c>
      <c r="BN349" s="300" t="str">
        <f>_xlfn.IFNA(VLOOKUP($BD349,Programma!$F$3:$P$1107,11,0),"")</f>
        <v/>
      </c>
      <c r="BO349" s="300" t="str">
        <f>_xlfn.IFNA(VLOOKUP($BD349,Programma!$F$3:$Q$1107,12,0),"")</f>
        <v/>
      </c>
      <c r="BP349" s="300" t="str">
        <f>_xlfn.IFNA(VLOOKUP($BD349,Programma!$F$3:$R$1107,13,0),"")</f>
        <v/>
      </c>
      <c r="BQ349" s="300" t="str">
        <f>_xlfn.IFNA(VLOOKUP($BD349,Programma!$F$3:$S$1107,14,0),"")</f>
        <v/>
      </c>
      <c r="BR349" s="300" t="str">
        <f>_xlfn.IFNA(VLOOKUP($BD349,Programma!$F$3:$T$1107,15,0),"")</f>
        <v/>
      </c>
      <c r="BS349" s="300" t="str">
        <f>_xlfn.IFNA(VLOOKUP($BD349,Programma!$F$3:$U$1107,16,0),"")</f>
        <v/>
      </c>
      <c r="BT349" s="300" t="str">
        <f>_xlfn.IFNA(VLOOKUP($BD349,Programma!$F$3:$V$1107,17,0),"")</f>
        <v/>
      </c>
      <c r="BU349" s="300" t="str">
        <f>_xlfn.IFNA(VLOOKUP($BD349,Programma!$F$3:$W$1107,18,0),"")</f>
        <v/>
      </c>
      <c r="BV349" s="300" t="str">
        <f>_xlfn.IFNA(VLOOKUP($BD349,Programma!$F$3:$X$1107,19,0),"")</f>
        <v/>
      </c>
      <c r="BW349" s="300" t="str">
        <f>_xlfn.IFNA(VLOOKUP($BD349,Programma!$F$3:$Y$1107,20,0),"")</f>
        <v/>
      </c>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row>
    <row r="350" spans="1:220" ht="15" customHeight="1">
      <c r="A350" s="21">
        <v>5</v>
      </c>
      <c r="B350" s="157" t="str">
        <f>VLOOKUP(Ruimtestaat[[#This Row],[Code]],Locaties[[Code]:[Locatie]],2,FALSE)</f>
        <v>François Vatel vmbo</v>
      </c>
      <c r="C350" s="157" t="str">
        <f>VLOOKUP(Ruimtestaat[[#This Row],[Code]],Locaties[[#All],[Code]:[Adres]],4,FALSE)</f>
        <v>Granaathorst 20</v>
      </c>
      <c r="D350" s="157" t="str">
        <f>VLOOKUP(Ruimtestaat[[#This Row],[Code]],Locaties[[#All],[Code]:[Postcode]],5,FALSE)</f>
        <v>2592 TD</v>
      </c>
      <c r="E350" s="157" t="str">
        <f>VLOOKUP(Ruimtestaat[[#This Row],[Code]],Locaties[#All],6,FALSE)</f>
        <v>Den Haag</v>
      </c>
      <c r="F350" s="62"/>
      <c r="G350" s="21" t="s">
        <v>1632</v>
      </c>
      <c r="H350" s="21">
        <v>8</v>
      </c>
      <c r="I350" s="62" t="s">
        <v>2015</v>
      </c>
      <c r="J350" s="21">
        <v>12</v>
      </c>
      <c r="K350" s="62" t="str">
        <f>VLOOKUP(Ruimtestaat[[#This Row],[Ruimte code]],Ruimtegroepen[[#All],[Code]:[Ruimte omschrijving]],2,FALSE)</f>
        <v>Kantine</v>
      </c>
      <c r="L350" s="33" t="s">
        <v>103</v>
      </c>
      <c r="M350" s="367" t="s">
        <v>2510</v>
      </c>
      <c r="N350" s="140">
        <v>119</v>
      </c>
      <c r="O350" s="140"/>
      <c r="P350" s="125" t="str">
        <f>VLOOKUP(Ruimtestaat[[#This Row],[Ruimte code]],Ruimtegroepen[],4,FALSE)</f>
        <v>Ve</v>
      </c>
      <c r="R350" s="33">
        <v>40</v>
      </c>
      <c r="S350" s="33" t="s">
        <v>2</v>
      </c>
      <c r="T350" s="33">
        <f>IF(R350&gt;0,IF(RIGHT(Ruimtestaat[[#This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0" s="33">
        <f>IF(T350&gt;0,VLOOKUP($J350,Ruimtegroepen[],3,FALSE)*VLOOKUP($L350,Vloersoorten[],3,FALSE)*VLOOKUP($S350,Frequenties[],3,FALSE)*VLOOKUP($A350,Locaties[],3,FALSE),0)</f>
        <v>0</v>
      </c>
      <c r="V350" s="33">
        <f>Ruimtestaat[[#This Row],[Uitvoeringen werkdagen]]*Ruimtestaat[[#This Row],[Oppervlak (netto)]]</f>
        <v>23800</v>
      </c>
      <c r="W350" s="154">
        <f>IF(U350&gt;0,Ruimtestaat[[#This Row],[Prest. (m2 /jaar) werkdagen]]/Ruimtestaat[[#This Row],[Norm (m2/uur) werkdagen]],0)</f>
        <v>0</v>
      </c>
      <c r="X350" s="155">
        <f>Ruimtestaat[[#This Row],[uren / jaar werkdagen]]*Tariefsopbouw!$E$35</f>
        <v>0</v>
      </c>
      <c r="Y350" s="33"/>
      <c r="Z350" s="33">
        <f>IF(Ruimtestaat[[#This Row],[Frequentie weekend]]&gt;0,VALUE(LEFT(Y350,1))*R350,0)</f>
        <v>0</v>
      </c>
      <c r="AA350" s="97">
        <f>IF($Z350&gt;0,VLOOKUP($J350,Ruimtegroepen[],3,FALSE)*VLOOKUP($L350,Vloersoorten[],3,FALSE)*VLOOKUP($Y350,Frequenties[],3,FALSE)*VLOOKUP(Ruimtestaat[[#This Row],[Code]],Locaties[],3,FALSE),0)</f>
        <v>0</v>
      </c>
      <c r="AB350" s="97">
        <f>Ruimtestaat[[#This Row],[Uitvoeringen weekend]]*Ruimtestaat[[#This Row],[Oppervlak (netto)]]</f>
        <v>0</v>
      </c>
      <c r="AC350" s="97">
        <f>IF(AA350&gt;0,Ruimtestaat[[#This Row],[Prest. (m2 /jaar) weekend]]/Ruimtestaat[[#This Row],[Norm (m2/uur) weekend]],0)</f>
        <v>0</v>
      </c>
      <c r="AD350" s="155">
        <f>Ruimtestaat[[#This Row],[uren / jaar weekend]]*Tariefsopbouw!$D$40</f>
        <v>0</v>
      </c>
      <c r="AE350" s="154">
        <f>Ruimtestaat[[#This Row],[Prest. (m2 /jaar) weekend]]+Ruimtestaat[[#This Row],[Prest. (m2 /jaar) werkdagen]]</f>
        <v>23800</v>
      </c>
      <c r="AF350" s="154">
        <f>Ruimtestaat[[#This Row],[uren / jaar weekend]]+Ruimtestaat[[#This Row],[uren / jaar werkdagen]]</f>
        <v>0</v>
      </c>
      <c r="AG350" s="69">
        <f>Ruimtestaat[[#This Row],[kosten / jaar weekend]]+Ruimtestaat[[#This Row],[kosten / jaar werkdagen]]</f>
        <v>0</v>
      </c>
      <c r="AH350" s="69"/>
      <c r="AI350" s="256" t="str">
        <f>IF(Ruimtestaat[[#This Row],[Frequentie werkdagen]]="","",_xlfn.CONCAT(Ruimtestaat[[#This Row],[Ruimte code]],"-",Ruimtestaat[[#This Row],[Frequentie werkdagen]]," ",Ruimtestaat[[#This Row],[Vloer code]]))</f>
        <v>12-5w P</v>
      </c>
      <c r="AJ350" s="300" t="str">
        <f>_xlfn.IFNA(VLOOKUP($AI350,Programma!$F$3:$G$1107,2,0),"")</f>
        <v>_</v>
      </c>
      <c r="AK350" s="300" t="str">
        <f>_xlfn.IFNA(VLOOKUP($AI350,Programma!$F$3:$H$1107,3,0),"")</f>
        <v>_</v>
      </c>
      <c r="AL350" s="300" t="str">
        <f>_xlfn.IFNA(VLOOKUP($AI350,Programma!$F$3:$I$1107,4,0),"")</f>
        <v>5w</v>
      </c>
      <c r="AM350" s="300" t="str">
        <f>_xlfn.IFNA(VLOOKUP($AI350,Programma!$F$3:$J$1107,5,0),"")</f>
        <v>_</v>
      </c>
      <c r="AN350" s="300" t="str">
        <f>_xlfn.IFNA(VLOOKUP($AI350,Programma!$F$3:$K$1107,6,0),"")</f>
        <v>5w</v>
      </c>
      <c r="AO350" s="300" t="str">
        <f>_xlfn.IFNA(VLOOKUP($AI350,Programma!$F$3:$L$1107,7,0),"")</f>
        <v>_</v>
      </c>
      <c r="AP350" s="300" t="str">
        <f>_xlfn.IFNA(VLOOKUP($AI350,Programma!$F$3:$M$1107,8,0),"")</f>
        <v>_</v>
      </c>
      <c r="AQ350" s="300" t="str">
        <f>_xlfn.IFNA(VLOOKUP($AI350,Programma!$F$3:$N$1107,9,0),"")</f>
        <v>_</v>
      </c>
      <c r="AR350" s="300" t="str">
        <f>_xlfn.IFNA(VLOOKUP($AI350,Programma!$F$3:$O$1107,10,0),"")</f>
        <v>5w</v>
      </c>
      <c r="AS350" s="300" t="str">
        <f>_xlfn.IFNA(VLOOKUP($AI350,Programma!$F$3:$P$1107,11,0),"")</f>
        <v>5w</v>
      </c>
      <c r="AT350" s="300" t="str">
        <f>_xlfn.IFNA(VLOOKUP($AI350,Programma!$F$3:$Q$1107,12,0),"")</f>
        <v>1w</v>
      </c>
      <c r="AU350" s="300" t="str">
        <f>_xlfn.IFNA(VLOOKUP($AI350,Programma!$F$3:$R$1107,13,0),"")</f>
        <v>1w</v>
      </c>
      <c r="AV350" s="300" t="str">
        <f>_xlfn.IFNA(VLOOKUP($AI350,Programma!$F$3:$S$1107,14,0),"")</f>
        <v>1m</v>
      </c>
      <c r="AW350" s="300" t="str">
        <f>_xlfn.IFNA(VLOOKUP($AI350,Programma!$F$3:$T$1107,15,0),"")</f>
        <v>2j</v>
      </c>
      <c r="AX350" s="300" t="str">
        <f>_xlfn.IFNA(VLOOKUP($AI350,Programma!$F$3:$U$1107,16,0),"")</f>
        <v>1j</v>
      </c>
      <c r="AY350" s="300" t="str">
        <f>_xlfn.IFNA(VLOOKUP($AI350,Programma!$F$3:$V$1107,17,0),"")</f>
        <v>_</v>
      </c>
      <c r="AZ350" s="300" t="str">
        <f>_xlfn.IFNA(VLOOKUP($AI350,Programma!$F$3:$W$1107,18,0),"")</f>
        <v>_</v>
      </c>
      <c r="BA350" s="300" t="str">
        <f>_xlfn.IFNA(VLOOKUP($AI350,Programma!$F$3:$X$1107,19,0),"")</f>
        <v>_</v>
      </c>
      <c r="BB350" s="300" t="str">
        <f>_xlfn.IFNA(VLOOKUP($AI350,Programma!$F$3:$Y$1107,20,0),"")</f>
        <v>_</v>
      </c>
      <c r="BC350" s="257"/>
      <c r="BD350" s="256" t="str">
        <f>IF(Ruimtestaat[[#This Row],[Frequentie weekend]]="","",_xlfn.CONCAT(Ruimtestaat[[#This Row],[Ruimte code]],"-",Ruimtestaat[[#This Row],[Frequentie weekend]]," ",Ruimtestaat[[#This Row],[Vloer code]]))</f>
        <v/>
      </c>
      <c r="BE350" s="300" t="str">
        <f>_xlfn.IFNA(VLOOKUP($BD350,Programma!$F$3:$G$1107,2,0),"")</f>
        <v/>
      </c>
      <c r="BF350" s="300" t="str">
        <f>_xlfn.IFNA(VLOOKUP($BD350,Programma!$F$3:$H$1107,3,0),"")</f>
        <v/>
      </c>
      <c r="BG350" s="300" t="str">
        <f>_xlfn.IFNA(VLOOKUP($BD350,Programma!$F$3:$I$1107,4,0),"")</f>
        <v/>
      </c>
      <c r="BH350" s="300" t="str">
        <f>_xlfn.IFNA(VLOOKUP($BD350,Programma!$F$3:$J$1107,5,0),"")</f>
        <v/>
      </c>
      <c r="BI350" s="300" t="str">
        <f>_xlfn.IFNA(VLOOKUP($BD350,Programma!$F$3:$K$1107,6,0),"")</f>
        <v/>
      </c>
      <c r="BJ350" s="300" t="str">
        <f>_xlfn.IFNA(VLOOKUP($BD350,Programma!$F$3:$L$1107,7,0),"")</f>
        <v/>
      </c>
      <c r="BK350" s="300" t="str">
        <f>_xlfn.IFNA(VLOOKUP($BD350,Programma!$F$3:$M$1107,8,0),"")</f>
        <v/>
      </c>
      <c r="BL350" s="300" t="str">
        <f>_xlfn.IFNA(VLOOKUP($BD350,Programma!$F$3:$N$1107,9,0),"")</f>
        <v/>
      </c>
      <c r="BM350" s="300" t="str">
        <f>_xlfn.IFNA(VLOOKUP($BD350,Programma!$F$3:$O$1107,10,0),"")</f>
        <v/>
      </c>
      <c r="BN350" s="300" t="str">
        <f>_xlfn.IFNA(VLOOKUP($BD350,Programma!$F$3:$P$1107,11,0),"")</f>
        <v/>
      </c>
      <c r="BO350" s="300" t="str">
        <f>_xlfn.IFNA(VLOOKUP($BD350,Programma!$F$3:$Q$1107,12,0),"")</f>
        <v/>
      </c>
      <c r="BP350" s="300" t="str">
        <f>_xlfn.IFNA(VLOOKUP($BD350,Programma!$F$3:$R$1107,13,0),"")</f>
        <v/>
      </c>
      <c r="BQ350" s="300" t="str">
        <f>_xlfn.IFNA(VLOOKUP($BD350,Programma!$F$3:$S$1107,14,0),"")</f>
        <v/>
      </c>
      <c r="BR350" s="300" t="str">
        <f>_xlfn.IFNA(VLOOKUP($BD350,Programma!$F$3:$T$1107,15,0),"")</f>
        <v/>
      </c>
      <c r="BS350" s="300" t="str">
        <f>_xlfn.IFNA(VLOOKUP($BD350,Programma!$F$3:$U$1107,16,0),"")</f>
        <v/>
      </c>
      <c r="BT350" s="300" t="str">
        <f>_xlfn.IFNA(VLOOKUP($BD350,Programma!$F$3:$V$1107,17,0),"")</f>
        <v/>
      </c>
      <c r="BU350" s="300" t="str">
        <f>_xlfn.IFNA(VLOOKUP($BD350,Programma!$F$3:$W$1107,18,0),"")</f>
        <v/>
      </c>
      <c r="BV350" s="300" t="str">
        <f>_xlfn.IFNA(VLOOKUP($BD350,Programma!$F$3:$X$1107,19,0),"")</f>
        <v/>
      </c>
      <c r="BW350" s="300" t="str">
        <f>_xlfn.IFNA(VLOOKUP($BD350,Programma!$F$3:$Y$1107,20,0),"")</f>
        <v/>
      </c>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row>
    <row r="351" spans="1:220" ht="15" customHeight="1">
      <c r="A351" s="21">
        <v>5</v>
      </c>
      <c r="B351" s="157" t="str">
        <f>VLOOKUP(Ruimtestaat[[#This Row],[Code]],Locaties[[Code]:[Locatie]],2,FALSE)</f>
        <v>François Vatel vmbo</v>
      </c>
      <c r="C351" s="157" t="str">
        <f>VLOOKUP(Ruimtestaat[[#This Row],[Code]],Locaties[[#All],[Code]:[Adres]],4,FALSE)</f>
        <v>Granaathorst 20</v>
      </c>
      <c r="D351" s="157" t="str">
        <f>VLOOKUP(Ruimtestaat[[#This Row],[Code]],Locaties[[#All],[Code]:[Postcode]],5,FALSE)</f>
        <v>2592 TD</v>
      </c>
      <c r="E351" s="157" t="str">
        <f>VLOOKUP(Ruimtestaat[[#This Row],[Code]],Locaties[#All],6,FALSE)</f>
        <v>Den Haag</v>
      </c>
      <c r="F351" s="62"/>
      <c r="G351" s="21" t="s">
        <v>1632</v>
      </c>
      <c r="H351" s="21">
        <v>9</v>
      </c>
      <c r="I351" s="62" t="s">
        <v>1633</v>
      </c>
      <c r="J351" s="21">
        <v>7</v>
      </c>
      <c r="K351" s="62" t="str">
        <f>VLOOKUP(Ruimtestaat[[#This Row],[Ruimte code]],Ruimtegroepen[[#All],[Code]:[Ruimte omschrijving]],2,FALSE)</f>
        <v>Entree</v>
      </c>
      <c r="L351" s="33" t="s">
        <v>101</v>
      </c>
      <c r="M351" s="367" t="s">
        <v>2511</v>
      </c>
      <c r="N351" s="140">
        <v>53</v>
      </c>
      <c r="O351" s="140"/>
      <c r="P351" s="125" t="str">
        <f>VLOOKUP(Ruimtestaat[[#This Row],[Ruimte code]],Ruimtegroepen[],4,FALSE)</f>
        <v>Ve</v>
      </c>
      <c r="R351" s="33">
        <v>40</v>
      </c>
      <c r="S351" s="33" t="s">
        <v>2</v>
      </c>
      <c r="T351" s="33">
        <f>IF(R351&gt;0,IF(RIGHT(Ruimtestaat[[#This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1" s="33">
        <f>IF(T351&gt;0,VLOOKUP($J351,Ruimtegroepen[],3,FALSE)*VLOOKUP($L351,Vloersoorten[],3,FALSE)*VLOOKUP($S351,Frequenties[],3,FALSE)*VLOOKUP($A351,Locaties[],3,FALSE),0)</f>
        <v>0</v>
      </c>
      <c r="V351" s="33">
        <f>Ruimtestaat[[#This Row],[Uitvoeringen werkdagen]]*Ruimtestaat[[#This Row],[Oppervlak (netto)]]</f>
        <v>10600</v>
      </c>
      <c r="W351" s="154">
        <f>IF(U351&gt;0,Ruimtestaat[[#This Row],[Prest. (m2 /jaar) werkdagen]]/Ruimtestaat[[#This Row],[Norm (m2/uur) werkdagen]],0)</f>
        <v>0</v>
      </c>
      <c r="X351" s="155">
        <f>Ruimtestaat[[#This Row],[uren / jaar werkdagen]]*Tariefsopbouw!$E$35</f>
        <v>0</v>
      </c>
      <c r="Y351" s="33"/>
      <c r="Z351" s="33">
        <f>IF(Ruimtestaat[[#This Row],[Frequentie weekend]]&gt;0,VALUE(LEFT(Y351,1))*R351,0)</f>
        <v>0</v>
      </c>
      <c r="AA351" s="97">
        <f>IF($Z351&gt;0,VLOOKUP($J351,Ruimtegroepen[],3,FALSE)*VLOOKUP($L351,Vloersoorten[],3,FALSE)*VLOOKUP($Y351,Frequenties[],3,FALSE)*VLOOKUP(Ruimtestaat[[#This Row],[Code]],Locaties[],3,FALSE),0)</f>
        <v>0</v>
      </c>
      <c r="AB351" s="97">
        <f>Ruimtestaat[[#This Row],[Uitvoeringen weekend]]*Ruimtestaat[[#This Row],[Oppervlak (netto)]]</f>
        <v>0</v>
      </c>
      <c r="AC351" s="97">
        <f>IF(AA351&gt;0,Ruimtestaat[[#This Row],[Prest. (m2 /jaar) weekend]]/Ruimtestaat[[#This Row],[Norm (m2/uur) weekend]],0)</f>
        <v>0</v>
      </c>
      <c r="AD351" s="155">
        <f>Ruimtestaat[[#This Row],[uren / jaar weekend]]*Tariefsopbouw!$D$40</f>
        <v>0</v>
      </c>
      <c r="AE351" s="154">
        <f>Ruimtestaat[[#This Row],[Prest. (m2 /jaar) weekend]]+Ruimtestaat[[#This Row],[Prest. (m2 /jaar) werkdagen]]</f>
        <v>10600</v>
      </c>
      <c r="AF351" s="154">
        <f>Ruimtestaat[[#This Row],[uren / jaar weekend]]+Ruimtestaat[[#This Row],[uren / jaar werkdagen]]</f>
        <v>0</v>
      </c>
      <c r="AG351" s="69">
        <f>Ruimtestaat[[#This Row],[kosten / jaar weekend]]+Ruimtestaat[[#This Row],[kosten / jaar werkdagen]]</f>
        <v>0</v>
      </c>
      <c r="AH351" s="69"/>
      <c r="AI351" s="256" t="str">
        <f>IF(Ruimtestaat[[#This Row],[Frequentie werkdagen]]="","",_xlfn.CONCAT(Ruimtestaat[[#This Row],[Ruimte code]],"-",Ruimtestaat[[#This Row],[Frequentie werkdagen]]," ",Ruimtestaat[[#This Row],[Vloer code]]))</f>
        <v>7-5w L</v>
      </c>
      <c r="AJ351" s="300" t="str">
        <f>_xlfn.IFNA(VLOOKUP($AI351,Programma!$F$3:$G$1107,2,0),"")</f>
        <v>_</v>
      </c>
      <c r="AK351" s="300" t="str">
        <f>_xlfn.IFNA(VLOOKUP($AI351,Programma!$F$3:$H$1107,3,0),"")</f>
        <v>_</v>
      </c>
      <c r="AL351" s="300" t="str">
        <f>_xlfn.IFNA(VLOOKUP($AI351,Programma!$F$3:$I$1107,4,0),"")</f>
        <v>_</v>
      </c>
      <c r="AM351" s="300" t="str">
        <f>_xlfn.IFNA(VLOOKUP($AI351,Programma!$F$3:$J$1107,5,0),"")</f>
        <v>5w</v>
      </c>
      <c r="AN351" s="300" t="str">
        <f>_xlfn.IFNA(VLOOKUP($AI351,Programma!$F$3:$K$1107,6,0),"")</f>
        <v>_</v>
      </c>
      <c r="AO351" s="300" t="str">
        <f>_xlfn.IFNA(VLOOKUP($AI351,Programma!$F$3:$L$1107,7,0),"")</f>
        <v>_</v>
      </c>
      <c r="AP351" s="300" t="str">
        <f>_xlfn.IFNA(VLOOKUP($AI351,Programma!$F$3:$M$1107,8,0),"")</f>
        <v>_</v>
      </c>
      <c r="AQ351" s="300" t="str">
        <f>_xlfn.IFNA(VLOOKUP($AI351,Programma!$F$3:$N$1107,9,0),"")</f>
        <v>_</v>
      </c>
      <c r="AR351" s="300" t="str">
        <f>_xlfn.IFNA(VLOOKUP($AI351,Programma!$F$3:$O$1107,10,0),"")</f>
        <v>5w</v>
      </c>
      <c r="AS351" s="300" t="str">
        <f>_xlfn.IFNA(VLOOKUP($AI351,Programma!$F$3:$P$1107,11,0),"")</f>
        <v>5w</v>
      </c>
      <c r="AT351" s="300" t="str">
        <f>_xlfn.IFNA(VLOOKUP($AI351,Programma!$F$3:$Q$1107,12,0),"")</f>
        <v>1w</v>
      </c>
      <c r="AU351" s="300" t="str">
        <f>_xlfn.IFNA(VLOOKUP($AI351,Programma!$F$3:$R$1107,13,0),"")</f>
        <v>1w</v>
      </c>
      <c r="AV351" s="300" t="str">
        <f>_xlfn.IFNA(VLOOKUP($AI351,Programma!$F$3:$S$1107,14,0),"")</f>
        <v>1m</v>
      </c>
      <c r="AW351" s="300" t="str">
        <f>_xlfn.IFNA(VLOOKUP($AI351,Programma!$F$3:$T$1107,15,0),"")</f>
        <v>2j</v>
      </c>
      <c r="AX351" s="300" t="str">
        <f>_xlfn.IFNA(VLOOKUP($AI351,Programma!$F$3:$U$1107,16,0),"")</f>
        <v>1j</v>
      </c>
      <c r="AY351" s="300" t="str">
        <f>_xlfn.IFNA(VLOOKUP($AI351,Programma!$F$3:$V$1107,17,0),"")</f>
        <v>_</v>
      </c>
      <c r="AZ351" s="300" t="str">
        <f>_xlfn.IFNA(VLOOKUP($AI351,Programma!$F$3:$W$1107,18,0),"")</f>
        <v>_</v>
      </c>
      <c r="BA351" s="300" t="str">
        <f>_xlfn.IFNA(VLOOKUP($AI351,Programma!$F$3:$X$1107,19,0),"")</f>
        <v>_</v>
      </c>
      <c r="BB351" s="300" t="str">
        <f>_xlfn.IFNA(VLOOKUP($AI351,Programma!$F$3:$Y$1107,20,0),"")</f>
        <v>_</v>
      </c>
      <c r="BC351" s="257"/>
      <c r="BD351" s="256" t="str">
        <f>IF(Ruimtestaat[[#This Row],[Frequentie weekend]]="","",_xlfn.CONCAT(Ruimtestaat[[#This Row],[Ruimte code]],"-",Ruimtestaat[[#This Row],[Frequentie weekend]]," ",Ruimtestaat[[#This Row],[Vloer code]]))</f>
        <v/>
      </c>
      <c r="BE351" s="300" t="str">
        <f>_xlfn.IFNA(VLOOKUP($BD351,Programma!$F$3:$G$1107,2,0),"")</f>
        <v/>
      </c>
      <c r="BF351" s="300" t="str">
        <f>_xlfn.IFNA(VLOOKUP($BD351,Programma!$F$3:$H$1107,3,0),"")</f>
        <v/>
      </c>
      <c r="BG351" s="300" t="str">
        <f>_xlfn.IFNA(VLOOKUP($BD351,Programma!$F$3:$I$1107,4,0),"")</f>
        <v/>
      </c>
      <c r="BH351" s="300" t="str">
        <f>_xlfn.IFNA(VLOOKUP($BD351,Programma!$F$3:$J$1107,5,0),"")</f>
        <v/>
      </c>
      <c r="BI351" s="300" t="str">
        <f>_xlfn.IFNA(VLOOKUP($BD351,Programma!$F$3:$K$1107,6,0),"")</f>
        <v/>
      </c>
      <c r="BJ351" s="300" t="str">
        <f>_xlfn.IFNA(VLOOKUP($BD351,Programma!$F$3:$L$1107,7,0),"")</f>
        <v/>
      </c>
      <c r="BK351" s="300" t="str">
        <f>_xlfn.IFNA(VLOOKUP($BD351,Programma!$F$3:$M$1107,8,0),"")</f>
        <v/>
      </c>
      <c r="BL351" s="300" t="str">
        <f>_xlfn.IFNA(VLOOKUP($BD351,Programma!$F$3:$N$1107,9,0),"")</f>
        <v/>
      </c>
      <c r="BM351" s="300" t="str">
        <f>_xlfn.IFNA(VLOOKUP($BD351,Programma!$F$3:$O$1107,10,0),"")</f>
        <v/>
      </c>
      <c r="BN351" s="300" t="str">
        <f>_xlfn.IFNA(VLOOKUP($BD351,Programma!$F$3:$P$1107,11,0),"")</f>
        <v/>
      </c>
      <c r="BO351" s="300" t="str">
        <f>_xlfn.IFNA(VLOOKUP($BD351,Programma!$F$3:$Q$1107,12,0),"")</f>
        <v/>
      </c>
      <c r="BP351" s="300" t="str">
        <f>_xlfn.IFNA(VLOOKUP($BD351,Programma!$F$3:$R$1107,13,0),"")</f>
        <v/>
      </c>
      <c r="BQ351" s="300" t="str">
        <f>_xlfn.IFNA(VLOOKUP($BD351,Programma!$F$3:$S$1107,14,0),"")</f>
        <v/>
      </c>
      <c r="BR351" s="300" t="str">
        <f>_xlfn.IFNA(VLOOKUP($BD351,Programma!$F$3:$T$1107,15,0),"")</f>
        <v/>
      </c>
      <c r="BS351" s="300" t="str">
        <f>_xlfn.IFNA(VLOOKUP($BD351,Programma!$F$3:$U$1107,16,0),"")</f>
        <v/>
      </c>
      <c r="BT351" s="300" t="str">
        <f>_xlfn.IFNA(VLOOKUP($BD351,Programma!$F$3:$V$1107,17,0),"")</f>
        <v/>
      </c>
      <c r="BU351" s="300" t="str">
        <f>_xlfn.IFNA(VLOOKUP($BD351,Programma!$F$3:$W$1107,18,0),"")</f>
        <v/>
      </c>
      <c r="BV351" s="300" t="str">
        <f>_xlfn.IFNA(VLOOKUP($BD351,Programma!$F$3:$X$1107,19,0),"")</f>
        <v/>
      </c>
      <c r="BW351" s="300" t="str">
        <f>_xlfn.IFNA(VLOOKUP($BD351,Programma!$F$3:$Y$1107,20,0),"")</f>
        <v/>
      </c>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row>
    <row r="352" spans="1:220" ht="15" customHeight="1">
      <c r="A352" s="21">
        <v>5</v>
      </c>
      <c r="B352" s="157" t="str">
        <f>VLOOKUP(Ruimtestaat[[#This Row],[Code]],Locaties[[Code]:[Locatie]],2,FALSE)</f>
        <v>François Vatel vmbo</v>
      </c>
      <c r="C352" s="157" t="str">
        <f>VLOOKUP(Ruimtestaat[[#This Row],[Code]],Locaties[[#All],[Code]:[Adres]],4,FALSE)</f>
        <v>Granaathorst 20</v>
      </c>
      <c r="D352" s="157" t="str">
        <f>VLOOKUP(Ruimtestaat[[#This Row],[Code]],Locaties[[#All],[Code]:[Postcode]],5,FALSE)</f>
        <v>2592 TD</v>
      </c>
      <c r="E352" s="157" t="str">
        <f>VLOOKUP(Ruimtestaat[[#This Row],[Code]],Locaties[#All],6,FALSE)</f>
        <v>Den Haag</v>
      </c>
      <c r="F352" s="62"/>
      <c r="G352" s="21" t="s">
        <v>1632</v>
      </c>
      <c r="H352" s="21">
        <v>10</v>
      </c>
      <c r="I352" s="62" t="s">
        <v>2016</v>
      </c>
      <c r="J352" s="21">
        <v>6</v>
      </c>
      <c r="K352" s="62" t="str">
        <f>VLOOKUP(Ruimtestaat[[#This Row],[Ruimte code]],Ruimtegroepen[[#All],[Code]:[Ruimte omschrijving]],2,FALSE)</f>
        <v>Gangen/hallen</v>
      </c>
      <c r="L352" s="33" t="s">
        <v>101</v>
      </c>
      <c r="M352" s="367" t="s">
        <v>2495</v>
      </c>
      <c r="N352" s="140">
        <v>105</v>
      </c>
      <c r="O352" s="140"/>
      <c r="P352" s="125" t="str">
        <f>VLOOKUP(Ruimtestaat[[#This Row],[Ruimte code]],Ruimtegroepen[],4,FALSE)</f>
        <v>Ve</v>
      </c>
      <c r="R352" s="33">
        <v>40</v>
      </c>
      <c r="S352" s="33" t="s">
        <v>2</v>
      </c>
      <c r="T352" s="33">
        <f>IF(R352&gt;0,IF(RIGHT(Ruimtestaat[[#This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2" s="33">
        <f>IF(T352&gt;0,VLOOKUP($J352,Ruimtegroepen[],3,FALSE)*VLOOKUP($L352,Vloersoorten[],3,FALSE)*VLOOKUP($S352,Frequenties[],3,FALSE)*VLOOKUP($A352,Locaties[],3,FALSE),0)</f>
        <v>0</v>
      </c>
      <c r="V352" s="33">
        <f>Ruimtestaat[[#This Row],[Uitvoeringen werkdagen]]*Ruimtestaat[[#This Row],[Oppervlak (netto)]]</f>
        <v>21000</v>
      </c>
      <c r="W352" s="154">
        <f>IF(U352&gt;0,Ruimtestaat[[#This Row],[Prest. (m2 /jaar) werkdagen]]/Ruimtestaat[[#This Row],[Norm (m2/uur) werkdagen]],0)</f>
        <v>0</v>
      </c>
      <c r="X352" s="155">
        <f>Ruimtestaat[[#This Row],[uren / jaar werkdagen]]*Tariefsopbouw!$E$35</f>
        <v>0</v>
      </c>
      <c r="Y352" s="33"/>
      <c r="Z352" s="33">
        <f>IF(Ruimtestaat[[#This Row],[Frequentie weekend]]&gt;0,VALUE(LEFT(Y352,1))*R352,0)</f>
        <v>0</v>
      </c>
      <c r="AA352" s="97">
        <f>IF($Z352&gt;0,VLOOKUP($J352,Ruimtegroepen[],3,FALSE)*VLOOKUP($L352,Vloersoorten[],3,FALSE)*VLOOKUP($Y352,Frequenties[],3,FALSE)*VLOOKUP(Ruimtestaat[[#This Row],[Code]],Locaties[],3,FALSE),0)</f>
        <v>0</v>
      </c>
      <c r="AB352" s="97">
        <f>Ruimtestaat[[#This Row],[Uitvoeringen weekend]]*Ruimtestaat[[#This Row],[Oppervlak (netto)]]</f>
        <v>0</v>
      </c>
      <c r="AC352" s="97">
        <f>IF(AA352&gt;0,Ruimtestaat[[#This Row],[Prest. (m2 /jaar) weekend]]/Ruimtestaat[[#This Row],[Norm (m2/uur) weekend]],0)</f>
        <v>0</v>
      </c>
      <c r="AD352" s="155">
        <f>Ruimtestaat[[#This Row],[uren / jaar weekend]]*Tariefsopbouw!$D$40</f>
        <v>0</v>
      </c>
      <c r="AE352" s="154">
        <f>Ruimtestaat[[#This Row],[Prest. (m2 /jaar) weekend]]+Ruimtestaat[[#This Row],[Prest. (m2 /jaar) werkdagen]]</f>
        <v>21000</v>
      </c>
      <c r="AF352" s="154">
        <f>Ruimtestaat[[#This Row],[uren / jaar weekend]]+Ruimtestaat[[#This Row],[uren / jaar werkdagen]]</f>
        <v>0</v>
      </c>
      <c r="AG352" s="69">
        <f>Ruimtestaat[[#This Row],[kosten / jaar weekend]]+Ruimtestaat[[#This Row],[kosten / jaar werkdagen]]</f>
        <v>0</v>
      </c>
      <c r="AH352" s="69"/>
      <c r="AI352" s="256" t="str">
        <f>IF(Ruimtestaat[[#This Row],[Frequentie werkdagen]]="","",_xlfn.CONCAT(Ruimtestaat[[#This Row],[Ruimte code]],"-",Ruimtestaat[[#This Row],[Frequentie werkdagen]]," ",Ruimtestaat[[#This Row],[Vloer code]]))</f>
        <v>6-5w L</v>
      </c>
      <c r="AJ352" s="300" t="str">
        <f>_xlfn.IFNA(VLOOKUP($AI352,Programma!$F$3:$G$1107,2,0),"")</f>
        <v>_</v>
      </c>
      <c r="AK352" s="300" t="str">
        <f>_xlfn.IFNA(VLOOKUP($AI352,Programma!$F$3:$H$1107,3,0),"")</f>
        <v>_</v>
      </c>
      <c r="AL352" s="300" t="str">
        <f>_xlfn.IFNA(VLOOKUP($AI352,Programma!$F$3:$I$1107,4,0),"")</f>
        <v>_</v>
      </c>
      <c r="AM352" s="300" t="str">
        <f>_xlfn.IFNA(VLOOKUP($AI352,Programma!$F$3:$J$1107,5,0),"")</f>
        <v>5w</v>
      </c>
      <c r="AN352" s="300" t="str">
        <f>_xlfn.IFNA(VLOOKUP($AI352,Programma!$F$3:$K$1107,6,0),"")</f>
        <v>_</v>
      </c>
      <c r="AO352" s="300" t="str">
        <f>_xlfn.IFNA(VLOOKUP($AI352,Programma!$F$3:$L$1107,7,0),"")</f>
        <v>_</v>
      </c>
      <c r="AP352" s="300" t="str">
        <f>_xlfn.IFNA(VLOOKUP($AI352,Programma!$F$3:$M$1107,8,0),"")</f>
        <v>_</v>
      </c>
      <c r="AQ352" s="300" t="str">
        <f>_xlfn.IFNA(VLOOKUP($AI352,Programma!$F$3:$N$1107,9,0),"")</f>
        <v>_</v>
      </c>
      <c r="AR352" s="300" t="str">
        <f>_xlfn.IFNA(VLOOKUP($AI352,Programma!$F$3:$O$1107,10,0),"")</f>
        <v>5w</v>
      </c>
      <c r="AS352" s="300" t="str">
        <f>_xlfn.IFNA(VLOOKUP($AI352,Programma!$F$3:$P$1107,11,0),"")</f>
        <v>5w</v>
      </c>
      <c r="AT352" s="300" t="str">
        <f>_xlfn.IFNA(VLOOKUP($AI352,Programma!$F$3:$Q$1107,12,0),"")</f>
        <v>1w</v>
      </c>
      <c r="AU352" s="300" t="str">
        <f>_xlfn.IFNA(VLOOKUP($AI352,Programma!$F$3:$R$1107,13,0),"")</f>
        <v>1w</v>
      </c>
      <c r="AV352" s="300" t="str">
        <f>_xlfn.IFNA(VLOOKUP($AI352,Programma!$F$3:$S$1107,14,0),"")</f>
        <v>1m</v>
      </c>
      <c r="AW352" s="300" t="str">
        <f>_xlfn.IFNA(VLOOKUP($AI352,Programma!$F$3:$T$1107,15,0),"")</f>
        <v>2j</v>
      </c>
      <c r="AX352" s="300" t="str">
        <f>_xlfn.IFNA(VLOOKUP($AI352,Programma!$F$3:$U$1107,16,0),"")</f>
        <v>1j</v>
      </c>
      <c r="AY352" s="300" t="str">
        <f>_xlfn.IFNA(VLOOKUP($AI352,Programma!$F$3:$V$1107,17,0),"")</f>
        <v>_</v>
      </c>
      <c r="AZ352" s="300" t="str">
        <f>_xlfn.IFNA(VLOOKUP($AI352,Programma!$F$3:$W$1107,18,0),"")</f>
        <v>_</v>
      </c>
      <c r="BA352" s="300" t="str">
        <f>_xlfn.IFNA(VLOOKUP($AI352,Programma!$F$3:$X$1107,19,0),"")</f>
        <v>_</v>
      </c>
      <c r="BB352" s="300" t="str">
        <f>_xlfn.IFNA(VLOOKUP($AI352,Programma!$F$3:$Y$1107,20,0),"")</f>
        <v>_</v>
      </c>
      <c r="BC352" s="257"/>
      <c r="BD352" s="256" t="str">
        <f>IF(Ruimtestaat[[#This Row],[Frequentie weekend]]="","",_xlfn.CONCAT(Ruimtestaat[[#This Row],[Ruimte code]],"-",Ruimtestaat[[#This Row],[Frequentie weekend]]," ",Ruimtestaat[[#This Row],[Vloer code]]))</f>
        <v/>
      </c>
      <c r="BE352" s="300" t="str">
        <f>_xlfn.IFNA(VLOOKUP($BD352,Programma!$F$3:$G$1107,2,0),"")</f>
        <v/>
      </c>
      <c r="BF352" s="300" t="str">
        <f>_xlfn.IFNA(VLOOKUP($BD352,Programma!$F$3:$H$1107,3,0),"")</f>
        <v/>
      </c>
      <c r="BG352" s="300" t="str">
        <f>_xlfn.IFNA(VLOOKUP($BD352,Programma!$F$3:$I$1107,4,0),"")</f>
        <v/>
      </c>
      <c r="BH352" s="300" t="str">
        <f>_xlfn.IFNA(VLOOKUP($BD352,Programma!$F$3:$J$1107,5,0),"")</f>
        <v/>
      </c>
      <c r="BI352" s="300" t="str">
        <f>_xlfn.IFNA(VLOOKUP($BD352,Programma!$F$3:$K$1107,6,0),"")</f>
        <v/>
      </c>
      <c r="BJ352" s="300" t="str">
        <f>_xlfn.IFNA(VLOOKUP($BD352,Programma!$F$3:$L$1107,7,0),"")</f>
        <v/>
      </c>
      <c r="BK352" s="300" t="str">
        <f>_xlfn.IFNA(VLOOKUP($BD352,Programma!$F$3:$M$1107,8,0),"")</f>
        <v/>
      </c>
      <c r="BL352" s="300" t="str">
        <f>_xlfn.IFNA(VLOOKUP($BD352,Programma!$F$3:$N$1107,9,0),"")</f>
        <v/>
      </c>
      <c r="BM352" s="300" t="str">
        <f>_xlfn.IFNA(VLOOKUP($BD352,Programma!$F$3:$O$1107,10,0),"")</f>
        <v/>
      </c>
      <c r="BN352" s="300" t="str">
        <f>_xlfn.IFNA(VLOOKUP($BD352,Programma!$F$3:$P$1107,11,0),"")</f>
        <v/>
      </c>
      <c r="BO352" s="300" t="str">
        <f>_xlfn.IFNA(VLOOKUP($BD352,Programma!$F$3:$Q$1107,12,0),"")</f>
        <v/>
      </c>
      <c r="BP352" s="300" t="str">
        <f>_xlfn.IFNA(VLOOKUP($BD352,Programma!$F$3:$R$1107,13,0),"")</f>
        <v/>
      </c>
      <c r="BQ352" s="300" t="str">
        <f>_xlfn.IFNA(VLOOKUP($BD352,Programma!$F$3:$S$1107,14,0),"")</f>
        <v/>
      </c>
      <c r="BR352" s="300" t="str">
        <f>_xlfn.IFNA(VLOOKUP($BD352,Programma!$F$3:$T$1107,15,0),"")</f>
        <v/>
      </c>
      <c r="BS352" s="300" t="str">
        <f>_xlfn.IFNA(VLOOKUP($BD352,Programma!$F$3:$U$1107,16,0),"")</f>
        <v/>
      </c>
      <c r="BT352" s="300" t="str">
        <f>_xlfn.IFNA(VLOOKUP($BD352,Programma!$F$3:$V$1107,17,0),"")</f>
        <v/>
      </c>
      <c r="BU352" s="300" t="str">
        <f>_xlfn.IFNA(VLOOKUP($BD352,Programma!$F$3:$W$1107,18,0),"")</f>
        <v/>
      </c>
      <c r="BV352" s="300" t="str">
        <f>_xlfn.IFNA(VLOOKUP($BD352,Programma!$F$3:$X$1107,19,0),"")</f>
        <v/>
      </c>
      <c r="BW352" s="300" t="str">
        <f>_xlfn.IFNA(VLOOKUP($BD352,Programma!$F$3:$Y$1107,20,0),"")</f>
        <v/>
      </c>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row>
    <row r="353" spans="1:220" ht="15" customHeight="1">
      <c r="A353" s="21">
        <v>5</v>
      </c>
      <c r="B353" s="157" t="str">
        <f>VLOOKUP(Ruimtestaat[[#This Row],[Code]],Locaties[[Code]:[Locatie]],2,FALSE)</f>
        <v>François Vatel vmbo</v>
      </c>
      <c r="C353" s="157" t="str">
        <f>VLOOKUP(Ruimtestaat[[#This Row],[Code]],Locaties[[#All],[Code]:[Adres]],4,FALSE)</f>
        <v>Granaathorst 20</v>
      </c>
      <c r="D353" s="157" t="str">
        <f>VLOOKUP(Ruimtestaat[[#This Row],[Code]],Locaties[[#All],[Code]:[Postcode]],5,FALSE)</f>
        <v>2592 TD</v>
      </c>
      <c r="E353" s="157" t="str">
        <f>VLOOKUP(Ruimtestaat[[#This Row],[Code]],Locaties[#All],6,FALSE)</f>
        <v>Den Haag</v>
      </c>
      <c r="F353" s="62"/>
      <c r="G353" s="21" t="s">
        <v>1632</v>
      </c>
      <c r="H353" s="21">
        <v>11</v>
      </c>
      <c r="I353" s="62" t="s">
        <v>2017</v>
      </c>
      <c r="J353" s="21">
        <v>11</v>
      </c>
      <c r="K353" s="62" t="str">
        <f>VLOOKUP(Ruimtestaat[[#This Row],[Ruimte code]],Ruimtegroepen[[#All],[Code]:[Ruimte omschrijving]],2,FALSE)</f>
        <v>Kooklokaal/leskeuken</v>
      </c>
      <c r="L353" s="33" t="s">
        <v>103</v>
      </c>
      <c r="M353" s="367" t="s">
        <v>2497</v>
      </c>
      <c r="N353" s="140">
        <v>89</v>
      </c>
      <c r="O353" s="140"/>
      <c r="P353" s="125" t="str">
        <f>VLOOKUP(Ruimtestaat[[#This Row],[Ruimte code]],Ruimtegroepen[],4,FALSE)</f>
        <v>Le</v>
      </c>
      <c r="R353" s="33">
        <v>40</v>
      </c>
      <c r="S353" s="33" t="s">
        <v>2</v>
      </c>
      <c r="T353" s="33">
        <f>IF(R353&gt;0,IF(RIGHT(Ruimtestaat[[#This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3" s="33">
        <f>IF(T353&gt;0,VLOOKUP($J353,Ruimtegroepen[],3,FALSE)*VLOOKUP($L353,Vloersoorten[],3,FALSE)*VLOOKUP($S353,Frequenties[],3,FALSE)*VLOOKUP($A353,Locaties[],3,FALSE),0)</f>
        <v>0</v>
      </c>
      <c r="V353" s="33">
        <f>Ruimtestaat[[#This Row],[Uitvoeringen werkdagen]]*Ruimtestaat[[#This Row],[Oppervlak (netto)]]</f>
        <v>17800</v>
      </c>
      <c r="W353" s="154">
        <f>IF(U353&gt;0,Ruimtestaat[[#This Row],[Prest. (m2 /jaar) werkdagen]]/Ruimtestaat[[#This Row],[Norm (m2/uur) werkdagen]],0)</f>
        <v>0</v>
      </c>
      <c r="X353" s="155">
        <f>Ruimtestaat[[#This Row],[uren / jaar werkdagen]]*Tariefsopbouw!$E$35</f>
        <v>0</v>
      </c>
      <c r="Y353" s="33"/>
      <c r="Z353" s="33">
        <f>IF(Ruimtestaat[[#This Row],[Frequentie weekend]]&gt;0,VALUE(LEFT(Y353,1))*R353,0)</f>
        <v>0</v>
      </c>
      <c r="AA353" s="97">
        <f>IF($Z353&gt;0,VLOOKUP($J353,Ruimtegroepen[],3,FALSE)*VLOOKUP($L353,Vloersoorten[],3,FALSE)*VLOOKUP($Y353,Frequenties[],3,FALSE)*VLOOKUP(Ruimtestaat[[#This Row],[Code]],Locaties[],3,FALSE),0)</f>
        <v>0</v>
      </c>
      <c r="AB353" s="97">
        <f>Ruimtestaat[[#This Row],[Uitvoeringen weekend]]*Ruimtestaat[[#This Row],[Oppervlak (netto)]]</f>
        <v>0</v>
      </c>
      <c r="AC353" s="97">
        <f>IF(AA353&gt;0,Ruimtestaat[[#This Row],[Prest. (m2 /jaar) weekend]]/Ruimtestaat[[#This Row],[Norm (m2/uur) weekend]],0)</f>
        <v>0</v>
      </c>
      <c r="AD353" s="155">
        <f>Ruimtestaat[[#This Row],[uren / jaar weekend]]*Tariefsopbouw!$D$40</f>
        <v>0</v>
      </c>
      <c r="AE353" s="154">
        <f>Ruimtestaat[[#This Row],[Prest. (m2 /jaar) weekend]]+Ruimtestaat[[#This Row],[Prest. (m2 /jaar) werkdagen]]</f>
        <v>17800</v>
      </c>
      <c r="AF353" s="154">
        <f>Ruimtestaat[[#This Row],[uren / jaar weekend]]+Ruimtestaat[[#This Row],[uren / jaar werkdagen]]</f>
        <v>0</v>
      </c>
      <c r="AG353" s="69">
        <f>Ruimtestaat[[#This Row],[kosten / jaar weekend]]+Ruimtestaat[[#This Row],[kosten / jaar werkdagen]]</f>
        <v>0</v>
      </c>
      <c r="AH353" s="69"/>
      <c r="AI353" s="256" t="str">
        <f>IF(Ruimtestaat[[#This Row],[Frequentie werkdagen]]="","",_xlfn.CONCAT(Ruimtestaat[[#This Row],[Ruimte code]],"-",Ruimtestaat[[#This Row],[Frequentie werkdagen]]," ",Ruimtestaat[[#This Row],[Vloer code]]))</f>
        <v>11-5w P</v>
      </c>
      <c r="AJ353" s="300" t="str">
        <f>_xlfn.IFNA(VLOOKUP($AI353,Programma!$F$3:$G$1107,2,0),"")</f>
        <v>_</v>
      </c>
      <c r="AK353" s="300" t="str">
        <f>_xlfn.IFNA(VLOOKUP($AI353,Programma!$F$3:$H$1107,3,0),"")</f>
        <v>_</v>
      </c>
      <c r="AL353" s="300" t="str">
        <f>_xlfn.IFNA(VLOOKUP($AI353,Programma!$F$3:$I$1107,4,0),"")</f>
        <v>5w</v>
      </c>
      <c r="AM353" s="300" t="str">
        <f>_xlfn.IFNA(VLOOKUP($AI353,Programma!$F$3:$J$1107,5,0),"")</f>
        <v>_</v>
      </c>
      <c r="AN353" s="300" t="str">
        <f>_xlfn.IFNA(VLOOKUP($AI353,Programma!$F$3:$K$1107,6,0),"")</f>
        <v>5w</v>
      </c>
      <c r="AO353" s="300" t="str">
        <f>_xlfn.IFNA(VLOOKUP($AI353,Programma!$F$3:$L$1107,7,0),"")</f>
        <v>_</v>
      </c>
      <c r="AP353" s="300" t="str">
        <f>_xlfn.IFNA(VLOOKUP($AI353,Programma!$F$3:$M$1107,8,0),"")</f>
        <v>_</v>
      </c>
      <c r="AQ353" s="300" t="str">
        <f>_xlfn.IFNA(VLOOKUP($AI353,Programma!$F$3:$N$1107,9,0),"")</f>
        <v>_</v>
      </c>
      <c r="AR353" s="300" t="str">
        <f>_xlfn.IFNA(VLOOKUP($AI353,Programma!$F$3:$O$1107,10,0),"")</f>
        <v>5w</v>
      </c>
      <c r="AS353" s="300" t="str">
        <f>_xlfn.IFNA(VLOOKUP($AI353,Programma!$F$3:$P$1107,11,0),"")</f>
        <v>5w</v>
      </c>
      <c r="AT353" s="300" t="str">
        <f>_xlfn.IFNA(VLOOKUP($AI353,Programma!$F$3:$Q$1107,12,0),"")</f>
        <v>1w</v>
      </c>
      <c r="AU353" s="300" t="str">
        <f>_xlfn.IFNA(VLOOKUP($AI353,Programma!$F$3:$R$1107,13,0),"")</f>
        <v>1w</v>
      </c>
      <c r="AV353" s="300" t="str">
        <f>_xlfn.IFNA(VLOOKUP($AI353,Programma!$F$3:$S$1107,14,0),"")</f>
        <v>1m</v>
      </c>
      <c r="AW353" s="300" t="str">
        <f>_xlfn.IFNA(VLOOKUP($AI353,Programma!$F$3:$T$1107,15,0),"")</f>
        <v>2j</v>
      </c>
      <c r="AX353" s="300" t="str">
        <f>_xlfn.IFNA(VLOOKUP($AI353,Programma!$F$3:$U$1107,16,0),"")</f>
        <v>1j</v>
      </c>
      <c r="AY353" s="300" t="str">
        <f>_xlfn.IFNA(VLOOKUP($AI353,Programma!$F$3:$V$1107,17,0),"")</f>
        <v>_</v>
      </c>
      <c r="AZ353" s="300" t="str">
        <f>_xlfn.IFNA(VLOOKUP($AI353,Programma!$F$3:$W$1107,18,0),"")</f>
        <v>_</v>
      </c>
      <c r="BA353" s="300" t="str">
        <f>_xlfn.IFNA(VLOOKUP($AI353,Programma!$F$3:$X$1107,19,0),"")</f>
        <v>_</v>
      </c>
      <c r="BB353" s="300" t="str">
        <f>_xlfn.IFNA(VLOOKUP($AI353,Programma!$F$3:$Y$1107,20,0),"")</f>
        <v>_</v>
      </c>
      <c r="BC353" s="257"/>
      <c r="BD353" s="256" t="str">
        <f>IF(Ruimtestaat[[#This Row],[Frequentie weekend]]="","",_xlfn.CONCAT(Ruimtestaat[[#This Row],[Ruimte code]],"-",Ruimtestaat[[#This Row],[Frequentie weekend]]," ",Ruimtestaat[[#This Row],[Vloer code]]))</f>
        <v/>
      </c>
      <c r="BE353" s="300" t="str">
        <f>_xlfn.IFNA(VLOOKUP($BD353,Programma!$F$3:$G$1107,2,0),"")</f>
        <v/>
      </c>
      <c r="BF353" s="300" t="str">
        <f>_xlfn.IFNA(VLOOKUP($BD353,Programma!$F$3:$H$1107,3,0),"")</f>
        <v/>
      </c>
      <c r="BG353" s="300" t="str">
        <f>_xlfn.IFNA(VLOOKUP($BD353,Programma!$F$3:$I$1107,4,0),"")</f>
        <v/>
      </c>
      <c r="BH353" s="300" t="str">
        <f>_xlfn.IFNA(VLOOKUP($BD353,Programma!$F$3:$J$1107,5,0),"")</f>
        <v/>
      </c>
      <c r="BI353" s="300" t="str">
        <f>_xlfn.IFNA(VLOOKUP($BD353,Programma!$F$3:$K$1107,6,0),"")</f>
        <v/>
      </c>
      <c r="BJ353" s="300" t="str">
        <f>_xlfn.IFNA(VLOOKUP($BD353,Programma!$F$3:$L$1107,7,0),"")</f>
        <v/>
      </c>
      <c r="BK353" s="300" t="str">
        <f>_xlfn.IFNA(VLOOKUP($BD353,Programma!$F$3:$M$1107,8,0),"")</f>
        <v/>
      </c>
      <c r="BL353" s="300" t="str">
        <f>_xlfn.IFNA(VLOOKUP($BD353,Programma!$F$3:$N$1107,9,0),"")</f>
        <v/>
      </c>
      <c r="BM353" s="300" t="str">
        <f>_xlfn.IFNA(VLOOKUP($BD353,Programma!$F$3:$O$1107,10,0),"")</f>
        <v/>
      </c>
      <c r="BN353" s="300" t="str">
        <f>_xlfn.IFNA(VLOOKUP($BD353,Programma!$F$3:$P$1107,11,0),"")</f>
        <v/>
      </c>
      <c r="BO353" s="300" t="str">
        <f>_xlfn.IFNA(VLOOKUP($BD353,Programma!$F$3:$Q$1107,12,0),"")</f>
        <v/>
      </c>
      <c r="BP353" s="300" t="str">
        <f>_xlfn.IFNA(VLOOKUP($BD353,Programma!$F$3:$R$1107,13,0),"")</f>
        <v/>
      </c>
      <c r="BQ353" s="300" t="str">
        <f>_xlfn.IFNA(VLOOKUP($BD353,Programma!$F$3:$S$1107,14,0),"")</f>
        <v/>
      </c>
      <c r="BR353" s="300" t="str">
        <f>_xlfn.IFNA(VLOOKUP($BD353,Programma!$F$3:$T$1107,15,0),"")</f>
        <v/>
      </c>
      <c r="BS353" s="300" t="str">
        <f>_xlfn.IFNA(VLOOKUP($BD353,Programma!$F$3:$U$1107,16,0),"")</f>
        <v/>
      </c>
      <c r="BT353" s="300" t="str">
        <f>_xlfn.IFNA(VLOOKUP($BD353,Programma!$F$3:$V$1107,17,0),"")</f>
        <v/>
      </c>
      <c r="BU353" s="300" t="str">
        <f>_xlfn.IFNA(VLOOKUP($BD353,Programma!$F$3:$W$1107,18,0),"")</f>
        <v/>
      </c>
      <c r="BV353" s="300" t="str">
        <f>_xlfn.IFNA(VLOOKUP($BD353,Programma!$F$3:$X$1107,19,0),"")</f>
        <v/>
      </c>
      <c r="BW353" s="300" t="str">
        <f>_xlfn.IFNA(VLOOKUP($BD353,Programma!$F$3:$Y$1107,20,0),"")</f>
        <v/>
      </c>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c r="HL353" s="4"/>
    </row>
    <row r="354" spans="1:220" ht="15" customHeight="1">
      <c r="A354" s="21">
        <v>5</v>
      </c>
      <c r="B354" s="157" t="str">
        <f>VLOOKUP(Ruimtestaat[[#This Row],[Code]],Locaties[[Code]:[Locatie]],2,FALSE)</f>
        <v>François Vatel vmbo</v>
      </c>
      <c r="C354" s="157" t="str">
        <f>VLOOKUP(Ruimtestaat[[#This Row],[Code]],Locaties[[#All],[Code]:[Adres]],4,FALSE)</f>
        <v>Granaathorst 20</v>
      </c>
      <c r="D354" s="157" t="str">
        <f>VLOOKUP(Ruimtestaat[[#This Row],[Code]],Locaties[[#All],[Code]:[Postcode]],5,FALSE)</f>
        <v>2592 TD</v>
      </c>
      <c r="E354" s="157" t="str">
        <f>VLOOKUP(Ruimtestaat[[#This Row],[Code]],Locaties[#All],6,FALSE)</f>
        <v>Den Haag</v>
      </c>
      <c r="F354" s="62"/>
      <c r="G354" s="21" t="s">
        <v>1632</v>
      </c>
      <c r="H354" s="21">
        <v>12</v>
      </c>
      <c r="I354" s="62" t="s">
        <v>2018</v>
      </c>
      <c r="J354" s="21">
        <v>11</v>
      </c>
      <c r="K354" s="62" t="str">
        <f>VLOOKUP(Ruimtestaat[[#This Row],[Ruimte code]],Ruimtegroepen[[#All],[Code]:[Ruimte omschrijving]],2,FALSE)</f>
        <v>Kooklokaal/leskeuken</v>
      </c>
      <c r="L354" s="33" t="s">
        <v>103</v>
      </c>
      <c r="M354" s="367" t="s">
        <v>2497</v>
      </c>
      <c r="N354" s="140">
        <v>130</v>
      </c>
      <c r="O354" s="140"/>
      <c r="P354" s="125" t="str">
        <f>VLOOKUP(Ruimtestaat[[#This Row],[Ruimte code]],Ruimtegroepen[],4,FALSE)</f>
        <v>Le</v>
      </c>
      <c r="R354" s="33">
        <v>40</v>
      </c>
      <c r="S354" s="33" t="s">
        <v>2</v>
      </c>
      <c r="T354" s="33">
        <f>IF(R354&gt;0,IF(RIGHT(Ruimtestaat[[#This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4" s="33">
        <f>IF(T354&gt;0,VLOOKUP($J354,Ruimtegroepen[],3,FALSE)*VLOOKUP($L354,Vloersoorten[],3,FALSE)*VLOOKUP($S354,Frequenties[],3,FALSE)*VLOOKUP($A354,Locaties[],3,FALSE),0)</f>
        <v>0</v>
      </c>
      <c r="V354" s="33">
        <f>Ruimtestaat[[#This Row],[Uitvoeringen werkdagen]]*Ruimtestaat[[#This Row],[Oppervlak (netto)]]</f>
        <v>26000</v>
      </c>
      <c r="W354" s="154">
        <f>IF(U354&gt;0,Ruimtestaat[[#This Row],[Prest. (m2 /jaar) werkdagen]]/Ruimtestaat[[#This Row],[Norm (m2/uur) werkdagen]],0)</f>
        <v>0</v>
      </c>
      <c r="X354" s="155">
        <f>Ruimtestaat[[#This Row],[uren / jaar werkdagen]]*Tariefsopbouw!$E$35</f>
        <v>0</v>
      </c>
      <c r="Y354" s="33"/>
      <c r="Z354" s="33">
        <f>IF(Ruimtestaat[[#This Row],[Frequentie weekend]]&gt;0,VALUE(LEFT(Y354,1))*R354,0)</f>
        <v>0</v>
      </c>
      <c r="AA354" s="97">
        <f>IF($Z354&gt;0,VLOOKUP($J354,Ruimtegroepen[],3,FALSE)*VLOOKUP($L354,Vloersoorten[],3,FALSE)*VLOOKUP($Y354,Frequenties[],3,FALSE)*VLOOKUP(Ruimtestaat[[#This Row],[Code]],Locaties[],3,FALSE),0)</f>
        <v>0</v>
      </c>
      <c r="AB354" s="97">
        <f>Ruimtestaat[[#This Row],[Uitvoeringen weekend]]*Ruimtestaat[[#This Row],[Oppervlak (netto)]]</f>
        <v>0</v>
      </c>
      <c r="AC354" s="97">
        <f>IF(AA354&gt;0,Ruimtestaat[[#This Row],[Prest. (m2 /jaar) weekend]]/Ruimtestaat[[#This Row],[Norm (m2/uur) weekend]],0)</f>
        <v>0</v>
      </c>
      <c r="AD354" s="155">
        <f>Ruimtestaat[[#This Row],[uren / jaar weekend]]*Tariefsopbouw!$D$40</f>
        <v>0</v>
      </c>
      <c r="AE354" s="154">
        <f>Ruimtestaat[[#This Row],[Prest. (m2 /jaar) weekend]]+Ruimtestaat[[#This Row],[Prest. (m2 /jaar) werkdagen]]</f>
        <v>26000</v>
      </c>
      <c r="AF354" s="154">
        <f>Ruimtestaat[[#This Row],[uren / jaar weekend]]+Ruimtestaat[[#This Row],[uren / jaar werkdagen]]</f>
        <v>0</v>
      </c>
      <c r="AG354" s="69">
        <f>Ruimtestaat[[#This Row],[kosten / jaar weekend]]+Ruimtestaat[[#This Row],[kosten / jaar werkdagen]]</f>
        <v>0</v>
      </c>
      <c r="AH354" s="69"/>
      <c r="AI354" s="256" t="str">
        <f>IF(Ruimtestaat[[#This Row],[Frequentie werkdagen]]="","",_xlfn.CONCAT(Ruimtestaat[[#This Row],[Ruimte code]],"-",Ruimtestaat[[#This Row],[Frequentie werkdagen]]," ",Ruimtestaat[[#This Row],[Vloer code]]))</f>
        <v>11-5w P</v>
      </c>
      <c r="AJ354" s="300" t="str">
        <f>_xlfn.IFNA(VLOOKUP($AI354,Programma!$F$3:$G$1107,2,0),"")</f>
        <v>_</v>
      </c>
      <c r="AK354" s="300" t="str">
        <f>_xlfn.IFNA(VLOOKUP($AI354,Programma!$F$3:$H$1107,3,0),"")</f>
        <v>_</v>
      </c>
      <c r="AL354" s="300" t="str">
        <f>_xlfn.IFNA(VLOOKUP($AI354,Programma!$F$3:$I$1107,4,0),"")</f>
        <v>5w</v>
      </c>
      <c r="AM354" s="300" t="str">
        <f>_xlfn.IFNA(VLOOKUP($AI354,Programma!$F$3:$J$1107,5,0),"")</f>
        <v>_</v>
      </c>
      <c r="AN354" s="300" t="str">
        <f>_xlfn.IFNA(VLOOKUP($AI354,Programma!$F$3:$K$1107,6,0),"")</f>
        <v>5w</v>
      </c>
      <c r="AO354" s="300" t="str">
        <f>_xlfn.IFNA(VLOOKUP($AI354,Programma!$F$3:$L$1107,7,0),"")</f>
        <v>_</v>
      </c>
      <c r="AP354" s="300" t="str">
        <f>_xlfn.IFNA(VLOOKUP($AI354,Programma!$F$3:$M$1107,8,0),"")</f>
        <v>_</v>
      </c>
      <c r="AQ354" s="300" t="str">
        <f>_xlfn.IFNA(VLOOKUP($AI354,Programma!$F$3:$N$1107,9,0),"")</f>
        <v>_</v>
      </c>
      <c r="AR354" s="300" t="str">
        <f>_xlfn.IFNA(VLOOKUP($AI354,Programma!$F$3:$O$1107,10,0),"")</f>
        <v>5w</v>
      </c>
      <c r="AS354" s="300" t="str">
        <f>_xlfn.IFNA(VLOOKUP($AI354,Programma!$F$3:$P$1107,11,0),"")</f>
        <v>5w</v>
      </c>
      <c r="AT354" s="300" t="str">
        <f>_xlfn.IFNA(VLOOKUP($AI354,Programma!$F$3:$Q$1107,12,0),"")</f>
        <v>1w</v>
      </c>
      <c r="AU354" s="300" t="str">
        <f>_xlfn.IFNA(VLOOKUP($AI354,Programma!$F$3:$R$1107,13,0),"")</f>
        <v>1w</v>
      </c>
      <c r="AV354" s="300" t="str">
        <f>_xlfn.IFNA(VLOOKUP($AI354,Programma!$F$3:$S$1107,14,0),"")</f>
        <v>1m</v>
      </c>
      <c r="AW354" s="300" t="str">
        <f>_xlfn.IFNA(VLOOKUP($AI354,Programma!$F$3:$T$1107,15,0),"")</f>
        <v>2j</v>
      </c>
      <c r="AX354" s="300" t="str">
        <f>_xlfn.IFNA(VLOOKUP($AI354,Programma!$F$3:$U$1107,16,0),"")</f>
        <v>1j</v>
      </c>
      <c r="AY354" s="300" t="str">
        <f>_xlfn.IFNA(VLOOKUP($AI354,Programma!$F$3:$V$1107,17,0),"")</f>
        <v>_</v>
      </c>
      <c r="AZ354" s="300" t="str">
        <f>_xlfn.IFNA(VLOOKUP($AI354,Programma!$F$3:$W$1107,18,0),"")</f>
        <v>_</v>
      </c>
      <c r="BA354" s="300" t="str">
        <f>_xlfn.IFNA(VLOOKUP($AI354,Programma!$F$3:$X$1107,19,0),"")</f>
        <v>_</v>
      </c>
      <c r="BB354" s="300" t="str">
        <f>_xlfn.IFNA(VLOOKUP($AI354,Programma!$F$3:$Y$1107,20,0),"")</f>
        <v>_</v>
      </c>
      <c r="BC354" s="257"/>
      <c r="BD354" s="256" t="str">
        <f>IF(Ruimtestaat[[#This Row],[Frequentie weekend]]="","",_xlfn.CONCAT(Ruimtestaat[[#This Row],[Ruimte code]],"-",Ruimtestaat[[#This Row],[Frequentie weekend]]," ",Ruimtestaat[[#This Row],[Vloer code]]))</f>
        <v/>
      </c>
      <c r="BE354" s="300" t="str">
        <f>_xlfn.IFNA(VLOOKUP($BD354,Programma!$F$3:$G$1107,2,0),"")</f>
        <v/>
      </c>
      <c r="BF354" s="300" t="str">
        <f>_xlfn.IFNA(VLOOKUP($BD354,Programma!$F$3:$H$1107,3,0),"")</f>
        <v/>
      </c>
      <c r="BG354" s="300" t="str">
        <f>_xlfn.IFNA(VLOOKUP($BD354,Programma!$F$3:$I$1107,4,0),"")</f>
        <v/>
      </c>
      <c r="BH354" s="300" t="str">
        <f>_xlfn.IFNA(VLOOKUP($BD354,Programma!$F$3:$J$1107,5,0),"")</f>
        <v/>
      </c>
      <c r="BI354" s="300" t="str">
        <f>_xlfn.IFNA(VLOOKUP($BD354,Programma!$F$3:$K$1107,6,0),"")</f>
        <v/>
      </c>
      <c r="BJ354" s="300" t="str">
        <f>_xlfn.IFNA(VLOOKUP($BD354,Programma!$F$3:$L$1107,7,0),"")</f>
        <v/>
      </c>
      <c r="BK354" s="300" t="str">
        <f>_xlfn.IFNA(VLOOKUP($BD354,Programma!$F$3:$M$1107,8,0),"")</f>
        <v/>
      </c>
      <c r="BL354" s="300" t="str">
        <f>_xlfn.IFNA(VLOOKUP($BD354,Programma!$F$3:$N$1107,9,0),"")</f>
        <v/>
      </c>
      <c r="BM354" s="300" t="str">
        <f>_xlfn.IFNA(VLOOKUP($BD354,Programma!$F$3:$O$1107,10,0),"")</f>
        <v/>
      </c>
      <c r="BN354" s="300" t="str">
        <f>_xlfn.IFNA(VLOOKUP($BD354,Programma!$F$3:$P$1107,11,0),"")</f>
        <v/>
      </c>
      <c r="BO354" s="300" t="str">
        <f>_xlfn.IFNA(VLOOKUP($BD354,Programma!$F$3:$Q$1107,12,0),"")</f>
        <v/>
      </c>
      <c r="BP354" s="300" t="str">
        <f>_xlfn.IFNA(VLOOKUP($BD354,Programma!$F$3:$R$1107,13,0),"")</f>
        <v/>
      </c>
      <c r="BQ354" s="300" t="str">
        <f>_xlfn.IFNA(VLOOKUP($BD354,Programma!$F$3:$S$1107,14,0),"")</f>
        <v/>
      </c>
      <c r="BR354" s="300" t="str">
        <f>_xlfn.IFNA(VLOOKUP($BD354,Programma!$F$3:$T$1107,15,0),"")</f>
        <v/>
      </c>
      <c r="BS354" s="300" t="str">
        <f>_xlfn.IFNA(VLOOKUP($BD354,Programma!$F$3:$U$1107,16,0),"")</f>
        <v/>
      </c>
      <c r="BT354" s="300" t="str">
        <f>_xlfn.IFNA(VLOOKUP($BD354,Programma!$F$3:$V$1107,17,0),"")</f>
        <v/>
      </c>
      <c r="BU354" s="300" t="str">
        <f>_xlfn.IFNA(VLOOKUP($BD354,Programma!$F$3:$W$1107,18,0),"")</f>
        <v/>
      </c>
      <c r="BV354" s="300" t="str">
        <f>_xlfn.IFNA(VLOOKUP($BD354,Programma!$F$3:$X$1107,19,0),"")</f>
        <v/>
      </c>
      <c r="BW354" s="300" t="str">
        <f>_xlfn.IFNA(VLOOKUP($BD354,Programma!$F$3:$Y$1107,20,0),"")</f>
        <v/>
      </c>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row>
    <row r="355" spans="1:220" ht="15" customHeight="1">
      <c r="A355" s="21">
        <v>5</v>
      </c>
      <c r="B355" s="157" t="str">
        <f>VLOOKUP(Ruimtestaat[[#This Row],[Code]],Locaties[[Code]:[Locatie]],2,FALSE)</f>
        <v>François Vatel vmbo</v>
      </c>
      <c r="C355" s="157" t="str">
        <f>VLOOKUP(Ruimtestaat[[#This Row],[Code]],Locaties[[#All],[Code]:[Adres]],4,FALSE)</f>
        <v>Granaathorst 20</v>
      </c>
      <c r="D355" s="157" t="str">
        <f>VLOOKUP(Ruimtestaat[[#This Row],[Code]],Locaties[[#All],[Code]:[Postcode]],5,FALSE)</f>
        <v>2592 TD</v>
      </c>
      <c r="E355" s="157" t="str">
        <f>VLOOKUP(Ruimtestaat[[#This Row],[Code]],Locaties[#All],6,FALSE)</f>
        <v>Den Haag</v>
      </c>
      <c r="F355" s="62"/>
      <c r="G355" s="21" t="s">
        <v>1632</v>
      </c>
      <c r="H355" s="21">
        <v>13</v>
      </c>
      <c r="I355" s="62" t="s">
        <v>2019</v>
      </c>
      <c r="J355" s="21">
        <v>11</v>
      </c>
      <c r="K355" s="62" t="str">
        <f>VLOOKUP(Ruimtestaat[[#This Row],[Ruimte code]],Ruimtegroepen[[#All],[Code]:[Ruimte omschrijving]],2,FALSE)</f>
        <v>Kooklokaal/leskeuken</v>
      </c>
      <c r="L355" s="33" t="s">
        <v>103</v>
      </c>
      <c r="M355" s="367" t="s">
        <v>2497</v>
      </c>
      <c r="N355" s="140">
        <v>135</v>
      </c>
      <c r="O355" s="140"/>
      <c r="P355" s="125" t="str">
        <f>VLOOKUP(Ruimtestaat[[#This Row],[Ruimte code]],Ruimtegroepen[],4,FALSE)</f>
        <v>Le</v>
      </c>
      <c r="R355" s="33">
        <v>40</v>
      </c>
      <c r="S355" s="33" t="s">
        <v>2</v>
      </c>
      <c r="T355" s="33">
        <f>IF(R355&gt;0,IF(RIGHT(Ruimtestaat[[#This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5" s="33">
        <f>IF(T355&gt;0,VLOOKUP($J355,Ruimtegroepen[],3,FALSE)*VLOOKUP($L355,Vloersoorten[],3,FALSE)*VLOOKUP($S355,Frequenties[],3,FALSE)*VLOOKUP($A355,Locaties[],3,FALSE),0)</f>
        <v>0</v>
      </c>
      <c r="V355" s="33">
        <f>Ruimtestaat[[#This Row],[Uitvoeringen werkdagen]]*Ruimtestaat[[#This Row],[Oppervlak (netto)]]</f>
        <v>27000</v>
      </c>
      <c r="W355" s="154">
        <f>IF(U355&gt;0,Ruimtestaat[[#This Row],[Prest. (m2 /jaar) werkdagen]]/Ruimtestaat[[#This Row],[Norm (m2/uur) werkdagen]],0)</f>
        <v>0</v>
      </c>
      <c r="X355" s="155">
        <f>Ruimtestaat[[#This Row],[uren / jaar werkdagen]]*Tariefsopbouw!$E$35</f>
        <v>0</v>
      </c>
      <c r="Y355" s="33"/>
      <c r="Z355" s="33">
        <f>IF(Ruimtestaat[[#This Row],[Frequentie weekend]]&gt;0,VALUE(LEFT(Y355,1))*R355,0)</f>
        <v>0</v>
      </c>
      <c r="AA355" s="97">
        <f>IF($Z355&gt;0,VLOOKUP($J355,Ruimtegroepen[],3,FALSE)*VLOOKUP($L355,Vloersoorten[],3,FALSE)*VLOOKUP($Y355,Frequenties[],3,FALSE)*VLOOKUP(Ruimtestaat[[#This Row],[Code]],Locaties[],3,FALSE),0)</f>
        <v>0</v>
      </c>
      <c r="AB355" s="97">
        <f>Ruimtestaat[[#This Row],[Uitvoeringen weekend]]*Ruimtestaat[[#This Row],[Oppervlak (netto)]]</f>
        <v>0</v>
      </c>
      <c r="AC355" s="97">
        <f>IF(AA355&gt;0,Ruimtestaat[[#This Row],[Prest. (m2 /jaar) weekend]]/Ruimtestaat[[#This Row],[Norm (m2/uur) weekend]],0)</f>
        <v>0</v>
      </c>
      <c r="AD355" s="155">
        <f>Ruimtestaat[[#This Row],[uren / jaar weekend]]*Tariefsopbouw!$D$40</f>
        <v>0</v>
      </c>
      <c r="AE355" s="154">
        <f>Ruimtestaat[[#This Row],[Prest. (m2 /jaar) weekend]]+Ruimtestaat[[#This Row],[Prest. (m2 /jaar) werkdagen]]</f>
        <v>27000</v>
      </c>
      <c r="AF355" s="154">
        <f>Ruimtestaat[[#This Row],[uren / jaar weekend]]+Ruimtestaat[[#This Row],[uren / jaar werkdagen]]</f>
        <v>0</v>
      </c>
      <c r="AG355" s="69">
        <f>Ruimtestaat[[#This Row],[kosten / jaar weekend]]+Ruimtestaat[[#This Row],[kosten / jaar werkdagen]]</f>
        <v>0</v>
      </c>
      <c r="AH355" s="69"/>
      <c r="AI355" s="256" t="str">
        <f>IF(Ruimtestaat[[#This Row],[Frequentie werkdagen]]="","",_xlfn.CONCAT(Ruimtestaat[[#This Row],[Ruimte code]],"-",Ruimtestaat[[#This Row],[Frequentie werkdagen]]," ",Ruimtestaat[[#This Row],[Vloer code]]))</f>
        <v>11-5w P</v>
      </c>
      <c r="AJ355" s="300" t="str">
        <f>_xlfn.IFNA(VLOOKUP($AI355,Programma!$F$3:$G$1107,2,0),"")</f>
        <v>_</v>
      </c>
      <c r="AK355" s="300" t="str">
        <f>_xlfn.IFNA(VLOOKUP($AI355,Programma!$F$3:$H$1107,3,0),"")</f>
        <v>_</v>
      </c>
      <c r="AL355" s="300" t="str">
        <f>_xlfn.IFNA(VLOOKUP($AI355,Programma!$F$3:$I$1107,4,0),"")</f>
        <v>5w</v>
      </c>
      <c r="AM355" s="300" t="str">
        <f>_xlfn.IFNA(VLOOKUP($AI355,Programma!$F$3:$J$1107,5,0),"")</f>
        <v>_</v>
      </c>
      <c r="AN355" s="300" t="str">
        <f>_xlfn.IFNA(VLOOKUP($AI355,Programma!$F$3:$K$1107,6,0),"")</f>
        <v>5w</v>
      </c>
      <c r="AO355" s="300" t="str">
        <f>_xlfn.IFNA(VLOOKUP($AI355,Programma!$F$3:$L$1107,7,0),"")</f>
        <v>_</v>
      </c>
      <c r="AP355" s="300" t="str">
        <f>_xlfn.IFNA(VLOOKUP($AI355,Programma!$F$3:$M$1107,8,0),"")</f>
        <v>_</v>
      </c>
      <c r="AQ355" s="300" t="str">
        <f>_xlfn.IFNA(VLOOKUP($AI355,Programma!$F$3:$N$1107,9,0),"")</f>
        <v>_</v>
      </c>
      <c r="AR355" s="300" t="str">
        <f>_xlfn.IFNA(VLOOKUP($AI355,Programma!$F$3:$O$1107,10,0),"")</f>
        <v>5w</v>
      </c>
      <c r="AS355" s="300" t="str">
        <f>_xlfn.IFNA(VLOOKUP($AI355,Programma!$F$3:$P$1107,11,0),"")</f>
        <v>5w</v>
      </c>
      <c r="AT355" s="300" t="str">
        <f>_xlfn.IFNA(VLOOKUP($AI355,Programma!$F$3:$Q$1107,12,0),"")</f>
        <v>1w</v>
      </c>
      <c r="AU355" s="300" t="str">
        <f>_xlfn.IFNA(VLOOKUP($AI355,Programma!$F$3:$R$1107,13,0),"")</f>
        <v>1w</v>
      </c>
      <c r="AV355" s="300" t="str">
        <f>_xlfn.IFNA(VLOOKUP($AI355,Programma!$F$3:$S$1107,14,0),"")</f>
        <v>1m</v>
      </c>
      <c r="AW355" s="300" t="str">
        <f>_xlfn.IFNA(VLOOKUP($AI355,Programma!$F$3:$T$1107,15,0),"")</f>
        <v>2j</v>
      </c>
      <c r="AX355" s="300" t="str">
        <f>_xlfn.IFNA(VLOOKUP($AI355,Programma!$F$3:$U$1107,16,0),"")</f>
        <v>1j</v>
      </c>
      <c r="AY355" s="300" t="str">
        <f>_xlfn.IFNA(VLOOKUP($AI355,Programma!$F$3:$V$1107,17,0),"")</f>
        <v>_</v>
      </c>
      <c r="AZ355" s="300" t="str">
        <f>_xlfn.IFNA(VLOOKUP($AI355,Programma!$F$3:$W$1107,18,0),"")</f>
        <v>_</v>
      </c>
      <c r="BA355" s="300" t="str">
        <f>_xlfn.IFNA(VLOOKUP($AI355,Programma!$F$3:$X$1107,19,0),"")</f>
        <v>_</v>
      </c>
      <c r="BB355" s="300" t="str">
        <f>_xlfn.IFNA(VLOOKUP($AI355,Programma!$F$3:$Y$1107,20,0),"")</f>
        <v>_</v>
      </c>
      <c r="BC355" s="257"/>
      <c r="BD355" s="256" t="str">
        <f>IF(Ruimtestaat[[#This Row],[Frequentie weekend]]="","",_xlfn.CONCAT(Ruimtestaat[[#This Row],[Ruimte code]],"-",Ruimtestaat[[#This Row],[Frequentie weekend]]," ",Ruimtestaat[[#This Row],[Vloer code]]))</f>
        <v/>
      </c>
      <c r="BE355" s="300" t="str">
        <f>_xlfn.IFNA(VLOOKUP($BD355,Programma!$F$3:$G$1107,2,0),"")</f>
        <v/>
      </c>
      <c r="BF355" s="300" t="str">
        <f>_xlfn.IFNA(VLOOKUP($BD355,Programma!$F$3:$H$1107,3,0),"")</f>
        <v/>
      </c>
      <c r="BG355" s="300" t="str">
        <f>_xlfn.IFNA(VLOOKUP($BD355,Programma!$F$3:$I$1107,4,0),"")</f>
        <v/>
      </c>
      <c r="BH355" s="300" t="str">
        <f>_xlfn.IFNA(VLOOKUP($BD355,Programma!$F$3:$J$1107,5,0),"")</f>
        <v/>
      </c>
      <c r="BI355" s="300" t="str">
        <f>_xlfn.IFNA(VLOOKUP($BD355,Programma!$F$3:$K$1107,6,0),"")</f>
        <v/>
      </c>
      <c r="BJ355" s="300" t="str">
        <f>_xlfn.IFNA(VLOOKUP($BD355,Programma!$F$3:$L$1107,7,0),"")</f>
        <v/>
      </c>
      <c r="BK355" s="300" t="str">
        <f>_xlfn.IFNA(VLOOKUP($BD355,Programma!$F$3:$M$1107,8,0),"")</f>
        <v/>
      </c>
      <c r="BL355" s="300" t="str">
        <f>_xlfn.IFNA(VLOOKUP($BD355,Programma!$F$3:$N$1107,9,0),"")</f>
        <v/>
      </c>
      <c r="BM355" s="300" t="str">
        <f>_xlfn.IFNA(VLOOKUP($BD355,Programma!$F$3:$O$1107,10,0),"")</f>
        <v/>
      </c>
      <c r="BN355" s="300" t="str">
        <f>_xlfn.IFNA(VLOOKUP($BD355,Programma!$F$3:$P$1107,11,0),"")</f>
        <v/>
      </c>
      <c r="BO355" s="300" t="str">
        <f>_xlfn.IFNA(VLOOKUP($BD355,Programma!$F$3:$Q$1107,12,0),"")</f>
        <v/>
      </c>
      <c r="BP355" s="300" t="str">
        <f>_xlfn.IFNA(VLOOKUP($BD355,Programma!$F$3:$R$1107,13,0),"")</f>
        <v/>
      </c>
      <c r="BQ355" s="300" t="str">
        <f>_xlfn.IFNA(VLOOKUP($BD355,Programma!$F$3:$S$1107,14,0),"")</f>
        <v/>
      </c>
      <c r="BR355" s="300" t="str">
        <f>_xlfn.IFNA(VLOOKUP($BD355,Programma!$F$3:$T$1107,15,0),"")</f>
        <v/>
      </c>
      <c r="BS355" s="300" t="str">
        <f>_xlfn.IFNA(VLOOKUP($BD355,Programma!$F$3:$U$1107,16,0),"")</f>
        <v/>
      </c>
      <c r="BT355" s="300" t="str">
        <f>_xlfn.IFNA(VLOOKUP($BD355,Programma!$F$3:$V$1107,17,0),"")</f>
        <v/>
      </c>
      <c r="BU355" s="300" t="str">
        <f>_xlfn.IFNA(VLOOKUP($BD355,Programma!$F$3:$W$1107,18,0),"")</f>
        <v/>
      </c>
      <c r="BV355" s="300" t="str">
        <f>_xlfn.IFNA(VLOOKUP($BD355,Programma!$F$3:$X$1107,19,0),"")</f>
        <v/>
      </c>
      <c r="BW355" s="300" t="str">
        <f>_xlfn.IFNA(VLOOKUP($BD355,Programma!$F$3:$Y$1107,20,0),"")</f>
        <v/>
      </c>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row>
    <row r="356" spans="1:220" ht="15" customHeight="1">
      <c r="A356" s="21">
        <v>5</v>
      </c>
      <c r="B356" s="157" t="str">
        <f>VLOOKUP(Ruimtestaat[[#This Row],[Code]],Locaties[[Code]:[Locatie]],2,FALSE)</f>
        <v>François Vatel vmbo</v>
      </c>
      <c r="C356" s="157" t="str">
        <f>VLOOKUP(Ruimtestaat[[#This Row],[Code]],Locaties[[#All],[Code]:[Adres]],4,FALSE)</f>
        <v>Granaathorst 20</v>
      </c>
      <c r="D356" s="157" t="str">
        <f>VLOOKUP(Ruimtestaat[[#This Row],[Code]],Locaties[[#All],[Code]:[Postcode]],5,FALSE)</f>
        <v>2592 TD</v>
      </c>
      <c r="E356" s="157" t="str">
        <f>VLOOKUP(Ruimtestaat[[#This Row],[Code]],Locaties[#All],6,FALSE)</f>
        <v>Den Haag</v>
      </c>
      <c r="F356" s="62"/>
      <c r="G356" s="21" t="s">
        <v>1632</v>
      </c>
      <c r="H356" s="21">
        <v>14</v>
      </c>
      <c r="I356" s="62" t="s">
        <v>2020</v>
      </c>
      <c r="J356" s="21">
        <v>1</v>
      </c>
      <c r="K356" s="62" t="str">
        <f>VLOOKUP(Ruimtestaat[[#This Row],[Ruimte code]],Ruimtegroepen[[#All],[Code]:[Ruimte omschrijving]],2,FALSE)</f>
        <v>Magazijnen/bergingen</v>
      </c>
      <c r="L356" s="33" t="s">
        <v>103</v>
      </c>
      <c r="M356" s="367" t="s">
        <v>2497</v>
      </c>
      <c r="N356" s="140">
        <v>11</v>
      </c>
      <c r="O356" s="140"/>
      <c r="P356" s="125" t="str">
        <f>VLOOKUP(Ruimtestaat[[#This Row],[Ruimte code]],Ruimtegroepen[],4,FALSE)</f>
        <v>Ve</v>
      </c>
      <c r="R356" s="33">
        <v>40</v>
      </c>
      <c r="S356" s="33" t="s">
        <v>16</v>
      </c>
      <c r="T356" s="33">
        <f>IF(R356&gt;0,IF(RIGHT(Ruimtestaat[[#This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56" s="33">
        <f>IF(T356&gt;0,VLOOKUP($J356,Ruimtegroepen[],3,FALSE)*VLOOKUP($L356,Vloersoorten[],3,FALSE)*VLOOKUP($S356,Frequenties[],3,FALSE)*VLOOKUP($A356,Locaties[],3,FALSE),0)</f>
        <v>0</v>
      </c>
      <c r="V356" s="33">
        <f>Ruimtestaat[[#This Row],[Uitvoeringen werkdagen]]*Ruimtestaat[[#This Row],[Oppervlak (netto)]]</f>
        <v>132</v>
      </c>
      <c r="W356" s="154">
        <f>IF(U356&gt;0,Ruimtestaat[[#This Row],[Prest. (m2 /jaar) werkdagen]]/Ruimtestaat[[#This Row],[Norm (m2/uur) werkdagen]],0)</f>
        <v>0</v>
      </c>
      <c r="X356" s="155">
        <f>Ruimtestaat[[#This Row],[uren / jaar werkdagen]]*Tariefsopbouw!$E$35</f>
        <v>0</v>
      </c>
      <c r="Y356" s="33"/>
      <c r="Z356" s="33">
        <f>IF(Ruimtestaat[[#This Row],[Frequentie weekend]]&gt;0,VALUE(LEFT(Y356,1))*R356,0)</f>
        <v>0</v>
      </c>
      <c r="AA356" s="97">
        <f>IF($Z356&gt;0,VLOOKUP($J356,Ruimtegroepen[],3,FALSE)*VLOOKUP($L356,Vloersoorten[],3,FALSE)*VLOOKUP($Y356,Frequenties[],3,FALSE)*VLOOKUP(Ruimtestaat[[#This Row],[Code]],Locaties[],3,FALSE),0)</f>
        <v>0</v>
      </c>
      <c r="AB356" s="97">
        <f>Ruimtestaat[[#This Row],[Uitvoeringen weekend]]*Ruimtestaat[[#This Row],[Oppervlak (netto)]]</f>
        <v>0</v>
      </c>
      <c r="AC356" s="97">
        <f>IF(AA356&gt;0,Ruimtestaat[[#This Row],[Prest. (m2 /jaar) weekend]]/Ruimtestaat[[#This Row],[Norm (m2/uur) weekend]],0)</f>
        <v>0</v>
      </c>
      <c r="AD356" s="155">
        <f>Ruimtestaat[[#This Row],[uren / jaar weekend]]*Tariefsopbouw!$D$40</f>
        <v>0</v>
      </c>
      <c r="AE356" s="154">
        <f>Ruimtestaat[[#This Row],[Prest. (m2 /jaar) weekend]]+Ruimtestaat[[#This Row],[Prest. (m2 /jaar) werkdagen]]</f>
        <v>132</v>
      </c>
      <c r="AF356" s="154">
        <f>Ruimtestaat[[#This Row],[uren / jaar weekend]]+Ruimtestaat[[#This Row],[uren / jaar werkdagen]]</f>
        <v>0</v>
      </c>
      <c r="AG356" s="69">
        <f>Ruimtestaat[[#This Row],[kosten / jaar weekend]]+Ruimtestaat[[#This Row],[kosten / jaar werkdagen]]</f>
        <v>0</v>
      </c>
      <c r="AH356" s="69"/>
      <c r="AI356" s="256" t="str">
        <f>IF(Ruimtestaat[[#This Row],[Frequentie werkdagen]]="","",_xlfn.CONCAT(Ruimtestaat[[#This Row],[Ruimte code]],"-",Ruimtestaat[[#This Row],[Frequentie werkdagen]]," ",Ruimtestaat[[#This Row],[Vloer code]]))</f>
        <v>1-1m P</v>
      </c>
      <c r="AJ356" s="300" t="str">
        <f>_xlfn.IFNA(VLOOKUP($AI356,Programma!$F$3:$G$1107,2,0),"")</f>
        <v>_</v>
      </c>
      <c r="AK356" s="300" t="str">
        <f>_xlfn.IFNA(VLOOKUP($AI356,Programma!$F$3:$H$1107,3,0),"")</f>
        <v>_</v>
      </c>
      <c r="AL356" s="300" t="str">
        <f>_xlfn.IFNA(VLOOKUP($AI356,Programma!$F$3:$I$1107,4,0),"")</f>
        <v>1m</v>
      </c>
      <c r="AM356" s="300" t="str">
        <f>_xlfn.IFNA(VLOOKUP($AI356,Programma!$F$3:$J$1107,5,0),"")</f>
        <v>1m</v>
      </c>
      <c r="AN356" s="300" t="str">
        <f>_xlfn.IFNA(VLOOKUP($AI356,Programma!$F$3:$K$1107,6,0),"")</f>
        <v>1j</v>
      </c>
      <c r="AO356" s="300" t="str">
        <f>_xlfn.IFNA(VLOOKUP($AI356,Programma!$F$3:$L$1107,7,0),"")</f>
        <v>_</v>
      </c>
      <c r="AP356" s="300" t="str">
        <f>_xlfn.IFNA(VLOOKUP($AI356,Programma!$F$3:$M$1107,8,0),"")</f>
        <v>_</v>
      </c>
      <c r="AQ356" s="300" t="str">
        <f>_xlfn.IFNA(VLOOKUP($AI356,Programma!$F$3:$N$1107,9,0),"")</f>
        <v>_</v>
      </c>
      <c r="AR356" s="300" t="str">
        <f>_xlfn.IFNA(VLOOKUP($AI356,Programma!$F$3:$O$1107,10,0),"")</f>
        <v>_</v>
      </c>
      <c r="AS356" s="300" t="str">
        <f>_xlfn.IFNA(VLOOKUP($AI356,Programma!$F$3:$P$1107,11,0),"")</f>
        <v>_</v>
      </c>
      <c r="AT356" s="300" t="str">
        <f>_xlfn.IFNA(VLOOKUP($AI356,Programma!$F$3:$Q$1107,12,0),"")</f>
        <v>_</v>
      </c>
      <c r="AU356" s="300" t="str">
        <f>_xlfn.IFNA(VLOOKUP($AI356,Programma!$F$3:$R$1107,13,0),"")</f>
        <v>_</v>
      </c>
      <c r="AV356" s="300" t="str">
        <f>_xlfn.IFNA(VLOOKUP($AI356,Programma!$F$3:$S$1107,14,0),"")</f>
        <v>1m</v>
      </c>
      <c r="AW356" s="300" t="str">
        <f>_xlfn.IFNA(VLOOKUP($AI356,Programma!$F$3:$T$1107,15,0),"")</f>
        <v>4j</v>
      </c>
      <c r="AX356" s="300" t="str">
        <f>_xlfn.IFNA(VLOOKUP($AI356,Programma!$F$3:$U$1107,16,0),"")</f>
        <v>4j</v>
      </c>
      <c r="AY356" s="300" t="str">
        <f>_xlfn.IFNA(VLOOKUP($AI356,Programma!$F$3:$V$1107,17,0),"")</f>
        <v>_</v>
      </c>
      <c r="AZ356" s="300" t="str">
        <f>_xlfn.IFNA(VLOOKUP($AI356,Programma!$F$3:$W$1107,18,0),"")</f>
        <v>_</v>
      </c>
      <c r="BA356" s="300" t="str">
        <f>_xlfn.IFNA(VLOOKUP($AI356,Programma!$F$3:$X$1107,19,0),"")</f>
        <v>_</v>
      </c>
      <c r="BB356" s="300" t="str">
        <f>_xlfn.IFNA(VLOOKUP($AI356,Programma!$F$3:$Y$1107,20,0),"")</f>
        <v>_</v>
      </c>
      <c r="BC356" s="257"/>
      <c r="BD356" s="256" t="str">
        <f>IF(Ruimtestaat[[#This Row],[Frequentie weekend]]="","",_xlfn.CONCAT(Ruimtestaat[[#This Row],[Ruimte code]],"-",Ruimtestaat[[#This Row],[Frequentie weekend]]," ",Ruimtestaat[[#This Row],[Vloer code]]))</f>
        <v/>
      </c>
      <c r="BE356" s="300" t="str">
        <f>_xlfn.IFNA(VLOOKUP($BD356,Programma!$F$3:$G$1107,2,0),"")</f>
        <v/>
      </c>
      <c r="BF356" s="300" t="str">
        <f>_xlfn.IFNA(VLOOKUP($BD356,Programma!$F$3:$H$1107,3,0),"")</f>
        <v/>
      </c>
      <c r="BG356" s="300" t="str">
        <f>_xlfn.IFNA(VLOOKUP($BD356,Programma!$F$3:$I$1107,4,0),"")</f>
        <v/>
      </c>
      <c r="BH356" s="300" t="str">
        <f>_xlfn.IFNA(VLOOKUP($BD356,Programma!$F$3:$J$1107,5,0),"")</f>
        <v/>
      </c>
      <c r="BI356" s="300" t="str">
        <f>_xlfn.IFNA(VLOOKUP($BD356,Programma!$F$3:$K$1107,6,0),"")</f>
        <v/>
      </c>
      <c r="BJ356" s="300" t="str">
        <f>_xlfn.IFNA(VLOOKUP($BD356,Programma!$F$3:$L$1107,7,0),"")</f>
        <v/>
      </c>
      <c r="BK356" s="300" t="str">
        <f>_xlfn.IFNA(VLOOKUP($BD356,Programma!$F$3:$M$1107,8,0),"")</f>
        <v/>
      </c>
      <c r="BL356" s="300" t="str">
        <f>_xlfn.IFNA(VLOOKUP($BD356,Programma!$F$3:$N$1107,9,0),"")</f>
        <v/>
      </c>
      <c r="BM356" s="300" t="str">
        <f>_xlfn.IFNA(VLOOKUP($BD356,Programma!$F$3:$O$1107,10,0),"")</f>
        <v/>
      </c>
      <c r="BN356" s="300" t="str">
        <f>_xlfn.IFNA(VLOOKUP($BD356,Programma!$F$3:$P$1107,11,0),"")</f>
        <v/>
      </c>
      <c r="BO356" s="300" t="str">
        <f>_xlfn.IFNA(VLOOKUP($BD356,Programma!$F$3:$Q$1107,12,0),"")</f>
        <v/>
      </c>
      <c r="BP356" s="300" t="str">
        <f>_xlfn.IFNA(VLOOKUP($BD356,Programma!$F$3:$R$1107,13,0),"")</f>
        <v/>
      </c>
      <c r="BQ356" s="300" t="str">
        <f>_xlfn.IFNA(VLOOKUP($BD356,Programma!$F$3:$S$1107,14,0),"")</f>
        <v/>
      </c>
      <c r="BR356" s="300" t="str">
        <f>_xlfn.IFNA(VLOOKUP($BD356,Programma!$F$3:$T$1107,15,0),"")</f>
        <v/>
      </c>
      <c r="BS356" s="300" t="str">
        <f>_xlfn.IFNA(VLOOKUP($BD356,Programma!$F$3:$U$1107,16,0),"")</f>
        <v/>
      </c>
      <c r="BT356" s="300" t="str">
        <f>_xlfn.IFNA(VLOOKUP($BD356,Programma!$F$3:$V$1107,17,0),"")</f>
        <v/>
      </c>
      <c r="BU356" s="300" t="str">
        <f>_xlfn.IFNA(VLOOKUP($BD356,Programma!$F$3:$W$1107,18,0),"")</f>
        <v/>
      </c>
      <c r="BV356" s="300" t="str">
        <f>_xlfn.IFNA(VLOOKUP($BD356,Programma!$F$3:$X$1107,19,0),"")</f>
        <v/>
      </c>
      <c r="BW356" s="300" t="str">
        <f>_xlfn.IFNA(VLOOKUP($BD356,Programma!$F$3:$Y$1107,20,0),"")</f>
        <v/>
      </c>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row>
    <row r="357" spans="1:220" ht="15" customHeight="1">
      <c r="A357" s="21">
        <v>5</v>
      </c>
      <c r="B357" s="157" t="str">
        <f>VLOOKUP(Ruimtestaat[[#This Row],[Code]],Locaties[[Code]:[Locatie]],2,FALSE)</f>
        <v>François Vatel vmbo</v>
      </c>
      <c r="C357" s="157" t="str">
        <f>VLOOKUP(Ruimtestaat[[#This Row],[Code]],Locaties[[#All],[Code]:[Adres]],4,FALSE)</f>
        <v>Granaathorst 20</v>
      </c>
      <c r="D357" s="157" t="str">
        <f>VLOOKUP(Ruimtestaat[[#This Row],[Code]],Locaties[[#All],[Code]:[Postcode]],5,FALSE)</f>
        <v>2592 TD</v>
      </c>
      <c r="E357" s="157" t="str">
        <f>VLOOKUP(Ruimtestaat[[#This Row],[Code]],Locaties[#All],6,FALSE)</f>
        <v>Den Haag</v>
      </c>
      <c r="F357" s="62"/>
      <c r="G357" s="21" t="s">
        <v>1632</v>
      </c>
      <c r="H357" s="21">
        <v>15</v>
      </c>
      <c r="I357" s="62" t="s">
        <v>2021</v>
      </c>
      <c r="J357" s="21">
        <v>15</v>
      </c>
      <c r="K357" s="62" t="str">
        <f>VLOOKUP(Ruimtestaat[[#This Row],[Ruimte code]],Ruimtegroepen[[#All],[Code]:[Ruimte omschrijving]],2,FALSE)</f>
        <v>Keuken/pantry</v>
      </c>
      <c r="L357" s="33" t="s">
        <v>103</v>
      </c>
      <c r="M357" s="367" t="s">
        <v>2497</v>
      </c>
      <c r="N357" s="140">
        <v>8</v>
      </c>
      <c r="O357" s="140"/>
      <c r="P357" s="125" t="str">
        <f>VLOOKUP(Ruimtestaat[[#This Row],[Ruimte code]],Ruimtegroepen[],4,FALSE)</f>
        <v>Ve</v>
      </c>
      <c r="R357" s="33">
        <v>40</v>
      </c>
      <c r="S357" s="33" t="s">
        <v>2</v>
      </c>
      <c r="T357" s="33">
        <f>IF(R357&gt;0,IF(RIGHT(Ruimtestaat[[#This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7" s="33">
        <f>IF(T357&gt;0,VLOOKUP($J357,Ruimtegroepen[],3,FALSE)*VLOOKUP($L357,Vloersoorten[],3,FALSE)*VLOOKUP($S357,Frequenties[],3,FALSE)*VLOOKUP($A357,Locaties[],3,FALSE),0)</f>
        <v>0</v>
      </c>
      <c r="V357" s="33">
        <f>Ruimtestaat[[#This Row],[Uitvoeringen werkdagen]]*Ruimtestaat[[#This Row],[Oppervlak (netto)]]</f>
        <v>1600</v>
      </c>
      <c r="W357" s="154">
        <f>IF(U357&gt;0,Ruimtestaat[[#This Row],[Prest. (m2 /jaar) werkdagen]]/Ruimtestaat[[#This Row],[Norm (m2/uur) werkdagen]],0)</f>
        <v>0</v>
      </c>
      <c r="X357" s="155">
        <f>Ruimtestaat[[#This Row],[uren / jaar werkdagen]]*Tariefsopbouw!$E$35</f>
        <v>0</v>
      </c>
      <c r="Y357" s="33"/>
      <c r="Z357" s="33">
        <f>IF(Ruimtestaat[[#This Row],[Frequentie weekend]]&gt;0,VALUE(LEFT(Y357,1))*R357,0)</f>
        <v>0</v>
      </c>
      <c r="AA357" s="97">
        <f>IF($Z357&gt;0,VLOOKUP($J357,Ruimtegroepen[],3,FALSE)*VLOOKUP($L357,Vloersoorten[],3,FALSE)*VLOOKUP($Y357,Frequenties[],3,FALSE)*VLOOKUP(Ruimtestaat[[#This Row],[Code]],Locaties[],3,FALSE),0)</f>
        <v>0</v>
      </c>
      <c r="AB357" s="97">
        <f>Ruimtestaat[[#This Row],[Uitvoeringen weekend]]*Ruimtestaat[[#This Row],[Oppervlak (netto)]]</f>
        <v>0</v>
      </c>
      <c r="AC357" s="97">
        <f>IF(AA357&gt;0,Ruimtestaat[[#This Row],[Prest. (m2 /jaar) weekend]]/Ruimtestaat[[#This Row],[Norm (m2/uur) weekend]],0)</f>
        <v>0</v>
      </c>
      <c r="AD357" s="155">
        <f>Ruimtestaat[[#This Row],[uren / jaar weekend]]*Tariefsopbouw!$D$40</f>
        <v>0</v>
      </c>
      <c r="AE357" s="154">
        <f>Ruimtestaat[[#This Row],[Prest. (m2 /jaar) weekend]]+Ruimtestaat[[#This Row],[Prest. (m2 /jaar) werkdagen]]</f>
        <v>1600</v>
      </c>
      <c r="AF357" s="154">
        <f>Ruimtestaat[[#This Row],[uren / jaar weekend]]+Ruimtestaat[[#This Row],[uren / jaar werkdagen]]</f>
        <v>0</v>
      </c>
      <c r="AG357" s="69">
        <f>Ruimtestaat[[#This Row],[kosten / jaar weekend]]+Ruimtestaat[[#This Row],[kosten / jaar werkdagen]]</f>
        <v>0</v>
      </c>
      <c r="AH357" s="69"/>
      <c r="AI357" s="256" t="str">
        <f>IF(Ruimtestaat[[#This Row],[Frequentie werkdagen]]="","",_xlfn.CONCAT(Ruimtestaat[[#This Row],[Ruimte code]],"-",Ruimtestaat[[#This Row],[Frequentie werkdagen]]," ",Ruimtestaat[[#This Row],[Vloer code]]))</f>
        <v>15-5w P</v>
      </c>
      <c r="AJ357" s="300" t="str">
        <f>_xlfn.IFNA(VLOOKUP($AI357,Programma!$F$3:$G$1107,2,0),"")</f>
        <v>_</v>
      </c>
      <c r="AK357" s="300" t="str">
        <f>_xlfn.IFNA(VLOOKUP($AI357,Programma!$F$3:$H$1107,3,0),"")</f>
        <v>_</v>
      </c>
      <c r="AL357" s="300" t="str">
        <f>_xlfn.IFNA(VLOOKUP($AI357,Programma!$F$3:$I$1107,4,0),"")</f>
        <v>5w</v>
      </c>
      <c r="AM357" s="300" t="str">
        <f>_xlfn.IFNA(VLOOKUP($AI357,Programma!$F$3:$J$1107,5,0),"")</f>
        <v>_</v>
      </c>
      <c r="AN357" s="300" t="str">
        <f>_xlfn.IFNA(VLOOKUP($AI357,Programma!$F$3:$K$1107,6,0),"")</f>
        <v>5w</v>
      </c>
      <c r="AO357" s="300" t="str">
        <f>_xlfn.IFNA(VLOOKUP($AI357,Programma!$F$3:$L$1107,7,0),"")</f>
        <v>_</v>
      </c>
      <c r="AP357" s="300" t="str">
        <f>_xlfn.IFNA(VLOOKUP($AI357,Programma!$F$3:$M$1107,8,0),"")</f>
        <v>_</v>
      </c>
      <c r="AQ357" s="300" t="str">
        <f>_xlfn.IFNA(VLOOKUP($AI357,Programma!$F$3:$N$1107,9,0),"")</f>
        <v>_</v>
      </c>
      <c r="AR357" s="300" t="str">
        <f>_xlfn.IFNA(VLOOKUP($AI357,Programma!$F$3:$O$1107,10,0),"")</f>
        <v>5w</v>
      </c>
      <c r="AS357" s="300" t="str">
        <f>_xlfn.IFNA(VLOOKUP($AI357,Programma!$F$3:$P$1107,11,0),"")</f>
        <v>5w</v>
      </c>
      <c r="AT357" s="300" t="str">
        <f>_xlfn.IFNA(VLOOKUP($AI357,Programma!$F$3:$Q$1107,12,0),"")</f>
        <v>1w</v>
      </c>
      <c r="AU357" s="300" t="str">
        <f>_xlfn.IFNA(VLOOKUP($AI357,Programma!$F$3:$R$1107,13,0),"")</f>
        <v>1w</v>
      </c>
      <c r="AV357" s="300" t="str">
        <f>_xlfn.IFNA(VLOOKUP($AI357,Programma!$F$3:$S$1107,14,0),"")</f>
        <v>1m</v>
      </c>
      <c r="AW357" s="300" t="str">
        <f>_xlfn.IFNA(VLOOKUP($AI357,Programma!$F$3:$T$1107,15,0),"")</f>
        <v>2j</v>
      </c>
      <c r="AX357" s="300" t="str">
        <f>_xlfn.IFNA(VLOOKUP($AI357,Programma!$F$3:$U$1107,16,0),"")</f>
        <v>1j</v>
      </c>
      <c r="AY357" s="300" t="str">
        <f>_xlfn.IFNA(VLOOKUP($AI357,Programma!$F$3:$V$1107,17,0),"")</f>
        <v>_</v>
      </c>
      <c r="AZ357" s="300" t="str">
        <f>_xlfn.IFNA(VLOOKUP($AI357,Programma!$F$3:$W$1107,18,0),"")</f>
        <v>_</v>
      </c>
      <c r="BA357" s="300" t="str">
        <f>_xlfn.IFNA(VLOOKUP($AI357,Programma!$F$3:$X$1107,19,0),"")</f>
        <v>_</v>
      </c>
      <c r="BB357" s="300" t="str">
        <f>_xlfn.IFNA(VLOOKUP($AI357,Programma!$F$3:$Y$1107,20,0),"")</f>
        <v>_</v>
      </c>
      <c r="BC357" s="257"/>
      <c r="BD357" s="256" t="str">
        <f>IF(Ruimtestaat[[#This Row],[Frequentie weekend]]="","",_xlfn.CONCAT(Ruimtestaat[[#This Row],[Ruimte code]],"-",Ruimtestaat[[#This Row],[Frequentie weekend]]," ",Ruimtestaat[[#This Row],[Vloer code]]))</f>
        <v/>
      </c>
      <c r="BE357" s="300" t="str">
        <f>_xlfn.IFNA(VLOOKUP($BD357,Programma!$F$3:$G$1107,2,0),"")</f>
        <v/>
      </c>
      <c r="BF357" s="300" t="str">
        <f>_xlfn.IFNA(VLOOKUP($BD357,Programma!$F$3:$H$1107,3,0),"")</f>
        <v/>
      </c>
      <c r="BG357" s="300" t="str">
        <f>_xlfn.IFNA(VLOOKUP($BD357,Programma!$F$3:$I$1107,4,0),"")</f>
        <v/>
      </c>
      <c r="BH357" s="300" t="str">
        <f>_xlfn.IFNA(VLOOKUP($BD357,Programma!$F$3:$J$1107,5,0),"")</f>
        <v/>
      </c>
      <c r="BI357" s="300" t="str">
        <f>_xlfn.IFNA(VLOOKUP($BD357,Programma!$F$3:$K$1107,6,0),"")</f>
        <v/>
      </c>
      <c r="BJ357" s="300" t="str">
        <f>_xlfn.IFNA(VLOOKUP($BD357,Programma!$F$3:$L$1107,7,0),"")</f>
        <v/>
      </c>
      <c r="BK357" s="300" t="str">
        <f>_xlfn.IFNA(VLOOKUP($BD357,Programma!$F$3:$M$1107,8,0),"")</f>
        <v/>
      </c>
      <c r="BL357" s="300" t="str">
        <f>_xlfn.IFNA(VLOOKUP($BD357,Programma!$F$3:$N$1107,9,0),"")</f>
        <v/>
      </c>
      <c r="BM357" s="300" t="str">
        <f>_xlfn.IFNA(VLOOKUP($BD357,Programma!$F$3:$O$1107,10,0),"")</f>
        <v/>
      </c>
      <c r="BN357" s="300" t="str">
        <f>_xlfn.IFNA(VLOOKUP($BD357,Programma!$F$3:$P$1107,11,0),"")</f>
        <v/>
      </c>
      <c r="BO357" s="300" t="str">
        <f>_xlfn.IFNA(VLOOKUP($BD357,Programma!$F$3:$Q$1107,12,0),"")</f>
        <v/>
      </c>
      <c r="BP357" s="300" t="str">
        <f>_xlfn.IFNA(VLOOKUP($BD357,Programma!$F$3:$R$1107,13,0),"")</f>
        <v/>
      </c>
      <c r="BQ357" s="300" t="str">
        <f>_xlfn.IFNA(VLOOKUP($BD357,Programma!$F$3:$S$1107,14,0),"")</f>
        <v/>
      </c>
      <c r="BR357" s="300" t="str">
        <f>_xlfn.IFNA(VLOOKUP($BD357,Programma!$F$3:$T$1107,15,0),"")</f>
        <v/>
      </c>
      <c r="BS357" s="300" t="str">
        <f>_xlfn.IFNA(VLOOKUP($BD357,Programma!$F$3:$U$1107,16,0),"")</f>
        <v/>
      </c>
      <c r="BT357" s="300" t="str">
        <f>_xlfn.IFNA(VLOOKUP($BD357,Programma!$F$3:$V$1107,17,0),"")</f>
        <v/>
      </c>
      <c r="BU357" s="300" t="str">
        <f>_xlfn.IFNA(VLOOKUP($BD357,Programma!$F$3:$W$1107,18,0),"")</f>
        <v/>
      </c>
      <c r="BV357" s="300" t="str">
        <f>_xlfn.IFNA(VLOOKUP($BD357,Programma!$F$3:$X$1107,19,0),"")</f>
        <v/>
      </c>
      <c r="BW357" s="300" t="str">
        <f>_xlfn.IFNA(VLOOKUP($BD357,Programma!$F$3:$Y$1107,20,0),"")</f>
        <v/>
      </c>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row>
    <row r="358" spans="1:220" ht="15" customHeight="1">
      <c r="A358" s="21">
        <v>5</v>
      </c>
      <c r="B358" s="157" t="str">
        <f>VLOOKUP(Ruimtestaat[[#This Row],[Code]],Locaties[[Code]:[Locatie]],2,FALSE)</f>
        <v>François Vatel vmbo</v>
      </c>
      <c r="C358" s="157" t="str">
        <f>VLOOKUP(Ruimtestaat[[#This Row],[Code]],Locaties[[#All],[Code]:[Adres]],4,FALSE)</f>
        <v>Granaathorst 20</v>
      </c>
      <c r="D358" s="157" t="str">
        <f>VLOOKUP(Ruimtestaat[[#This Row],[Code]],Locaties[[#All],[Code]:[Postcode]],5,FALSE)</f>
        <v>2592 TD</v>
      </c>
      <c r="E358" s="157" t="str">
        <f>VLOOKUP(Ruimtestaat[[#This Row],[Code]],Locaties[#All],6,FALSE)</f>
        <v>Den Haag</v>
      </c>
      <c r="F358" s="62"/>
      <c r="G358" s="21" t="s">
        <v>1632</v>
      </c>
      <c r="H358" s="21">
        <v>16</v>
      </c>
      <c r="I358" s="62" t="s">
        <v>2022</v>
      </c>
      <c r="J358" s="21">
        <v>11</v>
      </c>
      <c r="K358" s="62" t="str">
        <f>VLOOKUP(Ruimtestaat[[#This Row],[Ruimte code]],Ruimtegroepen[[#All],[Code]:[Ruimte omschrijving]],2,FALSE)</f>
        <v>Kooklokaal/leskeuken</v>
      </c>
      <c r="L358" s="33" t="s">
        <v>103</v>
      </c>
      <c r="M358" s="367" t="s">
        <v>2497</v>
      </c>
      <c r="N358" s="140">
        <v>97</v>
      </c>
      <c r="O358" s="140"/>
      <c r="P358" s="125" t="str">
        <f>VLOOKUP(Ruimtestaat[[#This Row],[Ruimte code]],Ruimtegroepen[],4,FALSE)</f>
        <v>Le</v>
      </c>
      <c r="R358" s="33">
        <v>40</v>
      </c>
      <c r="S358" s="33" t="s">
        <v>2</v>
      </c>
      <c r="T358" s="33">
        <f>IF(R358&gt;0,IF(RIGHT(Ruimtestaat[[#This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8" s="33">
        <f>IF(T358&gt;0,VLOOKUP($J358,Ruimtegroepen[],3,FALSE)*VLOOKUP($L358,Vloersoorten[],3,FALSE)*VLOOKUP($S358,Frequenties[],3,FALSE)*VLOOKUP($A358,Locaties[],3,FALSE),0)</f>
        <v>0</v>
      </c>
      <c r="V358" s="33">
        <f>Ruimtestaat[[#This Row],[Uitvoeringen werkdagen]]*Ruimtestaat[[#This Row],[Oppervlak (netto)]]</f>
        <v>19400</v>
      </c>
      <c r="W358" s="154">
        <f>IF(U358&gt;0,Ruimtestaat[[#This Row],[Prest. (m2 /jaar) werkdagen]]/Ruimtestaat[[#This Row],[Norm (m2/uur) werkdagen]],0)</f>
        <v>0</v>
      </c>
      <c r="X358" s="155">
        <f>Ruimtestaat[[#This Row],[uren / jaar werkdagen]]*Tariefsopbouw!$E$35</f>
        <v>0</v>
      </c>
      <c r="Y358" s="33"/>
      <c r="Z358" s="33">
        <f>IF(Ruimtestaat[[#This Row],[Frequentie weekend]]&gt;0,VALUE(LEFT(Y358,1))*R358,0)</f>
        <v>0</v>
      </c>
      <c r="AA358" s="97">
        <f>IF($Z358&gt;0,VLOOKUP($J358,Ruimtegroepen[],3,FALSE)*VLOOKUP($L358,Vloersoorten[],3,FALSE)*VLOOKUP($Y358,Frequenties[],3,FALSE)*VLOOKUP(Ruimtestaat[[#This Row],[Code]],Locaties[],3,FALSE),0)</f>
        <v>0</v>
      </c>
      <c r="AB358" s="97">
        <f>Ruimtestaat[[#This Row],[Uitvoeringen weekend]]*Ruimtestaat[[#This Row],[Oppervlak (netto)]]</f>
        <v>0</v>
      </c>
      <c r="AC358" s="97">
        <f>IF(AA358&gt;0,Ruimtestaat[[#This Row],[Prest. (m2 /jaar) weekend]]/Ruimtestaat[[#This Row],[Norm (m2/uur) weekend]],0)</f>
        <v>0</v>
      </c>
      <c r="AD358" s="155">
        <f>Ruimtestaat[[#This Row],[uren / jaar weekend]]*Tariefsopbouw!$D$40</f>
        <v>0</v>
      </c>
      <c r="AE358" s="154">
        <f>Ruimtestaat[[#This Row],[Prest. (m2 /jaar) weekend]]+Ruimtestaat[[#This Row],[Prest. (m2 /jaar) werkdagen]]</f>
        <v>19400</v>
      </c>
      <c r="AF358" s="154">
        <f>Ruimtestaat[[#This Row],[uren / jaar weekend]]+Ruimtestaat[[#This Row],[uren / jaar werkdagen]]</f>
        <v>0</v>
      </c>
      <c r="AG358" s="69">
        <f>Ruimtestaat[[#This Row],[kosten / jaar weekend]]+Ruimtestaat[[#This Row],[kosten / jaar werkdagen]]</f>
        <v>0</v>
      </c>
      <c r="AH358" s="69"/>
      <c r="AI358" s="256" t="str">
        <f>IF(Ruimtestaat[[#This Row],[Frequentie werkdagen]]="","",_xlfn.CONCAT(Ruimtestaat[[#This Row],[Ruimte code]],"-",Ruimtestaat[[#This Row],[Frequentie werkdagen]]," ",Ruimtestaat[[#This Row],[Vloer code]]))</f>
        <v>11-5w P</v>
      </c>
      <c r="AJ358" s="300" t="str">
        <f>_xlfn.IFNA(VLOOKUP($AI358,Programma!$F$3:$G$1107,2,0),"")</f>
        <v>_</v>
      </c>
      <c r="AK358" s="300" t="str">
        <f>_xlfn.IFNA(VLOOKUP($AI358,Programma!$F$3:$H$1107,3,0),"")</f>
        <v>_</v>
      </c>
      <c r="AL358" s="300" t="str">
        <f>_xlfn.IFNA(VLOOKUP($AI358,Programma!$F$3:$I$1107,4,0),"")</f>
        <v>5w</v>
      </c>
      <c r="AM358" s="300" t="str">
        <f>_xlfn.IFNA(VLOOKUP($AI358,Programma!$F$3:$J$1107,5,0),"")</f>
        <v>_</v>
      </c>
      <c r="AN358" s="300" t="str">
        <f>_xlfn.IFNA(VLOOKUP($AI358,Programma!$F$3:$K$1107,6,0),"")</f>
        <v>5w</v>
      </c>
      <c r="AO358" s="300" t="str">
        <f>_xlfn.IFNA(VLOOKUP($AI358,Programma!$F$3:$L$1107,7,0),"")</f>
        <v>_</v>
      </c>
      <c r="AP358" s="300" t="str">
        <f>_xlfn.IFNA(VLOOKUP($AI358,Programma!$F$3:$M$1107,8,0),"")</f>
        <v>_</v>
      </c>
      <c r="AQ358" s="300" t="str">
        <f>_xlfn.IFNA(VLOOKUP($AI358,Programma!$F$3:$N$1107,9,0),"")</f>
        <v>_</v>
      </c>
      <c r="AR358" s="300" t="str">
        <f>_xlfn.IFNA(VLOOKUP($AI358,Programma!$F$3:$O$1107,10,0),"")</f>
        <v>5w</v>
      </c>
      <c r="AS358" s="300" t="str">
        <f>_xlfn.IFNA(VLOOKUP($AI358,Programma!$F$3:$P$1107,11,0),"")</f>
        <v>5w</v>
      </c>
      <c r="AT358" s="300" t="str">
        <f>_xlfn.IFNA(VLOOKUP($AI358,Programma!$F$3:$Q$1107,12,0),"")</f>
        <v>1w</v>
      </c>
      <c r="AU358" s="300" t="str">
        <f>_xlfn.IFNA(VLOOKUP($AI358,Programma!$F$3:$R$1107,13,0),"")</f>
        <v>1w</v>
      </c>
      <c r="AV358" s="300" t="str">
        <f>_xlfn.IFNA(VLOOKUP($AI358,Programma!$F$3:$S$1107,14,0),"")</f>
        <v>1m</v>
      </c>
      <c r="AW358" s="300" t="str">
        <f>_xlfn.IFNA(VLOOKUP($AI358,Programma!$F$3:$T$1107,15,0),"")</f>
        <v>2j</v>
      </c>
      <c r="AX358" s="300" t="str">
        <f>_xlfn.IFNA(VLOOKUP($AI358,Programma!$F$3:$U$1107,16,0),"")</f>
        <v>1j</v>
      </c>
      <c r="AY358" s="300" t="str">
        <f>_xlfn.IFNA(VLOOKUP($AI358,Programma!$F$3:$V$1107,17,0),"")</f>
        <v>_</v>
      </c>
      <c r="AZ358" s="300" t="str">
        <f>_xlfn.IFNA(VLOOKUP($AI358,Programma!$F$3:$W$1107,18,0),"")</f>
        <v>_</v>
      </c>
      <c r="BA358" s="300" t="str">
        <f>_xlfn.IFNA(VLOOKUP($AI358,Programma!$F$3:$X$1107,19,0),"")</f>
        <v>_</v>
      </c>
      <c r="BB358" s="300" t="str">
        <f>_xlfn.IFNA(VLOOKUP($AI358,Programma!$F$3:$Y$1107,20,0),"")</f>
        <v>_</v>
      </c>
      <c r="BC358" s="257"/>
      <c r="BD358" s="256" t="str">
        <f>IF(Ruimtestaat[[#This Row],[Frequentie weekend]]="","",_xlfn.CONCAT(Ruimtestaat[[#This Row],[Ruimte code]],"-",Ruimtestaat[[#This Row],[Frequentie weekend]]," ",Ruimtestaat[[#This Row],[Vloer code]]))</f>
        <v/>
      </c>
      <c r="BE358" s="300" t="str">
        <f>_xlfn.IFNA(VLOOKUP($BD358,Programma!$F$3:$G$1107,2,0),"")</f>
        <v/>
      </c>
      <c r="BF358" s="300" t="str">
        <f>_xlfn.IFNA(VLOOKUP($BD358,Programma!$F$3:$H$1107,3,0),"")</f>
        <v/>
      </c>
      <c r="BG358" s="300" t="str">
        <f>_xlfn.IFNA(VLOOKUP($BD358,Programma!$F$3:$I$1107,4,0),"")</f>
        <v/>
      </c>
      <c r="BH358" s="300" t="str">
        <f>_xlfn.IFNA(VLOOKUP($BD358,Programma!$F$3:$J$1107,5,0),"")</f>
        <v/>
      </c>
      <c r="BI358" s="300" t="str">
        <f>_xlfn.IFNA(VLOOKUP($BD358,Programma!$F$3:$K$1107,6,0),"")</f>
        <v/>
      </c>
      <c r="BJ358" s="300" t="str">
        <f>_xlfn.IFNA(VLOOKUP($BD358,Programma!$F$3:$L$1107,7,0),"")</f>
        <v/>
      </c>
      <c r="BK358" s="300" t="str">
        <f>_xlfn.IFNA(VLOOKUP($BD358,Programma!$F$3:$M$1107,8,0),"")</f>
        <v/>
      </c>
      <c r="BL358" s="300" t="str">
        <f>_xlfn.IFNA(VLOOKUP($BD358,Programma!$F$3:$N$1107,9,0),"")</f>
        <v/>
      </c>
      <c r="BM358" s="300" t="str">
        <f>_xlfn.IFNA(VLOOKUP($BD358,Programma!$F$3:$O$1107,10,0),"")</f>
        <v/>
      </c>
      <c r="BN358" s="300" t="str">
        <f>_xlfn.IFNA(VLOOKUP($BD358,Programma!$F$3:$P$1107,11,0),"")</f>
        <v/>
      </c>
      <c r="BO358" s="300" t="str">
        <f>_xlfn.IFNA(VLOOKUP($BD358,Programma!$F$3:$Q$1107,12,0),"")</f>
        <v/>
      </c>
      <c r="BP358" s="300" t="str">
        <f>_xlfn.IFNA(VLOOKUP($BD358,Programma!$F$3:$R$1107,13,0),"")</f>
        <v/>
      </c>
      <c r="BQ358" s="300" t="str">
        <f>_xlfn.IFNA(VLOOKUP($BD358,Programma!$F$3:$S$1107,14,0),"")</f>
        <v/>
      </c>
      <c r="BR358" s="300" t="str">
        <f>_xlfn.IFNA(VLOOKUP($BD358,Programma!$F$3:$T$1107,15,0),"")</f>
        <v/>
      </c>
      <c r="BS358" s="300" t="str">
        <f>_xlfn.IFNA(VLOOKUP($BD358,Programma!$F$3:$U$1107,16,0),"")</f>
        <v/>
      </c>
      <c r="BT358" s="300" t="str">
        <f>_xlfn.IFNA(VLOOKUP($BD358,Programma!$F$3:$V$1107,17,0),"")</f>
        <v/>
      </c>
      <c r="BU358" s="300" t="str">
        <f>_xlfn.IFNA(VLOOKUP($BD358,Programma!$F$3:$W$1107,18,0),"")</f>
        <v/>
      </c>
      <c r="BV358" s="300" t="str">
        <f>_xlfn.IFNA(VLOOKUP($BD358,Programma!$F$3:$X$1107,19,0),"")</f>
        <v/>
      </c>
      <c r="BW358" s="300" t="str">
        <f>_xlfn.IFNA(VLOOKUP($BD358,Programma!$F$3:$Y$1107,20,0),"")</f>
        <v/>
      </c>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row>
    <row r="359" spans="1:220" ht="15" customHeight="1">
      <c r="A359" s="21">
        <v>5</v>
      </c>
      <c r="B359" s="157" t="str">
        <f>VLOOKUP(Ruimtestaat[[#This Row],[Code]],Locaties[[Code]:[Locatie]],2,FALSE)</f>
        <v>François Vatel vmbo</v>
      </c>
      <c r="C359" s="157" t="str">
        <f>VLOOKUP(Ruimtestaat[[#This Row],[Code]],Locaties[[#All],[Code]:[Adres]],4,FALSE)</f>
        <v>Granaathorst 20</v>
      </c>
      <c r="D359" s="157" t="str">
        <f>VLOOKUP(Ruimtestaat[[#This Row],[Code]],Locaties[[#All],[Code]:[Postcode]],5,FALSE)</f>
        <v>2592 TD</v>
      </c>
      <c r="E359" s="157" t="str">
        <f>VLOOKUP(Ruimtestaat[[#This Row],[Code]],Locaties[#All],6,FALSE)</f>
        <v>Den Haag</v>
      </c>
      <c r="F359" s="62"/>
      <c r="G359" s="21" t="s">
        <v>1632</v>
      </c>
      <c r="H359" s="21">
        <v>17</v>
      </c>
      <c r="I359" s="62" t="s">
        <v>2023</v>
      </c>
      <c r="J359" s="21">
        <v>11</v>
      </c>
      <c r="K359" s="62" t="str">
        <f>VLOOKUP(Ruimtestaat[[#This Row],[Ruimte code]],Ruimtegroepen[[#All],[Code]:[Ruimte omschrijving]],2,FALSE)</f>
        <v>Kooklokaal/leskeuken</v>
      </c>
      <c r="L359" s="33" t="s">
        <v>103</v>
      </c>
      <c r="M359" s="367" t="s">
        <v>2497</v>
      </c>
      <c r="N359" s="140">
        <v>8</v>
      </c>
      <c r="O359" s="140"/>
      <c r="P359" s="125" t="str">
        <f>VLOOKUP(Ruimtestaat[[#This Row],[Ruimte code]],Ruimtegroepen[],4,FALSE)</f>
        <v>Le</v>
      </c>
      <c r="R359" s="33">
        <v>40</v>
      </c>
      <c r="S359" s="33" t="s">
        <v>2</v>
      </c>
      <c r="T359" s="33">
        <f>IF(R359&gt;0,IF(RIGHT(Ruimtestaat[[#This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9" s="33">
        <f>IF(T359&gt;0,VLOOKUP($J359,Ruimtegroepen[],3,FALSE)*VLOOKUP($L359,Vloersoorten[],3,FALSE)*VLOOKUP($S359,Frequenties[],3,FALSE)*VLOOKUP($A359,Locaties[],3,FALSE),0)</f>
        <v>0</v>
      </c>
      <c r="V359" s="33">
        <f>Ruimtestaat[[#This Row],[Uitvoeringen werkdagen]]*Ruimtestaat[[#This Row],[Oppervlak (netto)]]</f>
        <v>1600</v>
      </c>
      <c r="W359" s="154">
        <f>IF(U359&gt;0,Ruimtestaat[[#This Row],[Prest. (m2 /jaar) werkdagen]]/Ruimtestaat[[#This Row],[Norm (m2/uur) werkdagen]],0)</f>
        <v>0</v>
      </c>
      <c r="X359" s="155">
        <f>Ruimtestaat[[#This Row],[uren / jaar werkdagen]]*Tariefsopbouw!$E$35</f>
        <v>0</v>
      </c>
      <c r="Y359" s="33"/>
      <c r="Z359" s="33">
        <f>IF(Ruimtestaat[[#This Row],[Frequentie weekend]]&gt;0,VALUE(LEFT(Y359,1))*R359,0)</f>
        <v>0</v>
      </c>
      <c r="AA359" s="97">
        <f>IF($Z359&gt;0,VLOOKUP($J359,Ruimtegroepen[],3,FALSE)*VLOOKUP($L359,Vloersoorten[],3,FALSE)*VLOOKUP($Y359,Frequenties[],3,FALSE)*VLOOKUP(Ruimtestaat[[#This Row],[Code]],Locaties[],3,FALSE),0)</f>
        <v>0</v>
      </c>
      <c r="AB359" s="97">
        <f>Ruimtestaat[[#This Row],[Uitvoeringen weekend]]*Ruimtestaat[[#This Row],[Oppervlak (netto)]]</f>
        <v>0</v>
      </c>
      <c r="AC359" s="97">
        <f>IF(AA359&gt;0,Ruimtestaat[[#This Row],[Prest. (m2 /jaar) weekend]]/Ruimtestaat[[#This Row],[Norm (m2/uur) weekend]],0)</f>
        <v>0</v>
      </c>
      <c r="AD359" s="155">
        <f>Ruimtestaat[[#This Row],[uren / jaar weekend]]*Tariefsopbouw!$D$40</f>
        <v>0</v>
      </c>
      <c r="AE359" s="154">
        <f>Ruimtestaat[[#This Row],[Prest. (m2 /jaar) weekend]]+Ruimtestaat[[#This Row],[Prest. (m2 /jaar) werkdagen]]</f>
        <v>1600</v>
      </c>
      <c r="AF359" s="154">
        <f>Ruimtestaat[[#This Row],[uren / jaar weekend]]+Ruimtestaat[[#This Row],[uren / jaar werkdagen]]</f>
        <v>0</v>
      </c>
      <c r="AG359" s="69">
        <f>Ruimtestaat[[#This Row],[kosten / jaar weekend]]+Ruimtestaat[[#This Row],[kosten / jaar werkdagen]]</f>
        <v>0</v>
      </c>
      <c r="AH359" s="69"/>
      <c r="AI359" s="256" t="str">
        <f>IF(Ruimtestaat[[#This Row],[Frequentie werkdagen]]="","",_xlfn.CONCAT(Ruimtestaat[[#This Row],[Ruimte code]],"-",Ruimtestaat[[#This Row],[Frequentie werkdagen]]," ",Ruimtestaat[[#This Row],[Vloer code]]))</f>
        <v>11-5w P</v>
      </c>
      <c r="AJ359" s="300" t="str">
        <f>_xlfn.IFNA(VLOOKUP($AI359,Programma!$F$3:$G$1107,2,0),"")</f>
        <v>_</v>
      </c>
      <c r="AK359" s="300" t="str">
        <f>_xlfn.IFNA(VLOOKUP($AI359,Programma!$F$3:$H$1107,3,0),"")</f>
        <v>_</v>
      </c>
      <c r="AL359" s="300" t="str">
        <f>_xlfn.IFNA(VLOOKUP($AI359,Programma!$F$3:$I$1107,4,0),"")</f>
        <v>5w</v>
      </c>
      <c r="AM359" s="300" t="str">
        <f>_xlfn.IFNA(VLOOKUP($AI359,Programma!$F$3:$J$1107,5,0),"")</f>
        <v>_</v>
      </c>
      <c r="AN359" s="300" t="str">
        <f>_xlfn.IFNA(VLOOKUP($AI359,Programma!$F$3:$K$1107,6,0),"")</f>
        <v>5w</v>
      </c>
      <c r="AO359" s="300" t="str">
        <f>_xlfn.IFNA(VLOOKUP($AI359,Programma!$F$3:$L$1107,7,0),"")</f>
        <v>_</v>
      </c>
      <c r="AP359" s="300" t="str">
        <f>_xlfn.IFNA(VLOOKUP($AI359,Programma!$F$3:$M$1107,8,0),"")</f>
        <v>_</v>
      </c>
      <c r="AQ359" s="300" t="str">
        <f>_xlfn.IFNA(VLOOKUP($AI359,Programma!$F$3:$N$1107,9,0),"")</f>
        <v>_</v>
      </c>
      <c r="AR359" s="300" t="str">
        <f>_xlfn.IFNA(VLOOKUP($AI359,Programma!$F$3:$O$1107,10,0),"")</f>
        <v>5w</v>
      </c>
      <c r="AS359" s="300" t="str">
        <f>_xlfn.IFNA(VLOOKUP($AI359,Programma!$F$3:$P$1107,11,0),"")</f>
        <v>5w</v>
      </c>
      <c r="AT359" s="300" t="str">
        <f>_xlfn.IFNA(VLOOKUP($AI359,Programma!$F$3:$Q$1107,12,0),"")</f>
        <v>1w</v>
      </c>
      <c r="AU359" s="300" t="str">
        <f>_xlfn.IFNA(VLOOKUP($AI359,Programma!$F$3:$R$1107,13,0),"")</f>
        <v>1w</v>
      </c>
      <c r="AV359" s="300" t="str">
        <f>_xlfn.IFNA(VLOOKUP($AI359,Programma!$F$3:$S$1107,14,0),"")</f>
        <v>1m</v>
      </c>
      <c r="AW359" s="300" t="str">
        <f>_xlfn.IFNA(VLOOKUP($AI359,Programma!$F$3:$T$1107,15,0),"")</f>
        <v>2j</v>
      </c>
      <c r="AX359" s="300" t="str">
        <f>_xlfn.IFNA(VLOOKUP($AI359,Programma!$F$3:$U$1107,16,0),"")</f>
        <v>1j</v>
      </c>
      <c r="AY359" s="300" t="str">
        <f>_xlfn.IFNA(VLOOKUP($AI359,Programma!$F$3:$V$1107,17,0),"")</f>
        <v>_</v>
      </c>
      <c r="AZ359" s="300" t="str">
        <f>_xlfn.IFNA(VLOOKUP($AI359,Programma!$F$3:$W$1107,18,0),"")</f>
        <v>_</v>
      </c>
      <c r="BA359" s="300" t="str">
        <f>_xlfn.IFNA(VLOOKUP($AI359,Programma!$F$3:$X$1107,19,0),"")</f>
        <v>_</v>
      </c>
      <c r="BB359" s="300" t="str">
        <f>_xlfn.IFNA(VLOOKUP($AI359,Programma!$F$3:$Y$1107,20,0),"")</f>
        <v>_</v>
      </c>
      <c r="BC359" s="257"/>
      <c r="BD359" s="256" t="str">
        <f>IF(Ruimtestaat[[#This Row],[Frequentie weekend]]="","",_xlfn.CONCAT(Ruimtestaat[[#This Row],[Ruimte code]],"-",Ruimtestaat[[#This Row],[Frequentie weekend]]," ",Ruimtestaat[[#This Row],[Vloer code]]))</f>
        <v/>
      </c>
      <c r="BE359" s="300" t="str">
        <f>_xlfn.IFNA(VLOOKUP($BD359,Programma!$F$3:$G$1107,2,0),"")</f>
        <v/>
      </c>
      <c r="BF359" s="300" t="str">
        <f>_xlfn.IFNA(VLOOKUP($BD359,Programma!$F$3:$H$1107,3,0),"")</f>
        <v/>
      </c>
      <c r="BG359" s="300" t="str">
        <f>_xlfn.IFNA(VLOOKUP($BD359,Programma!$F$3:$I$1107,4,0),"")</f>
        <v/>
      </c>
      <c r="BH359" s="300" t="str">
        <f>_xlfn.IFNA(VLOOKUP($BD359,Programma!$F$3:$J$1107,5,0),"")</f>
        <v/>
      </c>
      <c r="BI359" s="300" t="str">
        <f>_xlfn.IFNA(VLOOKUP($BD359,Programma!$F$3:$K$1107,6,0),"")</f>
        <v/>
      </c>
      <c r="BJ359" s="300" t="str">
        <f>_xlfn.IFNA(VLOOKUP($BD359,Programma!$F$3:$L$1107,7,0),"")</f>
        <v/>
      </c>
      <c r="BK359" s="300" t="str">
        <f>_xlfn.IFNA(VLOOKUP($BD359,Programma!$F$3:$M$1107,8,0),"")</f>
        <v/>
      </c>
      <c r="BL359" s="300" t="str">
        <f>_xlfn.IFNA(VLOOKUP($BD359,Programma!$F$3:$N$1107,9,0),"")</f>
        <v/>
      </c>
      <c r="BM359" s="300" t="str">
        <f>_xlfn.IFNA(VLOOKUP($BD359,Programma!$F$3:$O$1107,10,0),"")</f>
        <v/>
      </c>
      <c r="BN359" s="300" t="str">
        <f>_xlfn.IFNA(VLOOKUP($BD359,Programma!$F$3:$P$1107,11,0),"")</f>
        <v/>
      </c>
      <c r="BO359" s="300" t="str">
        <f>_xlfn.IFNA(VLOOKUP($BD359,Programma!$F$3:$Q$1107,12,0),"")</f>
        <v/>
      </c>
      <c r="BP359" s="300" t="str">
        <f>_xlfn.IFNA(VLOOKUP($BD359,Programma!$F$3:$R$1107,13,0),"")</f>
        <v/>
      </c>
      <c r="BQ359" s="300" t="str">
        <f>_xlfn.IFNA(VLOOKUP($BD359,Programma!$F$3:$S$1107,14,0),"")</f>
        <v/>
      </c>
      <c r="BR359" s="300" t="str">
        <f>_xlfn.IFNA(VLOOKUP($BD359,Programma!$F$3:$T$1107,15,0),"")</f>
        <v/>
      </c>
      <c r="BS359" s="300" t="str">
        <f>_xlfn.IFNA(VLOOKUP($BD359,Programma!$F$3:$U$1107,16,0),"")</f>
        <v/>
      </c>
      <c r="BT359" s="300" t="str">
        <f>_xlfn.IFNA(VLOOKUP($BD359,Programma!$F$3:$V$1107,17,0),"")</f>
        <v/>
      </c>
      <c r="BU359" s="300" t="str">
        <f>_xlfn.IFNA(VLOOKUP($BD359,Programma!$F$3:$W$1107,18,0),"")</f>
        <v/>
      </c>
      <c r="BV359" s="300" t="str">
        <f>_xlfn.IFNA(VLOOKUP($BD359,Programma!$F$3:$X$1107,19,0),"")</f>
        <v/>
      </c>
      <c r="BW359" s="300" t="str">
        <f>_xlfn.IFNA(VLOOKUP($BD359,Programma!$F$3:$Y$1107,20,0),"")</f>
        <v/>
      </c>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row>
    <row r="360" spans="1:220" ht="15" customHeight="1">
      <c r="A360" s="21">
        <v>5</v>
      </c>
      <c r="B360" s="157" t="str">
        <f>VLOOKUP(Ruimtestaat[[#This Row],[Code]],Locaties[[Code]:[Locatie]],2,FALSE)</f>
        <v>François Vatel vmbo</v>
      </c>
      <c r="C360" s="157" t="str">
        <f>VLOOKUP(Ruimtestaat[[#This Row],[Code]],Locaties[[#All],[Code]:[Adres]],4,FALSE)</f>
        <v>Granaathorst 20</v>
      </c>
      <c r="D360" s="157" t="str">
        <f>VLOOKUP(Ruimtestaat[[#This Row],[Code]],Locaties[[#All],[Code]:[Postcode]],5,FALSE)</f>
        <v>2592 TD</v>
      </c>
      <c r="E360" s="157" t="str">
        <f>VLOOKUP(Ruimtestaat[[#This Row],[Code]],Locaties[#All],6,FALSE)</f>
        <v>Den Haag</v>
      </c>
      <c r="F360" s="62"/>
      <c r="G360" s="21" t="s">
        <v>1632</v>
      </c>
      <c r="H360" s="21">
        <v>18</v>
      </c>
      <c r="I360" s="62" t="s">
        <v>2024</v>
      </c>
      <c r="J360" s="21">
        <v>11</v>
      </c>
      <c r="K360" s="62" t="str">
        <f>VLOOKUP(Ruimtestaat[[#This Row],[Ruimte code]],Ruimtegroepen[[#All],[Code]:[Ruimte omschrijving]],2,FALSE)</f>
        <v>Kooklokaal/leskeuken</v>
      </c>
      <c r="L360" s="33" t="s">
        <v>103</v>
      </c>
      <c r="M360" s="367" t="s">
        <v>2497</v>
      </c>
      <c r="N360" s="140">
        <v>142</v>
      </c>
      <c r="O360" s="140"/>
      <c r="P360" s="125" t="str">
        <f>VLOOKUP(Ruimtestaat[[#This Row],[Ruimte code]],Ruimtegroepen[],4,FALSE)</f>
        <v>Le</v>
      </c>
      <c r="R360" s="33">
        <v>40</v>
      </c>
      <c r="S360" s="33" t="s">
        <v>2</v>
      </c>
      <c r="T360" s="33">
        <f>IF(R360&gt;0,IF(RIGHT(Ruimtestaat[[#This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0" s="33">
        <f>IF(T360&gt;0,VLOOKUP($J360,Ruimtegroepen[],3,FALSE)*VLOOKUP($L360,Vloersoorten[],3,FALSE)*VLOOKUP($S360,Frequenties[],3,FALSE)*VLOOKUP($A360,Locaties[],3,FALSE),0)</f>
        <v>0</v>
      </c>
      <c r="V360" s="33">
        <f>Ruimtestaat[[#This Row],[Uitvoeringen werkdagen]]*Ruimtestaat[[#This Row],[Oppervlak (netto)]]</f>
        <v>28400</v>
      </c>
      <c r="W360" s="154">
        <f>IF(U360&gt;0,Ruimtestaat[[#This Row],[Prest. (m2 /jaar) werkdagen]]/Ruimtestaat[[#This Row],[Norm (m2/uur) werkdagen]],0)</f>
        <v>0</v>
      </c>
      <c r="X360" s="155">
        <f>Ruimtestaat[[#This Row],[uren / jaar werkdagen]]*Tariefsopbouw!$E$35</f>
        <v>0</v>
      </c>
      <c r="Y360" s="33"/>
      <c r="Z360" s="33">
        <f>IF(Ruimtestaat[[#This Row],[Frequentie weekend]]&gt;0,VALUE(LEFT(Y360,1))*R360,0)</f>
        <v>0</v>
      </c>
      <c r="AA360" s="97">
        <f>IF($Z360&gt;0,VLOOKUP($J360,Ruimtegroepen[],3,FALSE)*VLOOKUP($L360,Vloersoorten[],3,FALSE)*VLOOKUP($Y360,Frequenties[],3,FALSE)*VLOOKUP(Ruimtestaat[[#This Row],[Code]],Locaties[],3,FALSE),0)</f>
        <v>0</v>
      </c>
      <c r="AB360" s="97">
        <f>Ruimtestaat[[#This Row],[Uitvoeringen weekend]]*Ruimtestaat[[#This Row],[Oppervlak (netto)]]</f>
        <v>0</v>
      </c>
      <c r="AC360" s="97">
        <f>IF(AA360&gt;0,Ruimtestaat[[#This Row],[Prest. (m2 /jaar) weekend]]/Ruimtestaat[[#This Row],[Norm (m2/uur) weekend]],0)</f>
        <v>0</v>
      </c>
      <c r="AD360" s="155">
        <f>Ruimtestaat[[#This Row],[uren / jaar weekend]]*Tariefsopbouw!$D$40</f>
        <v>0</v>
      </c>
      <c r="AE360" s="154">
        <f>Ruimtestaat[[#This Row],[Prest. (m2 /jaar) weekend]]+Ruimtestaat[[#This Row],[Prest. (m2 /jaar) werkdagen]]</f>
        <v>28400</v>
      </c>
      <c r="AF360" s="154">
        <f>Ruimtestaat[[#This Row],[uren / jaar weekend]]+Ruimtestaat[[#This Row],[uren / jaar werkdagen]]</f>
        <v>0</v>
      </c>
      <c r="AG360" s="69">
        <f>Ruimtestaat[[#This Row],[kosten / jaar weekend]]+Ruimtestaat[[#This Row],[kosten / jaar werkdagen]]</f>
        <v>0</v>
      </c>
      <c r="AH360" s="69"/>
      <c r="AI360" s="256" t="str">
        <f>IF(Ruimtestaat[[#This Row],[Frequentie werkdagen]]="","",_xlfn.CONCAT(Ruimtestaat[[#This Row],[Ruimte code]],"-",Ruimtestaat[[#This Row],[Frequentie werkdagen]]," ",Ruimtestaat[[#This Row],[Vloer code]]))</f>
        <v>11-5w P</v>
      </c>
      <c r="AJ360" s="300" t="str">
        <f>_xlfn.IFNA(VLOOKUP($AI360,Programma!$F$3:$G$1107,2,0),"")</f>
        <v>_</v>
      </c>
      <c r="AK360" s="300" t="str">
        <f>_xlfn.IFNA(VLOOKUP($AI360,Programma!$F$3:$H$1107,3,0),"")</f>
        <v>_</v>
      </c>
      <c r="AL360" s="300" t="str">
        <f>_xlfn.IFNA(VLOOKUP($AI360,Programma!$F$3:$I$1107,4,0),"")</f>
        <v>5w</v>
      </c>
      <c r="AM360" s="300" t="str">
        <f>_xlfn.IFNA(VLOOKUP($AI360,Programma!$F$3:$J$1107,5,0),"")</f>
        <v>_</v>
      </c>
      <c r="AN360" s="300" t="str">
        <f>_xlfn.IFNA(VLOOKUP($AI360,Programma!$F$3:$K$1107,6,0),"")</f>
        <v>5w</v>
      </c>
      <c r="AO360" s="300" t="str">
        <f>_xlfn.IFNA(VLOOKUP($AI360,Programma!$F$3:$L$1107,7,0),"")</f>
        <v>_</v>
      </c>
      <c r="AP360" s="300" t="str">
        <f>_xlfn.IFNA(VLOOKUP($AI360,Programma!$F$3:$M$1107,8,0),"")</f>
        <v>_</v>
      </c>
      <c r="AQ360" s="300" t="str">
        <f>_xlfn.IFNA(VLOOKUP($AI360,Programma!$F$3:$N$1107,9,0),"")</f>
        <v>_</v>
      </c>
      <c r="AR360" s="300" t="str">
        <f>_xlfn.IFNA(VLOOKUP($AI360,Programma!$F$3:$O$1107,10,0),"")</f>
        <v>5w</v>
      </c>
      <c r="AS360" s="300" t="str">
        <f>_xlfn.IFNA(VLOOKUP($AI360,Programma!$F$3:$P$1107,11,0),"")</f>
        <v>5w</v>
      </c>
      <c r="AT360" s="300" t="str">
        <f>_xlfn.IFNA(VLOOKUP($AI360,Programma!$F$3:$Q$1107,12,0),"")</f>
        <v>1w</v>
      </c>
      <c r="AU360" s="300" t="str">
        <f>_xlfn.IFNA(VLOOKUP($AI360,Programma!$F$3:$R$1107,13,0),"")</f>
        <v>1w</v>
      </c>
      <c r="AV360" s="300" t="str">
        <f>_xlfn.IFNA(VLOOKUP($AI360,Programma!$F$3:$S$1107,14,0),"")</f>
        <v>1m</v>
      </c>
      <c r="AW360" s="300" t="str">
        <f>_xlfn.IFNA(VLOOKUP($AI360,Programma!$F$3:$T$1107,15,0),"")</f>
        <v>2j</v>
      </c>
      <c r="AX360" s="300" t="str">
        <f>_xlfn.IFNA(VLOOKUP($AI360,Programma!$F$3:$U$1107,16,0),"")</f>
        <v>1j</v>
      </c>
      <c r="AY360" s="300" t="str">
        <f>_xlfn.IFNA(VLOOKUP($AI360,Programma!$F$3:$V$1107,17,0),"")</f>
        <v>_</v>
      </c>
      <c r="AZ360" s="300" t="str">
        <f>_xlfn.IFNA(VLOOKUP($AI360,Programma!$F$3:$W$1107,18,0),"")</f>
        <v>_</v>
      </c>
      <c r="BA360" s="300" t="str">
        <f>_xlfn.IFNA(VLOOKUP($AI360,Programma!$F$3:$X$1107,19,0),"")</f>
        <v>_</v>
      </c>
      <c r="BB360" s="300" t="str">
        <f>_xlfn.IFNA(VLOOKUP($AI360,Programma!$F$3:$Y$1107,20,0),"")</f>
        <v>_</v>
      </c>
      <c r="BC360" s="257"/>
      <c r="BD360" s="256" t="str">
        <f>IF(Ruimtestaat[[#This Row],[Frequentie weekend]]="","",_xlfn.CONCAT(Ruimtestaat[[#This Row],[Ruimte code]],"-",Ruimtestaat[[#This Row],[Frequentie weekend]]," ",Ruimtestaat[[#This Row],[Vloer code]]))</f>
        <v/>
      </c>
      <c r="BE360" s="300" t="str">
        <f>_xlfn.IFNA(VLOOKUP($BD360,Programma!$F$3:$G$1107,2,0),"")</f>
        <v/>
      </c>
      <c r="BF360" s="300" t="str">
        <f>_xlfn.IFNA(VLOOKUP($BD360,Programma!$F$3:$H$1107,3,0),"")</f>
        <v/>
      </c>
      <c r="BG360" s="300" t="str">
        <f>_xlfn.IFNA(VLOOKUP($BD360,Programma!$F$3:$I$1107,4,0),"")</f>
        <v/>
      </c>
      <c r="BH360" s="300" t="str">
        <f>_xlfn.IFNA(VLOOKUP($BD360,Programma!$F$3:$J$1107,5,0),"")</f>
        <v/>
      </c>
      <c r="BI360" s="300" t="str">
        <f>_xlfn.IFNA(VLOOKUP($BD360,Programma!$F$3:$K$1107,6,0),"")</f>
        <v/>
      </c>
      <c r="BJ360" s="300" t="str">
        <f>_xlfn.IFNA(VLOOKUP($BD360,Programma!$F$3:$L$1107,7,0),"")</f>
        <v/>
      </c>
      <c r="BK360" s="300" t="str">
        <f>_xlfn.IFNA(VLOOKUP($BD360,Programma!$F$3:$M$1107,8,0),"")</f>
        <v/>
      </c>
      <c r="BL360" s="300" t="str">
        <f>_xlfn.IFNA(VLOOKUP($BD360,Programma!$F$3:$N$1107,9,0),"")</f>
        <v/>
      </c>
      <c r="BM360" s="300" t="str">
        <f>_xlfn.IFNA(VLOOKUP($BD360,Programma!$F$3:$O$1107,10,0),"")</f>
        <v/>
      </c>
      <c r="BN360" s="300" t="str">
        <f>_xlfn.IFNA(VLOOKUP($BD360,Programma!$F$3:$P$1107,11,0),"")</f>
        <v/>
      </c>
      <c r="BO360" s="300" t="str">
        <f>_xlfn.IFNA(VLOOKUP($BD360,Programma!$F$3:$Q$1107,12,0),"")</f>
        <v/>
      </c>
      <c r="BP360" s="300" t="str">
        <f>_xlfn.IFNA(VLOOKUP($BD360,Programma!$F$3:$R$1107,13,0),"")</f>
        <v/>
      </c>
      <c r="BQ360" s="300" t="str">
        <f>_xlfn.IFNA(VLOOKUP($BD360,Programma!$F$3:$S$1107,14,0),"")</f>
        <v/>
      </c>
      <c r="BR360" s="300" t="str">
        <f>_xlfn.IFNA(VLOOKUP($BD360,Programma!$F$3:$T$1107,15,0),"")</f>
        <v/>
      </c>
      <c r="BS360" s="300" t="str">
        <f>_xlfn.IFNA(VLOOKUP($BD360,Programma!$F$3:$U$1107,16,0),"")</f>
        <v/>
      </c>
      <c r="BT360" s="300" t="str">
        <f>_xlfn.IFNA(VLOOKUP($BD360,Programma!$F$3:$V$1107,17,0),"")</f>
        <v/>
      </c>
      <c r="BU360" s="300" t="str">
        <f>_xlfn.IFNA(VLOOKUP($BD360,Programma!$F$3:$W$1107,18,0),"")</f>
        <v/>
      </c>
      <c r="BV360" s="300" t="str">
        <f>_xlfn.IFNA(VLOOKUP($BD360,Programma!$F$3:$X$1107,19,0),"")</f>
        <v/>
      </c>
      <c r="BW360" s="300" t="str">
        <f>_xlfn.IFNA(VLOOKUP($BD360,Programma!$F$3:$Y$1107,20,0),"")</f>
        <v/>
      </c>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row>
    <row r="361" spans="1:220" ht="15" customHeight="1">
      <c r="A361" s="21">
        <v>5</v>
      </c>
      <c r="B361" s="157" t="str">
        <f>VLOOKUP(Ruimtestaat[[#This Row],[Code]],Locaties[[Code]:[Locatie]],2,FALSE)</f>
        <v>François Vatel vmbo</v>
      </c>
      <c r="C361" s="157" t="str">
        <f>VLOOKUP(Ruimtestaat[[#This Row],[Code]],Locaties[[#All],[Code]:[Adres]],4,FALSE)</f>
        <v>Granaathorst 20</v>
      </c>
      <c r="D361" s="157" t="str">
        <f>VLOOKUP(Ruimtestaat[[#This Row],[Code]],Locaties[[#All],[Code]:[Postcode]],5,FALSE)</f>
        <v>2592 TD</v>
      </c>
      <c r="E361" s="157" t="str">
        <f>VLOOKUP(Ruimtestaat[[#This Row],[Code]],Locaties[#All],6,FALSE)</f>
        <v>Den Haag</v>
      </c>
      <c r="F361" s="62"/>
      <c r="G361" s="21" t="s">
        <v>1632</v>
      </c>
      <c r="H361" s="21">
        <v>19</v>
      </c>
      <c r="I361" s="62" t="s">
        <v>1640</v>
      </c>
      <c r="J361" s="21">
        <v>5</v>
      </c>
      <c r="K361" s="62" t="str">
        <f>VLOOKUP(Ruimtestaat[[#This Row],[Ruimte code]],Ruimtegroepen[[#All],[Code]:[Ruimte omschrijving]],2,FALSE)</f>
        <v>Sanitair</v>
      </c>
      <c r="L361" s="33" t="s">
        <v>102</v>
      </c>
      <c r="M361" s="367" t="s">
        <v>2509</v>
      </c>
      <c r="N361" s="140">
        <v>12</v>
      </c>
      <c r="O361" s="140"/>
      <c r="P361" s="125" t="str">
        <f>VLOOKUP(Ruimtestaat[[#This Row],[Ruimte code]],Ruimtegroepen[],4,FALSE)</f>
        <v>Sa</v>
      </c>
      <c r="R361" s="33">
        <v>40</v>
      </c>
      <c r="S361" s="33" t="s">
        <v>2</v>
      </c>
      <c r="T361" s="33">
        <f>IF(R361&gt;0,IF(RIGHT(Ruimtestaat[[#This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1" s="33">
        <f>IF(T361&gt;0,VLOOKUP($J361,Ruimtegroepen[],3,FALSE)*VLOOKUP($L361,Vloersoorten[],3,FALSE)*VLOOKUP($S361,Frequenties[],3,FALSE)*VLOOKUP($A361,Locaties[],3,FALSE),0)</f>
        <v>0</v>
      </c>
      <c r="V361" s="33">
        <f>Ruimtestaat[[#This Row],[Uitvoeringen werkdagen]]*Ruimtestaat[[#This Row],[Oppervlak (netto)]]</f>
        <v>2400</v>
      </c>
      <c r="W361" s="154">
        <f>IF(U361&gt;0,Ruimtestaat[[#This Row],[Prest. (m2 /jaar) werkdagen]]/Ruimtestaat[[#This Row],[Norm (m2/uur) werkdagen]],0)</f>
        <v>0</v>
      </c>
      <c r="X361" s="155">
        <f>Ruimtestaat[[#This Row],[uren / jaar werkdagen]]*Tariefsopbouw!$E$35</f>
        <v>0</v>
      </c>
      <c r="Y361" s="33"/>
      <c r="Z361" s="33">
        <f>IF(Ruimtestaat[[#This Row],[Frequentie weekend]]&gt;0,VALUE(LEFT(Y361,1))*R361,0)</f>
        <v>0</v>
      </c>
      <c r="AA361" s="97">
        <f>IF($Z361&gt;0,VLOOKUP($J361,Ruimtegroepen[],3,FALSE)*VLOOKUP($L361,Vloersoorten[],3,FALSE)*VLOOKUP($Y361,Frequenties[],3,FALSE)*VLOOKUP(Ruimtestaat[[#This Row],[Code]],Locaties[],3,FALSE),0)</f>
        <v>0</v>
      </c>
      <c r="AB361" s="97">
        <f>Ruimtestaat[[#This Row],[Uitvoeringen weekend]]*Ruimtestaat[[#This Row],[Oppervlak (netto)]]</f>
        <v>0</v>
      </c>
      <c r="AC361" s="97">
        <f>IF(AA361&gt;0,Ruimtestaat[[#This Row],[Prest. (m2 /jaar) weekend]]/Ruimtestaat[[#This Row],[Norm (m2/uur) weekend]],0)</f>
        <v>0</v>
      </c>
      <c r="AD361" s="155">
        <f>Ruimtestaat[[#This Row],[uren / jaar weekend]]*Tariefsopbouw!$D$40</f>
        <v>0</v>
      </c>
      <c r="AE361" s="154">
        <f>Ruimtestaat[[#This Row],[Prest. (m2 /jaar) weekend]]+Ruimtestaat[[#This Row],[Prest. (m2 /jaar) werkdagen]]</f>
        <v>2400</v>
      </c>
      <c r="AF361" s="154">
        <f>Ruimtestaat[[#This Row],[uren / jaar weekend]]+Ruimtestaat[[#This Row],[uren / jaar werkdagen]]</f>
        <v>0</v>
      </c>
      <c r="AG361" s="69">
        <f>Ruimtestaat[[#This Row],[kosten / jaar weekend]]+Ruimtestaat[[#This Row],[kosten / jaar werkdagen]]</f>
        <v>0</v>
      </c>
      <c r="AH361" s="69"/>
      <c r="AI361" s="256" t="str">
        <f>IF(Ruimtestaat[[#This Row],[Frequentie werkdagen]]="","",_xlfn.CONCAT(Ruimtestaat[[#This Row],[Ruimte code]],"-",Ruimtestaat[[#This Row],[Frequentie werkdagen]]," ",Ruimtestaat[[#This Row],[Vloer code]]))</f>
        <v>5-5w S</v>
      </c>
      <c r="AJ361" s="300" t="str">
        <f>_xlfn.IFNA(VLOOKUP($AI361,Programma!$F$3:$G$1107,2,0),"")</f>
        <v>_</v>
      </c>
      <c r="AK361" s="300" t="str">
        <f>_xlfn.IFNA(VLOOKUP($AI361,Programma!$F$3:$H$1107,3,0),"")</f>
        <v>_</v>
      </c>
      <c r="AL361" s="300" t="str">
        <f>_xlfn.IFNA(VLOOKUP($AI361,Programma!$F$3:$I$1107,4,0),"")</f>
        <v>_</v>
      </c>
      <c r="AM361" s="300" t="str">
        <f>_xlfn.IFNA(VLOOKUP($AI361,Programma!$F$3:$J$1107,5,0),"")</f>
        <v>4w</v>
      </c>
      <c r="AN361" s="300" t="str">
        <f>_xlfn.IFNA(VLOOKUP($AI361,Programma!$F$3:$K$1107,6,0),"")</f>
        <v>1w</v>
      </c>
      <c r="AO361" s="300" t="str">
        <f>_xlfn.IFNA(VLOOKUP($AI361,Programma!$F$3:$L$1107,7,0),"")</f>
        <v>_</v>
      </c>
      <c r="AP361" s="300" t="str">
        <f>_xlfn.IFNA(VLOOKUP($AI361,Programma!$F$3:$M$1107,8,0),"")</f>
        <v>_</v>
      </c>
      <c r="AQ361" s="300" t="str">
        <f>_xlfn.IFNA(VLOOKUP($AI361,Programma!$F$3:$N$1107,9,0),"")</f>
        <v>_</v>
      </c>
      <c r="AR361" s="300" t="str">
        <f>_xlfn.IFNA(VLOOKUP($AI361,Programma!$F$3:$O$1107,10,0),"")</f>
        <v>_</v>
      </c>
      <c r="AS361" s="300" t="str">
        <f>_xlfn.IFNA(VLOOKUP($AI361,Programma!$F$3:$P$1107,11,0),"")</f>
        <v>_</v>
      </c>
      <c r="AT361" s="300" t="str">
        <f>_xlfn.IFNA(VLOOKUP($AI361,Programma!$F$3:$Q$1107,12,0),"")</f>
        <v>_</v>
      </c>
      <c r="AU361" s="300" t="str">
        <f>_xlfn.IFNA(VLOOKUP($AI361,Programma!$F$3:$R$1107,13,0),"")</f>
        <v>_</v>
      </c>
      <c r="AV361" s="300" t="str">
        <f>_xlfn.IFNA(VLOOKUP($AI361,Programma!$F$3:$S$1107,14,0),"")</f>
        <v>_</v>
      </c>
      <c r="AW361" s="300" t="str">
        <f>_xlfn.IFNA(VLOOKUP($AI361,Programma!$F$3:$T$1107,15,0),"")</f>
        <v>_</v>
      </c>
      <c r="AX361" s="300" t="str">
        <f>_xlfn.IFNA(VLOOKUP($AI361,Programma!$F$3:$U$1107,16,0),"")</f>
        <v>_</v>
      </c>
      <c r="AY361" s="300" t="str">
        <f>_xlfn.IFNA(VLOOKUP($AI361,Programma!$F$3:$V$1107,17,0),"")</f>
        <v>_</v>
      </c>
      <c r="AZ361" s="300" t="str">
        <f>_xlfn.IFNA(VLOOKUP($AI361,Programma!$F$3:$W$1107,18,0),"")</f>
        <v>4w</v>
      </c>
      <c r="BA361" s="300" t="str">
        <f>_xlfn.IFNA(VLOOKUP($AI361,Programma!$F$3:$X$1107,19,0),"")</f>
        <v>1w</v>
      </c>
      <c r="BB361" s="300" t="str">
        <f>_xlfn.IFNA(VLOOKUP($AI361,Programma!$F$3:$Y$1107,20,0),"")</f>
        <v>_</v>
      </c>
      <c r="BC361" s="257"/>
      <c r="BD361" s="256" t="str">
        <f>IF(Ruimtestaat[[#This Row],[Frequentie weekend]]="","",_xlfn.CONCAT(Ruimtestaat[[#This Row],[Ruimte code]],"-",Ruimtestaat[[#This Row],[Frequentie weekend]]," ",Ruimtestaat[[#This Row],[Vloer code]]))</f>
        <v/>
      </c>
      <c r="BE361" s="300" t="str">
        <f>_xlfn.IFNA(VLOOKUP($BD361,Programma!$F$3:$G$1107,2,0),"")</f>
        <v/>
      </c>
      <c r="BF361" s="300" t="str">
        <f>_xlfn.IFNA(VLOOKUP($BD361,Programma!$F$3:$H$1107,3,0),"")</f>
        <v/>
      </c>
      <c r="BG361" s="300" t="str">
        <f>_xlfn.IFNA(VLOOKUP($BD361,Programma!$F$3:$I$1107,4,0),"")</f>
        <v/>
      </c>
      <c r="BH361" s="300" t="str">
        <f>_xlfn.IFNA(VLOOKUP($BD361,Programma!$F$3:$J$1107,5,0),"")</f>
        <v/>
      </c>
      <c r="BI361" s="300" t="str">
        <f>_xlfn.IFNA(VLOOKUP($BD361,Programma!$F$3:$K$1107,6,0),"")</f>
        <v/>
      </c>
      <c r="BJ361" s="300" t="str">
        <f>_xlfn.IFNA(VLOOKUP($BD361,Programma!$F$3:$L$1107,7,0),"")</f>
        <v/>
      </c>
      <c r="BK361" s="300" t="str">
        <f>_xlfn.IFNA(VLOOKUP($BD361,Programma!$F$3:$M$1107,8,0),"")</f>
        <v/>
      </c>
      <c r="BL361" s="300" t="str">
        <f>_xlfn.IFNA(VLOOKUP($BD361,Programma!$F$3:$N$1107,9,0),"")</f>
        <v/>
      </c>
      <c r="BM361" s="300" t="str">
        <f>_xlfn.IFNA(VLOOKUP($BD361,Programma!$F$3:$O$1107,10,0),"")</f>
        <v/>
      </c>
      <c r="BN361" s="300" t="str">
        <f>_xlfn.IFNA(VLOOKUP($BD361,Programma!$F$3:$P$1107,11,0),"")</f>
        <v/>
      </c>
      <c r="BO361" s="300" t="str">
        <f>_xlfn.IFNA(VLOOKUP($BD361,Programma!$F$3:$Q$1107,12,0),"")</f>
        <v/>
      </c>
      <c r="BP361" s="300" t="str">
        <f>_xlfn.IFNA(VLOOKUP($BD361,Programma!$F$3:$R$1107,13,0),"")</f>
        <v/>
      </c>
      <c r="BQ361" s="300" t="str">
        <f>_xlfn.IFNA(VLOOKUP($BD361,Programma!$F$3:$S$1107,14,0),"")</f>
        <v/>
      </c>
      <c r="BR361" s="300" t="str">
        <f>_xlfn.IFNA(VLOOKUP($BD361,Programma!$F$3:$T$1107,15,0),"")</f>
        <v/>
      </c>
      <c r="BS361" s="300" t="str">
        <f>_xlfn.IFNA(VLOOKUP($BD361,Programma!$F$3:$U$1107,16,0),"")</f>
        <v/>
      </c>
      <c r="BT361" s="300" t="str">
        <f>_xlfn.IFNA(VLOOKUP($BD361,Programma!$F$3:$V$1107,17,0),"")</f>
        <v/>
      </c>
      <c r="BU361" s="300" t="str">
        <f>_xlfn.IFNA(VLOOKUP($BD361,Programma!$F$3:$W$1107,18,0),"")</f>
        <v/>
      </c>
      <c r="BV361" s="300" t="str">
        <f>_xlfn.IFNA(VLOOKUP($BD361,Programma!$F$3:$X$1107,19,0),"")</f>
        <v/>
      </c>
      <c r="BW361" s="300" t="str">
        <f>_xlfn.IFNA(VLOOKUP($BD361,Programma!$F$3:$Y$1107,20,0),"")</f>
        <v/>
      </c>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row>
    <row r="362" spans="1:220" ht="15" customHeight="1">
      <c r="A362" s="21">
        <v>5</v>
      </c>
      <c r="B362" s="157" t="str">
        <f>VLOOKUP(Ruimtestaat[[#This Row],[Code]],Locaties[[Code]:[Locatie]],2,FALSE)</f>
        <v>François Vatel vmbo</v>
      </c>
      <c r="C362" s="157" t="str">
        <f>VLOOKUP(Ruimtestaat[[#This Row],[Code]],Locaties[[#All],[Code]:[Adres]],4,FALSE)</f>
        <v>Granaathorst 20</v>
      </c>
      <c r="D362" s="157" t="str">
        <f>VLOOKUP(Ruimtestaat[[#This Row],[Code]],Locaties[[#All],[Code]:[Postcode]],5,FALSE)</f>
        <v>2592 TD</v>
      </c>
      <c r="E362" s="157" t="str">
        <f>VLOOKUP(Ruimtestaat[[#This Row],[Code]],Locaties[#All],6,FALSE)</f>
        <v>Den Haag</v>
      </c>
      <c r="F362" s="62"/>
      <c r="G362" s="21" t="s">
        <v>1632</v>
      </c>
      <c r="H362" s="21">
        <v>20</v>
      </c>
      <c r="I362" s="62" t="s">
        <v>1639</v>
      </c>
      <c r="J362" s="21">
        <v>5</v>
      </c>
      <c r="K362" s="62" t="str">
        <f>VLOOKUP(Ruimtestaat[[#This Row],[Ruimte code]],Ruimtegroepen[[#All],[Code]:[Ruimte omschrijving]],2,FALSE)</f>
        <v>Sanitair</v>
      </c>
      <c r="L362" s="33" t="s">
        <v>102</v>
      </c>
      <c r="M362" s="367" t="s">
        <v>2509</v>
      </c>
      <c r="N362" s="140">
        <v>12</v>
      </c>
      <c r="O362" s="140"/>
      <c r="P362" s="125" t="str">
        <f>VLOOKUP(Ruimtestaat[[#This Row],[Ruimte code]],Ruimtegroepen[],4,FALSE)</f>
        <v>Sa</v>
      </c>
      <c r="R362" s="33">
        <v>40</v>
      </c>
      <c r="S362" s="33" t="s">
        <v>2</v>
      </c>
      <c r="T362" s="33">
        <f>IF(R362&gt;0,IF(RIGHT(Ruimtestaat[[#This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2" s="33">
        <f>IF(T362&gt;0,VLOOKUP($J362,Ruimtegroepen[],3,FALSE)*VLOOKUP($L362,Vloersoorten[],3,FALSE)*VLOOKUP($S362,Frequenties[],3,FALSE)*VLOOKUP($A362,Locaties[],3,FALSE),0)</f>
        <v>0</v>
      </c>
      <c r="V362" s="33">
        <f>Ruimtestaat[[#This Row],[Uitvoeringen werkdagen]]*Ruimtestaat[[#This Row],[Oppervlak (netto)]]</f>
        <v>2400</v>
      </c>
      <c r="W362" s="154">
        <f>IF(U362&gt;0,Ruimtestaat[[#This Row],[Prest. (m2 /jaar) werkdagen]]/Ruimtestaat[[#This Row],[Norm (m2/uur) werkdagen]],0)</f>
        <v>0</v>
      </c>
      <c r="X362" s="155">
        <f>Ruimtestaat[[#This Row],[uren / jaar werkdagen]]*Tariefsopbouw!$E$35</f>
        <v>0</v>
      </c>
      <c r="Y362" s="33"/>
      <c r="Z362" s="33">
        <f>IF(Ruimtestaat[[#This Row],[Frequentie weekend]]&gt;0,VALUE(LEFT(Y362,1))*R362,0)</f>
        <v>0</v>
      </c>
      <c r="AA362" s="97">
        <f>IF($Z362&gt;0,VLOOKUP($J362,Ruimtegroepen[],3,FALSE)*VLOOKUP($L362,Vloersoorten[],3,FALSE)*VLOOKUP($Y362,Frequenties[],3,FALSE)*VLOOKUP(Ruimtestaat[[#This Row],[Code]],Locaties[],3,FALSE),0)</f>
        <v>0</v>
      </c>
      <c r="AB362" s="97">
        <f>Ruimtestaat[[#This Row],[Uitvoeringen weekend]]*Ruimtestaat[[#This Row],[Oppervlak (netto)]]</f>
        <v>0</v>
      </c>
      <c r="AC362" s="97">
        <f>IF(AA362&gt;0,Ruimtestaat[[#This Row],[Prest. (m2 /jaar) weekend]]/Ruimtestaat[[#This Row],[Norm (m2/uur) weekend]],0)</f>
        <v>0</v>
      </c>
      <c r="AD362" s="155">
        <f>Ruimtestaat[[#This Row],[uren / jaar weekend]]*Tariefsopbouw!$D$40</f>
        <v>0</v>
      </c>
      <c r="AE362" s="154">
        <f>Ruimtestaat[[#This Row],[Prest. (m2 /jaar) weekend]]+Ruimtestaat[[#This Row],[Prest. (m2 /jaar) werkdagen]]</f>
        <v>2400</v>
      </c>
      <c r="AF362" s="154">
        <f>Ruimtestaat[[#This Row],[uren / jaar weekend]]+Ruimtestaat[[#This Row],[uren / jaar werkdagen]]</f>
        <v>0</v>
      </c>
      <c r="AG362" s="69">
        <f>Ruimtestaat[[#This Row],[kosten / jaar weekend]]+Ruimtestaat[[#This Row],[kosten / jaar werkdagen]]</f>
        <v>0</v>
      </c>
      <c r="AH362" s="69"/>
      <c r="AI362" s="256" t="str">
        <f>IF(Ruimtestaat[[#This Row],[Frequentie werkdagen]]="","",_xlfn.CONCAT(Ruimtestaat[[#This Row],[Ruimte code]],"-",Ruimtestaat[[#This Row],[Frequentie werkdagen]]," ",Ruimtestaat[[#This Row],[Vloer code]]))</f>
        <v>5-5w S</v>
      </c>
      <c r="AJ362" s="300" t="str">
        <f>_xlfn.IFNA(VLOOKUP($AI362,Programma!$F$3:$G$1107,2,0),"")</f>
        <v>_</v>
      </c>
      <c r="AK362" s="300" t="str">
        <f>_xlfn.IFNA(VLOOKUP($AI362,Programma!$F$3:$H$1107,3,0),"")</f>
        <v>_</v>
      </c>
      <c r="AL362" s="300" t="str">
        <f>_xlfn.IFNA(VLOOKUP($AI362,Programma!$F$3:$I$1107,4,0),"")</f>
        <v>_</v>
      </c>
      <c r="AM362" s="300" t="str">
        <f>_xlfn.IFNA(VLOOKUP($AI362,Programma!$F$3:$J$1107,5,0),"")</f>
        <v>4w</v>
      </c>
      <c r="AN362" s="300" t="str">
        <f>_xlfn.IFNA(VLOOKUP($AI362,Programma!$F$3:$K$1107,6,0),"")</f>
        <v>1w</v>
      </c>
      <c r="AO362" s="300" t="str">
        <f>_xlfn.IFNA(VLOOKUP($AI362,Programma!$F$3:$L$1107,7,0),"")</f>
        <v>_</v>
      </c>
      <c r="AP362" s="300" t="str">
        <f>_xlfn.IFNA(VLOOKUP($AI362,Programma!$F$3:$M$1107,8,0),"")</f>
        <v>_</v>
      </c>
      <c r="AQ362" s="300" t="str">
        <f>_xlfn.IFNA(VLOOKUP($AI362,Programma!$F$3:$N$1107,9,0),"")</f>
        <v>_</v>
      </c>
      <c r="AR362" s="300" t="str">
        <f>_xlfn.IFNA(VLOOKUP($AI362,Programma!$F$3:$O$1107,10,0),"")</f>
        <v>_</v>
      </c>
      <c r="AS362" s="300" t="str">
        <f>_xlfn.IFNA(VLOOKUP($AI362,Programma!$F$3:$P$1107,11,0),"")</f>
        <v>_</v>
      </c>
      <c r="AT362" s="300" t="str">
        <f>_xlfn.IFNA(VLOOKUP($AI362,Programma!$F$3:$Q$1107,12,0),"")</f>
        <v>_</v>
      </c>
      <c r="AU362" s="300" t="str">
        <f>_xlfn.IFNA(VLOOKUP($AI362,Programma!$F$3:$R$1107,13,0),"")</f>
        <v>_</v>
      </c>
      <c r="AV362" s="300" t="str">
        <f>_xlfn.IFNA(VLOOKUP($AI362,Programma!$F$3:$S$1107,14,0),"")</f>
        <v>_</v>
      </c>
      <c r="AW362" s="300" t="str">
        <f>_xlfn.IFNA(VLOOKUP($AI362,Programma!$F$3:$T$1107,15,0),"")</f>
        <v>_</v>
      </c>
      <c r="AX362" s="300" t="str">
        <f>_xlfn.IFNA(VLOOKUP($AI362,Programma!$F$3:$U$1107,16,0),"")</f>
        <v>_</v>
      </c>
      <c r="AY362" s="300" t="str">
        <f>_xlfn.IFNA(VLOOKUP($AI362,Programma!$F$3:$V$1107,17,0),"")</f>
        <v>_</v>
      </c>
      <c r="AZ362" s="300" t="str">
        <f>_xlfn.IFNA(VLOOKUP($AI362,Programma!$F$3:$W$1107,18,0),"")</f>
        <v>4w</v>
      </c>
      <c r="BA362" s="300" t="str">
        <f>_xlfn.IFNA(VLOOKUP($AI362,Programma!$F$3:$X$1107,19,0),"")</f>
        <v>1w</v>
      </c>
      <c r="BB362" s="300" t="str">
        <f>_xlfn.IFNA(VLOOKUP($AI362,Programma!$F$3:$Y$1107,20,0),"")</f>
        <v>_</v>
      </c>
      <c r="BC362" s="257"/>
      <c r="BD362" s="256" t="str">
        <f>IF(Ruimtestaat[[#This Row],[Frequentie weekend]]="","",_xlfn.CONCAT(Ruimtestaat[[#This Row],[Ruimte code]],"-",Ruimtestaat[[#This Row],[Frequentie weekend]]," ",Ruimtestaat[[#This Row],[Vloer code]]))</f>
        <v/>
      </c>
      <c r="BE362" s="300" t="str">
        <f>_xlfn.IFNA(VLOOKUP($BD362,Programma!$F$3:$G$1107,2,0),"")</f>
        <v/>
      </c>
      <c r="BF362" s="300" t="str">
        <f>_xlfn.IFNA(VLOOKUP($BD362,Programma!$F$3:$H$1107,3,0),"")</f>
        <v/>
      </c>
      <c r="BG362" s="300" t="str">
        <f>_xlfn.IFNA(VLOOKUP($BD362,Programma!$F$3:$I$1107,4,0),"")</f>
        <v/>
      </c>
      <c r="BH362" s="300" t="str">
        <f>_xlfn.IFNA(VLOOKUP($BD362,Programma!$F$3:$J$1107,5,0),"")</f>
        <v/>
      </c>
      <c r="BI362" s="300" t="str">
        <f>_xlfn.IFNA(VLOOKUP($BD362,Programma!$F$3:$K$1107,6,0),"")</f>
        <v/>
      </c>
      <c r="BJ362" s="300" t="str">
        <f>_xlfn.IFNA(VLOOKUP($BD362,Programma!$F$3:$L$1107,7,0),"")</f>
        <v/>
      </c>
      <c r="BK362" s="300" t="str">
        <f>_xlfn.IFNA(VLOOKUP($BD362,Programma!$F$3:$M$1107,8,0),"")</f>
        <v/>
      </c>
      <c r="BL362" s="300" t="str">
        <f>_xlfn.IFNA(VLOOKUP($BD362,Programma!$F$3:$N$1107,9,0),"")</f>
        <v/>
      </c>
      <c r="BM362" s="300" t="str">
        <f>_xlfn.IFNA(VLOOKUP($BD362,Programma!$F$3:$O$1107,10,0),"")</f>
        <v/>
      </c>
      <c r="BN362" s="300" t="str">
        <f>_xlfn.IFNA(VLOOKUP($BD362,Programma!$F$3:$P$1107,11,0),"")</f>
        <v/>
      </c>
      <c r="BO362" s="300" t="str">
        <f>_xlfn.IFNA(VLOOKUP($BD362,Programma!$F$3:$Q$1107,12,0),"")</f>
        <v/>
      </c>
      <c r="BP362" s="300" t="str">
        <f>_xlfn.IFNA(VLOOKUP($BD362,Programma!$F$3:$R$1107,13,0),"")</f>
        <v/>
      </c>
      <c r="BQ362" s="300" t="str">
        <f>_xlfn.IFNA(VLOOKUP($BD362,Programma!$F$3:$S$1107,14,0),"")</f>
        <v/>
      </c>
      <c r="BR362" s="300" t="str">
        <f>_xlfn.IFNA(VLOOKUP($BD362,Programma!$F$3:$T$1107,15,0),"")</f>
        <v/>
      </c>
      <c r="BS362" s="300" t="str">
        <f>_xlfn.IFNA(VLOOKUP($BD362,Programma!$F$3:$U$1107,16,0),"")</f>
        <v/>
      </c>
      <c r="BT362" s="300" t="str">
        <f>_xlfn.IFNA(VLOOKUP($BD362,Programma!$F$3:$V$1107,17,0),"")</f>
        <v/>
      </c>
      <c r="BU362" s="300" t="str">
        <f>_xlfn.IFNA(VLOOKUP($BD362,Programma!$F$3:$W$1107,18,0),"")</f>
        <v/>
      </c>
      <c r="BV362" s="300" t="str">
        <f>_xlfn.IFNA(VLOOKUP($BD362,Programma!$F$3:$X$1107,19,0),"")</f>
        <v/>
      </c>
      <c r="BW362" s="300" t="str">
        <f>_xlfn.IFNA(VLOOKUP($BD362,Programma!$F$3:$Y$1107,20,0),"")</f>
        <v/>
      </c>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row>
    <row r="363" spans="1:220" ht="15" customHeight="1">
      <c r="A363" s="21">
        <v>5</v>
      </c>
      <c r="B363" s="157" t="str">
        <f>VLOOKUP(Ruimtestaat[[#This Row],[Code]],Locaties[[Code]:[Locatie]],2,FALSE)</f>
        <v>François Vatel vmbo</v>
      </c>
      <c r="C363" s="157" t="str">
        <f>VLOOKUP(Ruimtestaat[[#This Row],[Code]],Locaties[[#All],[Code]:[Adres]],4,FALSE)</f>
        <v>Granaathorst 20</v>
      </c>
      <c r="D363" s="157" t="str">
        <f>VLOOKUP(Ruimtestaat[[#This Row],[Code]],Locaties[[#All],[Code]:[Postcode]],5,FALSE)</f>
        <v>2592 TD</v>
      </c>
      <c r="E363" s="157" t="str">
        <f>VLOOKUP(Ruimtestaat[[#This Row],[Code]],Locaties[#All],6,FALSE)</f>
        <v>Den Haag</v>
      </c>
      <c r="F363" s="62"/>
      <c r="G363" s="21" t="s">
        <v>1632</v>
      </c>
      <c r="H363" s="21">
        <v>21</v>
      </c>
      <c r="I363" s="62" t="s">
        <v>2025</v>
      </c>
      <c r="J363" s="21">
        <v>16</v>
      </c>
      <c r="K363" s="62" t="str">
        <f>VLOOKUP(Ruimtestaat[[#This Row],[Ruimte code]],Ruimtegroepen[[#All],[Code]:[Ruimte omschrijving]],2,FALSE)</f>
        <v>Leslokalen theorie</v>
      </c>
      <c r="L363" s="33" t="s">
        <v>101</v>
      </c>
      <c r="M363" s="367" t="s">
        <v>2495</v>
      </c>
      <c r="N363" s="140">
        <v>85</v>
      </c>
      <c r="O363" s="140"/>
      <c r="P363" s="125" t="str">
        <f>VLOOKUP(Ruimtestaat[[#This Row],[Ruimte code]],Ruimtegroepen[],4,FALSE)</f>
        <v>Le</v>
      </c>
      <c r="R363" s="33">
        <v>40</v>
      </c>
      <c r="S363" s="33" t="s">
        <v>2</v>
      </c>
      <c r="T363" s="33">
        <f>IF(R363&gt;0,IF(RIGHT(Ruimtestaat[[#This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3" s="33">
        <f>IF(T363&gt;0,VLOOKUP($J363,Ruimtegroepen[],3,FALSE)*VLOOKUP($L363,Vloersoorten[],3,FALSE)*VLOOKUP($S363,Frequenties[],3,FALSE)*VLOOKUP($A363,Locaties[],3,FALSE),0)</f>
        <v>0</v>
      </c>
      <c r="V363" s="33">
        <f>Ruimtestaat[[#This Row],[Uitvoeringen werkdagen]]*Ruimtestaat[[#This Row],[Oppervlak (netto)]]</f>
        <v>17000</v>
      </c>
      <c r="W363" s="154">
        <f>IF(U363&gt;0,Ruimtestaat[[#This Row],[Prest. (m2 /jaar) werkdagen]]/Ruimtestaat[[#This Row],[Norm (m2/uur) werkdagen]],0)</f>
        <v>0</v>
      </c>
      <c r="X363" s="155">
        <f>Ruimtestaat[[#This Row],[uren / jaar werkdagen]]*Tariefsopbouw!$E$35</f>
        <v>0</v>
      </c>
      <c r="Y363" s="33"/>
      <c r="Z363" s="33">
        <f>IF(Ruimtestaat[[#This Row],[Frequentie weekend]]&gt;0,VALUE(LEFT(Y363,1))*R363,0)</f>
        <v>0</v>
      </c>
      <c r="AA363" s="97">
        <f>IF($Z363&gt;0,VLOOKUP($J363,Ruimtegroepen[],3,FALSE)*VLOOKUP($L363,Vloersoorten[],3,FALSE)*VLOOKUP($Y363,Frequenties[],3,FALSE)*VLOOKUP(Ruimtestaat[[#This Row],[Code]],Locaties[],3,FALSE),0)</f>
        <v>0</v>
      </c>
      <c r="AB363" s="97">
        <f>Ruimtestaat[[#This Row],[Uitvoeringen weekend]]*Ruimtestaat[[#This Row],[Oppervlak (netto)]]</f>
        <v>0</v>
      </c>
      <c r="AC363" s="97">
        <f>IF(AA363&gt;0,Ruimtestaat[[#This Row],[Prest. (m2 /jaar) weekend]]/Ruimtestaat[[#This Row],[Norm (m2/uur) weekend]],0)</f>
        <v>0</v>
      </c>
      <c r="AD363" s="155">
        <f>Ruimtestaat[[#This Row],[uren / jaar weekend]]*Tariefsopbouw!$D$40</f>
        <v>0</v>
      </c>
      <c r="AE363" s="154">
        <f>Ruimtestaat[[#This Row],[Prest. (m2 /jaar) weekend]]+Ruimtestaat[[#This Row],[Prest. (m2 /jaar) werkdagen]]</f>
        <v>17000</v>
      </c>
      <c r="AF363" s="154">
        <f>Ruimtestaat[[#This Row],[uren / jaar weekend]]+Ruimtestaat[[#This Row],[uren / jaar werkdagen]]</f>
        <v>0</v>
      </c>
      <c r="AG363" s="69">
        <f>Ruimtestaat[[#This Row],[kosten / jaar weekend]]+Ruimtestaat[[#This Row],[kosten / jaar werkdagen]]</f>
        <v>0</v>
      </c>
      <c r="AH363" s="69"/>
      <c r="AI363" s="256" t="str">
        <f>IF(Ruimtestaat[[#This Row],[Frequentie werkdagen]]="","",_xlfn.CONCAT(Ruimtestaat[[#This Row],[Ruimte code]],"-",Ruimtestaat[[#This Row],[Frequentie werkdagen]]," ",Ruimtestaat[[#This Row],[Vloer code]]))</f>
        <v>16-5w L</v>
      </c>
      <c r="AJ363" s="300" t="str">
        <f>_xlfn.IFNA(VLOOKUP($AI363,Programma!$F$3:$G$1107,2,0),"")</f>
        <v>_</v>
      </c>
      <c r="AK363" s="300" t="str">
        <f>_xlfn.IFNA(VLOOKUP($AI363,Programma!$F$3:$H$1107,3,0),"")</f>
        <v>_</v>
      </c>
      <c r="AL363" s="300" t="str">
        <f>_xlfn.IFNA(VLOOKUP($AI363,Programma!$F$3:$I$1107,4,0),"")</f>
        <v>4w</v>
      </c>
      <c r="AM363" s="300" t="str">
        <f>_xlfn.IFNA(VLOOKUP($AI363,Programma!$F$3:$J$1107,5,0),"")</f>
        <v>1w</v>
      </c>
      <c r="AN363" s="300" t="str">
        <f>_xlfn.IFNA(VLOOKUP($AI363,Programma!$F$3:$K$1107,6,0),"")</f>
        <v>_</v>
      </c>
      <c r="AO363" s="300" t="str">
        <f>_xlfn.IFNA(VLOOKUP($AI363,Programma!$F$3:$L$1107,7,0),"")</f>
        <v>_</v>
      </c>
      <c r="AP363" s="300" t="str">
        <f>_xlfn.IFNA(VLOOKUP($AI363,Programma!$F$3:$M$1107,8,0),"")</f>
        <v>_</v>
      </c>
      <c r="AQ363" s="300" t="str">
        <f>_xlfn.IFNA(VLOOKUP($AI363,Programma!$F$3:$N$1107,9,0),"")</f>
        <v>_</v>
      </c>
      <c r="AR363" s="300" t="str">
        <f>_xlfn.IFNA(VLOOKUP($AI363,Programma!$F$3:$O$1107,10,0),"")</f>
        <v>5w</v>
      </c>
      <c r="AS363" s="300" t="str">
        <f>_xlfn.IFNA(VLOOKUP($AI363,Programma!$F$3:$P$1107,11,0),"")</f>
        <v>5w</v>
      </c>
      <c r="AT363" s="300" t="str">
        <f>_xlfn.IFNA(VLOOKUP($AI363,Programma!$F$3:$Q$1107,12,0),"")</f>
        <v>1w</v>
      </c>
      <c r="AU363" s="300" t="str">
        <f>_xlfn.IFNA(VLOOKUP($AI363,Programma!$F$3:$R$1107,13,0),"")</f>
        <v>1w</v>
      </c>
      <c r="AV363" s="300" t="str">
        <f>_xlfn.IFNA(VLOOKUP($AI363,Programma!$F$3:$S$1107,14,0),"")</f>
        <v>1m</v>
      </c>
      <c r="AW363" s="300" t="str">
        <f>_xlfn.IFNA(VLOOKUP($AI363,Programma!$F$3:$T$1107,15,0),"")</f>
        <v>2j</v>
      </c>
      <c r="AX363" s="300" t="str">
        <f>_xlfn.IFNA(VLOOKUP($AI363,Programma!$F$3:$U$1107,16,0),"")</f>
        <v>1j</v>
      </c>
      <c r="AY363" s="300" t="str">
        <f>_xlfn.IFNA(VLOOKUP($AI363,Programma!$F$3:$V$1107,17,0),"")</f>
        <v>_</v>
      </c>
      <c r="AZ363" s="300" t="str">
        <f>_xlfn.IFNA(VLOOKUP($AI363,Programma!$F$3:$W$1107,18,0),"")</f>
        <v>_</v>
      </c>
      <c r="BA363" s="300" t="str">
        <f>_xlfn.IFNA(VLOOKUP($AI363,Programma!$F$3:$X$1107,19,0),"")</f>
        <v>_</v>
      </c>
      <c r="BB363" s="300" t="str">
        <f>_xlfn.IFNA(VLOOKUP($AI363,Programma!$F$3:$Y$1107,20,0),"")</f>
        <v>_</v>
      </c>
      <c r="BC363" s="257"/>
      <c r="BD363" s="256" t="str">
        <f>IF(Ruimtestaat[[#This Row],[Frequentie weekend]]="","",_xlfn.CONCAT(Ruimtestaat[[#This Row],[Ruimte code]],"-",Ruimtestaat[[#This Row],[Frequentie weekend]]," ",Ruimtestaat[[#This Row],[Vloer code]]))</f>
        <v/>
      </c>
      <c r="BE363" s="300" t="str">
        <f>_xlfn.IFNA(VLOOKUP($BD363,Programma!$F$3:$G$1107,2,0),"")</f>
        <v/>
      </c>
      <c r="BF363" s="300" t="str">
        <f>_xlfn.IFNA(VLOOKUP($BD363,Programma!$F$3:$H$1107,3,0),"")</f>
        <v/>
      </c>
      <c r="BG363" s="300" t="str">
        <f>_xlfn.IFNA(VLOOKUP($BD363,Programma!$F$3:$I$1107,4,0),"")</f>
        <v/>
      </c>
      <c r="BH363" s="300" t="str">
        <f>_xlfn.IFNA(VLOOKUP($BD363,Programma!$F$3:$J$1107,5,0),"")</f>
        <v/>
      </c>
      <c r="BI363" s="300" t="str">
        <f>_xlfn.IFNA(VLOOKUP($BD363,Programma!$F$3:$K$1107,6,0),"")</f>
        <v/>
      </c>
      <c r="BJ363" s="300" t="str">
        <f>_xlfn.IFNA(VLOOKUP($BD363,Programma!$F$3:$L$1107,7,0),"")</f>
        <v/>
      </c>
      <c r="BK363" s="300" t="str">
        <f>_xlfn.IFNA(VLOOKUP($BD363,Programma!$F$3:$M$1107,8,0),"")</f>
        <v/>
      </c>
      <c r="BL363" s="300" t="str">
        <f>_xlfn.IFNA(VLOOKUP($BD363,Programma!$F$3:$N$1107,9,0),"")</f>
        <v/>
      </c>
      <c r="BM363" s="300" t="str">
        <f>_xlfn.IFNA(VLOOKUP($BD363,Programma!$F$3:$O$1107,10,0),"")</f>
        <v/>
      </c>
      <c r="BN363" s="300" t="str">
        <f>_xlfn.IFNA(VLOOKUP($BD363,Programma!$F$3:$P$1107,11,0),"")</f>
        <v/>
      </c>
      <c r="BO363" s="300" t="str">
        <f>_xlfn.IFNA(VLOOKUP($BD363,Programma!$F$3:$Q$1107,12,0),"")</f>
        <v/>
      </c>
      <c r="BP363" s="300" t="str">
        <f>_xlfn.IFNA(VLOOKUP($BD363,Programma!$F$3:$R$1107,13,0),"")</f>
        <v/>
      </c>
      <c r="BQ363" s="300" t="str">
        <f>_xlfn.IFNA(VLOOKUP($BD363,Programma!$F$3:$S$1107,14,0),"")</f>
        <v/>
      </c>
      <c r="BR363" s="300" t="str">
        <f>_xlfn.IFNA(VLOOKUP($BD363,Programma!$F$3:$T$1107,15,0),"")</f>
        <v/>
      </c>
      <c r="BS363" s="300" t="str">
        <f>_xlfn.IFNA(VLOOKUP($BD363,Programma!$F$3:$U$1107,16,0),"")</f>
        <v/>
      </c>
      <c r="BT363" s="300" t="str">
        <f>_xlfn.IFNA(VLOOKUP($BD363,Programma!$F$3:$V$1107,17,0),"")</f>
        <v/>
      </c>
      <c r="BU363" s="300" t="str">
        <f>_xlfn.IFNA(VLOOKUP($BD363,Programma!$F$3:$W$1107,18,0),"")</f>
        <v/>
      </c>
      <c r="BV363" s="300" t="str">
        <f>_xlfn.IFNA(VLOOKUP($BD363,Programma!$F$3:$X$1107,19,0),"")</f>
        <v/>
      </c>
      <c r="BW363" s="300" t="str">
        <f>_xlfn.IFNA(VLOOKUP($BD363,Programma!$F$3:$Y$1107,20,0),"")</f>
        <v/>
      </c>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row>
    <row r="364" spans="1:220" ht="15" customHeight="1">
      <c r="A364" s="21">
        <v>5</v>
      </c>
      <c r="B364" s="157" t="str">
        <f>VLOOKUP(Ruimtestaat[[#This Row],[Code]],Locaties[[Code]:[Locatie]],2,FALSE)</f>
        <v>François Vatel vmbo</v>
      </c>
      <c r="C364" s="157" t="str">
        <f>VLOOKUP(Ruimtestaat[[#This Row],[Code]],Locaties[[#All],[Code]:[Adres]],4,FALSE)</f>
        <v>Granaathorst 20</v>
      </c>
      <c r="D364" s="157" t="str">
        <f>VLOOKUP(Ruimtestaat[[#This Row],[Code]],Locaties[[#All],[Code]:[Postcode]],5,FALSE)</f>
        <v>2592 TD</v>
      </c>
      <c r="E364" s="157" t="str">
        <f>VLOOKUP(Ruimtestaat[[#This Row],[Code]],Locaties[#All],6,FALSE)</f>
        <v>Den Haag</v>
      </c>
      <c r="F364" s="62"/>
      <c r="G364" s="21" t="s">
        <v>1632</v>
      </c>
      <c r="H364" s="21">
        <v>23</v>
      </c>
      <c r="I364" s="62" t="s">
        <v>2026</v>
      </c>
      <c r="J364" s="21">
        <v>12</v>
      </c>
      <c r="K364" s="62" t="str">
        <f>VLOOKUP(Ruimtestaat[[#This Row],[Ruimte code]],Ruimtegroepen[[#All],[Code]:[Ruimte omschrijving]],2,FALSE)</f>
        <v>Kantine</v>
      </c>
      <c r="L364" s="33" t="s">
        <v>103</v>
      </c>
      <c r="M364" s="367" t="s">
        <v>2512</v>
      </c>
      <c r="N364" s="140">
        <v>227</v>
      </c>
      <c r="O364" s="140"/>
      <c r="P364" s="125" t="str">
        <f>VLOOKUP(Ruimtestaat[[#This Row],[Ruimte code]],Ruimtegroepen[],4,FALSE)</f>
        <v>Ve</v>
      </c>
      <c r="R364" s="33">
        <v>40</v>
      </c>
      <c r="S364" s="33" t="s">
        <v>2</v>
      </c>
      <c r="T364" s="33">
        <f>IF(R364&gt;0,IF(RIGHT(Ruimtestaat[[#This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4" s="33">
        <f>IF(T364&gt;0,VLOOKUP($J364,Ruimtegroepen[],3,FALSE)*VLOOKUP($L364,Vloersoorten[],3,FALSE)*VLOOKUP($S364,Frequenties[],3,FALSE)*VLOOKUP($A364,Locaties[],3,FALSE),0)</f>
        <v>0</v>
      </c>
      <c r="V364" s="33">
        <f>Ruimtestaat[[#This Row],[Uitvoeringen werkdagen]]*Ruimtestaat[[#This Row],[Oppervlak (netto)]]</f>
        <v>45400</v>
      </c>
      <c r="W364" s="154">
        <f>IF(U364&gt;0,Ruimtestaat[[#This Row],[Prest. (m2 /jaar) werkdagen]]/Ruimtestaat[[#This Row],[Norm (m2/uur) werkdagen]],0)</f>
        <v>0</v>
      </c>
      <c r="X364" s="155">
        <f>Ruimtestaat[[#This Row],[uren / jaar werkdagen]]*Tariefsopbouw!$E$35</f>
        <v>0</v>
      </c>
      <c r="Y364" s="33"/>
      <c r="Z364" s="33">
        <f>IF(Ruimtestaat[[#This Row],[Frequentie weekend]]&gt;0,VALUE(LEFT(Y364,1))*R364,0)</f>
        <v>0</v>
      </c>
      <c r="AA364" s="97">
        <f>IF($Z364&gt;0,VLOOKUP($J364,Ruimtegroepen[],3,FALSE)*VLOOKUP($L364,Vloersoorten[],3,FALSE)*VLOOKUP($Y364,Frequenties[],3,FALSE)*VLOOKUP(Ruimtestaat[[#This Row],[Code]],Locaties[],3,FALSE),0)</f>
        <v>0</v>
      </c>
      <c r="AB364" s="97">
        <f>Ruimtestaat[[#This Row],[Uitvoeringen weekend]]*Ruimtestaat[[#This Row],[Oppervlak (netto)]]</f>
        <v>0</v>
      </c>
      <c r="AC364" s="97">
        <f>IF(AA364&gt;0,Ruimtestaat[[#This Row],[Prest. (m2 /jaar) weekend]]/Ruimtestaat[[#This Row],[Norm (m2/uur) weekend]],0)</f>
        <v>0</v>
      </c>
      <c r="AD364" s="155">
        <f>Ruimtestaat[[#This Row],[uren / jaar weekend]]*Tariefsopbouw!$D$40</f>
        <v>0</v>
      </c>
      <c r="AE364" s="154">
        <f>Ruimtestaat[[#This Row],[Prest. (m2 /jaar) weekend]]+Ruimtestaat[[#This Row],[Prest. (m2 /jaar) werkdagen]]</f>
        <v>45400</v>
      </c>
      <c r="AF364" s="154">
        <f>Ruimtestaat[[#This Row],[uren / jaar weekend]]+Ruimtestaat[[#This Row],[uren / jaar werkdagen]]</f>
        <v>0</v>
      </c>
      <c r="AG364" s="69">
        <f>Ruimtestaat[[#This Row],[kosten / jaar weekend]]+Ruimtestaat[[#This Row],[kosten / jaar werkdagen]]</f>
        <v>0</v>
      </c>
      <c r="AH364" s="69"/>
      <c r="AI364" s="256" t="str">
        <f>IF(Ruimtestaat[[#This Row],[Frequentie werkdagen]]="","",_xlfn.CONCAT(Ruimtestaat[[#This Row],[Ruimte code]],"-",Ruimtestaat[[#This Row],[Frequentie werkdagen]]," ",Ruimtestaat[[#This Row],[Vloer code]]))</f>
        <v>12-5w P</v>
      </c>
      <c r="AJ364" s="300" t="str">
        <f>_xlfn.IFNA(VLOOKUP($AI364,Programma!$F$3:$G$1107,2,0),"")</f>
        <v>_</v>
      </c>
      <c r="AK364" s="300" t="str">
        <f>_xlfn.IFNA(VLOOKUP($AI364,Programma!$F$3:$H$1107,3,0),"")</f>
        <v>_</v>
      </c>
      <c r="AL364" s="300" t="str">
        <f>_xlfn.IFNA(VLOOKUP($AI364,Programma!$F$3:$I$1107,4,0),"")</f>
        <v>5w</v>
      </c>
      <c r="AM364" s="300" t="str">
        <f>_xlfn.IFNA(VLOOKUP($AI364,Programma!$F$3:$J$1107,5,0),"")</f>
        <v>_</v>
      </c>
      <c r="AN364" s="300" t="str">
        <f>_xlfn.IFNA(VLOOKUP($AI364,Programma!$F$3:$K$1107,6,0),"")</f>
        <v>5w</v>
      </c>
      <c r="AO364" s="300" t="str">
        <f>_xlfn.IFNA(VLOOKUP($AI364,Programma!$F$3:$L$1107,7,0),"")</f>
        <v>_</v>
      </c>
      <c r="AP364" s="300" t="str">
        <f>_xlfn.IFNA(VLOOKUP($AI364,Programma!$F$3:$M$1107,8,0),"")</f>
        <v>_</v>
      </c>
      <c r="AQ364" s="300" t="str">
        <f>_xlfn.IFNA(VLOOKUP($AI364,Programma!$F$3:$N$1107,9,0),"")</f>
        <v>_</v>
      </c>
      <c r="AR364" s="300" t="str">
        <f>_xlfn.IFNA(VLOOKUP($AI364,Programma!$F$3:$O$1107,10,0),"")</f>
        <v>5w</v>
      </c>
      <c r="AS364" s="300" t="str">
        <f>_xlfn.IFNA(VLOOKUP($AI364,Programma!$F$3:$P$1107,11,0),"")</f>
        <v>5w</v>
      </c>
      <c r="AT364" s="300" t="str">
        <f>_xlfn.IFNA(VLOOKUP($AI364,Programma!$F$3:$Q$1107,12,0),"")</f>
        <v>1w</v>
      </c>
      <c r="AU364" s="300" t="str">
        <f>_xlfn.IFNA(VLOOKUP($AI364,Programma!$F$3:$R$1107,13,0),"")</f>
        <v>1w</v>
      </c>
      <c r="AV364" s="300" t="str">
        <f>_xlfn.IFNA(VLOOKUP($AI364,Programma!$F$3:$S$1107,14,0),"")</f>
        <v>1m</v>
      </c>
      <c r="AW364" s="300" t="str">
        <f>_xlfn.IFNA(VLOOKUP($AI364,Programma!$F$3:$T$1107,15,0),"")</f>
        <v>2j</v>
      </c>
      <c r="AX364" s="300" t="str">
        <f>_xlfn.IFNA(VLOOKUP($AI364,Programma!$F$3:$U$1107,16,0),"")</f>
        <v>1j</v>
      </c>
      <c r="AY364" s="300" t="str">
        <f>_xlfn.IFNA(VLOOKUP($AI364,Programma!$F$3:$V$1107,17,0),"")</f>
        <v>_</v>
      </c>
      <c r="AZ364" s="300" t="str">
        <f>_xlfn.IFNA(VLOOKUP($AI364,Programma!$F$3:$W$1107,18,0),"")</f>
        <v>_</v>
      </c>
      <c r="BA364" s="300" t="str">
        <f>_xlfn.IFNA(VLOOKUP($AI364,Programma!$F$3:$X$1107,19,0),"")</f>
        <v>_</v>
      </c>
      <c r="BB364" s="300" t="str">
        <f>_xlfn.IFNA(VLOOKUP($AI364,Programma!$F$3:$Y$1107,20,0),"")</f>
        <v>_</v>
      </c>
      <c r="BC364" s="257"/>
      <c r="BD364" s="256" t="str">
        <f>IF(Ruimtestaat[[#This Row],[Frequentie weekend]]="","",_xlfn.CONCAT(Ruimtestaat[[#This Row],[Ruimte code]],"-",Ruimtestaat[[#This Row],[Frequentie weekend]]," ",Ruimtestaat[[#This Row],[Vloer code]]))</f>
        <v/>
      </c>
      <c r="BE364" s="300" t="str">
        <f>_xlfn.IFNA(VLOOKUP($BD364,Programma!$F$3:$G$1107,2,0),"")</f>
        <v/>
      </c>
      <c r="BF364" s="300" t="str">
        <f>_xlfn.IFNA(VLOOKUP($BD364,Programma!$F$3:$H$1107,3,0),"")</f>
        <v/>
      </c>
      <c r="BG364" s="300" t="str">
        <f>_xlfn.IFNA(VLOOKUP($BD364,Programma!$F$3:$I$1107,4,0),"")</f>
        <v/>
      </c>
      <c r="BH364" s="300" t="str">
        <f>_xlfn.IFNA(VLOOKUP($BD364,Programma!$F$3:$J$1107,5,0),"")</f>
        <v/>
      </c>
      <c r="BI364" s="300" t="str">
        <f>_xlfn.IFNA(VLOOKUP($BD364,Programma!$F$3:$K$1107,6,0),"")</f>
        <v/>
      </c>
      <c r="BJ364" s="300" t="str">
        <f>_xlfn.IFNA(VLOOKUP($BD364,Programma!$F$3:$L$1107,7,0),"")</f>
        <v/>
      </c>
      <c r="BK364" s="300" t="str">
        <f>_xlfn.IFNA(VLOOKUP($BD364,Programma!$F$3:$M$1107,8,0),"")</f>
        <v/>
      </c>
      <c r="BL364" s="300" t="str">
        <f>_xlfn.IFNA(VLOOKUP($BD364,Programma!$F$3:$N$1107,9,0),"")</f>
        <v/>
      </c>
      <c r="BM364" s="300" t="str">
        <f>_xlfn.IFNA(VLOOKUP($BD364,Programma!$F$3:$O$1107,10,0),"")</f>
        <v/>
      </c>
      <c r="BN364" s="300" t="str">
        <f>_xlfn.IFNA(VLOOKUP($BD364,Programma!$F$3:$P$1107,11,0),"")</f>
        <v/>
      </c>
      <c r="BO364" s="300" t="str">
        <f>_xlfn.IFNA(VLOOKUP($BD364,Programma!$F$3:$Q$1107,12,0),"")</f>
        <v/>
      </c>
      <c r="BP364" s="300" t="str">
        <f>_xlfn.IFNA(VLOOKUP($BD364,Programma!$F$3:$R$1107,13,0),"")</f>
        <v/>
      </c>
      <c r="BQ364" s="300" t="str">
        <f>_xlfn.IFNA(VLOOKUP($BD364,Programma!$F$3:$S$1107,14,0),"")</f>
        <v/>
      </c>
      <c r="BR364" s="300" t="str">
        <f>_xlfn.IFNA(VLOOKUP($BD364,Programma!$F$3:$T$1107,15,0),"")</f>
        <v/>
      </c>
      <c r="BS364" s="300" t="str">
        <f>_xlfn.IFNA(VLOOKUP($BD364,Programma!$F$3:$U$1107,16,0),"")</f>
        <v/>
      </c>
      <c r="BT364" s="300" t="str">
        <f>_xlfn.IFNA(VLOOKUP($BD364,Programma!$F$3:$V$1107,17,0),"")</f>
        <v/>
      </c>
      <c r="BU364" s="300" t="str">
        <f>_xlfn.IFNA(VLOOKUP($BD364,Programma!$F$3:$W$1107,18,0),"")</f>
        <v/>
      </c>
      <c r="BV364" s="300" t="str">
        <f>_xlfn.IFNA(VLOOKUP($BD364,Programma!$F$3:$X$1107,19,0),"")</f>
        <v/>
      </c>
      <c r="BW364" s="300" t="str">
        <f>_xlfn.IFNA(VLOOKUP($BD364,Programma!$F$3:$Y$1107,20,0),"")</f>
        <v/>
      </c>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row>
    <row r="365" spans="1:220" ht="15" customHeight="1">
      <c r="A365" s="21">
        <v>5</v>
      </c>
      <c r="B365" s="157" t="str">
        <f>VLOOKUP(Ruimtestaat[[#This Row],[Code]],Locaties[[Code]:[Locatie]],2,FALSE)</f>
        <v>François Vatel vmbo</v>
      </c>
      <c r="C365" s="157" t="str">
        <f>VLOOKUP(Ruimtestaat[[#This Row],[Code]],Locaties[[#All],[Code]:[Adres]],4,FALSE)</f>
        <v>Granaathorst 20</v>
      </c>
      <c r="D365" s="157" t="str">
        <f>VLOOKUP(Ruimtestaat[[#This Row],[Code]],Locaties[[#All],[Code]:[Postcode]],5,FALSE)</f>
        <v>2592 TD</v>
      </c>
      <c r="E365" s="157" t="str">
        <f>VLOOKUP(Ruimtestaat[[#This Row],[Code]],Locaties[#All],6,FALSE)</f>
        <v>Den Haag</v>
      </c>
      <c r="F365" s="62"/>
      <c r="G365" s="21" t="s">
        <v>1632</v>
      </c>
      <c r="H365" s="21">
        <v>24</v>
      </c>
      <c r="I365" s="62" t="s">
        <v>2027</v>
      </c>
      <c r="J365" s="21">
        <v>2</v>
      </c>
      <c r="K365" s="62" t="str">
        <f>VLOOKUP(Ruimtestaat[[#This Row],[Ruimte code]],Ruimtegroepen[[#All],[Code]:[Ruimte omschrijving]],2,FALSE)</f>
        <v>Kantoren</v>
      </c>
      <c r="L365" s="33" t="s">
        <v>103</v>
      </c>
      <c r="M365" s="367" t="s">
        <v>2497</v>
      </c>
      <c r="N365" s="140">
        <v>8</v>
      </c>
      <c r="O365" s="140"/>
      <c r="P365" s="125" t="str">
        <f>VLOOKUP(Ruimtestaat[[#This Row],[Ruimte code]],Ruimtegroepen[],4,FALSE)</f>
        <v>Bu</v>
      </c>
      <c r="R365" s="33">
        <v>42</v>
      </c>
      <c r="S365" s="33" t="s">
        <v>18</v>
      </c>
      <c r="T365" s="33">
        <f>IF(R365&gt;0,IF(RIGHT(Ruimtestaat[[#This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65" s="33">
        <f>IF(T365&gt;0,VLOOKUP($J365,Ruimtegroepen[],3,FALSE)*VLOOKUP($L365,Vloersoorten[],3,FALSE)*VLOOKUP($S365,Frequenties[],3,FALSE)*VLOOKUP($A365,Locaties[],3,FALSE),0)</f>
        <v>0</v>
      </c>
      <c r="V365" s="33">
        <f>Ruimtestaat[[#This Row],[Uitvoeringen werkdagen]]*Ruimtestaat[[#This Row],[Oppervlak (netto)]]</f>
        <v>1008</v>
      </c>
      <c r="W365" s="154">
        <f>IF(U365&gt;0,Ruimtestaat[[#This Row],[Prest. (m2 /jaar) werkdagen]]/Ruimtestaat[[#This Row],[Norm (m2/uur) werkdagen]],0)</f>
        <v>0</v>
      </c>
      <c r="X365" s="155">
        <f>Ruimtestaat[[#This Row],[uren / jaar werkdagen]]*Tariefsopbouw!$E$35</f>
        <v>0</v>
      </c>
      <c r="Y365" s="33"/>
      <c r="Z365" s="33">
        <f>IF(Ruimtestaat[[#This Row],[Frequentie weekend]]&gt;0,VALUE(LEFT(Y365,1))*R365,0)</f>
        <v>0</v>
      </c>
      <c r="AA365" s="97">
        <f>IF($Z365&gt;0,VLOOKUP($J365,Ruimtegroepen[],3,FALSE)*VLOOKUP($L365,Vloersoorten[],3,FALSE)*VLOOKUP($Y365,Frequenties[],3,FALSE)*VLOOKUP(Ruimtestaat[[#This Row],[Code]],Locaties[],3,FALSE),0)</f>
        <v>0</v>
      </c>
      <c r="AB365" s="97">
        <f>Ruimtestaat[[#This Row],[Uitvoeringen weekend]]*Ruimtestaat[[#This Row],[Oppervlak (netto)]]</f>
        <v>0</v>
      </c>
      <c r="AC365" s="97">
        <f>IF(AA365&gt;0,Ruimtestaat[[#This Row],[Prest. (m2 /jaar) weekend]]/Ruimtestaat[[#This Row],[Norm (m2/uur) weekend]],0)</f>
        <v>0</v>
      </c>
      <c r="AD365" s="155">
        <f>Ruimtestaat[[#This Row],[uren / jaar weekend]]*Tariefsopbouw!$D$40</f>
        <v>0</v>
      </c>
      <c r="AE365" s="154">
        <f>Ruimtestaat[[#This Row],[Prest. (m2 /jaar) weekend]]+Ruimtestaat[[#This Row],[Prest. (m2 /jaar) werkdagen]]</f>
        <v>1008</v>
      </c>
      <c r="AF365" s="154">
        <f>Ruimtestaat[[#This Row],[uren / jaar weekend]]+Ruimtestaat[[#This Row],[uren / jaar werkdagen]]</f>
        <v>0</v>
      </c>
      <c r="AG365" s="69">
        <f>Ruimtestaat[[#This Row],[kosten / jaar weekend]]+Ruimtestaat[[#This Row],[kosten / jaar werkdagen]]</f>
        <v>0</v>
      </c>
      <c r="AH365" s="69"/>
      <c r="AI365" s="256" t="str">
        <f>IF(Ruimtestaat[[#This Row],[Frequentie werkdagen]]="","",_xlfn.CONCAT(Ruimtestaat[[#This Row],[Ruimte code]],"-",Ruimtestaat[[#This Row],[Frequentie werkdagen]]," ",Ruimtestaat[[#This Row],[Vloer code]]))</f>
        <v>2-3w P</v>
      </c>
      <c r="AJ365" s="300" t="str">
        <f>_xlfn.IFNA(VLOOKUP($AI365,Programma!$F$3:$G$1107,2,0),"")</f>
        <v>_</v>
      </c>
      <c r="AK365" s="300" t="str">
        <f>_xlfn.IFNA(VLOOKUP($AI365,Programma!$F$3:$H$1107,3,0),"")</f>
        <v>_</v>
      </c>
      <c r="AL365" s="300" t="str">
        <f>_xlfn.IFNA(VLOOKUP($AI365,Programma!$F$3:$I$1107,4,0),"")</f>
        <v>2w</v>
      </c>
      <c r="AM365" s="300" t="str">
        <f>_xlfn.IFNA(VLOOKUP($AI365,Programma!$F$3:$J$1107,5,0),"")</f>
        <v>1w</v>
      </c>
      <c r="AN365" s="300" t="str">
        <f>_xlfn.IFNA(VLOOKUP($AI365,Programma!$F$3:$K$1107,6,0),"")</f>
        <v>1j</v>
      </c>
      <c r="AO365" s="300" t="str">
        <f>_xlfn.IFNA(VLOOKUP($AI365,Programma!$F$3:$L$1107,7,0),"")</f>
        <v>_</v>
      </c>
      <c r="AP365" s="300" t="str">
        <f>_xlfn.IFNA(VLOOKUP($AI365,Programma!$F$3:$M$1107,8,0),"")</f>
        <v>_</v>
      </c>
      <c r="AQ365" s="300" t="str">
        <f>_xlfn.IFNA(VLOOKUP($AI365,Programma!$F$3:$N$1107,9,0),"")</f>
        <v>_</v>
      </c>
      <c r="AR365" s="300" t="str">
        <f>_xlfn.IFNA(VLOOKUP($AI365,Programma!$F$3:$O$1107,10,0),"")</f>
        <v>3w</v>
      </c>
      <c r="AS365" s="300" t="str">
        <f>_xlfn.IFNA(VLOOKUP($AI365,Programma!$F$3:$P$1107,11,0),"")</f>
        <v>3w</v>
      </c>
      <c r="AT365" s="300" t="str">
        <f>_xlfn.IFNA(VLOOKUP($AI365,Programma!$F$3:$Q$1107,12,0),"")</f>
        <v>1w</v>
      </c>
      <c r="AU365" s="300" t="str">
        <f>_xlfn.IFNA(VLOOKUP($AI365,Programma!$F$3:$R$1107,13,0),"")</f>
        <v>1w</v>
      </c>
      <c r="AV365" s="300" t="str">
        <f>_xlfn.IFNA(VLOOKUP($AI365,Programma!$F$3:$S$1107,14,0),"")</f>
        <v>1m</v>
      </c>
      <c r="AW365" s="300" t="str">
        <f>_xlfn.IFNA(VLOOKUP($AI365,Programma!$F$3:$T$1107,15,0),"")</f>
        <v>2j</v>
      </c>
      <c r="AX365" s="300" t="str">
        <f>_xlfn.IFNA(VLOOKUP($AI365,Programma!$F$3:$U$1107,16,0),"")</f>
        <v>1j</v>
      </c>
      <c r="AY365" s="300" t="str">
        <f>_xlfn.IFNA(VLOOKUP($AI365,Programma!$F$3:$V$1107,17,0),"")</f>
        <v>_</v>
      </c>
      <c r="AZ365" s="300" t="str">
        <f>_xlfn.IFNA(VLOOKUP($AI365,Programma!$F$3:$W$1107,18,0),"")</f>
        <v>_</v>
      </c>
      <c r="BA365" s="300" t="str">
        <f>_xlfn.IFNA(VLOOKUP($AI365,Programma!$F$3:$X$1107,19,0),"")</f>
        <v>_</v>
      </c>
      <c r="BB365" s="300" t="str">
        <f>_xlfn.IFNA(VLOOKUP($AI365,Programma!$F$3:$Y$1107,20,0),"")</f>
        <v>_</v>
      </c>
      <c r="BC365" s="257"/>
      <c r="BD365" s="256" t="str">
        <f>IF(Ruimtestaat[[#This Row],[Frequentie weekend]]="","",_xlfn.CONCAT(Ruimtestaat[[#This Row],[Ruimte code]],"-",Ruimtestaat[[#This Row],[Frequentie weekend]]," ",Ruimtestaat[[#This Row],[Vloer code]]))</f>
        <v/>
      </c>
      <c r="BE365" s="300" t="str">
        <f>_xlfn.IFNA(VLOOKUP($BD365,Programma!$F$3:$G$1107,2,0),"")</f>
        <v/>
      </c>
      <c r="BF365" s="300" t="str">
        <f>_xlfn.IFNA(VLOOKUP($BD365,Programma!$F$3:$H$1107,3,0),"")</f>
        <v/>
      </c>
      <c r="BG365" s="300" t="str">
        <f>_xlfn.IFNA(VLOOKUP($BD365,Programma!$F$3:$I$1107,4,0),"")</f>
        <v/>
      </c>
      <c r="BH365" s="300" t="str">
        <f>_xlfn.IFNA(VLOOKUP($BD365,Programma!$F$3:$J$1107,5,0),"")</f>
        <v/>
      </c>
      <c r="BI365" s="300" t="str">
        <f>_xlfn.IFNA(VLOOKUP($BD365,Programma!$F$3:$K$1107,6,0),"")</f>
        <v/>
      </c>
      <c r="BJ365" s="300" t="str">
        <f>_xlfn.IFNA(VLOOKUP($BD365,Programma!$F$3:$L$1107,7,0),"")</f>
        <v/>
      </c>
      <c r="BK365" s="300" t="str">
        <f>_xlfn.IFNA(VLOOKUP($BD365,Programma!$F$3:$M$1107,8,0),"")</f>
        <v/>
      </c>
      <c r="BL365" s="300" t="str">
        <f>_xlfn.IFNA(VLOOKUP($BD365,Programma!$F$3:$N$1107,9,0),"")</f>
        <v/>
      </c>
      <c r="BM365" s="300" t="str">
        <f>_xlfn.IFNA(VLOOKUP($BD365,Programma!$F$3:$O$1107,10,0),"")</f>
        <v/>
      </c>
      <c r="BN365" s="300" t="str">
        <f>_xlfn.IFNA(VLOOKUP($BD365,Programma!$F$3:$P$1107,11,0),"")</f>
        <v/>
      </c>
      <c r="BO365" s="300" t="str">
        <f>_xlfn.IFNA(VLOOKUP($BD365,Programma!$F$3:$Q$1107,12,0),"")</f>
        <v/>
      </c>
      <c r="BP365" s="300" t="str">
        <f>_xlfn.IFNA(VLOOKUP($BD365,Programma!$F$3:$R$1107,13,0),"")</f>
        <v/>
      </c>
      <c r="BQ365" s="300" t="str">
        <f>_xlfn.IFNA(VLOOKUP($BD365,Programma!$F$3:$S$1107,14,0),"")</f>
        <v/>
      </c>
      <c r="BR365" s="300" t="str">
        <f>_xlfn.IFNA(VLOOKUP($BD365,Programma!$F$3:$T$1107,15,0),"")</f>
        <v/>
      </c>
      <c r="BS365" s="300" t="str">
        <f>_xlfn.IFNA(VLOOKUP($BD365,Programma!$F$3:$U$1107,16,0),"")</f>
        <v/>
      </c>
      <c r="BT365" s="300" t="str">
        <f>_xlfn.IFNA(VLOOKUP($BD365,Programma!$F$3:$V$1107,17,0),"")</f>
        <v/>
      </c>
      <c r="BU365" s="300" t="str">
        <f>_xlfn.IFNA(VLOOKUP($BD365,Programma!$F$3:$W$1107,18,0),"")</f>
        <v/>
      </c>
      <c r="BV365" s="300" t="str">
        <f>_xlfn.IFNA(VLOOKUP($BD365,Programma!$F$3:$X$1107,19,0),"")</f>
        <v/>
      </c>
      <c r="BW365" s="300" t="str">
        <f>_xlfn.IFNA(VLOOKUP($BD365,Programma!$F$3:$Y$1107,20,0),"")</f>
        <v/>
      </c>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row>
    <row r="366" spans="1:220" ht="15" customHeight="1">
      <c r="A366" s="21">
        <v>5</v>
      </c>
      <c r="B366" s="157" t="str">
        <f>VLOOKUP(Ruimtestaat[[#This Row],[Code]],Locaties[[Code]:[Locatie]],2,FALSE)</f>
        <v>François Vatel vmbo</v>
      </c>
      <c r="C366" s="157" t="str">
        <f>VLOOKUP(Ruimtestaat[[#This Row],[Code]],Locaties[[#All],[Code]:[Adres]],4,FALSE)</f>
        <v>Granaathorst 20</v>
      </c>
      <c r="D366" s="157" t="str">
        <f>VLOOKUP(Ruimtestaat[[#This Row],[Code]],Locaties[[#All],[Code]:[Postcode]],5,FALSE)</f>
        <v>2592 TD</v>
      </c>
      <c r="E366" s="157" t="str">
        <f>VLOOKUP(Ruimtestaat[[#This Row],[Code]],Locaties[#All],6,FALSE)</f>
        <v>Den Haag</v>
      </c>
      <c r="F366" s="62"/>
      <c r="G366" s="21" t="s">
        <v>1632</v>
      </c>
      <c r="H366" s="21">
        <v>25</v>
      </c>
      <c r="I366" s="62" t="s">
        <v>2028</v>
      </c>
      <c r="J366" s="21">
        <v>2</v>
      </c>
      <c r="K366" s="62" t="str">
        <f>VLOOKUP(Ruimtestaat[[#This Row],[Ruimte code]],Ruimtegroepen[[#All],[Code]:[Ruimte omschrijving]],2,FALSE)</f>
        <v>Kantoren</v>
      </c>
      <c r="L366" s="33" t="s">
        <v>103</v>
      </c>
      <c r="M366" s="367" t="s">
        <v>2497</v>
      </c>
      <c r="N366" s="140">
        <v>6</v>
      </c>
      <c r="O366" s="140"/>
      <c r="P366" s="125" t="str">
        <f>VLOOKUP(Ruimtestaat[[#This Row],[Ruimte code]],Ruimtegroepen[],4,FALSE)</f>
        <v>Bu</v>
      </c>
      <c r="R366" s="33">
        <v>42</v>
      </c>
      <c r="S366" s="33" t="s">
        <v>18</v>
      </c>
      <c r="T366" s="33">
        <f>IF(R366&gt;0,IF(RIGHT(Ruimtestaat[[#This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66" s="33">
        <f>IF(T366&gt;0,VLOOKUP($J366,Ruimtegroepen[],3,FALSE)*VLOOKUP($L366,Vloersoorten[],3,FALSE)*VLOOKUP($S366,Frequenties[],3,FALSE)*VLOOKUP($A366,Locaties[],3,FALSE),0)</f>
        <v>0</v>
      </c>
      <c r="V366" s="33">
        <f>Ruimtestaat[[#This Row],[Uitvoeringen werkdagen]]*Ruimtestaat[[#This Row],[Oppervlak (netto)]]</f>
        <v>756</v>
      </c>
      <c r="W366" s="154">
        <f>IF(U366&gt;0,Ruimtestaat[[#This Row],[Prest. (m2 /jaar) werkdagen]]/Ruimtestaat[[#This Row],[Norm (m2/uur) werkdagen]],0)</f>
        <v>0</v>
      </c>
      <c r="X366" s="155">
        <f>Ruimtestaat[[#This Row],[uren / jaar werkdagen]]*Tariefsopbouw!$E$35</f>
        <v>0</v>
      </c>
      <c r="Y366" s="33"/>
      <c r="Z366" s="33">
        <f>IF(Ruimtestaat[[#This Row],[Frequentie weekend]]&gt;0,VALUE(LEFT(Y366,1))*R366,0)</f>
        <v>0</v>
      </c>
      <c r="AA366" s="97">
        <f>IF($Z366&gt;0,VLOOKUP($J366,Ruimtegroepen[],3,FALSE)*VLOOKUP($L366,Vloersoorten[],3,FALSE)*VLOOKUP($Y366,Frequenties[],3,FALSE)*VLOOKUP(Ruimtestaat[[#This Row],[Code]],Locaties[],3,FALSE),0)</f>
        <v>0</v>
      </c>
      <c r="AB366" s="97">
        <f>Ruimtestaat[[#This Row],[Uitvoeringen weekend]]*Ruimtestaat[[#This Row],[Oppervlak (netto)]]</f>
        <v>0</v>
      </c>
      <c r="AC366" s="97">
        <f>IF(AA366&gt;0,Ruimtestaat[[#This Row],[Prest. (m2 /jaar) weekend]]/Ruimtestaat[[#This Row],[Norm (m2/uur) weekend]],0)</f>
        <v>0</v>
      </c>
      <c r="AD366" s="155">
        <f>Ruimtestaat[[#This Row],[uren / jaar weekend]]*Tariefsopbouw!$D$40</f>
        <v>0</v>
      </c>
      <c r="AE366" s="154">
        <f>Ruimtestaat[[#This Row],[Prest. (m2 /jaar) weekend]]+Ruimtestaat[[#This Row],[Prest. (m2 /jaar) werkdagen]]</f>
        <v>756</v>
      </c>
      <c r="AF366" s="154">
        <f>Ruimtestaat[[#This Row],[uren / jaar weekend]]+Ruimtestaat[[#This Row],[uren / jaar werkdagen]]</f>
        <v>0</v>
      </c>
      <c r="AG366" s="69">
        <f>Ruimtestaat[[#This Row],[kosten / jaar weekend]]+Ruimtestaat[[#This Row],[kosten / jaar werkdagen]]</f>
        <v>0</v>
      </c>
      <c r="AH366" s="69"/>
      <c r="AI366" s="256" t="str">
        <f>IF(Ruimtestaat[[#This Row],[Frequentie werkdagen]]="","",_xlfn.CONCAT(Ruimtestaat[[#This Row],[Ruimte code]],"-",Ruimtestaat[[#This Row],[Frequentie werkdagen]]," ",Ruimtestaat[[#This Row],[Vloer code]]))</f>
        <v>2-3w P</v>
      </c>
      <c r="AJ366" s="300" t="str">
        <f>_xlfn.IFNA(VLOOKUP($AI366,Programma!$F$3:$G$1107,2,0),"")</f>
        <v>_</v>
      </c>
      <c r="AK366" s="300" t="str">
        <f>_xlfn.IFNA(VLOOKUP($AI366,Programma!$F$3:$H$1107,3,0),"")</f>
        <v>_</v>
      </c>
      <c r="AL366" s="300" t="str">
        <f>_xlfn.IFNA(VLOOKUP($AI366,Programma!$F$3:$I$1107,4,0),"")</f>
        <v>2w</v>
      </c>
      <c r="AM366" s="300" t="str">
        <f>_xlfn.IFNA(VLOOKUP($AI366,Programma!$F$3:$J$1107,5,0),"")</f>
        <v>1w</v>
      </c>
      <c r="AN366" s="300" t="str">
        <f>_xlfn.IFNA(VLOOKUP($AI366,Programma!$F$3:$K$1107,6,0),"")</f>
        <v>1j</v>
      </c>
      <c r="AO366" s="300" t="str">
        <f>_xlfn.IFNA(VLOOKUP($AI366,Programma!$F$3:$L$1107,7,0),"")</f>
        <v>_</v>
      </c>
      <c r="AP366" s="300" t="str">
        <f>_xlfn.IFNA(VLOOKUP($AI366,Programma!$F$3:$M$1107,8,0),"")</f>
        <v>_</v>
      </c>
      <c r="AQ366" s="300" t="str">
        <f>_xlfn.IFNA(VLOOKUP($AI366,Programma!$F$3:$N$1107,9,0),"")</f>
        <v>_</v>
      </c>
      <c r="AR366" s="300" t="str">
        <f>_xlfn.IFNA(VLOOKUP($AI366,Programma!$F$3:$O$1107,10,0),"")</f>
        <v>3w</v>
      </c>
      <c r="AS366" s="300" t="str">
        <f>_xlfn.IFNA(VLOOKUP($AI366,Programma!$F$3:$P$1107,11,0),"")</f>
        <v>3w</v>
      </c>
      <c r="AT366" s="300" t="str">
        <f>_xlfn.IFNA(VLOOKUP($AI366,Programma!$F$3:$Q$1107,12,0),"")</f>
        <v>1w</v>
      </c>
      <c r="AU366" s="300" t="str">
        <f>_xlfn.IFNA(VLOOKUP($AI366,Programma!$F$3:$R$1107,13,0),"")</f>
        <v>1w</v>
      </c>
      <c r="AV366" s="300" t="str">
        <f>_xlfn.IFNA(VLOOKUP($AI366,Programma!$F$3:$S$1107,14,0),"")</f>
        <v>1m</v>
      </c>
      <c r="AW366" s="300" t="str">
        <f>_xlfn.IFNA(VLOOKUP($AI366,Programma!$F$3:$T$1107,15,0),"")</f>
        <v>2j</v>
      </c>
      <c r="AX366" s="300" t="str">
        <f>_xlfn.IFNA(VLOOKUP($AI366,Programma!$F$3:$U$1107,16,0),"")</f>
        <v>1j</v>
      </c>
      <c r="AY366" s="300" t="str">
        <f>_xlfn.IFNA(VLOOKUP($AI366,Programma!$F$3:$V$1107,17,0),"")</f>
        <v>_</v>
      </c>
      <c r="AZ366" s="300" t="str">
        <f>_xlfn.IFNA(VLOOKUP($AI366,Programma!$F$3:$W$1107,18,0),"")</f>
        <v>_</v>
      </c>
      <c r="BA366" s="300" t="str">
        <f>_xlfn.IFNA(VLOOKUP($AI366,Programma!$F$3:$X$1107,19,0),"")</f>
        <v>_</v>
      </c>
      <c r="BB366" s="300" t="str">
        <f>_xlfn.IFNA(VLOOKUP($AI366,Programma!$F$3:$Y$1107,20,0),"")</f>
        <v>_</v>
      </c>
      <c r="BC366" s="257"/>
      <c r="BD366" s="256" t="str">
        <f>IF(Ruimtestaat[[#This Row],[Frequentie weekend]]="","",_xlfn.CONCAT(Ruimtestaat[[#This Row],[Ruimte code]],"-",Ruimtestaat[[#This Row],[Frequentie weekend]]," ",Ruimtestaat[[#This Row],[Vloer code]]))</f>
        <v/>
      </c>
      <c r="BE366" s="300" t="str">
        <f>_xlfn.IFNA(VLOOKUP($BD366,Programma!$F$3:$G$1107,2,0),"")</f>
        <v/>
      </c>
      <c r="BF366" s="300" t="str">
        <f>_xlfn.IFNA(VLOOKUP($BD366,Programma!$F$3:$H$1107,3,0),"")</f>
        <v/>
      </c>
      <c r="BG366" s="300" t="str">
        <f>_xlfn.IFNA(VLOOKUP($BD366,Programma!$F$3:$I$1107,4,0),"")</f>
        <v/>
      </c>
      <c r="BH366" s="300" t="str">
        <f>_xlfn.IFNA(VLOOKUP($BD366,Programma!$F$3:$J$1107,5,0),"")</f>
        <v/>
      </c>
      <c r="BI366" s="300" t="str">
        <f>_xlfn.IFNA(VLOOKUP($BD366,Programma!$F$3:$K$1107,6,0),"")</f>
        <v/>
      </c>
      <c r="BJ366" s="300" t="str">
        <f>_xlfn.IFNA(VLOOKUP($BD366,Programma!$F$3:$L$1107,7,0),"")</f>
        <v/>
      </c>
      <c r="BK366" s="300" t="str">
        <f>_xlfn.IFNA(VLOOKUP($BD366,Programma!$F$3:$M$1107,8,0),"")</f>
        <v/>
      </c>
      <c r="BL366" s="300" t="str">
        <f>_xlfn.IFNA(VLOOKUP($BD366,Programma!$F$3:$N$1107,9,0),"")</f>
        <v/>
      </c>
      <c r="BM366" s="300" t="str">
        <f>_xlfn.IFNA(VLOOKUP($BD366,Programma!$F$3:$O$1107,10,0),"")</f>
        <v/>
      </c>
      <c r="BN366" s="300" t="str">
        <f>_xlfn.IFNA(VLOOKUP($BD366,Programma!$F$3:$P$1107,11,0),"")</f>
        <v/>
      </c>
      <c r="BO366" s="300" t="str">
        <f>_xlfn.IFNA(VLOOKUP($BD366,Programma!$F$3:$Q$1107,12,0),"")</f>
        <v/>
      </c>
      <c r="BP366" s="300" t="str">
        <f>_xlfn.IFNA(VLOOKUP($BD366,Programma!$F$3:$R$1107,13,0),"")</f>
        <v/>
      </c>
      <c r="BQ366" s="300" t="str">
        <f>_xlfn.IFNA(VLOOKUP($BD366,Programma!$F$3:$S$1107,14,0),"")</f>
        <v/>
      </c>
      <c r="BR366" s="300" t="str">
        <f>_xlfn.IFNA(VLOOKUP($BD366,Programma!$F$3:$T$1107,15,0),"")</f>
        <v/>
      </c>
      <c r="BS366" s="300" t="str">
        <f>_xlfn.IFNA(VLOOKUP($BD366,Programma!$F$3:$U$1107,16,0),"")</f>
        <v/>
      </c>
      <c r="BT366" s="300" t="str">
        <f>_xlfn.IFNA(VLOOKUP($BD366,Programma!$F$3:$V$1107,17,0),"")</f>
        <v/>
      </c>
      <c r="BU366" s="300" t="str">
        <f>_xlfn.IFNA(VLOOKUP($BD366,Programma!$F$3:$W$1107,18,0),"")</f>
        <v/>
      </c>
      <c r="BV366" s="300" t="str">
        <f>_xlfn.IFNA(VLOOKUP($BD366,Programma!$F$3:$X$1107,19,0),"")</f>
        <v/>
      </c>
      <c r="BW366" s="300" t="str">
        <f>_xlfn.IFNA(VLOOKUP($BD366,Programma!$F$3:$Y$1107,20,0),"")</f>
        <v/>
      </c>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row>
    <row r="367" spans="1:220" ht="15" customHeight="1">
      <c r="A367" s="21">
        <v>5</v>
      </c>
      <c r="B367" s="157" t="str">
        <f>VLOOKUP(Ruimtestaat[[#This Row],[Code]],Locaties[[Code]:[Locatie]],2,FALSE)</f>
        <v>François Vatel vmbo</v>
      </c>
      <c r="C367" s="157" t="str">
        <f>VLOOKUP(Ruimtestaat[[#This Row],[Code]],Locaties[[#All],[Code]:[Adres]],4,FALSE)</f>
        <v>Granaathorst 20</v>
      </c>
      <c r="D367" s="157" t="str">
        <f>VLOOKUP(Ruimtestaat[[#This Row],[Code]],Locaties[[#All],[Code]:[Postcode]],5,FALSE)</f>
        <v>2592 TD</v>
      </c>
      <c r="E367" s="157" t="str">
        <f>VLOOKUP(Ruimtestaat[[#This Row],[Code]],Locaties[#All],6,FALSE)</f>
        <v>Den Haag</v>
      </c>
      <c r="F367" s="62"/>
      <c r="G367" s="21" t="s">
        <v>1632</v>
      </c>
      <c r="H367" s="21">
        <v>26</v>
      </c>
      <c r="I367" s="62" t="s">
        <v>2029</v>
      </c>
      <c r="J367" s="21">
        <v>2</v>
      </c>
      <c r="K367" s="62" t="str">
        <f>VLOOKUP(Ruimtestaat[[#This Row],[Ruimte code]],Ruimtegroepen[[#All],[Code]:[Ruimte omschrijving]],2,FALSE)</f>
        <v>Kantoren</v>
      </c>
      <c r="L367" s="33" t="s">
        <v>103</v>
      </c>
      <c r="M367" s="367" t="s">
        <v>2497</v>
      </c>
      <c r="N367" s="140">
        <v>8</v>
      </c>
      <c r="O367" s="140"/>
      <c r="P367" s="125" t="str">
        <f>VLOOKUP(Ruimtestaat[[#This Row],[Ruimte code]],Ruimtegroepen[],4,FALSE)</f>
        <v>Bu</v>
      </c>
      <c r="R367" s="33">
        <v>42</v>
      </c>
      <c r="S367" s="33" t="s">
        <v>18</v>
      </c>
      <c r="T367" s="33">
        <f>IF(R367&gt;0,IF(RIGHT(Ruimtestaat[[#This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67" s="33">
        <f>IF(T367&gt;0,VLOOKUP($J367,Ruimtegroepen[],3,FALSE)*VLOOKUP($L367,Vloersoorten[],3,FALSE)*VLOOKUP($S367,Frequenties[],3,FALSE)*VLOOKUP($A367,Locaties[],3,FALSE),0)</f>
        <v>0</v>
      </c>
      <c r="V367" s="33">
        <f>Ruimtestaat[[#This Row],[Uitvoeringen werkdagen]]*Ruimtestaat[[#This Row],[Oppervlak (netto)]]</f>
        <v>1008</v>
      </c>
      <c r="W367" s="154">
        <f>IF(U367&gt;0,Ruimtestaat[[#This Row],[Prest. (m2 /jaar) werkdagen]]/Ruimtestaat[[#This Row],[Norm (m2/uur) werkdagen]],0)</f>
        <v>0</v>
      </c>
      <c r="X367" s="155">
        <f>Ruimtestaat[[#This Row],[uren / jaar werkdagen]]*Tariefsopbouw!$E$35</f>
        <v>0</v>
      </c>
      <c r="Y367" s="33"/>
      <c r="Z367" s="33">
        <f>IF(Ruimtestaat[[#This Row],[Frequentie weekend]]&gt;0,VALUE(LEFT(Y367,1))*R367,0)</f>
        <v>0</v>
      </c>
      <c r="AA367" s="97">
        <f>IF($Z367&gt;0,VLOOKUP($J367,Ruimtegroepen[],3,FALSE)*VLOOKUP($L367,Vloersoorten[],3,FALSE)*VLOOKUP($Y367,Frequenties[],3,FALSE)*VLOOKUP(Ruimtestaat[[#This Row],[Code]],Locaties[],3,FALSE),0)</f>
        <v>0</v>
      </c>
      <c r="AB367" s="97">
        <f>Ruimtestaat[[#This Row],[Uitvoeringen weekend]]*Ruimtestaat[[#This Row],[Oppervlak (netto)]]</f>
        <v>0</v>
      </c>
      <c r="AC367" s="97">
        <f>IF(AA367&gt;0,Ruimtestaat[[#This Row],[Prest. (m2 /jaar) weekend]]/Ruimtestaat[[#This Row],[Norm (m2/uur) weekend]],0)</f>
        <v>0</v>
      </c>
      <c r="AD367" s="155">
        <f>Ruimtestaat[[#This Row],[uren / jaar weekend]]*Tariefsopbouw!$D$40</f>
        <v>0</v>
      </c>
      <c r="AE367" s="154">
        <f>Ruimtestaat[[#This Row],[Prest. (m2 /jaar) weekend]]+Ruimtestaat[[#This Row],[Prest. (m2 /jaar) werkdagen]]</f>
        <v>1008</v>
      </c>
      <c r="AF367" s="154">
        <f>Ruimtestaat[[#This Row],[uren / jaar weekend]]+Ruimtestaat[[#This Row],[uren / jaar werkdagen]]</f>
        <v>0</v>
      </c>
      <c r="AG367" s="69">
        <f>Ruimtestaat[[#This Row],[kosten / jaar weekend]]+Ruimtestaat[[#This Row],[kosten / jaar werkdagen]]</f>
        <v>0</v>
      </c>
      <c r="AH367" s="69"/>
      <c r="AI367" s="256" t="str">
        <f>IF(Ruimtestaat[[#This Row],[Frequentie werkdagen]]="","",_xlfn.CONCAT(Ruimtestaat[[#This Row],[Ruimte code]],"-",Ruimtestaat[[#This Row],[Frequentie werkdagen]]," ",Ruimtestaat[[#This Row],[Vloer code]]))</f>
        <v>2-3w P</v>
      </c>
      <c r="AJ367" s="300" t="str">
        <f>_xlfn.IFNA(VLOOKUP($AI367,Programma!$F$3:$G$1107,2,0),"")</f>
        <v>_</v>
      </c>
      <c r="AK367" s="300" t="str">
        <f>_xlfn.IFNA(VLOOKUP($AI367,Programma!$F$3:$H$1107,3,0),"")</f>
        <v>_</v>
      </c>
      <c r="AL367" s="300" t="str">
        <f>_xlfn.IFNA(VLOOKUP($AI367,Programma!$F$3:$I$1107,4,0),"")</f>
        <v>2w</v>
      </c>
      <c r="AM367" s="300" t="str">
        <f>_xlfn.IFNA(VLOOKUP($AI367,Programma!$F$3:$J$1107,5,0),"")</f>
        <v>1w</v>
      </c>
      <c r="AN367" s="300" t="str">
        <f>_xlfn.IFNA(VLOOKUP($AI367,Programma!$F$3:$K$1107,6,0),"")</f>
        <v>1j</v>
      </c>
      <c r="AO367" s="300" t="str">
        <f>_xlfn.IFNA(VLOOKUP($AI367,Programma!$F$3:$L$1107,7,0),"")</f>
        <v>_</v>
      </c>
      <c r="AP367" s="300" t="str">
        <f>_xlfn.IFNA(VLOOKUP($AI367,Programma!$F$3:$M$1107,8,0),"")</f>
        <v>_</v>
      </c>
      <c r="AQ367" s="300" t="str">
        <f>_xlfn.IFNA(VLOOKUP($AI367,Programma!$F$3:$N$1107,9,0),"")</f>
        <v>_</v>
      </c>
      <c r="AR367" s="300" t="str">
        <f>_xlfn.IFNA(VLOOKUP($AI367,Programma!$F$3:$O$1107,10,0),"")</f>
        <v>3w</v>
      </c>
      <c r="AS367" s="300" t="str">
        <f>_xlfn.IFNA(VLOOKUP($AI367,Programma!$F$3:$P$1107,11,0),"")</f>
        <v>3w</v>
      </c>
      <c r="AT367" s="300" t="str">
        <f>_xlfn.IFNA(VLOOKUP($AI367,Programma!$F$3:$Q$1107,12,0),"")</f>
        <v>1w</v>
      </c>
      <c r="AU367" s="300" t="str">
        <f>_xlfn.IFNA(VLOOKUP($AI367,Programma!$F$3:$R$1107,13,0),"")</f>
        <v>1w</v>
      </c>
      <c r="AV367" s="300" t="str">
        <f>_xlfn.IFNA(VLOOKUP($AI367,Programma!$F$3:$S$1107,14,0),"")</f>
        <v>1m</v>
      </c>
      <c r="AW367" s="300" t="str">
        <f>_xlfn.IFNA(VLOOKUP($AI367,Programma!$F$3:$T$1107,15,0),"")</f>
        <v>2j</v>
      </c>
      <c r="AX367" s="300" t="str">
        <f>_xlfn.IFNA(VLOOKUP($AI367,Programma!$F$3:$U$1107,16,0),"")</f>
        <v>1j</v>
      </c>
      <c r="AY367" s="300" t="str">
        <f>_xlfn.IFNA(VLOOKUP($AI367,Programma!$F$3:$V$1107,17,0),"")</f>
        <v>_</v>
      </c>
      <c r="AZ367" s="300" t="str">
        <f>_xlfn.IFNA(VLOOKUP($AI367,Programma!$F$3:$W$1107,18,0),"")</f>
        <v>_</v>
      </c>
      <c r="BA367" s="300" t="str">
        <f>_xlfn.IFNA(VLOOKUP($AI367,Programma!$F$3:$X$1107,19,0),"")</f>
        <v>_</v>
      </c>
      <c r="BB367" s="300" t="str">
        <f>_xlfn.IFNA(VLOOKUP($AI367,Programma!$F$3:$Y$1107,20,0),"")</f>
        <v>_</v>
      </c>
      <c r="BC367" s="257"/>
      <c r="BD367" s="256" t="str">
        <f>IF(Ruimtestaat[[#This Row],[Frequentie weekend]]="","",_xlfn.CONCAT(Ruimtestaat[[#This Row],[Ruimte code]],"-",Ruimtestaat[[#This Row],[Frequentie weekend]]," ",Ruimtestaat[[#This Row],[Vloer code]]))</f>
        <v/>
      </c>
      <c r="BE367" s="300" t="str">
        <f>_xlfn.IFNA(VLOOKUP($BD367,Programma!$F$3:$G$1107,2,0),"")</f>
        <v/>
      </c>
      <c r="BF367" s="300" t="str">
        <f>_xlfn.IFNA(VLOOKUP($BD367,Programma!$F$3:$H$1107,3,0),"")</f>
        <v/>
      </c>
      <c r="BG367" s="300" t="str">
        <f>_xlfn.IFNA(VLOOKUP($BD367,Programma!$F$3:$I$1107,4,0),"")</f>
        <v/>
      </c>
      <c r="BH367" s="300" t="str">
        <f>_xlfn.IFNA(VLOOKUP($BD367,Programma!$F$3:$J$1107,5,0),"")</f>
        <v/>
      </c>
      <c r="BI367" s="300" t="str">
        <f>_xlfn.IFNA(VLOOKUP($BD367,Programma!$F$3:$K$1107,6,0),"")</f>
        <v/>
      </c>
      <c r="BJ367" s="300" t="str">
        <f>_xlfn.IFNA(VLOOKUP($BD367,Programma!$F$3:$L$1107,7,0),"")</f>
        <v/>
      </c>
      <c r="BK367" s="300" t="str">
        <f>_xlfn.IFNA(VLOOKUP($BD367,Programma!$F$3:$M$1107,8,0),"")</f>
        <v/>
      </c>
      <c r="BL367" s="300" t="str">
        <f>_xlfn.IFNA(VLOOKUP($BD367,Programma!$F$3:$N$1107,9,0),"")</f>
        <v/>
      </c>
      <c r="BM367" s="300" t="str">
        <f>_xlfn.IFNA(VLOOKUP($BD367,Programma!$F$3:$O$1107,10,0),"")</f>
        <v/>
      </c>
      <c r="BN367" s="300" t="str">
        <f>_xlfn.IFNA(VLOOKUP($BD367,Programma!$F$3:$P$1107,11,0),"")</f>
        <v/>
      </c>
      <c r="BO367" s="300" t="str">
        <f>_xlfn.IFNA(VLOOKUP($BD367,Programma!$F$3:$Q$1107,12,0),"")</f>
        <v/>
      </c>
      <c r="BP367" s="300" t="str">
        <f>_xlfn.IFNA(VLOOKUP($BD367,Programma!$F$3:$R$1107,13,0),"")</f>
        <v/>
      </c>
      <c r="BQ367" s="300" t="str">
        <f>_xlfn.IFNA(VLOOKUP($BD367,Programma!$F$3:$S$1107,14,0),"")</f>
        <v/>
      </c>
      <c r="BR367" s="300" t="str">
        <f>_xlfn.IFNA(VLOOKUP($BD367,Programma!$F$3:$T$1107,15,0),"")</f>
        <v/>
      </c>
      <c r="BS367" s="300" t="str">
        <f>_xlfn.IFNA(VLOOKUP($BD367,Programma!$F$3:$U$1107,16,0),"")</f>
        <v/>
      </c>
      <c r="BT367" s="300" t="str">
        <f>_xlfn.IFNA(VLOOKUP($BD367,Programma!$F$3:$V$1107,17,0),"")</f>
        <v/>
      </c>
      <c r="BU367" s="300" t="str">
        <f>_xlfn.IFNA(VLOOKUP($BD367,Programma!$F$3:$W$1107,18,0),"")</f>
        <v/>
      </c>
      <c r="BV367" s="300" t="str">
        <f>_xlfn.IFNA(VLOOKUP($BD367,Programma!$F$3:$X$1107,19,0),"")</f>
        <v/>
      </c>
      <c r="BW367" s="300" t="str">
        <f>_xlfn.IFNA(VLOOKUP($BD367,Programma!$F$3:$Y$1107,20,0),"")</f>
        <v/>
      </c>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c r="HL367" s="4"/>
    </row>
    <row r="368" spans="1:220" ht="15" customHeight="1">
      <c r="A368" s="21">
        <v>5</v>
      </c>
      <c r="B368" s="157" t="str">
        <f>VLOOKUP(Ruimtestaat[[#This Row],[Code]],Locaties[[Code]:[Locatie]],2,FALSE)</f>
        <v>François Vatel vmbo</v>
      </c>
      <c r="C368" s="157" t="str">
        <f>VLOOKUP(Ruimtestaat[[#This Row],[Code]],Locaties[[#All],[Code]:[Adres]],4,FALSE)</f>
        <v>Granaathorst 20</v>
      </c>
      <c r="D368" s="157" t="str">
        <f>VLOOKUP(Ruimtestaat[[#This Row],[Code]],Locaties[[#All],[Code]:[Postcode]],5,FALSE)</f>
        <v>2592 TD</v>
      </c>
      <c r="E368" s="157" t="str">
        <f>VLOOKUP(Ruimtestaat[[#This Row],[Code]],Locaties[#All],6,FALSE)</f>
        <v>Den Haag</v>
      </c>
      <c r="F368" s="62"/>
      <c r="G368" s="21" t="s">
        <v>1632</v>
      </c>
      <c r="H368" s="21">
        <v>27</v>
      </c>
      <c r="I368" s="62" t="s">
        <v>1653</v>
      </c>
      <c r="J368" s="21">
        <v>2</v>
      </c>
      <c r="K368" s="62" t="str">
        <f>VLOOKUP(Ruimtestaat[[#This Row],[Ruimte code]],Ruimtegroepen[[#All],[Code]:[Ruimte omschrijving]],2,FALSE)</f>
        <v>Kantoren</v>
      </c>
      <c r="L368" s="33" t="s">
        <v>100</v>
      </c>
      <c r="M368" s="367" t="s">
        <v>2493</v>
      </c>
      <c r="N368" s="140">
        <v>30</v>
      </c>
      <c r="O368" s="140"/>
      <c r="P368" s="125" t="str">
        <f>VLOOKUP(Ruimtestaat[[#This Row],[Ruimte code]],Ruimtegroepen[],4,FALSE)</f>
        <v>Bu</v>
      </c>
      <c r="R368" s="33">
        <v>42</v>
      </c>
      <c r="S368" s="33" t="s">
        <v>18</v>
      </c>
      <c r="T368" s="33">
        <f>IF(R368&gt;0,IF(RIGHT(Ruimtestaat[[#This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68" s="33">
        <f>IF(T368&gt;0,VLOOKUP($J368,Ruimtegroepen[],3,FALSE)*VLOOKUP($L368,Vloersoorten[],3,FALSE)*VLOOKUP($S368,Frequenties[],3,FALSE)*VLOOKUP($A368,Locaties[],3,FALSE),0)</f>
        <v>0</v>
      </c>
      <c r="V368" s="33">
        <f>Ruimtestaat[[#This Row],[Uitvoeringen werkdagen]]*Ruimtestaat[[#This Row],[Oppervlak (netto)]]</f>
        <v>3780</v>
      </c>
      <c r="W368" s="154">
        <f>IF(U368&gt;0,Ruimtestaat[[#This Row],[Prest. (m2 /jaar) werkdagen]]/Ruimtestaat[[#This Row],[Norm (m2/uur) werkdagen]],0)</f>
        <v>0</v>
      </c>
      <c r="X368" s="155">
        <f>Ruimtestaat[[#This Row],[uren / jaar werkdagen]]*Tariefsopbouw!$E$35</f>
        <v>0</v>
      </c>
      <c r="Y368" s="33"/>
      <c r="Z368" s="33">
        <f>IF(Ruimtestaat[[#This Row],[Frequentie weekend]]&gt;0,VALUE(LEFT(Y368,1))*R368,0)</f>
        <v>0</v>
      </c>
      <c r="AA368" s="97">
        <f>IF($Z368&gt;0,VLOOKUP($J368,Ruimtegroepen[],3,FALSE)*VLOOKUP($L368,Vloersoorten[],3,FALSE)*VLOOKUP($Y368,Frequenties[],3,FALSE)*VLOOKUP(Ruimtestaat[[#This Row],[Code]],Locaties[],3,FALSE),0)</f>
        <v>0</v>
      </c>
      <c r="AB368" s="97">
        <f>Ruimtestaat[[#This Row],[Uitvoeringen weekend]]*Ruimtestaat[[#This Row],[Oppervlak (netto)]]</f>
        <v>0</v>
      </c>
      <c r="AC368" s="97">
        <f>IF(AA368&gt;0,Ruimtestaat[[#This Row],[Prest. (m2 /jaar) weekend]]/Ruimtestaat[[#This Row],[Norm (m2/uur) weekend]],0)</f>
        <v>0</v>
      </c>
      <c r="AD368" s="155">
        <f>Ruimtestaat[[#This Row],[uren / jaar weekend]]*Tariefsopbouw!$D$40</f>
        <v>0</v>
      </c>
      <c r="AE368" s="154">
        <f>Ruimtestaat[[#This Row],[Prest. (m2 /jaar) weekend]]+Ruimtestaat[[#This Row],[Prest. (m2 /jaar) werkdagen]]</f>
        <v>3780</v>
      </c>
      <c r="AF368" s="154">
        <f>Ruimtestaat[[#This Row],[uren / jaar weekend]]+Ruimtestaat[[#This Row],[uren / jaar werkdagen]]</f>
        <v>0</v>
      </c>
      <c r="AG368" s="69">
        <f>Ruimtestaat[[#This Row],[kosten / jaar weekend]]+Ruimtestaat[[#This Row],[kosten / jaar werkdagen]]</f>
        <v>0</v>
      </c>
      <c r="AH368" s="69"/>
      <c r="AI368" s="256" t="str">
        <f>IF(Ruimtestaat[[#This Row],[Frequentie werkdagen]]="","",_xlfn.CONCAT(Ruimtestaat[[#This Row],[Ruimte code]],"-",Ruimtestaat[[#This Row],[Frequentie werkdagen]]," ",Ruimtestaat[[#This Row],[Vloer code]]))</f>
        <v>2-3w T</v>
      </c>
      <c r="AJ368" s="300" t="str">
        <f>_xlfn.IFNA(VLOOKUP($AI368,Programma!$F$3:$G$1107,2,0),"")</f>
        <v>2w</v>
      </c>
      <c r="AK368" s="300" t="str">
        <f>_xlfn.IFNA(VLOOKUP($AI368,Programma!$F$3:$H$1107,3,0),"")</f>
        <v>1w</v>
      </c>
      <c r="AL368" s="300" t="str">
        <f>_xlfn.IFNA(VLOOKUP($AI368,Programma!$F$3:$I$1107,4,0),"")</f>
        <v>_</v>
      </c>
      <c r="AM368" s="300" t="str">
        <f>_xlfn.IFNA(VLOOKUP($AI368,Programma!$F$3:$J$1107,5,0),"")</f>
        <v>_</v>
      </c>
      <c r="AN368" s="300" t="str">
        <f>_xlfn.IFNA(VLOOKUP($AI368,Programma!$F$3:$K$1107,6,0),"")</f>
        <v>_</v>
      </c>
      <c r="AO368" s="300" t="str">
        <f>_xlfn.IFNA(VLOOKUP($AI368,Programma!$F$3:$L$1107,7,0),"")</f>
        <v>_</v>
      </c>
      <c r="AP368" s="300" t="str">
        <f>_xlfn.IFNA(VLOOKUP($AI368,Programma!$F$3:$M$1107,8,0),"")</f>
        <v>_</v>
      </c>
      <c r="AQ368" s="300" t="str">
        <f>_xlfn.IFNA(VLOOKUP($AI368,Programma!$F$3:$N$1107,9,0),"")</f>
        <v>_</v>
      </c>
      <c r="AR368" s="300" t="str">
        <f>_xlfn.IFNA(VLOOKUP($AI368,Programma!$F$3:$O$1107,10,0),"")</f>
        <v>3w</v>
      </c>
      <c r="AS368" s="300" t="str">
        <f>_xlfn.IFNA(VLOOKUP($AI368,Programma!$F$3:$P$1107,11,0),"")</f>
        <v>3w</v>
      </c>
      <c r="AT368" s="300" t="str">
        <f>_xlfn.IFNA(VLOOKUP($AI368,Programma!$F$3:$Q$1107,12,0),"")</f>
        <v>1w</v>
      </c>
      <c r="AU368" s="300" t="str">
        <f>_xlfn.IFNA(VLOOKUP($AI368,Programma!$F$3:$R$1107,13,0),"")</f>
        <v>1w</v>
      </c>
      <c r="AV368" s="300" t="str">
        <f>_xlfn.IFNA(VLOOKUP($AI368,Programma!$F$3:$S$1107,14,0),"")</f>
        <v>1m</v>
      </c>
      <c r="AW368" s="300" t="str">
        <f>_xlfn.IFNA(VLOOKUP($AI368,Programma!$F$3:$T$1107,15,0),"")</f>
        <v>2j</v>
      </c>
      <c r="AX368" s="300" t="str">
        <f>_xlfn.IFNA(VLOOKUP($AI368,Programma!$F$3:$U$1107,16,0),"")</f>
        <v>1j</v>
      </c>
      <c r="AY368" s="300" t="str">
        <f>_xlfn.IFNA(VLOOKUP($AI368,Programma!$F$3:$V$1107,17,0),"")</f>
        <v>_</v>
      </c>
      <c r="AZ368" s="300" t="str">
        <f>_xlfn.IFNA(VLOOKUP($AI368,Programma!$F$3:$W$1107,18,0),"")</f>
        <v>_</v>
      </c>
      <c r="BA368" s="300" t="str">
        <f>_xlfn.IFNA(VLOOKUP($AI368,Programma!$F$3:$X$1107,19,0),"")</f>
        <v>_</v>
      </c>
      <c r="BB368" s="300" t="str">
        <f>_xlfn.IFNA(VLOOKUP($AI368,Programma!$F$3:$Y$1107,20,0),"")</f>
        <v>_</v>
      </c>
      <c r="BC368" s="257"/>
      <c r="BD368" s="256" t="str">
        <f>IF(Ruimtestaat[[#This Row],[Frequentie weekend]]="","",_xlfn.CONCAT(Ruimtestaat[[#This Row],[Ruimte code]],"-",Ruimtestaat[[#This Row],[Frequentie weekend]]," ",Ruimtestaat[[#This Row],[Vloer code]]))</f>
        <v/>
      </c>
      <c r="BE368" s="300" t="str">
        <f>_xlfn.IFNA(VLOOKUP($BD368,Programma!$F$3:$G$1107,2,0),"")</f>
        <v/>
      </c>
      <c r="BF368" s="300" t="str">
        <f>_xlfn.IFNA(VLOOKUP($BD368,Programma!$F$3:$H$1107,3,0),"")</f>
        <v/>
      </c>
      <c r="BG368" s="300" t="str">
        <f>_xlfn.IFNA(VLOOKUP($BD368,Programma!$F$3:$I$1107,4,0),"")</f>
        <v/>
      </c>
      <c r="BH368" s="300" t="str">
        <f>_xlfn.IFNA(VLOOKUP($BD368,Programma!$F$3:$J$1107,5,0),"")</f>
        <v/>
      </c>
      <c r="BI368" s="300" t="str">
        <f>_xlfn.IFNA(VLOOKUP($BD368,Programma!$F$3:$K$1107,6,0),"")</f>
        <v/>
      </c>
      <c r="BJ368" s="300" t="str">
        <f>_xlfn.IFNA(VLOOKUP($BD368,Programma!$F$3:$L$1107,7,0),"")</f>
        <v/>
      </c>
      <c r="BK368" s="300" t="str">
        <f>_xlfn.IFNA(VLOOKUP($BD368,Programma!$F$3:$M$1107,8,0),"")</f>
        <v/>
      </c>
      <c r="BL368" s="300" t="str">
        <f>_xlfn.IFNA(VLOOKUP($BD368,Programma!$F$3:$N$1107,9,0),"")</f>
        <v/>
      </c>
      <c r="BM368" s="300" t="str">
        <f>_xlfn.IFNA(VLOOKUP($BD368,Programma!$F$3:$O$1107,10,0),"")</f>
        <v/>
      </c>
      <c r="BN368" s="300" t="str">
        <f>_xlfn.IFNA(VLOOKUP($BD368,Programma!$F$3:$P$1107,11,0),"")</f>
        <v/>
      </c>
      <c r="BO368" s="300" t="str">
        <f>_xlfn.IFNA(VLOOKUP($BD368,Programma!$F$3:$Q$1107,12,0),"")</f>
        <v/>
      </c>
      <c r="BP368" s="300" t="str">
        <f>_xlfn.IFNA(VLOOKUP($BD368,Programma!$F$3:$R$1107,13,0),"")</f>
        <v/>
      </c>
      <c r="BQ368" s="300" t="str">
        <f>_xlfn.IFNA(VLOOKUP($BD368,Programma!$F$3:$S$1107,14,0),"")</f>
        <v/>
      </c>
      <c r="BR368" s="300" t="str">
        <f>_xlfn.IFNA(VLOOKUP($BD368,Programma!$F$3:$T$1107,15,0),"")</f>
        <v/>
      </c>
      <c r="BS368" s="300" t="str">
        <f>_xlfn.IFNA(VLOOKUP($BD368,Programma!$F$3:$U$1107,16,0),"")</f>
        <v/>
      </c>
      <c r="BT368" s="300" t="str">
        <f>_xlfn.IFNA(VLOOKUP($BD368,Programma!$F$3:$V$1107,17,0),"")</f>
        <v/>
      </c>
      <c r="BU368" s="300" t="str">
        <f>_xlfn.IFNA(VLOOKUP($BD368,Programma!$F$3:$W$1107,18,0),"")</f>
        <v/>
      </c>
      <c r="BV368" s="300" t="str">
        <f>_xlfn.IFNA(VLOOKUP($BD368,Programma!$F$3:$X$1107,19,0),"")</f>
        <v/>
      </c>
      <c r="BW368" s="300" t="str">
        <f>_xlfn.IFNA(VLOOKUP($BD368,Programma!$F$3:$Y$1107,20,0),"")</f>
        <v/>
      </c>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row>
    <row r="369" spans="1:220" ht="15" customHeight="1">
      <c r="A369" s="21">
        <v>5</v>
      </c>
      <c r="B369" s="157" t="str">
        <f>VLOOKUP(Ruimtestaat[[#This Row],[Code]],Locaties[[Code]:[Locatie]],2,FALSE)</f>
        <v>François Vatel vmbo</v>
      </c>
      <c r="C369" s="157" t="str">
        <f>VLOOKUP(Ruimtestaat[[#This Row],[Code]],Locaties[[#All],[Code]:[Adres]],4,FALSE)</f>
        <v>Granaathorst 20</v>
      </c>
      <c r="D369" s="157" t="str">
        <f>VLOOKUP(Ruimtestaat[[#This Row],[Code]],Locaties[[#All],[Code]:[Postcode]],5,FALSE)</f>
        <v>2592 TD</v>
      </c>
      <c r="E369" s="157" t="str">
        <f>VLOOKUP(Ruimtestaat[[#This Row],[Code]],Locaties[#All],6,FALSE)</f>
        <v>Den Haag</v>
      </c>
      <c r="F369" s="62"/>
      <c r="G369" s="21" t="s">
        <v>1632</v>
      </c>
      <c r="H369" s="21">
        <v>28</v>
      </c>
      <c r="I369" s="62" t="s">
        <v>2030</v>
      </c>
      <c r="J369" s="21">
        <v>2</v>
      </c>
      <c r="K369" s="62" t="str">
        <f>VLOOKUP(Ruimtestaat[[#This Row],[Ruimte code]],Ruimtegroepen[[#All],[Code]:[Ruimte omschrijving]],2,FALSE)</f>
        <v>Kantoren</v>
      </c>
      <c r="L369" s="33" t="s">
        <v>101</v>
      </c>
      <c r="M369" s="367" t="s">
        <v>2495</v>
      </c>
      <c r="N369" s="140">
        <v>15</v>
      </c>
      <c r="O369" s="140"/>
      <c r="P369" s="125" t="str">
        <f>VLOOKUP(Ruimtestaat[[#This Row],[Ruimte code]],Ruimtegroepen[],4,FALSE)</f>
        <v>Bu</v>
      </c>
      <c r="R369" s="33">
        <v>42</v>
      </c>
      <c r="S369" s="33" t="s">
        <v>18</v>
      </c>
      <c r="T369" s="33">
        <f>IF(R369&gt;0,IF(RIGHT(Ruimtestaat[[#This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69" s="33">
        <f>IF(T369&gt;0,VLOOKUP($J369,Ruimtegroepen[],3,FALSE)*VLOOKUP($L369,Vloersoorten[],3,FALSE)*VLOOKUP($S369,Frequenties[],3,FALSE)*VLOOKUP($A369,Locaties[],3,FALSE),0)</f>
        <v>0</v>
      </c>
      <c r="V369" s="33">
        <f>Ruimtestaat[[#This Row],[Uitvoeringen werkdagen]]*Ruimtestaat[[#This Row],[Oppervlak (netto)]]</f>
        <v>1890</v>
      </c>
      <c r="W369" s="154">
        <f>IF(U369&gt;0,Ruimtestaat[[#This Row],[Prest. (m2 /jaar) werkdagen]]/Ruimtestaat[[#This Row],[Norm (m2/uur) werkdagen]],0)</f>
        <v>0</v>
      </c>
      <c r="X369" s="155">
        <f>Ruimtestaat[[#This Row],[uren / jaar werkdagen]]*Tariefsopbouw!$E$35</f>
        <v>0</v>
      </c>
      <c r="Y369" s="33"/>
      <c r="Z369" s="33">
        <f>IF(Ruimtestaat[[#This Row],[Frequentie weekend]]&gt;0,VALUE(LEFT(Y369,1))*R369,0)</f>
        <v>0</v>
      </c>
      <c r="AA369" s="97">
        <f>IF($Z369&gt;0,VLOOKUP($J369,Ruimtegroepen[],3,FALSE)*VLOOKUP($L369,Vloersoorten[],3,FALSE)*VLOOKUP($Y369,Frequenties[],3,FALSE)*VLOOKUP(Ruimtestaat[[#This Row],[Code]],Locaties[],3,FALSE),0)</f>
        <v>0</v>
      </c>
      <c r="AB369" s="97">
        <f>Ruimtestaat[[#This Row],[Uitvoeringen weekend]]*Ruimtestaat[[#This Row],[Oppervlak (netto)]]</f>
        <v>0</v>
      </c>
      <c r="AC369" s="97">
        <f>IF(AA369&gt;0,Ruimtestaat[[#This Row],[Prest. (m2 /jaar) weekend]]/Ruimtestaat[[#This Row],[Norm (m2/uur) weekend]],0)</f>
        <v>0</v>
      </c>
      <c r="AD369" s="155">
        <f>Ruimtestaat[[#This Row],[uren / jaar weekend]]*Tariefsopbouw!$D$40</f>
        <v>0</v>
      </c>
      <c r="AE369" s="154">
        <f>Ruimtestaat[[#This Row],[Prest. (m2 /jaar) weekend]]+Ruimtestaat[[#This Row],[Prest. (m2 /jaar) werkdagen]]</f>
        <v>1890</v>
      </c>
      <c r="AF369" s="154">
        <f>Ruimtestaat[[#This Row],[uren / jaar weekend]]+Ruimtestaat[[#This Row],[uren / jaar werkdagen]]</f>
        <v>0</v>
      </c>
      <c r="AG369" s="69">
        <f>Ruimtestaat[[#This Row],[kosten / jaar weekend]]+Ruimtestaat[[#This Row],[kosten / jaar werkdagen]]</f>
        <v>0</v>
      </c>
      <c r="AH369" s="69"/>
      <c r="AI369" s="256" t="str">
        <f>IF(Ruimtestaat[[#This Row],[Frequentie werkdagen]]="","",_xlfn.CONCAT(Ruimtestaat[[#This Row],[Ruimte code]],"-",Ruimtestaat[[#This Row],[Frequentie werkdagen]]," ",Ruimtestaat[[#This Row],[Vloer code]]))</f>
        <v>2-3w L</v>
      </c>
      <c r="AJ369" s="300" t="str">
        <f>_xlfn.IFNA(VLOOKUP($AI369,Programma!$F$3:$G$1107,2,0),"")</f>
        <v>_</v>
      </c>
      <c r="AK369" s="300" t="str">
        <f>_xlfn.IFNA(VLOOKUP($AI369,Programma!$F$3:$H$1107,3,0),"")</f>
        <v>_</v>
      </c>
      <c r="AL369" s="300" t="str">
        <f>_xlfn.IFNA(VLOOKUP($AI369,Programma!$F$3:$I$1107,4,0),"")</f>
        <v>2w</v>
      </c>
      <c r="AM369" s="300" t="str">
        <f>_xlfn.IFNA(VLOOKUP($AI369,Programma!$F$3:$J$1107,5,0),"")</f>
        <v>1w</v>
      </c>
      <c r="AN369" s="300" t="str">
        <f>_xlfn.IFNA(VLOOKUP($AI369,Programma!$F$3:$K$1107,6,0),"")</f>
        <v>_</v>
      </c>
      <c r="AO369" s="300" t="str">
        <f>_xlfn.IFNA(VLOOKUP($AI369,Programma!$F$3:$L$1107,7,0),"")</f>
        <v>_</v>
      </c>
      <c r="AP369" s="300" t="str">
        <f>_xlfn.IFNA(VLOOKUP($AI369,Programma!$F$3:$M$1107,8,0),"")</f>
        <v>_</v>
      </c>
      <c r="AQ369" s="300" t="str">
        <f>_xlfn.IFNA(VLOOKUP($AI369,Programma!$F$3:$N$1107,9,0),"")</f>
        <v>_</v>
      </c>
      <c r="AR369" s="300" t="str">
        <f>_xlfn.IFNA(VLOOKUP($AI369,Programma!$F$3:$O$1107,10,0),"")</f>
        <v>3w</v>
      </c>
      <c r="AS369" s="300" t="str">
        <f>_xlfn.IFNA(VLOOKUP($AI369,Programma!$F$3:$P$1107,11,0),"")</f>
        <v>3w</v>
      </c>
      <c r="AT369" s="300" t="str">
        <f>_xlfn.IFNA(VLOOKUP($AI369,Programma!$F$3:$Q$1107,12,0),"")</f>
        <v>1w</v>
      </c>
      <c r="AU369" s="300" t="str">
        <f>_xlfn.IFNA(VLOOKUP($AI369,Programma!$F$3:$R$1107,13,0),"")</f>
        <v>1w</v>
      </c>
      <c r="AV369" s="300" t="str">
        <f>_xlfn.IFNA(VLOOKUP($AI369,Programma!$F$3:$S$1107,14,0),"")</f>
        <v>1m</v>
      </c>
      <c r="AW369" s="300" t="str">
        <f>_xlfn.IFNA(VLOOKUP($AI369,Programma!$F$3:$T$1107,15,0),"")</f>
        <v>2j</v>
      </c>
      <c r="AX369" s="300" t="str">
        <f>_xlfn.IFNA(VLOOKUP($AI369,Programma!$F$3:$U$1107,16,0),"")</f>
        <v>1j</v>
      </c>
      <c r="AY369" s="300" t="str">
        <f>_xlfn.IFNA(VLOOKUP($AI369,Programma!$F$3:$V$1107,17,0),"")</f>
        <v>_</v>
      </c>
      <c r="AZ369" s="300" t="str">
        <f>_xlfn.IFNA(VLOOKUP($AI369,Programma!$F$3:$W$1107,18,0),"")</f>
        <v>_</v>
      </c>
      <c r="BA369" s="300" t="str">
        <f>_xlfn.IFNA(VLOOKUP($AI369,Programma!$F$3:$X$1107,19,0),"")</f>
        <v>_</v>
      </c>
      <c r="BB369" s="300" t="str">
        <f>_xlfn.IFNA(VLOOKUP($AI369,Programma!$F$3:$Y$1107,20,0),"")</f>
        <v>_</v>
      </c>
      <c r="BC369" s="257"/>
      <c r="BD369" s="256" t="str">
        <f>IF(Ruimtestaat[[#This Row],[Frequentie weekend]]="","",_xlfn.CONCAT(Ruimtestaat[[#This Row],[Ruimte code]],"-",Ruimtestaat[[#This Row],[Frequentie weekend]]," ",Ruimtestaat[[#This Row],[Vloer code]]))</f>
        <v/>
      </c>
      <c r="BE369" s="300" t="str">
        <f>_xlfn.IFNA(VLOOKUP($BD369,Programma!$F$3:$G$1107,2,0),"")</f>
        <v/>
      </c>
      <c r="BF369" s="300" t="str">
        <f>_xlfn.IFNA(VLOOKUP($BD369,Programma!$F$3:$H$1107,3,0),"")</f>
        <v/>
      </c>
      <c r="BG369" s="300" t="str">
        <f>_xlfn.IFNA(VLOOKUP($BD369,Programma!$F$3:$I$1107,4,0),"")</f>
        <v/>
      </c>
      <c r="BH369" s="300" t="str">
        <f>_xlfn.IFNA(VLOOKUP($BD369,Programma!$F$3:$J$1107,5,0),"")</f>
        <v/>
      </c>
      <c r="BI369" s="300" t="str">
        <f>_xlfn.IFNA(VLOOKUP($BD369,Programma!$F$3:$K$1107,6,0),"")</f>
        <v/>
      </c>
      <c r="BJ369" s="300" t="str">
        <f>_xlfn.IFNA(VLOOKUP($BD369,Programma!$F$3:$L$1107,7,0),"")</f>
        <v/>
      </c>
      <c r="BK369" s="300" t="str">
        <f>_xlfn.IFNA(VLOOKUP($BD369,Programma!$F$3:$M$1107,8,0),"")</f>
        <v/>
      </c>
      <c r="BL369" s="300" t="str">
        <f>_xlfn.IFNA(VLOOKUP($BD369,Programma!$F$3:$N$1107,9,0),"")</f>
        <v/>
      </c>
      <c r="BM369" s="300" t="str">
        <f>_xlfn.IFNA(VLOOKUP($BD369,Programma!$F$3:$O$1107,10,0),"")</f>
        <v/>
      </c>
      <c r="BN369" s="300" t="str">
        <f>_xlfn.IFNA(VLOOKUP($BD369,Programma!$F$3:$P$1107,11,0),"")</f>
        <v/>
      </c>
      <c r="BO369" s="300" t="str">
        <f>_xlfn.IFNA(VLOOKUP($BD369,Programma!$F$3:$Q$1107,12,0),"")</f>
        <v/>
      </c>
      <c r="BP369" s="300" t="str">
        <f>_xlfn.IFNA(VLOOKUP($BD369,Programma!$F$3:$R$1107,13,0),"")</f>
        <v/>
      </c>
      <c r="BQ369" s="300" t="str">
        <f>_xlfn.IFNA(VLOOKUP($BD369,Programma!$F$3:$S$1107,14,0),"")</f>
        <v/>
      </c>
      <c r="BR369" s="300" t="str">
        <f>_xlfn.IFNA(VLOOKUP($BD369,Programma!$F$3:$T$1107,15,0),"")</f>
        <v/>
      </c>
      <c r="BS369" s="300" t="str">
        <f>_xlfn.IFNA(VLOOKUP($BD369,Programma!$F$3:$U$1107,16,0),"")</f>
        <v/>
      </c>
      <c r="BT369" s="300" t="str">
        <f>_xlfn.IFNA(VLOOKUP($BD369,Programma!$F$3:$V$1107,17,0),"")</f>
        <v/>
      </c>
      <c r="BU369" s="300" t="str">
        <f>_xlfn.IFNA(VLOOKUP($BD369,Programma!$F$3:$W$1107,18,0),"")</f>
        <v/>
      </c>
      <c r="BV369" s="300" t="str">
        <f>_xlfn.IFNA(VLOOKUP($BD369,Programma!$F$3:$X$1107,19,0),"")</f>
        <v/>
      </c>
      <c r="BW369" s="300" t="str">
        <f>_xlfn.IFNA(VLOOKUP($BD369,Programma!$F$3:$Y$1107,20,0),"")</f>
        <v/>
      </c>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c r="HL369" s="4"/>
    </row>
    <row r="370" spans="1:220" ht="15" customHeight="1">
      <c r="A370" s="21">
        <v>5</v>
      </c>
      <c r="B370" s="157" t="str">
        <f>VLOOKUP(Ruimtestaat[[#This Row],[Code]],Locaties[[Code]:[Locatie]],2,FALSE)</f>
        <v>François Vatel vmbo</v>
      </c>
      <c r="C370" s="157" t="str">
        <f>VLOOKUP(Ruimtestaat[[#This Row],[Code]],Locaties[[#All],[Code]:[Adres]],4,FALSE)</f>
        <v>Granaathorst 20</v>
      </c>
      <c r="D370" s="157" t="str">
        <f>VLOOKUP(Ruimtestaat[[#This Row],[Code]],Locaties[[#All],[Code]:[Postcode]],5,FALSE)</f>
        <v>2592 TD</v>
      </c>
      <c r="E370" s="157" t="str">
        <f>VLOOKUP(Ruimtestaat[[#This Row],[Code]],Locaties[#All],6,FALSE)</f>
        <v>Den Haag</v>
      </c>
      <c r="F370" s="62"/>
      <c r="G370" s="21" t="s">
        <v>1632</v>
      </c>
      <c r="H370" s="21">
        <v>29</v>
      </c>
      <c r="I370" s="62" t="s">
        <v>2031</v>
      </c>
      <c r="J370" s="21">
        <v>2</v>
      </c>
      <c r="K370" s="62" t="str">
        <f>VLOOKUP(Ruimtestaat[[#This Row],[Ruimte code]],Ruimtegroepen[[#All],[Code]:[Ruimte omschrijving]],2,FALSE)</f>
        <v>Kantoren</v>
      </c>
      <c r="L370" s="33" t="s">
        <v>100</v>
      </c>
      <c r="M370" s="367" t="s">
        <v>2493</v>
      </c>
      <c r="N370" s="140">
        <v>28</v>
      </c>
      <c r="O370" s="140"/>
      <c r="P370" s="125" t="str">
        <f>VLOOKUP(Ruimtestaat[[#This Row],[Ruimte code]],Ruimtegroepen[],4,FALSE)</f>
        <v>Bu</v>
      </c>
      <c r="R370" s="33">
        <v>42</v>
      </c>
      <c r="S370" s="33" t="s">
        <v>18</v>
      </c>
      <c r="T370" s="33">
        <f>IF(R370&gt;0,IF(RIGHT(Ruimtestaat[[#This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70" s="33">
        <f>IF(T370&gt;0,VLOOKUP($J370,Ruimtegroepen[],3,FALSE)*VLOOKUP($L370,Vloersoorten[],3,FALSE)*VLOOKUP($S370,Frequenties[],3,FALSE)*VLOOKUP($A370,Locaties[],3,FALSE),0)</f>
        <v>0</v>
      </c>
      <c r="V370" s="33">
        <f>Ruimtestaat[[#This Row],[Uitvoeringen werkdagen]]*Ruimtestaat[[#This Row],[Oppervlak (netto)]]</f>
        <v>3528</v>
      </c>
      <c r="W370" s="154">
        <f>IF(U370&gt;0,Ruimtestaat[[#This Row],[Prest. (m2 /jaar) werkdagen]]/Ruimtestaat[[#This Row],[Norm (m2/uur) werkdagen]],0)</f>
        <v>0</v>
      </c>
      <c r="X370" s="155">
        <f>Ruimtestaat[[#This Row],[uren / jaar werkdagen]]*Tariefsopbouw!$E$35</f>
        <v>0</v>
      </c>
      <c r="Y370" s="33"/>
      <c r="Z370" s="33">
        <f>IF(Ruimtestaat[[#This Row],[Frequentie weekend]]&gt;0,VALUE(LEFT(Y370,1))*R370,0)</f>
        <v>0</v>
      </c>
      <c r="AA370" s="97">
        <f>IF($Z370&gt;0,VLOOKUP($J370,Ruimtegroepen[],3,FALSE)*VLOOKUP($L370,Vloersoorten[],3,FALSE)*VLOOKUP($Y370,Frequenties[],3,FALSE)*VLOOKUP(Ruimtestaat[[#This Row],[Code]],Locaties[],3,FALSE),0)</f>
        <v>0</v>
      </c>
      <c r="AB370" s="97">
        <f>Ruimtestaat[[#This Row],[Uitvoeringen weekend]]*Ruimtestaat[[#This Row],[Oppervlak (netto)]]</f>
        <v>0</v>
      </c>
      <c r="AC370" s="97">
        <f>IF(AA370&gt;0,Ruimtestaat[[#This Row],[Prest. (m2 /jaar) weekend]]/Ruimtestaat[[#This Row],[Norm (m2/uur) weekend]],0)</f>
        <v>0</v>
      </c>
      <c r="AD370" s="155">
        <f>Ruimtestaat[[#This Row],[uren / jaar weekend]]*Tariefsopbouw!$D$40</f>
        <v>0</v>
      </c>
      <c r="AE370" s="154">
        <f>Ruimtestaat[[#This Row],[Prest. (m2 /jaar) weekend]]+Ruimtestaat[[#This Row],[Prest. (m2 /jaar) werkdagen]]</f>
        <v>3528</v>
      </c>
      <c r="AF370" s="154">
        <f>Ruimtestaat[[#This Row],[uren / jaar weekend]]+Ruimtestaat[[#This Row],[uren / jaar werkdagen]]</f>
        <v>0</v>
      </c>
      <c r="AG370" s="69">
        <f>Ruimtestaat[[#This Row],[kosten / jaar weekend]]+Ruimtestaat[[#This Row],[kosten / jaar werkdagen]]</f>
        <v>0</v>
      </c>
      <c r="AH370" s="69"/>
      <c r="AI370" s="256" t="str">
        <f>IF(Ruimtestaat[[#This Row],[Frequentie werkdagen]]="","",_xlfn.CONCAT(Ruimtestaat[[#This Row],[Ruimte code]],"-",Ruimtestaat[[#This Row],[Frequentie werkdagen]]," ",Ruimtestaat[[#This Row],[Vloer code]]))</f>
        <v>2-3w T</v>
      </c>
      <c r="AJ370" s="300" t="str">
        <f>_xlfn.IFNA(VLOOKUP($AI370,Programma!$F$3:$G$1107,2,0),"")</f>
        <v>2w</v>
      </c>
      <c r="AK370" s="300" t="str">
        <f>_xlfn.IFNA(VLOOKUP($AI370,Programma!$F$3:$H$1107,3,0),"")</f>
        <v>1w</v>
      </c>
      <c r="AL370" s="300" t="str">
        <f>_xlfn.IFNA(VLOOKUP($AI370,Programma!$F$3:$I$1107,4,0),"")</f>
        <v>_</v>
      </c>
      <c r="AM370" s="300" t="str">
        <f>_xlfn.IFNA(VLOOKUP($AI370,Programma!$F$3:$J$1107,5,0),"")</f>
        <v>_</v>
      </c>
      <c r="AN370" s="300" t="str">
        <f>_xlfn.IFNA(VLOOKUP($AI370,Programma!$F$3:$K$1107,6,0),"")</f>
        <v>_</v>
      </c>
      <c r="AO370" s="300" t="str">
        <f>_xlfn.IFNA(VLOOKUP($AI370,Programma!$F$3:$L$1107,7,0),"")</f>
        <v>_</v>
      </c>
      <c r="AP370" s="300" t="str">
        <f>_xlfn.IFNA(VLOOKUP($AI370,Programma!$F$3:$M$1107,8,0),"")</f>
        <v>_</v>
      </c>
      <c r="AQ370" s="300" t="str">
        <f>_xlfn.IFNA(VLOOKUP($AI370,Programma!$F$3:$N$1107,9,0),"")</f>
        <v>_</v>
      </c>
      <c r="AR370" s="300" t="str">
        <f>_xlfn.IFNA(VLOOKUP($AI370,Programma!$F$3:$O$1107,10,0),"")</f>
        <v>3w</v>
      </c>
      <c r="AS370" s="300" t="str">
        <f>_xlfn.IFNA(VLOOKUP($AI370,Programma!$F$3:$P$1107,11,0),"")</f>
        <v>3w</v>
      </c>
      <c r="AT370" s="300" t="str">
        <f>_xlfn.IFNA(VLOOKUP($AI370,Programma!$F$3:$Q$1107,12,0),"")</f>
        <v>1w</v>
      </c>
      <c r="AU370" s="300" t="str">
        <f>_xlfn.IFNA(VLOOKUP($AI370,Programma!$F$3:$R$1107,13,0),"")</f>
        <v>1w</v>
      </c>
      <c r="AV370" s="300" t="str">
        <f>_xlfn.IFNA(VLOOKUP($AI370,Programma!$F$3:$S$1107,14,0),"")</f>
        <v>1m</v>
      </c>
      <c r="AW370" s="300" t="str">
        <f>_xlfn.IFNA(VLOOKUP($AI370,Programma!$F$3:$T$1107,15,0),"")</f>
        <v>2j</v>
      </c>
      <c r="AX370" s="300" t="str">
        <f>_xlfn.IFNA(VLOOKUP($AI370,Programma!$F$3:$U$1107,16,0),"")</f>
        <v>1j</v>
      </c>
      <c r="AY370" s="300" t="str">
        <f>_xlfn.IFNA(VLOOKUP($AI370,Programma!$F$3:$V$1107,17,0),"")</f>
        <v>_</v>
      </c>
      <c r="AZ370" s="300" t="str">
        <f>_xlfn.IFNA(VLOOKUP($AI370,Programma!$F$3:$W$1107,18,0),"")</f>
        <v>_</v>
      </c>
      <c r="BA370" s="300" t="str">
        <f>_xlfn.IFNA(VLOOKUP($AI370,Programma!$F$3:$X$1107,19,0),"")</f>
        <v>_</v>
      </c>
      <c r="BB370" s="300" t="str">
        <f>_xlfn.IFNA(VLOOKUP($AI370,Programma!$F$3:$Y$1107,20,0),"")</f>
        <v>_</v>
      </c>
      <c r="BC370" s="257"/>
      <c r="BD370" s="256" t="str">
        <f>IF(Ruimtestaat[[#This Row],[Frequentie weekend]]="","",_xlfn.CONCAT(Ruimtestaat[[#This Row],[Ruimte code]],"-",Ruimtestaat[[#This Row],[Frequentie weekend]]," ",Ruimtestaat[[#This Row],[Vloer code]]))</f>
        <v/>
      </c>
      <c r="BE370" s="300" t="str">
        <f>_xlfn.IFNA(VLOOKUP($BD370,Programma!$F$3:$G$1107,2,0),"")</f>
        <v/>
      </c>
      <c r="BF370" s="300" t="str">
        <f>_xlfn.IFNA(VLOOKUP($BD370,Programma!$F$3:$H$1107,3,0),"")</f>
        <v/>
      </c>
      <c r="BG370" s="300" t="str">
        <f>_xlfn.IFNA(VLOOKUP($BD370,Programma!$F$3:$I$1107,4,0),"")</f>
        <v/>
      </c>
      <c r="BH370" s="300" t="str">
        <f>_xlfn.IFNA(VLOOKUP($BD370,Programma!$F$3:$J$1107,5,0),"")</f>
        <v/>
      </c>
      <c r="BI370" s="300" t="str">
        <f>_xlfn.IFNA(VLOOKUP($BD370,Programma!$F$3:$K$1107,6,0),"")</f>
        <v/>
      </c>
      <c r="BJ370" s="300" t="str">
        <f>_xlfn.IFNA(VLOOKUP($BD370,Programma!$F$3:$L$1107,7,0),"")</f>
        <v/>
      </c>
      <c r="BK370" s="300" t="str">
        <f>_xlfn.IFNA(VLOOKUP($BD370,Programma!$F$3:$M$1107,8,0),"")</f>
        <v/>
      </c>
      <c r="BL370" s="300" t="str">
        <f>_xlfn.IFNA(VLOOKUP($BD370,Programma!$F$3:$N$1107,9,0),"")</f>
        <v/>
      </c>
      <c r="BM370" s="300" t="str">
        <f>_xlfn.IFNA(VLOOKUP($BD370,Programma!$F$3:$O$1107,10,0),"")</f>
        <v/>
      </c>
      <c r="BN370" s="300" t="str">
        <f>_xlfn.IFNA(VLOOKUP($BD370,Programma!$F$3:$P$1107,11,0),"")</f>
        <v/>
      </c>
      <c r="BO370" s="300" t="str">
        <f>_xlfn.IFNA(VLOOKUP($BD370,Programma!$F$3:$Q$1107,12,0),"")</f>
        <v/>
      </c>
      <c r="BP370" s="300" t="str">
        <f>_xlfn.IFNA(VLOOKUP($BD370,Programma!$F$3:$R$1107,13,0),"")</f>
        <v/>
      </c>
      <c r="BQ370" s="300" t="str">
        <f>_xlfn.IFNA(VLOOKUP($BD370,Programma!$F$3:$S$1107,14,0),"")</f>
        <v/>
      </c>
      <c r="BR370" s="300" t="str">
        <f>_xlfn.IFNA(VLOOKUP($BD370,Programma!$F$3:$T$1107,15,0),"")</f>
        <v/>
      </c>
      <c r="BS370" s="300" t="str">
        <f>_xlfn.IFNA(VLOOKUP($BD370,Programma!$F$3:$U$1107,16,0),"")</f>
        <v/>
      </c>
      <c r="BT370" s="300" t="str">
        <f>_xlfn.IFNA(VLOOKUP($BD370,Programma!$F$3:$V$1107,17,0),"")</f>
        <v/>
      </c>
      <c r="BU370" s="300" t="str">
        <f>_xlfn.IFNA(VLOOKUP($BD370,Programma!$F$3:$W$1107,18,0),"")</f>
        <v/>
      </c>
      <c r="BV370" s="300" t="str">
        <f>_xlfn.IFNA(VLOOKUP($BD370,Programma!$F$3:$X$1107,19,0),"")</f>
        <v/>
      </c>
      <c r="BW370" s="300" t="str">
        <f>_xlfn.IFNA(VLOOKUP($BD370,Programma!$F$3:$Y$1107,20,0),"")</f>
        <v/>
      </c>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row>
    <row r="371" spans="1:220" ht="15" customHeight="1">
      <c r="A371" s="21">
        <v>5</v>
      </c>
      <c r="B371" s="157" t="str">
        <f>VLOOKUP(Ruimtestaat[[#This Row],[Code]],Locaties[[Code]:[Locatie]],2,FALSE)</f>
        <v>François Vatel vmbo</v>
      </c>
      <c r="C371" s="157" t="str">
        <f>VLOOKUP(Ruimtestaat[[#This Row],[Code]],Locaties[[#All],[Code]:[Adres]],4,FALSE)</f>
        <v>Granaathorst 20</v>
      </c>
      <c r="D371" s="157" t="str">
        <f>VLOOKUP(Ruimtestaat[[#This Row],[Code]],Locaties[[#All],[Code]:[Postcode]],5,FALSE)</f>
        <v>2592 TD</v>
      </c>
      <c r="E371" s="157" t="str">
        <f>VLOOKUP(Ruimtestaat[[#This Row],[Code]],Locaties[#All],6,FALSE)</f>
        <v>Den Haag</v>
      </c>
      <c r="F371" s="62"/>
      <c r="G371" s="21" t="s">
        <v>1632</v>
      </c>
      <c r="H371" s="21">
        <v>30</v>
      </c>
      <c r="I371" s="62" t="s">
        <v>2032</v>
      </c>
      <c r="J371" s="21">
        <v>4</v>
      </c>
      <c r="K371" s="62" t="str">
        <f>VLOOKUP(Ruimtestaat[[#This Row],[Ruimte code]],Ruimtegroepen[[#All],[Code]:[Ruimte omschrijving]],2,FALSE)</f>
        <v>Vergader/spreekkamers</v>
      </c>
      <c r="L371" s="33" t="s">
        <v>100</v>
      </c>
      <c r="M371" s="367" t="s">
        <v>2493</v>
      </c>
      <c r="N371" s="140">
        <v>32</v>
      </c>
      <c r="O371" s="140"/>
      <c r="P371" s="125" t="str">
        <f>VLOOKUP(Ruimtestaat[[#This Row],[Ruimte code]],Ruimtegroepen[],4,FALSE)</f>
        <v>Bu</v>
      </c>
      <c r="R371" s="33">
        <v>40</v>
      </c>
      <c r="S371" s="33" t="s">
        <v>18</v>
      </c>
      <c r="T371" s="33">
        <f>IF(R371&gt;0,IF(RIGHT(Ruimtestaat[[#This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371" s="33">
        <f>IF(T371&gt;0,VLOOKUP($J371,Ruimtegroepen[],3,FALSE)*VLOOKUP($L371,Vloersoorten[],3,FALSE)*VLOOKUP($S371,Frequenties[],3,FALSE)*VLOOKUP($A371,Locaties[],3,FALSE),0)</f>
        <v>0</v>
      </c>
      <c r="V371" s="33">
        <f>Ruimtestaat[[#This Row],[Uitvoeringen werkdagen]]*Ruimtestaat[[#This Row],[Oppervlak (netto)]]</f>
        <v>3840</v>
      </c>
      <c r="W371" s="154">
        <f>IF(U371&gt;0,Ruimtestaat[[#This Row],[Prest. (m2 /jaar) werkdagen]]/Ruimtestaat[[#This Row],[Norm (m2/uur) werkdagen]],0)</f>
        <v>0</v>
      </c>
      <c r="X371" s="155">
        <f>Ruimtestaat[[#This Row],[uren / jaar werkdagen]]*Tariefsopbouw!$E$35</f>
        <v>0</v>
      </c>
      <c r="Y371" s="33"/>
      <c r="Z371" s="33">
        <f>IF(Ruimtestaat[[#This Row],[Frequentie weekend]]&gt;0,VALUE(LEFT(Y371,1))*R371,0)</f>
        <v>0</v>
      </c>
      <c r="AA371" s="97">
        <f>IF($Z371&gt;0,VLOOKUP($J371,Ruimtegroepen[],3,FALSE)*VLOOKUP($L371,Vloersoorten[],3,FALSE)*VLOOKUP($Y371,Frequenties[],3,FALSE)*VLOOKUP(Ruimtestaat[[#This Row],[Code]],Locaties[],3,FALSE),0)</f>
        <v>0</v>
      </c>
      <c r="AB371" s="97">
        <f>Ruimtestaat[[#This Row],[Uitvoeringen weekend]]*Ruimtestaat[[#This Row],[Oppervlak (netto)]]</f>
        <v>0</v>
      </c>
      <c r="AC371" s="97">
        <f>IF(AA371&gt;0,Ruimtestaat[[#This Row],[Prest. (m2 /jaar) weekend]]/Ruimtestaat[[#This Row],[Norm (m2/uur) weekend]],0)</f>
        <v>0</v>
      </c>
      <c r="AD371" s="155">
        <f>Ruimtestaat[[#This Row],[uren / jaar weekend]]*Tariefsopbouw!$D$40</f>
        <v>0</v>
      </c>
      <c r="AE371" s="154">
        <f>Ruimtestaat[[#This Row],[Prest. (m2 /jaar) weekend]]+Ruimtestaat[[#This Row],[Prest. (m2 /jaar) werkdagen]]</f>
        <v>3840</v>
      </c>
      <c r="AF371" s="154">
        <f>Ruimtestaat[[#This Row],[uren / jaar weekend]]+Ruimtestaat[[#This Row],[uren / jaar werkdagen]]</f>
        <v>0</v>
      </c>
      <c r="AG371" s="69">
        <f>Ruimtestaat[[#This Row],[kosten / jaar weekend]]+Ruimtestaat[[#This Row],[kosten / jaar werkdagen]]</f>
        <v>0</v>
      </c>
      <c r="AH371" s="69"/>
      <c r="AI371" s="256" t="str">
        <f>IF(Ruimtestaat[[#This Row],[Frequentie werkdagen]]="","",_xlfn.CONCAT(Ruimtestaat[[#This Row],[Ruimte code]],"-",Ruimtestaat[[#This Row],[Frequentie werkdagen]]," ",Ruimtestaat[[#This Row],[Vloer code]]))</f>
        <v>4-3w T</v>
      </c>
      <c r="AJ371" s="300" t="str">
        <f>_xlfn.IFNA(VLOOKUP($AI371,Programma!$F$3:$G$1107,2,0),"")</f>
        <v>2w</v>
      </c>
      <c r="AK371" s="300" t="str">
        <f>_xlfn.IFNA(VLOOKUP($AI371,Programma!$F$3:$H$1107,3,0),"")</f>
        <v>1w</v>
      </c>
      <c r="AL371" s="300" t="str">
        <f>_xlfn.IFNA(VLOOKUP($AI371,Programma!$F$3:$I$1107,4,0),"")</f>
        <v>_</v>
      </c>
      <c r="AM371" s="300" t="str">
        <f>_xlfn.IFNA(VLOOKUP($AI371,Programma!$F$3:$J$1107,5,0),"")</f>
        <v>_</v>
      </c>
      <c r="AN371" s="300" t="str">
        <f>_xlfn.IFNA(VLOOKUP($AI371,Programma!$F$3:$K$1107,6,0),"")</f>
        <v>_</v>
      </c>
      <c r="AO371" s="300" t="str">
        <f>_xlfn.IFNA(VLOOKUP($AI371,Programma!$F$3:$L$1107,7,0),"")</f>
        <v>_</v>
      </c>
      <c r="AP371" s="300" t="str">
        <f>_xlfn.IFNA(VLOOKUP($AI371,Programma!$F$3:$M$1107,8,0),"")</f>
        <v>_</v>
      </c>
      <c r="AQ371" s="300" t="str">
        <f>_xlfn.IFNA(VLOOKUP($AI371,Programma!$F$3:$N$1107,9,0),"")</f>
        <v>_</v>
      </c>
      <c r="AR371" s="300" t="str">
        <f>_xlfn.IFNA(VLOOKUP($AI371,Programma!$F$3:$O$1107,10,0),"")</f>
        <v>3w</v>
      </c>
      <c r="AS371" s="300" t="str">
        <f>_xlfn.IFNA(VLOOKUP($AI371,Programma!$F$3:$P$1107,11,0),"")</f>
        <v>3w</v>
      </c>
      <c r="AT371" s="300" t="str">
        <f>_xlfn.IFNA(VLOOKUP($AI371,Programma!$F$3:$Q$1107,12,0),"")</f>
        <v>1w</v>
      </c>
      <c r="AU371" s="300" t="str">
        <f>_xlfn.IFNA(VLOOKUP($AI371,Programma!$F$3:$R$1107,13,0),"")</f>
        <v>1w</v>
      </c>
      <c r="AV371" s="300" t="str">
        <f>_xlfn.IFNA(VLOOKUP($AI371,Programma!$F$3:$S$1107,14,0),"")</f>
        <v>1m</v>
      </c>
      <c r="AW371" s="300" t="str">
        <f>_xlfn.IFNA(VLOOKUP($AI371,Programma!$F$3:$T$1107,15,0),"")</f>
        <v>2j</v>
      </c>
      <c r="AX371" s="300" t="str">
        <f>_xlfn.IFNA(VLOOKUP($AI371,Programma!$F$3:$U$1107,16,0),"")</f>
        <v>1j</v>
      </c>
      <c r="AY371" s="300" t="str">
        <f>_xlfn.IFNA(VLOOKUP($AI371,Programma!$F$3:$V$1107,17,0),"")</f>
        <v>_</v>
      </c>
      <c r="AZ371" s="300" t="str">
        <f>_xlfn.IFNA(VLOOKUP($AI371,Programma!$F$3:$W$1107,18,0),"")</f>
        <v>_</v>
      </c>
      <c r="BA371" s="300" t="str">
        <f>_xlfn.IFNA(VLOOKUP($AI371,Programma!$F$3:$X$1107,19,0),"")</f>
        <v>_</v>
      </c>
      <c r="BB371" s="300" t="str">
        <f>_xlfn.IFNA(VLOOKUP($AI371,Programma!$F$3:$Y$1107,20,0),"")</f>
        <v>_</v>
      </c>
      <c r="BC371" s="257"/>
      <c r="BD371" s="256" t="str">
        <f>IF(Ruimtestaat[[#This Row],[Frequentie weekend]]="","",_xlfn.CONCAT(Ruimtestaat[[#This Row],[Ruimte code]],"-",Ruimtestaat[[#This Row],[Frequentie weekend]]," ",Ruimtestaat[[#This Row],[Vloer code]]))</f>
        <v/>
      </c>
      <c r="BE371" s="300" t="str">
        <f>_xlfn.IFNA(VLOOKUP($BD371,Programma!$F$3:$G$1107,2,0),"")</f>
        <v/>
      </c>
      <c r="BF371" s="300" t="str">
        <f>_xlfn.IFNA(VLOOKUP($BD371,Programma!$F$3:$H$1107,3,0),"")</f>
        <v/>
      </c>
      <c r="BG371" s="300" t="str">
        <f>_xlfn.IFNA(VLOOKUP($BD371,Programma!$F$3:$I$1107,4,0),"")</f>
        <v/>
      </c>
      <c r="BH371" s="300" t="str">
        <f>_xlfn.IFNA(VLOOKUP($BD371,Programma!$F$3:$J$1107,5,0),"")</f>
        <v/>
      </c>
      <c r="BI371" s="300" t="str">
        <f>_xlfn.IFNA(VLOOKUP($BD371,Programma!$F$3:$K$1107,6,0),"")</f>
        <v/>
      </c>
      <c r="BJ371" s="300" t="str">
        <f>_xlfn.IFNA(VLOOKUP($BD371,Programma!$F$3:$L$1107,7,0),"")</f>
        <v/>
      </c>
      <c r="BK371" s="300" t="str">
        <f>_xlfn.IFNA(VLOOKUP($BD371,Programma!$F$3:$M$1107,8,0),"")</f>
        <v/>
      </c>
      <c r="BL371" s="300" t="str">
        <f>_xlfn.IFNA(VLOOKUP($BD371,Programma!$F$3:$N$1107,9,0),"")</f>
        <v/>
      </c>
      <c r="BM371" s="300" t="str">
        <f>_xlfn.IFNA(VLOOKUP($BD371,Programma!$F$3:$O$1107,10,0),"")</f>
        <v/>
      </c>
      <c r="BN371" s="300" t="str">
        <f>_xlfn.IFNA(VLOOKUP($BD371,Programma!$F$3:$P$1107,11,0),"")</f>
        <v/>
      </c>
      <c r="BO371" s="300" t="str">
        <f>_xlfn.IFNA(VLOOKUP($BD371,Programma!$F$3:$Q$1107,12,0),"")</f>
        <v/>
      </c>
      <c r="BP371" s="300" t="str">
        <f>_xlfn.IFNA(VLOOKUP($BD371,Programma!$F$3:$R$1107,13,0),"")</f>
        <v/>
      </c>
      <c r="BQ371" s="300" t="str">
        <f>_xlfn.IFNA(VLOOKUP($BD371,Programma!$F$3:$S$1107,14,0),"")</f>
        <v/>
      </c>
      <c r="BR371" s="300" t="str">
        <f>_xlfn.IFNA(VLOOKUP($BD371,Programma!$F$3:$T$1107,15,0),"")</f>
        <v/>
      </c>
      <c r="BS371" s="300" t="str">
        <f>_xlfn.IFNA(VLOOKUP($BD371,Programma!$F$3:$U$1107,16,0),"")</f>
        <v/>
      </c>
      <c r="BT371" s="300" t="str">
        <f>_xlfn.IFNA(VLOOKUP($BD371,Programma!$F$3:$V$1107,17,0),"")</f>
        <v/>
      </c>
      <c r="BU371" s="300" t="str">
        <f>_xlfn.IFNA(VLOOKUP($BD371,Programma!$F$3:$W$1107,18,0),"")</f>
        <v/>
      </c>
      <c r="BV371" s="300" t="str">
        <f>_xlfn.IFNA(VLOOKUP($BD371,Programma!$F$3:$X$1107,19,0),"")</f>
        <v/>
      </c>
      <c r="BW371" s="300" t="str">
        <f>_xlfn.IFNA(VLOOKUP($BD371,Programma!$F$3:$Y$1107,20,0),"")</f>
        <v/>
      </c>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row>
    <row r="372" spans="1:220" ht="15" customHeight="1">
      <c r="A372" s="21">
        <v>5</v>
      </c>
      <c r="B372" s="157" t="str">
        <f>VLOOKUP(Ruimtestaat[[#This Row],[Code]],Locaties[[Code]:[Locatie]],2,FALSE)</f>
        <v>François Vatel vmbo</v>
      </c>
      <c r="C372" s="157" t="str">
        <f>VLOOKUP(Ruimtestaat[[#This Row],[Code]],Locaties[[#All],[Code]:[Adres]],4,FALSE)</f>
        <v>Granaathorst 20</v>
      </c>
      <c r="D372" s="157" t="str">
        <f>VLOOKUP(Ruimtestaat[[#This Row],[Code]],Locaties[[#All],[Code]:[Postcode]],5,FALSE)</f>
        <v>2592 TD</v>
      </c>
      <c r="E372" s="157" t="str">
        <f>VLOOKUP(Ruimtestaat[[#This Row],[Code]],Locaties[#All],6,FALSE)</f>
        <v>Den Haag</v>
      </c>
      <c r="F372" s="62"/>
      <c r="G372" s="21" t="s">
        <v>1632</v>
      </c>
      <c r="H372" s="21">
        <v>31</v>
      </c>
      <c r="I372" s="62" t="s">
        <v>2033</v>
      </c>
      <c r="J372" s="21">
        <v>4</v>
      </c>
      <c r="K372" s="62" t="str">
        <f>VLOOKUP(Ruimtestaat[[#This Row],[Ruimte code]],Ruimtegroepen[[#All],[Code]:[Ruimte omschrijving]],2,FALSE)</f>
        <v>Vergader/spreekkamers</v>
      </c>
      <c r="L372" s="33" t="s">
        <v>101</v>
      </c>
      <c r="M372" s="367" t="s">
        <v>2495</v>
      </c>
      <c r="N372" s="140">
        <v>8</v>
      </c>
      <c r="O372" s="140"/>
      <c r="P372" s="125" t="str">
        <f>VLOOKUP(Ruimtestaat[[#This Row],[Ruimte code]],Ruimtegroepen[],4,FALSE)</f>
        <v>Bu</v>
      </c>
      <c r="R372" s="33">
        <v>40</v>
      </c>
      <c r="S372" s="33" t="s">
        <v>2</v>
      </c>
      <c r="T372" s="33">
        <f>IF(R372&gt;0,IF(RIGHT(Ruimtestaat[[#This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2" s="33">
        <f>IF(T372&gt;0,VLOOKUP($J372,Ruimtegroepen[],3,FALSE)*VLOOKUP($L372,Vloersoorten[],3,FALSE)*VLOOKUP($S372,Frequenties[],3,FALSE)*VLOOKUP($A372,Locaties[],3,FALSE),0)</f>
        <v>0</v>
      </c>
      <c r="V372" s="33">
        <f>Ruimtestaat[[#This Row],[Uitvoeringen werkdagen]]*Ruimtestaat[[#This Row],[Oppervlak (netto)]]</f>
        <v>1600</v>
      </c>
      <c r="W372" s="154">
        <f>IF(U372&gt;0,Ruimtestaat[[#This Row],[Prest. (m2 /jaar) werkdagen]]/Ruimtestaat[[#This Row],[Norm (m2/uur) werkdagen]],0)</f>
        <v>0</v>
      </c>
      <c r="X372" s="155">
        <f>Ruimtestaat[[#This Row],[uren / jaar werkdagen]]*Tariefsopbouw!$E$35</f>
        <v>0</v>
      </c>
      <c r="Y372" s="33"/>
      <c r="Z372" s="33">
        <f>IF(Ruimtestaat[[#This Row],[Frequentie weekend]]&gt;0,VALUE(LEFT(Y372,1))*R372,0)</f>
        <v>0</v>
      </c>
      <c r="AA372" s="97">
        <f>IF($Z372&gt;0,VLOOKUP($J372,Ruimtegroepen[],3,FALSE)*VLOOKUP($L372,Vloersoorten[],3,FALSE)*VLOOKUP($Y372,Frequenties[],3,FALSE)*VLOOKUP(Ruimtestaat[[#This Row],[Code]],Locaties[],3,FALSE),0)</f>
        <v>0</v>
      </c>
      <c r="AB372" s="97">
        <f>Ruimtestaat[[#This Row],[Uitvoeringen weekend]]*Ruimtestaat[[#This Row],[Oppervlak (netto)]]</f>
        <v>0</v>
      </c>
      <c r="AC372" s="97">
        <f>IF(AA372&gt;0,Ruimtestaat[[#This Row],[Prest. (m2 /jaar) weekend]]/Ruimtestaat[[#This Row],[Norm (m2/uur) weekend]],0)</f>
        <v>0</v>
      </c>
      <c r="AD372" s="155">
        <f>Ruimtestaat[[#This Row],[uren / jaar weekend]]*Tariefsopbouw!$D$40</f>
        <v>0</v>
      </c>
      <c r="AE372" s="154">
        <f>Ruimtestaat[[#This Row],[Prest. (m2 /jaar) weekend]]+Ruimtestaat[[#This Row],[Prest. (m2 /jaar) werkdagen]]</f>
        <v>1600</v>
      </c>
      <c r="AF372" s="154">
        <f>Ruimtestaat[[#This Row],[uren / jaar weekend]]+Ruimtestaat[[#This Row],[uren / jaar werkdagen]]</f>
        <v>0</v>
      </c>
      <c r="AG372" s="69">
        <f>Ruimtestaat[[#This Row],[kosten / jaar weekend]]+Ruimtestaat[[#This Row],[kosten / jaar werkdagen]]</f>
        <v>0</v>
      </c>
      <c r="AH372" s="69"/>
      <c r="AI372" s="256" t="str">
        <f>IF(Ruimtestaat[[#This Row],[Frequentie werkdagen]]="","",_xlfn.CONCAT(Ruimtestaat[[#This Row],[Ruimte code]],"-",Ruimtestaat[[#This Row],[Frequentie werkdagen]]," ",Ruimtestaat[[#This Row],[Vloer code]]))</f>
        <v>4-5w L</v>
      </c>
      <c r="AJ372" s="300" t="str">
        <f>_xlfn.IFNA(VLOOKUP($AI372,Programma!$F$3:$G$1107,2,0),"")</f>
        <v>_</v>
      </c>
      <c r="AK372" s="300" t="str">
        <f>_xlfn.IFNA(VLOOKUP($AI372,Programma!$F$3:$H$1107,3,0),"")</f>
        <v>_</v>
      </c>
      <c r="AL372" s="300" t="str">
        <f>_xlfn.IFNA(VLOOKUP($AI372,Programma!$F$3:$I$1107,4,0),"")</f>
        <v>4w</v>
      </c>
      <c r="AM372" s="300" t="str">
        <f>_xlfn.IFNA(VLOOKUP($AI372,Programma!$F$3:$J$1107,5,0),"")</f>
        <v>1w</v>
      </c>
      <c r="AN372" s="300" t="str">
        <f>_xlfn.IFNA(VLOOKUP($AI372,Programma!$F$3:$K$1107,6,0),"")</f>
        <v>_</v>
      </c>
      <c r="AO372" s="300" t="str">
        <f>_xlfn.IFNA(VLOOKUP($AI372,Programma!$F$3:$L$1107,7,0),"")</f>
        <v>_</v>
      </c>
      <c r="AP372" s="300" t="str">
        <f>_xlfn.IFNA(VLOOKUP($AI372,Programma!$F$3:$M$1107,8,0),"")</f>
        <v>_</v>
      </c>
      <c r="AQ372" s="300" t="str">
        <f>_xlfn.IFNA(VLOOKUP($AI372,Programma!$F$3:$N$1107,9,0),"")</f>
        <v>_</v>
      </c>
      <c r="AR372" s="300" t="str">
        <f>_xlfn.IFNA(VLOOKUP($AI372,Programma!$F$3:$O$1107,10,0),"")</f>
        <v>5w</v>
      </c>
      <c r="AS372" s="300" t="str">
        <f>_xlfn.IFNA(VLOOKUP($AI372,Programma!$F$3:$P$1107,11,0),"")</f>
        <v>5w</v>
      </c>
      <c r="AT372" s="300" t="str">
        <f>_xlfn.IFNA(VLOOKUP($AI372,Programma!$F$3:$Q$1107,12,0),"")</f>
        <v>1w</v>
      </c>
      <c r="AU372" s="300" t="str">
        <f>_xlfn.IFNA(VLOOKUP($AI372,Programma!$F$3:$R$1107,13,0),"")</f>
        <v>1w</v>
      </c>
      <c r="AV372" s="300" t="str">
        <f>_xlfn.IFNA(VLOOKUP($AI372,Programma!$F$3:$S$1107,14,0),"")</f>
        <v>1m</v>
      </c>
      <c r="AW372" s="300" t="str">
        <f>_xlfn.IFNA(VLOOKUP($AI372,Programma!$F$3:$T$1107,15,0),"")</f>
        <v>2j</v>
      </c>
      <c r="AX372" s="300" t="str">
        <f>_xlfn.IFNA(VLOOKUP($AI372,Programma!$F$3:$U$1107,16,0),"")</f>
        <v>1j</v>
      </c>
      <c r="AY372" s="300" t="str">
        <f>_xlfn.IFNA(VLOOKUP($AI372,Programma!$F$3:$V$1107,17,0),"")</f>
        <v>_</v>
      </c>
      <c r="AZ372" s="300" t="str">
        <f>_xlfn.IFNA(VLOOKUP($AI372,Programma!$F$3:$W$1107,18,0),"")</f>
        <v>_</v>
      </c>
      <c r="BA372" s="300" t="str">
        <f>_xlfn.IFNA(VLOOKUP($AI372,Programma!$F$3:$X$1107,19,0),"")</f>
        <v>_</v>
      </c>
      <c r="BB372" s="300" t="str">
        <f>_xlfn.IFNA(VLOOKUP($AI372,Programma!$F$3:$Y$1107,20,0),"")</f>
        <v>_</v>
      </c>
      <c r="BC372" s="257"/>
      <c r="BD372" s="256" t="str">
        <f>IF(Ruimtestaat[[#This Row],[Frequentie weekend]]="","",_xlfn.CONCAT(Ruimtestaat[[#This Row],[Ruimte code]],"-",Ruimtestaat[[#This Row],[Frequentie weekend]]," ",Ruimtestaat[[#This Row],[Vloer code]]))</f>
        <v/>
      </c>
      <c r="BE372" s="300" t="str">
        <f>_xlfn.IFNA(VLOOKUP($BD372,Programma!$F$3:$G$1107,2,0),"")</f>
        <v/>
      </c>
      <c r="BF372" s="300" t="str">
        <f>_xlfn.IFNA(VLOOKUP($BD372,Programma!$F$3:$H$1107,3,0),"")</f>
        <v/>
      </c>
      <c r="BG372" s="300" t="str">
        <f>_xlfn.IFNA(VLOOKUP($BD372,Programma!$F$3:$I$1107,4,0),"")</f>
        <v/>
      </c>
      <c r="BH372" s="300" t="str">
        <f>_xlfn.IFNA(VLOOKUP($BD372,Programma!$F$3:$J$1107,5,0),"")</f>
        <v/>
      </c>
      <c r="BI372" s="300" t="str">
        <f>_xlfn.IFNA(VLOOKUP($BD372,Programma!$F$3:$K$1107,6,0),"")</f>
        <v/>
      </c>
      <c r="BJ372" s="300" t="str">
        <f>_xlfn.IFNA(VLOOKUP($BD372,Programma!$F$3:$L$1107,7,0),"")</f>
        <v/>
      </c>
      <c r="BK372" s="300" t="str">
        <f>_xlfn.IFNA(VLOOKUP($BD372,Programma!$F$3:$M$1107,8,0),"")</f>
        <v/>
      </c>
      <c r="BL372" s="300" t="str">
        <f>_xlfn.IFNA(VLOOKUP($BD372,Programma!$F$3:$N$1107,9,0),"")</f>
        <v/>
      </c>
      <c r="BM372" s="300" t="str">
        <f>_xlfn.IFNA(VLOOKUP($BD372,Programma!$F$3:$O$1107,10,0),"")</f>
        <v/>
      </c>
      <c r="BN372" s="300" t="str">
        <f>_xlfn.IFNA(VLOOKUP($BD372,Programma!$F$3:$P$1107,11,0),"")</f>
        <v/>
      </c>
      <c r="BO372" s="300" t="str">
        <f>_xlfn.IFNA(VLOOKUP($BD372,Programma!$F$3:$Q$1107,12,0),"")</f>
        <v/>
      </c>
      <c r="BP372" s="300" t="str">
        <f>_xlfn.IFNA(VLOOKUP($BD372,Programma!$F$3:$R$1107,13,0),"")</f>
        <v/>
      </c>
      <c r="BQ372" s="300" t="str">
        <f>_xlfn.IFNA(VLOOKUP($BD372,Programma!$F$3:$S$1107,14,0),"")</f>
        <v/>
      </c>
      <c r="BR372" s="300" t="str">
        <f>_xlfn.IFNA(VLOOKUP($BD372,Programma!$F$3:$T$1107,15,0),"")</f>
        <v/>
      </c>
      <c r="BS372" s="300" t="str">
        <f>_xlfn.IFNA(VLOOKUP($BD372,Programma!$F$3:$U$1107,16,0),"")</f>
        <v/>
      </c>
      <c r="BT372" s="300" t="str">
        <f>_xlfn.IFNA(VLOOKUP($BD372,Programma!$F$3:$V$1107,17,0),"")</f>
        <v/>
      </c>
      <c r="BU372" s="300" t="str">
        <f>_xlfn.IFNA(VLOOKUP($BD372,Programma!$F$3:$W$1107,18,0),"")</f>
        <v/>
      </c>
      <c r="BV372" s="300" t="str">
        <f>_xlfn.IFNA(VLOOKUP($BD372,Programma!$F$3:$X$1107,19,0),"")</f>
        <v/>
      </c>
      <c r="BW372" s="300" t="str">
        <f>_xlfn.IFNA(VLOOKUP($BD372,Programma!$F$3:$Y$1107,20,0),"")</f>
        <v/>
      </c>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row>
    <row r="373" spans="1:220" ht="15" customHeight="1">
      <c r="A373" s="21">
        <v>5</v>
      </c>
      <c r="B373" s="157" t="str">
        <f>VLOOKUP(Ruimtestaat[[#This Row],[Code]],Locaties[[Code]:[Locatie]],2,FALSE)</f>
        <v>François Vatel vmbo</v>
      </c>
      <c r="C373" s="157" t="str">
        <f>VLOOKUP(Ruimtestaat[[#This Row],[Code]],Locaties[[#All],[Code]:[Adres]],4,FALSE)</f>
        <v>Granaathorst 20</v>
      </c>
      <c r="D373" s="157" t="str">
        <f>VLOOKUP(Ruimtestaat[[#This Row],[Code]],Locaties[[#All],[Code]:[Postcode]],5,FALSE)</f>
        <v>2592 TD</v>
      </c>
      <c r="E373" s="157" t="str">
        <f>VLOOKUP(Ruimtestaat[[#This Row],[Code]],Locaties[#All],6,FALSE)</f>
        <v>Den Haag</v>
      </c>
      <c r="F373" s="62"/>
      <c r="G373" s="21" t="s">
        <v>1632</v>
      </c>
      <c r="H373" s="21">
        <v>32</v>
      </c>
      <c r="I373" s="62" t="s">
        <v>2034</v>
      </c>
      <c r="J373" s="21">
        <v>20</v>
      </c>
      <c r="K373" s="62" t="str">
        <f>VLOOKUP(Ruimtestaat[[#This Row],[Ruimte code]],Ruimtegroepen[[#All],[Code]:[Ruimte omschrijving]],2,FALSE)</f>
        <v>Niet in Onderhoud</v>
      </c>
      <c r="L373" s="33" t="s">
        <v>102</v>
      </c>
      <c r="M373" s="367" t="s">
        <v>2513</v>
      </c>
      <c r="N373" s="140"/>
      <c r="O373" s="140">
        <v>9</v>
      </c>
      <c r="P373" s="125">
        <f>VLOOKUP(Ruimtestaat[[#This Row],[Ruimte code]],Ruimtegroepen[],4,FALSE)</f>
        <v>0</v>
      </c>
      <c r="Q373" s="125" t="s">
        <v>2532</v>
      </c>
      <c r="R373" s="33"/>
      <c r="S373" s="33"/>
      <c r="T373" s="33">
        <f>IF(R373&gt;0,IF(RIGHT(Ruimtestaat[[#This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73" s="33">
        <f>IF(T373&gt;0,VLOOKUP($J373,Ruimtegroepen[],3,FALSE)*VLOOKUP($L373,Vloersoorten[],3,FALSE)*VLOOKUP($S373,Frequenties[],3,FALSE)*VLOOKUP($A373,Locaties[],3,FALSE),0)</f>
        <v>0</v>
      </c>
      <c r="V373" s="33">
        <f>Ruimtestaat[[#This Row],[Uitvoeringen werkdagen]]*Ruimtestaat[[#This Row],[Oppervlak (netto)]]</f>
        <v>0</v>
      </c>
      <c r="W373" s="154">
        <f>IF(U373&gt;0,Ruimtestaat[[#This Row],[Prest. (m2 /jaar) werkdagen]]/Ruimtestaat[[#This Row],[Norm (m2/uur) werkdagen]],0)</f>
        <v>0</v>
      </c>
      <c r="X373" s="155">
        <f>Ruimtestaat[[#This Row],[uren / jaar werkdagen]]*Tariefsopbouw!$E$35</f>
        <v>0</v>
      </c>
      <c r="Y373" s="33"/>
      <c r="Z373" s="33">
        <f>IF(Ruimtestaat[[#This Row],[Frequentie weekend]]&gt;0,VALUE(LEFT(Y373,1))*R373,0)</f>
        <v>0</v>
      </c>
      <c r="AA373" s="97">
        <f>IF($Z373&gt;0,VLOOKUP($J373,Ruimtegroepen[],3,FALSE)*VLOOKUP($L373,Vloersoorten[],3,FALSE)*VLOOKUP($Y373,Frequenties[],3,FALSE)*VLOOKUP(Ruimtestaat[[#This Row],[Code]],Locaties[],3,FALSE),0)</f>
        <v>0</v>
      </c>
      <c r="AB373" s="97">
        <f>Ruimtestaat[[#This Row],[Uitvoeringen weekend]]*Ruimtestaat[[#This Row],[Oppervlak (netto)]]</f>
        <v>0</v>
      </c>
      <c r="AC373" s="97">
        <f>IF(AA373&gt;0,Ruimtestaat[[#This Row],[Prest. (m2 /jaar) weekend]]/Ruimtestaat[[#This Row],[Norm (m2/uur) weekend]],0)</f>
        <v>0</v>
      </c>
      <c r="AD373" s="155">
        <f>Ruimtestaat[[#This Row],[uren / jaar weekend]]*Tariefsopbouw!$D$40</f>
        <v>0</v>
      </c>
      <c r="AE373" s="154">
        <f>Ruimtestaat[[#This Row],[Prest. (m2 /jaar) weekend]]+Ruimtestaat[[#This Row],[Prest. (m2 /jaar) werkdagen]]</f>
        <v>0</v>
      </c>
      <c r="AF373" s="154">
        <f>Ruimtestaat[[#This Row],[uren / jaar weekend]]+Ruimtestaat[[#This Row],[uren / jaar werkdagen]]</f>
        <v>0</v>
      </c>
      <c r="AG373" s="69">
        <f>Ruimtestaat[[#This Row],[kosten / jaar weekend]]+Ruimtestaat[[#This Row],[kosten / jaar werkdagen]]</f>
        <v>0</v>
      </c>
      <c r="AH373" s="69"/>
      <c r="AI373" s="256" t="str">
        <f>IF(Ruimtestaat[[#This Row],[Frequentie werkdagen]]="","",_xlfn.CONCAT(Ruimtestaat[[#This Row],[Ruimte code]],"-",Ruimtestaat[[#This Row],[Frequentie werkdagen]]," ",Ruimtestaat[[#This Row],[Vloer code]]))</f>
        <v/>
      </c>
      <c r="AJ373" s="300" t="str">
        <f>_xlfn.IFNA(VLOOKUP($AI373,Programma!$F$3:$G$1107,2,0),"")</f>
        <v/>
      </c>
      <c r="AK373" s="300" t="str">
        <f>_xlfn.IFNA(VLOOKUP($AI373,Programma!$F$3:$H$1107,3,0),"")</f>
        <v/>
      </c>
      <c r="AL373" s="300" t="str">
        <f>_xlfn.IFNA(VLOOKUP($AI373,Programma!$F$3:$I$1107,4,0),"")</f>
        <v/>
      </c>
      <c r="AM373" s="300" t="str">
        <f>_xlfn.IFNA(VLOOKUP($AI373,Programma!$F$3:$J$1107,5,0),"")</f>
        <v/>
      </c>
      <c r="AN373" s="300" t="str">
        <f>_xlfn.IFNA(VLOOKUP($AI373,Programma!$F$3:$K$1107,6,0),"")</f>
        <v/>
      </c>
      <c r="AO373" s="300" t="str">
        <f>_xlfn.IFNA(VLOOKUP($AI373,Programma!$F$3:$L$1107,7,0),"")</f>
        <v/>
      </c>
      <c r="AP373" s="300" t="str">
        <f>_xlfn.IFNA(VLOOKUP($AI373,Programma!$F$3:$M$1107,8,0),"")</f>
        <v/>
      </c>
      <c r="AQ373" s="300" t="str">
        <f>_xlfn.IFNA(VLOOKUP($AI373,Programma!$F$3:$N$1107,9,0),"")</f>
        <v/>
      </c>
      <c r="AR373" s="300" t="str">
        <f>_xlfn.IFNA(VLOOKUP($AI373,Programma!$F$3:$O$1107,10,0),"")</f>
        <v/>
      </c>
      <c r="AS373" s="300" t="str">
        <f>_xlfn.IFNA(VLOOKUP($AI373,Programma!$F$3:$P$1107,11,0),"")</f>
        <v/>
      </c>
      <c r="AT373" s="300" t="str">
        <f>_xlfn.IFNA(VLOOKUP($AI373,Programma!$F$3:$Q$1107,12,0),"")</f>
        <v/>
      </c>
      <c r="AU373" s="300" t="str">
        <f>_xlfn.IFNA(VLOOKUP($AI373,Programma!$F$3:$R$1107,13,0),"")</f>
        <v/>
      </c>
      <c r="AV373" s="300" t="str">
        <f>_xlfn.IFNA(VLOOKUP($AI373,Programma!$F$3:$S$1107,14,0),"")</f>
        <v/>
      </c>
      <c r="AW373" s="300" t="str">
        <f>_xlfn.IFNA(VLOOKUP($AI373,Programma!$F$3:$T$1107,15,0),"")</f>
        <v/>
      </c>
      <c r="AX373" s="300" t="str">
        <f>_xlfn.IFNA(VLOOKUP($AI373,Programma!$F$3:$U$1107,16,0),"")</f>
        <v/>
      </c>
      <c r="AY373" s="300" t="str">
        <f>_xlfn.IFNA(VLOOKUP($AI373,Programma!$F$3:$V$1107,17,0),"")</f>
        <v/>
      </c>
      <c r="AZ373" s="300" t="str">
        <f>_xlfn.IFNA(VLOOKUP($AI373,Programma!$F$3:$W$1107,18,0),"")</f>
        <v/>
      </c>
      <c r="BA373" s="300" t="str">
        <f>_xlfn.IFNA(VLOOKUP($AI373,Programma!$F$3:$X$1107,19,0),"")</f>
        <v/>
      </c>
      <c r="BB373" s="300" t="str">
        <f>_xlfn.IFNA(VLOOKUP($AI373,Programma!$F$3:$Y$1107,20,0),"")</f>
        <v/>
      </c>
      <c r="BC373" s="257"/>
      <c r="BD373" s="256" t="str">
        <f>IF(Ruimtestaat[[#This Row],[Frequentie weekend]]="","",_xlfn.CONCAT(Ruimtestaat[[#This Row],[Ruimte code]],"-",Ruimtestaat[[#This Row],[Frequentie weekend]]," ",Ruimtestaat[[#This Row],[Vloer code]]))</f>
        <v/>
      </c>
      <c r="BE373" s="300" t="str">
        <f>_xlfn.IFNA(VLOOKUP($BD373,Programma!$F$3:$G$1107,2,0),"")</f>
        <v/>
      </c>
      <c r="BF373" s="300" t="str">
        <f>_xlfn.IFNA(VLOOKUP($BD373,Programma!$F$3:$H$1107,3,0),"")</f>
        <v/>
      </c>
      <c r="BG373" s="300" t="str">
        <f>_xlfn.IFNA(VLOOKUP($BD373,Programma!$F$3:$I$1107,4,0),"")</f>
        <v/>
      </c>
      <c r="BH373" s="300" t="str">
        <f>_xlfn.IFNA(VLOOKUP($BD373,Programma!$F$3:$J$1107,5,0),"")</f>
        <v/>
      </c>
      <c r="BI373" s="300" t="str">
        <f>_xlfn.IFNA(VLOOKUP($BD373,Programma!$F$3:$K$1107,6,0),"")</f>
        <v/>
      </c>
      <c r="BJ373" s="300" t="str">
        <f>_xlfn.IFNA(VLOOKUP($BD373,Programma!$F$3:$L$1107,7,0),"")</f>
        <v/>
      </c>
      <c r="BK373" s="300" t="str">
        <f>_xlfn.IFNA(VLOOKUP($BD373,Programma!$F$3:$M$1107,8,0),"")</f>
        <v/>
      </c>
      <c r="BL373" s="300" t="str">
        <f>_xlfn.IFNA(VLOOKUP($BD373,Programma!$F$3:$N$1107,9,0),"")</f>
        <v/>
      </c>
      <c r="BM373" s="300" t="str">
        <f>_xlfn.IFNA(VLOOKUP($BD373,Programma!$F$3:$O$1107,10,0),"")</f>
        <v/>
      </c>
      <c r="BN373" s="300" t="str">
        <f>_xlfn.IFNA(VLOOKUP($BD373,Programma!$F$3:$P$1107,11,0),"")</f>
        <v/>
      </c>
      <c r="BO373" s="300" t="str">
        <f>_xlfn.IFNA(VLOOKUP($BD373,Programma!$F$3:$Q$1107,12,0),"")</f>
        <v/>
      </c>
      <c r="BP373" s="300" t="str">
        <f>_xlfn.IFNA(VLOOKUP($BD373,Programma!$F$3:$R$1107,13,0),"")</f>
        <v/>
      </c>
      <c r="BQ373" s="300" t="str">
        <f>_xlfn.IFNA(VLOOKUP($BD373,Programma!$F$3:$S$1107,14,0),"")</f>
        <v/>
      </c>
      <c r="BR373" s="300" t="str">
        <f>_xlfn.IFNA(VLOOKUP($BD373,Programma!$F$3:$T$1107,15,0),"")</f>
        <v/>
      </c>
      <c r="BS373" s="300" t="str">
        <f>_xlfn.IFNA(VLOOKUP($BD373,Programma!$F$3:$U$1107,16,0),"")</f>
        <v/>
      </c>
      <c r="BT373" s="300" t="str">
        <f>_xlfn.IFNA(VLOOKUP($BD373,Programma!$F$3:$V$1107,17,0),"")</f>
        <v/>
      </c>
      <c r="BU373" s="300" t="str">
        <f>_xlfn.IFNA(VLOOKUP($BD373,Programma!$F$3:$W$1107,18,0),"")</f>
        <v/>
      </c>
      <c r="BV373" s="300" t="str">
        <f>_xlfn.IFNA(VLOOKUP($BD373,Programma!$F$3:$X$1107,19,0),"")</f>
        <v/>
      </c>
      <c r="BW373" s="300" t="str">
        <f>_xlfn.IFNA(VLOOKUP($BD373,Programma!$F$3:$Y$1107,20,0),"")</f>
        <v/>
      </c>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row>
    <row r="374" spans="1:220" ht="15" customHeight="1">
      <c r="A374" s="21">
        <v>5</v>
      </c>
      <c r="B374" s="157" t="str">
        <f>VLOOKUP(Ruimtestaat[[#This Row],[Code]],Locaties[[Code]:[Locatie]],2,FALSE)</f>
        <v>François Vatel vmbo</v>
      </c>
      <c r="C374" s="157" t="str">
        <f>VLOOKUP(Ruimtestaat[[#This Row],[Code]],Locaties[[#All],[Code]:[Adres]],4,FALSE)</f>
        <v>Granaathorst 20</v>
      </c>
      <c r="D374" s="157" t="str">
        <f>VLOOKUP(Ruimtestaat[[#This Row],[Code]],Locaties[[#All],[Code]:[Postcode]],5,FALSE)</f>
        <v>2592 TD</v>
      </c>
      <c r="E374" s="157" t="str">
        <f>VLOOKUP(Ruimtestaat[[#This Row],[Code]],Locaties[#All],6,FALSE)</f>
        <v>Den Haag</v>
      </c>
      <c r="F374" s="62"/>
      <c r="G374" s="21" t="s">
        <v>1632</v>
      </c>
      <c r="H374" s="21">
        <v>33</v>
      </c>
      <c r="I374" s="62" t="s">
        <v>2035</v>
      </c>
      <c r="J374" s="21">
        <v>20</v>
      </c>
      <c r="K374" s="62" t="str">
        <f>VLOOKUP(Ruimtestaat[[#This Row],[Ruimte code]],Ruimtegroepen[[#All],[Code]:[Ruimte omschrijving]],2,FALSE)</f>
        <v>Niet in Onderhoud</v>
      </c>
      <c r="L374" s="33" t="s">
        <v>102</v>
      </c>
      <c r="M374" s="367" t="s">
        <v>2513</v>
      </c>
      <c r="N374" s="140"/>
      <c r="O374" s="140">
        <v>26</v>
      </c>
      <c r="P374" s="125">
        <f>VLOOKUP(Ruimtestaat[[#This Row],[Ruimte code]],Ruimtegroepen[],4,FALSE)</f>
        <v>0</v>
      </c>
      <c r="Q374" s="125" t="s">
        <v>2532</v>
      </c>
      <c r="R374" s="33"/>
      <c r="S374" s="33"/>
      <c r="T374" s="33">
        <f>IF(R374&gt;0,IF(RIGHT(Ruimtestaat[[#This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74" s="33">
        <f>IF(T374&gt;0,VLOOKUP($J374,Ruimtegroepen[],3,FALSE)*VLOOKUP($L374,Vloersoorten[],3,FALSE)*VLOOKUP($S374,Frequenties[],3,FALSE)*VLOOKUP($A374,Locaties[],3,FALSE),0)</f>
        <v>0</v>
      </c>
      <c r="V374" s="33">
        <f>Ruimtestaat[[#This Row],[Uitvoeringen werkdagen]]*Ruimtestaat[[#This Row],[Oppervlak (netto)]]</f>
        <v>0</v>
      </c>
      <c r="W374" s="154">
        <f>IF(U374&gt;0,Ruimtestaat[[#This Row],[Prest. (m2 /jaar) werkdagen]]/Ruimtestaat[[#This Row],[Norm (m2/uur) werkdagen]],0)</f>
        <v>0</v>
      </c>
      <c r="X374" s="155">
        <f>Ruimtestaat[[#This Row],[uren / jaar werkdagen]]*Tariefsopbouw!$E$35</f>
        <v>0</v>
      </c>
      <c r="Y374" s="33"/>
      <c r="Z374" s="33">
        <f>IF(Ruimtestaat[[#This Row],[Frequentie weekend]]&gt;0,VALUE(LEFT(Y374,1))*R374,0)</f>
        <v>0</v>
      </c>
      <c r="AA374" s="97">
        <f>IF($Z374&gt;0,VLOOKUP($J374,Ruimtegroepen[],3,FALSE)*VLOOKUP($L374,Vloersoorten[],3,FALSE)*VLOOKUP($Y374,Frequenties[],3,FALSE)*VLOOKUP(Ruimtestaat[[#This Row],[Code]],Locaties[],3,FALSE),0)</f>
        <v>0</v>
      </c>
      <c r="AB374" s="97">
        <f>Ruimtestaat[[#This Row],[Uitvoeringen weekend]]*Ruimtestaat[[#This Row],[Oppervlak (netto)]]</f>
        <v>0</v>
      </c>
      <c r="AC374" s="97">
        <f>IF(AA374&gt;0,Ruimtestaat[[#This Row],[Prest. (m2 /jaar) weekend]]/Ruimtestaat[[#This Row],[Norm (m2/uur) weekend]],0)</f>
        <v>0</v>
      </c>
      <c r="AD374" s="155">
        <f>Ruimtestaat[[#This Row],[uren / jaar weekend]]*Tariefsopbouw!$D$40</f>
        <v>0</v>
      </c>
      <c r="AE374" s="154">
        <f>Ruimtestaat[[#This Row],[Prest. (m2 /jaar) weekend]]+Ruimtestaat[[#This Row],[Prest. (m2 /jaar) werkdagen]]</f>
        <v>0</v>
      </c>
      <c r="AF374" s="154">
        <f>Ruimtestaat[[#This Row],[uren / jaar weekend]]+Ruimtestaat[[#This Row],[uren / jaar werkdagen]]</f>
        <v>0</v>
      </c>
      <c r="AG374" s="69">
        <f>Ruimtestaat[[#This Row],[kosten / jaar weekend]]+Ruimtestaat[[#This Row],[kosten / jaar werkdagen]]</f>
        <v>0</v>
      </c>
      <c r="AH374" s="69"/>
      <c r="AI374" s="256" t="str">
        <f>IF(Ruimtestaat[[#This Row],[Frequentie werkdagen]]="","",_xlfn.CONCAT(Ruimtestaat[[#This Row],[Ruimte code]],"-",Ruimtestaat[[#This Row],[Frequentie werkdagen]]," ",Ruimtestaat[[#This Row],[Vloer code]]))</f>
        <v/>
      </c>
      <c r="AJ374" s="300" t="str">
        <f>_xlfn.IFNA(VLOOKUP($AI374,Programma!$F$3:$G$1107,2,0),"")</f>
        <v/>
      </c>
      <c r="AK374" s="300" t="str">
        <f>_xlfn.IFNA(VLOOKUP($AI374,Programma!$F$3:$H$1107,3,0),"")</f>
        <v/>
      </c>
      <c r="AL374" s="300" t="str">
        <f>_xlfn.IFNA(VLOOKUP($AI374,Programma!$F$3:$I$1107,4,0),"")</f>
        <v/>
      </c>
      <c r="AM374" s="300" t="str">
        <f>_xlfn.IFNA(VLOOKUP($AI374,Programma!$F$3:$J$1107,5,0),"")</f>
        <v/>
      </c>
      <c r="AN374" s="300" t="str">
        <f>_xlfn.IFNA(VLOOKUP($AI374,Programma!$F$3:$K$1107,6,0),"")</f>
        <v/>
      </c>
      <c r="AO374" s="300" t="str">
        <f>_xlfn.IFNA(VLOOKUP($AI374,Programma!$F$3:$L$1107,7,0),"")</f>
        <v/>
      </c>
      <c r="AP374" s="300" t="str">
        <f>_xlfn.IFNA(VLOOKUP($AI374,Programma!$F$3:$M$1107,8,0),"")</f>
        <v/>
      </c>
      <c r="AQ374" s="300" t="str">
        <f>_xlfn.IFNA(VLOOKUP($AI374,Programma!$F$3:$N$1107,9,0),"")</f>
        <v/>
      </c>
      <c r="AR374" s="300" t="str">
        <f>_xlfn.IFNA(VLOOKUP($AI374,Programma!$F$3:$O$1107,10,0),"")</f>
        <v/>
      </c>
      <c r="AS374" s="300" t="str">
        <f>_xlfn.IFNA(VLOOKUP($AI374,Programma!$F$3:$P$1107,11,0),"")</f>
        <v/>
      </c>
      <c r="AT374" s="300" t="str">
        <f>_xlfn.IFNA(VLOOKUP($AI374,Programma!$F$3:$Q$1107,12,0),"")</f>
        <v/>
      </c>
      <c r="AU374" s="300" t="str">
        <f>_xlfn.IFNA(VLOOKUP($AI374,Programma!$F$3:$R$1107,13,0),"")</f>
        <v/>
      </c>
      <c r="AV374" s="300" t="str">
        <f>_xlfn.IFNA(VLOOKUP($AI374,Programma!$F$3:$S$1107,14,0),"")</f>
        <v/>
      </c>
      <c r="AW374" s="300" t="str">
        <f>_xlfn.IFNA(VLOOKUP($AI374,Programma!$F$3:$T$1107,15,0),"")</f>
        <v/>
      </c>
      <c r="AX374" s="300" t="str">
        <f>_xlfn.IFNA(VLOOKUP($AI374,Programma!$F$3:$U$1107,16,0),"")</f>
        <v/>
      </c>
      <c r="AY374" s="300" t="str">
        <f>_xlfn.IFNA(VLOOKUP($AI374,Programma!$F$3:$V$1107,17,0),"")</f>
        <v/>
      </c>
      <c r="AZ374" s="300" t="str">
        <f>_xlfn.IFNA(VLOOKUP($AI374,Programma!$F$3:$W$1107,18,0),"")</f>
        <v/>
      </c>
      <c r="BA374" s="300" t="str">
        <f>_xlfn.IFNA(VLOOKUP($AI374,Programma!$F$3:$X$1107,19,0),"")</f>
        <v/>
      </c>
      <c r="BB374" s="300" t="str">
        <f>_xlfn.IFNA(VLOOKUP($AI374,Programma!$F$3:$Y$1107,20,0),"")</f>
        <v/>
      </c>
      <c r="BC374" s="257"/>
      <c r="BD374" s="256" t="str">
        <f>IF(Ruimtestaat[[#This Row],[Frequentie weekend]]="","",_xlfn.CONCAT(Ruimtestaat[[#This Row],[Ruimte code]],"-",Ruimtestaat[[#This Row],[Frequentie weekend]]," ",Ruimtestaat[[#This Row],[Vloer code]]))</f>
        <v/>
      </c>
      <c r="BE374" s="300" t="str">
        <f>_xlfn.IFNA(VLOOKUP($BD374,Programma!$F$3:$G$1107,2,0),"")</f>
        <v/>
      </c>
      <c r="BF374" s="300" t="str">
        <f>_xlfn.IFNA(VLOOKUP($BD374,Programma!$F$3:$H$1107,3,0),"")</f>
        <v/>
      </c>
      <c r="BG374" s="300" t="str">
        <f>_xlfn.IFNA(VLOOKUP($BD374,Programma!$F$3:$I$1107,4,0),"")</f>
        <v/>
      </c>
      <c r="BH374" s="300" t="str">
        <f>_xlfn.IFNA(VLOOKUP($BD374,Programma!$F$3:$J$1107,5,0),"")</f>
        <v/>
      </c>
      <c r="BI374" s="300" t="str">
        <f>_xlfn.IFNA(VLOOKUP($BD374,Programma!$F$3:$K$1107,6,0),"")</f>
        <v/>
      </c>
      <c r="BJ374" s="300" t="str">
        <f>_xlfn.IFNA(VLOOKUP($BD374,Programma!$F$3:$L$1107,7,0),"")</f>
        <v/>
      </c>
      <c r="BK374" s="300" t="str">
        <f>_xlfn.IFNA(VLOOKUP($BD374,Programma!$F$3:$M$1107,8,0),"")</f>
        <v/>
      </c>
      <c r="BL374" s="300" t="str">
        <f>_xlfn.IFNA(VLOOKUP($BD374,Programma!$F$3:$N$1107,9,0),"")</f>
        <v/>
      </c>
      <c r="BM374" s="300" t="str">
        <f>_xlfn.IFNA(VLOOKUP($BD374,Programma!$F$3:$O$1107,10,0),"")</f>
        <v/>
      </c>
      <c r="BN374" s="300" t="str">
        <f>_xlfn.IFNA(VLOOKUP($BD374,Programma!$F$3:$P$1107,11,0),"")</f>
        <v/>
      </c>
      <c r="BO374" s="300" t="str">
        <f>_xlfn.IFNA(VLOOKUP($BD374,Programma!$F$3:$Q$1107,12,0),"")</f>
        <v/>
      </c>
      <c r="BP374" s="300" t="str">
        <f>_xlfn.IFNA(VLOOKUP($BD374,Programma!$F$3:$R$1107,13,0),"")</f>
        <v/>
      </c>
      <c r="BQ374" s="300" t="str">
        <f>_xlfn.IFNA(VLOOKUP($BD374,Programma!$F$3:$S$1107,14,0),"")</f>
        <v/>
      </c>
      <c r="BR374" s="300" t="str">
        <f>_xlfn.IFNA(VLOOKUP($BD374,Programma!$F$3:$T$1107,15,0),"")</f>
        <v/>
      </c>
      <c r="BS374" s="300" t="str">
        <f>_xlfn.IFNA(VLOOKUP($BD374,Programma!$F$3:$U$1107,16,0),"")</f>
        <v/>
      </c>
      <c r="BT374" s="300" t="str">
        <f>_xlfn.IFNA(VLOOKUP($BD374,Programma!$F$3:$V$1107,17,0),"")</f>
        <v/>
      </c>
      <c r="BU374" s="300" t="str">
        <f>_xlfn.IFNA(VLOOKUP($BD374,Programma!$F$3:$W$1107,18,0),"")</f>
        <v/>
      </c>
      <c r="BV374" s="300" t="str">
        <f>_xlfn.IFNA(VLOOKUP($BD374,Programma!$F$3:$X$1107,19,0),"")</f>
        <v/>
      </c>
      <c r="BW374" s="300" t="str">
        <f>_xlfn.IFNA(VLOOKUP($BD374,Programma!$F$3:$Y$1107,20,0),"")</f>
        <v/>
      </c>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row>
    <row r="375" spans="1:220" ht="15" customHeight="1">
      <c r="A375" s="21">
        <v>5</v>
      </c>
      <c r="B375" s="157" t="str">
        <f>VLOOKUP(Ruimtestaat[[#This Row],[Code]],Locaties[[Code]:[Locatie]],2,FALSE)</f>
        <v>François Vatel vmbo</v>
      </c>
      <c r="C375" s="157" t="str">
        <f>VLOOKUP(Ruimtestaat[[#This Row],[Code]],Locaties[[#All],[Code]:[Adres]],4,FALSE)</f>
        <v>Granaathorst 20</v>
      </c>
      <c r="D375" s="157" t="str">
        <f>VLOOKUP(Ruimtestaat[[#This Row],[Code]],Locaties[[#All],[Code]:[Postcode]],5,FALSE)</f>
        <v>2592 TD</v>
      </c>
      <c r="E375" s="157" t="str">
        <f>VLOOKUP(Ruimtestaat[[#This Row],[Code]],Locaties[#All],6,FALSE)</f>
        <v>Den Haag</v>
      </c>
      <c r="F375" s="62"/>
      <c r="G375" s="21" t="s">
        <v>1632</v>
      </c>
      <c r="H375" s="21">
        <v>34</v>
      </c>
      <c r="I375" s="62" t="s">
        <v>1899</v>
      </c>
      <c r="J375" s="21">
        <v>8</v>
      </c>
      <c r="K375" s="62" t="str">
        <f>VLOOKUP(Ruimtestaat[[#This Row],[Ruimte code]],Ruimtegroepen[[#All],[Code]:[Ruimte omschrijving]],2,FALSE)</f>
        <v>Mediatheek / OLC</v>
      </c>
      <c r="L375" s="33" t="s">
        <v>101</v>
      </c>
      <c r="M375" s="367" t="s">
        <v>2495</v>
      </c>
      <c r="N375" s="140">
        <v>66</v>
      </c>
      <c r="O375" s="140"/>
      <c r="P375" s="125" t="str">
        <f>VLOOKUP(Ruimtestaat[[#This Row],[Ruimte code]],Ruimtegroepen[],4,FALSE)</f>
        <v>Le</v>
      </c>
      <c r="R375" s="33">
        <v>40</v>
      </c>
      <c r="S375" s="33" t="s">
        <v>2</v>
      </c>
      <c r="T375" s="33">
        <f>IF(R375&gt;0,IF(RIGHT(Ruimtestaat[[#This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5" s="33">
        <f>IF(T375&gt;0,VLOOKUP($J375,Ruimtegroepen[],3,FALSE)*VLOOKUP($L375,Vloersoorten[],3,FALSE)*VLOOKUP($S375,Frequenties[],3,FALSE)*VLOOKUP($A375,Locaties[],3,FALSE),0)</f>
        <v>0</v>
      </c>
      <c r="V375" s="33">
        <f>Ruimtestaat[[#This Row],[Uitvoeringen werkdagen]]*Ruimtestaat[[#This Row],[Oppervlak (netto)]]</f>
        <v>13200</v>
      </c>
      <c r="W375" s="154">
        <f>IF(U375&gt;0,Ruimtestaat[[#This Row],[Prest. (m2 /jaar) werkdagen]]/Ruimtestaat[[#This Row],[Norm (m2/uur) werkdagen]],0)</f>
        <v>0</v>
      </c>
      <c r="X375" s="155">
        <f>Ruimtestaat[[#This Row],[uren / jaar werkdagen]]*Tariefsopbouw!$E$35</f>
        <v>0</v>
      </c>
      <c r="Y375" s="33"/>
      <c r="Z375" s="33">
        <f>IF(Ruimtestaat[[#This Row],[Frequentie weekend]]&gt;0,VALUE(LEFT(Y375,1))*R375,0)</f>
        <v>0</v>
      </c>
      <c r="AA375" s="97">
        <f>IF($Z375&gt;0,VLOOKUP($J375,Ruimtegroepen[],3,FALSE)*VLOOKUP($L375,Vloersoorten[],3,FALSE)*VLOOKUP($Y375,Frequenties[],3,FALSE)*VLOOKUP(Ruimtestaat[[#This Row],[Code]],Locaties[],3,FALSE),0)</f>
        <v>0</v>
      </c>
      <c r="AB375" s="97">
        <f>Ruimtestaat[[#This Row],[Uitvoeringen weekend]]*Ruimtestaat[[#This Row],[Oppervlak (netto)]]</f>
        <v>0</v>
      </c>
      <c r="AC375" s="97">
        <f>IF(AA375&gt;0,Ruimtestaat[[#This Row],[Prest. (m2 /jaar) weekend]]/Ruimtestaat[[#This Row],[Norm (m2/uur) weekend]],0)</f>
        <v>0</v>
      </c>
      <c r="AD375" s="155">
        <f>Ruimtestaat[[#This Row],[uren / jaar weekend]]*Tariefsopbouw!$D$40</f>
        <v>0</v>
      </c>
      <c r="AE375" s="154">
        <f>Ruimtestaat[[#This Row],[Prest. (m2 /jaar) weekend]]+Ruimtestaat[[#This Row],[Prest. (m2 /jaar) werkdagen]]</f>
        <v>13200</v>
      </c>
      <c r="AF375" s="154">
        <f>Ruimtestaat[[#This Row],[uren / jaar weekend]]+Ruimtestaat[[#This Row],[uren / jaar werkdagen]]</f>
        <v>0</v>
      </c>
      <c r="AG375" s="69">
        <f>Ruimtestaat[[#This Row],[kosten / jaar weekend]]+Ruimtestaat[[#This Row],[kosten / jaar werkdagen]]</f>
        <v>0</v>
      </c>
      <c r="AH375" s="69"/>
      <c r="AI375" s="256" t="str">
        <f>IF(Ruimtestaat[[#This Row],[Frequentie werkdagen]]="","",_xlfn.CONCAT(Ruimtestaat[[#This Row],[Ruimte code]],"-",Ruimtestaat[[#This Row],[Frequentie werkdagen]]," ",Ruimtestaat[[#This Row],[Vloer code]]))</f>
        <v>8-5w L</v>
      </c>
      <c r="AJ375" s="300" t="str">
        <f>_xlfn.IFNA(VLOOKUP($AI375,Programma!$F$3:$G$1107,2,0),"")</f>
        <v>_</v>
      </c>
      <c r="AK375" s="300" t="str">
        <f>_xlfn.IFNA(VLOOKUP($AI375,Programma!$F$3:$H$1107,3,0),"")</f>
        <v>_</v>
      </c>
      <c r="AL375" s="300" t="str">
        <f>_xlfn.IFNA(VLOOKUP($AI375,Programma!$F$3:$I$1107,4,0),"")</f>
        <v>4w</v>
      </c>
      <c r="AM375" s="300" t="str">
        <f>_xlfn.IFNA(VLOOKUP($AI375,Programma!$F$3:$J$1107,5,0),"")</f>
        <v>1w</v>
      </c>
      <c r="AN375" s="300" t="str">
        <f>_xlfn.IFNA(VLOOKUP($AI375,Programma!$F$3:$K$1107,6,0),"")</f>
        <v>_</v>
      </c>
      <c r="AO375" s="300" t="str">
        <f>_xlfn.IFNA(VLOOKUP($AI375,Programma!$F$3:$L$1107,7,0),"")</f>
        <v>_</v>
      </c>
      <c r="AP375" s="300" t="str">
        <f>_xlfn.IFNA(VLOOKUP($AI375,Programma!$F$3:$M$1107,8,0),"")</f>
        <v>_</v>
      </c>
      <c r="AQ375" s="300" t="str">
        <f>_xlfn.IFNA(VLOOKUP($AI375,Programma!$F$3:$N$1107,9,0),"")</f>
        <v>_</v>
      </c>
      <c r="AR375" s="300" t="str">
        <f>_xlfn.IFNA(VLOOKUP($AI375,Programma!$F$3:$O$1107,10,0),"")</f>
        <v>5w</v>
      </c>
      <c r="AS375" s="300" t="str">
        <f>_xlfn.IFNA(VLOOKUP($AI375,Programma!$F$3:$P$1107,11,0),"")</f>
        <v>5w</v>
      </c>
      <c r="AT375" s="300" t="str">
        <f>_xlfn.IFNA(VLOOKUP($AI375,Programma!$F$3:$Q$1107,12,0),"")</f>
        <v>1w</v>
      </c>
      <c r="AU375" s="300" t="str">
        <f>_xlfn.IFNA(VLOOKUP($AI375,Programma!$F$3:$R$1107,13,0),"")</f>
        <v>1w</v>
      </c>
      <c r="AV375" s="300" t="str">
        <f>_xlfn.IFNA(VLOOKUP($AI375,Programma!$F$3:$S$1107,14,0),"")</f>
        <v>1m</v>
      </c>
      <c r="AW375" s="300" t="str">
        <f>_xlfn.IFNA(VLOOKUP($AI375,Programma!$F$3:$T$1107,15,0),"")</f>
        <v>2j</v>
      </c>
      <c r="AX375" s="300" t="str">
        <f>_xlfn.IFNA(VLOOKUP($AI375,Programma!$F$3:$U$1107,16,0),"")</f>
        <v>1j</v>
      </c>
      <c r="AY375" s="300" t="str">
        <f>_xlfn.IFNA(VLOOKUP($AI375,Programma!$F$3:$V$1107,17,0),"")</f>
        <v>_</v>
      </c>
      <c r="AZ375" s="300" t="str">
        <f>_xlfn.IFNA(VLOOKUP($AI375,Programma!$F$3:$W$1107,18,0),"")</f>
        <v>_</v>
      </c>
      <c r="BA375" s="300" t="str">
        <f>_xlfn.IFNA(VLOOKUP($AI375,Programma!$F$3:$X$1107,19,0),"")</f>
        <v>_</v>
      </c>
      <c r="BB375" s="300" t="str">
        <f>_xlfn.IFNA(VLOOKUP($AI375,Programma!$F$3:$Y$1107,20,0),"")</f>
        <v>_</v>
      </c>
      <c r="BC375" s="257"/>
      <c r="BD375" s="256" t="str">
        <f>IF(Ruimtestaat[[#This Row],[Frequentie weekend]]="","",_xlfn.CONCAT(Ruimtestaat[[#This Row],[Ruimte code]],"-",Ruimtestaat[[#This Row],[Frequentie weekend]]," ",Ruimtestaat[[#This Row],[Vloer code]]))</f>
        <v/>
      </c>
      <c r="BE375" s="300" t="str">
        <f>_xlfn.IFNA(VLOOKUP($BD375,Programma!$F$3:$G$1107,2,0),"")</f>
        <v/>
      </c>
      <c r="BF375" s="300" t="str">
        <f>_xlfn.IFNA(VLOOKUP($BD375,Programma!$F$3:$H$1107,3,0),"")</f>
        <v/>
      </c>
      <c r="BG375" s="300" t="str">
        <f>_xlfn.IFNA(VLOOKUP($BD375,Programma!$F$3:$I$1107,4,0),"")</f>
        <v/>
      </c>
      <c r="BH375" s="300" t="str">
        <f>_xlfn.IFNA(VLOOKUP($BD375,Programma!$F$3:$J$1107,5,0),"")</f>
        <v/>
      </c>
      <c r="BI375" s="300" t="str">
        <f>_xlfn.IFNA(VLOOKUP($BD375,Programma!$F$3:$K$1107,6,0),"")</f>
        <v/>
      </c>
      <c r="BJ375" s="300" t="str">
        <f>_xlfn.IFNA(VLOOKUP($BD375,Programma!$F$3:$L$1107,7,0),"")</f>
        <v/>
      </c>
      <c r="BK375" s="300" t="str">
        <f>_xlfn.IFNA(VLOOKUP($BD375,Programma!$F$3:$M$1107,8,0),"")</f>
        <v/>
      </c>
      <c r="BL375" s="300" t="str">
        <f>_xlfn.IFNA(VLOOKUP($BD375,Programma!$F$3:$N$1107,9,0),"")</f>
        <v/>
      </c>
      <c r="BM375" s="300" t="str">
        <f>_xlfn.IFNA(VLOOKUP($BD375,Programma!$F$3:$O$1107,10,0),"")</f>
        <v/>
      </c>
      <c r="BN375" s="300" t="str">
        <f>_xlfn.IFNA(VLOOKUP($BD375,Programma!$F$3:$P$1107,11,0),"")</f>
        <v/>
      </c>
      <c r="BO375" s="300" t="str">
        <f>_xlfn.IFNA(VLOOKUP($BD375,Programma!$F$3:$Q$1107,12,0),"")</f>
        <v/>
      </c>
      <c r="BP375" s="300" t="str">
        <f>_xlfn.IFNA(VLOOKUP($BD375,Programma!$F$3:$R$1107,13,0),"")</f>
        <v/>
      </c>
      <c r="BQ375" s="300" t="str">
        <f>_xlfn.IFNA(VLOOKUP($BD375,Programma!$F$3:$S$1107,14,0),"")</f>
        <v/>
      </c>
      <c r="BR375" s="300" t="str">
        <f>_xlfn.IFNA(VLOOKUP($BD375,Programma!$F$3:$T$1107,15,0),"")</f>
        <v/>
      </c>
      <c r="BS375" s="300" t="str">
        <f>_xlfn.IFNA(VLOOKUP($BD375,Programma!$F$3:$U$1107,16,0),"")</f>
        <v/>
      </c>
      <c r="BT375" s="300" t="str">
        <f>_xlfn.IFNA(VLOOKUP($BD375,Programma!$F$3:$V$1107,17,0),"")</f>
        <v/>
      </c>
      <c r="BU375" s="300" t="str">
        <f>_xlfn.IFNA(VLOOKUP($BD375,Programma!$F$3:$W$1107,18,0),"")</f>
        <v/>
      </c>
      <c r="BV375" s="300" t="str">
        <f>_xlfn.IFNA(VLOOKUP($BD375,Programma!$F$3:$X$1107,19,0),"")</f>
        <v/>
      </c>
      <c r="BW375" s="300" t="str">
        <f>_xlfn.IFNA(VLOOKUP($BD375,Programma!$F$3:$Y$1107,20,0),"")</f>
        <v/>
      </c>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row>
    <row r="376" spans="1:220" ht="15" customHeight="1">
      <c r="A376" s="21">
        <v>5</v>
      </c>
      <c r="B376" s="157" t="str">
        <f>VLOOKUP(Ruimtestaat[[#This Row],[Code]],Locaties[[Code]:[Locatie]],2,FALSE)</f>
        <v>François Vatel vmbo</v>
      </c>
      <c r="C376" s="157" t="str">
        <f>VLOOKUP(Ruimtestaat[[#This Row],[Code]],Locaties[[#All],[Code]:[Adres]],4,FALSE)</f>
        <v>Granaathorst 20</v>
      </c>
      <c r="D376" s="157" t="str">
        <f>VLOOKUP(Ruimtestaat[[#This Row],[Code]],Locaties[[#All],[Code]:[Postcode]],5,FALSE)</f>
        <v>2592 TD</v>
      </c>
      <c r="E376" s="157" t="str">
        <f>VLOOKUP(Ruimtestaat[[#This Row],[Code]],Locaties[#All],6,FALSE)</f>
        <v>Den Haag</v>
      </c>
      <c r="F376" s="62"/>
      <c r="G376" s="21" t="s">
        <v>1632</v>
      </c>
      <c r="H376" s="21">
        <v>35</v>
      </c>
      <c r="I376" s="62" t="s">
        <v>2036</v>
      </c>
      <c r="J376" s="21">
        <v>16</v>
      </c>
      <c r="K376" s="62" t="str">
        <f>VLOOKUP(Ruimtestaat[[#This Row],[Ruimte code]],Ruimtegroepen[[#All],[Code]:[Ruimte omschrijving]],2,FALSE)</f>
        <v>Leslokalen theorie</v>
      </c>
      <c r="L376" s="33" t="s">
        <v>101</v>
      </c>
      <c r="M376" s="367" t="s">
        <v>2495</v>
      </c>
      <c r="N376" s="140">
        <v>27</v>
      </c>
      <c r="O376" s="140"/>
      <c r="P376" s="125" t="str">
        <f>VLOOKUP(Ruimtestaat[[#This Row],[Ruimte code]],Ruimtegroepen[],4,FALSE)</f>
        <v>Le</v>
      </c>
      <c r="R376" s="33">
        <v>40</v>
      </c>
      <c r="S376" s="33" t="s">
        <v>2</v>
      </c>
      <c r="T376" s="33">
        <f>IF(R376&gt;0,IF(RIGHT(Ruimtestaat[[#This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6" s="33">
        <f>IF(T376&gt;0,VLOOKUP($J376,Ruimtegroepen[],3,FALSE)*VLOOKUP($L376,Vloersoorten[],3,FALSE)*VLOOKUP($S376,Frequenties[],3,FALSE)*VLOOKUP($A376,Locaties[],3,FALSE),0)</f>
        <v>0</v>
      </c>
      <c r="V376" s="33">
        <f>Ruimtestaat[[#This Row],[Uitvoeringen werkdagen]]*Ruimtestaat[[#This Row],[Oppervlak (netto)]]</f>
        <v>5400</v>
      </c>
      <c r="W376" s="154">
        <f>IF(U376&gt;0,Ruimtestaat[[#This Row],[Prest. (m2 /jaar) werkdagen]]/Ruimtestaat[[#This Row],[Norm (m2/uur) werkdagen]],0)</f>
        <v>0</v>
      </c>
      <c r="X376" s="155">
        <f>Ruimtestaat[[#This Row],[uren / jaar werkdagen]]*Tariefsopbouw!$E$35</f>
        <v>0</v>
      </c>
      <c r="Y376" s="33"/>
      <c r="Z376" s="33">
        <f>IF(Ruimtestaat[[#This Row],[Frequentie weekend]]&gt;0,VALUE(LEFT(Y376,1))*R376,0)</f>
        <v>0</v>
      </c>
      <c r="AA376" s="97">
        <f>IF($Z376&gt;0,VLOOKUP($J376,Ruimtegroepen[],3,FALSE)*VLOOKUP($L376,Vloersoorten[],3,FALSE)*VLOOKUP($Y376,Frequenties[],3,FALSE)*VLOOKUP(Ruimtestaat[[#This Row],[Code]],Locaties[],3,FALSE),0)</f>
        <v>0</v>
      </c>
      <c r="AB376" s="97">
        <f>Ruimtestaat[[#This Row],[Uitvoeringen weekend]]*Ruimtestaat[[#This Row],[Oppervlak (netto)]]</f>
        <v>0</v>
      </c>
      <c r="AC376" s="97">
        <f>IF(AA376&gt;0,Ruimtestaat[[#This Row],[Prest. (m2 /jaar) weekend]]/Ruimtestaat[[#This Row],[Norm (m2/uur) weekend]],0)</f>
        <v>0</v>
      </c>
      <c r="AD376" s="155">
        <f>Ruimtestaat[[#This Row],[uren / jaar weekend]]*Tariefsopbouw!$D$40</f>
        <v>0</v>
      </c>
      <c r="AE376" s="154">
        <f>Ruimtestaat[[#This Row],[Prest. (m2 /jaar) weekend]]+Ruimtestaat[[#This Row],[Prest. (m2 /jaar) werkdagen]]</f>
        <v>5400</v>
      </c>
      <c r="AF376" s="154">
        <f>Ruimtestaat[[#This Row],[uren / jaar weekend]]+Ruimtestaat[[#This Row],[uren / jaar werkdagen]]</f>
        <v>0</v>
      </c>
      <c r="AG376" s="69">
        <f>Ruimtestaat[[#This Row],[kosten / jaar weekend]]+Ruimtestaat[[#This Row],[kosten / jaar werkdagen]]</f>
        <v>0</v>
      </c>
      <c r="AH376" s="69"/>
      <c r="AI376" s="256" t="str">
        <f>IF(Ruimtestaat[[#This Row],[Frequentie werkdagen]]="","",_xlfn.CONCAT(Ruimtestaat[[#This Row],[Ruimte code]],"-",Ruimtestaat[[#This Row],[Frequentie werkdagen]]," ",Ruimtestaat[[#This Row],[Vloer code]]))</f>
        <v>16-5w L</v>
      </c>
      <c r="AJ376" s="300" t="str">
        <f>_xlfn.IFNA(VLOOKUP($AI376,Programma!$F$3:$G$1107,2,0),"")</f>
        <v>_</v>
      </c>
      <c r="AK376" s="300" t="str">
        <f>_xlfn.IFNA(VLOOKUP($AI376,Programma!$F$3:$H$1107,3,0),"")</f>
        <v>_</v>
      </c>
      <c r="AL376" s="300" t="str">
        <f>_xlfn.IFNA(VLOOKUP($AI376,Programma!$F$3:$I$1107,4,0),"")</f>
        <v>4w</v>
      </c>
      <c r="AM376" s="300" t="str">
        <f>_xlfn.IFNA(VLOOKUP($AI376,Programma!$F$3:$J$1107,5,0),"")</f>
        <v>1w</v>
      </c>
      <c r="AN376" s="300" t="str">
        <f>_xlfn.IFNA(VLOOKUP($AI376,Programma!$F$3:$K$1107,6,0),"")</f>
        <v>_</v>
      </c>
      <c r="AO376" s="300" t="str">
        <f>_xlfn.IFNA(VLOOKUP($AI376,Programma!$F$3:$L$1107,7,0),"")</f>
        <v>_</v>
      </c>
      <c r="AP376" s="300" t="str">
        <f>_xlfn.IFNA(VLOOKUP($AI376,Programma!$F$3:$M$1107,8,0),"")</f>
        <v>_</v>
      </c>
      <c r="AQ376" s="300" t="str">
        <f>_xlfn.IFNA(VLOOKUP($AI376,Programma!$F$3:$N$1107,9,0),"")</f>
        <v>_</v>
      </c>
      <c r="AR376" s="300" t="str">
        <f>_xlfn.IFNA(VLOOKUP($AI376,Programma!$F$3:$O$1107,10,0),"")</f>
        <v>5w</v>
      </c>
      <c r="AS376" s="300" t="str">
        <f>_xlfn.IFNA(VLOOKUP($AI376,Programma!$F$3:$P$1107,11,0),"")</f>
        <v>5w</v>
      </c>
      <c r="AT376" s="300" t="str">
        <f>_xlfn.IFNA(VLOOKUP($AI376,Programma!$F$3:$Q$1107,12,0),"")</f>
        <v>1w</v>
      </c>
      <c r="AU376" s="300" t="str">
        <f>_xlfn.IFNA(VLOOKUP($AI376,Programma!$F$3:$R$1107,13,0),"")</f>
        <v>1w</v>
      </c>
      <c r="AV376" s="300" t="str">
        <f>_xlfn.IFNA(VLOOKUP($AI376,Programma!$F$3:$S$1107,14,0),"")</f>
        <v>1m</v>
      </c>
      <c r="AW376" s="300" t="str">
        <f>_xlfn.IFNA(VLOOKUP($AI376,Programma!$F$3:$T$1107,15,0),"")</f>
        <v>2j</v>
      </c>
      <c r="AX376" s="300" t="str">
        <f>_xlfn.IFNA(VLOOKUP($AI376,Programma!$F$3:$U$1107,16,0),"")</f>
        <v>1j</v>
      </c>
      <c r="AY376" s="300" t="str">
        <f>_xlfn.IFNA(VLOOKUP($AI376,Programma!$F$3:$V$1107,17,0),"")</f>
        <v>_</v>
      </c>
      <c r="AZ376" s="300" t="str">
        <f>_xlfn.IFNA(VLOOKUP($AI376,Programma!$F$3:$W$1107,18,0),"")</f>
        <v>_</v>
      </c>
      <c r="BA376" s="300" t="str">
        <f>_xlfn.IFNA(VLOOKUP($AI376,Programma!$F$3:$X$1107,19,0),"")</f>
        <v>_</v>
      </c>
      <c r="BB376" s="300" t="str">
        <f>_xlfn.IFNA(VLOOKUP($AI376,Programma!$F$3:$Y$1107,20,0),"")</f>
        <v>_</v>
      </c>
      <c r="BC376" s="257"/>
      <c r="BD376" s="256" t="str">
        <f>IF(Ruimtestaat[[#This Row],[Frequentie weekend]]="","",_xlfn.CONCAT(Ruimtestaat[[#This Row],[Ruimte code]],"-",Ruimtestaat[[#This Row],[Frequentie weekend]]," ",Ruimtestaat[[#This Row],[Vloer code]]))</f>
        <v/>
      </c>
      <c r="BE376" s="300" t="str">
        <f>_xlfn.IFNA(VLOOKUP($BD376,Programma!$F$3:$G$1107,2,0),"")</f>
        <v/>
      </c>
      <c r="BF376" s="300" t="str">
        <f>_xlfn.IFNA(VLOOKUP($BD376,Programma!$F$3:$H$1107,3,0),"")</f>
        <v/>
      </c>
      <c r="BG376" s="300" t="str">
        <f>_xlfn.IFNA(VLOOKUP($BD376,Programma!$F$3:$I$1107,4,0),"")</f>
        <v/>
      </c>
      <c r="BH376" s="300" t="str">
        <f>_xlfn.IFNA(VLOOKUP($BD376,Programma!$F$3:$J$1107,5,0),"")</f>
        <v/>
      </c>
      <c r="BI376" s="300" t="str">
        <f>_xlfn.IFNA(VLOOKUP($BD376,Programma!$F$3:$K$1107,6,0),"")</f>
        <v/>
      </c>
      <c r="BJ376" s="300" t="str">
        <f>_xlfn.IFNA(VLOOKUP($BD376,Programma!$F$3:$L$1107,7,0),"")</f>
        <v/>
      </c>
      <c r="BK376" s="300" t="str">
        <f>_xlfn.IFNA(VLOOKUP($BD376,Programma!$F$3:$M$1107,8,0),"")</f>
        <v/>
      </c>
      <c r="BL376" s="300" t="str">
        <f>_xlfn.IFNA(VLOOKUP($BD376,Programma!$F$3:$N$1107,9,0),"")</f>
        <v/>
      </c>
      <c r="BM376" s="300" t="str">
        <f>_xlfn.IFNA(VLOOKUP($BD376,Programma!$F$3:$O$1107,10,0),"")</f>
        <v/>
      </c>
      <c r="BN376" s="300" t="str">
        <f>_xlfn.IFNA(VLOOKUP($BD376,Programma!$F$3:$P$1107,11,0),"")</f>
        <v/>
      </c>
      <c r="BO376" s="300" t="str">
        <f>_xlfn.IFNA(VLOOKUP($BD376,Programma!$F$3:$Q$1107,12,0),"")</f>
        <v/>
      </c>
      <c r="BP376" s="300" t="str">
        <f>_xlfn.IFNA(VLOOKUP($BD376,Programma!$F$3:$R$1107,13,0),"")</f>
        <v/>
      </c>
      <c r="BQ376" s="300" t="str">
        <f>_xlfn.IFNA(VLOOKUP($BD376,Programma!$F$3:$S$1107,14,0),"")</f>
        <v/>
      </c>
      <c r="BR376" s="300" t="str">
        <f>_xlfn.IFNA(VLOOKUP($BD376,Programma!$F$3:$T$1107,15,0),"")</f>
        <v/>
      </c>
      <c r="BS376" s="300" t="str">
        <f>_xlfn.IFNA(VLOOKUP($BD376,Programma!$F$3:$U$1107,16,0),"")</f>
        <v/>
      </c>
      <c r="BT376" s="300" t="str">
        <f>_xlfn.IFNA(VLOOKUP($BD376,Programma!$F$3:$V$1107,17,0),"")</f>
        <v/>
      </c>
      <c r="BU376" s="300" t="str">
        <f>_xlfn.IFNA(VLOOKUP($BD376,Programma!$F$3:$W$1107,18,0),"")</f>
        <v/>
      </c>
      <c r="BV376" s="300" t="str">
        <f>_xlfn.IFNA(VLOOKUP($BD376,Programma!$F$3:$X$1107,19,0),"")</f>
        <v/>
      </c>
      <c r="BW376" s="300" t="str">
        <f>_xlfn.IFNA(VLOOKUP($BD376,Programma!$F$3:$Y$1107,20,0),"")</f>
        <v/>
      </c>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row>
    <row r="377" spans="1:220" ht="15" customHeight="1">
      <c r="A377" s="21">
        <v>5</v>
      </c>
      <c r="B377" s="157" t="str">
        <f>VLOOKUP(Ruimtestaat[[#This Row],[Code]],Locaties[[Code]:[Locatie]],2,FALSE)</f>
        <v>François Vatel vmbo</v>
      </c>
      <c r="C377" s="157" t="str">
        <f>VLOOKUP(Ruimtestaat[[#This Row],[Code]],Locaties[[#All],[Code]:[Adres]],4,FALSE)</f>
        <v>Granaathorst 20</v>
      </c>
      <c r="D377" s="157" t="str">
        <f>VLOOKUP(Ruimtestaat[[#This Row],[Code]],Locaties[[#All],[Code]:[Postcode]],5,FALSE)</f>
        <v>2592 TD</v>
      </c>
      <c r="E377" s="157" t="str">
        <f>VLOOKUP(Ruimtestaat[[#This Row],[Code]],Locaties[#All],6,FALSE)</f>
        <v>Den Haag</v>
      </c>
      <c r="F377" s="62"/>
      <c r="G377" s="21" t="s">
        <v>1624</v>
      </c>
      <c r="H377" s="21" t="s">
        <v>1654</v>
      </c>
      <c r="I377" s="62" t="s">
        <v>2037</v>
      </c>
      <c r="J377" s="21">
        <v>10</v>
      </c>
      <c r="K377" s="62" t="str">
        <f>VLOOKUP(Ruimtestaat[[#This Row],[Ruimte code]],Ruimtegroepen[[#All],[Code]:[Ruimte omschrijving]],2,FALSE)</f>
        <v>Trappenhuizen/lift</v>
      </c>
      <c r="L377" s="33" t="s">
        <v>1325</v>
      </c>
      <c r="M377" s="367" t="s">
        <v>2505</v>
      </c>
      <c r="N377" s="140">
        <v>38</v>
      </c>
      <c r="O377" s="140"/>
      <c r="P377" s="125" t="str">
        <f>VLOOKUP(Ruimtestaat[[#This Row],[Ruimte code]],Ruimtegroepen[],4,FALSE)</f>
        <v>Ve</v>
      </c>
      <c r="R377" s="33">
        <v>40</v>
      </c>
      <c r="S377" s="33" t="s">
        <v>2</v>
      </c>
      <c r="T377" s="33">
        <f>IF(R377&gt;0,IF(RIGHT(Ruimtestaat[[#This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7" s="33">
        <f>IF(T377&gt;0,VLOOKUP($J377,Ruimtegroepen[],3,FALSE)*VLOOKUP($L377,Vloersoorten[],3,FALSE)*VLOOKUP($S377,Frequenties[],3,FALSE)*VLOOKUP($A377,Locaties[],3,FALSE),0)</f>
        <v>0</v>
      </c>
      <c r="V377" s="33">
        <f>Ruimtestaat[[#This Row],[Uitvoeringen werkdagen]]*Ruimtestaat[[#This Row],[Oppervlak (netto)]]</f>
        <v>7600</v>
      </c>
      <c r="W377" s="154">
        <f>IF(U377&gt;0,Ruimtestaat[[#This Row],[Prest. (m2 /jaar) werkdagen]]/Ruimtestaat[[#This Row],[Norm (m2/uur) werkdagen]],0)</f>
        <v>0</v>
      </c>
      <c r="X377" s="155">
        <f>Ruimtestaat[[#This Row],[uren / jaar werkdagen]]*Tariefsopbouw!$E$35</f>
        <v>0</v>
      </c>
      <c r="Y377" s="33"/>
      <c r="Z377" s="33">
        <f>IF(Ruimtestaat[[#This Row],[Frequentie weekend]]&gt;0,VALUE(LEFT(Y377,1))*R377,0)</f>
        <v>0</v>
      </c>
      <c r="AA377" s="97">
        <f>IF($Z377&gt;0,VLOOKUP($J377,Ruimtegroepen[],3,FALSE)*VLOOKUP($L377,Vloersoorten[],3,FALSE)*VLOOKUP($Y377,Frequenties[],3,FALSE)*VLOOKUP(Ruimtestaat[[#This Row],[Code]],Locaties[],3,FALSE),0)</f>
        <v>0</v>
      </c>
      <c r="AB377" s="97">
        <f>Ruimtestaat[[#This Row],[Uitvoeringen weekend]]*Ruimtestaat[[#This Row],[Oppervlak (netto)]]</f>
        <v>0</v>
      </c>
      <c r="AC377" s="97">
        <f>IF(AA377&gt;0,Ruimtestaat[[#This Row],[Prest. (m2 /jaar) weekend]]/Ruimtestaat[[#This Row],[Norm (m2/uur) weekend]],0)</f>
        <v>0</v>
      </c>
      <c r="AD377" s="155">
        <f>Ruimtestaat[[#This Row],[uren / jaar weekend]]*Tariefsopbouw!$D$40</f>
        <v>0</v>
      </c>
      <c r="AE377" s="154">
        <f>Ruimtestaat[[#This Row],[Prest. (m2 /jaar) weekend]]+Ruimtestaat[[#This Row],[Prest. (m2 /jaar) werkdagen]]</f>
        <v>7600</v>
      </c>
      <c r="AF377" s="154">
        <f>Ruimtestaat[[#This Row],[uren / jaar weekend]]+Ruimtestaat[[#This Row],[uren / jaar werkdagen]]</f>
        <v>0</v>
      </c>
      <c r="AG377" s="69">
        <f>Ruimtestaat[[#This Row],[kosten / jaar weekend]]+Ruimtestaat[[#This Row],[kosten / jaar werkdagen]]</f>
        <v>0</v>
      </c>
      <c r="AH377" s="69"/>
      <c r="AI377" s="256" t="str">
        <f>IF(Ruimtestaat[[#This Row],[Frequentie werkdagen]]="","",_xlfn.CONCAT(Ruimtestaat[[#This Row],[Ruimte code]],"-",Ruimtestaat[[#This Row],[Frequentie werkdagen]]," ",Ruimtestaat[[#This Row],[Vloer code]]))</f>
        <v>10-5w H</v>
      </c>
      <c r="AJ377" s="300" t="str">
        <f>_xlfn.IFNA(VLOOKUP($AI377,Programma!$F$3:$G$1107,2,0),"")</f>
        <v>_</v>
      </c>
      <c r="AK377" s="300" t="str">
        <f>_xlfn.IFNA(VLOOKUP($AI377,Programma!$F$3:$H$1107,3,0),"")</f>
        <v>_</v>
      </c>
      <c r="AL377" s="300" t="str">
        <f>_xlfn.IFNA(VLOOKUP($AI377,Programma!$F$3:$I$1107,4,0),"")</f>
        <v>5w</v>
      </c>
      <c r="AM377" s="300" t="str">
        <f>_xlfn.IFNA(VLOOKUP($AI377,Programma!$F$3:$J$1107,5,0),"")</f>
        <v>_</v>
      </c>
      <c r="AN377" s="300" t="str">
        <f>_xlfn.IFNA(VLOOKUP($AI377,Programma!$F$3:$K$1107,6,0),"")</f>
        <v>4j</v>
      </c>
      <c r="AO377" s="300" t="str">
        <f>_xlfn.IFNA(VLOOKUP($AI377,Programma!$F$3:$L$1107,7,0),"")</f>
        <v>_</v>
      </c>
      <c r="AP377" s="300" t="str">
        <f>_xlfn.IFNA(VLOOKUP($AI377,Programma!$F$3:$M$1107,8,0),"")</f>
        <v>_</v>
      </c>
      <c r="AQ377" s="300" t="str">
        <f>_xlfn.IFNA(VLOOKUP($AI377,Programma!$F$3:$N$1107,9,0),"")</f>
        <v>_</v>
      </c>
      <c r="AR377" s="300" t="str">
        <f>_xlfn.IFNA(VLOOKUP($AI377,Programma!$F$3:$O$1107,10,0),"")</f>
        <v>5w</v>
      </c>
      <c r="AS377" s="300" t="str">
        <f>_xlfn.IFNA(VLOOKUP($AI377,Programma!$F$3:$P$1107,11,0),"")</f>
        <v>5w</v>
      </c>
      <c r="AT377" s="300" t="str">
        <f>_xlfn.IFNA(VLOOKUP($AI377,Programma!$F$3:$Q$1107,12,0),"")</f>
        <v>1w</v>
      </c>
      <c r="AU377" s="300" t="str">
        <f>_xlfn.IFNA(VLOOKUP($AI377,Programma!$F$3:$R$1107,13,0),"")</f>
        <v>1w</v>
      </c>
      <c r="AV377" s="300" t="str">
        <f>_xlfn.IFNA(VLOOKUP($AI377,Programma!$F$3:$S$1107,14,0),"")</f>
        <v>1m</v>
      </c>
      <c r="AW377" s="300" t="str">
        <f>_xlfn.IFNA(VLOOKUP($AI377,Programma!$F$3:$T$1107,15,0),"")</f>
        <v>2j</v>
      </c>
      <c r="AX377" s="300" t="str">
        <f>_xlfn.IFNA(VLOOKUP($AI377,Programma!$F$3:$U$1107,16,0),"")</f>
        <v>1j</v>
      </c>
      <c r="AY377" s="300" t="str">
        <f>_xlfn.IFNA(VLOOKUP($AI377,Programma!$F$3:$V$1107,17,0),"")</f>
        <v>_</v>
      </c>
      <c r="AZ377" s="300" t="str">
        <f>_xlfn.IFNA(VLOOKUP($AI377,Programma!$F$3:$W$1107,18,0),"")</f>
        <v>_</v>
      </c>
      <c r="BA377" s="300" t="str">
        <f>_xlfn.IFNA(VLOOKUP($AI377,Programma!$F$3:$X$1107,19,0),"")</f>
        <v>_</v>
      </c>
      <c r="BB377" s="300" t="str">
        <f>_xlfn.IFNA(VLOOKUP($AI377,Programma!$F$3:$Y$1107,20,0),"")</f>
        <v>_</v>
      </c>
      <c r="BC377" s="257"/>
      <c r="BD377" s="256" t="str">
        <f>IF(Ruimtestaat[[#This Row],[Frequentie weekend]]="","",_xlfn.CONCAT(Ruimtestaat[[#This Row],[Ruimte code]],"-",Ruimtestaat[[#This Row],[Frequentie weekend]]," ",Ruimtestaat[[#This Row],[Vloer code]]))</f>
        <v/>
      </c>
      <c r="BE377" s="300" t="str">
        <f>_xlfn.IFNA(VLOOKUP($BD377,Programma!$F$3:$G$1107,2,0),"")</f>
        <v/>
      </c>
      <c r="BF377" s="300" t="str">
        <f>_xlfn.IFNA(VLOOKUP($BD377,Programma!$F$3:$H$1107,3,0),"")</f>
        <v/>
      </c>
      <c r="BG377" s="300" t="str">
        <f>_xlfn.IFNA(VLOOKUP($BD377,Programma!$F$3:$I$1107,4,0),"")</f>
        <v/>
      </c>
      <c r="BH377" s="300" t="str">
        <f>_xlfn.IFNA(VLOOKUP($BD377,Programma!$F$3:$J$1107,5,0),"")</f>
        <v/>
      </c>
      <c r="BI377" s="300" t="str">
        <f>_xlfn.IFNA(VLOOKUP($BD377,Programma!$F$3:$K$1107,6,0),"")</f>
        <v/>
      </c>
      <c r="BJ377" s="300" t="str">
        <f>_xlfn.IFNA(VLOOKUP($BD377,Programma!$F$3:$L$1107,7,0),"")</f>
        <v/>
      </c>
      <c r="BK377" s="300" t="str">
        <f>_xlfn.IFNA(VLOOKUP($BD377,Programma!$F$3:$M$1107,8,0),"")</f>
        <v/>
      </c>
      <c r="BL377" s="300" t="str">
        <f>_xlfn.IFNA(VLOOKUP($BD377,Programma!$F$3:$N$1107,9,0),"")</f>
        <v/>
      </c>
      <c r="BM377" s="300" t="str">
        <f>_xlfn.IFNA(VLOOKUP($BD377,Programma!$F$3:$O$1107,10,0),"")</f>
        <v/>
      </c>
      <c r="BN377" s="300" t="str">
        <f>_xlfn.IFNA(VLOOKUP($BD377,Programma!$F$3:$P$1107,11,0),"")</f>
        <v/>
      </c>
      <c r="BO377" s="300" t="str">
        <f>_xlfn.IFNA(VLOOKUP($BD377,Programma!$F$3:$Q$1107,12,0),"")</f>
        <v/>
      </c>
      <c r="BP377" s="300" t="str">
        <f>_xlfn.IFNA(VLOOKUP($BD377,Programma!$F$3:$R$1107,13,0),"")</f>
        <v/>
      </c>
      <c r="BQ377" s="300" t="str">
        <f>_xlfn.IFNA(VLOOKUP($BD377,Programma!$F$3:$S$1107,14,0),"")</f>
        <v/>
      </c>
      <c r="BR377" s="300" t="str">
        <f>_xlfn.IFNA(VLOOKUP($BD377,Programma!$F$3:$T$1107,15,0),"")</f>
        <v/>
      </c>
      <c r="BS377" s="300" t="str">
        <f>_xlfn.IFNA(VLOOKUP($BD377,Programma!$F$3:$U$1107,16,0),"")</f>
        <v/>
      </c>
      <c r="BT377" s="300" t="str">
        <f>_xlfn.IFNA(VLOOKUP($BD377,Programma!$F$3:$V$1107,17,0),"")</f>
        <v/>
      </c>
      <c r="BU377" s="300" t="str">
        <f>_xlfn.IFNA(VLOOKUP($BD377,Programma!$F$3:$W$1107,18,0),"")</f>
        <v/>
      </c>
      <c r="BV377" s="300" t="str">
        <f>_xlfn.IFNA(VLOOKUP($BD377,Programma!$F$3:$X$1107,19,0),"")</f>
        <v/>
      </c>
      <c r="BW377" s="300" t="str">
        <f>_xlfn.IFNA(VLOOKUP($BD377,Programma!$F$3:$Y$1107,20,0),"")</f>
        <v/>
      </c>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row>
    <row r="378" spans="1:220" ht="15" customHeight="1">
      <c r="A378" s="21">
        <v>5</v>
      </c>
      <c r="B378" s="157" t="str">
        <f>VLOOKUP(Ruimtestaat[[#This Row],[Code]],Locaties[[Code]:[Locatie]],2,FALSE)</f>
        <v>François Vatel vmbo</v>
      </c>
      <c r="C378" s="157" t="str">
        <f>VLOOKUP(Ruimtestaat[[#This Row],[Code]],Locaties[[#All],[Code]:[Adres]],4,FALSE)</f>
        <v>Granaathorst 20</v>
      </c>
      <c r="D378" s="157" t="str">
        <f>VLOOKUP(Ruimtestaat[[#This Row],[Code]],Locaties[[#All],[Code]:[Postcode]],5,FALSE)</f>
        <v>2592 TD</v>
      </c>
      <c r="E378" s="157" t="str">
        <f>VLOOKUP(Ruimtestaat[[#This Row],[Code]],Locaties[#All],6,FALSE)</f>
        <v>Den Haag</v>
      </c>
      <c r="F378" s="62"/>
      <c r="G378" s="21" t="s">
        <v>1624</v>
      </c>
      <c r="H378" s="21" t="s">
        <v>1656</v>
      </c>
      <c r="I378" s="62" t="s">
        <v>2038</v>
      </c>
      <c r="J378" s="21">
        <v>10</v>
      </c>
      <c r="K378" s="62" t="str">
        <f>VLOOKUP(Ruimtestaat[[#This Row],[Ruimte code]],Ruimtegroepen[[#All],[Code]:[Ruimte omschrijving]],2,FALSE)</f>
        <v>Trappenhuizen/lift</v>
      </c>
      <c r="L378" s="33" t="s">
        <v>101</v>
      </c>
      <c r="M378" s="367" t="s">
        <v>2495</v>
      </c>
      <c r="N378" s="140">
        <v>27</v>
      </c>
      <c r="O378" s="140"/>
      <c r="P378" s="125" t="str">
        <f>VLOOKUP(Ruimtestaat[[#This Row],[Ruimte code]],Ruimtegroepen[],4,FALSE)</f>
        <v>Ve</v>
      </c>
      <c r="R378" s="33">
        <v>40</v>
      </c>
      <c r="S378" s="33" t="s">
        <v>2</v>
      </c>
      <c r="T378" s="33">
        <f>IF(R378&gt;0,IF(RIGHT(Ruimtestaat[[#This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8" s="33">
        <f>IF(T378&gt;0,VLOOKUP($J378,Ruimtegroepen[],3,FALSE)*VLOOKUP($L378,Vloersoorten[],3,FALSE)*VLOOKUP($S378,Frequenties[],3,FALSE)*VLOOKUP($A378,Locaties[],3,FALSE),0)</f>
        <v>0</v>
      </c>
      <c r="V378" s="33">
        <f>Ruimtestaat[[#This Row],[Uitvoeringen werkdagen]]*Ruimtestaat[[#This Row],[Oppervlak (netto)]]</f>
        <v>5400</v>
      </c>
      <c r="W378" s="154">
        <f>IF(U378&gt;0,Ruimtestaat[[#This Row],[Prest. (m2 /jaar) werkdagen]]/Ruimtestaat[[#This Row],[Norm (m2/uur) werkdagen]],0)</f>
        <v>0</v>
      </c>
      <c r="X378" s="155">
        <f>Ruimtestaat[[#This Row],[uren / jaar werkdagen]]*Tariefsopbouw!$E$35</f>
        <v>0</v>
      </c>
      <c r="Y378" s="33"/>
      <c r="Z378" s="33">
        <f>IF(Ruimtestaat[[#This Row],[Frequentie weekend]]&gt;0,VALUE(LEFT(Y378,1))*R378,0)</f>
        <v>0</v>
      </c>
      <c r="AA378" s="97">
        <f>IF($Z378&gt;0,VLOOKUP($J378,Ruimtegroepen[],3,FALSE)*VLOOKUP($L378,Vloersoorten[],3,FALSE)*VLOOKUP($Y378,Frequenties[],3,FALSE)*VLOOKUP(Ruimtestaat[[#This Row],[Code]],Locaties[],3,FALSE),0)</f>
        <v>0</v>
      </c>
      <c r="AB378" s="97">
        <f>Ruimtestaat[[#This Row],[Uitvoeringen weekend]]*Ruimtestaat[[#This Row],[Oppervlak (netto)]]</f>
        <v>0</v>
      </c>
      <c r="AC378" s="97">
        <f>IF(AA378&gt;0,Ruimtestaat[[#This Row],[Prest. (m2 /jaar) weekend]]/Ruimtestaat[[#This Row],[Norm (m2/uur) weekend]],0)</f>
        <v>0</v>
      </c>
      <c r="AD378" s="155">
        <f>Ruimtestaat[[#This Row],[uren / jaar weekend]]*Tariefsopbouw!$D$40</f>
        <v>0</v>
      </c>
      <c r="AE378" s="154">
        <f>Ruimtestaat[[#This Row],[Prest. (m2 /jaar) weekend]]+Ruimtestaat[[#This Row],[Prest. (m2 /jaar) werkdagen]]</f>
        <v>5400</v>
      </c>
      <c r="AF378" s="154">
        <f>Ruimtestaat[[#This Row],[uren / jaar weekend]]+Ruimtestaat[[#This Row],[uren / jaar werkdagen]]</f>
        <v>0</v>
      </c>
      <c r="AG378" s="69">
        <f>Ruimtestaat[[#This Row],[kosten / jaar weekend]]+Ruimtestaat[[#This Row],[kosten / jaar werkdagen]]</f>
        <v>0</v>
      </c>
      <c r="AH378" s="69"/>
      <c r="AI378" s="256" t="str">
        <f>IF(Ruimtestaat[[#This Row],[Frequentie werkdagen]]="","",_xlfn.CONCAT(Ruimtestaat[[#This Row],[Ruimte code]],"-",Ruimtestaat[[#This Row],[Frequentie werkdagen]]," ",Ruimtestaat[[#This Row],[Vloer code]]))</f>
        <v>10-5w L</v>
      </c>
      <c r="AJ378" s="300" t="str">
        <f>_xlfn.IFNA(VLOOKUP($AI378,Programma!$F$3:$G$1107,2,0),"")</f>
        <v>_</v>
      </c>
      <c r="AK378" s="300" t="str">
        <f>_xlfn.IFNA(VLOOKUP($AI378,Programma!$F$3:$H$1107,3,0),"")</f>
        <v>_</v>
      </c>
      <c r="AL378" s="300" t="str">
        <f>_xlfn.IFNA(VLOOKUP($AI378,Programma!$F$3:$I$1107,4,0),"")</f>
        <v>4w</v>
      </c>
      <c r="AM378" s="300" t="str">
        <f>_xlfn.IFNA(VLOOKUP($AI378,Programma!$F$3:$J$1107,5,0),"")</f>
        <v>1w</v>
      </c>
      <c r="AN378" s="300" t="str">
        <f>_xlfn.IFNA(VLOOKUP($AI378,Programma!$F$3:$K$1107,6,0),"")</f>
        <v>_</v>
      </c>
      <c r="AO378" s="300" t="str">
        <f>_xlfn.IFNA(VLOOKUP($AI378,Programma!$F$3:$L$1107,7,0),"")</f>
        <v>_</v>
      </c>
      <c r="AP378" s="300" t="str">
        <f>_xlfn.IFNA(VLOOKUP($AI378,Programma!$F$3:$M$1107,8,0),"")</f>
        <v>_</v>
      </c>
      <c r="AQ378" s="300" t="str">
        <f>_xlfn.IFNA(VLOOKUP($AI378,Programma!$F$3:$N$1107,9,0),"")</f>
        <v>_</v>
      </c>
      <c r="AR378" s="300" t="str">
        <f>_xlfn.IFNA(VLOOKUP($AI378,Programma!$F$3:$O$1107,10,0),"")</f>
        <v>5w</v>
      </c>
      <c r="AS378" s="300" t="str">
        <f>_xlfn.IFNA(VLOOKUP($AI378,Programma!$F$3:$P$1107,11,0),"")</f>
        <v>5w</v>
      </c>
      <c r="AT378" s="300" t="str">
        <f>_xlfn.IFNA(VLOOKUP($AI378,Programma!$F$3:$Q$1107,12,0),"")</f>
        <v>1w</v>
      </c>
      <c r="AU378" s="300" t="str">
        <f>_xlfn.IFNA(VLOOKUP($AI378,Programma!$F$3:$R$1107,13,0),"")</f>
        <v>1w</v>
      </c>
      <c r="AV378" s="300" t="str">
        <f>_xlfn.IFNA(VLOOKUP($AI378,Programma!$F$3:$S$1107,14,0),"")</f>
        <v>1m</v>
      </c>
      <c r="AW378" s="300" t="str">
        <f>_xlfn.IFNA(VLOOKUP($AI378,Programma!$F$3:$T$1107,15,0),"")</f>
        <v>2j</v>
      </c>
      <c r="AX378" s="300" t="str">
        <f>_xlfn.IFNA(VLOOKUP($AI378,Programma!$F$3:$U$1107,16,0),"")</f>
        <v>1j</v>
      </c>
      <c r="AY378" s="300" t="str">
        <f>_xlfn.IFNA(VLOOKUP($AI378,Programma!$F$3:$V$1107,17,0),"")</f>
        <v>_</v>
      </c>
      <c r="AZ378" s="300" t="str">
        <f>_xlfn.IFNA(VLOOKUP($AI378,Programma!$F$3:$W$1107,18,0),"")</f>
        <v>_</v>
      </c>
      <c r="BA378" s="300" t="str">
        <f>_xlfn.IFNA(VLOOKUP($AI378,Programma!$F$3:$X$1107,19,0),"")</f>
        <v>_</v>
      </c>
      <c r="BB378" s="300" t="str">
        <f>_xlfn.IFNA(VLOOKUP($AI378,Programma!$F$3:$Y$1107,20,0),"")</f>
        <v>_</v>
      </c>
      <c r="BC378" s="257"/>
      <c r="BD378" s="256" t="str">
        <f>IF(Ruimtestaat[[#This Row],[Frequentie weekend]]="","",_xlfn.CONCAT(Ruimtestaat[[#This Row],[Ruimte code]],"-",Ruimtestaat[[#This Row],[Frequentie weekend]]," ",Ruimtestaat[[#This Row],[Vloer code]]))</f>
        <v/>
      </c>
      <c r="BE378" s="300" t="str">
        <f>_xlfn.IFNA(VLOOKUP($BD378,Programma!$F$3:$G$1107,2,0),"")</f>
        <v/>
      </c>
      <c r="BF378" s="300" t="str">
        <f>_xlfn.IFNA(VLOOKUP($BD378,Programma!$F$3:$H$1107,3,0),"")</f>
        <v/>
      </c>
      <c r="BG378" s="300" t="str">
        <f>_xlfn.IFNA(VLOOKUP($BD378,Programma!$F$3:$I$1107,4,0),"")</f>
        <v/>
      </c>
      <c r="BH378" s="300" t="str">
        <f>_xlfn.IFNA(VLOOKUP($BD378,Programma!$F$3:$J$1107,5,0),"")</f>
        <v/>
      </c>
      <c r="BI378" s="300" t="str">
        <f>_xlfn.IFNA(VLOOKUP($BD378,Programma!$F$3:$K$1107,6,0),"")</f>
        <v/>
      </c>
      <c r="BJ378" s="300" t="str">
        <f>_xlfn.IFNA(VLOOKUP($BD378,Programma!$F$3:$L$1107,7,0),"")</f>
        <v/>
      </c>
      <c r="BK378" s="300" t="str">
        <f>_xlfn.IFNA(VLOOKUP($BD378,Programma!$F$3:$M$1107,8,0),"")</f>
        <v/>
      </c>
      <c r="BL378" s="300" t="str">
        <f>_xlfn.IFNA(VLOOKUP($BD378,Programma!$F$3:$N$1107,9,0),"")</f>
        <v/>
      </c>
      <c r="BM378" s="300" t="str">
        <f>_xlfn.IFNA(VLOOKUP($BD378,Programma!$F$3:$O$1107,10,0),"")</f>
        <v/>
      </c>
      <c r="BN378" s="300" t="str">
        <f>_xlfn.IFNA(VLOOKUP($BD378,Programma!$F$3:$P$1107,11,0),"")</f>
        <v/>
      </c>
      <c r="BO378" s="300" t="str">
        <f>_xlfn.IFNA(VLOOKUP($BD378,Programma!$F$3:$Q$1107,12,0),"")</f>
        <v/>
      </c>
      <c r="BP378" s="300" t="str">
        <f>_xlfn.IFNA(VLOOKUP($BD378,Programma!$F$3:$R$1107,13,0),"")</f>
        <v/>
      </c>
      <c r="BQ378" s="300" t="str">
        <f>_xlfn.IFNA(VLOOKUP($BD378,Programma!$F$3:$S$1107,14,0),"")</f>
        <v/>
      </c>
      <c r="BR378" s="300" t="str">
        <f>_xlfn.IFNA(VLOOKUP($BD378,Programma!$F$3:$T$1107,15,0),"")</f>
        <v/>
      </c>
      <c r="BS378" s="300" t="str">
        <f>_xlfn.IFNA(VLOOKUP($BD378,Programma!$F$3:$U$1107,16,0),"")</f>
        <v/>
      </c>
      <c r="BT378" s="300" t="str">
        <f>_xlfn.IFNA(VLOOKUP($BD378,Programma!$F$3:$V$1107,17,0),"")</f>
        <v/>
      </c>
      <c r="BU378" s="300" t="str">
        <f>_xlfn.IFNA(VLOOKUP($BD378,Programma!$F$3:$W$1107,18,0),"")</f>
        <v/>
      </c>
      <c r="BV378" s="300" t="str">
        <f>_xlfn.IFNA(VLOOKUP($BD378,Programma!$F$3:$X$1107,19,0),"")</f>
        <v/>
      </c>
      <c r="BW378" s="300" t="str">
        <f>_xlfn.IFNA(VLOOKUP($BD378,Programma!$F$3:$Y$1107,20,0),"")</f>
        <v/>
      </c>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row>
    <row r="379" spans="1:220" ht="15" customHeight="1">
      <c r="A379" s="21">
        <v>5</v>
      </c>
      <c r="B379" s="157" t="str">
        <f>VLOOKUP(Ruimtestaat[[#This Row],[Code]],Locaties[[Code]:[Locatie]],2,FALSE)</f>
        <v>François Vatel vmbo</v>
      </c>
      <c r="C379" s="157" t="str">
        <f>VLOOKUP(Ruimtestaat[[#This Row],[Code]],Locaties[[#All],[Code]:[Adres]],4,FALSE)</f>
        <v>Granaathorst 20</v>
      </c>
      <c r="D379" s="157" t="str">
        <f>VLOOKUP(Ruimtestaat[[#This Row],[Code]],Locaties[[#All],[Code]:[Postcode]],5,FALSE)</f>
        <v>2592 TD</v>
      </c>
      <c r="E379" s="157" t="str">
        <f>VLOOKUP(Ruimtestaat[[#This Row],[Code]],Locaties[#All],6,FALSE)</f>
        <v>Den Haag</v>
      </c>
      <c r="F379" s="62"/>
      <c r="G379" s="21" t="s">
        <v>1624</v>
      </c>
      <c r="H379" s="21" t="s">
        <v>1658</v>
      </c>
      <c r="I379" s="62" t="s">
        <v>2039</v>
      </c>
      <c r="J379" s="21">
        <v>10</v>
      </c>
      <c r="K379" s="62" t="str">
        <f>VLOOKUP(Ruimtestaat[[#This Row],[Ruimte code]],Ruimtegroepen[[#All],[Code]:[Ruimte omschrijving]],2,FALSE)</f>
        <v>Trappenhuizen/lift</v>
      </c>
      <c r="L379" s="33" t="s">
        <v>1325</v>
      </c>
      <c r="M379" s="367" t="s">
        <v>2505</v>
      </c>
      <c r="N379" s="140">
        <v>26</v>
      </c>
      <c r="O379" s="140"/>
      <c r="P379" s="125" t="str">
        <f>VLOOKUP(Ruimtestaat[[#This Row],[Ruimte code]],Ruimtegroepen[],4,FALSE)</f>
        <v>Ve</v>
      </c>
      <c r="R379" s="33">
        <v>40</v>
      </c>
      <c r="S379" s="33" t="s">
        <v>2</v>
      </c>
      <c r="T379" s="33">
        <f>IF(R379&gt;0,IF(RIGHT(Ruimtestaat[[#This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9" s="33">
        <f>IF(T379&gt;0,VLOOKUP($J379,Ruimtegroepen[],3,FALSE)*VLOOKUP($L379,Vloersoorten[],3,FALSE)*VLOOKUP($S379,Frequenties[],3,FALSE)*VLOOKUP($A379,Locaties[],3,FALSE),0)</f>
        <v>0</v>
      </c>
      <c r="V379" s="33">
        <f>Ruimtestaat[[#This Row],[Uitvoeringen werkdagen]]*Ruimtestaat[[#This Row],[Oppervlak (netto)]]</f>
        <v>5200</v>
      </c>
      <c r="W379" s="154">
        <f>IF(U379&gt;0,Ruimtestaat[[#This Row],[Prest. (m2 /jaar) werkdagen]]/Ruimtestaat[[#This Row],[Norm (m2/uur) werkdagen]],0)</f>
        <v>0</v>
      </c>
      <c r="X379" s="155">
        <f>Ruimtestaat[[#This Row],[uren / jaar werkdagen]]*Tariefsopbouw!$E$35</f>
        <v>0</v>
      </c>
      <c r="Y379" s="33"/>
      <c r="Z379" s="33">
        <f>IF(Ruimtestaat[[#This Row],[Frequentie weekend]]&gt;0,VALUE(LEFT(Y379,1))*R379,0)</f>
        <v>0</v>
      </c>
      <c r="AA379" s="97">
        <f>IF($Z379&gt;0,VLOOKUP($J379,Ruimtegroepen[],3,FALSE)*VLOOKUP($L379,Vloersoorten[],3,FALSE)*VLOOKUP($Y379,Frequenties[],3,FALSE)*VLOOKUP(Ruimtestaat[[#This Row],[Code]],Locaties[],3,FALSE),0)</f>
        <v>0</v>
      </c>
      <c r="AB379" s="97">
        <f>Ruimtestaat[[#This Row],[Uitvoeringen weekend]]*Ruimtestaat[[#This Row],[Oppervlak (netto)]]</f>
        <v>0</v>
      </c>
      <c r="AC379" s="97">
        <f>IF(AA379&gt;0,Ruimtestaat[[#This Row],[Prest. (m2 /jaar) weekend]]/Ruimtestaat[[#This Row],[Norm (m2/uur) weekend]],0)</f>
        <v>0</v>
      </c>
      <c r="AD379" s="155">
        <f>Ruimtestaat[[#This Row],[uren / jaar weekend]]*Tariefsopbouw!$D$40</f>
        <v>0</v>
      </c>
      <c r="AE379" s="154">
        <f>Ruimtestaat[[#This Row],[Prest. (m2 /jaar) weekend]]+Ruimtestaat[[#This Row],[Prest. (m2 /jaar) werkdagen]]</f>
        <v>5200</v>
      </c>
      <c r="AF379" s="154">
        <f>Ruimtestaat[[#This Row],[uren / jaar weekend]]+Ruimtestaat[[#This Row],[uren / jaar werkdagen]]</f>
        <v>0</v>
      </c>
      <c r="AG379" s="69">
        <f>Ruimtestaat[[#This Row],[kosten / jaar weekend]]+Ruimtestaat[[#This Row],[kosten / jaar werkdagen]]</f>
        <v>0</v>
      </c>
      <c r="AH379" s="69"/>
      <c r="AI379" s="256" t="str">
        <f>IF(Ruimtestaat[[#This Row],[Frequentie werkdagen]]="","",_xlfn.CONCAT(Ruimtestaat[[#This Row],[Ruimte code]],"-",Ruimtestaat[[#This Row],[Frequentie werkdagen]]," ",Ruimtestaat[[#This Row],[Vloer code]]))</f>
        <v>10-5w H</v>
      </c>
      <c r="AJ379" s="300" t="str">
        <f>_xlfn.IFNA(VLOOKUP($AI379,Programma!$F$3:$G$1107,2,0),"")</f>
        <v>_</v>
      </c>
      <c r="AK379" s="300" t="str">
        <f>_xlfn.IFNA(VLOOKUP($AI379,Programma!$F$3:$H$1107,3,0),"")</f>
        <v>_</v>
      </c>
      <c r="AL379" s="300" t="str">
        <f>_xlfn.IFNA(VLOOKUP($AI379,Programma!$F$3:$I$1107,4,0),"")</f>
        <v>5w</v>
      </c>
      <c r="AM379" s="300" t="str">
        <f>_xlfn.IFNA(VLOOKUP($AI379,Programma!$F$3:$J$1107,5,0),"")</f>
        <v>_</v>
      </c>
      <c r="AN379" s="300" t="str">
        <f>_xlfn.IFNA(VLOOKUP($AI379,Programma!$F$3:$K$1107,6,0),"")</f>
        <v>4j</v>
      </c>
      <c r="AO379" s="300" t="str">
        <f>_xlfn.IFNA(VLOOKUP($AI379,Programma!$F$3:$L$1107,7,0),"")</f>
        <v>_</v>
      </c>
      <c r="AP379" s="300" t="str">
        <f>_xlfn.IFNA(VLOOKUP($AI379,Programma!$F$3:$M$1107,8,0),"")</f>
        <v>_</v>
      </c>
      <c r="AQ379" s="300" t="str">
        <f>_xlfn.IFNA(VLOOKUP($AI379,Programma!$F$3:$N$1107,9,0),"")</f>
        <v>_</v>
      </c>
      <c r="AR379" s="300" t="str">
        <f>_xlfn.IFNA(VLOOKUP($AI379,Programma!$F$3:$O$1107,10,0),"")</f>
        <v>5w</v>
      </c>
      <c r="AS379" s="300" t="str">
        <f>_xlfn.IFNA(VLOOKUP($AI379,Programma!$F$3:$P$1107,11,0),"")</f>
        <v>5w</v>
      </c>
      <c r="AT379" s="300" t="str">
        <f>_xlfn.IFNA(VLOOKUP($AI379,Programma!$F$3:$Q$1107,12,0),"")</f>
        <v>1w</v>
      </c>
      <c r="AU379" s="300" t="str">
        <f>_xlfn.IFNA(VLOOKUP($AI379,Programma!$F$3:$R$1107,13,0),"")</f>
        <v>1w</v>
      </c>
      <c r="AV379" s="300" t="str">
        <f>_xlfn.IFNA(VLOOKUP($AI379,Programma!$F$3:$S$1107,14,0),"")</f>
        <v>1m</v>
      </c>
      <c r="AW379" s="300" t="str">
        <f>_xlfn.IFNA(VLOOKUP($AI379,Programma!$F$3:$T$1107,15,0),"")</f>
        <v>2j</v>
      </c>
      <c r="AX379" s="300" t="str">
        <f>_xlfn.IFNA(VLOOKUP($AI379,Programma!$F$3:$U$1107,16,0),"")</f>
        <v>1j</v>
      </c>
      <c r="AY379" s="300" t="str">
        <f>_xlfn.IFNA(VLOOKUP($AI379,Programma!$F$3:$V$1107,17,0),"")</f>
        <v>_</v>
      </c>
      <c r="AZ379" s="300" t="str">
        <f>_xlfn.IFNA(VLOOKUP($AI379,Programma!$F$3:$W$1107,18,0),"")</f>
        <v>_</v>
      </c>
      <c r="BA379" s="300" t="str">
        <f>_xlfn.IFNA(VLOOKUP($AI379,Programma!$F$3:$X$1107,19,0),"")</f>
        <v>_</v>
      </c>
      <c r="BB379" s="300" t="str">
        <f>_xlfn.IFNA(VLOOKUP($AI379,Programma!$F$3:$Y$1107,20,0),"")</f>
        <v>_</v>
      </c>
      <c r="BC379" s="257"/>
      <c r="BD379" s="256" t="str">
        <f>IF(Ruimtestaat[[#This Row],[Frequentie weekend]]="","",_xlfn.CONCAT(Ruimtestaat[[#This Row],[Ruimte code]],"-",Ruimtestaat[[#This Row],[Frequentie weekend]]," ",Ruimtestaat[[#This Row],[Vloer code]]))</f>
        <v/>
      </c>
      <c r="BE379" s="300" t="str">
        <f>_xlfn.IFNA(VLOOKUP($BD379,Programma!$F$3:$G$1107,2,0),"")</f>
        <v/>
      </c>
      <c r="BF379" s="300" t="str">
        <f>_xlfn.IFNA(VLOOKUP($BD379,Programma!$F$3:$H$1107,3,0),"")</f>
        <v/>
      </c>
      <c r="BG379" s="300" t="str">
        <f>_xlfn.IFNA(VLOOKUP($BD379,Programma!$F$3:$I$1107,4,0),"")</f>
        <v/>
      </c>
      <c r="BH379" s="300" t="str">
        <f>_xlfn.IFNA(VLOOKUP($BD379,Programma!$F$3:$J$1107,5,0),"")</f>
        <v/>
      </c>
      <c r="BI379" s="300" t="str">
        <f>_xlfn.IFNA(VLOOKUP($BD379,Programma!$F$3:$K$1107,6,0),"")</f>
        <v/>
      </c>
      <c r="BJ379" s="300" t="str">
        <f>_xlfn.IFNA(VLOOKUP($BD379,Programma!$F$3:$L$1107,7,0),"")</f>
        <v/>
      </c>
      <c r="BK379" s="300" t="str">
        <f>_xlfn.IFNA(VLOOKUP($BD379,Programma!$F$3:$M$1107,8,0),"")</f>
        <v/>
      </c>
      <c r="BL379" s="300" t="str">
        <f>_xlfn.IFNA(VLOOKUP($BD379,Programma!$F$3:$N$1107,9,0),"")</f>
        <v/>
      </c>
      <c r="BM379" s="300" t="str">
        <f>_xlfn.IFNA(VLOOKUP($BD379,Programma!$F$3:$O$1107,10,0),"")</f>
        <v/>
      </c>
      <c r="BN379" s="300" t="str">
        <f>_xlfn.IFNA(VLOOKUP($BD379,Programma!$F$3:$P$1107,11,0),"")</f>
        <v/>
      </c>
      <c r="BO379" s="300" t="str">
        <f>_xlfn.IFNA(VLOOKUP($BD379,Programma!$F$3:$Q$1107,12,0),"")</f>
        <v/>
      </c>
      <c r="BP379" s="300" t="str">
        <f>_xlfn.IFNA(VLOOKUP($BD379,Programma!$F$3:$R$1107,13,0),"")</f>
        <v/>
      </c>
      <c r="BQ379" s="300" t="str">
        <f>_xlfn.IFNA(VLOOKUP($BD379,Programma!$F$3:$S$1107,14,0),"")</f>
        <v/>
      </c>
      <c r="BR379" s="300" t="str">
        <f>_xlfn.IFNA(VLOOKUP($BD379,Programma!$F$3:$T$1107,15,0),"")</f>
        <v/>
      </c>
      <c r="BS379" s="300" t="str">
        <f>_xlfn.IFNA(VLOOKUP($BD379,Programma!$F$3:$U$1107,16,0),"")</f>
        <v/>
      </c>
      <c r="BT379" s="300" t="str">
        <f>_xlfn.IFNA(VLOOKUP($BD379,Programma!$F$3:$V$1107,17,0),"")</f>
        <v/>
      </c>
      <c r="BU379" s="300" t="str">
        <f>_xlfn.IFNA(VLOOKUP($BD379,Programma!$F$3:$W$1107,18,0),"")</f>
        <v/>
      </c>
      <c r="BV379" s="300" t="str">
        <f>_xlfn.IFNA(VLOOKUP($BD379,Programma!$F$3:$X$1107,19,0),"")</f>
        <v/>
      </c>
      <c r="BW379" s="300" t="str">
        <f>_xlfn.IFNA(VLOOKUP($BD379,Programma!$F$3:$Y$1107,20,0),"")</f>
        <v/>
      </c>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row>
    <row r="380" spans="1:220" ht="15" customHeight="1">
      <c r="A380" s="21">
        <v>5</v>
      </c>
      <c r="B380" s="157" t="str">
        <f>VLOOKUP(Ruimtestaat[[#This Row],[Code]],Locaties[[Code]:[Locatie]],2,FALSE)</f>
        <v>François Vatel vmbo</v>
      </c>
      <c r="C380" s="157" t="str">
        <f>VLOOKUP(Ruimtestaat[[#This Row],[Code]],Locaties[[#All],[Code]:[Adres]],4,FALSE)</f>
        <v>Granaathorst 20</v>
      </c>
      <c r="D380" s="157" t="str">
        <f>VLOOKUP(Ruimtestaat[[#This Row],[Code]],Locaties[[#All],[Code]:[Postcode]],5,FALSE)</f>
        <v>2592 TD</v>
      </c>
      <c r="E380" s="157" t="str">
        <f>VLOOKUP(Ruimtestaat[[#This Row],[Code]],Locaties[#All],6,FALSE)</f>
        <v>Den Haag</v>
      </c>
      <c r="F380" s="62"/>
      <c r="G380" s="21" t="s">
        <v>1624</v>
      </c>
      <c r="H380" s="21" t="s">
        <v>1659</v>
      </c>
      <c r="I380" s="62" t="s">
        <v>1625</v>
      </c>
      <c r="J380" s="21">
        <v>6</v>
      </c>
      <c r="K380" s="62" t="str">
        <f>VLOOKUP(Ruimtestaat[[#This Row],[Ruimte code]],Ruimtegroepen[[#All],[Code]:[Ruimte omschrijving]],2,FALSE)</f>
        <v>Gangen/hallen</v>
      </c>
      <c r="L380" s="33" t="s">
        <v>101</v>
      </c>
      <c r="M380" s="367" t="s">
        <v>2495</v>
      </c>
      <c r="N380" s="140">
        <v>480</v>
      </c>
      <c r="O380" s="140"/>
      <c r="P380" s="125" t="str">
        <f>VLOOKUP(Ruimtestaat[[#This Row],[Ruimte code]],Ruimtegroepen[],4,FALSE)</f>
        <v>Ve</v>
      </c>
      <c r="R380" s="33">
        <v>40</v>
      </c>
      <c r="S380" s="33" t="s">
        <v>2</v>
      </c>
      <c r="T380" s="33">
        <f>IF(R380&gt;0,IF(RIGHT(Ruimtestaat[[#This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0" s="33">
        <f>IF(T380&gt;0,VLOOKUP($J380,Ruimtegroepen[],3,FALSE)*VLOOKUP($L380,Vloersoorten[],3,FALSE)*VLOOKUP($S380,Frequenties[],3,FALSE)*VLOOKUP($A380,Locaties[],3,FALSE),0)</f>
        <v>0</v>
      </c>
      <c r="V380" s="33">
        <f>Ruimtestaat[[#This Row],[Uitvoeringen werkdagen]]*Ruimtestaat[[#This Row],[Oppervlak (netto)]]</f>
        <v>96000</v>
      </c>
      <c r="W380" s="154">
        <f>IF(U380&gt;0,Ruimtestaat[[#This Row],[Prest. (m2 /jaar) werkdagen]]/Ruimtestaat[[#This Row],[Norm (m2/uur) werkdagen]],0)</f>
        <v>0</v>
      </c>
      <c r="X380" s="155">
        <f>Ruimtestaat[[#This Row],[uren / jaar werkdagen]]*Tariefsopbouw!$E$35</f>
        <v>0</v>
      </c>
      <c r="Y380" s="33"/>
      <c r="Z380" s="33">
        <f>IF(Ruimtestaat[[#This Row],[Frequentie weekend]]&gt;0,VALUE(LEFT(Y380,1))*R380,0)</f>
        <v>0</v>
      </c>
      <c r="AA380" s="97">
        <f>IF($Z380&gt;0,VLOOKUP($J380,Ruimtegroepen[],3,FALSE)*VLOOKUP($L380,Vloersoorten[],3,FALSE)*VLOOKUP($Y380,Frequenties[],3,FALSE)*VLOOKUP(Ruimtestaat[[#This Row],[Code]],Locaties[],3,FALSE),0)</f>
        <v>0</v>
      </c>
      <c r="AB380" s="97">
        <f>Ruimtestaat[[#This Row],[Uitvoeringen weekend]]*Ruimtestaat[[#This Row],[Oppervlak (netto)]]</f>
        <v>0</v>
      </c>
      <c r="AC380" s="97">
        <f>IF(AA380&gt;0,Ruimtestaat[[#This Row],[Prest. (m2 /jaar) weekend]]/Ruimtestaat[[#This Row],[Norm (m2/uur) weekend]],0)</f>
        <v>0</v>
      </c>
      <c r="AD380" s="155">
        <f>Ruimtestaat[[#This Row],[uren / jaar weekend]]*Tariefsopbouw!$D$40</f>
        <v>0</v>
      </c>
      <c r="AE380" s="154">
        <f>Ruimtestaat[[#This Row],[Prest. (m2 /jaar) weekend]]+Ruimtestaat[[#This Row],[Prest. (m2 /jaar) werkdagen]]</f>
        <v>96000</v>
      </c>
      <c r="AF380" s="154">
        <f>Ruimtestaat[[#This Row],[uren / jaar weekend]]+Ruimtestaat[[#This Row],[uren / jaar werkdagen]]</f>
        <v>0</v>
      </c>
      <c r="AG380" s="69">
        <f>Ruimtestaat[[#This Row],[kosten / jaar weekend]]+Ruimtestaat[[#This Row],[kosten / jaar werkdagen]]</f>
        <v>0</v>
      </c>
      <c r="AH380" s="69"/>
      <c r="AI380" s="256" t="str">
        <f>IF(Ruimtestaat[[#This Row],[Frequentie werkdagen]]="","",_xlfn.CONCAT(Ruimtestaat[[#This Row],[Ruimte code]],"-",Ruimtestaat[[#This Row],[Frequentie werkdagen]]," ",Ruimtestaat[[#This Row],[Vloer code]]))</f>
        <v>6-5w L</v>
      </c>
      <c r="AJ380" s="300" t="str">
        <f>_xlfn.IFNA(VLOOKUP($AI380,Programma!$F$3:$G$1107,2,0),"")</f>
        <v>_</v>
      </c>
      <c r="AK380" s="300" t="str">
        <f>_xlfn.IFNA(VLOOKUP($AI380,Programma!$F$3:$H$1107,3,0),"")</f>
        <v>_</v>
      </c>
      <c r="AL380" s="300" t="str">
        <f>_xlfn.IFNA(VLOOKUP($AI380,Programma!$F$3:$I$1107,4,0),"")</f>
        <v>_</v>
      </c>
      <c r="AM380" s="300" t="str">
        <f>_xlfn.IFNA(VLOOKUP($AI380,Programma!$F$3:$J$1107,5,0),"")</f>
        <v>5w</v>
      </c>
      <c r="AN380" s="300" t="str">
        <f>_xlfn.IFNA(VLOOKUP($AI380,Programma!$F$3:$K$1107,6,0),"")</f>
        <v>_</v>
      </c>
      <c r="AO380" s="300" t="str">
        <f>_xlfn.IFNA(VLOOKUP($AI380,Programma!$F$3:$L$1107,7,0),"")</f>
        <v>_</v>
      </c>
      <c r="AP380" s="300" t="str">
        <f>_xlfn.IFNA(VLOOKUP($AI380,Programma!$F$3:$M$1107,8,0),"")</f>
        <v>_</v>
      </c>
      <c r="AQ380" s="300" t="str">
        <f>_xlfn.IFNA(VLOOKUP($AI380,Programma!$F$3:$N$1107,9,0),"")</f>
        <v>_</v>
      </c>
      <c r="AR380" s="300" t="str">
        <f>_xlfn.IFNA(VLOOKUP($AI380,Programma!$F$3:$O$1107,10,0),"")</f>
        <v>5w</v>
      </c>
      <c r="AS380" s="300" t="str">
        <f>_xlfn.IFNA(VLOOKUP($AI380,Programma!$F$3:$P$1107,11,0),"")</f>
        <v>5w</v>
      </c>
      <c r="AT380" s="300" t="str">
        <f>_xlfn.IFNA(VLOOKUP($AI380,Programma!$F$3:$Q$1107,12,0),"")</f>
        <v>1w</v>
      </c>
      <c r="AU380" s="300" t="str">
        <f>_xlfn.IFNA(VLOOKUP($AI380,Programma!$F$3:$R$1107,13,0),"")</f>
        <v>1w</v>
      </c>
      <c r="AV380" s="300" t="str">
        <f>_xlfn.IFNA(VLOOKUP($AI380,Programma!$F$3:$S$1107,14,0),"")</f>
        <v>1m</v>
      </c>
      <c r="AW380" s="300" t="str">
        <f>_xlfn.IFNA(VLOOKUP($AI380,Programma!$F$3:$T$1107,15,0),"")</f>
        <v>2j</v>
      </c>
      <c r="AX380" s="300" t="str">
        <f>_xlfn.IFNA(VLOOKUP($AI380,Programma!$F$3:$U$1107,16,0),"")</f>
        <v>1j</v>
      </c>
      <c r="AY380" s="300" t="str">
        <f>_xlfn.IFNA(VLOOKUP($AI380,Programma!$F$3:$V$1107,17,0),"")</f>
        <v>_</v>
      </c>
      <c r="AZ380" s="300" t="str">
        <f>_xlfn.IFNA(VLOOKUP($AI380,Programma!$F$3:$W$1107,18,0),"")</f>
        <v>_</v>
      </c>
      <c r="BA380" s="300" t="str">
        <f>_xlfn.IFNA(VLOOKUP($AI380,Programma!$F$3:$X$1107,19,0),"")</f>
        <v>_</v>
      </c>
      <c r="BB380" s="300" t="str">
        <f>_xlfn.IFNA(VLOOKUP($AI380,Programma!$F$3:$Y$1107,20,0),"")</f>
        <v>_</v>
      </c>
      <c r="BC380" s="257"/>
      <c r="BD380" s="256" t="str">
        <f>IF(Ruimtestaat[[#This Row],[Frequentie weekend]]="","",_xlfn.CONCAT(Ruimtestaat[[#This Row],[Ruimte code]],"-",Ruimtestaat[[#This Row],[Frequentie weekend]]," ",Ruimtestaat[[#This Row],[Vloer code]]))</f>
        <v/>
      </c>
      <c r="BE380" s="300" t="str">
        <f>_xlfn.IFNA(VLOOKUP($BD380,Programma!$F$3:$G$1107,2,0),"")</f>
        <v/>
      </c>
      <c r="BF380" s="300" t="str">
        <f>_xlfn.IFNA(VLOOKUP($BD380,Programma!$F$3:$H$1107,3,0),"")</f>
        <v/>
      </c>
      <c r="BG380" s="300" t="str">
        <f>_xlfn.IFNA(VLOOKUP($BD380,Programma!$F$3:$I$1107,4,0),"")</f>
        <v/>
      </c>
      <c r="BH380" s="300" t="str">
        <f>_xlfn.IFNA(VLOOKUP($BD380,Programma!$F$3:$J$1107,5,0),"")</f>
        <v/>
      </c>
      <c r="BI380" s="300" t="str">
        <f>_xlfn.IFNA(VLOOKUP($BD380,Programma!$F$3:$K$1107,6,0),"")</f>
        <v/>
      </c>
      <c r="BJ380" s="300" t="str">
        <f>_xlfn.IFNA(VLOOKUP($BD380,Programma!$F$3:$L$1107,7,0),"")</f>
        <v/>
      </c>
      <c r="BK380" s="300" t="str">
        <f>_xlfn.IFNA(VLOOKUP($BD380,Programma!$F$3:$M$1107,8,0),"")</f>
        <v/>
      </c>
      <c r="BL380" s="300" t="str">
        <f>_xlfn.IFNA(VLOOKUP($BD380,Programma!$F$3:$N$1107,9,0),"")</f>
        <v/>
      </c>
      <c r="BM380" s="300" t="str">
        <f>_xlfn.IFNA(VLOOKUP($BD380,Programma!$F$3:$O$1107,10,0),"")</f>
        <v/>
      </c>
      <c r="BN380" s="300" t="str">
        <f>_xlfn.IFNA(VLOOKUP($BD380,Programma!$F$3:$P$1107,11,0),"")</f>
        <v/>
      </c>
      <c r="BO380" s="300" t="str">
        <f>_xlfn.IFNA(VLOOKUP($BD380,Programma!$F$3:$Q$1107,12,0),"")</f>
        <v/>
      </c>
      <c r="BP380" s="300" t="str">
        <f>_xlfn.IFNA(VLOOKUP($BD380,Programma!$F$3:$R$1107,13,0),"")</f>
        <v/>
      </c>
      <c r="BQ380" s="300" t="str">
        <f>_xlfn.IFNA(VLOOKUP($BD380,Programma!$F$3:$S$1107,14,0),"")</f>
        <v/>
      </c>
      <c r="BR380" s="300" t="str">
        <f>_xlfn.IFNA(VLOOKUP($BD380,Programma!$F$3:$T$1107,15,0),"")</f>
        <v/>
      </c>
      <c r="BS380" s="300" t="str">
        <f>_xlfn.IFNA(VLOOKUP($BD380,Programma!$F$3:$U$1107,16,0),"")</f>
        <v/>
      </c>
      <c r="BT380" s="300" t="str">
        <f>_xlfn.IFNA(VLOOKUP($BD380,Programma!$F$3:$V$1107,17,0),"")</f>
        <v/>
      </c>
      <c r="BU380" s="300" t="str">
        <f>_xlfn.IFNA(VLOOKUP($BD380,Programma!$F$3:$W$1107,18,0),"")</f>
        <v/>
      </c>
      <c r="BV380" s="300" t="str">
        <f>_xlfn.IFNA(VLOOKUP($BD380,Programma!$F$3:$X$1107,19,0),"")</f>
        <v/>
      </c>
      <c r="BW380" s="300" t="str">
        <f>_xlfn.IFNA(VLOOKUP($BD380,Programma!$F$3:$Y$1107,20,0),"")</f>
        <v/>
      </c>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row>
    <row r="381" spans="1:220" ht="15" customHeight="1">
      <c r="A381" s="21">
        <v>5</v>
      </c>
      <c r="B381" s="157" t="str">
        <f>VLOOKUP(Ruimtestaat[[#This Row],[Code]],Locaties[[Code]:[Locatie]],2,FALSE)</f>
        <v>François Vatel vmbo</v>
      </c>
      <c r="C381" s="157" t="str">
        <f>VLOOKUP(Ruimtestaat[[#This Row],[Code]],Locaties[[#All],[Code]:[Adres]],4,FALSE)</f>
        <v>Granaathorst 20</v>
      </c>
      <c r="D381" s="157" t="str">
        <f>VLOOKUP(Ruimtestaat[[#This Row],[Code]],Locaties[[#All],[Code]:[Postcode]],5,FALSE)</f>
        <v>2592 TD</v>
      </c>
      <c r="E381" s="157" t="str">
        <f>VLOOKUP(Ruimtestaat[[#This Row],[Code]],Locaties[#All],6,FALSE)</f>
        <v>Den Haag</v>
      </c>
      <c r="F381" s="62"/>
      <c r="G381" s="21" t="s">
        <v>1624</v>
      </c>
      <c r="H381" s="21" t="s">
        <v>1661</v>
      </c>
      <c r="I381" s="62" t="s">
        <v>2040</v>
      </c>
      <c r="J381" s="21">
        <v>7</v>
      </c>
      <c r="K381" s="62" t="str">
        <f>VLOOKUP(Ruimtestaat[[#This Row],[Ruimte code]],Ruimtegroepen[[#All],[Code]:[Ruimte omschrijving]],2,FALSE)</f>
        <v>Entree</v>
      </c>
      <c r="L381" s="33" t="s">
        <v>101</v>
      </c>
      <c r="M381" s="367" t="s">
        <v>2495</v>
      </c>
      <c r="N381" s="140">
        <v>4</v>
      </c>
      <c r="O381" s="140"/>
      <c r="P381" s="125" t="str">
        <f>VLOOKUP(Ruimtestaat[[#This Row],[Ruimte code]],Ruimtegroepen[],4,FALSE)</f>
        <v>Ve</v>
      </c>
      <c r="R381" s="33">
        <v>40</v>
      </c>
      <c r="S381" s="33" t="s">
        <v>2</v>
      </c>
      <c r="T381" s="33">
        <f>IF(R381&gt;0,IF(RIGHT(Ruimtestaat[[#This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1" s="33">
        <f>IF(T381&gt;0,VLOOKUP($J381,Ruimtegroepen[],3,FALSE)*VLOOKUP($L381,Vloersoorten[],3,FALSE)*VLOOKUP($S381,Frequenties[],3,FALSE)*VLOOKUP($A381,Locaties[],3,FALSE),0)</f>
        <v>0</v>
      </c>
      <c r="V381" s="33">
        <f>Ruimtestaat[[#This Row],[Uitvoeringen werkdagen]]*Ruimtestaat[[#This Row],[Oppervlak (netto)]]</f>
        <v>800</v>
      </c>
      <c r="W381" s="154">
        <f>IF(U381&gt;0,Ruimtestaat[[#This Row],[Prest. (m2 /jaar) werkdagen]]/Ruimtestaat[[#This Row],[Norm (m2/uur) werkdagen]],0)</f>
        <v>0</v>
      </c>
      <c r="X381" s="155">
        <f>Ruimtestaat[[#This Row],[uren / jaar werkdagen]]*Tariefsopbouw!$E$35</f>
        <v>0</v>
      </c>
      <c r="Y381" s="33"/>
      <c r="Z381" s="33">
        <f>IF(Ruimtestaat[[#This Row],[Frequentie weekend]]&gt;0,VALUE(LEFT(Y381,1))*R381,0)</f>
        <v>0</v>
      </c>
      <c r="AA381" s="97">
        <f>IF($Z381&gt;0,VLOOKUP($J381,Ruimtegroepen[],3,FALSE)*VLOOKUP($L381,Vloersoorten[],3,FALSE)*VLOOKUP($Y381,Frequenties[],3,FALSE)*VLOOKUP(Ruimtestaat[[#This Row],[Code]],Locaties[],3,FALSE),0)</f>
        <v>0</v>
      </c>
      <c r="AB381" s="97">
        <f>Ruimtestaat[[#This Row],[Uitvoeringen weekend]]*Ruimtestaat[[#This Row],[Oppervlak (netto)]]</f>
        <v>0</v>
      </c>
      <c r="AC381" s="97">
        <f>IF(AA381&gt;0,Ruimtestaat[[#This Row],[Prest. (m2 /jaar) weekend]]/Ruimtestaat[[#This Row],[Norm (m2/uur) weekend]],0)</f>
        <v>0</v>
      </c>
      <c r="AD381" s="155">
        <f>Ruimtestaat[[#This Row],[uren / jaar weekend]]*Tariefsopbouw!$D$40</f>
        <v>0</v>
      </c>
      <c r="AE381" s="154">
        <f>Ruimtestaat[[#This Row],[Prest. (m2 /jaar) weekend]]+Ruimtestaat[[#This Row],[Prest. (m2 /jaar) werkdagen]]</f>
        <v>800</v>
      </c>
      <c r="AF381" s="154">
        <f>Ruimtestaat[[#This Row],[uren / jaar weekend]]+Ruimtestaat[[#This Row],[uren / jaar werkdagen]]</f>
        <v>0</v>
      </c>
      <c r="AG381" s="69">
        <f>Ruimtestaat[[#This Row],[kosten / jaar weekend]]+Ruimtestaat[[#This Row],[kosten / jaar werkdagen]]</f>
        <v>0</v>
      </c>
      <c r="AH381" s="69"/>
      <c r="AI381" s="256" t="str">
        <f>IF(Ruimtestaat[[#This Row],[Frequentie werkdagen]]="","",_xlfn.CONCAT(Ruimtestaat[[#This Row],[Ruimte code]],"-",Ruimtestaat[[#This Row],[Frequentie werkdagen]]," ",Ruimtestaat[[#This Row],[Vloer code]]))</f>
        <v>7-5w L</v>
      </c>
      <c r="AJ381" s="300" t="str">
        <f>_xlfn.IFNA(VLOOKUP($AI381,Programma!$F$3:$G$1107,2,0),"")</f>
        <v>_</v>
      </c>
      <c r="AK381" s="300" t="str">
        <f>_xlfn.IFNA(VLOOKUP($AI381,Programma!$F$3:$H$1107,3,0),"")</f>
        <v>_</v>
      </c>
      <c r="AL381" s="300" t="str">
        <f>_xlfn.IFNA(VLOOKUP($AI381,Programma!$F$3:$I$1107,4,0),"")</f>
        <v>_</v>
      </c>
      <c r="AM381" s="300" t="str">
        <f>_xlfn.IFNA(VLOOKUP($AI381,Programma!$F$3:$J$1107,5,0),"")</f>
        <v>5w</v>
      </c>
      <c r="AN381" s="300" t="str">
        <f>_xlfn.IFNA(VLOOKUP($AI381,Programma!$F$3:$K$1107,6,0),"")</f>
        <v>_</v>
      </c>
      <c r="AO381" s="300" t="str">
        <f>_xlfn.IFNA(VLOOKUP($AI381,Programma!$F$3:$L$1107,7,0),"")</f>
        <v>_</v>
      </c>
      <c r="AP381" s="300" t="str">
        <f>_xlfn.IFNA(VLOOKUP($AI381,Programma!$F$3:$M$1107,8,0),"")</f>
        <v>_</v>
      </c>
      <c r="AQ381" s="300" t="str">
        <f>_xlfn.IFNA(VLOOKUP($AI381,Programma!$F$3:$N$1107,9,0),"")</f>
        <v>_</v>
      </c>
      <c r="AR381" s="300" t="str">
        <f>_xlfn.IFNA(VLOOKUP($AI381,Programma!$F$3:$O$1107,10,0),"")</f>
        <v>5w</v>
      </c>
      <c r="AS381" s="300" t="str">
        <f>_xlfn.IFNA(VLOOKUP($AI381,Programma!$F$3:$P$1107,11,0),"")</f>
        <v>5w</v>
      </c>
      <c r="AT381" s="300" t="str">
        <f>_xlfn.IFNA(VLOOKUP($AI381,Programma!$F$3:$Q$1107,12,0),"")</f>
        <v>1w</v>
      </c>
      <c r="AU381" s="300" t="str">
        <f>_xlfn.IFNA(VLOOKUP($AI381,Programma!$F$3:$R$1107,13,0),"")</f>
        <v>1w</v>
      </c>
      <c r="AV381" s="300" t="str">
        <f>_xlfn.IFNA(VLOOKUP($AI381,Programma!$F$3:$S$1107,14,0),"")</f>
        <v>1m</v>
      </c>
      <c r="AW381" s="300" t="str">
        <f>_xlfn.IFNA(VLOOKUP($AI381,Programma!$F$3:$T$1107,15,0),"")</f>
        <v>2j</v>
      </c>
      <c r="AX381" s="300" t="str">
        <f>_xlfn.IFNA(VLOOKUP($AI381,Programma!$F$3:$U$1107,16,0),"")</f>
        <v>1j</v>
      </c>
      <c r="AY381" s="300" t="str">
        <f>_xlfn.IFNA(VLOOKUP($AI381,Programma!$F$3:$V$1107,17,0),"")</f>
        <v>_</v>
      </c>
      <c r="AZ381" s="300" t="str">
        <f>_xlfn.IFNA(VLOOKUP($AI381,Programma!$F$3:$W$1107,18,0),"")</f>
        <v>_</v>
      </c>
      <c r="BA381" s="300" t="str">
        <f>_xlfn.IFNA(VLOOKUP($AI381,Programma!$F$3:$X$1107,19,0),"")</f>
        <v>_</v>
      </c>
      <c r="BB381" s="300" t="str">
        <f>_xlfn.IFNA(VLOOKUP($AI381,Programma!$F$3:$Y$1107,20,0),"")</f>
        <v>_</v>
      </c>
      <c r="BC381" s="257"/>
      <c r="BD381" s="256" t="str">
        <f>IF(Ruimtestaat[[#This Row],[Frequentie weekend]]="","",_xlfn.CONCAT(Ruimtestaat[[#This Row],[Ruimte code]],"-",Ruimtestaat[[#This Row],[Frequentie weekend]]," ",Ruimtestaat[[#This Row],[Vloer code]]))</f>
        <v/>
      </c>
      <c r="BE381" s="300" t="str">
        <f>_xlfn.IFNA(VLOOKUP($BD381,Programma!$F$3:$G$1107,2,0),"")</f>
        <v/>
      </c>
      <c r="BF381" s="300" t="str">
        <f>_xlfn.IFNA(VLOOKUP($BD381,Programma!$F$3:$H$1107,3,0),"")</f>
        <v/>
      </c>
      <c r="BG381" s="300" t="str">
        <f>_xlfn.IFNA(VLOOKUP($BD381,Programma!$F$3:$I$1107,4,0),"")</f>
        <v/>
      </c>
      <c r="BH381" s="300" t="str">
        <f>_xlfn.IFNA(VLOOKUP($BD381,Programma!$F$3:$J$1107,5,0),"")</f>
        <v/>
      </c>
      <c r="BI381" s="300" t="str">
        <f>_xlfn.IFNA(VLOOKUP($BD381,Programma!$F$3:$K$1107,6,0),"")</f>
        <v/>
      </c>
      <c r="BJ381" s="300" t="str">
        <f>_xlfn.IFNA(VLOOKUP($BD381,Programma!$F$3:$L$1107,7,0),"")</f>
        <v/>
      </c>
      <c r="BK381" s="300" t="str">
        <f>_xlfn.IFNA(VLOOKUP($BD381,Programma!$F$3:$M$1107,8,0),"")</f>
        <v/>
      </c>
      <c r="BL381" s="300" t="str">
        <f>_xlfn.IFNA(VLOOKUP($BD381,Programma!$F$3:$N$1107,9,0),"")</f>
        <v/>
      </c>
      <c r="BM381" s="300" t="str">
        <f>_xlfn.IFNA(VLOOKUP($BD381,Programma!$F$3:$O$1107,10,0),"")</f>
        <v/>
      </c>
      <c r="BN381" s="300" t="str">
        <f>_xlfn.IFNA(VLOOKUP($BD381,Programma!$F$3:$P$1107,11,0),"")</f>
        <v/>
      </c>
      <c r="BO381" s="300" t="str">
        <f>_xlfn.IFNA(VLOOKUP($BD381,Programma!$F$3:$Q$1107,12,0),"")</f>
        <v/>
      </c>
      <c r="BP381" s="300" t="str">
        <f>_xlfn.IFNA(VLOOKUP($BD381,Programma!$F$3:$R$1107,13,0),"")</f>
        <v/>
      </c>
      <c r="BQ381" s="300" t="str">
        <f>_xlfn.IFNA(VLOOKUP($BD381,Programma!$F$3:$S$1107,14,0),"")</f>
        <v/>
      </c>
      <c r="BR381" s="300" t="str">
        <f>_xlfn.IFNA(VLOOKUP($BD381,Programma!$F$3:$T$1107,15,0),"")</f>
        <v/>
      </c>
      <c r="BS381" s="300" t="str">
        <f>_xlfn.IFNA(VLOOKUP($BD381,Programma!$F$3:$U$1107,16,0),"")</f>
        <v/>
      </c>
      <c r="BT381" s="300" t="str">
        <f>_xlfn.IFNA(VLOOKUP($BD381,Programma!$F$3:$V$1107,17,0),"")</f>
        <v/>
      </c>
      <c r="BU381" s="300" t="str">
        <f>_xlfn.IFNA(VLOOKUP($BD381,Programma!$F$3:$W$1107,18,0),"")</f>
        <v/>
      </c>
      <c r="BV381" s="300" t="str">
        <f>_xlfn.IFNA(VLOOKUP($BD381,Programma!$F$3:$X$1107,19,0),"")</f>
        <v/>
      </c>
      <c r="BW381" s="300" t="str">
        <f>_xlfn.IFNA(VLOOKUP($BD381,Programma!$F$3:$Y$1107,20,0),"")</f>
        <v/>
      </c>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c r="HL381" s="4"/>
    </row>
    <row r="382" spans="1:220" ht="15" customHeight="1">
      <c r="A382" s="21">
        <v>5</v>
      </c>
      <c r="B382" s="157" t="str">
        <f>VLOOKUP(Ruimtestaat[[#This Row],[Code]],Locaties[[Code]:[Locatie]],2,FALSE)</f>
        <v>François Vatel vmbo</v>
      </c>
      <c r="C382" s="157" t="str">
        <f>VLOOKUP(Ruimtestaat[[#This Row],[Code]],Locaties[[#All],[Code]:[Adres]],4,FALSE)</f>
        <v>Granaathorst 20</v>
      </c>
      <c r="D382" s="157" t="str">
        <f>VLOOKUP(Ruimtestaat[[#This Row],[Code]],Locaties[[#All],[Code]:[Postcode]],5,FALSE)</f>
        <v>2592 TD</v>
      </c>
      <c r="E382" s="157" t="str">
        <f>VLOOKUP(Ruimtestaat[[#This Row],[Code]],Locaties[#All],6,FALSE)</f>
        <v>Den Haag</v>
      </c>
      <c r="F382" s="62"/>
      <c r="G382" s="21" t="s">
        <v>1624</v>
      </c>
      <c r="H382" s="21" t="s">
        <v>1663</v>
      </c>
      <c r="I382" s="62" t="s">
        <v>1288</v>
      </c>
      <c r="J382" s="21">
        <v>18</v>
      </c>
      <c r="K382" s="62" t="str">
        <f>VLOOKUP(Ruimtestaat[[#This Row],[Ruimte code]],Ruimtegroepen[[#All],[Code]:[Ruimte omschrijving]],2,FALSE)</f>
        <v>Gymzaal</v>
      </c>
      <c r="L382" s="33" t="s">
        <v>103</v>
      </c>
      <c r="M382" s="367" t="s">
        <v>2514</v>
      </c>
      <c r="N382" s="140">
        <v>252</v>
      </c>
      <c r="O382" s="140"/>
      <c r="P382" s="125" t="str">
        <f>VLOOKUP(Ruimtestaat[[#This Row],[Ruimte code]],Ruimtegroepen[],4,FALSE)</f>
        <v>Sp</v>
      </c>
      <c r="R382" s="33">
        <v>40</v>
      </c>
      <c r="S382" s="33" t="s">
        <v>2</v>
      </c>
      <c r="T382" s="33">
        <f>IF(R382&gt;0,IF(RIGHT(Ruimtestaat[[#This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2" s="33">
        <f>IF(T382&gt;0,VLOOKUP($J382,Ruimtegroepen[],3,FALSE)*VLOOKUP($L382,Vloersoorten[],3,FALSE)*VLOOKUP($S382,Frequenties[],3,FALSE)*VLOOKUP($A382,Locaties[],3,FALSE),0)</f>
        <v>0</v>
      </c>
      <c r="V382" s="33">
        <f>Ruimtestaat[[#This Row],[Uitvoeringen werkdagen]]*Ruimtestaat[[#This Row],[Oppervlak (netto)]]</f>
        <v>50400</v>
      </c>
      <c r="W382" s="154">
        <f>IF(U382&gt;0,Ruimtestaat[[#This Row],[Prest. (m2 /jaar) werkdagen]]/Ruimtestaat[[#This Row],[Norm (m2/uur) werkdagen]],0)</f>
        <v>0</v>
      </c>
      <c r="X382" s="155">
        <f>Ruimtestaat[[#This Row],[uren / jaar werkdagen]]*Tariefsopbouw!$E$35</f>
        <v>0</v>
      </c>
      <c r="Y382" s="33"/>
      <c r="Z382" s="33">
        <f>IF(Ruimtestaat[[#This Row],[Frequentie weekend]]&gt;0,VALUE(LEFT(Y382,1))*R382,0)</f>
        <v>0</v>
      </c>
      <c r="AA382" s="97">
        <f>IF($Z382&gt;0,VLOOKUP($J382,Ruimtegroepen[],3,FALSE)*VLOOKUP($L382,Vloersoorten[],3,FALSE)*VLOOKUP($Y382,Frequenties[],3,FALSE)*VLOOKUP(Ruimtestaat[[#This Row],[Code]],Locaties[],3,FALSE),0)</f>
        <v>0</v>
      </c>
      <c r="AB382" s="97">
        <f>Ruimtestaat[[#This Row],[Uitvoeringen weekend]]*Ruimtestaat[[#This Row],[Oppervlak (netto)]]</f>
        <v>0</v>
      </c>
      <c r="AC382" s="97">
        <f>IF(AA382&gt;0,Ruimtestaat[[#This Row],[Prest. (m2 /jaar) weekend]]/Ruimtestaat[[#This Row],[Norm (m2/uur) weekend]],0)</f>
        <v>0</v>
      </c>
      <c r="AD382" s="155">
        <f>Ruimtestaat[[#This Row],[uren / jaar weekend]]*Tariefsopbouw!$D$40</f>
        <v>0</v>
      </c>
      <c r="AE382" s="154">
        <f>Ruimtestaat[[#This Row],[Prest. (m2 /jaar) weekend]]+Ruimtestaat[[#This Row],[Prest. (m2 /jaar) werkdagen]]</f>
        <v>50400</v>
      </c>
      <c r="AF382" s="154">
        <f>Ruimtestaat[[#This Row],[uren / jaar weekend]]+Ruimtestaat[[#This Row],[uren / jaar werkdagen]]</f>
        <v>0</v>
      </c>
      <c r="AG382" s="69">
        <f>Ruimtestaat[[#This Row],[kosten / jaar weekend]]+Ruimtestaat[[#This Row],[kosten / jaar werkdagen]]</f>
        <v>0</v>
      </c>
      <c r="AH382" s="69"/>
      <c r="AI382" s="256" t="str">
        <f>IF(Ruimtestaat[[#This Row],[Frequentie werkdagen]]="","",_xlfn.CONCAT(Ruimtestaat[[#This Row],[Ruimte code]],"-",Ruimtestaat[[#This Row],[Frequentie werkdagen]]," ",Ruimtestaat[[#This Row],[Vloer code]]))</f>
        <v>18-5w P</v>
      </c>
      <c r="AJ382" s="300" t="str">
        <f>_xlfn.IFNA(VLOOKUP($AI382,Programma!$F$3:$G$1107,2,0),"")</f>
        <v>_</v>
      </c>
      <c r="AK382" s="300" t="str">
        <f>_xlfn.IFNA(VLOOKUP($AI382,Programma!$F$3:$H$1107,3,0),"")</f>
        <v>_</v>
      </c>
      <c r="AL382" s="300" t="str">
        <f>_xlfn.IFNA(VLOOKUP($AI382,Programma!$F$3:$I$1107,4,0),"")</f>
        <v>4w</v>
      </c>
      <c r="AM382" s="300" t="str">
        <f>_xlfn.IFNA(VLOOKUP($AI382,Programma!$F$3:$J$1107,5,0),"")</f>
        <v>1w</v>
      </c>
      <c r="AN382" s="300" t="str">
        <f>_xlfn.IFNA(VLOOKUP($AI382,Programma!$F$3:$K$1107,6,0),"")</f>
        <v>4j</v>
      </c>
      <c r="AO382" s="300" t="str">
        <f>_xlfn.IFNA(VLOOKUP($AI382,Programma!$F$3:$L$1107,7,0),"")</f>
        <v>_</v>
      </c>
      <c r="AP382" s="300" t="str">
        <f>_xlfn.IFNA(VLOOKUP($AI382,Programma!$F$3:$M$1107,8,0),"")</f>
        <v>_</v>
      </c>
      <c r="AQ382" s="300" t="str">
        <f>_xlfn.IFNA(VLOOKUP($AI382,Programma!$F$3:$N$1107,9,0),"")</f>
        <v>_</v>
      </c>
      <c r="AR382" s="300" t="str">
        <f>_xlfn.IFNA(VLOOKUP($AI382,Programma!$F$3:$O$1107,10,0),"")</f>
        <v>5w</v>
      </c>
      <c r="AS382" s="300" t="str">
        <f>_xlfn.IFNA(VLOOKUP($AI382,Programma!$F$3:$P$1107,11,0),"")</f>
        <v>5w</v>
      </c>
      <c r="AT382" s="300" t="str">
        <f>_xlfn.IFNA(VLOOKUP($AI382,Programma!$F$3:$Q$1107,12,0),"")</f>
        <v>5w</v>
      </c>
      <c r="AU382" s="300" t="str">
        <f>_xlfn.IFNA(VLOOKUP($AI382,Programma!$F$3:$R$1107,13,0),"")</f>
        <v>5w</v>
      </c>
      <c r="AV382" s="300" t="str">
        <f>_xlfn.IFNA(VLOOKUP($AI382,Programma!$F$3:$S$1107,14,0),"")</f>
        <v>1m</v>
      </c>
      <c r="AW382" s="300" t="str">
        <f>_xlfn.IFNA(VLOOKUP($AI382,Programma!$F$3:$T$1107,15,0),"")</f>
        <v>2j</v>
      </c>
      <c r="AX382" s="300" t="str">
        <f>_xlfn.IFNA(VLOOKUP($AI382,Programma!$F$3:$U$1107,16,0),"")</f>
        <v>1j</v>
      </c>
      <c r="AY382" s="300" t="str">
        <f>_xlfn.IFNA(VLOOKUP($AI382,Programma!$F$3:$V$1107,17,0),"")</f>
        <v>_</v>
      </c>
      <c r="AZ382" s="300" t="str">
        <f>_xlfn.IFNA(VLOOKUP($AI382,Programma!$F$3:$W$1107,18,0),"")</f>
        <v>_</v>
      </c>
      <c r="BA382" s="300" t="str">
        <f>_xlfn.IFNA(VLOOKUP($AI382,Programma!$F$3:$X$1107,19,0),"")</f>
        <v>_</v>
      </c>
      <c r="BB382" s="300" t="str">
        <f>_xlfn.IFNA(VLOOKUP($AI382,Programma!$F$3:$Y$1107,20,0),"")</f>
        <v>_</v>
      </c>
      <c r="BC382" s="257"/>
      <c r="BD382" s="256" t="str">
        <f>IF(Ruimtestaat[[#This Row],[Frequentie weekend]]="","",_xlfn.CONCAT(Ruimtestaat[[#This Row],[Ruimte code]],"-",Ruimtestaat[[#This Row],[Frequentie weekend]]," ",Ruimtestaat[[#This Row],[Vloer code]]))</f>
        <v/>
      </c>
      <c r="BE382" s="300" t="str">
        <f>_xlfn.IFNA(VLOOKUP($BD382,Programma!$F$3:$G$1107,2,0),"")</f>
        <v/>
      </c>
      <c r="BF382" s="300" t="str">
        <f>_xlfn.IFNA(VLOOKUP($BD382,Programma!$F$3:$H$1107,3,0),"")</f>
        <v/>
      </c>
      <c r="BG382" s="300" t="str">
        <f>_xlfn.IFNA(VLOOKUP($BD382,Programma!$F$3:$I$1107,4,0),"")</f>
        <v/>
      </c>
      <c r="BH382" s="300" t="str">
        <f>_xlfn.IFNA(VLOOKUP($BD382,Programma!$F$3:$J$1107,5,0),"")</f>
        <v/>
      </c>
      <c r="BI382" s="300" t="str">
        <f>_xlfn.IFNA(VLOOKUP($BD382,Programma!$F$3:$K$1107,6,0),"")</f>
        <v/>
      </c>
      <c r="BJ382" s="300" t="str">
        <f>_xlfn.IFNA(VLOOKUP($BD382,Programma!$F$3:$L$1107,7,0),"")</f>
        <v/>
      </c>
      <c r="BK382" s="300" t="str">
        <f>_xlfn.IFNA(VLOOKUP($BD382,Programma!$F$3:$M$1107,8,0),"")</f>
        <v/>
      </c>
      <c r="BL382" s="300" t="str">
        <f>_xlfn.IFNA(VLOOKUP($BD382,Programma!$F$3:$N$1107,9,0),"")</f>
        <v/>
      </c>
      <c r="BM382" s="300" t="str">
        <f>_xlfn.IFNA(VLOOKUP($BD382,Programma!$F$3:$O$1107,10,0),"")</f>
        <v/>
      </c>
      <c r="BN382" s="300" t="str">
        <f>_xlfn.IFNA(VLOOKUP($BD382,Programma!$F$3:$P$1107,11,0),"")</f>
        <v/>
      </c>
      <c r="BO382" s="300" t="str">
        <f>_xlfn.IFNA(VLOOKUP($BD382,Programma!$F$3:$Q$1107,12,0),"")</f>
        <v/>
      </c>
      <c r="BP382" s="300" t="str">
        <f>_xlfn.IFNA(VLOOKUP($BD382,Programma!$F$3:$R$1107,13,0),"")</f>
        <v/>
      </c>
      <c r="BQ382" s="300" t="str">
        <f>_xlfn.IFNA(VLOOKUP($BD382,Programma!$F$3:$S$1107,14,0),"")</f>
        <v/>
      </c>
      <c r="BR382" s="300" t="str">
        <f>_xlfn.IFNA(VLOOKUP($BD382,Programma!$F$3:$T$1107,15,0),"")</f>
        <v/>
      </c>
      <c r="BS382" s="300" t="str">
        <f>_xlfn.IFNA(VLOOKUP($BD382,Programma!$F$3:$U$1107,16,0),"")</f>
        <v/>
      </c>
      <c r="BT382" s="300" t="str">
        <f>_xlfn.IFNA(VLOOKUP($BD382,Programma!$F$3:$V$1107,17,0),"")</f>
        <v/>
      </c>
      <c r="BU382" s="300" t="str">
        <f>_xlfn.IFNA(VLOOKUP($BD382,Programma!$F$3:$W$1107,18,0),"")</f>
        <v/>
      </c>
      <c r="BV382" s="300" t="str">
        <f>_xlfn.IFNA(VLOOKUP($BD382,Programma!$F$3:$X$1107,19,0),"")</f>
        <v/>
      </c>
      <c r="BW382" s="300" t="str">
        <f>_xlfn.IFNA(VLOOKUP($BD382,Programma!$F$3:$Y$1107,20,0),"")</f>
        <v/>
      </c>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c r="GL382" s="4"/>
      <c r="GM382" s="4"/>
      <c r="GN382" s="4"/>
      <c r="GO382" s="4"/>
      <c r="GP382" s="4"/>
      <c r="GQ382" s="4"/>
      <c r="GR382" s="4"/>
      <c r="GS382" s="4"/>
      <c r="GT382" s="4"/>
      <c r="GU382" s="4"/>
      <c r="GV382" s="4"/>
      <c r="GW382" s="4"/>
      <c r="GX382" s="4"/>
      <c r="GY382" s="4"/>
      <c r="GZ382" s="4"/>
      <c r="HA382" s="4"/>
      <c r="HB382" s="4"/>
      <c r="HC382" s="4"/>
      <c r="HD382" s="4"/>
      <c r="HE382" s="4"/>
      <c r="HF382" s="4"/>
      <c r="HG382" s="4"/>
      <c r="HH382" s="4"/>
      <c r="HI382" s="4"/>
      <c r="HJ382" s="4"/>
      <c r="HK382" s="4"/>
      <c r="HL382" s="4"/>
    </row>
    <row r="383" spans="1:220" ht="15" customHeight="1">
      <c r="A383" s="21">
        <v>5</v>
      </c>
      <c r="B383" s="157" t="str">
        <f>VLOOKUP(Ruimtestaat[[#This Row],[Code]],Locaties[[Code]:[Locatie]],2,FALSE)</f>
        <v>François Vatel vmbo</v>
      </c>
      <c r="C383" s="157" t="str">
        <f>VLOOKUP(Ruimtestaat[[#This Row],[Code]],Locaties[[#All],[Code]:[Adres]],4,FALSE)</f>
        <v>Granaathorst 20</v>
      </c>
      <c r="D383" s="157" t="str">
        <f>VLOOKUP(Ruimtestaat[[#This Row],[Code]],Locaties[[#All],[Code]:[Postcode]],5,FALSE)</f>
        <v>2592 TD</v>
      </c>
      <c r="E383" s="157" t="str">
        <f>VLOOKUP(Ruimtestaat[[#This Row],[Code]],Locaties[#All],6,FALSE)</f>
        <v>Den Haag</v>
      </c>
      <c r="F383" s="62"/>
      <c r="G383" s="21" t="s">
        <v>1624</v>
      </c>
      <c r="H383" s="21" t="s">
        <v>1664</v>
      </c>
      <c r="I383" s="62" t="s">
        <v>1287</v>
      </c>
      <c r="J383" s="21">
        <v>17</v>
      </c>
      <c r="K383" s="62" t="str">
        <f>VLOOKUP(Ruimtestaat[[#This Row],[Ruimte code]],Ruimtegroepen[[#All],[Code]:[Ruimte omschrijving]],2,FALSE)</f>
        <v>Toestelberging</v>
      </c>
      <c r="L383" s="33" t="s">
        <v>103</v>
      </c>
      <c r="M383" s="367" t="s">
        <v>2514</v>
      </c>
      <c r="N383" s="140">
        <v>28</v>
      </c>
      <c r="O383" s="140"/>
      <c r="P383" s="125" t="str">
        <f>VLOOKUP(Ruimtestaat[[#This Row],[Ruimte code]],Ruimtegroepen[],4,FALSE)</f>
        <v>Ve</v>
      </c>
      <c r="R383" s="33">
        <v>40</v>
      </c>
      <c r="S383" s="33" t="s">
        <v>16</v>
      </c>
      <c r="T383" s="33">
        <f>IF(R383&gt;0,IF(RIGHT(Ruimtestaat[[#This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83" s="33">
        <f>IF(T383&gt;0,VLOOKUP($J383,Ruimtegroepen[],3,FALSE)*VLOOKUP($L383,Vloersoorten[],3,FALSE)*VLOOKUP($S383,Frequenties[],3,FALSE)*VLOOKUP($A383,Locaties[],3,FALSE),0)</f>
        <v>0</v>
      </c>
      <c r="V383" s="33">
        <f>Ruimtestaat[[#This Row],[Uitvoeringen werkdagen]]*Ruimtestaat[[#This Row],[Oppervlak (netto)]]</f>
        <v>336</v>
      </c>
      <c r="W383" s="154">
        <f>IF(U383&gt;0,Ruimtestaat[[#This Row],[Prest. (m2 /jaar) werkdagen]]/Ruimtestaat[[#This Row],[Norm (m2/uur) werkdagen]],0)</f>
        <v>0</v>
      </c>
      <c r="X383" s="155">
        <f>Ruimtestaat[[#This Row],[uren / jaar werkdagen]]*Tariefsopbouw!$E$35</f>
        <v>0</v>
      </c>
      <c r="Y383" s="33"/>
      <c r="Z383" s="33">
        <f>IF(Ruimtestaat[[#This Row],[Frequentie weekend]]&gt;0,VALUE(LEFT(Y383,1))*R383,0)</f>
        <v>0</v>
      </c>
      <c r="AA383" s="97">
        <f>IF($Z383&gt;0,VLOOKUP($J383,Ruimtegroepen[],3,FALSE)*VLOOKUP($L383,Vloersoorten[],3,FALSE)*VLOOKUP($Y383,Frequenties[],3,FALSE)*VLOOKUP(Ruimtestaat[[#This Row],[Code]],Locaties[],3,FALSE),0)</f>
        <v>0</v>
      </c>
      <c r="AB383" s="97">
        <f>Ruimtestaat[[#This Row],[Uitvoeringen weekend]]*Ruimtestaat[[#This Row],[Oppervlak (netto)]]</f>
        <v>0</v>
      </c>
      <c r="AC383" s="97">
        <f>IF(AA383&gt;0,Ruimtestaat[[#This Row],[Prest. (m2 /jaar) weekend]]/Ruimtestaat[[#This Row],[Norm (m2/uur) weekend]],0)</f>
        <v>0</v>
      </c>
      <c r="AD383" s="155">
        <f>Ruimtestaat[[#This Row],[uren / jaar weekend]]*Tariefsopbouw!$D$40</f>
        <v>0</v>
      </c>
      <c r="AE383" s="154">
        <f>Ruimtestaat[[#This Row],[Prest. (m2 /jaar) weekend]]+Ruimtestaat[[#This Row],[Prest. (m2 /jaar) werkdagen]]</f>
        <v>336</v>
      </c>
      <c r="AF383" s="154">
        <f>Ruimtestaat[[#This Row],[uren / jaar weekend]]+Ruimtestaat[[#This Row],[uren / jaar werkdagen]]</f>
        <v>0</v>
      </c>
      <c r="AG383" s="69">
        <f>Ruimtestaat[[#This Row],[kosten / jaar weekend]]+Ruimtestaat[[#This Row],[kosten / jaar werkdagen]]</f>
        <v>0</v>
      </c>
      <c r="AH383" s="69"/>
      <c r="AI383" s="256" t="str">
        <f>IF(Ruimtestaat[[#This Row],[Frequentie werkdagen]]="","",_xlfn.CONCAT(Ruimtestaat[[#This Row],[Ruimte code]],"-",Ruimtestaat[[#This Row],[Frequentie werkdagen]]," ",Ruimtestaat[[#This Row],[Vloer code]]))</f>
        <v>17-1m P</v>
      </c>
      <c r="AJ383" s="300" t="str">
        <f>_xlfn.IFNA(VLOOKUP($AI383,Programma!$F$3:$G$1107,2,0),"")</f>
        <v>_</v>
      </c>
      <c r="AK383" s="300" t="str">
        <f>_xlfn.IFNA(VLOOKUP($AI383,Programma!$F$3:$H$1107,3,0),"")</f>
        <v>_</v>
      </c>
      <c r="AL383" s="300" t="str">
        <f>_xlfn.IFNA(VLOOKUP($AI383,Programma!$F$3:$I$1107,4,0),"")</f>
        <v>1m</v>
      </c>
      <c r="AM383" s="300" t="str">
        <f>_xlfn.IFNA(VLOOKUP($AI383,Programma!$F$3:$J$1107,5,0),"")</f>
        <v>_</v>
      </c>
      <c r="AN383" s="300" t="str">
        <f>_xlfn.IFNA(VLOOKUP($AI383,Programma!$F$3:$K$1107,6,0),"")</f>
        <v>4j</v>
      </c>
      <c r="AO383" s="300" t="str">
        <f>_xlfn.IFNA(VLOOKUP($AI383,Programma!$F$3:$L$1107,7,0),"")</f>
        <v>_</v>
      </c>
      <c r="AP383" s="300" t="str">
        <f>_xlfn.IFNA(VLOOKUP($AI383,Programma!$F$3:$M$1107,8,0),"")</f>
        <v>_</v>
      </c>
      <c r="AQ383" s="300" t="str">
        <f>_xlfn.IFNA(VLOOKUP($AI383,Programma!$F$3:$N$1107,9,0),"")</f>
        <v>_</v>
      </c>
      <c r="AR383" s="300" t="str">
        <f>_xlfn.IFNA(VLOOKUP($AI383,Programma!$F$3:$O$1107,10,0),"")</f>
        <v>1m</v>
      </c>
      <c r="AS383" s="300" t="str">
        <f>_xlfn.IFNA(VLOOKUP($AI383,Programma!$F$3:$P$1107,11,0),"")</f>
        <v>1m</v>
      </c>
      <c r="AT383" s="300" t="str">
        <f>_xlfn.IFNA(VLOOKUP($AI383,Programma!$F$3:$Q$1107,12,0),"")</f>
        <v>1m</v>
      </c>
      <c r="AU383" s="300" t="str">
        <f>_xlfn.IFNA(VLOOKUP($AI383,Programma!$F$3:$R$1107,13,0),"")</f>
        <v>1m</v>
      </c>
      <c r="AV383" s="300" t="str">
        <f>_xlfn.IFNA(VLOOKUP($AI383,Programma!$F$3:$S$1107,14,0),"")</f>
        <v>1m</v>
      </c>
      <c r="AW383" s="300" t="str">
        <f>_xlfn.IFNA(VLOOKUP($AI383,Programma!$F$3:$T$1107,15,0),"")</f>
        <v>2j</v>
      </c>
      <c r="AX383" s="300" t="str">
        <f>_xlfn.IFNA(VLOOKUP($AI383,Programma!$F$3:$U$1107,16,0),"")</f>
        <v>1j</v>
      </c>
      <c r="AY383" s="300" t="str">
        <f>_xlfn.IFNA(VLOOKUP($AI383,Programma!$F$3:$V$1107,17,0),"")</f>
        <v>_</v>
      </c>
      <c r="AZ383" s="300" t="str">
        <f>_xlfn.IFNA(VLOOKUP($AI383,Programma!$F$3:$W$1107,18,0),"")</f>
        <v>_</v>
      </c>
      <c r="BA383" s="300" t="str">
        <f>_xlfn.IFNA(VLOOKUP($AI383,Programma!$F$3:$X$1107,19,0),"")</f>
        <v>_</v>
      </c>
      <c r="BB383" s="300" t="str">
        <f>_xlfn.IFNA(VLOOKUP($AI383,Programma!$F$3:$Y$1107,20,0),"")</f>
        <v>_</v>
      </c>
      <c r="BC383" s="257"/>
      <c r="BD383" s="256" t="str">
        <f>IF(Ruimtestaat[[#This Row],[Frequentie weekend]]="","",_xlfn.CONCAT(Ruimtestaat[[#This Row],[Ruimte code]],"-",Ruimtestaat[[#This Row],[Frequentie weekend]]," ",Ruimtestaat[[#This Row],[Vloer code]]))</f>
        <v/>
      </c>
      <c r="BE383" s="300" t="str">
        <f>_xlfn.IFNA(VLOOKUP($BD383,Programma!$F$3:$G$1107,2,0),"")</f>
        <v/>
      </c>
      <c r="BF383" s="300" t="str">
        <f>_xlfn.IFNA(VLOOKUP($BD383,Programma!$F$3:$H$1107,3,0),"")</f>
        <v/>
      </c>
      <c r="BG383" s="300" t="str">
        <f>_xlfn.IFNA(VLOOKUP($BD383,Programma!$F$3:$I$1107,4,0),"")</f>
        <v/>
      </c>
      <c r="BH383" s="300" t="str">
        <f>_xlfn.IFNA(VLOOKUP($BD383,Programma!$F$3:$J$1107,5,0),"")</f>
        <v/>
      </c>
      <c r="BI383" s="300" t="str">
        <f>_xlfn.IFNA(VLOOKUP($BD383,Programma!$F$3:$K$1107,6,0),"")</f>
        <v/>
      </c>
      <c r="BJ383" s="300" t="str">
        <f>_xlfn.IFNA(VLOOKUP($BD383,Programma!$F$3:$L$1107,7,0),"")</f>
        <v/>
      </c>
      <c r="BK383" s="300" t="str">
        <f>_xlfn.IFNA(VLOOKUP($BD383,Programma!$F$3:$M$1107,8,0),"")</f>
        <v/>
      </c>
      <c r="BL383" s="300" t="str">
        <f>_xlfn.IFNA(VLOOKUP($BD383,Programma!$F$3:$N$1107,9,0),"")</f>
        <v/>
      </c>
      <c r="BM383" s="300" t="str">
        <f>_xlfn.IFNA(VLOOKUP($BD383,Programma!$F$3:$O$1107,10,0),"")</f>
        <v/>
      </c>
      <c r="BN383" s="300" t="str">
        <f>_xlfn.IFNA(VLOOKUP($BD383,Programma!$F$3:$P$1107,11,0),"")</f>
        <v/>
      </c>
      <c r="BO383" s="300" t="str">
        <f>_xlfn.IFNA(VLOOKUP($BD383,Programma!$F$3:$Q$1107,12,0),"")</f>
        <v/>
      </c>
      <c r="BP383" s="300" t="str">
        <f>_xlfn.IFNA(VLOOKUP($BD383,Programma!$F$3:$R$1107,13,0),"")</f>
        <v/>
      </c>
      <c r="BQ383" s="300" t="str">
        <f>_xlfn.IFNA(VLOOKUP($BD383,Programma!$F$3:$S$1107,14,0),"")</f>
        <v/>
      </c>
      <c r="BR383" s="300" t="str">
        <f>_xlfn.IFNA(VLOOKUP($BD383,Programma!$F$3:$T$1107,15,0),"")</f>
        <v/>
      </c>
      <c r="BS383" s="300" t="str">
        <f>_xlfn.IFNA(VLOOKUP($BD383,Programma!$F$3:$U$1107,16,0),"")</f>
        <v/>
      </c>
      <c r="BT383" s="300" t="str">
        <f>_xlfn.IFNA(VLOOKUP($BD383,Programma!$F$3:$V$1107,17,0),"")</f>
        <v/>
      </c>
      <c r="BU383" s="300" t="str">
        <f>_xlfn.IFNA(VLOOKUP($BD383,Programma!$F$3:$W$1107,18,0),"")</f>
        <v/>
      </c>
      <c r="BV383" s="300" t="str">
        <f>_xlfn.IFNA(VLOOKUP($BD383,Programma!$F$3:$X$1107,19,0),"")</f>
        <v/>
      </c>
      <c r="BW383" s="300" t="str">
        <f>_xlfn.IFNA(VLOOKUP($BD383,Programma!$F$3:$Y$1107,20,0),"")</f>
        <v/>
      </c>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c r="GL383" s="4"/>
      <c r="GM383" s="4"/>
      <c r="GN383" s="4"/>
      <c r="GO383" s="4"/>
      <c r="GP383" s="4"/>
      <c r="GQ383" s="4"/>
      <c r="GR383" s="4"/>
      <c r="GS383" s="4"/>
      <c r="GT383" s="4"/>
      <c r="GU383" s="4"/>
      <c r="GV383" s="4"/>
      <c r="GW383" s="4"/>
      <c r="GX383" s="4"/>
      <c r="GY383" s="4"/>
      <c r="GZ383" s="4"/>
      <c r="HA383" s="4"/>
      <c r="HB383" s="4"/>
      <c r="HC383" s="4"/>
      <c r="HD383" s="4"/>
      <c r="HE383" s="4"/>
      <c r="HF383" s="4"/>
      <c r="HG383" s="4"/>
      <c r="HH383" s="4"/>
      <c r="HI383" s="4"/>
      <c r="HJ383" s="4"/>
      <c r="HK383" s="4"/>
      <c r="HL383" s="4"/>
    </row>
    <row r="384" spans="1:220" ht="15" customHeight="1">
      <c r="A384" s="21">
        <v>5</v>
      </c>
      <c r="B384" s="157" t="str">
        <f>VLOOKUP(Ruimtestaat[[#This Row],[Code]],Locaties[[Code]:[Locatie]],2,FALSE)</f>
        <v>François Vatel vmbo</v>
      </c>
      <c r="C384" s="157" t="str">
        <f>VLOOKUP(Ruimtestaat[[#This Row],[Code]],Locaties[[#All],[Code]:[Adres]],4,FALSE)</f>
        <v>Granaathorst 20</v>
      </c>
      <c r="D384" s="157" t="str">
        <f>VLOOKUP(Ruimtestaat[[#This Row],[Code]],Locaties[[#All],[Code]:[Postcode]],5,FALSE)</f>
        <v>2592 TD</v>
      </c>
      <c r="E384" s="157" t="str">
        <f>VLOOKUP(Ruimtestaat[[#This Row],[Code]],Locaties[#All],6,FALSE)</f>
        <v>Den Haag</v>
      </c>
      <c r="F384" s="62"/>
      <c r="G384" s="21" t="s">
        <v>1624</v>
      </c>
      <c r="H384" s="21" t="s">
        <v>1665</v>
      </c>
      <c r="I384" s="62" t="s">
        <v>2041</v>
      </c>
      <c r="J384" s="21">
        <v>20</v>
      </c>
      <c r="K384" s="62" t="str">
        <f>VLOOKUP(Ruimtestaat[[#This Row],[Ruimte code]],Ruimtegroepen[[#All],[Code]:[Ruimte omschrijving]],2,FALSE)</f>
        <v>Niet in Onderhoud</v>
      </c>
      <c r="L384" s="33" t="s">
        <v>102</v>
      </c>
      <c r="M384" s="367" t="s">
        <v>2513</v>
      </c>
      <c r="N384" s="140"/>
      <c r="O384" s="140">
        <v>32</v>
      </c>
      <c r="P384" s="125">
        <f>VLOOKUP(Ruimtestaat[[#This Row],[Ruimte code]],Ruimtegroepen[],4,FALSE)</f>
        <v>0</v>
      </c>
      <c r="Q384" s="125" t="s">
        <v>2532</v>
      </c>
      <c r="R384" s="33"/>
      <c r="S384" s="33"/>
      <c r="T384" s="33">
        <f>IF(R384&gt;0,IF(RIGHT(Ruimtestaat[[#This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84" s="33">
        <f>IF(T384&gt;0,VLOOKUP($J384,Ruimtegroepen[],3,FALSE)*VLOOKUP($L384,Vloersoorten[],3,FALSE)*VLOOKUP($S384,Frequenties[],3,FALSE)*VLOOKUP($A384,Locaties[],3,FALSE),0)</f>
        <v>0</v>
      </c>
      <c r="V384" s="33">
        <f>Ruimtestaat[[#This Row],[Uitvoeringen werkdagen]]*Ruimtestaat[[#This Row],[Oppervlak (netto)]]</f>
        <v>0</v>
      </c>
      <c r="W384" s="154">
        <f>IF(U384&gt;0,Ruimtestaat[[#This Row],[Prest. (m2 /jaar) werkdagen]]/Ruimtestaat[[#This Row],[Norm (m2/uur) werkdagen]],0)</f>
        <v>0</v>
      </c>
      <c r="X384" s="155">
        <f>Ruimtestaat[[#This Row],[uren / jaar werkdagen]]*Tariefsopbouw!$E$35</f>
        <v>0</v>
      </c>
      <c r="Y384" s="33"/>
      <c r="Z384" s="33">
        <f>IF(Ruimtestaat[[#This Row],[Frequentie weekend]]&gt;0,VALUE(LEFT(Y384,1))*R384,0)</f>
        <v>0</v>
      </c>
      <c r="AA384" s="97">
        <f>IF($Z384&gt;0,VLOOKUP($J384,Ruimtegroepen[],3,FALSE)*VLOOKUP($L384,Vloersoorten[],3,FALSE)*VLOOKUP($Y384,Frequenties[],3,FALSE)*VLOOKUP(Ruimtestaat[[#This Row],[Code]],Locaties[],3,FALSE),0)</f>
        <v>0</v>
      </c>
      <c r="AB384" s="97">
        <f>Ruimtestaat[[#This Row],[Uitvoeringen weekend]]*Ruimtestaat[[#This Row],[Oppervlak (netto)]]</f>
        <v>0</v>
      </c>
      <c r="AC384" s="97">
        <f>IF(AA384&gt;0,Ruimtestaat[[#This Row],[Prest. (m2 /jaar) weekend]]/Ruimtestaat[[#This Row],[Norm (m2/uur) weekend]],0)</f>
        <v>0</v>
      </c>
      <c r="AD384" s="155">
        <f>Ruimtestaat[[#This Row],[uren / jaar weekend]]*Tariefsopbouw!$D$40</f>
        <v>0</v>
      </c>
      <c r="AE384" s="154">
        <f>Ruimtestaat[[#This Row],[Prest. (m2 /jaar) weekend]]+Ruimtestaat[[#This Row],[Prest. (m2 /jaar) werkdagen]]</f>
        <v>0</v>
      </c>
      <c r="AF384" s="154">
        <f>Ruimtestaat[[#This Row],[uren / jaar weekend]]+Ruimtestaat[[#This Row],[uren / jaar werkdagen]]</f>
        <v>0</v>
      </c>
      <c r="AG384" s="69">
        <f>Ruimtestaat[[#This Row],[kosten / jaar weekend]]+Ruimtestaat[[#This Row],[kosten / jaar werkdagen]]</f>
        <v>0</v>
      </c>
      <c r="AH384" s="69"/>
      <c r="AI384" s="256" t="str">
        <f>IF(Ruimtestaat[[#This Row],[Frequentie werkdagen]]="","",_xlfn.CONCAT(Ruimtestaat[[#This Row],[Ruimte code]],"-",Ruimtestaat[[#This Row],[Frequentie werkdagen]]," ",Ruimtestaat[[#This Row],[Vloer code]]))</f>
        <v/>
      </c>
      <c r="AJ384" s="300" t="str">
        <f>_xlfn.IFNA(VLOOKUP($AI384,Programma!$F$3:$G$1107,2,0),"")</f>
        <v/>
      </c>
      <c r="AK384" s="300" t="str">
        <f>_xlfn.IFNA(VLOOKUP($AI384,Programma!$F$3:$H$1107,3,0),"")</f>
        <v/>
      </c>
      <c r="AL384" s="300" t="str">
        <f>_xlfn.IFNA(VLOOKUP($AI384,Programma!$F$3:$I$1107,4,0),"")</f>
        <v/>
      </c>
      <c r="AM384" s="300" t="str">
        <f>_xlfn.IFNA(VLOOKUP($AI384,Programma!$F$3:$J$1107,5,0),"")</f>
        <v/>
      </c>
      <c r="AN384" s="300" t="str">
        <f>_xlfn.IFNA(VLOOKUP($AI384,Programma!$F$3:$K$1107,6,0),"")</f>
        <v/>
      </c>
      <c r="AO384" s="300" t="str">
        <f>_xlfn.IFNA(VLOOKUP($AI384,Programma!$F$3:$L$1107,7,0),"")</f>
        <v/>
      </c>
      <c r="AP384" s="300" t="str">
        <f>_xlfn.IFNA(VLOOKUP($AI384,Programma!$F$3:$M$1107,8,0),"")</f>
        <v/>
      </c>
      <c r="AQ384" s="300" t="str">
        <f>_xlfn.IFNA(VLOOKUP($AI384,Programma!$F$3:$N$1107,9,0),"")</f>
        <v/>
      </c>
      <c r="AR384" s="300" t="str">
        <f>_xlfn.IFNA(VLOOKUP($AI384,Programma!$F$3:$O$1107,10,0),"")</f>
        <v/>
      </c>
      <c r="AS384" s="300" t="str">
        <f>_xlfn.IFNA(VLOOKUP($AI384,Programma!$F$3:$P$1107,11,0),"")</f>
        <v/>
      </c>
      <c r="AT384" s="300" t="str">
        <f>_xlfn.IFNA(VLOOKUP($AI384,Programma!$F$3:$Q$1107,12,0),"")</f>
        <v/>
      </c>
      <c r="AU384" s="300" t="str">
        <f>_xlfn.IFNA(VLOOKUP($AI384,Programma!$F$3:$R$1107,13,0),"")</f>
        <v/>
      </c>
      <c r="AV384" s="300" t="str">
        <f>_xlfn.IFNA(VLOOKUP($AI384,Programma!$F$3:$S$1107,14,0),"")</f>
        <v/>
      </c>
      <c r="AW384" s="300" t="str">
        <f>_xlfn.IFNA(VLOOKUP($AI384,Programma!$F$3:$T$1107,15,0),"")</f>
        <v/>
      </c>
      <c r="AX384" s="300" t="str">
        <f>_xlfn.IFNA(VLOOKUP($AI384,Programma!$F$3:$U$1107,16,0),"")</f>
        <v/>
      </c>
      <c r="AY384" s="300" t="str">
        <f>_xlfn.IFNA(VLOOKUP($AI384,Programma!$F$3:$V$1107,17,0),"")</f>
        <v/>
      </c>
      <c r="AZ384" s="300" t="str">
        <f>_xlfn.IFNA(VLOOKUP($AI384,Programma!$F$3:$W$1107,18,0),"")</f>
        <v/>
      </c>
      <c r="BA384" s="300" t="str">
        <f>_xlfn.IFNA(VLOOKUP($AI384,Programma!$F$3:$X$1107,19,0),"")</f>
        <v/>
      </c>
      <c r="BB384" s="300" t="str">
        <f>_xlfn.IFNA(VLOOKUP($AI384,Programma!$F$3:$Y$1107,20,0),"")</f>
        <v/>
      </c>
      <c r="BC384" s="257"/>
      <c r="BD384" s="256" t="str">
        <f>IF(Ruimtestaat[[#This Row],[Frequentie weekend]]="","",_xlfn.CONCAT(Ruimtestaat[[#This Row],[Ruimte code]],"-",Ruimtestaat[[#This Row],[Frequentie weekend]]," ",Ruimtestaat[[#This Row],[Vloer code]]))</f>
        <v/>
      </c>
      <c r="BE384" s="300" t="str">
        <f>_xlfn.IFNA(VLOOKUP($BD384,Programma!$F$3:$G$1107,2,0),"")</f>
        <v/>
      </c>
      <c r="BF384" s="300" t="str">
        <f>_xlfn.IFNA(VLOOKUP($BD384,Programma!$F$3:$H$1107,3,0),"")</f>
        <v/>
      </c>
      <c r="BG384" s="300" t="str">
        <f>_xlfn.IFNA(VLOOKUP($BD384,Programma!$F$3:$I$1107,4,0),"")</f>
        <v/>
      </c>
      <c r="BH384" s="300" t="str">
        <f>_xlfn.IFNA(VLOOKUP($BD384,Programma!$F$3:$J$1107,5,0),"")</f>
        <v/>
      </c>
      <c r="BI384" s="300" t="str">
        <f>_xlfn.IFNA(VLOOKUP($BD384,Programma!$F$3:$K$1107,6,0),"")</f>
        <v/>
      </c>
      <c r="BJ384" s="300" t="str">
        <f>_xlfn.IFNA(VLOOKUP($BD384,Programma!$F$3:$L$1107,7,0),"")</f>
        <v/>
      </c>
      <c r="BK384" s="300" t="str">
        <f>_xlfn.IFNA(VLOOKUP($BD384,Programma!$F$3:$M$1107,8,0),"")</f>
        <v/>
      </c>
      <c r="BL384" s="300" t="str">
        <f>_xlfn.IFNA(VLOOKUP($BD384,Programma!$F$3:$N$1107,9,0),"")</f>
        <v/>
      </c>
      <c r="BM384" s="300" t="str">
        <f>_xlfn.IFNA(VLOOKUP($BD384,Programma!$F$3:$O$1107,10,0),"")</f>
        <v/>
      </c>
      <c r="BN384" s="300" t="str">
        <f>_xlfn.IFNA(VLOOKUP($BD384,Programma!$F$3:$P$1107,11,0),"")</f>
        <v/>
      </c>
      <c r="BO384" s="300" t="str">
        <f>_xlfn.IFNA(VLOOKUP($BD384,Programma!$F$3:$Q$1107,12,0),"")</f>
        <v/>
      </c>
      <c r="BP384" s="300" t="str">
        <f>_xlfn.IFNA(VLOOKUP($BD384,Programma!$F$3:$R$1107,13,0),"")</f>
        <v/>
      </c>
      <c r="BQ384" s="300" t="str">
        <f>_xlfn.IFNA(VLOOKUP($BD384,Programma!$F$3:$S$1107,14,0),"")</f>
        <v/>
      </c>
      <c r="BR384" s="300" t="str">
        <f>_xlfn.IFNA(VLOOKUP($BD384,Programma!$F$3:$T$1107,15,0),"")</f>
        <v/>
      </c>
      <c r="BS384" s="300" t="str">
        <f>_xlfn.IFNA(VLOOKUP($BD384,Programma!$F$3:$U$1107,16,0),"")</f>
        <v/>
      </c>
      <c r="BT384" s="300" t="str">
        <f>_xlfn.IFNA(VLOOKUP($BD384,Programma!$F$3:$V$1107,17,0),"")</f>
        <v/>
      </c>
      <c r="BU384" s="300" t="str">
        <f>_xlfn.IFNA(VLOOKUP($BD384,Programma!$F$3:$W$1107,18,0),"")</f>
        <v/>
      </c>
      <c r="BV384" s="300" t="str">
        <f>_xlfn.IFNA(VLOOKUP($BD384,Programma!$F$3:$X$1107,19,0),"")</f>
        <v/>
      </c>
      <c r="BW384" s="300" t="str">
        <f>_xlfn.IFNA(VLOOKUP($BD384,Programma!$F$3:$Y$1107,20,0),"")</f>
        <v/>
      </c>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c r="GL384" s="4"/>
      <c r="GM384" s="4"/>
      <c r="GN384" s="4"/>
      <c r="GO384" s="4"/>
      <c r="GP384" s="4"/>
      <c r="GQ384" s="4"/>
      <c r="GR384" s="4"/>
      <c r="GS384" s="4"/>
      <c r="GT384" s="4"/>
      <c r="GU384" s="4"/>
      <c r="GV384" s="4"/>
      <c r="GW384" s="4"/>
      <c r="GX384" s="4"/>
      <c r="GY384" s="4"/>
      <c r="GZ384" s="4"/>
      <c r="HA384" s="4"/>
      <c r="HB384" s="4"/>
      <c r="HC384" s="4"/>
      <c r="HD384" s="4"/>
      <c r="HE384" s="4"/>
      <c r="HF384" s="4"/>
      <c r="HG384" s="4"/>
      <c r="HH384" s="4"/>
      <c r="HI384" s="4"/>
      <c r="HJ384" s="4"/>
      <c r="HK384" s="4"/>
      <c r="HL384" s="4"/>
    </row>
    <row r="385" spans="1:220" ht="15" customHeight="1">
      <c r="A385" s="21">
        <v>5</v>
      </c>
      <c r="B385" s="157" t="str">
        <f>VLOOKUP(Ruimtestaat[[#This Row],[Code]],Locaties[[Code]:[Locatie]],2,FALSE)</f>
        <v>François Vatel vmbo</v>
      </c>
      <c r="C385" s="157" t="str">
        <f>VLOOKUP(Ruimtestaat[[#This Row],[Code]],Locaties[[#All],[Code]:[Adres]],4,FALSE)</f>
        <v>Granaathorst 20</v>
      </c>
      <c r="D385" s="157" t="str">
        <f>VLOOKUP(Ruimtestaat[[#This Row],[Code]],Locaties[[#All],[Code]:[Postcode]],5,FALSE)</f>
        <v>2592 TD</v>
      </c>
      <c r="E385" s="157" t="str">
        <f>VLOOKUP(Ruimtestaat[[#This Row],[Code]],Locaties[#All],6,FALSE)</f>
        <v>Den Haag</v>
      </c>
      <c r="F385" s="62"/>
      <c r="G385" s="21" t="s">
        <v>1624</v>
      </c>
      <c r="H385" s="21" t="s">
        <v>1666</v>
      </c>
      <c r="I385" s="62" t="s">
        <v>2042</v>
      </c>
      <c r="J385" s="21">
        <v>5</v>
      </c>
      <c r="K385" s="62" t="str">
        <f>VLOOKUP(Ruimtestaat[[#This Row],[Ruimte code]],Ruimtegroepen[[#All],[Code]:[Ruimte omschrijving]],2,FALSE)</f>
        <v>Sanitair</v>
      </c>
      <c r="L385" s="33" t="s">
        <v>102</v>
      </c>
      <c r="M385" s="367" t="s">
        <v>2509</v>
      </c>
      <c r="N385" s="140">
        <v>6</v>
      </c>
      <c r="O385" s="140"/>
      <c r="P385" s="125" t="str">
        <f>VLOOKUP(Ruimtestaat[[#This Row],[Ruimte code]],Ruimtegroepen[],4,FALSE)</f>
        <v>Sa</v>
      </c>
      <c r="R385" s="33">
        <v>40</v>
      </c>
      <c r="S385" s="33" t="s">
        <v>2</v>
      </c>
      <c r="T385" s="33">
        <f>IF(R385&gt;0,IF(RIGHT(Ruimtestaat[[#This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5" s="33">
        <f>IF(T385&gt;0,VLOOKUP($J385,Ruimtegroepen[],3,FALSE)*VLOOKUP($L385,Vloersoorten[],3,FALSE)*VLOOKUP($S385,Frequenties[],3,FALSE)*VLOOKUP($A385,Locaties[],3,FALSE),0)</f>
        <v>0</v>
      </c>
      <c r="V385" s="33">
        <f>Ruimtestaat[[#This Row],[Uitvoeringen werkdagen]]*Ruimtestaat[[#This Row],[Oppervlak (netto)]]</f>
        <v>1200</v>
      </c>
      <c r="W385" s="154">
        <f>IF(U385&gt;0,Ruimtestaat[[#This Row],[Prest. (m2 /jaar) werkdagen]]/Ruimtestaat[[#This Row],[Norm (m2/uur) werkdagen]],0)</f>
        <v>0</v>
      </c>
      <c r="X385" s="155">
        <f>Ruimtestaat[[#This Row],[uren / jaar werkdagen]]*Tariefsopbouw!$E$35</f>
        <v>0</v>
      </c>
      <c r="Y385" s="33"/>
      <c r="Z385" s="33">
        <f>IF(Ruimtestaat[[#This Row],[Frequentie weekend]]&gt;0,VALUE(LEFT(Y385,1))*R385,0)</f>
        <v>0</v>
      </c>
      <c r="AA385" s="97">
        <f>IF($Z385&gt;0,VLOOKUP($J385,Ruimtegroepen[],3,FALSE)*VLOOKUP($L385,Vloersoorten[],3,FALSE)*VLOOKUP($Y385,Frequenties[],3,FALSE)*VLOOKUP(Ruimtestaat[[#This Row],[Code]],Locaties[],3,FALSE),0)</f>
        <v>0</v>
      </c>
      <c r="AB385" s="97">
        <f>Ruimtestaat[[#This Row],[Uitvoeringen weekend]]*Ruimtestaat[[#This Row],[Oppervlak (netto)]]</f>
        <v>0</v>
      </c>
      <c r="AC385" s="97">
        <f>IF(AA385&gt;0,Ruimtestaat[[#This Row],[Prest. (m2 /jaar) weekend]]/Ruimtestaat[[#This Row],[Norm (m2/uur) weekend]],0)</f>
        <v>0</v>
      </c>
      <c r="AD385" s="155">
        <f>Ruimtestaat[[#This Row],[uren / jaar weekend]]*Tariefsopbouw!$D$40</f>
        <v>0</v>
      </c>
      <c r="AE385" s="154">
        <f>Ruimtestaat[[#This Row],[Prest. (m2 /jaar) weekend]]+Ruimtestaat[[#This Row],[Prest. (m2 /jaar) werkdagen]]</f>
        <v>1200</v>
      </c>
      <c r="AF385" s="154">
        <f>Ruimtestaat[[#This Row],[uren / jaar weekend]]+Ruimtestaat[[#This Row],[uren / jaar werkdagen]]</f>
        <v>0</v>
      </c>
      <c r="AG385" s="69">
        <f>Ruimtestaat[[#This Row],[kosten / jaar weekend]]+Ruimtestaat[[#This Row],[kosten / jaar werkdagen]]</f>
        <v>0</v>
      </c>
      <c r="AH385" s="69"/>
      <c r="AI385" s="256" t="str">
        <f>IF(Ruimtestaat[[#This Row],[Frequentie werkdagen]]="","",_xlfn.CONCAT(Ruimtestaat[[#This Row],[Ruimte code]],"-",Ruimtestaat[[#This Row],[Frequentie werkdagen]]," ",Ruimtestaat[[#This Row],[Vloer code]]))</f>
        <v>5-5w S</v>
      </c>
      <c r="AJ385" s="300" t="str">
        <f>_xlfn.IFNA(VLOOKUP($AI385,Programma!$F$3:$G$1107,2,0),"")</f>
        <v>_</v>
      </c>
      <c r="AK385" s="300" t="str">
        <f>_xlfn.IFNA(VLOOKUP($AI385,Programma!$F$3:$H$1107,3,0),"")</f>
        <v>_</v>
      </c>
      <c r="AL385" s="300" t="str">
        <f>_xlfn.IFNA(VLOOKUP($AI385,Programma!$F$3:$I$1107,4,0),"")</f>
        <v>_</v>
      </c>
      <c r="AM385" s="300" t="str">
        <f>_xlfn.IFNA(VLOOKUP($AI385,Programma!$F$3:$J$1107,5,0),"")</f>
        <v>4w</v>
      </c>
      <c r="AN385" s="300" t="str">
        <f>_xlfn.IFNA(VLOOKUP($AI385,Programma!$F$3:$K$1107,6,0),"")</f>
        <v>1w</v>
      </c>
      <c r="AO385" s="300" t="str">
        <f>_xlfn.IFNA(VLOOKUP($AI385,Programma!$F$3:$L$1107,7,0),"")</f>
        <v>_</v>
      </c>
      <c r="AP385" s="300" t="str">
        <f>_xlfn.IFNA(VLOOKUP($AI385,Programma!$F$3:$M$1107,8,0),"")</f>
        <v>_</v>
      </c>
      <c r="AQ385" s="300" t="str">
        <f>_xlfn.IFNA(VLOOKUP($AI385,Programma!$F$3:$N$1107,9,0),"")</f>
        <v>_</v>
      </c>
      <c r="AR385" s="300" t="str">
        <f>_xlfn.IFNA(VLOOKUP($AI385,Programma!$F$3:$O$1107,10,0),"")</f>
        <v>_</v>
      </c>
      <c r="AS385" s="300" t="str">
        <f>_xlfn.IFNA(VLOOKUP($AI385,Programma!$F$3:$P$1107,11,0),"")</f>
        <v>_</v>
      </c>
      <c r="AT385" s="300" t="str">
        <f>_xlfn.IFNA(VLOOKUP($AI385,Programma!$F$3:$Q$1107,12,0),"")</f>
        <v>_</v>
      </c>
      <c r="AU385" s="300" t="str">
        <f>_xlfn.IFNA(VLOOKUP($AI385,Programma!$F$3:$R$1107,13,0),"")</f>
        <v>_</v>
      </c>
      <c r="AV385" s="300" t="str">
        <f>_xlfn.IFNA(VLOOKUP($AI385,Programma!$F$3:$S$1107,14,0),"")</f>
        <v>_</v>
      </c>
      <c r="AW385" s="300" t="str">
        <f>_xlfn.IFNA(VLOOKUP($AI385,Programma!$F$3:$T$1107,15,0),"")</f>
        <v>_</v>
      </c>
      <c r="AX385" s="300" t="str">
        <f>_xlfn.IFNA(VLOOKUP($AI385,Programma!$F$3:$U$1107,16,0),"")</f>
        <v>_</v>
      </c>
      <c r="AY385" s="300" t="str">
        <f>_xlfn.IFNA(VLOOKUP($AI385,Programma!$F$3:$V$1107,17,0),"")</f>
        <v>_</v>
      </c>
      <c r="AZ385" s="300" t="str">
        <f>_xlfn.IFNA(VLOOKUP($AI385,Programma!$F$3:$W$1107,18,0),"")</f>
        <v>4w</v>
      </c>
      <c r="BA385" s="300" t="str">
        <f>_xlfn.IFNA(VLOOKUP($AI385,Programma!$F$3:$X$1107,19,0),"")</f>
        <v>1w</v>
      </c>
      <c r="BB385" s="300" t="str">
        <f>_xlfn.IFNA(VLOOKUP($AI385,Programma!$F$3:$Y$1107,20,0),"")</f>
        <v>_</v>
      </c>
      <c r="BC385" s="257"/>
      <c r="BD385" s="256" t="str">
        <f>IF(Ruimtestaat[[#This Row],[Frequentie weekend]]="","",_xlfn.CONCAT(Ruimtestaat[[#This Row],[Ruimte code]],"-",Ruimtestaat[[#This Row],[Frequentie weekend]]," ",Ruimtestaat[[#This Row],[Vloer code]]))</f>
        <v/>
      </c>
      <c r="BE385" s="300" t="str">
        <f>_xlfn.IFNA(VLOOKUP($BD385,Programma!$F$3:$G$1107,2,0),"")</f>
        <v/>
      </c>
      <c r="BF385" s="300" t="str">
        <f>_xlfn.IFNA(VLOOKUP($BD385,Programma!$F$3:$H$1107,3,0),"")</f>
        <v/>
      </c>
      <c r="BG385" s="300" t="str">
        <f>_xlfn.IFNA(VLOOKUP($BD385,Programma!$F$3:$I$1107,4,0),"")</f>
        <v/>
      </c>
      <c r="BH385" s="300" t="str">
        <f>_xlfn.IFNA(VLOOKUP($BD385,Programma!$F$3:$J$1107,5,0),"")</f>
        <v/>
      </c>
      <c r="BI385" s="300" t="str">
        <f>_xlfn.IFNA(VLOOKUP($BD385,Programma!$F$3:$K$1107,6,0),"")</f>
        <v/>
      </c>
      <c r="BJ385" s="300" t="str">
        <f>_xlfn.IFNA(VLOOKUP($BD385,Programma!$F$3:$L$1107,7,0),"")</f>
        <v/>
      </c>
      <c r="BK385" s="300" t="str">
        <f>_xlfn.IFNA(VLOOKUP($BD385,Programma!$F$3:$M$1107,8,0),"")</f>
        <v/>
      </c>
      <c r="BL385" s="300" t="str">
        <f>_xlfn.IFNA(VLOOKUP($BD385,Programma!$F$3:$N$1107,9,0),"")</f>
        <v/>
      </c>
      <c r="BM385" s="300" t="str">
        <f>_xlfn.IFNA(VLOOKUP($BD385,Programma!$F$3:$O$1107,10,0),"")</f>
        <v/>
      </c>
      <c r="BN385" s="300" t="str">
        <f>_xlfn.IFNA(VLOOKUP($BD385,Programma!$F$3:$P$1107,11,0),"")</f>
        <v/>
      </c>
      <c r="BO385" s="300" t="str">
        <f>_xlfn.IFNA(VLOOKUP($BD385,Programma!$F$3:$Q$1107,12,0),"")</f>
        <v/>
      </c>
      <c r="BP385" s="300" t="str">
        <f>_xlfn.IFNA(VLOOKUP($BD385,Programma!$F$3:$R$1107,13,0),"")</f>
        <v/>
      </c>
      <c r="BQ385" s="300" t="str">
        <f>_xlfn.IFNA(VLOOKUP($BD385,Programma!$F$3:$S$1107,14,0),"")</f>
        <v/>
      </c>
      <c r="BR385" s="300" t="str">
        <f>_xlfn.IFNA(VLOOKUP($BD385,Programma!$F$3:$T$1107,15,0),"")</f>
        <v/>
      </c>
      <c r="BS385" s="300" t="str">
        <f>_xlfn.IFNA(VLOOKUP($BD385,Programma!$F$3:$U$1107,16,0),"")</f>
        <v/>
      </c>
      <c r="BT385" s="300" t="str">
        <f>_xlfn.IFNA(VLOOKUP($BD385,Programma!$F$3:$V$1107,17,0),"")</f>
        <v/>
      </c>
      <c r="BU385" s="300" t="str">
        <f>_xlfn.IFNA(VLOOKUP($BD385,Programma!$F$3:$W$1107,18,0),"")</f>
        <v/>
      </c>
      <c r="BV385" s="300" t="str">
        <f>_xlfn.IFNA(VLOOKUP($BD385,Programma!$F$3:$X$1107,19,0),"")</f>
        <v/>
      </c>
      <c r="BW385" s="300" t="str">
        <f>_xlfn.IFNA(VLOOKUP($BD385,Programma!$F$3:$Y$1107,20,0),"")</f>
        <v/>
      </c>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c r="GL385" s="4"/>
      <c r="GM385" s="4"/>
      <c r="GN385" s="4"/>
      <c r="GO385" s="4"/>
      <c r="GP385" s="4"/>
      <c r="GQ385" s="4"/>
      <c r="GR385" s="4"/>
      <c r="GS385" s="4"/>
      <c r="GT385" s="4"/>
      <c r="GU385" s="4"/>
      <c r="GV385" s="4"/>
      <c r="GW385" s="4"/>
      <c r="GX385" s="4"/>
      <c r="GY385" s="4"/>
      <c r="GZ385" s="4"/>
      <c r="HA385" s="4"/>
      <c r="HB385" s="4"/>
      <c r="HC385" s="4"/>
      <c r="HD385" s="4"/>
      <c r="HE385" s="4"/>
      <c r="HF385" s="4"/>
      <c r="HG385" s="4"/>
      <c r="HH385" s="4"/>
      <c r="HI385" s="4"/>
      <c r="HJ385" s="4"/>
      <c r="HK385" s="4"/>
      <c r="HL385" s="4"/>
    </row>
    <row r="386" spans="1:220" ht="15" customHeight="1">
      <c r="A386" s="21">
        <v>5</v>
      </c>
      <c r="B386" s="157" t="str">
        <f>VLOOKUP(Ruimtestaat[[#This Row],[Code]],Locaties[[Code]:[Locatie]],2,FALSE)</f>
        <v>François Vatel vmbo</v>
      </c>
      <c r="C386" s="157" t="str">
        <f>VLOOKUP(Ruimtestaat[[#This Row],[Code]],Locaties[[#All],[Code]:[Adres]],4,FALSE)</f>
        <v>Granaathorst 20</v>
      </c>
      <c r="D386" s="157" t="str">
        <f>VLOOKUP(Ruimtestaat[[#This Row],[Code]],Locaties[[#All],[Code]:[Postcode]],5,FALSE)</f>
        <v>2592 TD</v>
      </c>
      <c r="E386" s="157" t="str">
        <f>VLOOKUP(Ruimtestaat[[#This Row],[Code]],Locaties[#All],6,FALSE)</f>
        <v>Den Haag</v>
      </c>
      <c r="F386" s="62"/>
      <c r="G386" s="21" t="s">
        <v>1624</v>
      </c>
      <c r="H386" s="21" t="s">
        <v>1667</v>
      </c>
      <c r="I386" s="62" t="s">
        <v>2043</v>
      </c>
      <c r="J386" s="21">
        <v>19</v>
      </c>
      <c r="K386" s="62" t="str">
        <f>VLOOKUP(Ruimtestaat[[#This Row],[Ruimte code]],Ruimtegroepen[[#All],[Code]:[Ruimte omschrijving]],2,FALSE)</f>
        <v>kleedruimten</v>
      </c>
      <c r="L386" s="33" t="s">
        <v>102</v>
      </c>
      <c r="M386" s="367" t="s">
        <v>2509</v>
      </c>
      <c r="N386" s="140">
        <v>22</v>
      </c>
      <c r="O386" s="140"/>
      <c r="P386" s="125" t="str">
        <f>VLOOKUP(Ruimtestaat[[#This Row],[Ruimte code]],Ruimtegroepen[],4,FALSE)</f>
        <v>Ve</v>
      </c>
      <c r="R386" s="33">
        <v>40</v>
      </c>
      <c r="S386" s="33" t="s">
        <v>2</v>
      </c>
      <c r="T386" s="33">
        <f>IF(R386&gt;0,IF(RIGHT(Ruimtestaat[[#This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6" s="33">
        <f>IF(T386&gt;0,VLOOKUP($J386,Ruimtegroepen[],3,FALSE)*VLOOKUP($L386,Vloersoorten[],3,FALSE)*VLOOKUP($S386,Frequenties[],3,FALSE)*VLOOKUP($A386,Locaties[],3,FALSE),0)</f>
        <v>0</v>
      </c>
      <c r="V386" s="33">
        <f>Ruimtestaat[[#This Row],[Uitvoeringen werkdagen]]*Ruimtestaat[[#This Row],[Oppervlak (netto)]]</f>
        <v>4400</v>
      </c>
      <c r="W386" s="154">
        <f>IF(U386&gt;0,Ruimtestaat[[#This Row],[Prest. (m2 /jaar) werkdagen]]/Ruimtestaat[[#This Row],[Norm (m2/uur) werkdagen]],0)</f>
        <v>0</v>
      </c>
      <c r="X386" s="155">
        <f>Ruimtestaat[[#This Row],[uren / jaar werkdagen]]*Tariefsopbouw!$E$35</f>
        <v>0</v>
      </c>
      <c r="Y386" s="33"/>
      <c r="Z386" s="33">
        <f>IF(Ruimtestaat[[#This Row],[Frequentie weekend]]&gt;0,VALUE(LEFT(Y386,1))*R386,0)</f>
        <v>0</v>
      </c>
      <c r="AA386" s="97">
        <f>IF($Z386&gt;0,VLOOKUP($J386,Ruimtegroepen[],3,FALSE)*VLOOKUP($L386,Vloersoorten[],3,FALSE)*VLOOKUP($Y386,Frequenties[],3,FALSE)*VLOOKUP(Ruimtestaat[[#This Row],[Code]],Locaties[],3,FALSE),0)</f>
        <v>0</v>
      </c>
      <c r="AB386" s="97">
        <f>Ruimtestaat[[#This Row],[Uitvoeringen weekend]]*Ruimtestaat[[#This Row],[Oppervlak (netto)]]</f>
        <v>0</v>
      </c>
      <c r="AC386" s="97">
        <f>IF(AA386&gt;0,Ruimtestaat[[#This Row],[Prest. (m2 /jaar) weekend]]/Ruimtestaat[[#This Row],[Norm (m2/uur) weekend]],0)</f>
        <v>0</v>
      </c>
      <c r="AD386" s="155">
        <f>Ruimtestaat[[#This Row],[uren / jaar weekend]]*Tariefsopbouw!$D$40</f>
        <v>0</v>
      </c>
      <c r="AE386" s="154">
        <f>Ruimtestaat[[#This Row],[Prest. (m2 /jaar) weekend]]+Ruimtestaat[[#This Row],[Prest. (m2 /jaar) werkdagen]]</f>
        <v>4400</v>
      </c>
      <c r="AF386" s="154">
        <f>Ruimtestaat[[#This Row],[uren / jaar weekend]]+Ruimtestaat[[#This Row],[uren / jaar werkdagen]]</f>
        <v>0</v>
      </c>
      <c r="AG386" s="69">
        <f>Ruimtestaat[[#This Row],[kosten / jaar weekend]]+Ruimtestaat[[#This Row],[kosten / jaar werkdagen]]</f>
        <v>0</v>
      </c>
      <c r="AH386" s="69"/>
      <c r="AI386" s="256" t="str">
        <f>IF(Ruimtestaat[[#This Row],[Frequentie werkdagen]]="","",_xlfn.CONCAT(Ruimtestaat[[#This Row],[Ruimte code]],"-",Ruimtestaat[[#This Row],[Frequentie werkdagen]]," ",Ruimtestaat[[#This Row],[Vloer code]]))</f>
        <v>19-5w S</v>
      </c>
      <c r="AJ386" s="300" t="str">
        <f>_xlfn.IFNA(VLOOKUP($AI386,Programma!$F$3:$G$1107,2,0),"")</f>
        <v>_</v>
      </c>
      <c r="AK386" s="300" t="str">
        <f>_xlfn.IFNA(VLOOKUP($AI386,Programma!$F$3:$H$1107,3,0),"")</f>
        <v>_</v>
      </c>
      <c r="AL386" s="300" t="str">
        <f>_xlfn.IFNA(VLOOKUP($AI386,Programma!$F$3:$I$1107,4,0),"")</f>
        <v>5w</v>
      </c>
      <c r="AM386" s="300" t="str">
        <f>_xlfn.IFNA(VLOOKUP($AI386,Programma!$F$3:$J$1107,5,0),"")</f>
        <v>_</v>
      </c>
      <c r="AN386" s="300" t="str">
        <f>_xlfn.IFNA(VLOOKUP($AI386,Programma!$F$3:$K$1107,6,0),"")</f>
        <v>5w</v>
      </c>
      <c r="AO386" s="300" t="str">
        <f>_xlfn.IFNA(VLOOKUP($AI386,Programma!$F$3:$L$1107,7,0),"")</f>
        <v>_</v>
      </c>
      <c r="AP386" s="300" t="str">
        <f>_xlfn.IFNA(VLOOKUP($AI386,Programma!$F$3:$M$1107,8,0),"")</f>
        <v>_</v>
      </c>
      <c r="AQ386" s="300" t="str">
        <f>_xlfn.IFNA(VLOOKUP($AI386,Programma!$F$3:$N$1107,9,0),"")</f>
        <v>_</v>
      </c>
      <c r="AR386" s="300" t="str">
        <f>_xlfn.IFNA(VLOOKUP($AI386,Programma!$F$3:$O$1107,10,0),"")</f>
        <v>5w</v>
      </c>
      <c r="AS386" s="300" t="str">
        <f>_xlfn.IFNA(VLOOKUP($AI386,Programma!$F$3:$P$1107,11,0),"")</f>
        <v>5w</v>
      </c>
      <c r="AT386" s="300" t="str">
        <f>_xlfn.IFNA(VLOOKUP($AI386,Programma!$F$3:$Q$1107,12,0),"")</f>
        <v>1w</v>
      </c>
      <c r="AU386" s="300" t="str">
        <f>_xlfn.IFNA(VLOOKUP($AI386,Programma!$F$3:$R$1107,13,0),"")</f>
        <v>1w</v>
      </c>
      <c r="AV386" s="300" t="str">
        <f>_xlfn.IFNA(VLOOKUP($AI386,Programma!$F$3:$S$1107,14,0),"")</f>
        <v>1m</v>
      </c>
      <c r="AW386" s="300" t="str">
        <f>_xlfn.IFNA(VLOOKUP($AI386,Programma!$F$3:$T$1107,15,0),"")</f>
        <v>2j</v>
      </c>
      <c r="AX386" s="300" t="str">
        <f>_xlfn.IFNA(VLOOKUP($AI386,Programma!$F$3:$U$1107,16,0),"")</f>
        <v>1j</v>
      </c>
      <c r="AY386" s="300" t="str">
        <f>_xlfn.IFNA(VLOOKUP($AI386,Programma!$F$3:$V$1107,17,0),"")</f>
        <v>_</v>
      </c>
      <c r="AZ386" s="300" t="str">
        <f>_xlfn.IFNA(VLOOKUP($AI386,Programma!$F$3:$W$1107,18,0),"")</f>
        <v>_</v>
      </c>
      <c r="BA386" s="300" t="str">
        <f>_xlfn.IFNA(VLOOKUP($AI386,Programma!$F$3:$X$1107,19,0),"")</f>
        <v>_</v>
      </c>
      <c r="BB386" s="300" t="str">
        <f>_xlfn.IFNA(VLOOKUP($AI386,Programma!$F$3:$Y$1107,20,0),"")</f>
        <v>_</v>
      </c>
      <c r="BC386" s="257"/>
      <c r="BD386" s="256" t="str">
        <f>IF(Ruimtestaat[[#This Row],[Frequentie weekend]]="","",_xlfn.CONCAT(Ruimtestaat[[#This Row],[Ruimte code]],"-",Ruimtestaat[[#This Row],[Frequentie weekend]]," ",Ruimtestaat[[#This Row],[Vloer code]]))</f>
        <v/>
      </c>
      <c r="BE386" s="300" t="str">
        <f>_xlfn.IFNA(VLOOKUP($BD386,Programma!$F$3:$G$1107,2,0),"")</f>
        <v/>
      </c>
      <c r="BF386" s="300" t="str">
        <f>_xlfn.IFNA(VLOOKUP($BD386,Programma!$F$3:$H$1107,3,0),"")</f>
        <v/>
      </c>
      <c r="BG386" s="300" t="str">
        <f>_xlfn.IFNA(VLOOKUP($BD386,Programma!$F$3:$I$1107,4,0),"")</f>
        <v/>
      </c>
      <c r="BH386" s="300" t="str">
        <f>_xlfn.IFNA(VLOOKUP($BD386,Programma!$F$3:$J$1107,5,0),"")</f>
        <v/>
      </c>
      <c r="BI386" s="300" t="str">
        <f>_xlfn.IFNA(VLOOKUP($BD386,Programma!$F$3:$K$1107,6,0),"")</f>
        <v/>
      </c>
      <c r="BJ386" s="300" t="str">
        <f>_xlfn.IFNA(VLOOKUP($BD386,Programma!$F$3:$L$1107,7,0),"")</f>
        <v/>
      </c>
      <c r="BK386" s="300" t="str">
        <f>_xlfn.IFNA(VLOOKUP($BD386,Programma!$F$3:$M$1107,8,0),"")</f>
        <v/>
      </c>
      <c r="BL386" s="300" t="str">
        <f>_xlfn.IFNA(VLOOKUP($BD386,Programma!$F$3:$N$1107,9,0),"")</f>
        <v/>
      </c>
      <c r="BM386" s="300" t="str">
        <f>_xlfn.IFNA(VLOOKUP($BD386,Programma!$F$3:$O$1107,10,0),"")</f>
        <v/>
      </c>
      <c r="BN386" s="300" t="str">
        <f>_xlfn.IFNA(VLOOKUP($BD386,Programma!$F$3:$P$1107,11,0),"")</f>
        <v/>
      </c>
      <c r="BO386" s="300" t="str">
        <f>_xlfn.IFNA(VLOOKUP($BD386,Programma!$F$3:$Q$1107,12,0),"")</f>
        <v/>
      </c>
      <c r="BP386" s="300" t="str">
        <f>_xlfn.IFNA(VLOOKUP($BD386,Programma!$F$3:$R$1107,13,0),"")</f>
        <v/>
      </c>
      <c r="BQ386" s="300" t="str">
        <f>_xlfn.IFNA(VLOOKUP($BD386,Programma!$F$3:$S$1107,14,0),"")</f>
        <v/>
      </c>
      <c r="BR386" s="300" t="str">
        <f>_xlfn.IFNA(VLOOKUP($BD386,Programma!$F$3:$T$1107,15,0),"")</f>
        <v/>
      </c>
      <c r="BS386" s="300" t="str">
        <f>_xlfn.IFNA(VLOOKUP($BD386,Programma!$F$3:$U$1107,16,0),"")</f>
        <v/>
      </c>
      <c r="BT386" s="300" t="str">
        <f>_xlfn.IFNA(VLOOKUP($BD386,Programma!$F$3:$V$1107,17,0),"")</f>
        <v/>
      </c>
      <c r="BU386" s="300" t="str">
        <f>_xlfn.IFNA(VLOOKUP($BD386,Programma!$F$3:$W$1107,18,0),"")</f>
        <v/>
      </c>
      <c r="BV386" s="300" t="str">
        <f>_xlfn.IFNA(VLOOKUP($BD386,Programma!$F$3:$X$1107,19,0),"")</f>
        <v/>
      </c>
      <c r="BW386" s="300" t="str">
        <f>_xlfn.IFNA(VLOOKUP($BD386,Programma!$F$3:$Y$1107,20,0),"")</f>
        <v/>
      </c>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c r="GL386" s="4"/>
      <c r="GM386" s="4"/>
      <c r="GN386" s="4"/>
      <c r="GO386" s="4"/>
      <c r="GP386" s="4"/>
      <c r="GQ386" s="4"/>
      <c r="GR386" s="4"/>
      <c r="GS386" s="4"/>
      <c r="GT386" s="4"/>
      <c r="GU386" s="4"/>
      <c r="GV386" s="4"/>
      <c r="GW386" s="4"/>
      <c r="GX386" s="4"/>
      <c r="GY386" s="4"/>
      <c r="GZ386" s="4"/>
      <c r="HA386" s="4"/>
      <c r="HB386" s="4"/>
      <c r="HC386" s="4"/>
      <c r="HD386" s="4"/>
      <c r="HE386" s="4"/>
      <c r="HF386" s="4"/>
      <c r="HG386" s="4"/>
      <c r="HH386" s="4"/>
      <c r="HI386" s="4"/>
      <c r="HJ386" s="4"/>
      <c r="HK386" s="4"/>
      <c r="HL386" s="4"/>
    </row>
    <row r="387" spans="1:220" ht="15" customHeight="1">
      <c r="A387" s="21">
        <v>5</v>
      </c>
      <c r="B387" s="157" t="str">
        <f>VLOOKUP(Ruimtestaat[[#This Row],[Code]],Locaties[[Code]:[Locatie]],2,FALSE)</f>
        <v>François Vatel vmbo</v>
      </c>
      <c r="C387" s="157" t="str">
        <f>VLOOKUP(Ruimtestaat[[#This Row],[Code]],Locaties[[#All],[Code]:[Adres]],4,FALSE)</f>
        <v>Granaathorst 20</v>
      </c>
      <c r="D387" s="157" t="str">
        <f>VLOOKUP(Ruimtestaat[[#This Row],[Code]],Locaties[[#All],[Code]:[Postcode]],5,FALSE)</f>
        <v>2592 TD</v>
      </c>
      <c r="E387" s="157" t="str">
        <f>VLOOKUP(Ruimtestaat[[#This Row],[Code]],Locaties[#All],6,FALSE)</f>
        <v>Den Haag</v>
      </c>
      <c r="F387" s="62"/>
      <c r="G387" s="21" t="s">
        <v>1624</v>
      </c>
      <c r="H387" s="21" t="s">
        <v>1668</v>
      </c>
      <c r="I387" s="62" t="s">
        <v>2044</v>
      </c>
      <c r="J387" s="21">
        <v>19</v>
      </c>
      <c r="K387" s="62" t="str">
        <f>VLOOKUP(Ruimtestaat[[#This Row],[Ruimte code]],Ruimtegroepen[[#All],[Code]:[Ruimte omschrijving]],2,FALSE)</f>
        <v>kleedruimten</v>
      </c>
      <c r="L387" s="33" t="s">
        <v>102</v>
      </c>
      <c r="M387" s="367" t="s">
        <v>2509</v>
      </c>
      <c r="N387" s="140">
        <v>20</v>
      </c>
      <c r="O387" s="140"/>
      <c r="P387" s="125" t="str">
        <f>VLOOKUP(Ruimtestaat[[#This Row],[Ruimte code]],Ruimtegroepen[],4,FALSE)</f>
        <v>Ve</v>
      </c>
      <c r="R387" s="33">
        <v>40</v>
      </c>
      <c r="S387" s="33" t="s">
        <v>2</v>
      </c>
      <c r="T387" s="33">
        <f>IF(R387&gt;0,IF(RIGHT(Ruimtestaat[[#This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7" s="33">
        <f>IF(T387&gt;0,VLOOKUP($J387,Ruimtegroepen[],3,FALSE)*VLOOKUP($L387,Vloersoorten[],3,FALSE)*VLOOKUP($S387,Frequenties[],3,FALSE)*VLOOKUP($A387,Locaties[],3,FALSE),0)</f>
        <v>0</v>
      </c>
      <c r="V387" s="33">
        <f>Ruimtestaat[[#This Row],[Uitvoeringen werkdagen]]*Ruimtestaat[[#This Row],[Oppervlak (netto)]]</f>
        <v>4000</v>
      </c>
      <c r="W387" s="154">
        <f>IF(U387&gt;0,Ruimtestaat[[#This Row],[Prest. (m2 /jaar) werkdagen]]/Ruimtestaat[[#This Row],[Norm (m2/uur) werkdagen]],0)</f>
        <v>0</v>
      </c>
      <c r="X387" s="155">
        <f>Ruimtestaat[[#This Row],[uren / jaar werkdagen]]*Tariefsopbouw!$E$35</f>
        <v>0</v>
      </c>
      <c r="Y387" s="33"/>
      <c r="Z387" s="33">
        <f>IF(Ruimtestaat[[#This Row],[Frequentie weekend]]&gt;0,VALUE(LEFT(Y387,1))*R387,0)</f>
        <v>0</v>
      </c>
      <c r="AA387" s="97">
        <f>IF($Z387&gt;0,VLOOKUP($J387,Ruimtegroepen[],3,FALSE)*VLOOKUP($L387,Vloersoorten[],3,FALSE)*VLOOKUP($Y387,Frequenties[],3,FALSE)*VLOOKUP(Ruimtestaat[[#This Row],[Code]],Locaties[],3,FALSE),0)</f>
        <v>0</v>
      </c>
      <c r="AB387" s="97">
        <f>Ruimtestaat[[#This Row],[Uitvoeringen weekend]]*Ruimtestaat[[#This Row],[Oppervlak (netto)]]</f>
        <v>0</v>
      </c>
      <c r="AC387" s="97">
        <f>IF(AA387&gt;0,Ruimtestaat[[#This Row],[Prest. (m2 /jaar) weekend]]/Ruimtestaat[[#This Row],[Norm (m2/uur) weekend]],0)</f>
        <v>0</v>
      </c>
      <c r="AD387" s="155">
        <f>Ruimtestaat[[#This Row],[uren / jaar weekend]]*Tariefsopbouw!$D$40</f>
        <v>0</v>
      </c>
      <c r="AE387" s="154">
        <f>Ruimtestaat[[#This Row],[Prest. (m2 /jaar) weekend]]+Ruimtestaat[[#This Row],[Prest. (m2 /jaar) werkdagen]]</f>
        <v>4000</v>
      </c>
      <c r="AF387" s="154">
        <f>Ruimtestaat[[#This Row],[uren / jaar weekend]]+Ruimtestaat[[#This Row],[uren / jaar werkdagen]]</f>
        <v>0</v>
      </c>
      <c r="AG387" s="69">
        <f>Ruimtestaat[[#This Row],[kosten / jaar weekend]]+Ruimtestaat[[#This Row],[kosten / jaar werkdagen]]</f>
        <v>0</v>
      </c>
      <c r="AH387" s="69"/>
      <c r="AI387" s="256" t="str">
        <f>IF(Ruimtestaat[[#This Row],[Frequentie werkdagen]]="","",_xlfn.CONCAT(Ruimtestaat[[#This Row],[Ruimte code]],"-",Ruimtestaat[[#This Row],[Frequentie werkdagen]]," ",Ruimtestaat[[#This Row],[Vloer code]]))</f>
        <v>19-5w S</v>
      </c>
      <c r="AJ387" s="300" t="str">
        <f>_xlfn.IFNA(VLOOKUP($AI387,Programma!$F$3:$G$1107,2,0),"")</f>
        <v>_</v>
      </c>
      <c r="AK387" s="300" t="str">
        <f>_xlfn.IFNA(VLOOKUP($AI387,Programma!$F$3:$H$1107,3,0),"")</f>
        <v>_</v>
      </c>
      <c r="AL387" s="300" t="str">
        <f>_xlfn.IFNA(VLOOKUP($AI387,Programma!$F$3:$I$1107,4,0),"")</f>
        <v>5w</v>
      </c>
      <c r="AM387" s="300" t="str">
        <f>_xlfn.IFNA(VLOOKUP($AI387,Programma!$F$3:$J$1107,5,0),"")</f>
        <v>_</v>
      </c>
      <c r="AN387" s="300" t="str">
        <f>_xlfn.IFNA(VLOOKUP($AI387,Programma!$F$3:$K$1107,6,0),"")</f>
        <v>5w</v>
      </c>
      <c r="AO387" s="300" t="str">
        <f>_xlfn.IFNA(VLOOKUP($AI387,Programma!$F$3:$L$1107,7,0),"")</f>
        <v>_</v>
      </c>
      <c r="AP387" s="300" t="str">
        <f>_xlfn.IFNA(VLOOKUP($AI387,Programma!$F$3:$M$1107,8,0),"")</f>
        <v>_</v>
      </c>
      <c r="AQ387" s="300" t="str">
        <f>_xlfn.IFNA(VLOOKUP($AI387,Programma!$F$3:$N$1107,9,0),"")</f>
        <v>_</v>
      </c>
      <c r="AR387" s="300" t="str">
        <f>_xlfn.IFNA(VLOOKUP($AI387,Programma!$F$3:$O$1107,10,0),"")</f>
        <v>5w</v>
      </c>
      <c r="AS387" s="300" t="str">
        <f>_xlfn.IFNA(VLOOKUP($AI387,Programma!$F$3:$P$1107,11,0),"")</f>
        <v>5w</v>
      </c>
      <c r="AT387" s="300" t="str">
        <f>_xlfn.IFNA(VLOOKUP($AI387,Programma!$F$3:$Q$1107,12,0),"")</f>
        <v>1w</v>
      </c>
      <c r="AU387" s="300" t="str">
        <f>_xlfn.IFNA(VLOOKUP($AI387,Programma!$F$3:$R$1107,13,0),"")</f>
        <v>1w</v>
      </c>
      <c r="AV387" s="300" t="str">
        <f>_xlfn.IFNA(VLOOKUP($AI387,Programma!$F$3:$S$1107,14,0),"")</f>
        <v>1m</v>
      </c>
      <c r="AW387" s="300" t="str">
        <f>_xlfn.IFNA(VLOOKUP($AI387,Programma!$F$3:$T$1107,15,0),"")</f>
        <v>2j</v>
      </c>
      <c r="AX387" s="300" t="str">
        <f>_xlfn.IFNA(VLOOKUP($AI387,Programma!$F$3:$U$1107,16,0),"")</f>
        <v>1j</v>
      </c>
      <c r="AY387" s="300" t="str">
        <f>_xlfn.IFNA(VLOOKUP($AI387,Programma!$F$3:$V$1107,17,0),"")</f>
        <v>_</v>
      </c>
      <c r="AZ387" s="300" t="str">
        <f>_xlfn.IFNA(VLOOKUP($AI387,Programma!$F$3:$W$1107,18,0),"")</f>
        <v>_</v>
      </c>
      <c r="BA387" s="300" t="str">
        <f>_xlfn.IFNA(VLOOKUP($AI387,Programma!$F$3:$X$1107,19,0),"")</f>
        <v>_</v>
      </c>
      <c r="BB387" s="300" t="str">
        <f>_xlfn.IFNA(VLOOKUP($AI387,Programma!$F$3:$Y$1107,20,0),"")</f>
        <v>_</v>
      </c>
      <c r="BC387" s="257"/>
      <c r="BD387" s="256" t="str">
        <f>IF(Ruimtestaat[[#This Row],[Frequentie weekend]]="","",_xlfn.CONCAT(Ruimtestaat[[#This Row],[Ruimte code]],"-",Ruimtestaat[[#This Row],[Frequentie weekend]]," ",Ruimtestaat[[#This Row],[Vloer code]]))</f>
        <v/>
      </c>
      <c r="BE387" s="300" t="str">
        <f>_xlfn.IFNA(VLOOKUP($BD387,Programma!$F$3:$G$1107,2,0),"")</f>
        <v/>
      </c>
      <c r="BF387" s="300" t="str">
        <f>_xlfn.IFNA(VLOOKUP($BD387,Programma!$F$3:$H$1107,3,0),"")</f>
        <v/>
      </c>
      <c r="BG387" s="300" t="str">
        <f>_xlfn.IFNA(VLOOKUP($BD387,Programma!$F$3:$I$1107,4,0),"")</f>
        <v/>
      </c>
      <c r="BH387" s="300" t="str">
        <f>_xlfn.IFNA(VLOOKUP($BD387,Programma!$F$3:$J$1107,5,0),"")</f>
        <v/>
      </c>
      <c r="BI387" s="300" t="str">
        <f>_xlfn.IFNA(VLOOKUP($BD387,Programma!$F$3:$K$1107,6,0),"")</f>
        <v/>
      </c>
      <c r="BJ387" s="300" t="str">
        <f>_xlfn.IFNA(VLOOKUP($BD387,Programma!$F$3:$L$1107,7,0),"")</f>
        <v/>
      </c>
      <c r="BK387" s="300" t="str">
        <f>_xlfn.IFNA(VLOOKUP($BD387,Programma!$F$3:$M$1107,8,0),"")</f>
        <v/>
      </c>
      <c r="BL387" s="300" t="str">
        <f>_xlfn.IFNA(VLOOKUP($BD387,Programma!$F$3:$N$1107,9,0),"")</f>
        <v/>
      </c>
      <c r="BM387" s="300" t="str">
        <f>_xlfn.IFNA(VLOOKUP($BD387,Programma!$F$3:$O$1107,10,0),"")</f>
        <v/>
      </c>
      <c r="BN387" s="300" t="str">
        <f>_xlfn.IFNA(VLOOKUP($BD387,Programma!$F$3:$P$1107,11,0),"")</f>
        <v/>
      </c>
      <c r="BO387" s="300" t="str">
        <f>_xlfn.IFNA(VLOOKUP($BD387,Programma!$F$3:$Q$1107,12,0),"")</f>
        <v/>
      </c>
      <c r="BP387" s="300" t="str">
        <f>_xlfn.IFNA(VLOOKUP($BD387,Programma!$F$3:$R$1107,13,0),"")</f>
        <v/>
      </c>
      <c r="BQ387" s="300" t="str">
        <f>_xlfn.IFNA(VLOOKUP($BD387,Programma!$F$3:$S$1107,14,0),"")</f>
        <v/>
      </c>
      <c r="BR387" s="300" t="str">
        <f>_xlfn.IFNA(VLOOKUP($BD387,Programma!$F$3:$T$1107,15,0),"")</f>
        <v/>
      </c>
      <c r="BS387" s="300" t="str">
        <f>_xlfn.IFNA(VLOOKUP($BD387,Programma!$F$3:$U$1107,16,0),"")</f>
        <v/>
      </c>
      <c r="BT387" s="300" t="str">
        <f>_xlfn.IFNA(VLOOKUP($BD387,Programma!$F$3:$V$1107,17,0),"")</f>
        <v/>
      </c>
      <c r="BU387" s="300" t="str">
        <f>_xlfn.IFNA(VLOOKUP($BD387,Programma!$F$3:$W$1107,18,0),"")</f>
        <v/>
      </c>
      <c r="BV387" s="300" t="str">
        <f>_xlfn.IFNA(VLOOKUP($BD387,Programma!$F$3:$X$1107,19,0),"")</f>
        <v/>
      </c>
      <c r="BW387" s="300" t="str">
        <f>_xlfn.IFNA(VLOOKUP($BD387,Programma!$F$3:$Y$1107,20,0),"")</f>
        <v/>
      </c>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c r="GL387" s="4"/>
      <c r="GM387" s="4"/>
      <c r="GN387" s="4"/>
      <c r="GO387" s="4"/>
      <c r="GP387" s="4"/>
      <c r="GQ387" s="4"/>
      <c r="GR387" s="4"/>
      <c r="GS387" s="4"/>
      <c r="GT387" s="4"/>
      <c r="GU387" s="4"/>
      <c r="GV387" s="4"/>
      <c r="GW387" s="4"/>
      <c r="GX387" s="4"/>
      <c r="GY387" s="4"/>
      <c r="GZ387" s="4"/>
      <c r="HA387" s="4"/>
      <c r="HB387" s="4"/>
      <c r="HC387" s="4"/>
      <c r="HD387" s="4"/>
      <c r="HE387" s="4"/>
      <c r="HF387" s="4"/>
      <c r="HG387" s="4"/>
      <c r="HH387" s="4"/>
      <c r="HI387" s="4"/>
      <c r="HJ387" s="4"/>
      <c r="HK387" s="4"/>
      <c r="HL387" s="4"/>
    </row>
    <row r="388" spans="1:220" ht="15" customHeight="1">
      <c r="A388" s="21">
        <v>5</v>
      </c>
      <c r="B388" s="157" t="str">
        <f>VLOOKUP(Ruimtestaat[[#This Row],[Code]],Locaties[[Code]:[Locatie]],2,FALSE)</f>
        <v>François Vatel vmbo</v>
      </c>
      <c r="C388" s="157" t="str">
        <f>VLOOKUP(Ruimtestaat[[#This Row],[Code]],Locaties[[#All],[Code]:[Adres]],4,FALSE)</f>
        <v>Granaathorst 20</v>
      </c>
      <c r="D388" s="157" t="str">
        <f>VLOOKUP(Ruimtestaat[[#This Row],[Code]],Locaties[[#All],[Code]:[Postcode]],5,FALSE)</f>
        <v>2592 TD</v>
      </c>
      <c r="E388" s="157" t="str">
        <f>VLOOKUP(Ruimtestaat[[#This Row],[Code]],Locaties[#All],6,FALSE)</f>
        <v>Den Haag</v>
      </c>
      <c r="F388" s="62"/>
      <c r="G388" s="21" t="s">
        <v>1624</v>
      </c>
      <c r="H388" s="21" t="s">
        <v>1670</v>
      </c>
      <c r="I388" s="62" t="s">
        <v>2045</v>
      </c>
      <c r="J388" s="21">
        <v>19</v>
      </c>
      <c r="K388" s="62" t="str">
        <f>VLOOKUP(Ruimtestaat[[#This Row],[Ruimte code]],Ruimtegroepen[[#All],[Code]:[Ruimte omschrijving]],2,FALSE)</f>
        <v>kleedruimten</v>
      </c>
      <c r="L388" s="33" t="s">
        <v>102</v>
      </c>
      <c r="M388" s="367" t="s">
        <v>2509</v>
      </c>
      <c r="N388" s="140">
        <v>2</v>
      </c>
      <c r="O388" s="140"/>
      <c r="P388" s="125" t="str">
        <f>VLOOKUP(Ruimtestaat[[#This Row],[Ruimte code]],Ruimtegroepen[],4,FALSE)</f>
        <v>Ve</v>
      </c>
      <c r="R388" s="33">
        <v>40</v>
      </c>
      <c r="S388" s="33" t="s">
        <v>2</v>
      </c>
      <c r="T388" s="33">
        <f>IF(R388&gt;0,IF(RIGHT(Ruimtestaat[[#This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8" s="33">
        <f>IF(T388&gt;0,VLOOKUP($J388,Ruimtegroepen[],3,FALSE)*VLOOKUP($L388,Vloersoorten[],3,FALSE)*VLOOKUP($S388,Frequenties[],3,FALSE)*VLOOKUP($A388,Locaties[],3,FALSE),0)</f>
        <v>0</v>
      </c>
      <c r="V388" s="33">
        <f>Ruimtestaat[[#This Row],[Uitvoeringen werkdagen]]*Ruimtestaat[[#This Row],[Oppervlak (netto)]]</f>
        <v>400</v>
      </c>
      <c r="W388" s="154">
        <f>IF(U388&gt;0,Ruimtestaat[[#This Row],[Prest. (m2 /jaar) werkdagen]]/Ruimtestaat[[#This Row],[Norm (m2/uur) werkdagen]],0)</f>
        <v>0</v>
      </c>
      <c r="X388" s="155">
        <f>Ruimtestaat[[#This Row],[uren / jaar werkdagen]]*Tariefsopbouw!$E$35</f>
        <v>0</v>
      </c>
      <c r="Y388" s="33"/>
      <c r="Z388" s="33">
        <f>IF(Ruimtestaat[[#This Row],[Frequentie weekend]]&gt;0,VALUE(LEFT(Y388,1))*R388,0)</f>
        <v>0</v>
      </c>
      <c r="AA388" s="97">
        <f>IF($Z388&gt;0,VLOOKUP($J388,Ruimtegroepen[],3,FALSE)*VLOOKUP($L388,Vloersoorten[],3,FALSE)*VLOOKUP($Y388,Frequenties[],3,FALSE)*VLOOKUP(Ruimtestaat[[#This Row],[Code]],Locaties[],3,FALSE),0)</f>
        <v>0</v>
      </c>
      <c r="AB388" s="97">
        <f>Ruimtestaat[[#This Row],[Uitvoeringen weekend]]*Ruimtestaat[[#This Row],[Oppervlak (netto)]]</f>
        <v>0</v>
      </c>
      <c r="AC388" s="97">
        <f>IF(AA388&gt;0,Ruimtestaat[[#This Row],[Prest. (m2 /jaar) weekend]]/Ruimtestaat[[#This Row],[Norm (m2/uur) weekend]],0)</f>
        <v>0</v>
      </c>
      <c r="AD388" s="155">
        <f>Ruimtestaat[[#This Row],[uren / jaar weekend]]*Tariefsopbouw!$D$40</f>
        <v>0</v>
      </c>
      <c r="AE388" s="154">
        <f>Ruimtestaat[[#This Row],[Prest. (m2 /jaar) weekend]]+Ruimtestaat[[#This Row],[Prest. (m2 /jaar) werkdagen]]</f>
        <v>400</v>
      </c>
      <c r="AF388" s="154">
        <f>Ruimtestaat[[#This Row],[uren / jaar weekend]]+Ruimtestaat[[#This Row],[uren / jaar werkdagen]]</f>
        <v>0</v>
      </c>
      <c r="AG388" s="69">
        <f>Ruimtestaat[[#This Row],[kosten / jaar weekend]]+Ruimtestaat[[#This Row],[kosten / jaar werkdagen]]</f>
        <v>0</v>
      </c>
      <c r="AH388" s="69"/>
      <c r="AI388" s="256" t="str">
        <f>IF(Ruimtestaat[[#This Row],[Frequentie werkdagen]]="","",_xlfn.CONCAT(Ruimtestaat[[#This Row],[Ruimte code]],"-",Ruimtestaat[[#This Row],[Frequentie werkdagen]]," ",Ruimtestaat[[#This Row],[Vloer code]]))</f>
        <v>19-5w S</v>
      </c>
      <c r="AJ388" s="300" t="str">
        <f>_xlfn.IFNA(VLOOKUP($AI388,Programma!$F$3:$G$1107,2,0),"")</f>
        <v>_</v>
      </c>
      <c r="AK388" s="300" t="str">
        <f>_xlfn.IFNA(VLOOKUP($AI388,Programma!$F$3:$H$1107,3,0),"")</f>
        <v>_</v>
      </c>
      <c r="AL388" s="300" t="str">
        <f>_xlfn.IFNA(VLOOKUP($AI388,Programma!$F$3:$I$1107,4,0),"")</f>
        <v>5w</v>
      </c>
      <c r="AM388" s="300" t="str">
        <f>_xlfn.IFNA(VLOOKUP($AI388,Programma!$F$3:$J$1107,5,0),"")</f>
        <v>_</v>
      </c>
      <c r="AN388" s="300" t="str">
        <f>_xlfn.IFNA(VLOOKUP($AI388,Programma!$F$3:$K$1107,6,0),"")</f>
        <v>5w</v>
      </c>
      <c r="AO388" s="300" t="str">
        <f>_xlfn.IFNA(VLOOKUP($AI388,Programma!$F$3:$L$1107,7,0),"")</f>
        <v>_</v>
      </c>
      <c r="AP388" s="300" t="str">
        <f>_xlfn.IFNA(VLOOKUP($AI388,Programma!$F$3:$M$1107,8,0),"")</f>
        <v>_</v>
      </c>
      <c r="AQ388" s="300" t="str">
        <f>_xlfn.IFNA(VLOOKUP($AI388,Programma!$F$3:$N$1107,9,0),"")</f>
        <v>_</v>
      </c>
      <c r="AR388" s="300" t="str">
        <f>_xlfn.IFNA(VLOOKUP($AI388,Programma!$F$3:$O$1107,10,0),"")</f>
        <v>5w</v>
      </c>
      <c r="AS388" s="300" t="str">
        <f>_xlfn.IFNA(VLOOKUP($AI388,Programma!$F$3:$P$1107,11,0),"")</f>
        <v>5w</v>
      </c>
      <c r="AT388" s="300" t="str">
        <f>_xlfn.IFNA(VLOOKUP($AI388,Programma!$F$3:$Q$1107,12,0),"")</f>
        <v>1w</v>
      </c>
      <c r="AU388" s="300" t="str">
        <f>_xlfn.IFNA(VLOOKUP($AI388,Programma!$F$3:$R$1107,13,0),"")</f>
        <v>1w</v>
      </c>
      <c r="AV388" s="300" t="str">
        <f>_xlfn.IFNA(VLOOKUP($AI388,Programma!$F$3:$S$1107,14,0),"")</f>
        <v>1m</v>
      </c>
      <c r="AW388" s="300" t="str">
        <f>_xlfn.IFNA(VLOOKUP($AI388,Programma!$F$3:$T$1107,15,0),"")</f>
        <v>2j</v>
      </c>
      <c r="AX388" s="300" t="str">
        <f>_xlfn.IFNA(VLOOKUP($AI388,Programma!$F$3:$U$1107,16,0),"")</f>
        <v>1j</v>
      </c>
      <c r="AY388" s="300" t="str">
        <f>_xlfn.IFNA(VLOOKUP($AI388,Programma!$F$3:$V$1107,17,0),"")</f>
        <v>_</v>
      </c>
      <c r="AZ388" s="300" t="str">
        <f>_xlfn.IFNA(VLOOKUP($AI388,Programma!$F$3:$W$1107,18,0),"")</f>
        <v>_</v>
      </c>
      <c r="BA388" s="300" t="str">
        <f>_xlfn.IFNA(VLOOKUP($AI388,Programma!$F$3:$X$1107,19,0),"")</f>
        <v>_</v>
      </c>
      <c r="BB388" s="300" t="str">
        <f>_xlfn.IFNA(VLOOKUP($AI388,Programma!$F$3:$Y$1107,20,0),"")</f>
        <v>_</v>
      </c>
      <c r="BC388" s="257"/>
      <c r="BD388" s="256" t="str">
        <f>IF(Ruimtestaat[[#This Row],[Frequentie weekend]]="","",_xlfn.CONCAT(Ruimtestaat[[#This Row],[Ruimte code]],"-",Ruimtestaat[[#This Row],[Frequentie weekend]]," ",Ruimtestaat[[#This Row],[Vloer code]]))</f>
        <v/>
      </c>
      <c r="BE388" s="300" t="str">
        <f>_xlfn.IFNA(VLOOKUP($BD388,Programma!$F$3:$G$1107,2,0),"")</f>
        <v/>
      </c>
      <c r="BF388" s="300" t="str">
        <f>_xlfn.IFNA(VLOOKUP($BD388,Programma!$F$3:$H$1107,3,0),"")</f>
        <v/>
      </c>
      <c r="BG388" s="300" t="str">
        <f>_xlfn.IFNA(VLOOKUP($BD388,Programma!$F$3:$I$1107,4,0),"")</f>
        <v/>
      </c>
      <c r="BH388" s="300" t="str">
        <f>_xlfn.IFNA(VLOOKUP($BD388,Programma!$F$3:$J$1107,5,0),"")</f>
        <v/>
      </c>
      <c r="BI388" s="300" t="str">
        <f>_xlfn.IFNA(VLOOKUP($BD388,Programma!$F$3:$K$1107,6,0),"")</f>
        <v/>
      </c>
      <c r="BJ388" s="300" t="str">
        <f>_xlfn.IFNA(VLOOKUP($BD388,Programma!$F$3:$L$1107,7,0),"")</f>
        <v/>
      </c>
      <c r="BK388" s="300" t="str">
        <f>_xlfn.IFNA(VLOOKUP($BD388,Programma!$F$3:$M$1107,8,0),"")</f>
        <v/>
      </c>
      <c r="BL388" s="300" t="str">
        <f>_xlfn.IFNA(VLOOKUP($BD388,Programma!$F$3:$N$1107,9,0),"")</f>
        <v/>
      </c>
      <c r="BM388" s="300" t="str">
        <f>_xlfn.IFNA(VLOOKUP($BD388,Programma!$F$3:$O$1107,10,0),"")</f>
        <v/>
      </c>
      <c r="BN388" s="300" t="str">
        <f>_xlfn.IFNA(VLOOKUP($BD388,Programma!$F$3:$P$1107,11,0),"")</f>
        <v/>
      </c>
      <c r="BO388" s="300" t="str">
        <f>_xlfn.IFNA(VLOOKUP($BD388,Programma!$F$3:$Q$1107,12,0),"")</f>
        <v/>
      </c>
      <c r="BP388" s="300" t="str">
        <f>_xlfn.IFNA(VLOOKUP($BD388,Programma!$F$3:$R$1107,13,0),"")</f>
        <v/>
      </c>
      <c r="BQ388" s="300" t="str">
        <f>_xlfn.IFNA(VLOOKUP($BD388,Programma!$F$3:$S$1107,14,0),"")</f>
        <v/>
      </c>
      <c r="BR388" s="300" t="str">
        <f>_xlfn.IFNA(VLOOKUP($BD388,Programma!$F$3:$T$1107,15,0),"")</f>
        <v/>
      </c>
      <c r="BS388" s="300" t="str">
        <f>_xlfn.IFNA(VLOOKUP($BD388,Programma!$F$3:$U$1107,16,0),"")</f>
        <v/>
      </c>
      <c r="BT388" s="300" t="str">
        <f>_xlfn.IFNA(VLOOKUP($BD388,Programma!$F$3:$V$1107,17,0),"")</f>
        <v/>
      </c>
      <c r="BU388" s="300" t="str">
        <f>_xlfn.IFNA(VLOOKUP($BD388,Programma!$F$3:$W$1107,18,0),"")</f>
        <v/>
      </c>
      <c r="BV388" s="300" t="str">
        <f>_xlfn.IFNA(VLOOKUP($BD388,Programma!$F$3:$X$1107,19,0),"")</f>
        <v/>
      </c>
      <c r="BW388" s="300" t="str">
        <f>_xlfn.IFNA(VLOOKUP($BD388,Programma!$F$3:$Y$1107,20,0),"")</f>
        <v/>
      </c>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c r="GL388" s="4"/>
      <c r="GM388" s="4"/>
      <c r="GN388" s="4"/>
      <c r="GO388" s="4"/>
      <c r="GP388" s="4"/>
      <c r="GQ388" s="4"/>
      <c r="GR388" s="4"/>
      <c r="GS388" s="4"/>
      <c r="GT388" s="4"/>
      <c r="GU388" s="4"/>
      <c r="GV388" s="4"/>
      <c r="GW388" s="4"/>
      <c r="GX388" s="4"/>
      <c r="GY388" s="4"/>
      <c r="GZ388" s="4"/>
      <c r="HA388" s="4"/>
      <c r="HB388" s="4"/>
      <c r="HC388" s="4"/>
      <c r="HD388" s="4"/>
      <c r="HE388" s="4"/>
      <c r="HF388" s="4"/>
      <c r="HG388" s="4"/>
      <c r="HH388" s="4"/>
      <c r="HI388" s="4"/>
      <c r="HJ388" s="4"/>
      <c r="HK388" s="4"/>
      <c r="HL388" s="4"/>
    </row>
    <row r="389" spans="1:220" ht="15" customHeight="1">
      <c r="A389" s="21">
        <v>5</v>
      </c>
      <c r="B389" s="157" t="str">
        <f>VLOOKUP(Ruimtestaat[[#This Row],[Code]],Locaties[[Code]:[Locatie]],2,FALSE)</f>
        <v>François Vatel vmbo</v>
      </c>
      <c r="C389" s="157" t="str">
        <f>VLOOKUP(Ruimtestaat[[#This Row],[Code]],Locaties[[#All],[Code]:[Adres]],4,FALSE)</f>
        <v>Granaathorst 20</v>
      </c>
      <c r="D389" s="157" t="str">
        <f>VLOOKUP(Ruimtestaat[[#This Row],[Code]],Locaties[[#All],[Code]:[Postcode]],5,FALSE)</f>
        <v>2592 TD</v>
      </c>
      <c r="E389" s="157" t="str">
        <f>VLOOKUP(Ruimtestaat[[#This Row],[Code]],Locaties[#All],6,FALSE)</f>
        <v>Den Haag</v>
      </c>
      <c r="F389" s="62"/>
      <c r="G389" s="21" t="s">
        <v>1624</v>
      </c>
      <c r="H389" s="21" t="s">
        <v>1672</v>
      </c>
      <c r="I389" s="62" t="s">
        <v>2046</v>
      </c>
      <c r="J389" s="21">
        <v>12</v>
      </c>
      <c r="K389" s="62" t="str">
        <f>VLOOKUP(Ruimtestaat[[#This Row],[Ruimte code]],Ruimtegroepen[[#All],[Code]:[Ruimte omschrijving]],2,FALSE)</f>
        <v>Kantine</v>
      </c>
      <c r="L389" s="33" t="s">
        <v>101</v>
      </c>
      <c r="M389" s="367" t="s">
        <v>2495</v>
      </c>
      <c r="N389" s="140">
        <v>5</v>
      </c>
      <c r="O389" s="140"/>
      <c r="P389" s="125" t="str">
        <f>VLOOKUP(Ruimtestaat[[#This Row],[Ruimte code]],Ruimtegroepen[],4,FALSE)</f>
        <v>Ve</v>
      </c>
      <c r="R389" s="33">
        <v>40</v>
      </c>
      <c r="S389" s="33" t="s">
        <v>2</v>
      </c>
      <c r="T389" s="33">
        <f>IF(R389&gt;0,IF(RIGHT(Ruimtestaat[[#This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9" s="33">
        <f>IF(T389&gt;0,VLOOKUP($J389,Ruimtegroepen[],3,FALSE)*VLOOKUP($L389,Vloersoorten[],3,FALSE)*VLOOKUP($S389,Frequenties[],3,FALSE)*VLOOKUP($A389,Locaties[],3,FALSE),0)</f>
        <v>0</v>
      </c>
      <c r="V389" s="33">
        <f>Ruimtestaat[[#This Row],[Uitvoeringen werkdagen]]*Ruimtestaat[[#This Row],[Oppervlak (netto)]]</f>
        <v>1000</v>
      </c>
      <c r="W389" s="154">
        <f>IF(U389&gt;0,Ruimtestaat[[#This Row],[Prest. (m2 /jaar) werkdagen]]/Ruimtestaat[[#This Row],[Norm (m2/uur) werkdagen]],0)</f>
        <v>0</v>
      </c>
      <c r="X389" s="155">
        <f>Ruimtestaat[[#This Row],[uren / jaar werkdagen]]*Tariefsopbouw!$E$35</f>
        <v>0</v>
      </c>
      <c r="Y389" s="33"/>
      <c r="Z389" s="33">
        <f>IF(Ruimtestaat[[#This Row],[Frequentie weekend]]&gt;0,VALUE(LEFT(Y389,1))*R389,0)</f>
        <v>0</v>
      </c>
      <c r="AA389" s="97">
        <f>IF($Z389&gt;0,VLOOKUP($J389,Ruimtegroepen[],3,FALSE)*VLOOKUP($L389,Vloersoorten[],3,FALSE)*VLOOKUP($Y389,Frequenties[],3,FALSE)*VLOOKUP(Ruimtestaat[[#This Row],[Code]],Locaties[],3,FALSE),0)</f>
        <v>0</v>
      </c>
      <c r="AB389" s="97">
        <f>Ruimtestaat[[#This Row],[Uitvoeringen weekend]]*Ruimtestaat[[#This Row],[Oppervlak (netto)]]</f>
        <v>0</v>
      </c>
      <c r="AC389" s="97">
        <f>IF(AA389&gt;0,Ruimtestaat[[#This Row],[Prest. (m2 /jaar) weekend]]/Ruimtestaat[[#This Row],[Norm (m2/uur) weekend]],0)</f>
        <v>0</v>
      </c>
      <c r="AD389" s="155">
        <f>Ruimtestaat[[#This Row],[uren / jaar weekend]]*Tariefsopbouw!$D$40</f>
        <v>0</v>
      </c>
      <c r="AE389" s="154">
        <f>Ruimtestaat[[#This Row],[Prest. (m2 /jaar) weekend]]+Ruimtestaat[[#This Row],[Prest. (m2 /jaar) werkdagen]]</f>
        <v>1000</v>
      </c>
      <c r="AF389" s="154">
        <f>Ruimtestaat[[#This Row],[uren / jaar weekend]]+Ruimtestaat[[#This Row],[uren / jaar werkdagen]]</f>
        <v>0</v>
      </c>
      <c r="AG389" s="69">
        <f>Ruimtestaat[[#This Row],[kosten / jaar weekend]]+Ruimtestaat[[#This Row],[kosten / jaar werkdagen]]</f>
        <v>0</v>
      </c>
      <c r="AH389" s="69"/>
      <c r="AI389" s="256" t="str">
        <f>IF(Ruimtestaat[[#This Row],[Frequentie werkdagen]]="","",_xlfn.CONCAT(Ruimtestaat[[#This Row],[Ruimte code]],"-",Ruimtestaat[[#This Row],[Frequentie werkdagen]]," ",Ruimtestaat[[#This Row],[Vloer code]]))</f>
        <v>12-5w L</v>
      </c>
      <c r="AJ389" s="300" t="str">
        <f>_xlfn.IFNA(VLOOKUP($AI389,Programma!$F$3:$G$1107,2,0),"")</f>
        <v>_</v>
      </c>
      <c r="AK389" s="300" t="str">
        <f>_xlfn.IFNA(VLOOKUP($AI389,Programma!$F$3:$H$1107,3,0),"")</f>
        <v>_</v>
      </c>
      <c r="AL389" s="300" t="str">
        <f>_xlfn.IFNA(VLOOKUP($AI389,Programma!$F$3:$I$1107,4,0),"")</f>
        <v>_</v>
      </c>
      <c r="AM389" s="300" t="str">
        <f>_xlfn.IFNA(VLOOKUP($AI389,Programma!$F$3:$J$1107,5,0),"")</f>
        <v>5w</v>
      </c>
      <c r="AN389" s="300" t="str">
        <f>_xlfn.IFNA(VLOOKUP($AI389,Programma!$F$3:$K$1107,6,0),"")</f>
        <v>_</v>
      </c>
      <c r="AO389" s="300" t="str">
        <f>_xlfn.IFNA(VLOOKUP($AI389,Programma!$F$3:$L$1107,7,0),"")</f>
        <v>_</v>
      </c>
      <c r="AP389" s="300" t="str">
        <f>_xlfn.IFNA(VLOOKUP($AI389,Programma!$F$3:$M$1107,8,0),"")</f>
        <v>_</v>
      </c>
      <c r="AQ389" s="300" t="str">
        <f>_xlfn.IFNA(VLOOKUP($AI389,Programma!$F$3:$N$1107,9,0),"")</f>
        <v>_</v>
      </c>
      <c r="AR389" s="300" t="str">
        <f>_xlfn.IFNA(VLOOKUP($AI389,Programma!$F$3:$O$1107,10,0),"")</f>
        <v>5w</v>
      </c>
      <c r="AS389" s="300" t="str">
        <f>_xlfn.IFNA(VLOOKUP($AI389,Programma!$F$3:$P$1107,11,0),"")</f>
        <v>5w</v>
      </c>
      <c r="AT389" s="300" t="str">
        <f>_xlfn.IFNA(VLOOKUP($AI389,Programma!$F$3:$Q$1107,12,0),"")</f>
        <v>1w</v>
      </c>
      <c r="AU389" s="300" t="str">
        <f>_xlfn.IFNA(VLOOKUP($AI389,Programma!$F$3:$R$1107,13,0),"")</f>
        <v>1w</v>
      </c>
      <c r="AV389" s="300" t="str">
        <f>_xlfn.IFNA(VLOOKUP($AI389,Programma!$F$3:$S$1107,14,0),"")</f>
        <v>1m</v>
      </c>
      <c r="AW389" s="300" t="str">
        <f>_xlfn.IFNA(VLOOKUP($AI389,Programma!$F$3:$T$1107,15,0),"")</f>
        <v>2j</v>
      </c>
      <c r="AX389" s="300" t="str">
        <f>_xlfn.IFNA(VLOOKUP($AI389,Programma!$F$3:$U$1107,16,0),"")</f>
        <v>1j</v>
      </c>
      <c r="AY389" s="300" t="str">
        <f>_xlfn.IFNA(VLOOKUP($AI389,Programma!$F$3:$V$1107,17,0),"")</f>
        <v>_</v>
      </c>
      <c r="AZ389" s="300" t="str">
        <f>_xlfn.IFNA(VLOOKUP($AI389,Programma!$F$3:$W$1107,18,0),"")</f>
        <v>_</v>
      </c>
      <c r="BA389" s="300" t="str">
        <f>_xlfn.IFNA(VLOOKUP($AI389,Programma!$F$3:$X$1107,19,0),"")</f>
        <v>_</v>
      </c>
      <c r="BB389" s="300" t="str">
        <f>_xlfn.IFNA(VLOOKUP($AI389,Programma!$F$3:$Y$1107,20,0),"")</f>
        <v>_</v>
      </c>
      <c r="BC389" s="257"/>
      <c r="BD389" s="256" t="str">
        <f>IF(Ruimtestaat[[#This Row],[Frequentie weekend]]="","",_xlfn.CONCAT(Ruimtestaat[[#This Row],[Ruimte code]],"-",Ruimtestaat[[#This Row],[Frequentie weekend]]," ",Ruimtestaat[[#This Row],[Vloer code]]))</f>
        <v/>
      </c>
      <c r="BE389" s="300" t="str">
        <f>_xlfn.IFNA(VLOOKUP($BD389,Programma!$F$3:$G$1107,2,0),"")</f>
        <v/>
      </c>
      <c r="BF389" s="300" t="str">
        <f>_xlfn.IFNA(VLOOKUP($BD389,Programma!$F$3:$H$1107,3,0),"")</f>
        <v/>
      </c>
      <c r="BG389" s="300" t="str">
        <f>_xlfn.IFNA(VLOOKUP($BD389,Programma!$F$3:$I$1107,4,0),"")</f>
        <v/>
      </c>
      <c r="BH389" s="300" t="str">
        <f>_xlfn.IFNA(VLOOKUP($BD389,Programma!$F$3:$J$1107,5,0),"")</f>
        <v/>
      </c>
      <c r="BI389" s="300" t="str">
        <f>_xlfn.IFNA(VLOOKUP($BD389,Programma!$F$3:$K$1107,6,0),"")</f>
        <v/>
      </c>
      <c r="BJ389" s="300" t="str">
        <f>_xlfn.IFNA(VLOOKUP($BD389,Programma!$F$3:$L$1107,7,0),"")</f>
        <v/>
      </c>
      <c r="BK389" s="300" t="str">
        <f>_xlfn.IFNA(VLOOKUP($BD389,Programma!$F$3:$M$1107,8,0),"")</f>
        <v/>
      </c>
      <c r="BL389" s="300" t="str">
        <f>_xlfn.IFNA(VLOOKUP($BD389,Programma!$F$3:$N$1107,9,0),"")</f>
        <v/>
      </c>
      <c r="BM389" s="300" t="str">
        <f>_xlfn.IFNA(VLOOKUP($BD389,Programma!$F$3:$O$1107,10,0),"")</f>
        <v/>
      </c>
      <c r="BN389" s="300" t="str">
        <f>_xlfn.IFNA(VLOOKUP($BD389,Programma!$F$3:$P$1107,11,0),"")</f>
        <v/>
      </c>
      <c r="BO389" s="300" t="str">
        <f>_xlfn.IFNA(VLOOKUP($BD389,Programma!$F$3:$Q$1107,12,0),"")</f>
        <v/>
      </c>
      <c r="BP389" s="300" t="str">
        <f>_xlfn.IFNA(VLOOKUP($BD389,Programma!$F$3:$R$1107,13,0),"")</f>
        <v/>
      </c>
      <c r="BQ389" s="300" t="str">
        <f>_xlfn.IFNA(VLOOKUP($BD389,Programma!$F$3:$S$1107,14,0),"")</f>
        <v/>
      </c>
      <c r="BR389" s="300" t="str">
        <f>_xlfn.IFNA(VLOOKUP($BD389,Programma!$F$3:$T$1107,15,0),"")</f>
        <v/>
      </c>
      <c r="BS389" s="300" t="str">
        <f>_xlfn.IFNA(VLOOKUP($BD389,Programma!$F$3:$U$1107,16,0),"")</f>
        <v/>
      </c>
      <c r="BT389" s="300" t="str">
        <f>_xlfn.IFNA(VLOOKUP($BD389,Programma!$F$3:$V$1107,17,0),"")</f>
        <v/>
      </c>
      <c r="BU389" s="300" t="str">
        <f>_xlfn.IFNA(VLOOKUP($BD389,Programma!$F$3:$W$1107,18,0),"")</f>
        <v/>
      </c>
      <c r="BV389" s="300" t="str">
        <f>_xlfn.IFNA(VLOOKUP($BD389,Programma!$F$3:$X$1107,19,0),"")</f>
        <v/>
      </c>
      <c r="BW389" s="300" t="str">
        <f>_xlfn.IFNA(VLOOKUP($BD389,Programma!$F$3:$Y$1107,20,0),"")</f>
        <v/>
      </c>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c r="GK389" s="4"/>
      <c r="GL389" s="4"/>
      <c r="GM389" s="4"/>
      <c r="GN389" s="4"/>
      <c r="GO389" s="4"/>
      <c r="GP389" s="4"/>
      <c r="GQ389" s="4"/>
      <c r="GR389" s="4"/>
      <c r="GS389" s="4"/>
      <c r="GT389" s="4"/>
      <c r="GU389" s="4"/>
      <c r="GV389" s="4"/>
      <c r="GW389" s="4"/>
      <c r="GX389" s="4"/>
      <c r="GY389" s="4"/>
      <c r="GZ389" s="4"/>
      <c r="HA389" s="4"/>
      <c r="HB389" s="4"/>
      <c r="HC389" s="4"/>
      <c r="HD389" s="4"/>
      <c r="HE389" s="4"/>
      <c r="HF389" s="4"/>
      <c r="HG389" s="4"/>
      <c r="HH389" s="4"/>
      <c r="HI389" s="4"/>
      <c r="HJ389" s="4"/>
      <c r="HK389" s="4"/>
      <c r="HL389" s="4"/>
    </row>
    <row r="390" spans="1:220" ht="15" customHeight="1">
      <c r="A390" s="21">
        <v>5</v>
      </c>
      <c r="B390" s="157" t="str">
        <f>VLOOKUP(Ruimtestaat[[#This Row],[Code]],Locaties[[Code]:[Locatie]],2,FALSE)</f>
        <v>François Vatel vmbo</v>
      </c>
      <c r="C390" s="157" t="str">
        <f>VLOOKUP(Ruimtestaat[[#This Row],[Code]],Locaties[[#All],[Code]:[Adres]],4,FALSE)</f>
        <v>Granaathorst 20</v>
      </c>
      <c r="D390" s="157" t="str">
        <f>VLOOKUP(Ruimtestaat[[#This Row],[Code]],Locaties[[#All],[Code]:[Postcode]],5,FALSE)</f>
        <v>2592 TD</v>
      </c>
      <c r="E390" s="157" t="str">
        <f>VLOOKUP(Ruimtestaat[[#This Row],[Code]],Locaties[#All],6,FALSE)</f>
        <v>Den Haag</v>
      </c>
      <c r="F390" s="62"/>
      <c r="G390" s="21" t="s">
        <v>1624</v>
      </c>
      <c r="H390" s="21" t="s">
        <v>1674</v>
      </c>
      <c r="I390" s="62" t="s">
        <v>2047</v>
      </c>
      <c r="J390" s="21">
        <v>17</v>
      </c>
      <c r="K390" s="62" t="str">
        <f>VLOOKUP(Ruimtestaat[[#This Row],[Ruimte code]],Ruimtegroepen[[#All],[Code]:[Ruimte omschrijving]],2,FALSE)</f>
        <v>Toestelberging</v>
      </c>
      <c r="L390" s="33" t="s">
        <v>101</v>
      </c>
      <c r="M390" s="367" t="s">
        <v>2495</v>
      </c>
      <c r="N390" s="140">
        <v>28</v>
      </c>
      <c r="O390" s="140"/>
      <c r="P390" s="125" t="str">
        <f>VLOOKUP(Ruimtestaat[[#This Row],[Ruimte code]],Ruimtegroepen[],4,FALSE)</f>
        <v>Ve</v>
      </c>
      <c r="R390" s="33">
        <v>40</v>
      </c>
      <c r="S390" s="33" t="s">
        <v>16</v>
      </c>
      <c r="T390" s="33">
        <f>IF(R390&gt;0,IF(RIGHT(Ruimtestaat[[#This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90" s="33">
        <f>IF(T390&gt;0,VLOOKUP($J390,Ruimtegroepen[],3,FALSE)*VLOOKUP($L390,Vloersoorten[],3,FALSE)*VLOOKUP($S390,Frequenties[],3,FALSE)*VLOOKUP($A390,Locaties[],3,FALSE),0)</f>
        <v>0</v>
      </c>
      <c r="V390" s="33">
        <f>Ruimtestaat[[#This Row],[Uitvoeringen werkdagen]]*Ruimtestaat[[#This Row],[Oppervlak (netto)]]</f>
        <v>336</v>
      </c>
      <c r="W390" s="154">
        <f>IF(U390&gt;0,Ruimtestaat[[#This Row],[Prest. (m2 /jaar) werkdagen]]/Ruimtestaat[[#This Row],[Norm (m2/uur) werkdagen]],0)</f>
        <v>0</v>
      </c>
      <c r="X390" s="155">
        <f>Ruimtestaat[[#This Row],[uren / jaar werkdagen]]*Tariefsopbouw!$E$35</f>
        <v>0</v>
      </c>
      <c r="Y390" s="33"/>
      <c r="Z390" s="33">
        <f>IF(Ruimtestaat[[#This Row],[Frequentie weekend]]&gt;0,VALUE(LEFT(Y390,1))*R390,0)</f>
        <v>0</v>
      </c>
      <c r="AA390" s="97">
        <f>IF($Z390&gt;0,VLOOKUP($J390,Ruimtegroepen[],3,FALSE)*VLOOKUP($L390,Vloersoorten[],3,FALSE)*VLOOKUP($Y390,Frequenties[],3,FALSE)*VLOOKUP(Ruimtestaat[[#This Row],[Code]],Locaties[],3,FALSE),0)</f>
        <v>0</v>
      </c>
      <c r="AB390" s="97">
        <f>Ruimtestaat[[#This Row],[Uitvoeringen weekend]]*Ruimtestaat[[#This Row],[Oppervlak (netto)]]</f>
        <v>0</v>
      </c>
      <c r="AC390" s="97">
        <f>IF(AA390&gt;0,Ruimtestaat[[#This Row],[Prest. (m2 /jaar) weekend]]/Ruimtestaat[[#This Row],[Norm (m2/uur) weekend]],0)</f>
        <v>0</v>
      </c>
      <c r="AD390" s="155">
        <f>Ruimtestaat[[#This Row],[uren / jaar weekend]]*Tariefsopbouw!$D$40</f>
        <v>0</v>
      </c>
      <c r="AE390" s="154">
        <f>Ruimtestaat[[#This Row],[Prest. (m2 /jaar) weekend]]+Ruimtestaat[[#This Row],[Prest. (m2 /jaar) werkdagen]]</f>
        <v>336</v>
      </c>
      <c r="AF390" s="154">
        <f>Ruimtestaat[[#This Row],[uren / jaar weekend]]+Ruimtestaat[[#This Row],[uren / jaar werkdagen]]</f>
        <v>0</v>
      </c>
      <c r="AG390" s="69">
        <f>Ruimtestaat[[#This Row],[kosten / jaar weekend]]+Ruimtestaat[[#This Row],[kosten / jaar werkdagen]]</f>
        <v>0</v>
      </c>
      <c r="AH390" s="69"/>
      <c r="AI390" s="256" t="str">
        <f>IF(Ruimtestaat[[#This Row],[Frequentie werkdagen]]="","",_xlfn.CONCAT(Ruimtestaat[[#This Row],[Ruimte code]],"-",Ruimtestaat[[#This Row],[Frequentie werkdagen]]," ",Ruimtestaat[[#This Row],[Vloer code]]))</f>
        <v>17-1m L</v>
      </c>
      <c r="AJ390" s="300" t="str">
        <f>_xlfn.IFNA(VLOOKUP($AI390,Programma!$F$3:$G$1107,2,0),"")</f>
        <v>_</v>
      </c>
      <c r="AK390" s="300" t="str">
        <f>_xlfn.IFNA(VLOOKUP($AI390,Programma!$F$3:$H$1107,3,0),"")</f>
        <v>_</v>
      </c>
      <c r="AL390" s="300" t="str">
        <f>_xlfn.IFNA(VLOOKUP($AI390,Programma!$F$3:$I$1107,4,0),"")</f>
        <v>1m</v>
      </c>
      <c r="AM390" s="300" t="str">
        <f>_xlfn.IFNA(VLOOKUP($AI390,Programma!$F$3:$J$1107,5,0),"")</f>
        <v>_</v>
      </c>
      <c r="AN390" s="300" t="str">
        <f>_xlfn.IFNA(VLOOKUP($AI390,Programma!$F$3:$K$1107,6,0),"")</f>
        <v>_</v>
      </c>
      <c r="AO390" s="300" t="str">
        <f>_xlfn.IFNA(VLOOKUP($AI390,Programma!$F$3:$L$1107,7,0),"")</f>
        <v>_</v>
      </c>
      <c r="AP390" s="300" t="str">
        <f>_xlfn.IFNA(VLOOKUP($AI390,Programma!$F$3:$M$1107,8,0),"")</f>
        <v>_</v>
      </c>
      <c r="AQ390" s="300" t="str">
        <f>_xlfn.IFNA(VLOOKUP($AI390,Programma!$F$3:$N$1107,9,0),"")</f>
        <v>_</v>
      </c>
      <c r="AR390" s="300" t="str">
        <f>_xlfn.IFNA(VLOOKUP($AI390,Programma!$F$3:$O$1107,10,0),"")</f>
        <v>1m</v>
      </c>
      <c r="AS390" s="300" t="str">
        <f>_xlfn.IFNA(VLOOKUP($AI390,Programma!$F$3:$P$1107,11,0),"")</f>
        <v>1m</v>
      </c>
      <c r="AT390" s="300" t="str">
        <f>_xlfn.IFNA(VLOOKUP($AI390,Programma!$F$3:$Q$1107,12,0),"")</f>
        <v>1m</v>
      </c>
      <c r="AU390" s="300" t="str">
        <f>_xlfn.IFNA(VLOOKUP($AI390,Programma!$F$3:$R$1107,13,0),"")</f>
        <v>1m</v>
      </c>
      <c r="AV390" s="300" t="str">
        <f>_xlfn.IFNA(VLOOKUP($AI390,Programma!$F$3:$S$1107,14,0),"")</f>
        <v>1m</v>
      </c>
      <c r="AW390" s="300" t="str">
        <f>_xlfn.IFNA(VLOOKUP($AI390,Programma!$F$3:$T$1107,15,0),"")</f>
        <v>2j</v>
      </c>
      <c r="AX390" s="300" t="str">
        <f>_xlfn.IFNA(VLOOKUP($AI390,Programma!$F$3:$U$1107,16,0),"")</f>
        <v>1j</v>
      </c>
      <c r="AY390" s="300" t="str">
        <f>_xlfn.IFNA(VLOOKUP($AI390,Programma!$F$3:$V$1107,17,0),"")</f>
        <v>_</v>
      </c>
      <c r="AZ390" s="300" t="str">
        <f>_xlfn.IFNA(VLOOKUP($AI390,Programma!$F$3:$W$1107,18,0),"")</f>
        <v>_</v>
      </c>
      <c r="BA390" s="300" t="str">
        <f>_xlfn.IFNA(VLOOKUP($AI390,Programma!$F$3:$X$1107,19,0),"")</f>
        <v>_</v>
      </c>
      <c r="BB390" s="300" t="str">
        <f>_xlfn.IFNA(VLOOKUP($AI390,Programma!$F$3:$Y$1107,20,0),"")</f>
        <v>_</v>
      </c>
      <c r="BC390" s="257"/>
      <c r="BD390" s="256" t="str">
        <f>IF(Ruimtestaat[[#This Row],[Frequentie weekend]]="","",_xlfn.CONCAT(Ruimtestaat[[#This Row],[Ruimte code]],"-",Ruimtestaat[[#This Row],[Frequentie weekend]]," ",Ruimtestaat[[#This Row],[Vloer code]]))</f>
        <v/>
      </c>
      <c r="BE390" s="300" t="str">
        <f>_xlfn.IFNA(VLOOKUP($BD390,Programma!$F$3:$G$1107,2,0),"")</f>
        <v/>
      </c>
      <c r="BF390" s="300" t="str">
        <f>_xlfn.IFNA(VLOOKUP($BD390,Programma!$F$3:$H$1107,3,0),"")</f>
        <v/>
      </c>
      <c r="BG390" s="300" t="str">
        <f>_xlfn.IFNA(VLOOKUP($BD390,Programma!$F$3:$I$1107,4,0),"")</f>
        <v/>
      </c>
      <c r="BH390" s="300" t="str">
        <f>_xlfn.IFNA(VLOOKUP($BD390,Programma!$F$3:$J$1107,5,0),"")</f>
        <v/>
      </c>
      <c r="BI390" s="300" t="str">
        <f>_xlfn.IFNA(VLOOKUP($BD390,Programma!$F$3:$K$1107,6,0),"")</f>
        <v/>
      </c>
      <c r="BJ390" s="300" t="str">
        <f>_xlfn.IFNA(VLOOKUP($BD390,Programma!$F$3:$L$1107,7,0),"")</f>
        <v/>
      </c>
      <c r="BK390" s="300" t="str">
        <f>_xlfn.IFNA(VLOOKUP($BD390,Programma!$F$3:$M$1107,8,0),"")</f>
        <v/>
      </c>
      <c r="BL390" s="300" t="str">
        <f>_xlfn.IFNA(VLOOKUP($BD390,Programma!$F$3:$N$1107,9,0),"")</f>
        <v/>
      </c>
      <c r="BM390" s="300" t="str">
        <f>_xlfn.IFNA(VLOOKUP($BD390,Programma!$F$3:$O$1107,10,0),"")</f>
        <v/>
      </c>
      <c r="BN390" s="300" t="str">
        <f>_xlfn.IFNA(VLOOKUP($BD390,Programma!$F$3:$P$1107,11,0),"")</f>
        <v/>
      </c>
      <c r="BO390" s="300" t="str">
        <f>_xlfn.IFNA(VLOOKUP($BD390,Programma!$F$3:$Q$1107,12,0),"")</f>
        <v/>
      </c>
      <c r="BP390" s="300" t="str">
        <f>_xlfn.IFNA(VLOOKUP($BD390,Programma!$F$3:$R$1107,13,0),"")</f>
        <v/>
      </c>
      <c r="BQ390" s="300" t="str">
        <f>_xlfn.IFNA(VLOOKUP($BD390,Programma!$F$3:$S$1107,14,0),"")</f>
        <v/>
      </c>
      <c r="BR390" s="300" t="str">
        <f>_xlfn.IFNA(VLOOKUP($BD390,Programma!$F$3:$T$1107,15,0),"")</f>
        <v/>
      </c>
      <c r="BS390" s="300" t="str">
        <f>_xlfn.IFNA(VLOOKUP($BD390,Programma!$F$3:$U$1107,16,0),"")</f>
        <v/>
      </c>
      <c r="BT390" s="300" t="str">
        <f>_xlfn.IFNA(VLOOKUP($BD390,Programma!$F$3:$V$1107,17,0),"")</f>
        <v/>
      </c>
      <c r="BU390" s="300" t="str">
        <f>_xlfn.IFNA(VLOOKUP($BD390,Programma!$F$3:$W$1107,18,0),"")</f>
        <v/>
      </c>
      <c r="BV390" s="300" t="str">
        <f>_xlfn.IFNA(VLOOKUP($BD390,Programma!$F$3:$X$1107,19,0),"")</f>
        <v/>
      </c>
      <c r="BW390" s="300" t="str">
        <f>_xlfn.IFNA(VLOOKUP($BD390,Programma!$F$3:$Y$1107,20,0),"")</f>
        <v/>
      </c>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c r="GK390" s="4"/>
      <c r="GL390" s="4"/>
      <c r="GM390" s="4"/>
      <c r="GN390" s="4"/>
      <c r="GO390" s="4"/>
      <c r="GP390" s="4"/>
      <c r="GQ390" s="4"/>
      <c r="GR390" s="4"/>
      <c r="GS390" s="4"/>
      <c r="GT390" s="4"/>
      <c r="GU390" s="4"/>
      <c r="GV390" s="4"/>
      <c r="GW390" s="4"/>
      <c r="GX390" s="4"/>
      <c r="GY390" s="4"/>
      <c r="GZ390" s="4"/>
      <c r="HA390" s="4"/>
      <c r="HB390" s="4"/>
      <c r="HC390" s="4"/>
      <c r="HD390" s="4"/>
      <c r="HE390" s="4"/>
      <c r="HF390" s="4"/>
      <c r="HG390" s="4"/>
      <c r="HH390" s="4"/>
      <c r="HI390" s="4"/>
      <c r="HJ390" s="4"/>
      <c r="HK390" s="4"/>
      <c r="HL390" s="4"/>
    </row>
    <row r="391" spans="1:220" ht="15" customHeight="1">
      <c r="A391" s="21">
        <v>5</v>
      </c>
      <c r="B391" s="157" t="str">
        <f>VLOOKUP(Ruimtestaat[[#This Row],[Code]],Locaties[[Code]:[Locatie]],2,FALSE)</f>
        <v>François Vatel vmbo</v>
      </c>
      <c r="C391" s="157" t="str">
        <f>VLOOKUP(Ruimtestaat[[#This Row],[Code]],Locaties[[#All],[Code]:[Adres]],4,FALSE)</f>
        <v>Granaathorst 20</v>
      </c>
      <c r="D391" s="157" t="str">
        <f>VLOOKUP(Ruimtestaat[[#This Row],[Code]],Locaties[[#All],[Code]:[Postcode]],5,FALSE)</f>
        <v>2592 TD</v>
      </c>
      <c r="E391" s="157" t="str">
        <f>VLOOKUP(Ruimtestaat[[#This Row],[Code]],Locaties[#All],6,FALSE)</f>
        <v>Den Haag</v>
      </c>
      <c r="F391" s="62"/>
      <c r="G391" s="21" t="s">
        <v>1624</v>
      </c>
      <c r="H391" s="21" t="s">
        <v>1676</v>
      </c>
      <c r="I391" s="62" t="s">
        <v>1652</v>
      </c>
      <c r="J391" s="21">
        <v>3</v>
      </c>
      <c r="K391" s="62" t="str">
        <f>VLOOKUP(Ruimtestaat[[#This Row],[Ruimte code]],Ruimtegroepen[[#All],[Code]:[Ruimte omschrijving]],2,FALSE)</f>
        <v>Reproruimte</v>
      </c>
      <c r="L391" s="33" t="s">
        <v>101</v>
      </c>
      <c r="M391" s="367" t="s">
        <v>2495</v>
      </c>
      <c r="N391" s="140">
        <v>15</v>
      </c>
      <c r="O391" s="140"/>
      <c r="P391" s="125" t="str">
        <f>VLOOKUP(Ruimtestaat[[#This Row],[Ruimte code]],Ruimtegroepen[],4,FALSE)</f>
        <v>Ve</v>
      </c>
      <c r="R391" s="33">
        <v>40</v>
      </c>
      <c r="S391" s="33" t="s">
        <v>2</v>
      </c>
      <c r="T391" s="33">
        <f>IF(R391&gt;0,IF(RIGHT(Ruimtestaat[[#This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1" s="33">
        <f>IF(T391&gt;0,VLOOKUP($J391,Ruimtegroepen[],3,FALSE)*VLOOKUP($L391,Vloersoorten[],3,FALSE)*VLOOKUP($S391,Frequenties[],3,FALSE)*VLOOKUP($A391,Locaties[],3,FALSE),0)</f>
        <v>0</v>
      </c>
      <c r="V391" s="33">
        <f>Ruimtestaat[[#This Row],[Uitvoeringen werkdagen]]*Ruimtestaat[[#This Row],[Oppervlak (netto)]]</f>
        <v>3000</v>
      </c>
      <c r="W391" s="154">
        <f>IF(U391&gt;0,Ruimtestaat[[#This Row],[Prest. (m2 /jaar) werkdagen]]/Ruimtestaat[[#This Row],[Norm (m2/uur) werkdagen]],0)</f>
        <v>0</v>
      </c>
      <c r="X391" s="155">
        <f>Ruimtestaat[[#This Row],[uren / jaar werkdagen]]*Tariefsopbouw!$E$35</f>
        <v>0</v>
      </c>
      <c r="Y391" s="33"/>
      <c r="Z391" s="33">
        <f>IF(Ruimtestaat[[#This Row],[Frequentie weekend]]&gt;0,VALUE(LEFT(Y391,1))*R391,0)</f>
        <v>0</v>
      </c>
      <c r="AA391" s="97">
        <f>IF($Z391&gt;0,VLOOKUP($J391,Ruimtegroepen[],3,FALSE)*VLOOKUP($L391,Vloersoorten[],3,FALSE)*VLOOKUP($Y391,Frequenties[],3,FALSE)*VLOOKUP(Ruimtestaat[[#This Row],[Code]],Locaties[],3,FALSE),0)</f>
        <v>0</v>
      </c>
      <c r="AB391" s="97">
        <f>Ruimtestaat[[#This Row],[Uitvoeringen weekend]]*Ruimtestaat[[#This Row],[Oppervlak (netto)]]</f>
        <v>0</v>
      </c>
      <c r="AC391" s="97">
        <f>IF(AA391&gt;0,Ruimtestaat[[#This Row],[Prest. (m2 /jaar) weekend]]/Ruimtestaat[[#This Row],[Norm (m2/uur) weekend]],0)</f>
        <v>0</v>
      </c>
      <c r="AD391" s="155">
        <f>Ruimtestaat[[#This Row],[uren / jaar weekend]]*Tariefsopbouw!$D$40</f>
        <v>0</v>
      </c>
      <c r="AE391" s="154">
        <f>Ruimtestaat[[#This Row],[Prest. (m2 /jaar) weekend]]+Ruimtestaat[[#This Row],[Prest. (m2 /jaar) werkdagen]]</f>
        <v>3000</v>
      </c>
      <c r="AF391" s="154">
        <f>Ruimtestaat[[#This Row],[uren / jaar weekend]]+Ruimtestaat[[#This Row],[uren / jaar werkdagen]]</f>
        <v>0</v>
      </c>
      <c r="AG391" s="69">
        <f>Ruimtestaat[[#This Row],[kosten / jaar weekend]]+Ruimtestaat[[#This Row],[kosten / jaar werkdagen]]</f>
        <v>0</v>
      </c>
      <c r="AH391" s="69"/>
      <c r="AI391" s="256" t="str">
        <f>IF(Ruimtestaat[[#This Row],[Frequentie werkdagen]]="","",_xlfn.CONCAT(Ruimtestaat[[#This Row],[Ruimte code]],"-",Ruimtestaat[[#This Row],[Frequentie werkdagen]]," ",Ruimtestaat[[#This Row],[Vloer code]]))</f>
        <v>3-5w L</v>
      </c>
      <c r="AJ391" s="300" t="str">
        <f>_xlfn.IFNA(VLOOKUP($AI391,Programma!$F$3:$G$1107,2,0),"")</f>
        <v>_</v>
      </c>
      <c r="AK391" s="300" t="str">
        <f>_xlfn.IFNA(VLOOKUP($AI391,Programma!$F$3:$H$1107,3,0),"")</f>
        <v>_</v>
      </c>
      <c r="AL391" s="300" t="str">
        <f>_xlfn.IFNA(VLOOKUP($AI391,Programma!$F$3:$I$1107,4,0),"")</f>
        <v>4w</v>
      </c>
      <c r="AM391" s="300" t="str">
        <f>_xlfn.IFNA(VLOOKUP($AI391,Programma!$F$3:$J$1107,5,0),"")</f>
        <v>1w</v>
      </c>
      <c r="AN391" s="300" t="str">
        <f>_xlfn.IFNA(VLOOKUP($AI391,Programma!$F$3:$K$1107,6,0),"")</f>
        <v>_</v>
      </c>
      <c r="AO391" s="300" t="str">
        <f>_xlfn.IFNA(VLOOKUP($AI391,Programma!$F$3:$L$1107,7,0),"")</f>
        <v>_</v>
      </c>
      <c r="AP391" s="300" t="str">
        <f>_xlfn.IFNA(VLOOKUP($AI391,Programma!$F$3:$M$1107,8,0),"")</f>
        <v>_</v>
      </c>
      <c r="AQ391" s="300" t="str">
        <f>_xlfn.IFNA(VLOOKUP($AI391,Programma!$F$3:$N$1107,9,0),"")</f>
        <v>_</v>
      </c>
      <c r="AR391" s="300" t="str">
        <f>_xlfn.IFNA(VLOOKUP($AI391,Programma!$F$3:$O$1107,10,0),"")</f>
        <v>5w</v>
      </c>
      <c r="AS391" s="300" t="str">
        <f>_xlfn.IFNA(VLOOKUP($AI391,Programma!$F$3:$P$1107,11,0),"")</f>
        <v>5w</v>
      </c>
      <c r="AT391" s="300" t="str">
        <f>_xlfn.IFNA(VLOOKUP($AI391,Programma!$F$3:$Q$1107,12,0),"")</f>
        <v>1w</v>
      </c>
      <c r="AU391" s="300" t="str">
        <f>_xlfn.IFNA(VLOOKUP($AI391,Programma!$F$3:$R$1107,13,0),"")</f>
        <v>1w</v>
      </c>
      <c r="AV391" s="300" t="str">
        <f>_xlfn.IFNA(VLOOKUP($AI391,Programma!$F$3:$S$1107,14,0),"")</f>
        <v>1m</v>
      </c>
      <c r="AW391" s="300" t="str">
        <f>_xlfn.IFNA(VLOOKUP($AI391,Programma!$F$3:$T$1107,15,0),"")</f>
        <v>4j</v>
      </c>
      <c r="AX391" s="300" t="str">
        <f>_xlfn.IFNA(VLOOKUP($AI391,Programma!$F$3:$U$1107,16,0),"")</f>
        <v>1j</v>
      </c>
      <c r="AY391" s="300" t="str">
        <f>_xlfn.IFNA(VLOOKUP($AI391,Programma!$F$3:$V$1107,17,0),"")</f>
        <v>_</v>
      </c>
      <c r="AZ391" s="300" t="str">
        <f>_xlfn.IFNA(VLOOKUP($AI391,Programma!$F$3:$W$1107,18,0),"")</f>
        <v>_</v>
      </c>
      <c r="BA391" s="300" t="str">
        <f>_xlfn.IFNA(VLOOKUP($AI391,Programma!$F$3:$X$1107,19,0),"")</f>
        <v>_</v>
      </c>
      <c r="BB391" s="300" t="str">
        <f>_xlfn.IFNA(VLOOKUP($AI391,Programma!$F$3:$Y$1107,20,0),"")</f>
        <v>_</v>
      </c>
      <c r="BC391" s="257"/>
      <c r="BD391" s="256" t="str">
        <f>IF(Ruimtestaat[[#This Row],[Frequentie weekend]]="","",_xlfn.CONCAT(Ruimtestaat[[#This Row],[Ruimte code]],"-",Ruimtestaat[[#This Row],[Frequentie weekend]]," ",Ruimtestaat[[#This Row],[Vloer code]]))</f>
        <v/>
      </c>
      <c r="BE391" s="300" t="str">
        <f>_xlfn.IFNA(VLOOKUP($BD391,Programma!$F$3:$G$1107,2,0),"")</f>
        <v/>
      </c>
      <c r="BF391" s="300" t="str">
        <f>_xlfn.IFNA(VLOOKUP($BD391,Programma!$F$3:$H$1107,3,0),"")</f>
        <v/>
      </c>
      <c r="BG391" s="300" t="str">
        <f>_xlfn.IFNA(VLOOKUP($BD391,Programma!$F$3:$I$1107,4,0),"")</f>
        <v/>
      </c>
      <c r="BH391" s="300" t="str">
        <f>_xlfn.IFNA(VLOOKUP($BD391,Programma!$F$3:$J$1107,5,0),"")</f>
        <v/>
      </c>
      <c r="BI391" s="300" t="str">
        <f>_xlfn.IFNA(VLOOKUP($BD391,Programma!$F$3:$K$1107,6,0),"")</f>
        <v/>
      </c>
      <c r="BJ391" s="300" t="str">
        <f>_xlfn.IFNA(VLOOKUP($BD391,Programma!$F$3:$L$1107,7,0),"")</f>
        <v/>
      </c>
      <c r="BK391" s="300" t="str">
        <f>_xlfn.IFNA(VLOOKUP($BD391,Programma!$F$3:$M$1107,8,0),"")</f>
        <v/>
      </c>
      <c r="BL391" s="300" t="str">
        <f>_xlfn.IFNA(VLOOKUP($BD391,Programma!$F$3:$N$1107,9,0),"")</f>
        <v/>
      </c>
      <c r="BM391" s="300" t="str">
        <f>_xlfn.IFNA(VLOOKUP($BD391,Programma!$F$3:$O$1107,10,0),"")</f>
        <v/>
      </c>
      <c r="BN391" s="300" t="str">
        <f>_xlfn.IFNA(VLOOKUP($BD391,Programma!$F$3:$P$1107,11,0),"")</f>
        <v/>
      </c>
      <c r="BO391" s="300" t="str">
        <f>_xlfn.IFNA(VLOOKUP($BD391,Programma!$F$3:$Q$1107,12,0),"")</f>
        <v/>
      </c>
      <c r="BP391" s="300" t="str">
        <f>_xlfn.IFNA(VLOOKUP($BD391,Programma!$F$3:$R$1107,13,0),"")</f>
        <v/>
      </c>
      <c r="BQ391" s="300" t="str">
        <f>_xlfn.IFNA(VLOOKUP($BD391,Programma!$F$3:$S$1107,14,0),"")</f>
        <v/>
      </c>
      <c r="BR391" s="300" t="str">
        <f>_xlfn.IFNA(VLOOKUP($BD391,Programma!$F$3:$T$1107,15,0),"")</f>
        <v/>
      </c>
      <c r="BS391" s="300" t="str">
        <f>_xlfn.IFNA(VLOOKUP($BD391,Programma!$F$3:$U$1107,16,0),"")</f>
        <v/>
      </c>
      <c r="BT391" s="300" t="str">
        <f>_xlfn.IFNA(VLOOKUP($BD391,Programma!$F$3:$V$1107,17,0),"")</f>
        <v/>
      </c>
      <c r="BU391" s="300" t="str">
        <f>_xlfn.IFNA(VLOOKUP($BD391,Programma!$F$3:$W$1107,18,0),"")</f>
        <v/>
      </c>
      <c r="BV391" s="300" t="str">
        <f>_xlfn.IFNA(VLOOKUP($BD391,Programma!$F$3:$X$1107,19,0),"")</f>
        <v/>
      </c>
      <c r="BW391" s="300" t="str">
        <f>_xlfn.IFNA(VLOOKUP($BD391,Programma!$F$3:$Y$1107,20,0),"")</f>
        <v/>
      </c>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c r="GK391" s="4"/>
      <c r="GL391" s="4"/>
      <c r="GM391" s="4"/>
      <c r="GN391" s="4"/>
      <c r="GO391" s="4"/>
      <c r="GP391" s="4"/>
      <c r="GQ391" s="4"/>
      <c r="GR391" s="4"/>
      <c r="GS391" s="4"/>
      <c r="GT391" s="4"/>
      <c r="GU391" s="4"/>
      <c r="GV391" s="4"/>
      <c r="GW391" s="4"/>
      <c r="GX391" s="4"/>
      <c r="GY391" s="4"/>
      <c r="GZ391" s="4"/>
      <c r="HA391" s="4"/>
      <c r="HB391" s="4"/>
      <c r="HC391" s="4"/>
      <c r="HD391" s="4"/>
      <c r="HE391" s="4"/>
      <c r="HF391" s="4"/>
      <c r="HG391" s="4"/>
      <c r="HH391" s="4"/>
      <c r="HI391" s="4"/>
      <c r="HJ391" s="4"/>
      <c r="HK391" s="4"/>
      <c r="HL391" s="4"/>
    </row>
    <row r="392" spans="1:220" ht="15" customHeight="1">
      <c r="A392" s="21">
        <v>5</v>
      </c>
      <c r="B392" s="157" t="str">
        <f>VLOOKUP(Ruimtestaat[[#This Row],[Code]],Locaties[[Code]:[Locatie]],2,FALSE)</f>
        <v>François Vatel vmbo</v>
      </c>
      <c r="C392" s="157" t="str">
        <f>VLOOKUP(Ruimtestaat[[#This Row],[Code]],Locaties[[#All],[Code]:[Adres]],4,FALSE)</f>
        <v>Granaathorst 20</v>
      </c>
      <c r="D392" s="157" t="str">
        <f>VLOOKUP(Ruimtestaat[[#This Row],[Code]],Locaties[[#All],[Code]:[Postcode]],5,FALSE)</f>
        <v>2592 TD</v>
      </c>
      <c r="E392" s="157" t="str">
        <f>VLOOKUP(Ruimtestaat[[#This Row],[Code]],Locaties[#All],6,FALSE)</f>
        <v>Den Haag</v>
      </c>
      <c r="F392" s="62"/>
      <c r="G392" s="21" t="s">
        <v>1624</v>
      </c>
      <c r="H392" s="21" t="s">
        <v>1678</v>
      </c>
      <c r="I392" s="62" t="s">
        <v>2048</v>
      </c>
      <c r="J392" s="21">
        <v>2</v>
      </c>
      <c r="K392" s="62" t="str">
        <f>VLOOKUP(Ruimtestaat[[#This Row],[Ruimte code]],Ruimtegroepen[[#All],[Code]:[Ruimte omschrijving]],2,FALSE)</f>
        <v>Kantoren</v>
      </c>
      <c r="L392" s="33" t="s">
        <v>100</v>
      </c>
      <c r="M392" s="367" t="s">
        <v>2493</v>
      </c>
      <c r="N392" s="140">
        <v>14</v>
      </c>
      <c r="O392" s="140"/>
      <c r="P392" s="125" t="str">
        <f>VLOOKUP(Ruimtestaat[[#This Row],[Ruimte code]],Ruimtegroepen[],4,FALSE)</f>
        <v>Bu</v>
      </c>
      <c r="R392" s="33">
        <v>42</v>
      </c>
      <c r="S392" s="33" t="s">
        <v>18</v>
      </c>
      <c r="T392" s="33">
        <f>IF(R392&gt;0,IF(RIGHT(Ruimtestaat[[#This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92" s="33">
        <f>IF(T392&gt;0,VLOOKUP($J392,Ruimtegroepen[],3,FALSE)*VLOOKUP($L392,Vloersoorten[],3,FALSE)*VLOOKUP($S392,Frequenties[],3,FALSE)*VLOOKUP($A392,Locaties[],3,FALSE),0)</f>
        <v>0</v>
      </c>
      <c r="V392" s="33">
        <f>Ruimtestaat[[#This Row],[Uitvoeringen werkdagen]]*Ruimtestaat[[#This Row],[Oppervlak (netto)]]</f>
        <v>1764</v>
      </c>
      <c r="W392" s="154">
        <f>IF(U392&gt;0,Ruimtestaat[[#This Row],[Prest. (m2 /jaar) werkdagen]]/Ruimtestaat[[#This Row],[Norm (m2/uur) werkdagen]],0)</f>
        <v>0</v>
      </c>
      <c r="X392" s="155">
        <f>Ruimtestaat[[#This Row],[uren / jaar werkdagen]]*Tariefsopbouw!$E$35</f>
        <v>0</v>
      </c>
      <c r="Y392" s="33"/>
      <c r="Z392" s="33">
        <f>IF(Ruimtestaat[[#This Row],[Frequentie weekend]]&gt;0,VALUE(LEFT(Y392,1))*R392,0)</f>
        <v>0</v>
      </c>
      <c r="AA392" s="97">
        <f>IF($Z392&gt;0,VLOOKUP($J392,Ruimtegroepen[],3,FALSE)*VLOOKUP($L392,Vloersoorten[],3,FALSE)*VLOOKUP($Y392,Frequenties[],3,FALSE)*VLOOKUP(Ruimtestaat[[#This Row],[Code]],Locaties[],3,FALSE),0)</f>
        <v>0</v>
      </c>
      <c r="AB392" s="97">
        <f>Ruimtestaat[[#This Row],[Uitvoeringen weekend]]*Ruimtestaat[[#This Row],[Oppervlak (netto)]]</f>
        <v>0</v>
      </c>
      <c r="AC392" s="97">
        <f>IF(AA392&gt;0,Ruimtestaat[[#This Row],[Prest. (m2 /jaar) weekend]]/Ruimtestaat[[#This Row],[Norm (m2/uur) weekend]],0)</f>
        <v>0</v>
      </c>
      <c r="AD392" s="155">
        <f>Ruimtestaat[[#This Row],[uren / jaar weekend]]*Tariefsopbouw!$D$40</f>
        <v>0</v>
      </c>
      <c r="AE392" s="154">
        <f>Ruimtestaat[[#This Row],[Prest. (m2 /jaar) weekend]]+Ruimtestaat[[#This Row],[Prest. (m2 /jaar) werkdagen]]</f>
        <v>1764</v>
      </c>
      <c r="AF392" s="154">
        <f>Ruimtestaat[[#This Row],[uren / jaar weekend]]+Ruimtestaat[[#This Row],[uren / jaar werkdagen]]</f>
        <v>0</v>
      </c>
      <c r="AG392" s="69">
        <f>Ruimtestaat[[#This Row],[kosten / jaar weekend]]+Ruimtestaat[[#This Row],[kosten / jaar werkdagen]]</f>
        <v>0</v>
      </c>
      <c r="AH392" s="69"/>
      <c r="AI392" s="256" t="str">
        <f>IF(Ruimtestaat[[#This Row],[Frequentie werkdagen]]="","",_xlfn.CONCAT(Ruimtestaat[[#This Row],[Ruimte code]],"-",Ruimtestaat[[#This Row],[Frequentie werkdagen]]," ",Ruimtestaat[[#This Row],[Vloer code]]))</f>
        <v>2-3w T</v>
      </c>
      <c r="AJ392" s="300" t="str">
        <f>_xlfn.IFNA(VLOOKUP($AI392,Programma!$F$3:$G$1107,2,0),"")</f>
        <v>2w</v>
      </c>
      <c r="AK392" s="300" t="str">
        <f>_xlfn.IFNA(VLOOKUP($AI392,Programma!$F$3:$H$1107,3,0),"")</f>
        <v>1w</v>
      </c>
      <c r="AL392" s="300" t="str">
        <f>_xlfn.IFNA(VLOOKUP($AI392,Programma!$F$3:$I$1107,4,0),"")</f>
        <v>_</v>
      </c>
      <c r="AM392" s="300" t="str">
        <f>_xlfn.IFNA(VLOOKUP($AI392,Programma!$F$3:$J$1107,5,0),"")</f>
        <v>_</v>
      </c>
      <c r="AN392" s="300" t="str">
        <f>_xlfn.IFNA(VLOOKUP($AI392,Programma!$F$3:$K$1107,6,0),"")</f>
        <v>_</v>
      </c>
      <c r="AO392" s="300" t="str">
        <f>_xlfn.IFNA(VLOOKUP($AI392,Programma!$F$3:$L$1107,7,0),"")</f>
        <v>_</v>
      </c>
      <c r="AP392" s="300" t="str">
        <f>_xlfn.IFNA(VLOOKUP($AI392,Programma!$F$3:$M$1107,8,0),"")</f>
        <v>_</v>
      </c>
      <c r="AQ392" s="300" t="str">
        <f>_xlfn.IFNA(VLOOKUP($AI392,Programma!$F$3:$N$1107,9,0),"")</f>
        <v>_</v>
      </c>
      <c r="AR392" s="300" t="str">
        <f>_xlfn.IFNA(VLOOKUP($AI392,Programma!$F$3:$O$1107,10,0),"")</f>
        <v>3w</v>
      </c>
      <c r="AS392" s="300" t="str">
        <f>_xlfn.IFNA(VLOOKUP($AI392,Programma!$F$3:$P$1107,11,0),"")</f>
        <v>3w</v>
      </c>
      <c r="AT392" s="300" t="str">
        <f>_xlfn.IFNA(VLOOKUP($AI392,Programma!$F$3:$Q$1107,12,0),"")</f>
        <v>1w</v>
      </c>
      <c r="AU392" s="300" t="str">
        <f>_xlfn.IFNA(VLOOKUP($AI392,Programma!$F$3:$R$1107,13,0),"")</f>
        <v>1w</v>
      </c>
      <c r="AV392" s="300" t="str">
        <f>_xlfn.IFNA(VLOOKUP($AI392,Programma!$F$3:$S$1107,14,0),"")</f>
        <v>1m</v>
      </c>
      <c r="AW392" s="300" t="str">
        <f>_xlfn.IFNA(VLOOKUP($AI392,Programma!$F$3:$T$1107,15,0),"")</f>
        <v>2j</v>
      </c>
      <c r="AX392" s="300" t="str">
        <f>_xlfn.IFNA(VLOOKUP($AI392,Programma!$F$3:$U$1107,16,0),"")</f>
        <v>1j</v>
      </c>
      <c r="AY392" s="300" t="str">
        <f>_xlfn.IFNA(VLOOKUP($AI392,Programma!$F$3:$V$1107,17,0),"")</f>
        <v>_</v>
      </c>
      <c r="AZ392" s="300" t="str">
        <f>_xlfn.IFNA(VLOOKUP($AI392,Programma!$F$3:$W$1107,18,0),"")</f>
        <v>_</v>
      </c>
      <c r="BA392" s="300" t="str">
        <f>_xlfn.IFNA(VLOOKUP($AI392,Programma!$F$3:$X$1107,19,0),"")</f>
        <v>_</v>
      </c>
      <c r="BB392" s="300" t="str">
        <f>_xlfn.IFNA(VLOOKUP($AI392,Programma!$F$3:$Y$1107,20,0),"")</f>
        <v>_</v>
      </c>
      <c r="BC392" s="257"/>
      <c r="BD392" s="256" t="str">
        <f>IF(Ruimtestaat[[#This Row],[Frequentie weekend]]="","",_xlfn.CONCAT(Ruimtestaat[[#This Row],[Ruimte code]],"-",Ruimtestaat[[#This Row],[Frequentie weekend]]," ",Ruimtestaat[[#This Row],[Vloer code]]))</f>
        <v/>
      </c>
      <c r="BE392" s="300" t="str">
        <f>_xlfn.IFNA(VLOOKUP($BD392,Programma!$F$3:$G$1107,2,0),"")</f>
        <v/>
      </c>
      <c r="BF392" s="300" t="str">
        <f>_xlfn.IFNA(VLOOKUP($BD392,Programma!$F$3:$H$1107,3,0),"")</f>
        <v/>
      </c>
      <c r="BG392" s="300" t="str">
        <f>_xlfn.IFNA(VLOOKUP($BD392,Programma!$F$3:$I$1107,4,0),"")</f>
        <v/>
      </c>
      <c r="BH392" s="300" t="str">
        <f>_xlfn.IFNA(VLOOKUP($BD392,Programma!$F$3:$J$1107,5,0),"")</f>
        <v/>
      </c>
      <c r="BI392" s="300" t="str">
        <f>_xlfn.IFNA(VLOOKUP($BD392,Programma!$F$3:$K$1107,6,0),"")</f>
        <v/>
      </c>
      <c r="BJ392" s="300" t="str">
        <f>_xlfn.IFNA(VLOOKUP($BD392,Programma!$F$3:$L$1107,7,0),"")</f>
        <v/>
      </c>
      <c r="BK392" s="300" t="str">
        <f>_xlfn.IFNA(VLOOKUP($BD392,Programma!$F$3:$M$1107,8,0),"")</f>
        <v/>
      </c>
      <c r="BL392" s="300" t="str">
        <f>_xlfn.IFNA(VLOOKUP($BD392,Programma!$F$3:$N$1107,9,0),"")</f>
        <v/>
      </c>
      <c r="BM392" s="300" t="str">
        <f>_xlfn.IFNA(VLOOKUP($BD392,Programma!$F$3:$O$1107,10,0),"")</f>
        <v/>
      </c>
      <c r="BN392" s="300" t="str">
        <f>_xlfn.IFNA(VLOOKUP($BD392,Programma!$F$3:$P$1107,11,0),"")</f>
        <v/>
      </c>
      <c r="BO392" s="300" t="str">
        <f>_xlfn.IFNA(VLOOKUP($BD392,Programma!$F$3:$Q$1107,12,0),"")</f>
        <v/>
      </c>
      <c r="BP392" s="300" t="str">
        <f>_xlfn.IFNA(VLOOKUP($BD392,Programma!$F$3:$R$1107,13,0),"")</f>
        <v/>
      </c>
      <c r="BQ392" s="300" t="str">
        <f>_xlfn.IFNA(VLOOKUP($BD392,Programma!$F$3:$S$1107,14,0),"")</f>
        <v/>
      </c>
      <c r="BR392" s="300" t="str">
        <f>_xlfn.IFNA(VLOOKUP($BD392,Programma!$F$3:$T$1107,15,0),"")</f>
        <v/>
      </c>
      <c r="BS392" s="300" t="str">
        <f>_xlfn.IFNA(VLOOKUP($BD392,Programma!$F$3:$U$1107,16,0),"")</f>
        <v/>
      </c>
      <c r="BT392" s="300" t="str">
        <f>_xlfn.IFNA(VLOOKUP($BD392,Programma!$F$3:$V$1107,17,0),"")</f>
        <v/>
      </c>
      <c r="BU392" s="300" t="str">
        <f>_xlfn.IFNA(VLOOKUP($BD392,Programma!$F$3:$W$1107,18,0),"")</f>
        <v/>
      </c>
      <c r="BV392" s="300" t="str">
        <f>_xlfn.IFNA(VLOOKUP($BD392,Programma!$F$3:$X$1107,19,0),"")</f>
        <v/>
      </c>
      <c r="BW392" s="300" t="str">
        <f>_xlfn.IFNA(VLOOKUP($BD392,Programma!$F$3:$Y$1107,20,0),"")</f>
        <v/>
      </c>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c r="GK392" s="4"/>
      <c r="GL392" s="4"/>
      <c r="GM392" s="4"/>
      <c r="GN392" s="4"/>
      <c r="GO392" s="4"/>
      <c r="GP392" s="4"/>
      <c r="GQ392" s="4"/>
      <c r="GR392" s="4"/>
      <c r="GS392" s="4"/>
      <c r="GT392" s="4"/>
      <c r="GU392" s="4"/>
      <c r="GV392" s="4"/>
      <c r="GW392" s="4"/>
      <c r="GX392" s="4"/>
      <c r="GY392" s="4"/>
      <c r="GZ392" s="4"/>
      <c r="HA392" s="4"/>
      <c r="HB392" s="4"/>
      <c r="HC392" s="4"/>
      <c r="HD392" s="4"/>
      <c r="HE392" s="4"/>
      <c r="HF392" s="4"/>
      <c r="HG392" s="4"/>
      <c r="HH392" s="4"/>
      <c r="HI392" s="4"/>
      <c r="HJ392" s="4"/>
      <c r="HK392" s="4"/>
      <c r="HL392" s="4"/>
    </row>
    <row r="393" spans="1:220" ht="15" customHeight="1">
      <c r="A393" s="21">
        <v>5</v>
      </c>
      <c r="B393" s="157" t="str">
        <f>VLOOKUP(Ruimtestaat[[#This Row],[Code]],Locaties[[Code]:[Locatie]],2,FALSE)</f>
        <v>François Vatel vmbo</v>
      </c>
      <c r="C393" s="157" t="str">
        <f>VLOOKUP(Ruimtestaat[[#This Row],[Code]],Locaties[[#All],[Code]:[Adres]],4,FALSE)</f>
        <v>Granaathorst 20</v>
      </c>
      <c r="D393" s="157" t="str">
        <f>VLOOKUP(Ruimtestaat[[#This Row],[Code]],Locaties[[#All],[Code]:[Postcode]],5,FALSE)</f>
        <v>2592 TD</v>
      </c>
      <c r="E393" s="157" t="str">
        <f>VLOOKUP(Ruimtestaat[[#This Row],[Code]],Locaties[#All],6,FALSE)</f>
        <v>Den Haag</v>
      </c>
      <c r="F393" s="62"/>
      <c r="G393" s="21" t="s">
        <v>1624</v>
      </c>
      <c r="H393" s="21" t="s">
        <v>1680</v>
      </c>
      <c r="I393" s="62" t="s">
        <v>2049</v>
      </c>
      <c r="J393" s="21">
        <v>2</v>
      </c>
      <c r="K393" s="62" t="str">
        <f>VLOOKUP(Ruimtestaat[[#This Row],[Ruimte code]],Ruimtegroepen[[#All],[Code]:[Ruimte omschrijving]],2,FALSE)</f>
        <v>Kantoren</v>
      </c>
      <c r="L393" s="33" t="s">
        <v>100</v>
      </c>
      <c r="M393" s="367" t="s">
        <v>2493</v>
      </c>
      <c r="N393" s="140">
        <v>14</v>
      </c>
      <c r="O393" s="140"/>
      <c r="P393" s="125" t="str">
        <f>VLOOKUP(Ruimtestaat[[#This Row],[Ruimte code]],Ruimtegroepen[],4,FALSE)</f>
        <v>Bu</v>
      </c>
      <c r="R393" s="33">
        <v>42</v>
      </c>
      <c r="S393" s="33" t="s">
        <v>18</v>
      </c>
      <c r="T393" s="33">
        <f>IF(R393&gt;0,IF(RIGHT(Ruimtestaat[[#This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93" s="33">
        <f>IF(T393&gt;0,VLOOKUP($J393,Ruimtegroepen[],3,FALSE)*VLOOKUP($L393,Vloersoorten[],3,FALSE)*VLOOKUP($S393,Frequenties[],3,FALSE)*VLOOKUP($A393,Locaties[],3,FALSE),0)</f>
        <v>0</v>
      </c>
      <c r="V393" s="33">
        <f>Ruimtestaat[[#This Row],[Uitvoeringen werkdagen]]*Ruimtestaat[[#This Row],[Oppervlak (netto)]]</f>
        <v>1764</v>
      </c>
      <c r="W393" s="154">
        <f>IF(U393&gt;0,Ruimtestaat[[#This Row],[Prest. (m2 /jaar) werkdagen]]/Ruimtestaat[[#This Row],[Norm (m2/uur) werkdagen]],0)</f>
        <v>0</v>
      </c>
      <c r="X393" s="155">
        <f>Ruimtestaat[[#This Row],[uren / jaar werkdagen]]*Tariefsopbouw!$E$35</f>
        <v>0</v>
      </c>
      <c r="Y393" s="33"/>
      <c r="Z393" s="33">
        <f>IF(Ruimtestaat[[#This Row],[Frequentie weekend]]&gt;0,VALUE(LEFT(Y393,1))*R393,0)</f>
        <v>0</v>
      </c>
      <c r="AA393" s="97">
        <f>IF($Z393&gt;0,VLOOKUP($J393,Ruimtegroepen[],3,FALSE)*VLOOKUP($L393,Vloersoorten[],3,FALSE)*VLOOKUP($Y393,Frequenties[],3,FALSE)*VLOOKUP(Ruimtestaat[[#This Row],[Code]],Locaties[],3,FALSE),0)</f>
        <v>0</v>
      </c>
      <c r="AB393" s="97">
        <f>Ruimtestaat[[#This Row],[Uitvoeringen weekend]]*Ruimtestaat[[#This Row],[Oppervlak (netto)]]</f>
        <v>0</v>
      </c>
      <c r="AC393" s="97">
        <f>IF(AA393&gt;0,Ruimtestaat[[#This Row],[Prest. (m2 /jaar) weekend]]/Ruimtestaat[[#This Row],[Norm (m2/uur) weekend]],0)</f>
        <v>0</v>
      </c>
      <c r="AD393" s="155">
        <f>Ruimtestaat[[#This Row],[uren / jaar weekend]]*Tariefsopbouw!$D$40</f>
        <v>0</v>
      </c>
      <c r="AE393" s="154">
        <f>Ruimtestaat[[#This Row],[Prest. (m2 /jaar) weekend]]+Ruimtestaat[[#This Row],[Prest. (m2 /jaar) werkdagen]]</f>
        <v>1764</v>
      </c>
      <c r="AF393" s="154">
        <f>Ruimtestaat[[#This Row],[uren / jaar weekend]]+Ruimtestaat[[#This Row],[uren / jaar werkdagen]]</f>
        <v>0</v>
      </c>
      <c r="AG393" s="69">
        <f>Ruimtestaat[[#This Row],[kosten / jaar weekend]]+Ruimtestaat[[#This Row],[kosten / jaar werkdagen]]</f>
        <v>0</v>
      </c>
      <c r="AH393" s="69"/>
      <c r="AI393" s="256" t="str">
        <f>IF(Ruimtestaat[[#This Row],[Frequentie werkdagen]]="","",_xlfn.CONCAT(Ruimtestaat[[#This Row],[Ruimte code]],"-",Ruimtestaat[[#This Row],[Frequentie werkdagen]]," ",Ruimtestaat[[#This Row],[Vloer code]]))</f>
        <v>2-3w T</v>
      </c>
      <c r="AJ393" s="300" t="str">
        <f>_xlfn.IFNA(VLOOKUP($AI393,Programma!$F$3:$G$1107,2,0),"")</f>
        <v>2w</v>
      </c>
      <c r="AK393" s="300" t="str">
        <f>_xlfn.IFNA(VLOOKUP($AI393,Programma!$F$3:$H$1107,3,0),"")</f>
        <v>1w</v>
      </c>
      <c r="AL393" s="300" t="str">
        <f>_xlfn.IFNA(VLOOKUP($AI393,Programma!$F$3:$I$1107,4,0),"")</f>
        <v>_</v>
      </c>
      <c r="AM393" s="300" t="str">
        <f>_xlfn.IFNA(VLOOKUP($AI393,Programma!$F$3:$J$1107,5,0),"")</f>
        <v>_</v>
      </c>
      <c r="AN393" s="300" t="str">
        <f>_xlfn.IFNA(VLOOKUP($AI393,Programma!$F$3:$K$1107,6,0),"")</f>
        <v>_</v>
      </c>
      <c r="AO393" s="300" t="str">
        <f>_xlfn.IFNA(VLOOKUP($AI393,Programma!$F$3:$L$1107,7,0),"")</f>
        <v>_</v>
      </c>
      <c r="AP393" s="300" t="str">
        <f>_xlfn.IFNA(VLOOKUP($AI393,Programma!$F$3:$M$1107,8,0),"")</f>
        <v>_</v>
      </c>
      <c r="AQ393" s="300" t="str">
        <f>_xlfn.IFNA(VLOOKUP($AI393,Programma!$F$3:$N$1107,9,0),"")</f>
        <v>_</v>
      </c>
      <c r="AR393" s="300" t="str">
        <f>_xlfn.IFNA(VLOOKUP($AI393,Programma!$F$3:$O$1107,10,0),"")</f>
        <v>3w</v>
      </c>
      <c r="AS393" s="300" t="str">
        <f>_xlfn.IFNA(VLOOKUP($AI393,Programma!$F$3:$P$1107,11,0),"")</f>
        <v>3w</v>
      </c>
      <c r="AT393" s="300" t="str">
        <f>_xlfn.IFNA(VLOOKUP($AI393,Programma!$F$3:$Q$1107,12,0),"")</f>
        <v>1w</v>
      </c>
      <c r="AU393" s="300" t="str">
        <f>_xlfn.IFNA(VLOOKUP($AI393,Programma!$F$3:$R$1107,13,0),"")</f>
        <v>1w</v>
      </c>
      <c r="AV393" s="300" t="str">
        <f>_xlfn.IFNA(VLOOKUP($AI393,Programma!$F$3:$S$1107,14,0),"")</f>
        <v>1m</v>
      </c>
      <c r="AW393" s="300" t="str">
        <f>_xlfn.IFNA(VLOOKUP($AI393,Programma!$F$3:$T$1107,15,0),"")</f>
        <v>2j</v>
      </c>
      <c r="AX393" s="300" t="str">
        <f>_xlfn.IFNA(VLOOKUP($AI393,Programma!$F$3:$U$1107,16,0),"")</f>
        <v>1j</v>
      </c>
      <c r="AY393" s="300" t="str">
        <f>_xlfn.IFNA(VLOOKUP($AI393,Programma!$F$3:$V$1107,17,0),"")</f>
        <v>_</v>
      </c>
      <c r="AZ393" s="300" t="str">
        <f>_xlfn.IFNA(VLOOKUP($AI393,Programma!$F$3:$W$1107,18,0),"")</f>
        <v>_</v>
      </c>
      <c r="BA393" s="300" t="str">
        <f>_xlfn.IFNA(VLOOKUP($AI393,Programma!$F$3:$X$1107,19,0),"")</f>
        <v>_</v>
      </c>
      <c r="BB393" s="300" t="str">
        <f>_xlfn.IFNA(VLOOKUP($AI393,Programma!$F$3:$Y$1107,20,0),"")</f>
        <v>_</v>
      </c>
      <c r="BC393" s="257"/>
      <c r="BD393" s="256" t="str">
        <f>IF(Ruimtestaat[[#This Row],[Frequentie weekend]]="","",_xlfn.CONCAT(Ruimtestaat[[#This Row],[Ruimte code]],"-",Ruimtestaat[[#This Row],[Frequentie weekend]]," ",Ruimtestaat[[#This Row],[Vloer code]]))</f>
        <v/>
      </c>
      <c r="BE393" s="300" t="str">
        <f>_xlfn.IFNA(VLOOKUP($BD393,Programma!$F$3:$G$1107,2,0),"")</f>
        <v/>
      </c>
      <c r="BF393" s="300" t="str">
        <f>_xlfn.IFNA(VLOOKUP($BD393,Programma!$F$3:$H$1107,3,0),"")</f>
        <v/>
      </c>
      <c r="BG393" s="300" t="str">
        <f>_xlfn.IFNA(VLOOKUP($BD393,Programma!$F$3:$I$1107,4,0),"")</f>
        <v/>
      </c>
      <c r="BH393" s="300" t="str">
        <f>_xlfn.IFNA(VLOOKUP($BD393,Programma!$F$3:$J$1107,5,0),"")</f>
        <v/>
      </c>
      <c r="BI393" s="300" t="str">
        <f>_xlfn.IFNA(VLOOKUP($BD393,Programma!$F$3:$K$1107,6,0),"")</f>
        <v/>
      </c>
      <c r="BJ393" s="300" t="str">
        <f>_xlfn.IFNA(VLOOKUP($BD393,Programma!$F$3:$L$1107,7,0),"")</f>
        <v/>
      </c>
      <c r="BK393" s="300" t="str">
        <f>_xlfn.IFNA(VLOOKUP($BD393,Programma!$F$3:$M$1107,8,0),"")</f>
        <v/>
      </c>
      <c r="BL393" s="300" t="str">
        <f>_xlfn.IFNA(VLOOKUP($BD393,Programma!$F$3:$N$1107,9,0),"")</f>
        <v/>
      </c>
      <c r="BM393" s="300" t="str">
        <f>_xlfn.IFNA(VLOOKUP($BD393,Programma!$F$3:$O$1107,10,0),"")</f>
        <v/>
      </c>
      <c r="BN393" s="300" t="str">
        <f>_xlfn.IFNA(VLOOKUP($BD393,Programma!$F$3:$P$1107,11,0),"")</f>
        <v/>
      </c>
      <c r="BO393" s="300" t="str">
        <f>_xlfn.IFNA(VLOOKUP($BD393,Programma!$F$3:$Q$1107,12,0),"")</f>
        <v/>
      </c>
      <c r="BP393" s="300" t="str">
        <f>_xlfn.IFNA(VLOOKUP($BD393,Programma!$F$3:$R$1107,13,0),"")</f>
        <v/>
      </c>
      <c r="BQ393" s="300" t="str">
        <f>_xlfn.IFNA(VLOOKUP($BD393,Programma!$F$3:$S$1107,14,0),"")</f>
        <v/>
      </c>
      <c r="BR393" s="300" t="str">
        <f>_xlfn.IFNA(VLOOKUP($BD393,Programma!$F$3:$T$1107,15,0),"")</f>
        <v/>
      </c>
      <c r="BS393" s="300" t="str">
        <f>_xlfn.IFNA(VLOOKUP($BD393,Programma!$F$3:$U$1107,16,0),"")</f>
        <v/>
      </c>
      <c r="BT393" s="300" t="str">
        <f>_xlfn.IFNA(VLOOKUP($BD393,Programma!$F$3:$V$1107,17,0),"")</f>
        <v/>
      </c>
      <c r="BU393" s="300" t="str">
        <f>_xlfn.IFNA(VLOOKUP($BD393,Programma!$F$3:$W$1107,18,0),"")</f>
        <v/>
      </c>
      <c r="BV393" s="300" t="str">
        <f>_xlfn.IFNA(VLOOKUP($BD393,Programma!$F$3:$X$1107,19,0),"")</f>
        <v/>
      </c>
      <c r="BW393" s="300" t="str">
        <f>_xlfn.IFNA(VLOOKUP($BD393,Programma!$F$3:$Y$1107,20,0),"")</f>
        <v/>
      </c>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c r="GK393" s="4"/>
      <c r="GL393" s="4"/>
      <c r="GM393" s="4"/>
      <c r="GN393" s="4"/>
      <c r="GO393" s="4"/>
      <c r="GP393" s="4"/>
      <c r="GQ393" s="4"/>
      <c r="GR393" s="4"/>
      <c r="GS393" s="4"/>
      <c r="GT393" s="4"/>
      <c r="GU393" s="4"/>
      <c r="GV393" s="4"/>
      <c r="GW393" s="4"/>
      <c r="GX393" s="4"/>
      <c r="GY393" s="4"/>
      <c r="GZ393" s="4"/>
      <c r="HA393" s="4"/>
      <c r="HB393" s="4"/>
      <c r="HC393" s="4"/>
      <c r="HD393" s="4"/>
      <c r="HE393" s="4"/>
      <c r="HF393" s="4"/>
      <c r="HG393" s="4"/>
      <c r="HH393" s="4"/>
      <c r="HI393" s="4"/>
      <c r="HJ393" s="4"/>
      <c r="HK393" s="4"/>
      <c r="HL393" s="4"/>
    </row>
    <row r="394" spans="1:220" ht="15" customHeight="1">
      <c r="A394" s="21">
        <v>5</v>
      </c>
      <c r="B394" s="157" t="str">
        <f>VLOOKUP(Ruimtestaat[[#This Row],[Code]],Locaties[[Code]:[Locatie]],2,FALSE)</f>
        <v>François Vatel vmbo</v>
      </c>
      <c r="C394" s="157" t="str">
        <f>VLOOKUP(Ruimtestaat[[#This Row],[Code]],Locaties[[#All],[Code]:[Adres]],4,FALSE)</f>
        <v>Granaathorst 20</v>
      </c>
      <c r="D394" s="157" t="str">
        <f>VLOOKUP(Ruimtestaat[[#This Row],[Code]],Locaties[[#All],[Code]:[Postcode]],5,FALSE)</f>
        <v>2592 TD</v>
      </c>
      <c r="E394" s="157" t="str">
        <f>VLOOKUP(Ruimtestaat[[#This Row],[Code]],Locaties[#All],6,FALSE)</f>
        <v>Den Haag</v>
      </c>
      <c r="F394" s="62"/>
      <c r="G394" s="21" t="s">
        <v>1624</v>
      </c>
      <c r="H394" s="21" t="s">
        <v>1681</v>
      </c>
      <c r="I394" s="62" t="s">
        <v>2050</v>
      </c>
      <c r="J394" s="21">
        <v>2</v>
      </c>
      <c r="K394" s="62" t="str">
        <f>VLOOKUP(Ruimtestaat[[#This Row],[Ruimte code]],Ruimtegroepen[[#All],[Code]:[Ruimte omschrijving]],2,FALSE)</f>
        <v>Kantoren</v>
      </c>
      <c r="L394" s="33" t="s">
        <v>100</v>
      </c>
      <c r="M394" s="367" t="s">
        <v>2493</v>
      </c>
      <c r="N394" s="140">
        <v>21</v>
      </c>
      <c r="O394" s="140"/>
      <c r="P394" s="125" t="str">
        <f>VLOOKUP(Ruimtestaat[[#This Row],[Ruimte code]],Ruimtegroepen[],4,FALSE)</f>
        <v>Bu</v>
      </c>
      <c r="R394" s="33">
        <v>42</v>
      </c>
      <c r="S394" s="33" t="s">
        <v>18</v>
      </c>
      <c r="T394" s="33">
        <f>IF(R394&gt;0,IF(RIGHT(Ruimtestaat[[#This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94" s="33">
        <f>IF(T394&gt;0,VLOOKUP($J394,Ruimtegroepen[],3,FALSE)*VLOOKUP($L394,Vloersoorten[],3,FALSE)*VLOOKUP($S394,Frequenties[],3,FALSE)*VLOOKUP($A394,Locaties[],3,FALSE),0)</f>
        <v>0</v>
      </c>
      <c r="V394" s="33">
        <f>Ruimtestaat[[#This Row],[Uitvoeringen werkdagen]]*Ruimtestaat[[#This Row],[Oppervlak (netto)]]</f>
        <v>2646</v>
      </c>
      <c r="W394" s="154">
        <f>IF(U394&gt;0,Ruimtestaat[[#This Row],[Prest. (m2 /jaar) werkdagen]]/Ruimtestaat[[#This Row],[Norm (m2/uur) werkdagen]],0)</f>
        <v>0</v>
      </c>
      <c r="X394" s="155">
        <f>Ruimtestaat[[#This Row],[uren / jaar werkdagen]]*Tariefsopbouw!$E$35</f>
        <v>0</v>
      </c>
      <c r="Y394" s="33"/>
      <c r="Z394" s="33">
        <f>IF(Ruimtestaat[[#This Row],[Frequentie weekend]]&gt;0,VALUE(LEFT(Y394,1))*R394,0)</f>
        <v>0</v>
      </c>
      <c r="AA394" s="97">
        <f>IF($Z394&gt;0,VLOOKUP($J394,Ruimtegroepen[],3,FALSE)*VLOOKUP($L394,Vloersoorten[],3,FALSE)*VLOOKUP($Y394,Frequenties[],3,FALSE)*VLOOKUP(Ruimtestaat[[#This Row],[Code]],Locaties[],3,FALSE),0)</f>
        <v>0</v>
      </c>
      <c r="AB394" s="97">
        <f>Ruimtestaat[[#This Row],[Uitvoeringen weekend]]*Ruimtestaat[[#This Row],[Oppervlak (netto)]]</f>
        <v>0</v>
      </c>
      <c r="AC394" s="97">
        <f>IF(AA394&gt;0,Ruimtestaat[[#This Row],[Prest. (m2 /jaar) weekend]]/Ruimtestaat[[#This Row],[Norm (m2/uur) weekend]],0)</f>
        <v>0</v>
      </c>
      <c r="AD394" s="155">
        <f>Ruimtestaat[[#This Row],[uren / jaar weekend]]*Tariefsopbouw!$D$40</f>
        <v>0</v>
      </c>
      <c r="AE394" s="154">
        <f>Ruimtestaat[[#This Row],[Prest. (m2 /jaar) weekend]]+Ruimtestaat[[#This Row],[Prest. (m2 /jaar) werkdagen]]</f>
        <v>2646</v>
      </c>
      <c r="AF394" s="154">
        <f>Ruimtestaat[[#This Row],[uren / jaar weekend]]+Ruimtestaat[[#This Row],[uren / jaar werkdagen]]</f>
        <v>0</v>
      </c>
      <c r="AG394" s="69">
        <f>Ruimtestaat[[#This Row],[kosten / jaar weekend]]+Ruimtestaat[[#This Row],[kosten / jaar werkdagen]]</f>
        <v>0</v>
      </c>
      <c r="AH394" s="69"/>
      <c r="AI394" s="256" t="str">
        <f>IF(Ruimtestaat[[#This Row],[Frequentie werkdagen]]="","",_xlfn.CONCAT(Ruimtestaat[[#This Row],[Ruimte code]],"-",Ruimtestaat[[#This Row],[Frequentie werkdagen]]," ",Ruimtestaat[[#This Row],[Vloer code]]))</f>
        <v>2-3w T</v>
      </c>
      <c r="AJ394" s="300" t="str">
        <f>_xlfn.IFNA(VLOOKUP($AI394,Programma!$F$3:$G$1107,2,0),"")</f>
        <v>2w</v>
      </c>
      <c r="AK394" s="300" t="str">
        <f>_xlfn.IFNA(VLOOKUP($AI394,Programma!$F$3:$H$1107,3,0),"")</f>
        <v>1w</v>
      </c>
      <c r="AL394" s="300" t="str">
        <f>_xlfn.IFNA(VLOOKUP($AI394,Programma!$F$3:$I$1107,4,0),"")</f>
        <v>_</v>
      </c>
      <c r="AM394" s="300" t="str">
        <f>_xlfn.IFNA(VLOOKUP($AI394,Programma!$F$3:$J$1107,5,0),"")</f>
        <v>_</v>
      </c>
      <c r="AN394" s="300" t="str">
        <f>_xlfn.IFNA(VLOOKUP($AI394,Programma!$F$3:$K$1107,6,0),"")</f>
        <v>_</v>
      </c>
      <c r="AO394" s="300" t="str">
        <f>_xlfn.IFNA(VLOOKUP($AI394,Programma!$F$3:$L$1107,7,0),"")</f>
        <v>_</v>
      </c>
      <c r="AP394" s="300" t="str">
        <f>_xlfn.IFNA(VLOOKUP($AI394,Programma!$F$3:$M$1107,8,0),"")</f>
        <v>_</v>
      </c>
      <c r="AQ394" s="300" t="str">
        <f>_xlfn.IFNA(VLOOKUP($AI394,Programma!$F$3:$N$1107,9,0),"")</f>
        <v>_</v>
      </c>
      <c r="AR394" s="300" t="str">
        <f>_xlfn.IFNA(VLOOKUP($AI394,Programma!$F$3:$O$1107,10,0),"")</f>
        <v>3w</v>
      </c>
      <c r="AS394" s="300" t="str">
        <f>_xlfn.IFNA(VLOOKUP($AI394,Programma!$F$3:$P$1107,11,0),"")</f>
        <v>3w</v>
      </c>
      <c r="AT394" s="300" t="str">
        <f>_xlfn.IFNA(VLOOKUP($AI394,Programma!$F$3:$Q$1107,12,0),"")</f>
        <v>1w</v>
      </c>
      <c r="AU394" s="300" t="str">
        <f>_xlfn.IFNA(VLOOKUP($AI394,Programma!$F$3:$R$1107,13,0),"")</f>
        <v>1w</v>
      </c>
      <c r="AV394" s="300" t="str">
        <f>_xlfn.IFNA(VLOOKUP($AI394,Programma!$F$3:$S$1107,14,0),"")</f>
        <v>1m</v>
      </c>
      <c r="AW394" s="300" t="str">
        <f>_xlfn.IFNA(VLOOKUP($AI394,Programma!$F$3:$T$1107,15,0),"")</f>
        <v>2j</v>
      </c>
      <c r="AX394" s="300" t="str">
        <f>_xlfn.IFNA(VLOOKUP($AI394,Programma!$F$3:$U$1107,16,0),"")</f>
        <v>1j</v>
      </c>
      <c r="AY394" s="300" t="str">
        <f>_xlfn.IFNA(VLOOKUP($AI394,Programma!$F$3:$V$1107,17,0),"")</f>
        <v>_</v>
      </c>
      <c r="AZ394" s="300" t="str">
        <f>_xlfn.IFNA(VLOOKUP($AI394,Programma!$F$3:$W$1107,18,0),"")</f>
        <v>_</v>
      </c>
      <c r="BA394" s="300" t="str">
        <f>_xlfn.IFNA(VLOOKUP($AI394,Programma!$F$3:$X$1107,19,0),"")</f>
        <v>_</v>
      </c>
      <c r="BB394" s="300" t="str">
        <f>_xlfn.IFNA(VLOOKUP($AI394,Programma!$F$3:$Y$1107,20,0),"")</f>
        <v>_</v>
      </c>
      <c r="BC394" s="257"/>
      <c r="BD394" s="256" t="str">
        <f>IF(Ruimtestaat[[#This Row],[Frequentie weekend]]="","",_xlfn.CONCAT(Ruimtestaat[[#This Row],[Ruimte code]],"-",Ruimtestaat[[#This Row],[Frequentie weekend]]," ",Ruimtestaat[[#This Row],[Vloer code]]))</f>
        <v/>
      </c>
      <c r="BE394" s="300" t="str">
        <f>_xlfn.IFNA(VLOOKUP($BD394,Programma!$F$3:$G$1107,2,0),"")</f>
        <v/>
      </c>
      <c r="BF394" s="300" t="str">
        <f>_xlfn.IFNA(VLOOKUP($BD394,Programma!$F$3:$H$1107,3,0),"")</f>
        <v/>
      </c>
      <c r="BG394" s="300" t="str">
        <f>_xlfn.IFNA(VLOOKUP($BD394,Programma!$F$3:$I$1107,4,0),"")</f>
        <v/>
      </c>
      <c r="BH394" s="300" t="str">
        <f>_xlfn.IFNA(VLOOKUP($BD394,Programma!$F$3:$J$1107,5,0),"")</f>
        <v/>
      </c>
      <c r="BI394" s="300" t="str">
        <f>_xlfn.IFNA(VLOOKUP($BD394,Programma!$F$3:$K$1107,6,0),"")</f>
        <v/>
      </c>
      <c r="BJ394" s="300" t="str">
        <f>_xlfn.IFNA(VLOOKUP($BD394,Programma!$F$3:$L$1107,7,0),"")</f>
        <v/>
      </c>
      <c r="BK394" s="300" t="str">
        <f>_xlfn.IFNA(VLOOKUP($BD394,Programma!$F$3:$M$1107,8,0),"")</f>
        <v/>
      </c>
      <c r="BL394" s="300" t="str">
        <f>_xlfn.IFNA(VLOOKUP($BD394,Programma!$F$3:$N$1107,9,0),"")</f>
        <v/>
      </c>
      <c r="BM394" s="300" t="str">
        <f>_xlfn.IFNA(VLOOKUP($BD394,Programma!$F$3:$O$1107,10,0),"")</f>
        <v/>
      </c>
      <c r="BN394" s="300" t="str">
        <f>_xlfn.IFNA(VLOOKUP($BD394,Programma!$F$3:$P$1107,11,0),"")</f>
        <v/>
      </c>
      <c r="BO394" s="300" t="str">
        <f>_xlfn.IFNA(VLOOKUP($BD394,Programma!$F$3:$Q$1107,12,0),"")</f>
        <v/>
      </c>
      <c r="BP394" s="300" t="str">
        <f>_xlfn.IFNA(VLOOKUP($BD394,Programma!$F$3:$R$1107,13,0),"")</f>
        <v/>
      </c>
      <c r="BQ394" s="300" t="str">
        <f>_xlfn.IFNA(VLOOKUP($BD394,Programma!$F$3:$S$1107,14,0),"")</f>
        <v/>
      </c>
      <c r="BR394" s="300" t="str">
        <f>_xlfn.IFNA(VLOOKUP($BD394,Programma!$F$3:$T$1107,15,0),"")</f>
        <v/>
      </c>
      <c r="BS394" s="300" t="str">
        <f>_xlfn.IFNA(VLOOKUP($BD394,Programma!$F$3:$U$1107,16,0),"")</f>
        <v/>
      </c>
      <c r="BT394" s="300" t="str">
        <f>_xlfn.IFNA(VLOOKUP($BD394,Programma!$F$3:$V$1107,17,0),"")</f>
        <v/>
      </c>
      <c r="BU394" s="300" t="str">
        <f>_xlfn.IFNA(VLOOKUP($BD394,Programma!$F$3:$W$1107,18,0),"")</f>
        <v/>
      </c>
      <c r="BV394" s="300" t="str">
        <f>_xlfn.IFNA(VLOOKUP($BD394,Programma!$F$3:$X$1107,19,0),"")</f>
        <v/>
      </c>
      <c r="BW394" s="300" t="str">
        <f>_xlfn.IFNA(VLOOKUP($BD394,Programma!$F$3:$Y$1107,20,0),"")</f>
        <v/>
      </c>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c r="GK394" s="4"/>
      <c r="GL394" s="4"/>
      <c r="GM394" s="4"/>
      <c r="GN394" s="4"/>
      <c r="GO394" s="4"/>
      <c r="GP394" s="4"/>
      <c r="GQ394" s="4"/>
      <c r="GR394" s="4"/>
      <c r="GS394" s="4"/>
      <c r="GT394" s="4"/>
      <c r="GU394" s="4"/>
      <c r="GV394" s="4"/>
      <c r="GW394" s="4"/>
      <c r="GX394" s="4"/>
      <c r="GY394" s="4"/>
      <c r="GZ394" s="4"/>
      <c r="HA394" s="4"/>
      <c r="HB394" s="4"/>
      <c r="HC394" s="4"/>
      <c r="HD394" s="4"/>
      <c r="HE394" s="4"/>
      <c r="HF394" s="4"/>
      <c r="HG394" s="4"/>
      <c r="HH394" s="4"/>
      <c r="HI394" s="4"/>
      <c r="HJ394" s="4"/>
      <c r="HK394" s="4"/>
      <c r="HL394" s="4"/>
    </row>
    <row r="395" spans="1:220" ht="15" customHeight="1">
      <c r="A395" s="21">
        <v>5</v>
      </c>
      <c r="B395" s="157" t="str">
        <f>VLOOKUP(Ruimtestaat[[#This Row],[Code]],Locaties[[Code]:[Locatie]],2,FALSE)</f>
        <v>François Vatel vmbo</v>
      </c>
      <c r="C395" s="157" t="str">
        <f>VLOOKUP(Ruimtestaat[[#This Row],[Code]],Locaties[[#All],[Code]:[Adres]],4,FALSE)</f>
        <v>Granaathorst 20</v>
      </c>
      <c r="D395" s="157" t="str">
        <f>VLOOKUP(Ruimtestaat[[#This Row],[Code]],Locaties[[#All],[Code]:[Postcode]],5,FALSE)</f>
        <v>2592 TD</v>
      </c>
      <c r="E395" s="157" t="str">
        <f>VLOOKUP(Ruimtestaat[[#This Row],[Code]],Locaties[#All],6,FALSE)</f>
        <v>Den Haag</v>
      </c>
      <c r="F395" s="62"/>
      <c r="G395" s="21" t="s">
        <v>1624</v>
      </c>
      <c r="H395" s="21" t="s">
        <v>1683</v>
      </c>
      <c r="I395" s="62" t="s">
        <v>2051</v>
      </c>
      <c r="J395" s="21">
        <v>16</v>
      </c>
      <c r="K395" s="62" t="str">
        <f>VLOOKUP(Ruimtestaat[[#This Row],[Ruimte code]],Ruimtegroepen[[#All],[Code]:[Ruimte omschrijving]],2,FALSE)</f>
        <v>Leslokalen theorie</v>
      </c>
      <c r="L395" s="33" t="s">
        <v>101</v>
      </c>
      <c r="M395" s="367" t="s">
        <v>2495</v>
      </c>
      <c r="N395" s="140">
        <v>53</v>
      </c>
      <c r="O395" s="140"/>
      <c r="P395" s="125" t="str">
        <f>VLOOKUP(Ruimtestaat[[#This Row],[Ruimte code]],Ruimtegroepen[],4,FALSE)</f>
        <v>Le</v>
      </c>
      <c r="R395" s="33">
        <v>40</v>
      </c>
      <c r="S395" s="33" t="s">
        <v>2</v>
      </c>
      <c r="T395" s="33">
        <f>IF(R395&gt;0,IF(RIGHT(Ruimtestaat[[#This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5" s="33">
        <f>IF(T395&gt;0,VLOOKUP($J395,Ruimtegroepen[],3,FALSE)*VLOOKUP($L395,Vloersoorten[],3,FALSE)*VLOOKUP($S395,Frequenties[],3,FALSE)*VLOOKUP($A395,Locaties[],3,FALSE),0)</f>
        <v>0</v>
      </c>
      <c r="V395" s="33">
        <f>Ruimtestaat[[#This Row],[Uitvoeringen werkdagen]]*Ruimtestaat[[#This Row],[Oppervlak (netto)]]</f>
        <v>10600</v>
      </c>
      <c r="W395" s="154">
        <f>IF(U395&gt;0,Ruimtestaat[[#This Row],[Prest. (m2 /jaar) werkdagen]]/Ruimtestaat[[#This Row],[Norm (m2/uur) werkdagen]],0)</f>
        <v>0</v>
      </c>
      <c r="X395" s="155">
        <f>Ruimtestaat[[#This Row],[uren / jaar werkdagen]]*Tariefsopbouw!$E$35</f>
        <v>0</v>
      </c>
      <c r="Y395" s="33"/>
      <c r="Z395" s="33">
        <f>IF(Ruimtestaat[[#This Row],[Frequentie weekend]]&gt;0,VALUE(LEFT(Y395,1))*R395,0)</f>
        <v>0</v>
      </c>
      <c r="AA395" s="97">
        <f>IF($Z395&gt;0,VLOOKUP($J395,Ruimtegroepen[],3,FALSE)*VLOOKUP($L395,Vloersoorten[],3,FALSE)*VLOOKUP($Y395,Frequenties[],3,FALSE)*VLOOKUP(Ruimtestaat[[#This Row],[Code]],Locaties[],3,FALSE),0)</f>
        <v>0</v>
      </c>
      <c r="AB395" s="97">
        <f>Ruimtestaat[[#This Row],[Uitvoeringen weekend]]*Ruimtestaat[[#This Row],[Oppervlak (netto)]]</f>
        <v>0</v>
      </c>
      <c r="AC395" s="97">
        <f>IF(AA395&gt;0,Ruimtestaat[[#This Row],[Prest. (m2 /jaar) weekend]]/Ruimtestaat[[#This Row],[Norm (m2/uur) weekend]],0)</f>
        <v>0</v>
      </c>
      <c r="AD395" s="155">
        <f>Ruimtestaat[[#This Row],[uren / jaar weekend]]*Tariefsopbouw!$D$40</f>
        <v>0</v>
      </c>
      <c r="AE395" s="154">
        <f>Ruimtestaat[[#This Row],[Prest. (m2 /jaar) weekend]]+Ruimtestaat[[#This Row],[Prest. (m2 /jaar) werkdagen]]</f>
        <v>10600</v>
      </c>
      <c r="AF395" s="154">
        <f>Ruimtestaat[[#This Row],[uren / jaar weekend]]+Ruimtestaat[[#This Row],[uren / jaar werkdagen]]</f>
        <v>0</v>
      </c>
      <c r="AG395" s="69">
        <f>Ruimtestaat[[#This Row],[kosten / jaar weekend]]+Ruimtestaat[[#This Row],[kosten / jaar werkdagen]]</f>
        <v>0</v>
      </c>
      <c r="AH395" s="69"/>
      <c r="AI395" s="256" t="str">
        <f>IF(Ruimtestaat[[#This Row],[Frequentie werkdagen]]="","",_xlfn.CONCAT(Ruimtestaat[[#This Row],[Ruimte code]],"-",Ruimtestaat[[#This Row],[Frequentie werkdagen]]," ",Ruimtestaat[[#This Row],[Vloer code]]))</f>
        <v>16-5w L</v>
      </c>
      <c r="AJ395" s="300" t="str">
        <f>_xlfn.IFNA(VLOOKUP($AI395,Programma!$F$3:$G$1107,2,0),"")</f>
        <v>_</v>
      </c>
      <c r="AK395" s="300" t="str">
        <f>_xlfn.IFNA(VLOOKUP($AI395,Programma!$F$3:$H$1107,3,0),"")</f>
        <v>_</v>
      </c>
      <c r="AL395" s="300" t="str">
        <f>_xlfn.IFNA(VLOOKUP($AI395,Programma!$F$3:$I$1107,4,0),"")</f>
        <v>4w</v>
      </c>
      <c r="AM395" s="300" t="str">
        <f>_xlfn.IFNA(VLOOKUP($AI395,Programma!$F$3:$J$1107,5,0),"")</f>
        <v>1w</v>
      </c>
      <c r="AN395" s="300" t="str">
        <f>_xlfn.IFNA(VLOOKUP($AI395,Programma!$F$3:$K$1107,6,0),"")</f>
        <v>_</v>
      </c>
      <c r="AO395" s="300" t="str">
        <f>_xlfn.IFNA(VLOOKUP($AI395,Programma!$F$3:$L$1107,7,0),"")</f>
        <v>_</v>
      </c>
      <c r="AP395" s="300" t="str">
        <f>_xlfn.IFNA(VLOOKUP($AI395,Programma!$F$3:$M$1107,8,0),"")</f>
        <v>_</v>
      </c>
      <c r="AQ395" s="300" t="str">
        <f>_xlfn.IFNA(VLOOKUP($AI395,Programma!$F$3:$N$1107,9,0),"")</f>
        <v>_</v>
      </c>
      <c r="AR395" s="300" t="str">
        <f>_xlfn.IFNA(VLOOKUP($AI395,Programma!$F$3:$O$1107,10,0),"")</f>
        <v>5w</v>
      </c>
      <c r="AS395" s="300" t="str">
        <f>_xlfn.IFNA(VLOOKUP($AI395,Programma!$F$3:$P$1107,11,0),"")</f>
        <v>5w</v>
      </c>
      <c r="AT395" s="300" t="str">
        <f>_xlfn.IFNA(VLOOKUP($AI395,Programma!$F$3:$Q$1107,12,0),"")</f>
        <v>1w</v>
      </c>
      <c r="AU395" s="300" t="str">
        <f>_xlfn.IFNA(VLOOKUP($AI395,Programma!$F$3:$R$1107,13,0),"")</f>
        <v>1w</v>
      </c>
      <c r="AV395" s="300" t="str">
        <f>_xlfn.IFNA(VLOOKUP($AI395,Programma!$F$3:$S$1107,14,0),"")</f>
        <v>1m</v>
      </c>
      <c r="AW395" s="300" t="str">
        <f>_xlfn.IFNA(VLOOKUP($AI395,Programma!$F$3:$T$1107,15,0),"")</f>
        <v>2j</v>
      </c>
      <c r="AX395" s="300" t="str">
        <f>_xlfn.IFNA(VLOOKUP($AI395,Programma!$F$3:$U$1107,16,0),"")</f>
        <v>1j</v>
      </c>
      <c r="AY395" s="300" t="str">
        <f>_xlfn.IFNA(VLOOKUP($AI395,Programma!$F$3:$V$1107,17,0),"")</f>
        <v>_</v>
      </c>
      <c r="AZ395" s="300" t="str">
        <f>_xlfn.IFNA(VLOOKUP($AI395,Programma!$F$3:$W$1107,18,0),"")</f>
        <v>_</v>
      </c>
      <c r="BA395" s="300" t="str">
        <f>_xlfn.IFNA(VLOOKUP($AI395,Programma!$F$3:$X$1107,19,0),"")</f>
        <v>_</v>
      </c>
      <c r="BB395" s="300" t="str">
        <f>_xlfn.IFNA(VLOOKUP($AI395,Programma!$F$3:$Y$1107,20,0),"")</f>
        <v>_</v>
      </c>
      <c r="BC395" s="257"/>
      <c r="BD395" s="256" t="str">
        <f>IF(Ruimtestaat[[#This Row],[Frequentie weekend]]="","",_xlfn.CONCAT(Ruimtestaat[[#This Row],[Ruimte code]],"-",Ruimtestaat[[#This Row],[Frequentie weekend]]," ",Ruimtestaat[[#This Row],[Vloer code]]))</f>
        <v/>
      </c>
      <c r="BE395" s="300" t="str">
        <f>_xlfn.IFNA(VLOOKUP($BD395,Programma!$F$3:$G$1107,2,0),"")</f>
        <v/>
      </c>
      <c r="BF395" s="300" t="str">
        <f>_xlfn.IFNA(VLOOKUP($BD395,Programma!$F$3:$H$1107,3,0),"")</f>
        <v/>
      </c>
      <c r="BG395" s="300" t="str">
        <f>_xlfn.IFNA(VLOOKUP($BD395,Programma!$F$3:$I$1107,4,0),"")</f>
        <v/>
      </c>
      <c r="BH395" s="300" t="str">
        <f>_xlfn.IFNA(VLOOKUP($BD395,Programma!$F$3:$J$1107,5,0),"")</f>
        <v/>
      </c>
      <c r="BI395" s="300" t="str">
        <f>_xlfn.IFNA(VLOOKUP($BD395,Programma!$F$3:$K$1107,6,0),"")</f>
        <v/>
      </c>
      <c r="BJ395" s="300" t="str">
        <f>_xlfn.IFNA(VLOOKUP($BD395,Programma!$F$3:$L$1107,7,0),"")</f>
        <v/>
      </c>
      <c r="BK395" s="300" t="str">
        <f>_xlfn.IFNA(VLOOKUP($BD395,Programma!$F$3:$M$1107,8,0),"")</f>
        <v/>
      </c>
      <c r="BL395" s="300" t="str">
        <f>_xlfn.IFNA(VLOOKUP($BD395,Programma!$F$3:$N$1107,9,0),"")</f>
        <v/>
      </c>
      <c r="BM395" s="300" t="str">
        <f>_xlfn.IFNA(VLOOKUP($BD395,Programma!$F$3:$O$1107,10,0),"")</f>
        <v/>
      </c>
      <c r="BN395" s="300" t="str">
        <f>_xlfn.IFNA(VLOOKUP($BD395,Programma!$F$3:$P$1107,11,0),"")</f>
        <v/>
      </c>
      <c r="BO395" s="300" t="str">
        <f>_xlfn.IFNA(VLOOKUP($BD395,Programma!$F$3:$Q$1107,12,0),"")</f>
        <v/>
      </c>
      <c r="BP395" s="300" t="str">
        <f>_xlfn.IFNA(VLOOKUP($BD395,Programma!$F$3:$R$1107,13,0),"")</f>
        <v/>
      </c>
      <c r="BQ395" s="300" t="str">
        <f>_xlfn.IFNA(VLOOKUP($BD395,Programma!$F$3:$S$1107,14,0),"")</f>
        <v/>
      </c>
      <c r="BR395" s="300" t="str">
        <f>_xlfn.IFNA(VLOOKUP($BD395,Programma!$F$3:$T$1107,15,0),"")</f>
        <v/>
      </c>
      <c r="BS395" s="300" t="str">
        <f>_xlfn.IFNA(VLOOKUP($BD395,Programma!$F$3:$U$1107,16,0),"")</f>
        <v/>
      </c>
      <c r="BT395" s="300" t="str">
        <f>_xlfn.IFNA(VLOOKUP($BD395,Programma!$F$3:$V$1107,17,0),"")</f>
        <v/>
      </c>
      <c r="BU395" s="300" t="str">
        <f>_xlfn.IFNA(VLOOKUP($BD395,Programma!$F$3:$W$1107,18,0),"")</f>
        <v/>
      </c>
      <c r="BV395" s="300" t="str">
        <f>_xlfn.IFNA(VLOOKUP($BD395,Programma!$F$3:$X$1107,19,0),"")</f>
        <v/>
      </c>
      <c r="BW395" s="300" t="str">
        <f>_xlfn.IFNA(VLOOKUP($BD395,Programma!$F$3:$Y$1107,20,0),"")</f>
        <v/>
      </c>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c r="GK395" s="4"/>
      <c r="GL395" s="4"/>
      <c r="GM395" s="4"/>
      <c r="GN395" s="4"/>
      <c r="GO395" s="4"/>
      <c r="GP395" s="4"/>
      <c r="GQ395" s="4"/>
      <c r="GR395" s="4"/>
      <c r="GS395" s="4"/>
      <c r="GT395" s="4"/>
      <c r="GU395" s="4"/>
      <c r="GV395" s="4"/>
      <c r="GW395" s="4"/>
      <c r="GX395" s="4"/>
      <c r="GY395" s="4"/>
      <c r="GZ395" s="4"/>
      <c r="HA395" s="4"/>
      <c r="HB395" s="4"/>
      <c r="HC395" s="4"/>
      <c r="HD395" s="4"/>
      <c r="HE395" s="4"/>
      <c r="HF395" s="4"/>
      <c r="HG395" s="4"/>
      <c r="HH395" s="4"/>
      <c r="HI395" s="4"/>
      <c r="HJ395" s="4"/>
      <c r="HK395" s="4"/>
      <c r="HL395" s="4"/>
    </row>
    <row r="396" spans="1:220" ht="15" customHeight="1">
      <c r="A396" s="21">
        <v>5</v>
      </c>
      <c r="B396" s="157" t="str">
        <f>VLOOKUP(Ruimtestaat[[#This Row],[Code]],Locaties[[Code]:[Locatie]],2,FALSE)</f>
        <v>François Vatel vmbo</v>
      </c>
      <c r="C396" s="157" t="str">
        <f>VLOOKUP(Ruimtestaat[[#This Row],[Code]],Locaties[[#All],[Code]:[Adres]],4,FALSE)</f>
        <v>Granaathorst 20</v>
      </c>
      <c r="D396" s="157" t="str">
        <f>VLOOKUP(Ruimtestaat[[#This Row],[Code]],Locaties[[#All],[Code]:[Postcode]],5,FALSE)</f>
        <v>2592 TD</v>
      </c>
      <c r="E396" s="157" t="str">
        <f>VLOOKUP(Ruimtestaat[[#This Row],[Code]],Locaties[#All],6,FALSE)</f>
        <v>Den Haag</v>
      </c>
      <c r="F396" s="62"/>
      <c r="G396" s="21" t="s">
        <v>1624</v>
      </c>
      <c r="H396" s="21" t="s">
        <v>1685</v>
      </c>
      <c r="I396" s="62" t="s">
        <v>2052</v>
      </c>
      <c r="J396" s="21">
        <v>16</v>
      </c>
      <c r="K396" s="62" t="str">
        <f>VLOOKUP(Ruimtestaat[[#This Row],[Ruimte code]],Ruimtegroepen[[#All],[Code]:[Ruimte omschrijving]],2,FALSE)</f>
        <v>Leslokalen theorie</v>
      </c>
      <c r="L396" s="33" t="s">
        <v>101</v>
      </c>
      <c r="M396" s="367" t="s">
        <v>2495</v>
      </c>
      <c r="N396" s="140">
        <v>55</v>
      </c>
      <c r="O396" s="140"/>
      <c r="P396" s="125" t="str">
        <f>VLOOKUP(Ruimtestaat[[#This Row],[Ruimte code]],Ruimtegroepen[],4,FALSE)</f>
        <v>Le</v>
      </c>
      <c r="R396" s="33">
        <v>40</v>
      </c>
      <c r="S396" s="33" t="s">
        <v>2</v>
      </c>
      <c r="T396" s="33">
        <f>IF(R396&gt;0,IF(RIGHT(Ruimtestaat[[#This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6" s="33">
        <f>IF(T396&gt;0,VLOOKUP($J396,Ruimtegroepen[],3,FALSE)*VLOOKUP($L396,Vloersoorten[],3,FALSE)*VLOOKUP($S396,Frequenties[],3,FALSE)*VLOOKUP($A396,Locaties[],3,FALSE),0)</f>
        <v>0</v>
      </c>
      <c r="V396" s="33">
        <f>Ruimtestaat[[#This Row],[Uitvoeringen werkdagen]]*Ruimtestaat[[#This Row],[Oppervlak (netto)]]</f>
        <v>11000</v>
      </c>
      <c r="W396" s="154">
        <f>IF(U396&gt;0,Ruimtestaat[[#This Row],[Prest. (m2 /jaar) werkdagen]]/Ruimtestaat[[#This Row],[Norm (m2/uur) werkdagen]],0)</f>
        <v>0</v>
      </c>
      <c r="X396" s="155">
        <f>Ruimtestaat[[#This Row],[uren / jaar werkdagen]]*Tariefsopbouw!$E$35</f>
        <v>0</v>
      </c>
      <c r="Y396" s="33"/>
      <c r="Z396" s="33">
        <f>IF(Ruimtestaat[[#This Row],[Frequentie weekend]]&gt;0,VALUE(LEFT(Y396,1))*R396,0)</f>
        <v>0</v>
      </c>
      <c r="AA396" s="97">
        <f>IF($Z396&gt;0,VLOOKUP($J396,Ruimtegroepen[],3,FALSE)*VLOOKUP($L396,Vloersoorten[],3,FALSE)*VLOOKUP($Y396,Frequenties[],3,FALSE)*VLOOKUP(Ruimtestaat[[#This Row],[Code]],Locaties[],3,FALSE),0)</f>
        <v>0</v>
      </c>
      <c r="AB396" s="97">
        <f>Ruimtestaat[[#This Row],[Uitvoeringen weekend]]*Ruimtestaat[[#This Row],[Oppervlak (netto)]]</f>
        <v>0</v>
      </c>
      <c r="AC396" s="97">
        <f>IF(AA396&gt;0,Ruimtestaat[[#This Row],[Prest. (m2 /jaar) weekend]]/Ruimtestaat[[#This Row],[Norm (m2/uur) weekend]],0)</f>
        <v>0</v>
      </c>
      <c r="AD396" s="155">
        <f>Ruimtestaat[[#This Row],[uren / jaar weekend]]*Tariefsopbouw!$D$40</f>
        <v>0</v>
      </c>
      <c r="AE396" s="154">
        <f>Ruimtestaat[[#This Row],[Prest. (m2 /jaar) weekend]]+Ruimtestaat[[#This Row],[Prest. (m2 /jaar) werkdagen]]</f>
        <v>11000</v>
      </c>
      <c r="AF396" s="154">
        <f>Ruimtestaat[[#This Row],[uren / jaar weekend]]+Ruimtestaat[[#This Row],[uren / jaar werkdagen]]</f>
        <v>0</v>
      </c>
      <c r="AG396" s="69">
        <f>Ruimtestaat[[#This Row],[kosten / jaar weekend]]+Ruimtestaat[[#This Row],[kosten / jaar werkdagen]]</f>
        <v>0</v>
      </c>
      <c r="AH396" s="69"/>
      <c r="AI396" s="256" t="str">
        <f>IF(Ruimtestaat[[#This Row],[Frequentie werkdagen]]="","",_xlfn.CONCAT(Ruimtestaat[[#This Row],[Ruimte code]],"-",Ruimtestaat[[#This Row],[Frequentie werkdagen]]," ",Ruimtestaat[[#This Row],[Vloer code]]))</f>
        <v>16-5w L</v>
      </c>
      <c r="AJ396" s="300" t="str">
        <f>_xlfn.IFNA(VLOOKUP($AI396,Programma!$F$3:$G$1107,2,0),"")</f>
        <v>_</v>
      </c>
      <c r="AK396" s="300" t="str">
        <f>_xlfn.IFNA(VLOOKUP($AI396,Programma!$F$3:$H$1107,3,0),"")</f>
        <v>_</v>
      </c>
      <c r="AL396" s="300" t="str">
        <f>_xlfn.IFNA(VLOOKUP($AI396,Programma!$F$3:$I$1107,4,0),"")</f>
        <v>4w</v>
      </c>
      <c r="AM396" s="300" t="str">
        <f>_xlfn.IFNA(VLOOKUP($AI396,Programma!$F$3:$J$1107,5,0),"")</f>
        <v>1w</v>
      </c>
      <c r="AN396" s="300" t="str">
        <f>_xlfn.IFNA(VLOOKUP($AI396,Programma!$F$3:$K$1107,6,0),"")</f>
        <v>_</v>
      </c>
      <c r="AO396" s="300" t="str">
        <f>_xlfn.IFNA(VLOOKUP($AI396,Programma!$F$3:$L$1107,7,0),"")</f>
        <v>_</v>
      </c>
      <c r="AP396" s="300" t="str">
        <f>_xlfn.IFNA(VLOOKUP($AI396,Programma!$F$3:$M$1107,8,0),"")</f>
        <v>_</v>
      </c>
      <c r="AQ396" s="300" t="str">
        <f>_xlfn.IFNA(VLOOKUP($AI396,Programma!$F$3:$N$1107,9,0),"")</f>
        <v>_</v>
      </c>
      <c r="AR396" s="300" t="str">
        <f>_xlfn.IFNA(VLOOKUP($AI396,Programma!$F$3:$O$1107,10,0),"")</f>
        <v>5w</v>
      </c>
      <c r="AS396" s="300" t="str">
        <f>_xlfn.IFNA(VLOOKUP($AI396,Programma!$F$3:$P$1107,11,0),"")</f>
        <v>5w</v>
      </c>
      <c r="AT396" s="300" t="str">
        <f>_xlfn.IFNA(VLOOKUP($AI396,Programma!$F$3:$Q$1107,12,0),"")</f>
        <v>1w</v>
      </c>
      <c r="AU396" s="300" t="str">
        <f>_xlfn.IFNA(VLOOKUP($AI396,Programma!$F$3:$R$1107,13,0),"")</f>
        <v>1w</v>
      </c>
      <c r="AV396" s="300" t="str">
        <f>_xlfn.IFNA(VLOOKUP($AI396,Programma!$F$3:$S$1107,14,0),"")</f>
        <v>1m</v>
      </c>
      <c r="AW396" s="300" t="str">
        <f>_xlfn.IFNA(VLOOKUP($AI396,Programma!$F$3:$T$1107,15,0),"")</f>
        <v>2j</v>
      </c>
      <c r="AX396" s="300" t="str">
        <f>_xlfn.IFNA(VLOOKUP($AI396,Programma!$F$3:$U$1107,16,0),"")</f>
        <v>1j</v>
      </c>
      <c r="AY396" s="300" t="str">
        <f>_xlfn.IFNA(VLOOKUP($AI396,Programma!$F$3:$V$1107,17,0),"")</f>
        <v>_</v>
      </c>
      <c r="AZ396" s="300" t="str">
        <f>_xlfn.IFNA(VLOOKUP($AI396,Programma!$F$3:$W$1107,18,0),"")</f>
        <v>_</v>
      </c>
      <c r="BA396" s="300" t="str">
        <f>_xlfn.IFNA(VLOOKUP($AI396,Programma!$F$3:$X$1107,19,0),"")</f>
        <v>_</v>
      </c>
      <c r="BB396" s="300" t="str">
        <f>_xlfn.IFNA(VLOOKUP($AI396,Programma!$F$3:$Y$1107,20,0),"")</f>
        <v>_</v>
      </c>
      <c r="BC396" s="257"/>
      <c r="BD396" s="256" t="str">
        <f>IF(Ruimtestaat[[#This Row],[Frequentie weekend]]="","",_xlfn.CONCAT(Ruimtestaat[[#This Row],[Ruimte code]],"-",Ruimtestaat[[#This Row],[Frequentie weekend]]," ",Ruimtestaat[[#This Row],[Vloer code]]))</f>
        <v/>
      </c>
      <c r="BE396" s="300" t="str">
        <f>_xlfn.IFNA(VLOOKUP($BD396,Programma!$F$3:$G$1107,2,0),"")</f>
        <v/>
      </c>
      <c r="BF396" s="300" t="str">
        <f>_xlfn.IFNA(VLOOKUP($BD396,Programma!$F$3:$H$1107,3,0),"")</f>
        <v/>
      </c>
      <c r="BG396" s="300" t="str">
        <f>_xlfn.IFNA(VLOOKUP($BD396,Programma!$F$3:$I$1107,4,0),"")</f>
        <v/>
      </c>
      <c r="BH396" s="300" t="str">
        <f>_xlfn.IFNA(VLOOKUP($BD396,Programma!$F$3:$J$1107,5,0),"")</f>
        <v/>
      </c>
      <c r="BI396" s="300" t="str">
        <f>_xlfn.IFNA(VLOOKUP($BD396,Programma!$F$3:$K$1107,6,0),"")</f>
        <v/>
      </c>
      <c r="BJ396" s="300" t="str">
        <f>_xlfn.IFNA(VLOOKUP($BD396,Programma!$F$3:$L$1107,7,0),"")</f>
        <v/>
      </c>
      <c r="BK396" s="300" t="str">
        <f>_xlfn.IFNA(VLOOKUP($BD396,Programma!$F$3:$M$1107,8,0),"")</f>
        <v/>
      </c>
      <c r="BL396" s="300" t="str">
        <f>_xlfn.IFNA(VLOOKUP($BD396,Programma!$F$3:$N$1107,9,0),"")</f>
        <v/>
      </c>
      <c r="BM396" s="300" t="str">
        <f>_xlfn.IFNA(VLOOKUP($BD396,Programma!$F$3:$O$1107,10,0),"")</f>
        <v/>
      </c>
      <c r="BN396" s="300" t="str">
        <f>_xlfn.IFNA(VLOOKUP($BD396,Programma!$F$3:$P$1107,11,0),"")</f>
        <v/>
      </c>
      <c r="BO396" s="300" t="str">
        <f>_xlfn.IFNA(VLOOKUP($BD396,Programma!$F$3:$Q$1107,12,0),"")</f>
        <v/>
      </c>
      <c r="BP396" s="300" t="str">
        <f>_xlfn.IFNA(VLOOKUP($BD396,Programma!$F$3:$R$1107,13,0),"")</f>
        <v/>
      </c>
      <c r="BQ396" s="300" t="str">
        <f>_xlfn.IFNA(VLOOKUP($BD396,Programma!$F$3:$S$1107,14,0),"")</f>
        <v/>
      </c>
      <c r="BR396" s="300" t="str">
        <f>_xlfn.IFNA(VLOOKUP($BD396,Programma!$F$3:$T$1107,15,0),"")</f>
        <v/>
      </c>
      <c r="BS396" s="300" t="str">
        <f>_xlfn.IFNA(VLOOKUP($BD396,Programma!$F$3:$U$1107,16,0),"")</f>
        <v/>
      </c>
      <c r="BT396" s="300" t="str">
        <f>_xlfn.IFNA(VLOOKUP($BD396,Programma!$F$3:$V$1107,17,0),"")</f>
        <v/>
      </c>
      <c r="BU396" s="300" t="str">
        <f>_xlfn.IFNA(VLOOKUP($BD396,Programma!$F$3:$W$1107,18,0),"")</f>
        <v/>
      </c>
      <c r="BV396" s="300" t="str">
        <f>_xlfn.IFNA(VLOOKUP($BD396,Programma!$F$3:$X$1107,19,0),"")</f>
        <v/>
      </c>
      <c r="BW396" s="300" t="str">
        <f>_xlfn.IFNA(VLOOKUP($BD396,Programma!$F$3:$Y$1107,20,0),"")</f>
        <v/>
      </c>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c r="GK396" s="4"/>
      <c r="GL396" s="4"/>
      <c r="GM396" s="4"/>
      <c r="GN396" s="4"/>
      <c r="GO396" s="4"/>
      <c r="GP396" s="4"/>
      <c r="GQ396" s="4"/>
      <c r="GR396" s="4"/>
      <c r="GS396" s="4"/>
      <c r="GT396" s="4"/>
      <c r="GU396" s="4"/>
      <c r="GV396" s="4"/>
      <c r="GW396" s="4"/>
      <c r="GX396" s="4"/>
      <c r="GY396" s="4"/>
      <c r="GZ396" s="4"/>
      <c r="HA396" s="4"/>
      <c r="HB396" s="4"/>
      <c r="HC396" s="4"/>
      <c r="HD396" s="4"/>
      <c r="HE396" s="4"/>
      <c r="HF396" s="4"/>
      <c r="HG396" s="4"/>
      <c r="HH396" s="4"/>
      <c r="HI396" s="4"/>
      <c r="HJ396" s="4"/>
      <c r="HK396" s="4"/>
      <c r="HL396" s="4"/>
    </row>
    <row r="397" spans="1:220" ht="15" customHeight="1">
      <c r="A397" s="21">
        <v>5</v>
      </c>
      <c r="B397" s="157" t="str">
        <f>VLOOKUP(Ruimtestaat[[#This Row],[Code]],Locaties[[Code]:[Locatie]],2,FALSE)</f>
        <v>François Vatel vmbo</v>
      </c>
      <c r="C397" s="157" t="str">
        <f>VLOOKUP(Ruimtestaat[[#This Row],[Code]],Locaties[[#All],[Code]:[Adres]],4,FALSE)</f>
        <v>Granaathorst 20</v>
      </c>
      <c r="D397" s="157" t="str">
        <f>VLOOKUP(Ruimtestaat[[#This Row],[Code]],Locaties[[#All],[Code]:[Postcode]],5,FALSE)</f>
        <v>2592 TD</v>
      </c>
      <c r="E397" s="157" t="str">
        <f>VLOOKUP(Ruimtestaat[[#This Row],[Code]],Locaties[#All],6,FALSE)</f>
        <v>Den Haag</v>
      </c>
      <c r="F397" s="62"/>
      <c r="G397" s="21" t="s">
        <v>1624</v>
      </c>
      <c r="H397" s="21" t="s">
        <v>1687</v>
      </c>
      <c r="I397" s="62" t="s">
        <v>1671</v>
      </c>
      <c r="J397" s="21">
        <v>16</v>
      </c>
      <c r="K397" s="62" t="str">
        <f>VLOOKUP(Ruimtestaat[[#This Row],[Ruimte code]],Ruimtegroepen[[#All],[Code]:[Ruimte omschrijving]],2,FALSE)</f>
        <v>Leslokalen theorie</v>
      </c>
      <c r="L397" s="33" t="s">
        <v>101</v>
      </c>
      <c r="M397" s="367" t="s">
        <v>2495</v>
      </c>
      <c r="N397" s="140">
        <v>55</v>
      </c>
      <c r="O397" s="140"/>
      <c r="P397" s="125" t="str">
        <f>VLOOKUP(Ruimtestaat[[#This Row],[Ruimte code]],Ruimtegroepen[],4,FALSE)</f>
        <v>Le</v>
      </c>
      <c r="R397" s="33">
        <v>40</v>
      </c>
      <c r="S397" s="33" t="s">
        <v>2</v>
      </c>
      <c r="T397" s="33">
        <f>IF(R397&gt;0,IF(RIGHT(Ruimtestaat[[#This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7" s="33">
        <f>IF(T397&gt;0,VLOOKUP($J397,Ruimtegroepen[],3,FALSE)*VLOOKUP($L397,Vloersoorten[],3,FALSE)*VLOOKUP($S397,Frequenties[],3,FALSE)*VLOOKUP($A397,Locaties[],3,FALSE),0)</f>
        <v>0</v>
      </c>
      <c r="V397" s="33">
        <f>Ruimtestaat[[#This Row],[Uitvoeringen werkdagen]]*Ruimtestaat[[#This Row],[Oppervlak (netto)]]</f>
        <v>11000</v>
      </c>
      <c r="W397" s="154">
        <f>IF(U397&gt;0,Ruimtestaat[[#This Row],[Prest. (m2 /jaar) werkdagen]]/Ruimtestaat[[#This Row],[Norm (m2/uur) werkdagen]],0)</f>
        <v>0</v>
      </c>
      <c r="X397" s="155">
        <f>Ruimtestaat[[#This Row],[uren / jaar werkdagen]]*Tariefsopbouw!$E$35</f>
        <v>0</v>
      </c>
      <c r="Y397" s="33"/>
      <c r="Z397" s="33">
        <f>IF(Ruimtestaat[[#This Row],[Frequentie weekend]]&gt;0,VALUE(LEFT(Y397,1))*R397,0)</f>
        <v>0</v>
      </c>
      <c r="AA397" s="97">
        <f>IF($Z397&gt;0,VLOOKUP($J397,Ruimtegroepen[],3,FALSE)*VLOOKUP($L397,Vloersoorten[],3,FALSE)*VLOOKUP($Y397,Frequenties[],3,FALSE)*VLOOKUP(Ruimtestaat[[#This Row],[Code]],Locaties[],3,FALSE),0)</f>
        <v>0</v>
      </c>
      <c r="AB397" s="97">
        <f>Ruimtestaat[[#This Row],[Uitvoeringen weekend]]*Ruimtestaat[[#This Row],[Oppervlak (netto)]]</f>
        <v>0</v>
      </c>
      <c r="AC397" s="97">
        <f>IF(AA397&gt;0,Ruimtestaat[[#This Row],[Prest. (m2 /jaar) weekend]]/Ruimtestaat[[#This Row],[Norm (m2/uur) weekend]],0)</f>
        <v>0</v>
      </c>
      <c r="AD397" s="155">
        <f>Ruimtestaat[[#This Row],[uren / jaar weekend]]*Tariefsopbouw!$D$40</f>
        <v>0</v>
      </c>
      <c r="AE397" s="154">
        <f>Ruimtestaat[[#This Row],[Prest. (m2 /jaar) weekend]]+Ruimtestaat[[#This Row],[Prest. (m2 /jaar) werkdagen]]</f>
        <v>11000</v>
      </c>
      <c r="AF397" s="154">
        <f>Ruimtestaat[[#This Row],[uren / jaar weekend]]+Ruimtestaat[[#This Row],[uren / jaar werkdagen]]</f>
        <v>0</v>
      </c>
      <c r="AG397" s="69">
        <f>Ruimtestaat[[#This Row],[kosten / jaar weekend]]+Ruimtestaat[[#This Row],[kosten / jaar werkdagen]]</f>
        <v>0</v>
      </c>
      <c r="AH397" s="69"/>
      <c r="AI397" s="256" t="str">
        <f>IF(Ruimtestaat[[#This Row],[Frequentie werkdagen]]="","",_xlfn.CONCAT(Ruimtestaat[[#This Row],[Ruimte code]],"-",Ruimtestaat[[#This Row],[Frequentie werkdagen]]," ",Ruimtestaat[[#This Row],[Vloer code]]))</f>
        <v>16-5w L</v>
      </c>
      <c r="AJ397" s="300" t="str">
        <f>_xlfn.IFNA(VLOOKUP($AI397,Programma!$F$3:$G$1107,2,0),"")</f>
        <v>_</v>
      </c>
      <c r="AK397" s="300" t="str">
        <f>_xlfn.IFNA(VLOOKUP($AI397,Programma!$F$3:$H$1107,3,0),"")</f>
        <v>_</v>
      </c>
      <c r="AL397" s="300" t="str">
        <f>_xlfn.IFNA(VLOOKUP($AI397,Programma!$F$3:$I$1107,4,0),"")</f>
        <v>4w</v>
      </c>
      <c r="AM397" s="300" t="str">
        <f>_xlfn.IFNA(VLOOKUP($AI397,Programma!$F$3:$J$1107,5,0),"")</f>
        <v>1w</v>
      </c>
      <c r="AN397" s="300" t="str">
        <f>_xlfn.IFNA(VLOOKUP($AI397,Programma!$F$3:$K$1107,6,0),"")</f>
        <v>_</v>
      </c>
      <c r="AO397" s="300" t="str">
        <f>_xlfn.IFNA(VLOOKUP($AI397,Programma!$F$3:$L$1107,7,0),"")</f>
        <v>_</v>
      </c>
      <c r="AP397" s="300" t="str">
        <f>_xlfn.IFNA(VLOOKUP($AI397,Programma!$F$3:$M$1107,8,0),"")</f>
        <v>_</v>
      </c>
      <c r="AQ397" s="300" t="str">
        <f>_xlfn.IFNA(VLOOKUP($AI397,Programma!$F$3:$N$1107,9,0),"")</f>
        <v>_</v>
      </c>
      <c r="AR397" s="300" t="str">
        <f>_xlfn.IFNA(VLOOKUP($AI397,Programma!$F$3:$O$1107,10,0),"")</f>
        <v>5w</v>
      </c>
      <c r="AS397" s="300" t="str">
        <f>_xlfn.IFNA(VLOOKUP($AI397,Programma!$F$3:$P$1107,11,0),"")</f>
        <v>5w</v>
      </c>
      <c r="AT397" s="300" t="str">
        <f>_xlfn.IFNA(VLOOKUP($AI397,Programma!$F$3:$Q$1107,12,0),"")</f>
        <v>1w</v>
      </c>
      <c r="AU397" s="300" t="str">
        <f>_xlfn.IFNA(VLOOKUP($AI397,Programma!$F$3:$R$1107,13,0),"")</f>
        <v>1w</v>
      </c>
      <c r="AV397" s="300" t="str">
        <f>_xlfn.IFNA(VLOOKUP($AI397,Programma!$F$3:$S$1107,14,0),"")</f>
        <v>1m</v>
      </c>
      <c r="AW397" s="300" t="str">
        <f>_xlfn.IFNA(VLOOKUP($AI397,Programma!$F$3:$T$1107,15,0),"")</f>
        <v>2j</v>
      </c>
      <c r="AX397" s="300" t="str">
        <f>_xlfn.IFNA(VLOOKUP($AI397,Programma!$F$3:$U$1107,16,0),"")</f>
        <v>1j</v>
      </c>
      <c r="AY397" s="300" t="str">
        <f>_xlfn.IFNA(VLOOKUP($AI397,Programma!$F$3:$V$1107,17,0),"")</f>
        <v>_</v>
      </c>
      <c r="AZ397" s="300" t="str">
        <f>_xlfn.IFNA(VLOOKUP($AI397,Programma!$F$3:$W$1107,18,0),"")</f>
        <v>_</v>
      </c>
      <c r="BA397" s="300" t="str">
        <f>_xlfn.IFNA(VLOOKUP($AI397,Programma!$F$3:$X$1107,19,0),"")</f>
        <v>_</v>
      </c>
      <c r="BB397" s="300" t="str">
        <f>_xlfn.IFNA(VLOOKUP($AI397,Programma!$F$3:$Y$1107,20,0),"")</f>
        <v>_</v>
      </c>
      <c r="BC397" s="257"/>
      <c r="BD397" s="256" t="str">
        <f>IF(Ruimtestaat[[#This Row],[Frequentie weekend]]="","",_xlfn.CONCAT(Ruimtestaat[[#This Row],[Ruimte code]],"-",Ruimtestaat[[#This Row],[Frequentie weekend]]," ",Ruimtestaat[[#This Row],[Vloer code]]))</f>
        <v/>
      </c>
      <c r="BE397" s="300" t="str">
        <f>_xlfn.IFNA(VLOOKUP($BD397,Programma!$F$3:$G$1107,2,0),"")</f>
        <v/>
      </c>
      <c r="BF397" s="300" t="str">
        <f>_xlfn.IFNA(VLOOKUP($BD397,Programma!$F$3:$H$1107,3,0),"")</f>
        <v/>
      </c>
      <c r="BG397" s="300" t="str">
        <f>_xlfn.IFNA(VLOOKUP($BD397,Programma!$F$3:$I$1107,4,0),"")</f>
        <v/>
      </c>
      <c r="BH397" s="300" t="str">
        <f>_xlfn.IFNA(VLOOKUP($BD397,Programma!$F$3:$J$1107,5,0),"")</f>
        <v/>
      </c>
      <c r="BI397" s="300" t="str">
        <f>_xlfn.IFNA(VLOOKUP($BD397,Programma!$F$3:$K$1107,6,0),"")</f>
        <v/>
      </c>
      <c r="BJ397" s="300" t="str">
        <f>_xlfn.IFNA(VLOOKUP($BD397,Programma!$F$3:$L$1107,7,0),"")</f>
        <v/>
      </c>
      <c r="BK397" s="300" t="str">
        <f>_xlfn.IFNA(VLOOKUP($BD397,Programma!$F$3:$M$1107,8,0),"")</f>
        <v/>
      </c>
      <c r="BL397" s="300" t="str">
        <f>_xlfn.IFNA(VLOOKUP($BD397,Programma!$F$3:$N$1107,9,0),"")</f>
        <v/>
      </c>
      <c r="BM397" s="300" t="str">
        <f>_xlfn.IFNA(VLOOKUP($BD397,Programma!$F$3:$O$1107,10,0),"")</f>
        <v/>
      </c>
      <c r="BN397" s="300" t="str">
        <f>_xlfn.IFNA(VLOOKUP($BD397,Programma!$F$3:$P$1107,11,0),"")</f>
        <v/>
      </c>
      <c r="BO397" s="300" t="str">
        <f>_xlfn.IFNA(VLOOKUP($BD397,Programma!$F$3:$Q$1107,12,0),"")</f>
        <v/>
      </c>
      <c r="BP397" s="300" t="str">
        <f>_xlfn.IFNA(VLOOKUP($BD397,Programma!$F$3:$R$1107,13,0),"")</f>
        <v/>
      </c>
      <c r="BQ397" s="300" t="str">
        <f>_xlfn.IFNA(VLOOKUP($BD397,Programma!$F$3:$S$1107,14,0),"")</f>
        <v/>
      </c>
      <c r="BR397" s="300" t="str">
        <f>_xlfn.IFNA(VLOOKUP($BD397,Programma!$F$3:$T$1107,15,0),"")</f>
        <v/>
      </c>
      <c r="BS397" s="300" t="str">
        <f>_xlfn.IFNA(VLOOKUP($BD397,Programma!$F$3:$U$1107,16,0),"")</f>
        <v/>
      </c>
      <c r="BT397" s="300" t="str">
        <f>_xlfn.IFNA(VLOOKUP($BD397,Programma!$F$3:$V$1107,17,0),"")</f>
        <v/>
      </c>
      <c r="BU397" s="300" t="str">
        <f>_xlfn.IFNA(VLOOKUP($BD397,Programma!$F$3:$W$1107,18,0),"")</f>
        <v/>
      </c>
      <c r="BV397" s="300" t="str">
        <f>_xlfn.IFNA(VLOOKUP($BD397,Programma!$F$3:$X$1107,19,0),"")</f>
        <v/>
      </c>
      <c r="BW397" s="300" t="str">
        <f>_xlfn.IFNA(VLOOKUP($BD397,Programma!$F$3:$Y$1107,20,0),"")</f>
        <v/>
      </c>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c r="GK397" s="4"/>
      <c r="GL397" s="4"/>
      <c r="GM397" s="4"/>
      <c r="GN397" s="4"/>
      <c r="GO397" s="4"/>
      <c r="GP397" s="4"/>
      <c r="GQ397" s="4"/>
      <c r="GR397" s="4"/>
      <c r="GS397" s="4"/>
      <c r="GT397" s="4"/>
      <c r="GU397" s="4"/>
      <c r="GV397" s="4"/>
      <c r="GW397" s="4"/>
      <c r="GX397" s="4"/>
      <c r="GY397" s="4"/>
      <c r="GZ397" s="4"/>
      <c r="HA397" s="4"/>
      <c r="HB397" s="4"/>
      <c r="HC397" s="4"/>
      <c r="HD397" s="4"/>
      <c r="HE397" s="4"/>
      <c r="HF397" s="4"/>
      <c r="HG397" s="4"/>
      <c r="HH397" s="4"/>
      <c r="HI397" s="4"/>
      <c r="HJ397" s="4"/>
      <c r="HK397" s="4"/>
      <c r="HL397" s="4"/>
    </row>
    <row r="398" spans="1:220" ht="15" customHeight="1">
      <c r="A398" s="21">
        <v>5</v>
      </c>
      <c r="B398" s="157" t="str">
        <f>VLOOKUP(Ruimtestaat[[#This Row],[Code]],Locaties[[Code]:[Locatie]],2,FALSE)</f>
        <v>François Vatel vmbo</v>
      </c>
      <c r="C398" s="157" t="str">
        <f>VLOOKUP(Ruimtestaat[[#This Row],[Code]],Locaties[[#All],[Code]:[Adres]],4,FALSE)</f>
        <v>Granaathorst 20</v>
      </c>
      <c r="D398" s="157" t="str">
        <f>VLOOKUP(Ruimtestaat[[#This Row],[Code]],Locaties[[#All],[Code]:[Postcode]],5,FALSE)</f>
        <v>2592 TD</v>
      </c>
      <c r="E398" s="157" t="str">
        <f>VLOOKUP(Ruimtestaat[[#This Row],[Code]],Locaties[#All],6,FALSE)</f>
        <v>Den Haag</v>
      </c>
      <c r="F398" s="62"/>
      <c r="G398" s="21" t="s">
        <v>1624</v>
      </c>
      <c r="H398" s="21" t="s">
        <v>1689</v>
      </c>
      <c r="I398" s="62" t="s">
        <v>1673</v>
      </c>
      <c r="J398" s="21">
        <v>16</v>
      </c>
      <c r="K398" s="62" t="str">
        <f>VLOOKUP(Ruimtestaat[[#This Row],[Ruimte code]],Ruimtegroepen[[#All],[Code]:[Ruimte omschrijving]],2,FALSE)</f>
        <v>Leslokalen theorie</v>
      </c>
      <c r="L398" s="33" t="s">
        <v>101</v>
      </c>
      <c r="M398" s="367" t="s">
        <v>2495</v>
      </c>
      <c r="N398" s="140">
        <v>54</v>
      </c>
      <c r="O398" s="140"/>
      <c r="P398" s="125" t="str">
        <f>VLOOKUP(Ruimtestaat[[#This Row],[Ruimte code]],Ruimtegroepen[],4,FALSE)</f>
        <v>Le</v>
      </c>
      <c r="R398" s="33">
        <v>40</v>
      </c>
      <c r="S398" s="33" t="s">
        <v>2</v>
      </c>
      <c r="T398" s="33">
        <f>IF(R398&gt;0,IF(RIGHT(Ruimtestaat[[#This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8" s="33">
        <f>IF(T398&gt;0,VLOOKUP($J398,Ruimtegroepen[],3,FALSE)*VLOOKUP($L398,Vloersoorten[],3,FALSE)*VLOOKUP($S398,Frequenties[],3,FALSE)*VLOOKUP($A398,Locaties[],3,FALSE),0)</f>
        <v>0</v>
      </c>
      <c r="V398" s="33">
        <f>Ruimtestaat[[#This Row],[Uitvoeringen werkdagen]]*Ruimtestaat[[#This Row],[Oppervlak (netto)]]</f>
        <v>10800</v>
      </c>
      <c r="W398" s="154">
        <f>IF(U398&gt;0,Ruimtestaat[[#This Row],[Prest. (m2 /jaar) werkdagen]]/Ruimtestaat[[#This Row],[Norm (m2/uur) werkdagen]],0)</f>
        <v>0</v>
      </c>
      <c r="X398" s="155">
        <f>Ruimtestaat[[#This Row],[uren / jaar werkdagen]]*Tariefsopbouw!$E$35</f>
        <v>0</v>
      </c>
      <c r="Y398" s="33"/>
      <c r="Z398" s="33">
        <f>IF(Ruimtestaat[[#This Row],[Frequentie weekend]]&gt;0,VALUE(LEFT(Y398,1))*R398,0)</f>
        <v>0</v>
      </c>
      <c r="AA398" s="97">
        <f>IF($Z398&gt;0,VLOOKUP($J398,Ruimtegroepen[],3,FALSE)*VLOOKUP($L398,Vloersoorten[],3,FALSE)*VLOOKUP($Y398,Frequenties[],3,FALSE)*VLOOKUP(Ruimtestaat[[#This Row],[Code]],Locaties[],3,FALSE),0)</f>
        <v>0</v>
      </c>
      <c r="AB398" s="97">
        <f>Ruimtestaat[[#This Row],[Uitvoeringen weekend]]*Ruimtestaat[[#This Row],[Oppervlak (netto)]]</f>
        <v>0</v>
      </c>
      <c r="AC398" s="97">
        <f>IF(AA398&gt;0,Ruimtestaat[[#This Row],[Prest. (m2 /jaar) weekend]]/Ruimtestaat[[#This Row],[Norm (m2/uur) weekend]],0)</f>
        <v>0</v>
      </c>
      <c r="AD398" s="155">
        <f>Ruimtestaat[[#This Row],[uren / jaar weekend]]*Tariefsopbouw!$D$40</f>
        <v>0</v>
      </c>
      <c r="AE398" s="154">
        <f>Ruimtestaat[[#This Row],[Prest. (m2 /jaar) weekend]]+Ruimtestaat[[#This Row],[Prest. (m2 /jaar) werkdagen]]</f>
        <v>10800</v>
      </c>
      <c r="AF398" s="154">
        <f>Ruimtestaat[[#This Row],[uren / jaar weekend]]+Ruimtestaat[[#This Row],[uren / jaar werkdagen]]</f>
        <v>0</v>
      </c>
      <c r="AG398" s="69">
        <f>Ruimtestaat[[#This Row],[kosten / jaar weekend]]+Ruimtestaat[[#This Row],[kosten / jaar werkdagen]]</f>
        <v>0</v>
      </c>
      <c r="AH398" s="69"/>
      <c r="AI398" s="256" t="str">
        <f>IF(Ruimtestaat[[#This Row],[Frequentie werkdagen]]="","",_xlfn.CONCAT(Ruimtestaat[[#This Row],[Ruimte code]],"-",Ruimtestaat[[#This Row],[Frequentie werkdagen]]," ",Ruimtestaat[[#This Row],[Vloer code]]))</f>
        <v>16-5w L</v>
      </c>
      <c r="AJ398" s="300" t="str">
        <f>_xlfn.IFNA(VLOOKUP($AI398,Programma!$F$3:$G$1107,2,0),"")</f>
        <v>_</v>
      </c>
      <c r="AK398" s="300" t="str">
        <f>_xlfn.IFNA(VLOOKUP($AI398,Programma!$F$3:$H$1107,3,0),"")</f>
        <v>_</v>
      </c>
      <c r="AL398" s="300" t="str">
        <f>_xlfn.IFNA(VLOOKUP($AI398,Programma!$F$3:$I$1107,4,0),"")</f>
        <v>4w</v>
      </c>
      <c r="AM398" s="300" t="str">
        <f>_xlfn.IFNA(VLOOKUP($AI398,Programma!$F$3:$J$1107,5,0),"")</f>
        <v>1w</v>
      </c>
      <c r="AN398" s="300" t="str">
        <f>_xlfn.IFNA(VLOOKUP($AI398,Programma!$F$3:$K$1107,6,0),"")</f>
        <v>_</v>
      </c>
      <c r="AO398" s="300" t="str">
        <f>_xlfn.IFNA(VLOOKUP($AI398,Programma!$F$3:$L$1107,7,0),"")</f>
        <v>_</v>
      </c>
      <c r="AP398" s="300" t="str">
        <f>_xlfn.IFNA(VLOOKUP($AI398,Programma!$F$3:$M$1107,8,0),"")</f>
        <v>_</v>
      </c>
      <c r="AQ398" s="300" t="str">
        <f>_xlfn.IFNA(VLOOKUP($AI398,Programma!$F$3:$N$1107,9,0),"")</f>
        <v>_</v>
      </c>
      <c r="AR398" s="300" t="str">
        <f>_xlfn.IFNA(VLOOKUP($AI398,Programma!$F$3:$O$1107,10,0),"")</f>
        <v>5w</v>
      </c>
      <c r="AS398" s="300" t="str">
        <f>_xlfn.IFNA(VLOOKUP($AI398,Programma!$F$3:$P$1107,11,0),"")</f>
        <v>5w</v>
      </c>
      <c r="AT398" s="300" t="str">
        <f>_xlfn.IFNA(VLOOKUP($AI398,Programma!$F$3:$Q$1107,12,0),"")</f>
        <v>1w</v>
      </c>
      <c r="AU398" s="300" t="str">
        <f>_xlfn.IFNA(VLOOKUP($AI398,Programma!$F$3:$R$1107,13,0),"")</f>
        <v>1w</v>
      </c>
      <c r="AV398" s="300" t="str">
        <f>_xlfn.IFNA(VLOOKUP($AI398,Programma!$F$3:$S$1107,14,0),"")</f>
        <v>1m</v>
      </c>
      <c r="AW398" s="300" t="str">
        <f>_xlfn.IFNA(VLOOKUP($AI398,Programma!$F$3:$T$1107,15,0),"")</f>
        <v>2j</v>
      </c>
      <c r="AX398" s="300" t="str">
        <f>_xlfn.IFNA(VLOOKUP($AI398,Programma!$F$3:$U$1107,16,0),"")</f>
        <v>1j</v>
      </c>
      <c r="AY398" s="300" t="str">
        <f>_xlfn.IFNA(VLOOKUP($AI398,Programma!$F$3:$V$1107,17,0),"")</f>
        <v>_</v>
      </c>
      <c r="AZ398" s="300" t="str">
        <f>_xlfn.IFNA(VLOOKUP($AI398,Programma!$F$3:$W$1107,18,0),"")</f>
        <v>_</v>
      </c>
      <c r="BA398" s="300" t="str">
        <f>_xlfn.IFNA(VLOOKUP($AI398,Programma!$F$3:$X$1107,19,0),"")</f>
        <v>_</v>
      </c>
      <c r="BB398" s="300" t="str">
        <f>_xlfn.IFNA(VLOOKUP($AI398,Programma!$F$3:$Y$1107,20,0),"")</f>
        <v>_</v>
      </c>
      <c r="BC398" s="257"/>
      <c r="BD398" s="256" t="str">
        <f>IF(Ruimtestaat[[#This Row],[Frequentie weekend]]="","",_xlfn.CONCAT(Ruimtestaat[[#This Row],[Ruimte code]],"-",Ruimtestaat[[#This Row],[Frequentie weekend]]," ",Ruimtestaat[[#This Row],[Vloer code]]))</f>
        <v/>
      </c>
      <c r="BE398" s="300" t="str">
        <f>_xlfn.IFNA(VLOOKUP($BD398,Programma!$F$3:$G$1107,2,0),"")</f>
        <v/>
      </c>
      <c r="BF398" s="300" t="str">
        <f>_xlfn.IFNA(VLOOKUP($BD398,Programma!$F$3:$H$1107,3,0),"")</f>
        <v/>
      </c>
      <c r="BG398" s="300" t="str">
        <f>_xlfn.IFNA(VLOOKUP($BD398,Programma!$F$3:$I$1107,4,0),"")</f>
        <v/>
      </c>
      <c r="BH398" s="300" t="str">
        <f>_xlfn.IFNA(VLOOKUP($BD398,Programma!$F$3:$J$1107,5,0),"")</f>
        <v/>
      </c>
      <c r="BI398" s="300" t="str">
        <f>_xlfn.IFNA(VLOOKUP($BD398,Programma!$F$3:$K$1107,6,0),"")</f>
        <v/>
      </c>
      <c r="BJ398" s="300" t="str">
        <f>_xlfn.IFNA(VLOOKUP($BD398,Programma!$F$3:$L$1107,7,0),"")</f>
        <v/>
      </c>
      <c r="BK398" s="300" t="str">
        <f>_xlfn.IFNA(VLOOKUP($BD398,Programma!$F$3:$M$1107,8,0),"")</f>
        <v/>
      </c>
      <c r="BL398" s="300" t="str">
        <f>_xlfn.IFNA(VLOOKUP($BD398,Programma!$F$3:$N$1107,9,0),"")</f>
        <v/>
      </c>
      <c r="BM398" s="300" t="str">
        <f>_xlfn.IFNA(VLOOKUP($BD398,Programma!$F$3:$O$1107,10,0),"")</f>
        <v/>
      </c>
      <c r="BN398" s="300" t="str">
        <f>_xlfn.IFNA(VLOOKUP($BD398,Programma!$F$3:$P$1107,11,0),"")</f>
        <v/>
      </c>
      <c r="BO398" s="300" t="str">
        <f>_xlfn.IFNA(VLOOKUP($BD398,Programma!$F$3:$Q$1107,12,0),"")</f>
        <v/>
      </c>
      <c r="BP398" s="300" t="str">
        <f>_xlfn.IFNA(VLOOKUP($BD398,Programma!$F$3:$R$1107,13,0),"")</f>
        <v/>
      </c>
      <c r="BQ398" s="300" t="str">
        <f>_xlfn.IFNA(VLOOKUP($BD398,Programma!$F$3:$S$1107,14,0),"")</f>
        <v/>
      </c>
      <c r="BR398" s="300" t="str">
        <f>_xlfn.IFNA(VLOOKUP($BD398,Programma!$F$3:$T$1107,15,0),"")</f>
        <v/>
      </c>
      <c r="BS398" s="300" t="str">
        <f>_xlfn.IFNA(VLOOKUP($BD398,Programma!$F$3:$U$1107,16,0),"")</f>
        <v/>
      </c>
      <c r="BT398" s="300" t="str">
        <f>_xlfn.IFNA(VLOOKUP($BD398,Programma!$F$3:$V$1107,17,0),"")</f>
        <v/>
      </c>
      <c r="BU398" s="300" t="str">
        <f>_xlfn.IFNA(VLOOKUP($BD398,Programma!$F$3:$W$1107,18,0),"")</f>
        <v/>
      </c>
      <c r="BV398" s="300" t="str">
        <f>_xlfn.IFNA(VLOOKUP($BD398,Programma!$F$3:$X$1107,19,0),"")</f>
        <v/>
      </c>
      <c r="BW398" s="300" t="str">
        <f>_xlfn.IFNA(VLOOKUP($BD398,Programma!$F$3:$Y$1107,20,0),"")</f>
        <v/>
      </c>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row>
    <row r="399" spans="1:220" ht="15" customHeight="1">
      <c r="A399" s="21">
        <v>5</v>
      </c>
      <c r="B399" s="157" t="str">
        <f>VLOOKUP(Ruimtestaat[[#This Row],[Code]],Locaties[[Code]:[Locatie]],2,FALSE)</f>
        <v>François Vatel vmbo</v>
      </c>
      <c r="C399" s="157" t="str">
        <f>VLOOKUP(Ruimtestaat[[#This Row],[Code]],Locaties[[#All],[Code]:[Adres]],4,FALSE)</f>
        <v>Granaathorst 20</v>
      </c>
      <c r="D399" s="157" t="str">
        <f>VLOOKUP(Ruimtestaat[[#This Row],[Code]],Locaties[[#All],[Code]:[Postcode]],5,FALSE)</f>
        <v>2592 TD</v>
      </c>
      <c r="E399" s="157" t="str">
        <f>VLOOKUP(Ruimtestaat[[#This Row],[Code]],Locaties[#All],6,FALSE)</f>
        <v>Den Haag</v>
      </c>
      <c r="F399" s="62"/>
      <c r="G399" s="21" t="s">
        <v>1624</v>
      </c>
      <c r="H399" s="21" t="s">
        <v>1691</v>
      </c>
      <c r="I399" s="62" t="s">
        <v>1628</v>
      </c>
      <c r="J399" s="21">
        <v>4</v>
      </c>
      <c r="K399" s="62" t="str">
        <f>VLOOKUP(Ruimtestaat[[#This Row],[Ruimte code]],Ruimtegroepen[[#All],[Code]:[Ruimte omschrijving]],2,FALSE)</f>
        <v>Vergader/spreekkamers</v>
      </c>
      <c r="L399" s="33" t="s">
        <v>101</v>
      </c>
      <c r="M399" s="367" t="s">
        <v>2495</v>
      </c>
      <c r="N399" s="140">
        <v>8</v>
      </c>
      <c r="O399" s="140"/>
      <c r="P399" s="125" t="str">
        <f>VLOOKUP(Ruimtestaat[[#This Row],[Ruimte code]],Ruimtegroepen[],4,FALSE)</f>
        <v>Bu</v>
      </c>
      <c r="R399" s="33">
        <v>40</v>
      </c>
      <c r="S399" s="33" t="s">
        <v>18</v>
      </c>
      <c r="T399" s="33">
        <f>IF(R399&gt;0,IF(RIGHT(Ruimtestaat[[#This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399" s="33">
        <f>IF(T399&gt;0,VLOOKUP($J399,Ruimtegroepen[],3,FALSE)*VLOOKUP($L399,Vloersoorten[],3,FALSE)*VLOOKUP($S399,Frequenties[],3,FALSE)*VLOOKUP($A399,Locaties[],3,FALSE),0)</f>
        <v>0</v>
      </c>
      <c r="V399" s="33">
        <f>Ruimtestaat[[#This Row],[Uitvoeringen werkdagen]]*Ruimtestaat[[#This Row],[Oppervlak (netto)]]</f>
        <v>960</v>
      </c>
      <c r="W399" s="154">
        <f>IF(U399&gt;0,Ruimtestaat[[#This Row],[Prest. (m2 /jaar) werkdagen]]/Ruimtestaat[[#This Row],[Norm (m2/uur) werkdagen]],0)</f>
        <v>0</v>
      </c>
      <c r="X399" s="155">
        <f>Ruimtestaat[[#This Row],[uren / jaar werkdagen]]*Tariefsopbouw!$E$35</f>
        <v>0</v>
      </c>
      <c r="Y399" s="33"/>
      <c r="Z399" s="33">
        <f>IF(Ruimtestaat[[#This Row],[Frequentie weekend]]&gt;0,VALUE(LEFT(Y399,1))*R399,0)</f>
        <v>0</v>
      </c>
      <c r="AA399" s="97">
        <f>IF($Z399&gt;0,VLOOKUP($J399,Ruimtegroepen[],3,FALSE)*VLOOKUP($L399,Vloersoorten[],3,FALSE)*VLOOKUP($Y399,Frequenties[],3,FALSE)*VLOOKUP(Ruimtestaat[[#This Row],[Code]],Locaties[],3,FALSE),0)</f>
        <v>0</v>
      </c>
      <c r="AB399" s="97">
        <f>Ruimtestaat[[#This Row],[Uitvoeringen weekend]]*Ruimtestaat[[#This Row],[Oppervlak (netto)]]</f>
        <v>0</v>
      </c>
      <c r="AC399" s="97">
        <f>IF(AA399&gt;0,Ruimtestaat[[#This Row],[Prest. (m2 /jaar) weekend]]/Ruimtestaat[[#This Row],[Norm (m2/uur) weekend]],0)</f>
        <v>0</v>
      </c>
      <c r="AD399" s="155">
        <f>Ruimtestaat[[#This Row],[uren / jaar weekend]]*Tariefsopbouw!$D$40</f>
        <v>0</v>
      </c>
      <c r="AE399" s="154">
        <f>Ruimtestaat[[#This Row],[Prest. (m2 /jaar) weekend]]+Ruimtestaat[[#This Row],[Prest. (m2 /jaar) werkdagen]]</f>
        <v>960</v>
      </c>
      <c r="AF399" s="154">
        <f>Ruimtestaat[[#This Row],[uren / jaar weekend]]+Ruimtestaat[[#This Row],[uren / jaar werkdagen]]</f>
        <v>0</v>
      </c>
      <c r="AG399" s="69">
        <f>Ruimtestaat[[#This Row],[kosten / jaar weekend]]+Ruimtestaat[[#This Row],[kosten / jaar werkdagen]]</f>
        <v>0</v>
      </c>
      <c r="AH399" s="69"/>
      <c r="AI399" s="256" t="str">
        <f>IF(Ruimtestaat[[#This Row],[Frequentie werkdagen]]="","",_xlfn.CONCAT(Ruimtestaat[[#This Row],[Ruimte code]],"-",Ruimtestaat[[#This Row],[Frequentie werkdagen]]," ",Ruimtestaat[[#This Row],[Vloer code]]))</f>
        <v>4-3w L</v>
      </c>
      <c r="AJ399" s="300" t="str">
        <f>_xlfn.IFNA(VLOOKUP($AI399,Programma!$F$3:$G$1107,2,0),"")</f>
        <v>_</v>
      </c>
      <c r="AK399" s="300" t="str">
        <f>_xlfn.IFNA(VLOOKUP($AI399,Programma!$F$3:$H$1107,3,0),"")</f>
        <v>_</v>
      </c>
      <c r="AL399" s="300" t="str">
        <f>_xlfn.IFNA(VLOOKUP($AI399,Programma!$F$3:$I$1107,4,0),"")</f>
        <v>2w</v>
      </c>
      <c r="AM399" s="300" t="str">
        <f>_xlfn.IFNA(VLOOKUP($AI399,Programma!$F$3:$J$1107,5,0),"")</f>
        <v>1w</v>
      </c>
      <c r="AN399" s="300" t="str">
        <f>_xlfn.IFNA(VLOOKUP($AI399,Programma!$F$3:$K$1107,6,0),"")</f>
        <v>_</v>
      </c>
      <c r="AO399" s="300" t="str">
        <f>_xlfn.IFNA(VLOOKUP($AI399,Programma!$F$3:$L$1107,7,0),"")</f>
        <v>_</v>
      </c>
      <c r="AP399" s="300" t="str">
        <f>_xlfn.IFNA(VLOOKUP($AI399,Programma!$F$3:$M$1107,8,0),"")</f>
        <v>_</v>
      </c>
      <c r="AQ399" s="300" t="str">
        <f>_xlfn.IFNA(VLOOKUP($AI399,Programma!$F$3:$N$1107,9,0),"")</f>
        <v>_</v>
      </c>
      <c r="AR399" s="300" t="str">
        <f>_xlfn.IFNA(VLOOKUP($AI399,Programma!$F$3:$O$1107,10,0),"")</f>
        <v>3w</v>
      </c>
      <c r="AS399" s="300" t="str">
        <f>_xlfn.IFNA(VLOOKUP($AI399,Programma!$F$3:$P$1107,11,0),"")</f>
        <v>3w</v>
      </c>
      <c r="AT399" s="300" t="str">
        <f>_xlfn.IFNA(VLOOKUP($AI399,Programma!$F$3:$Q$1107,12,0),"")</f>
        <v>1w</v>
      </c>
      <c r="AU399" s="300" t="str">
        <f>_xlfn.IFNA(VLOOKUP($AI399,Programma!$F$3:$R$1107,13,0),"")</f>
        <v>1w</v>
      </c>
      <c r="AV399" s="300" t="str">
        <f>_xlfn.IFNA(VLOOKUP($AI399,Programma!$F$3:$S$1107,14,0),"")</f>
        <v>1m</v>
      </c>
      <c r="AW399" s="300" t="str">
        <f>_xlfn.IFNA(VLOOKUP($AI399,Programma!$F$3:$T$1107,15,0),"")</f>
        <v>2j</v>
      </c>
      <c r="AX399" s="300" t="str">
        <f>_xlfn.IFNA(VLOOKUP($AI399,Programma!$F$3:$U$1107,16,0),"")</f>
        <v>1j</v>
      </c>
      <c r="AY399" s="300" t="str">
        <f>_xlfn.IFNA(VLOOKUP($AI399,Programma!$F$3:$V$1107,17,0),"")</f>
        <v>_</v>
      </c>
      <c r="AZ399" s="300" t="str">
        <f>_xlfn.IFNA(VLOOKUP($AI399,Programma!$F$3:$W$1107,18,0),"")</f>
        <v>_</v>
      </c>
      <c r="BA399" s="300" t="str">
        <f>_xlfn.IFNA(VLOOKUP($AI399,Programma!$F$3:$X$1107,19,0),"")</f>
        <v>_</v>
      </c>
      <c r="BB399" s="300" t="str">
        <f>_xlfn.IFNA(VLOOKUP($AI399,Programma!$F$3:$Y$1107,20,0),"")</f>
        <v>_</v>
      </c>
      <c r="BC399" s="257"/>
      <c r="BD399" s="256" t="str">
        <f>IF(Ruimtestaat[[#This Row],[Frequentie weekend]]="","",_xlfn.CONCAT(Ruimtestaat[[#This Row],[Ruimte code]],"-",Ruimtestaat[[#This Row],[Frequentie weekend]]," ",Ruimtestaat[[#This Row],[Vloer code]]))</f>
        <v/>
      </c>
      <c r="BE399" s="300" t="str">
        <f>_xlfn.IFNA(VLOOKUP($BD399,Programma!$F$3:$G$1107,2,0),"")</f>
        <v/>
      </c>
      <c r="BF399" s="300" t="str">
        <f>_xlfn.IFNA(VLOOKUP($BD399,Programma!$F$3:$H$1107,3,0),"")</f>
        <v/>
      </c>
      <c r="BG399" s="300" t="str">
        <f>_xlfn.IFNA(VLOOKUP($BD399,Programma!$F$3:$I$1107,4,0),"")</f>
        <v/>
      </c>
      <c r="BH399" s="300" t="str">
        <f>_xlfn.IFNA(VLOOKUP($BD399,Programma!$F$3:$J$1107,5,0),"")</f>
        <v/>
      </c>
      <c r="BI399" s="300" t="str">
        <f>_xlfn.IFNA(VLOOKUP($BD399,Programma!$F$3:$K$1107,6,0),"")</f>
        <v/>
      </c>
      <c r="BJ399" s="300" t="str">
        <f>_xlfn.IFNA(VLOOKUP($BD399,Programma!$F$3:$L$1107,7,0),"")</f>
        <v/>
      </c>
      <c r="BK399" s="300" t="str">
        <f>_xlfn.IFNA(VLOOKUP($BD399,Programma!$F$3:$M$1107,8,0),"")</f>
        <v/>
      </c>
      <c r="BL399" s="300" t="str">
        <f>_xlfn.IFNA(VLOOKUP($BD399,Programma!$F$3:$N$1107,9,0),"")</f>
        <v/>
      </c>
      <c r="BM399" s="300" t="str">
        <f>_xlfn.IFNA(VLOOKUP($BD399,Programma!$F$3:$O$1107,10,0),"")</f>
        <v/>
      </c>
      <c r="BN399" s="300" t="str">
        <f>_xlfn.IFNA(VLOOKUP($BD399,Programma!$F$3:$P$1107,11,0),"")</f>
        <v/>
      </c>
      <c r="BO399" s="300" t="str">
        <f>_xlfn.IFNA(VLOOKUP($BD399,Programma!$F$3:$Q$1107,12,0),"")</f>
        <v/>
      </c>
      <c r="BP399" s="300" t="str">
        <f>_xlfn.IFNA(VLOOKUP($BD399,Programma!$F$3:$R$1107,13,0),"")</f>
        <v/>
      </c>
      <c r="BQ399" s="300" t="str">
        <f>_xlfn.IFNA(VLOOKUP($BD399,Programma!$F$3:$S$1107,14,0),"")</f>
        <v/>
      </c>
      <c r="BR399" s="300" t="str">
        <f>_xlfn.IFNA(VLOOKUP($BD399,Programma!$F$3:$T$1107,15,0),"")</f>
        <v/>
      </c>
      <c r="BS399" s="300" t="str">
        <f>_xlfn.IFNA(VLOOKUP($BD399,Programma!$F$3:$U$1107,16,0),"")</f>
        <v/>
      </c>
      <c r="BT399" s="300" t="str">
        <f>_xlfn.IFNA(VLOOKUP($BD399,Programma!$F$3:$V$1107,17,0),"")</f>
        <v/>
      </c>
      <c r="BU399" s="300" t="str">
        <f>_xlfn.IFNA(VLOOKUP($BD399,Programma!$F$3:$W$1107,18,0),"")</f>
        <v/>
      </c>
      <c r="BV399" s="300" t="str">
        <f>_xlfn.IFNA(VLOOKUP($BD399,Programma!$F$3:$X$1107,19,0),"")</f>
        <v/>
      </c>
      <c r="BW399" s="300" t="str">
        <f>_xlfn.IFNA(VLOOKUP($BD399,Programma!$F$3:$Y$1107,20,0),"")</f>
        <v/>
      </c>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4"/>
      <c r="GV399" s="4"/>
      <c r="GW399" s="4"/>
      <c r="GX399" s="4"/>
      <c r="GY399" s="4"/>
      <c r="GZ399" s="4"/>
      <c r="HA399" s="4"/>
      <c r="HB399" s="4"/>
      <c r="HC399" s="4"/>
      <c r="HD399" s="4"/>
      <c r="HE399" s="4"/>
      <c r="HF399" s="4"/>
      <c r="HG399" s="4"/>
      <c r="HH399" s="4"/>
      <c r="HI399" s="4"/>
      <c r="HJ399" s="4"/>
      <c r="HK399" s="4"/>
      <c r="HL399" s="4"/>
    </row>
    <row r="400" spans="1:220" ht="15" customHeight="1">
      <c r="A400" s="21">
        <v>5</v>
      </c>
      <c r="B400" s="157" t="str">
        <f>VLOOKUP(Ruimtestaat[[#This Row],[Code]],Locaties[[Code]:[Locatie]],2,FALSE)</f>
        <v>François Vatel vmbo</v>
      </c>
      <c r="C400" s="157" t="str">
        <f>VLOOKUP(Ruimtestaat[[#This Row],[Code]],Locaties[[#All],[Code]:[Adres]],4,FALSE)</f>
        <v>Granaathorst 20</v>
      </c>
      <c r="D400" s="157" t="str">
        <f>VLOOKUP(Ruimtestaat[[#This Row],[Code]],Locaties[[#All],[Code]:[Postcode]],5,FALSE)</f>
        <v>2592 TD</v>
      </c>
      <c r="E400" s="157" t="str">
        <f>VLOOKUP(Ruimtestaat[[#This Row],[Code]],Locaties[#All],6,FALSE)</f>
        <v>Den Haag</v>
      </c>
      <c r="F400" s="62"/>
      <c r="G400" s="21" t="s">
        <v>1624</v>
      </c>
      <c r="H400" s="21" t="s">
        <v>1693</v>
      </c>
      <c r="I400" s="62" t="s">
        <v>2053</v>
      </c>
      <c r="J400" s="21">
        <v>2</v>
      </c>
      <c r="K400" s="62" t="str">
        <f>VLOOKUP(Ruimtestaat[[#This Row],[Ruimte code]],Ruimtegroepen[[#All],[Code]:[Ruimte omschrijving]],2,FALSE)</f>
        <v>Kantoren</v>
      </c>
      <c r="L400" s="33" t="s">
        <v>101</v>
      </c>
      <c r="M400" s="367" t="s">
        <v>2495</v>
      </c>
      <c r="N400" s="140">
        <v>14</v>
      </c>
      <c r="O400" s="140"/>
      <c r="P400" s="125" t="str">
        <f>VLOOKUP(Ruimtestaat[[#This Row],[Ruimte code]],Ruimtegroepen[],4,FALSE)</f>
        <v>Bu</v>
      </c>
      <c r="R400" s="33">
        <v>42</v>
      </c>
      <c r="S400" s="33" t="s">
        <v>18</v>
      </c>
      <c r="T400" s="33">
        <f>IF(R400&gt;0,IF(RIGHT(Ruimtestaat[[#This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00" s="33">
        <f>IF(T400&gt;0,VLOOKUP($J400,Ruimtegroepen[],3,FALSE)*VLOOKUP($L400,Vloersoorten[],3,FALSE)*VLOOKUP($S400,Frequenties[],3,FALSE)*VLOOKUP($A400,Locaties[],3,FALSE),0)</f>
        <v>0</v>
      </c>
      <c r="V400" s="33">
        <f>Ruimtestaat[[#This Row],[Uitvoeringen werkdagen]]*Ruimtestaat[[#This Row],[Oppervlak (netto)]]</f>
        <v>1764</v>
      </c>
      <c r="W400" s="154">
        <f>IF(U400&gt;0,Ruimtestaat[[#This Row],[Prest. (m2 /jaar) werkdagen]]/Ruimtestaat[[#This Row],[Norm (m2/uur) werkdagen]],0)</f>
        <v>0</v>
      </c>
      <c r="X400" s="155">
        <f>Ruimtestaat[[#This Row],[uren / jaar werkdagen]]*Tariefsopbouw!$E$35</f>
        <v>0</v>
      </c>
      <c r="Y400" s="33"/>
      <c r="Z400" s="33">
        <f>IF(Ruimtestaat[[#This Row],[Frequentie weekend]]&gt;0,VALUE(LEFT(Y400,1))*R400,0)</f>
        <v>0</v>
      </c>
      <c r="AA400" s="97">
        <f>IF($Z400&gt;0,VLOOKUP($J400,Ruimtegroepen[],3,FALSE)*VLOOKUP($L400,Vloersoorten[],3,FALSE)*VLOOKUP($Y400,Frequenties[],3,FALSE)*VLOOKUP(Ruimtestaat[[#This Row],[Code]],Locaties[],3,FALSE),0)</f>
        <v>0</v>
      </c>
      <c r="AB400" s="97">
        <f>Ruimtestaat[[#This Row],[Uitvoeringen weekend]]*Ruimtestaat[[#This Row],[Oppervlak (netto)]]</f>
        <v>0</v>
      </c>
      <c r="AC400" s="97">
        <f>IF(AA400&gt;0,Ruimtestaat[[#This Row],[Prest. (m2 /jaar) weekend]]/Ruimtestaat[[#This Row],[Norm (m2/uur) weekend]],0)</f>
        <v>0</v>
      </c>
      <c r="AD400" s="155">
        <f>Ruimtestaat[[#This Row],[uren / jaar weekend]]*Tariefsopbouw!$D$40</f>
        <v>0</v>
      </c>
      <c r="AE400" s="154">
        <f>Ruimtestaat[[#This Row],[Prest. (m2 /jaar) weekend]]+Ruimtestaat[[#This Row],[Prest. (m2 /jaar) werkdagen]]</f>
        <v>1764</v>
      </c>
      <c r="AF400" s="154">
        <f>Ruimtestaat[[#This Row],[uren / jaar weekend]]+Ruimtestaat[[#This Row],[uren / jaar werkdagen]]</f>
        <v>0</v>
      </c>
      <c r="AG400" s="69">
        <f>Ruimtestaat[[#This Row],[kosten / jaar weekend]]+Ruimtestaat[[#This Row],[kosten / jaar werkdagen]]</f>
        <v>0</v>
      </c>
      <c r="AH400" s="69"/>
      <c r="AI400" s="256" t="str">
        <f>IF(Ruimtestaat[[#This Row],[Frequentie werkdagen]]="","",_xlfn.CONCAT(Ruimtestaat[[#This Row],[Ruimte code]],"-",Ruimtestaat[[#This Row],[Frequentie werkdagen]]," ",Ruimtestaat[[#This Row],[Vloer code]]))</f>
        <v>2-3w L</v>
      </c>
      <c r="AJ400" s="300" t="str">
        <f>_xlfn.IFNA(VLOOKUP($AI400,Programma!$F$3:$G$1107,2,0),"")</f>
        <v>_</v>
      </c>
      <c r="AK400" s="300" t="str">
        <f>_xlfn.IFNA(VLOOKUP($AI400,Programma!$F$3:$H$1107,3,0),"")</f>
        <v>_</v>
      </c>
      <c r="AL400" s="300" t="str">
        <f>_xlfn.IFNA(VLOOKUP($AI400,Programma!$F$3:$I$1107,4,0),"")</f>
        <v>2w</v>
      </c>
      <c r="AM400" s="300" t="str">
        <f>_xlfn.IFNA(VLOOKUP($AI400,Programma!$F$3:$J$1107,5,0),"")</f>
        <v>1w</v>
      </c>
      <c r="AN400" s="300" t="str">
        <f>_xlfn.IFNA(VLOOKUP($AI400,Programma!$F$3:$K$1107,6,0),"")</f>
        <v>_</v>
      </c>
      <c r="AO400" s="300" t="str">
        <f>_xlfn.IFNA(VLOOKUP($AI400,Programma!$F$3:$L$1107,7,0),"")</f>
        <v>_</v>
      </c>
      <c r="AP400" s="300" t="str">
        <f>_xlfn.IFNA(VLOOKUP($AI400,Programma!$F$3:$M$1107,8,0),"")</f>
        <v>_</v>
      </c>
      <c r="AQ400" s="300" t="str">
        <f>_xlfn.IFNA(VLOOKUP($AI400,Programma!$F$3:$N$1107,9,0),"")</f>
        <v>_</v>
      </c>
      <c r="AR400" s="300" t="str">
        <f>_xlfn.IFNA(VLOOKUP($AI400,Programma!$F$3:$O$1107,10,0),"")</f>
        <v>3w</v>
      </c>
      <c r="AS400" s="300" t="str">
        <f>_xlfn.IFNA(VLOOKUP($AI400,Programma!$F$3:$P$1107,11,0),"")</f>
        <v>3w</v>
      </c>
      <c r="AT400" s="300" t="str">
        <f>_xlfn.IFNA(VLOOKUP($AI400,Programma!$F$3:$Q$1107,12,0),"")</f>
        <v>1w</v>
      </c>
      <c r="AU400" s="300" t="str">
        <f>_xlfn.IFNA(VLOOKUP($AI400,Programma!$F$3:$R$1107,13,0),"")</f>
        <v>1w</v>
      </c>
      <c r="AV400" s="300" t="str">
        <f>_xlfn.IFNA(VLOOKUP($AI400,Programma!$F$3:$S$1107,14,0),"")</f>
        <v>1m</v>
      </c>
      <c r="AW400" s="300" t="str">
        <f>_xlfn.IFNA(VLOOKUP($AI400,Programma!$F$3:$T$1107,15,0),"")</f>
        <v>2j</v>
      </c>
      <c r="AX400" s="300" t="str">
        <f>_xlfn.IFNA(VLOOKUP($AI400,Programma!$F$3:$U$1107,16,0),"")</f>
        <v>1j</v>
      </c>
      <c r="AY400" s="300" t="str">
        <f>_xlfn.IFNA(VLOOKUP($AI400,Programma!$F$3:$V$1107,17,0),"")</f>
        <v>_</v>
      </c>
      <c r="AZ400" s="300" t="str">
        <f>_xlfn.IFNA(VLOOKUP($AI400,Programma!$F$3:$W$1107,18,0),"")</f>
        <v>_</v>
      </c>
      <c r="BA400" s="300" t="str">
        <f>_xlfn.IFNA(VLOOKUP($AI400,Programma!$F$3:$X$1107,19,0),"")</f>
        <v>_</v>
      </c>
      <c r="BB400" s="300" t="str">
        <f>_xlfn.IFNA(VLOOKUP($AI400,Programma!$F$3:$Y$1107,20,0),"")</f>
        <v>_</v>
      </c>
      <c r="BC400" s="257"/>
      <c r="BD400" s="256" t="str">
        <f>IF(Ruimtestaat[[#This Row],[Frequentie weekend]]="","",_xlfn.CONCAT(Ruimtestaat[[#This Row],[Ruimte code]],"-",Ruimtestaat[[#This Row],[Frequentie weekend]]," ",Ruimtestaat[[#This Row],[Vloer code]]))</f>
        <v/>
      </c>
      <c r="BE400" s="300" t="str">
        <f>_xlfn.IFNA(VLOOKUP($BD400,Programma!$F$3:$G$1107,2,0),"")</f>
        <v/>
      </c>
      <c r="BF400" s="300" t="str">
        <f>_xlfn.IFNA(VLOOKUP($BD400,Programma!$F$3:$H$1107,3,0),"")</f>
        <v/>
      </c>
      <c r="BG400" s="300" t="str">
        <f>_xlfn.IFNA(VLOOKUP($BD400,Programma!$F$3:$I$1107,4,0),"")</f>
        <v/>
      </c>
      <c r="BH400" s="300" t="str">
        <f>_xlfn.IFNA(VLOOKUP($BD400,Programma!$F$3:$J$1107,5,0),"")</f>
        <v/>
      </c>
      <c r="BI400" s="300" t="str">
        <f>_xlfn.IFNA(VLOOKUP($BD400,Programma!$F$3:$K$1107,6,0),"")</f>
        <v/>
      </c>
      <c r="BJ400" s="300" t="str">
        <f>_xlfn.IFNA(VLOOKUP($BD400,Programma!$F$3:$L$1107,7,0),"")</f>
        <v/>
      </c>
      <c r="BK400" s="300" t="str">
        <f>_xlfn.IFNA(VLOOKUP($BD400,Programma!$F$3:$M$1107,8,0),"")</f>
        <v/>
      </c>
      <c r="BL400" s="300" t="str">
        <f>_xlfn.IFNA(VLOOKUP($BD400,Programma!$F$3:$N$1107,9,0),"")</f>
        <v/>
      </c>
      <c r="BM400" s="300" t="str">
        <f>_xlfn.IFNA(VLOOKUP($BD400,Programma!$F$3:$O$1107,10,0),"")</f>
        <v/>
      </c>
      <c r="BN400" s="300" t="str">
        <f>_xlfn.IFNA(VLOOKUP($BD400,Programma!$F$3:$P$1107,11,0),"")</f>
        <v/>
      </c>
      <c r="BO400" s="300" t="str">
        <f>_xlfn.IFNA(VLOOKUP($BD400,Programma!$F$3:$Q$1107,12,0),"")</f>
        <v/>
      </c>
      <c r="BP400" s="300" t="str">
        <f>_xlfn.IFNA(VLOOKUP($BD400,Programma!$F$3:$R$1107,13,0),"")</f>
        <v/>
      </c>
      <c r="BQ400" s="300" t="str">
        <f>_xlfn.IFNA(VLOOKUP($BD400,Programma!$F$3:$S$1107,14,0),"")</f>
        <v/>
      </c>
      <c r="BR400" s="300" t="str">
        <f>_xlfn.IFNA(VLOOKUP($BD400,Programma!$F$3:$T$1107,15,0),"")</f>
        <v/>
      </c>
      <c r="BS400" s="300" t="str">
        <f>_xlfn.IFNA(VLOOKUP($BD400,Programma!$F$3:$U$1107,16,0),"")</f>
        <v/>
      </c>
      <c r="BT400" s="300" t="str">
        <f>_xlfn.IFNA(VLOOKUP($BD400,Programma!$F$3:$V$1107,17,0),"")</f>
        <v/>
      </c>
      <c r="BU400" s="300" t="str">
        <f>_xlfn.IFNA(VLOOKUP($BD400,Programma!$F$3:$W$1107,18,0),"")</f>
        <v/>
      </c>
      <c r="BV400" s="300" t="str">
        <f>_xlfn.IFNA(VLOOKUP($BD400,Programma!$F$3:$X$1107,19,0),"")</f>
        <v/>
      </c>
      <c r="BW400" s="300" t="str">
        <f>_xlfn.IFNA(VLOOKUP($BD400,Programma!$F$3:$Y$1107,20,0),"")</f>
        <v/>
      </c>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c r="GK400" s="4"/>
      <c r="GL400" s="4"/>
      <c r="GM400" s="4"/>
      <c r="GN400" s="4"/>
      <c r="GO400" s="4"/>
      <c r="GP400" s="4"/>
      <c r="GQ400" s="4"/>
      <c r="GR400" s="4"/>
      <c r="GS400" s="4"/>
      <c r="GT400" s="4"/>
      <c r="GU400" s="4"/>
      <c r="GV400" s="4"/>
      <c r="GW400" s="4"/>
      <c r="GX400" s="4"/>
      <c r="GY400" s="4"/>
      <c r="GZ400" s="4"/>
      <c r="HA400" s="4"/>
      <c r="HB400" s="4"/>
      <c r="HC400" s="4"/>
      <c r="HD400" s="4"/>
      <c r="HE400" s="4"/>
      <c r="HF400" s="4"/>
      <c r="HG400" s="4"/>
      <c r="HH400" s="4"/>
      <c r="HI400" s="4"/>
      <c r="HJ400" s="4"/>
      <c r="HK400" s="4"/>
      <c r="HL400" s="4"/>
    </row>
    <row r="401" spans="1:220" ht="15" customHeight="1">
      <c r="A401" s="21">
        <v>5</v>
      </c>
      <c r="B401" s="157" t="str">
        <f>VLOOKUP(Ruimtestaat[[#This Row],[Code]],Locaties[[Code]:[Locatie]],2,FALSE)</f>
        <v>François Vatel vmbo</v>
      </c>
      <c r="C401" s="157" t="str">
        <f>VLOOKUP(Ruimtestaat[[#This Row],[Code]],Locaties[[#All],[Code]:[Adres]],4,FALSE)</f>
        <v>Granaathorst 20</v>
      </c>
      <c r="D401" s="157" t="str">
        <f>VLOOKUP(Ruimtestaat[[#This Row],[Code]],Locaties[[#All],[Code]:[Postcode]],5,FALSE)</f>
        <v>2592 TD</v>
      </c>
      <c r="E401" s="157" t="str">
        <f>VLOOKUP(Ruimtestaat[[#This Row],[Code]],Locaties[#All],6,FALSE)</f>
        <v>Den Haag</v>
      </c>
      <c r="F401" s="62"/>
      <c r="G401" s="21" t="s">
        <v>1624</v>
      </c>
      <c r="H401" s="21" t="s">
        <v>1695</v>
      </c>
      <c r="I401" s="62" t="s">
        <v>1628</v>
      </c>
      <c r="J401" s="21">
        <v>4</v>
      </c>
      <c r="K401" s="62" t="str">
        <f>VLOOKUP(Ruimtestaat[[#This Row],[Ruimte code]],Ruimtegroepen[[#All],[Code]:[Ruimte omschrijving]],2,FALSE)</f>
        <v>Vergader/spreekkamers</v>
      </c>
      <c r="L401" s="33" t="s">
        <v>101</v>
      </c>
      <c r="M401" s="367" t="s">
        <v>2495</v>
      </c>
      <c r="N401" s="140">
        <v>8</v>
      </c>
      <c r="O401" s="140"/>
      <c r="P401" s="125" t="str">
        <f>VLOOKUP(Ruimtestaat[[#This Row],[Ruimte code]],Ruimtegroepen[],4,FALSE)</f>
        <v>Bu</v>
      </c>
      <c r="R401" s="33">
        <v>40</v>
      </c>
      <c r="S401" s="33" t="s">
        <v>18</v>
      </c>
      <c r="T401" s="33">
        <f>IF(R401&gt;0,IF(RIGHT(Ruimtestaat[[#This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401" s="33">
        <f>IF(T401&gt;0,VLOOKUP($J401,Ruimtegroepen[],3,FALSE)*VLOOKUP($L401,Vloersoorten[],3,FALSE)*VLOOKUP($S401,Frequenties[],3,FALSE)*VLOOKUP($A401,Locaties[],3,FALSE),0)</f>
        <v>0</v>
      </c>
      <c r="V401" s="33">
        <f>Ruimtestaat[[#This Row],[Uitvoeringen werkdagen]]*Ruimtestaat[[#This Row],[Oppervlak (netto)]]</f>
        <v>960</v>
      </c>
      <c r="W401" s="154">
        <f>IF(U401&gt;0,Ruimtestaat[[#This Row],[Prest. (m2 /jaar) werkdagen]]/Ruimtestaat[[#This Row],[Norm (m2/uur) werkdagen]],0)</f>
        <v>0</v>
      </c>
      <c r="X401" s="155">
        <f>Ruimtestaat[[#This Row],[uren / jaar werkdagen]]*Tariefsopbouw!$E$35</f>
        <v>0</v>
      </c>
      <c r="Y401" s="33"/>
      <c r="Z401" s="33">
        <f>IF(Ruimtestaat[[#This Row],[Frequentie weekend]]&gt;0,VALUE(LEFT(Y401,1))*R401,0)</f>
        <v>0</v>
      </c>
      <c r="AA401" s="97">
        <f>IF($Z401&gt;0,VLOOKUP($J401,Ruimtegroepen[],3,FALSE)*VLOOKUP($L401,Vloersoorten[],3,FALSE)*VLOOKUP($Y401,Frequenties[],3,FALSE)*VLOOKUP(Ruimtestaat[[#This Row],[Code]],Locaties[],3,FALSE),0)</f>
        <v>0</v>
      </c>
      <c r="AB401" s="97">
        <f>Ruimtestaat[[#This Row],[Uitvoeringen weekend]]*Ruimtestaat[[#This Row],[Oppervlak (netto)]]</f>
        <v>0</v>
      </c>
      <c r="AC401" s="97">
        <f>IF(AA401&gt;0,Ruimtestaat[[#This Row],[Prest. (m2 /jaar) weekend]]/Ruimtestaat[[#This Row],[Norm (m2/uur) weekend]],0)</f>
        <v>0</v>
      </c>
      <c r="AD401" s="155">
        <f>Ruimtestaat[[#This Row],[uren / jaar weekend]]*Tariefsopbouw!$D$40</f>
        <v>0</v>
      </c>
      <c r="AE401" s="154">
        <f>Ruimtestaat[[#This Row],[Prest. (m2 /jaar) weekend]]+Ruimtestaat[[#This Row],[Prest. (m2 /jaar) werkdagen]]</f>
        <v>960</v>
      </c>
      <c r="AF401" s="154">
        <f>Ruimtestaat[[#This Row],[uren / jaar weekend]]+Ruimtestaat[[#This Row],[uren / jaar werkdagen]]</f>
        <v>0</v>
      </c>
      <c r="AG401" s="69">
        <f>Ruimtestaat[[#This Row],[kosten / jaar weekend]]+Ruimtestaat[[#This Row],[kosten / jaar werkdagen]]</f>
        <v>0</v>
      </c>
      <c r="AH401" s="69"/>
      <c r="AI401" s="256" t="str">
        <f>IF(Ruimtestaat[[#This Row],[Frequentie werkdagen]]="","",_xlfn.CONCAT(Ruimtestaat[[#This Row],[Ruimte code]],"-",Ruimtestaat[[#This Row],[Frequentie werkdagen]]," ",Ruimtestaat[[#This Row],[Vloer code]]))</f>
        <v>4-3w L</v>
      </c>
      <c r="AJ401" s="300" t="str">
        <f>_xlfn.IFNA(VLOOKUP($AI401,Programma!$F$3:$G$1107,2,0),"")</f>
        <v>_</v>
      </c>
      <c r="AK401" s="300" t="str">
        <f>_xlfn.IFNA(VLOOKUP($AI401,Programma!$F$3:$H$1107,3,0),"")</f>
        <v>_</v>
      </c>
      <c r="AL401" s="300" t="str">
        <f>_xlfn.IFNA(VLOOKUP($AI401,Programma!$F$3:$I$1107,4,0),"")</f>
        <v>2w</v>
      </c>
      <c r="AM401" s="300" t="str">
        <f>_xlfn.IFNA(VLOOKUP($AI401,Programma!$F$3:$J$1107,5,0),"")</f>
        <v>1w</v>
      </c>
      <c r="AN401" s="300" t="str">
        <f>_xlfn.IFNA(VLOOKUP($AI401,Programma!$F$3:$K$1107,6,0),"")</f>
        <v>_</v>
      </c>
      <c r="AO401" s="300" t="str">
        <f>_xlfn.IFNA(VLOOKUP($AI401,Programma!$F$3:$L$1107,7,0),"")</f>
        <v>_</v>
      </c>
      <c r="AP401" s="300" t="str">
        <f>_xlfn.IFNA(VLOOKUP($AI401,Programma!$F$3:$M$1107,8,0),"")</f>
        <v>_</v>
      </c>
      <c r="AQ401" s="300" t="str">
        <f>_xlfn.IFNA(VLOOKUP($AI401,Programma!$F$3:$N$1107,9,0),"")</f>
        <v>_</v>
      </c>
      <c r="AR401" s="300" t="str">
        <f>_xlfn.IFNA(VLOOKUP($AI401,Programma!$F$3:$O$1107,10,0),"")</f>
        <v>3w</v>
      </c>
      <c r="AS401" s="300" t="str">
        <f>_xlfn.IFNA(VLOOKUP($AI401,Programma!$F$3:$P$1107,11,0),"")</f>
        <v>3w</v>
      </c>
      <c r="AT401" s="300" t="str">
        <f>_xlfn.IFNA(VLOOKUP($AI401,Programma!$F$3:$Q$1107,12,0),"")</f>
        <v>1w</v>
      </c>
      <c r="AU401" s="300" t="str">
        <f>_xlfn.IFNA(VLOOKUP($AI401,Programma!$F$3:$R$1107,13,0),"")</f>
        <v>1w</v>
      </c>
      <c r="AV401" s="300" t="str">
        <f>_xlfn.IFNA(VLOOKUP($AI401,Programma!$F$3:$S$1107,14,0),"")</f>
        <v>1m</v>
      </c>
      <c r="AW401" s="300" t="str">
        <f>_xlfn.IFNA(VLOOKUP($AI401,Programma!$F$3:$T$1107,15,0),"")</f>
        <v>2j</v>
      </c>
      <c r="AX401" s="300" t="str">
        <f>_xlfn.IFNA(VLOOKUP($AI401,Programma!$F$3:$U$1107,16,0),"")</f>
        <v>1j</v>
      </c>
      <c r="AY401" s="300" t="str">
        <f>_xlfn.IFNA(VLOOKUP($AI401,Programma!$F$3:$V$1107,17,0),"")</f>
        <v>_</v>
      </c>
      <c r="AZ401" s="300" t="str">
        <f>_xlfn.IFNA(VLOOKUP($AI401,Programma!$F$3:$W$1107,18,0),"")</f>
        <v>_</v>
      </c>
      <c r="BA401" s="300" t="str">
        <f>_xlfn.IFNA(VLOOKUP($AI401,Programma!$F$3:$X$1107,19,0),"")</f>
        <v>_</v>
      </c>
      <c r="BB401" s="300" t="str">
        <f>_xlfn.IFNA(VLOOKUP($AI401,Programma!$F$3:$Y$1107,20,0),"")</f>
        <v>_</v>
      </c>
      <c r="BC401" s="257"/>
      <c r="BD401" s="256" t="str">
        <f>IF(Ruimtestaat[[#This Row],[Frequentie weekend]]="","",_xlfn.CONCAT(Ruimtestaat[[#This Row],[Ruimte code]],"-",Ruimtestaat[[#This Row],[Frequentie weekend]]," ",Ruimtestaat[[#This Row],[Vloer code]]))</f>
        <v/>
      </c>
      <c r="BE401" s="300" t="str">
        <f>_xlfn.IFNA(VLOOKUP($BD401,Programma!$F$3:$G$1107,2,0),"")</f>
        <v/>
      </c>
      <c r="BF401" s="300" t="str">
        <f>_xlfn.IFNA(VLOOKUP($BD401,Programma!$F$3:$H$1107,3,0),"")</f>
        <v/>
      </c>
      <c r="BG401" s="300" t="str">
        <f>_xlfn.IFNA(VLOOKUP($BD401,Programma!$F$3:$I$1107,4,0),"")</f>
        <v/>
      </c>
      <c r="BH401" s="300" t="str">
        <f>_xlfn.IFNA(VLOOKUP($BD401,Programma!$F$3:$J$1107,5,0),"")</f>
        <v/>
      </c>
      <c r="BI401" s="300" t="str">
        <f>_xlfn.IFNA(VLOOKUP($BD401,Programma!$F$3:$K$1107,6,0),"")</f>
        <v/>
      </c>
      <c r="BJ401" s="300" t="str">
        <f>_xlfn.IFNA(VLOOKUP($BD401,Programma!$F$3:$L$1107,7,0),"")</f>
        <v/>
      </c>
      <c r="BK401" s="300" t="str">
        <f>_xlfn.IFNA(VLOOKUP($BD401,Programma!$F$3:$M$1107,8,0),"")</f>
        <v/>
      </c>
      <c r="BL401" s="300" t="str">
        <f>_xlfn.IFNA(VLOOKUP($BD401,Programma!$F$3:$N$1107,9,0),"")</f>
        <v/>
      </c>
      <c r="BM401" s="300" t="str">
        <f>_xlfn.IFNA(VLOOKUP($BD401,Programma!$F$3:$O$1107,10,0),"")</f>
        <v/>
      </c>
      <c r="BN401" s="300" t="str">
        <f>_xlfn.IFNA(VLOOKUP($BD401,Programma!$F$3:$P$1107,11,0),"")</f>
        <v/>
      </c>
      <c r="BO401" s="300" t="str">
        <f>_xlfn.IFNA(VLOOKUP($BD401,Programma!$F$3:$Q$1107,12,0),"")</f>
        <v/>
      </c>
      <c r="BP401" s="300" t="str">
        <f>_xlfn.IFNA(VLOOKUP($BD401,Programma!$F$3:$R$1107,13,0),"")</f>
        <v/>
      </c>
      <c r="BQ401" s="300" t="str">
        <f>_xlfn.IFNA(VLOOKUP($BD401,Programma!$F$3:$S$1107,14,0),"")</f>
        <v/>
      </c>
      <c r="BR401" s="300" t="str">
        <f>_xlfn.IFNA(VLOOKUP($BD401,Programma!$F$3:$T$1107,15,0),"")</f>
        <v/>
      </c>
      <c r="BS401" s="300" t="str">
        <f>_xlfn.IFNA(VLOOKUP($BD401,Programma!$F$3:$U$1107,16,0),"")</f>
        <v/>
      </c>
      <c r="BT401" s="300" t="str">
        <f>_xlfn.IFNA(VLOOKUP($BD401,Programma!$F$3:$V$1107,17,0),"")</f>
        <v/>
      </c>
      <c r="BU401" s="300" t="str">
        <f>_xlfn.IFNA(VLOOKUP($BD401,Programma!$F$3:$W$1107,18,0),"")</f>
        <v/>
      </c>
      <c r="BV401" s="300" t="str">
        <f>_xlfn.IFNA(VLOOKUP($BD401,Programma!$F$3:$X$1107,19,0),"")</f>
        <v/>
      </c>
      <c r="BW401" s="300" t="str">
        <f>_xlfn.IFNA(VLOOKUP($BD401,Programma!$F$3:$Y$1107,20,0),"")</f>
        <v/>
      </c>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c r="GK401" s="4"/>
      <c r="GL401" s="4"/>
      <c r="GM401" s="4"/>
      <c r="GN401" s="4"/>
      <c r="GO401" s="4"/>
      <c r="GP401" s="4"/>
      <c r="GQ401" s="4"/>
      <c r="GR401" s="4"/>
      <c r="GS401" s="4"/>
      <c r="GT401" s="4"/>
      <c r="GU401" s="4"/>
      <c r="GV401" s="4"/>
      <c r="GW401" s="4"/>
      <c r="GX401" s="4"/>
      <c r="GY401" s="4"/>
      <c r="GZ401" s="4"/>
      <c r="HA401" s="4"/>
      <c r="HB401" s="4"/>
      <c r="HC401" s="4"/>
      <c r="HD401" s="4"/>
      <c r="HE401" s="4"/>
      <c r="HF401" s="4"/>
      <c r="HG401" s="4"/>
      <c r="HH401" s="4"/>
      <c r="HI401" s="4"/>
      <c r="HJ401" s="4"/>
      <c r="HK401" s="4"/>
      <c r="HL401" s="4"/>
    </row>
    <row r="402" spans="1:220" ht="15" customHeight="1">
      <c r="A402" s="21">
        <v>5</v>
      </c>
      <c r="B402" s="157" t="str">
        <f>VLOOKUP(Ruimtestaat[[#This Row],[Code]],Locaties[[Code]:[Locatie]],2,FALSE)</f>
        <v>François Vatel vmbo</v>
      </c>
      <c r="C402" s="157" t="str">
        <f>VLOOKUP(Ruimtestaat[[#This Row],[Code]],Locaties[[#All],[Code]:[Adres]],4,FALSE)</f>
        <v>Granaathorst 20</v>
      </c>
      <c r="D402" s="157" t="str">
        <f>VLOOKUP(Ruimtestaat[[#This Row],[Code]],Locaties[[#All],[Code]:[Postcode]],5,FALSE)</f>
        <v>2592 TD</v>
      </c>
      <c r="E402" s="157" t="str">
        <f>VLOOKUP(Ruimtestaat[[#This Row],[Code]],Locaties[#All],6,FALSE)</f>
        <v>Den Haag</v>
      </c>
      <c r="F402" s="62"/>
      <c r="G402" s="21" t="s">
        <v>1624</v>
      </c>
      <c r="H402" s="21" t="s">
        <v>1697</v>
      </c>
      <c r="I402" s="62" t="s">
        <v>1917</v>
      </c>
      <c r="J402" s="21">
        <v>12</v>
      </c>
      <c r="K402" s="62" t="str">
        <f>VLOOKUP(Ruimtestaat[[#This Row],[Ruimte code]],Ruimtegroepen[[#All],[Code]:[Ruimte omschrijving]],2,FALSE)</f>
        <v>Kantine</v>
      </c>
      <c r="L402" s="33" t="s">
        <v>100</v>
      </c>
      <c r="M402" s="367" t="s">
        <v>2493</v>
      </c>
      <c r="N402" s="140">
        <v>72</v>
      </c>
      <c r="O402" s="140"/>
      <c r="P402" s="125" t="str">
        <f>VLOOKUP(Ruimtestaat[[#This Row],[Ruimte code]],Ruimtegroepen[],4,FALSE)</f>
        <v>Ve</v>
      </c>
      <c r="R402" s="33">
        <v>40</v>
      </c>
      <c r="S402" s="33" t="s">
        <v>2</v>
      </c>
      <c r="T402" s="33">
        <f>IF(R402&gt;0,IF(RIGHT(Ruimtestaat[[#This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2" s="33">
        <f>IF(T402&gt;0,VLOOKUP($J402,Ruimtegroepen[],3,FALSE)*VLOOKUP($L402,Vloersoorten[],3,FALSE)*VLOOKUP($S402,Frequenties[],3,FALSE)*VLOOKUP($A402,Locaties[],3,FALSE),0)</f>
        <v>0</v>
      </c>
      <c r="V402" s="33">
        <f>Ruimtestaat[[#This Row],[Uitvoeringen werkdagen]]*Ruimtestaat[[#This Row],[Oppervlak (netto)]]</f>
        <v>14400</v>
      </c>
      <c r="W402" s="154">
        <f>IF(U402&gt;0,Ruimtestaat[[#This Row],[Prest. (m2 /jaar) werkdagen]]/Ruimtestaat[[#This Row],[Norm (m2/uur) werkdagen]],0)</f>
        <v>0</v>
      </c>
      <c r="X402" s="155">
        <f>Ruimtestaat[[#This Row],[uren / jaar werkdagen]]*Tariefsopbouw!$E$35</f>
        <v>0</v>
      </c>
      <c r="Y402" s="33"/>
      <c r="Z402" s="33">
        <f>IF(Ruimtestaat[[#This Row],[Frequentie weekend]]&gt;0,VALUE(LEFT(Y402,1))*R402,0)</f>
        <v>0</v>
      </c>
      <c r="AA402" s="97">
        <f>IF($Z402&gt;0,VLOOKUP($J402,Ruimtegroepen[],3,FALSE)*VLOOKUP($L402,Vloersoorten[],3,FALSE)*VLOOKUP($Y402,Frequenties[],3,FALSE)*VLOOKUP(Ruimtestaat[[#This Row],[Code]],Locaties[],3,FALSE),0)</f>
        <v>0</v>
      </c>
      <c r="AB402" s="97">
        <f>Ruimtestaat[[#This Row],[Uitvoeringen weekend]]*Ruimtestaat[[#This Row],[Oppervlak (netto)]]</f>
        <v>0</v>
      </c>
      <c r="AC402" s="97">
        <f>IF(AA402&gt;0,Ruimtestaat[[#This Row],[Prest. (m2 /jaar) weekend]]/Ruimtestaat[[#This Row],[Norm (m2/uur) weekend]],0)</f>
        <v>0</v>
      </c>
      <c r="AD402" s="155">
        <f>Ruimtestaat[[#This Row],[uren / jaar weekend]]*Tariefsopbouw!$D$40</f>
        <v>0</v>
      </c>
      <c r="AE402" s="154">
        <f>Ruimtestaat[[#This Row],[Prest. (m2 /jaar) weekend]]+Ruimtestaat[[#This Row],[Prest. (m2 /jaar) werkdagen]]</f>
        <v>14400</v>
      </c>
      <c r="AF402" s="154">
        <f>Ruimtestaat[[#This Row],[uren / jaar weekend]]+Ruimtestaat[[#This Row],[uren / jaar werkdagen]]</f>
        <v>0</v>
      </c>
      <c r="AG402" s="69">
        <f>Ruimtestaat[[#This Row],[kosten / jaar weekend]]+Ruimtestaat[[#This Row],[kosten / jaar werkdagen]]</f>
        <v>0</v>
      </c>
      <c r="AH402" s="69"/>
      <c r="AI402" s="256" t="str">
        <f>IF(Ruimtestaat[[#This Row],[Frequentie werkdagen]]="","",_xlfn.CONCAT(Ruimtestaat[[#This Row],[Ruimte code]],"-",Ruimtestaat[[#This Row],[Frequentie werkdagen]]," ",Ruimtestaat[[#This Row],[Vloer code]]))</f>
        <v>12-5w T</v>
      </c>
      <c r="AJ402" s="300" t="str">
        <f>_xlfn.IFNA(VLOOKUP($AI402,Programma!$F$3:$G$1107,2,0),"")</f>
        <v>_</v>
      </c>
      <c r="AK402" s="300" t="str">
        <f>_xlfn.IFNA(VLOOKUP($AI402,Programma!$F$3:$H$1107,3,0),"")</f>
        <v>5w</v>
      </c>
      <c r="AL402" s="300" t="str">
        <f>_xlfn.IFNA(VLOOKUP($AI402,Programma!$F$3:$I$1107,4,0),"")</f>
        <v>_</v>
      </c>
      <c r="AM402" s="300" t="str">
        <f>_xlfn.IFNA(VLOOKUP($AI402,Programma!$F$3:$J$1107,5,0),"")</f>
        <v>_</v>
      </c>
      <c r="AN402" s="300" t="str">
        <f>_xlfn.IFNA(VLOOKUP($AI402,Programma!$F$3:$K$1107,6,0),"")</f>
        <v>_</v>
      </c>
      <c r="AO402" s="300" t="str">
        <f>_xlfn.IFNA(VLOOKUP($AI402,Programma!$F$3:$L$1107,7,0),"")</f>
        <v>_</v>
      </c>
      <c r="AP402" s="300" t="str">
        <f>_xlfn.IFNA(VLOOKUP($AI402,Programma!$F$3:$M$1107,8,0),"")</f>
        <v>_</v>
      </c>
      <c r="AQ402" s="300" t="str">
        <f>_xlfn.IFNA(VLOOKUP($AI402,Programma!$F$3:$N$1107,9,0),"")</f>
        <v>_</v>
      </c>
      <c r="AR402" s="300" t="str">
        <f>_xlfn.IFNA(VLOOKUP($AI402,Programma!$F$3:$O$1107,10,0),"")</f>
        <v>5w</v>
      </c>
      <c r="AS402" s="300" t="str">
        <f>_xlfn.IFNA(VLOOKUP($AI402,Programma!$F$3:$P$1107,11,0),"")</f>
        <v>5w</v>
      </c>
      <c r="AT402" s="300" t="str">
        <f>_xlfn.IFNA(VLOOKUP($AI402,Programma!$F$3:$Q$1107,12,0),"")</f>
        <v>1w</v>
      </c>
      <c r="AU402" s="300" t="str">
        <f>_xlfn.IFNA(VLOOKUP($AI402,Programma!$F$3:$R$1107,13,0),"")</f>
        <v>1w</v>
      </c>
      <c r="AV402" s="300" t="str">
        <f>_xlfn.IFNA(VLOOKUP($AI402,Programma!$F$3:$S$1107,14,0),"")</f>
        <v>1m</v>
      </c>
      <c r="AW402" s="300" t="str">
        <f>_xlfn.IFNA(VLOOKUP($AI402,Programma!$F$3:$T$1107,15,0),"")</f>
        <v>2j</v>
      </c>
      <c r="AX402" s="300" t="str">
        <f>_xlfn.IFNA(VLOOKUP($AI402,Programma!$F$3:$U$1107,16,0),"")</f>
        <v>1j</v>
      </c>
      <c r="AY402" s="300" t="str">
        <f>_xlfn.IFNA(VLOOKUP($AI402,Programma!$F$3:$V$1107,17,0),"")</f>
        <v>_</v>
      </c>
      <c r="AZ402" s="300" t="str">
        <f>_xlfn.IFNA(VLOOKUP($AI402,Programma!$F$3:$W$1107,18,0),"")</f>
        <v>_</v>
      </c>
      <c r="BA402" s="300" t="str">
        <f>_xlfn.IFNA(VLOOKUP($AI402,Programma!$F$3:$X$1107,19,0),"")</f>
        <v>_</v>
      </c>
      <c r="BB402" s="300" t="str">
        <f>_xlfn.IFNA(VLOOKUP($AI402,Programma!$F$3:$Y$1107,20,0),"")</f>
        <v>_</v>
      </c>
      <c r="BC402" s="257"/>
      <c r="BD402" s="256" t="str">
        <f>IF(Ruimtestaat[[#This Row],[Frequentie weekend]]="","",_xlfn.CONCAT(Ruimtestaat[[#This Row],[Ruimte code]],"-",Ruimtestaat[[#This Row],[Frequentie weekend]]," ",Ruimtestaat[[#This Row],[Vloer code]]))</f>
        <v/>
      </c>
      <c r="BE402" s="300" t="str">
        <f>_xlfn.IFNA(VLOOKUP($BD402,Programma!$F$3:$G$1107,2,0),"")</f>
        <v/>
      </c>
      <c r="BF402" s="300" t="str">
        <f>_xlfn.IFNA(VLOOKUP($BD402,Programma!$F$3:$H$1107,3,0),"")</f>
        <v/>
      </c>
      <c r="BG402" s="300" t="str">
        <f>_xlfn.IFNA(VLOOKUP($BD402,Programma!$F$3:$I$1107,4,0),"")</f>
        <v/>
      </c>
      <c r="BH402" s="300" t="str">
        <f>_xlfn.IFNA(VLOOKUP($BD402,Programma!$F$3:$J$1107,5,0),"")</f>
        <v/>
      </c>
      <c r="BI402" s="300" t="str">
        <f>_xlfn.IFNA(VLOOKUP($BD402,Programma!$F$3:$K$1107,6,0),"")</f>
        <v/>
      </c>
      <c r="BJ402" s="300" t="str">
        <f>_xlfn.IFNA(VLOOKUP($BD402,Programma!$F$3:$L$1107,7,0),"")</f>
        <v/>
      </c>
      <c r="BK402" s="300" t="str">
        <f>_xlfn.IFNA(VLOOKUP($BD402,Programma!$F$3:$M$1107,8,0),"")</f>
        <v/>
      </c>
      <c r="BL402" s="300" t="str">
        <f>_xlfn.IFNA(VLOOKUP($BD402,Programma!$F$3:$N$1107,9,0),"")</f>
        <v/>
      </c>
      <c r="BM402" s="300" t="str">
        <f>_xlfn.IFNA(VLOOKUP($BD402,Programma!$F$3:$O$1107,10,0),"")</f>
        <v/>
      </c>
      <c r="BN402" s="300" t="str">
        <f>_xlfn.IFNA(VLOOKUP($BD402,Programma!$F$3:$P$1107,11,0),"")</f>
        <v/>
      </c>
      <c r="BO402" s="300" t="str">
        <f>_xlfn.IFNA(VLOOKUP($BD402,Programma!$F$3:$Q$1107,12,0),"")</f>
        <v/>
      </c>
      <c r="BP402" s="300" t="str">
        <f>_xlfn.IFNA(VLOOKUP($BD402,Programma!$F$3:$R$1107,13,0),"")</f>
        <v/>
      </c>
      <c r="BQ402" s="300" t="str">
        <f>_xlfn.IFNA(VLOOKUP($BD402,Programma!$F$3:$S$1107,14,0),"")</f>
        <v/>
      </c>
      <c r="BR402" s="300" t="str">
        <f>_xlfn.IFNA(VLOOKUP($BD402,Programma!$F$3:$T$1107,15,0),"")</f>
        <v/>
      </c>
      <c r="BS402" s="300" t="str">
        <f>_xlfn.IFNA(VLOOKUP($BD402,Programma!$F$3:$U$1107,16,0),"")</f>
        <v/>
      </c>
      <c r="BT402" s="300" t="str">
        <f>_xlfn.IFNA(VLOOKUP($BD402,Programma!$F$3:$V$1107,17,0),"")</f>
        <v/>
      </c>
      <c r="BU402" s="300" t="str">
        <f>_xlfn.IFNA(VLOOKUP($BD402,Programma!$F$3:$W$1107,18,0),"")</f>
        <v/>
      </c>
      <c r="BV402" s="300" t="str">
        <f>_xlfn.IFNA(VLOOKUP($BD402,Programma!$F$3:$X$1107,19,0),"")</f>
        <v/>
      </c>
      <c r="BW402" s="300" t="str">
        <f>_xlfn.IFNA(VLOOKUP($BD402,Programma!$F$3:$Y$1107,20,0),"")</f>
        <v/>
      </c>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c r="GK402" s="4"/>
      <c r="GL402" s="4"/>
      <c r="GM402" s="4"/>
      <c r="GN402" s="4"/>
      <c r="GO402" s="4"/>
      <c r="GP402" s="4"/>
      <c r="GQ402" s="4"/>
      <c r="GR402" s="4"/>
      <c r="GS402" s="4"/>
      <c r="GT402" s="4"/>
      <c r="GU402" s="4"/>
      <c r="GV402" s="4"/>
      <c r="GW402" s="4"/>
      <c r="GX402" s="4"/>
      <c r="GY402" s="4"/>
      <c r="GZ402" s="4"/>
      <c r="HA402" s="4"/>
      <c r="HB402" s="4"/>
      <c r="HC402" s="4"/>
      <c r="HD402" s="4"/>
      <c r="HE402" s="4"/>
      <c r="HF402" s="4"/>
      <c r="HG402" s="4"/>
      <c r="HH402" s="4"/>
      <c r="HI402" s="4"/>
      <c r="HJ402" s="4"/>
      <c r="HK402" s="4"/>
      <c r="HL402" s="4"/>
    </row>
    <row r="403" spans="1:220" ht="15" customHeight="1">
      <c r="A403" s="21">
        <v>5</v>
      </c>
      <c r="B403" s="157" t="str">
        <f>VLOOKUP(Ruimtestaat[[#This Row],[Code]],Locaties[[Code]:[Locatie]],2,FALSE)</f>
        <v>François Vatel vmbo</v>
      </c>
      <c r="C403" s="157" t="str">
        <f>VLOOKUP(Ruimtestaat[[#This Row],[Code]],Locaties[[#All],[Code]:[Adres]],4,FALSE)</f>
        <v>Granaathorst 20</v>
      </c>
      <c r="D403" s="157" t="str">
        <f>VLOOKUP(Ruimtestaat[[#This Row],[Code]],Locaties[[#All],[Code]:[Postcode]],5,FALSE)</f>
        <v>2592 TD</v>
      </c>
      <c r="E403" s="157" t="str">
        <f>VLOOKUP(Ruimtestaat[[#This Row],[Code]],Locaties[#All],6,FALSE)</f>
        <v>Den Haag</v>
      </c>
      <c r="F403" s="62"/>
      <c r="G403" s="21" t="s">
        <v>1624</v>
      </c>
      <c r="H403" s="21" t="s">
        <v>1699</v>
      </c>
      <c r="I403" s="62" t="s">
        <v>2054</v>
      </c>
      <c r="J403" s="21">
        <v>6</v>
      </c>
      <c r="K403" s="62" t="str">
        <f>VLOOKUP(Ruimtestaat[[#This Row],[Ruimte code]],Ruimtegroepen[[#All],[Code]:[Ruimte omschrijving]],2,FALSE)</f>
        <v>Gangen/hallen</v>
      </c>
      <c r="L403" s="33" t="s">
        <v>102</v>
      </c>
      <c r="M403" s="367" t="s">
        <v>2515</v>
      </c>
      <c r="N403" s="140">
        <v>13</v>
      </c>
      <c r="O403" s="140"/>
      <c r="P403" s="125" t="str">
        <f>VLOOKUP(Ruimtestaat[[#This Row],[Ruimte code]],Ruimtegroepen[],4,FALSE)</f>
        <v>Ve</v>
      </c>
      <c r="R403" s="33">
        <v>40</v>
      </c>
      <c r="S403" s="33" t="s">
        <v>2</v>
      </c>
      <c r="T403" s="33">
        <f>IF(R403&gt;0,IF(RIGHT(Ruimtestaat[[#This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3" s="33">
        <f>IF(T403&gt;0,VLOOKUP($J403,Ruimtegroepen[],3,FALSE)*VLOOKUP($L403,Vloersoorten[],3,FALSE)*VLOOKUP($S403,Frequenties[],3,FALSE)*VLOOKUP($A403,Locaties[],3,FALSE),0)</f>
        <v>0</v>
      </c>
      <c r="V403" s="33">
        <f>Ruimtestaat[[#This Row],[Uitvoeringen werkdagen]]*Ruimtestaat[[#This Row],[Oppervlak (netto)]]</f>
        <v>2600</v>
      </c>
      <c r="W403" s="154">
        <f>IF(U403&gt;0,Ruimtestaat[[#This Row],[Prest. (m2 /jaar) werkdagen]]/Ruimtestaat[[#This Row],[Norm (m2/uur) werkdagen]],0)</f>
        <v>0</v>
      </c>
      <c r="X403" s="155">
        <f>Ruimtestaat[[#This Row],[uren / jaar werkdagen]]*Tariefsopbouw!$E$35</f>
        <v>0</v>
      </c>
      <c r="Y403" s="33"/>
      <c r="Z403" s="33">
        <f>IF(Ruimtestaat[[#This Row],[Frequentie weekend]]&gt;0,VALUE(LEFT(Y403,1))*R403,0)</f>
        <v>0</v>
      </c>
      <c r="AA403" s="97">
        <f>IF($Z403&gt;0,VLOOKUP($J403,Ruimtegroepen[],3,FALSE)*VLOOKUP($L403,Vloersoorten[],3,FALSE)*VLOOKUP($Y403,Frequenties[],3,FALSE)*VLOOKUP(Ruimtestaat[[#This Row],[Code]],Locaties[],3,FALSE),0)</f>
        <v>0</v>
      </c>
      <c r="AB403" s="97">
        <f>Ruimtestaat[[#This Row],[Uitvoeringen weekend]]*Ruimtestaat[[#This Row],[Oppervlak (netto)]]</f>
        <v>0</v>
      </c>
      <c r="AC403" s="97">
        <f>IF(AA403&gt;0,Ruimtestaat[[#This Row],[Prest. (m2 /jaar) weekend]]/Ruimtestaat[[#This Row],[Norm (m2/uur) weekend]],0)</f>
        <v>0</v>
      </c>
      <c r="AD403" s="155">
        <f>Ruimtestaat[[#This Row],[uren / jaar weekend]]*Tariefsopbouw!$D$40</f>
        <v>0</v>
      </c>
      <c r="AE403" s="154">
        <f>Ruimtestaat[[#This Row],[Prest. (m2 /jaar) weekend]]+Ruimtestaat[[#This Row],[Prest. (m2 /jaar) werkdagen]]</f>
        <v>2600</v>
      </c>
      <c r="AF403" s="154">
        <f>Ruimtestaat[[#This Row],[uren / jaar weekend]]+Ruimtestaat[[#This Row],[uren / jaar werkdagen]]</f>
        <v>0</v>
      </c>
      <c r="AG403" s="69">
        <f>Ruimtestaat[[#This Row],[kosten / jaar weekend]]+Ruimtestaat[[#This Row],[kosten / jaar werkdagen]]</f>
        <v>0</v>
      </c>
      <c r="AH403" s="69"/>
      <c r="AI403" s="256" t="str">
        <f>IF(Ruimtestaat[[#This Row],[Frequentie werkdagen]]="","",_xlfn.CONCAT(Ruimtestaat[[#This Row],[Ruimte code]],"-",Ruimtestaat[[#This Row],[Frequentie werkdagen]]," ",Ruimtestaat[[#This Row],[Vloer code]]))</f>
        <v>6-5w S</v>
      </c>
      <c r="AJ403" s="300" t="str">
        <f>_xlfn.IFNA(VLOOKUP($AI403,Programma!$F$3:$G$1107,2,0),"")</f>
        <v>_</v>
      </c>
      <c r="AK403" s="300" t="str">
        <f>_xlfn.IFNA(VLOOKUP($AI403,Programma!$F$3:$H$1107,3,0),"")</f>
        <v>_</v>
      </c>
      <c r="AL403" s="300" t="str">
        <f>_xlfn.IFNA(VLOOKUP($AI403,Programma!$F$3:$I$1107,4,0),"")</f>
        <v>5w</v>
      </c>
      <c r="AM403" s="300" t="str">
        <f>_xlfn.IFNA(VLOOKUP($AI403,Programma!$F$3:$J$1107,5,0),"")</f>
        <v>_</v>
      </c>
      <c r="AN403" s="300" t="str">
        <f>_xlfn.IFNA(VLOOKUP($AI403,Programma!$F$3:$K$1107,6,0),"")</f>
        <v>5w</v>
      </c>
      <c r="AO403" s="300" t="str">
        <f>_xlfn.IFNA(VLOOKUP($AI403,Programma!$F$3:$L$1107,7,0),"")</f>
        <v>_</v>
      </c>
      <c r="AP403" s="300" t="str">
        <f>_xlfn.IFNA(VLOOKUP($AI403,Programma!$F$3:$M$1107,8,0),"")</f>
        <v>_</v>
      </c>
      <c r="AQ403" s="300" t="str">
        <f>_xlfn.IFNA(VLOOKUP($AI403,Programma!$F$3:$N$1107,9,0),"")</f>
        <v>_</v>
      </c>
      <c r="AR403" s="300" t="str">
        <f>_xlfn.IFNA(VLOOKUP($AI403,Programma!$F$3:$O$1107,10,0),"")</f>
        <v>5w</v>
      </c>
      <c r="AS403" s="300" t="str">
        <f>_xlfn.IFNA(VLOOKUP($AI403,Programma!$F$3:$P$1107,11,0),"")</f>
        <v>5w</v>
      </c>
      <c r="AT403" s="300" t="str">
        <f>_xlfn.IFNA(VLOOKUP($AI403,Programma!$F$3:$Q$1107,12,0),"")</f>
        <v>1w</v>
      </c>
      <c r="AU403" s="300" t="str">
        <f>_xlfn.IFNA(VLOOKUP($AI403,Programma!$F$3:$R$1107,13,0),"")</f>
        <v>1w</v>
      </c>
      <c r="AV403" s="300" t="str">
        <f>_xlfn.IFNA(VLOOKUP($AI403,Programma!$F$3:$S$1107,14,0),"")</f>
        <v>1m</v>
      </c>
      <c r="AW403" s="300" t="str">
        <f>_xlfn.IFNA(VLOOKUP($AI403,Programma!$F$3:$T$1107,15,0),"")</f>
        <v>2j</v>
      </c>
      <c r="AX403" s="300" t="str">
        <f>_xlfn.IFNA(VLOOKUP($AI403,Programma!$F$3:$U$1107,16,0),"")</f>
        <v>1j</v>
      </c>
      <c r="AY403" s="300" t="str">
        <f>_xlfn.IFNA(VLOOKUP($AI403,Programma!$F$3:$V$1107,17,0),"")</f>
        <v>_</v>
      </c>
      <c r="AZ403" s="300" t="str">
        <f>_xlfn.IFNA(VLOOKUP($AI403,Programma!$F$3:$W$1107,18,0),"")</f>
        <v>_</v>
      </c>
      <c r="BA403" s="300" t="str">
        <f>_xlfn.IFNA(VLOOKUP($AI403,Programma!$F$3:$X$1107,19,0),"")</f>
        <v>_</v>
      </c>
      <c r="BB403" s="300" t="str">
        <f>_xlfn.IFNA(VLOOKUP($AI403,Programma!$F$3:$Y$1107,20,0),"")</f>
        <v>_</v>
      </c>
      <c r="BC403" s="257"/>
      <c r="BD403" s="256" t="str">
        <f>IF(Ruimtestaat[[#This Row],[Frequentie weekend]]="","",_xlfn.CONCAT(Ruimtestaat[[#This Row],[Ruimte code]],"-",Ruimtestaat[[#This Row],[Frequentie weekend]]," ",Ruimtestaat[[#This Row],[Vloer code]]))</f>
        <v/>
      </c>
      <c r="BE403" s="300" t="str">
        <f>_xlfn.IFNA(VLOOKUP($BD403,Programma!$F$3:$G$1107,2,0),"")</f>
        <v/>
      </c>
      <c r="BF403" s="300" t="str">
        <f>_xlfn.IFNA(VLOOKUP($BD403,Programma!$F$3:$H$1107,3,0),"")</f>
        <v/>
      </c>
      <c r="BG403" s="300" t="str">
        <f>_xlfn.IFNA(VLOOKUP($BD403,Programma!$F$3:$I$1107,4,0),"")</f>
        <v/>
      </c>
      <c r="BH403" s="300" t="str">
        <f>_xlfn.IFNA(VLOOKUP($BD403,Programma!$F$3:$J$1107,5,0),"")</f>
        <v/>
      </c>
      <c r="BI403" s="300" t="str">
        <f>_xlfn.IFNA(VLOOKUP($BD403,Programma!$F$3:$K$1107,6,0),"")</f>
        <v/>
      </c>
      <c r="BJ403" s="300" t="str">
        <f>_xlfn.IFNA(VLOOKUP($BD403,Programma!$F$3:$L$1107,7,0),"")</f>
        <v/>
      </c>
      <c r="BK403" s="300" t="str">
        <f>_xlfn.IFNA(VLOOKUP($BD403,Programma!$F$3:$M$1107,8,0),"")</f>
        <v/>
      </c>
      <c r="BL403" s="300" t="str">
        <f>_xlfn.IFNA(VLOOKUP($BD403,Programma!$F$3:$N$1107,9,0),"")</f>
        <v/>
      </c>
      <c r="BM403" s="300" t="str">
        <f>_xlfn.IFNA(VLOOKUP($BD403,Programma!$F$3:$O$1107,10,0),"")</f>
        <v/>
      </c>
      <c r="BN403" s="300" t="str">
        <f>_xlfn.IFNA(VLOOKUP($BD403,Programma!$F$3:$P$1107,11,0),"")</f>
        <v/>
      </c>
      <c r="BO403" s="300" t="str">
        <f>_xlfn.IFNA(VLOOKUP($BD403,Programma!$F$3:$Q$1107,12,0),"")</f>
        <v/>
      </c>
      <c r="BP403" s="300" t="str">
        <f>_xlfn.IFNA(VLOOKUP($BD403,Programma!$F$3:$R$1107,13,0),"")</f>
        <v/>
      </c>
      <c r="BQ403" s="300" t="str">
        <f>_xlfn.IFNA(VLOOKUP($BD403,Programma!$F$3:$S$1107,14,0),"")</f>
        <v/>
      </c>
      <c r="BR403" s="300" t="str">
        <f>_xlfn.IFNA(VLOOKUP($BD403,Programma!$F$3:$T$1107,15,0),"")</f>
        <v/>
      </c>
      <c r="BS403" s="300" t="str">
        <f>_xlfn.IFNA(VLOOKUP($BD403,Programma!$F$3:$U$1107,16,0),"")</f>
        <v/>
      </c>
      <c r="BT403" s="300" t="str">
        <f>_xlfn.IFNA(VLOOKUP($BD403,Programma!$F$3:$V$1107,17,0),"")</f>
        <v/>
      </c>
      <c r="BU403" s="300" t="str">
        <f>_xlfn.IFNA(VLOOKUP($BD403,Programma!$F$3:$W$1107,18,0),"")</f>
        <v/>
      </c>
      <c r="BV403" s="300" t="str">
        <f>_xlfn.IFNA(VLOOKUP($BD403,Programma!$F$3:$X$1107,19,0),"")</f>
        <v/>
      </c>
      <c r="BW403" s="300" t="str">
        <f>_xlfn.IFNA(VLOOKUP($BD403,Programma!$F$3:$Y$1107,20,0),"")</f>
        <v/>
      </c>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c r="GK403" s="4"/>
      <c r="GL403" s="4"/>
      <c r="GM403" s="4"/>
      <c r="GN403" s="4"/>
      <c r="GO403" s="4"/>
      <c r="GP403" s="4"/>
      <c r="GQ403" s="4"/>
      <c r="GR403" s="4"/>
      <c r="GS403" s="4"/>
      <c r="GT403" s="4"/>
      <c r="GU403" s="4"/>
      <c r="GV403" s="4"/>
      <c r="GW403" s="4"/>
      <c r="GX403" s="4"/>
      <c r="GY403" s="4"/>
      <c r="GZ403" s="4"/>
      <c r="HA403" s="4"/>
      <c r="HB403" s="4"/>
      <c r="HC403" s="4"/>
      <c r="HD403" s="4"/>
      <c r="HE403" s="4"/>
      <c r="HF403" s="4"/>
      <c r="HG403" s="4"/>
      <c r="HH403" s="4"/>
      <c r="HI403" s="4"/>
      <c r="HJ403" s="4"/>
      <c r="HK403" s="4"/>
      <c r="HL403" s="4"/>
    </row>
    <row r="404" spans="1:220" ht="15" customHeight="1">
      <c r="A404" s="21">
        <v>5</v>
      </c>
      <c r="B404" s="157" t="str">
        <f>VLOOKUP(Ruimtestaat[[#This Row],[Code]],Locaties[[Code]:[Locatie]],2,FALSE)</f>
        <v>François Vatel vmbo</v>
      </c>
      <c r="C404" s="157" t="str">
        <f>VLOOKUP(Ruimtestaat[[#This Row],[Code]],Locaties[[#All],[Code]:[Adres]],4,FALSE)</f>
        <v>Granaathorst 20</v>
      </c>
      <c r="D404" s="157" t="str">
        <f>VLOOKUP(Ruimtestaat[[#This Row],[Code]],Locaties[[#All],[Code]:[Postcode]],5,FALSE)</f>
        <v>2592 TD</v>
      </c>
      <c r="E404" s="157" t="str">
        <f>VLOOKUP(Ruimtestaat[[#This Row],[Code]],Locaties[#All],6,FALSE)</f>
        <v>Den Haag</v>
      </c>
      <c r="F404" s="62"/>
      <c r="G404" s="21" t="s">
        <v>1624</v>
      </c>
      <c r="H404" s="21" t="s">
        <v>1701</v>
      </c>
      <c r="I404" s="62" t="s">
        <v>1675</v>
      </c>
      <c r="J404" s="21">
        <v>16</v>
      </c>
      <c r="K404" s="62" t="str">
        <f>VLOOKUP(Ruimtestaat[[#This Row],[Ruimte code]],Ruimtegroepen[[#All],[Code]:[Ruimte omschrijving]],2,FALSE)</f>
        <v>Leslokalen theorie</v>
      </c>
      <c r="L404" s="33" t="s">
        <v>101</v>
      </c>
      <c r="M404" s="367" t="s">
        <v>2495</v>
      </c>
      <c r="N404" s="140">
        <v>53</v>
      </c>
      <c r="O404" s="140"/>
      <c r="P404" s="125" t="str">
        <f>VLOOKUP(Ruimtestaat[[#This Row],[Ruimte code]],Ruimtegroepen[],4,FALSE)</f>
        <v>Le</v>
      </c>
      <c r="R404" s="33">
        <v>40</v>
      </c>
      <c r="S404" s="33" t="s">
        <v>2</v>
      </c>
      <c r="T404" s="33">
        <f>IF(R404&gt;0,IF(RIGHT(Ruimtestaat[[#This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4" s="33">
        <f>IF(T404&gt;0,VLOOKUP($J404,Ruimtegroepen[],3,FALSE)*VLOOKUP($L404,Vloersoorten[],3,FALSE)*VLOOKUP($S404,Frequenties[],3,FALSE)*VLOOKUP($A404,Locaties[],3,FALSE),0)</f>
        <v>0</v>
      </c>
      <c r="V404" s="33">
        <f>Ruimtestaat[[#This Row],[Uitvoeringen werkdagen]]*Ruimtestaat[[#This Row],[Oppervlak (netto)]]</f>
        <v>10600</v>
      </c>
      <c r="W404" s="154">
        <f>IF(U404&gt;0,Ruimtestaat[[#This Row],[Prest. (m2 /jaar) werkdagen]]/Ruimtestaat[[#This Row],[Norm (m2/uur) werkdagen]],0)</f>
        <v>0</v>
      </c>
      <c r="X404" s="155">
        <f>Ruimtestaat[[#This Row],[uren / jaar werkdagen]]*Tariefsopbouw!$E$35</f>
        <v>0</v>
      </c>
      <c r="Y404" s="33"/>
      <c r="Z404" s="33">
        <f>IF(Ruimtestaat[[#This Row],[Frequentie weekend]]&gt;0,VALUE(LEFT(Y404,1))*R404,0)</f>
        <v>0</v>
      </c>
      <c r="AA404" s="97">
        <f>IF($Z404&gt;0,VLOOKUP($J404,Ruimtegroepen[],3,FALSE)*VLOOKUP($L404,Vloersoorten[],3,FALSE)*VLOOKUP($Y404,Frequenties[],3,FALSE)*VLOOKUP(Ruimtestaat[[#This Row],[Code]],Locaties[],3,FALSE),0)</f>
        <v>0</v>
      </c>
      <c r="AB404" s="97">
        <f>Ruimtestaat[[#This Row],[Uitvoeringen weekend]]*Ruimtestaat[[#This Row],[Oppervlak (netto)]]</f>
        <v>0</v>
      </c>
      <c r="AC404" s="97">
        <f>IF(AA404&gt;0,Ruimtestaat[[#This Row],[Prest. (m2 /jaar) weekend]]/Ruimtestaat[[#This Row],[Norm (m2/uur) weekend]],0)</f>
        <v>0</v>
      </c>
      <c r="AD404" s="155">
        <f>Ruimtestaat[[#This Row],[uren / jaar weekend]]*Tariefsopbouw!$D$40</f>
        <v>0</v>
      </c>
      <c r="AE404" s="154">
        <f>Ruimtestaat[[#This Row],[Prest. (m2 /jaar) weekend]]+Ruimtestaat[[#This Row],[Prest. (m2 /jaar) werkdagen]]</f>
        <v>10600</v>
      </c>
      <c r="AF404" s="154">
        <f>Ruimtestaat[[#This Row],[uren / jaar weekend]]+Ruimtestaat[[#This Row],[uren / jaar werkdagen]]</f>
        <v>0</v>
      </c>
      <c r="AG404" s="69">
        <f>Ruimtestaat[[#This Row],[kosten / jaar weekend]]+Ruimtestaat[[#This Row],[kosten / jaar werkdagen]]</f>
        <v>0</v>
      </c>
      <c r="AH404" s="69"/>
      <c r="AI404" s="256" t="str">
        <f>IF(Ruimtestaat[[#This Row],[Frequentie werkdagen]]="","",_xlfn.CONCAT(Ruimtestaat[[#This Row],[Ruimte code]],"-",Ruimtestaat[[#This Row],[Frequentie werkdagen]]," ",Ruimtestaat[[#This Row],[Vloer code]]))</f>
        <v>16-5w L</v>
      </c>
      <c r="AJ404" s="300" t="str">
        <f>_xlfn.IFNA(VLOOKUP($AI404,Programma!$F$3:$G$1107,2,0),"")</f>
        <v>_</v>
      </c>
      <c r="AK404" s="300" t="str">
        <f>_xlfn.IFNA(VLOOKUP($AI404,Programma!$F$3:$H$1107,3,0),"")</f>
        <v>_</v>
      </c>
      <c r="AL404" s="300" t="str">
        <f>_xlfn.IFNA(VLOOKUP($AI404,Programma!$F$3:$I$1107,4,0),"")</f>
        <v>4w</v>
      </c>
      <c r="AM404" s="300" t="str">
        <f>_xlfn.IFNA(VLOOKUP($AI404,Programma!$F$3:$J$1107,5,0),"")</f>
        <v>1w</v>
      </c>
      <c r="AN404" s="300" t="str">
        <f>_xlfn.IFNA(VLOOKUP($AI404,Programma!$F$3:$K$1107,6,0),"")</f>
        <v>_</v>
      </c>
      <c r="AO404" s="300" t="str">
        <f>_xlfn.IFNA(VLOOKUP($AI404,Programma!$F$3:$L$1107,7,0),"")</f>
        <v>_</v>
      </c>
      <c r="AP404" s="300" t="str">
        <f>_xlfn.IFNA(VLOOKUP($AI404,Programma!$F$3:$M$1107,8,0),"")</f>
        <v>_</v>
      </c>
      <c r="AQ404" s="300" t="str">
        <f>_xlfn.IFNA(VLOOKUP($AI404,Programma!$F$3:$N$1107,9,0),"")</f>
        <v>_</v>
      </c>
      <c r="AR404" s="300" t="str">
        <f>_xlfn.IFNA(VLOOKUP($AI404,Programma!$F$3:$O$1107,10,0),"")</f>
        <v>5w</v>
      </c>
      <c r="AS404" s="300" t="str">
        <f>_xlfn.IFNA(VLOOKUP($AI404,Programma!$F$3:$P$1107,11,0),"")</f>
        <v>5w</v>
      </c>
      <c r="AT404" s="300" t="str">
        <f>_xlfn.IFNA(VLOOKUP($AI404,Programma!$F$3:$Q$1107,12,0),"")</f>
        <v>1w</v>
      </c>
      <c r="AU404" s="300" t="str">
        <f>_xlfn.IFNA(VLOOKUP($AI404,Programma!$F$3:$R$1107,13,0),"")</f>
        <v>1w</v>
      </c>
      <c r="AV404" s="300" t="str">
        <f>_xlfn.IFNA(VLOOKUP($AI404,Programma!$F$3:$S$1107,14,0),"")</f>
        <v>1m</v>
      </c>
      <c r="AW404" s="300" t="str">
        <f>_xlfn.IFNA(VLOOKUP($AI404,Programma!$F$3:$T$1107,15,0),"")</f>
        <v>2j</v>
      </c>
      <c r="AX404" s="300" t="str">
        <f>_xlfn.IFNA(VLOOKUP($AI404,Programma!$F$3:$U$1107,16,0),"")</f>
        <v>1j</v>
      </c>
      <c r="AY404" s="300" t="str">
        <f>_xlfn.IFNA(VLOOKUP($AI404,Programma!$F$3:$V$1107,17,0),"")</f>
        <v>_</v>
      </c>
      <c r="AZ404" s="300" t="str">
        <f>_xlfn.IFNA(VLOOKUP($AI404,Programma!$F$3:$W$1107,18,0),"")</f>
        <v>_</v>
      </c>
      <c r="BA404" s="300" t="str">
        <f>_xlfn.IFNA(VLOOKUP($AI404,Programma!$F$3:$X$1107,19,0),"")</f>
        <v>_</v>
      </c>
      <c r="BB404" s="300" t="str">
        <f>_xlfn.IFNA(VLOOKUP($AI404,Programma!$F$3:$Y$1107,20,0),"")</f>
        <v>_</v>
      </c>
      <c r="BC404" s="257"/>
      <c r="BD404" s="256" t="str">
        <f>IF(Ruimtestaat[[#This Row],[Frequentie weekend]]="","",_xlfn.CONCAT(Ruimtestaat[[#This Row],[Ruimte code]],"-",Ruimtestaat[[#This Row],[Frequentie weekend]]," ",Ruimtestaat[[#This Row],[Vloer code]]))</f>
        <v/>
      </c>
      <c r="BE404" s="300" t="str">
        <f>_xlfn.IFNA(VLOOKUP($BD404,Programma!$F$3:$G$1107,2,0),"")</f>
        <v/>
      </c>
      <c r="BF404" s="300" t="str">
        <f>_xlfn.IFNA(VLOOKUP($BD404,Programma!$F$3:$H$1107,3,0),"")</f>
        <v/>
      </c>
      <c r="BG404" s="300" t="str">
        <f>_xlfn.IFNA(VLOOKUP($BD404,Programma!$F$3:$I$1107,4,0),"")</f>
        <v/>
      </c>
      <c r="BH404" s="300" t="str">
        <f>_xlfn.IFNA(VLOOKUP($BD404,Programma!$F$3:$J$1107,5,0),"")</f>
        <v/>
      </c>
      <c r="BI404" s="300" t="str">
        <f>_xlfn.IFNA(VLOOKUP($BD404,Programma!$F$3:$K$1107,6,0),"")</f>
        <v/>
      </c>
      <c r="BJ404" s="300" t="str">
        <f>_xlfn.IFNA(VLOOKUP($BD404,Programma!$F$3:$L$1107,7,0),"")</f>
        <v/>
      </c>
      <c r="BK404" s="300" t="str">
        <f>_xlfn.IFNA(VLOOKUP($BD404,Programma!$F$3:$M$1107,8,0),"")</f>
        <v/>
      </c>
      <c r="BL404" s="300" t="str">
        <f>_xlfn.IFNA(VLOOKUP($BD404,Programma!$F$3:$N$1107,9,0),"")</f>
        <v/>
      </c>
      <c r="BM404" s="300" t="str">
        <f>_xlfn.IFNA(VLOOKUP($BD404,Programma!$F$3:$O$1107,10,0),"")</f>
        <v/>
      </c>
      <c r="BN404" s="300" t="str">
        <f>_xlfn.IFNA(VLOOKUP($BD404,Programma!$F$3:$P$1107,11,0),"")</f>
        <v/>
      </c>
      <c r="BO404" s="300" t="str">
        <f>_xlfn.IFNA(VLOOKUP($BD404,Programma!$F$3:$Q$1107,12,0),"")</f>
        <v/>
      </c>
      <c r="BP404" s="300" t="str">
        <f>_xlfn.IFNA(VLOOKUP($BD404,Programma!$F$3:$R$1107,13,0),"")</f>
        <v/>
      </c>
      <c r="BQ404" s="300" t="str">
        <f>_xlfn.IFNA(VLOOKUP($BD404,Programma!$F$3:$S$1107,14,0),"")</f>
        <v/>
      </c>
      <c r="BR404" s="300" t="str">
        <f>_xlfn.IFNA(VLOOKUP($BD404,Programma!$F$3:$T$1107,15,0),"")</f>
        <v/>
      </c>
      <c r="BS404" s="300" t="str">
        <f>_xlfn.IFNA(VLOOKUP($BD404,Programma!$F$3:$U$1107,16,0),"")</f>
        <v/>
      </c>
      <c r="BT404" s="300" t="str">
        <f>_xlfn.IFNA(VLOOKUP($BD404,Programma!$F$3:$V$1107,17,0),"")</f>
        <v/>
      </c>
      <c r="BU404" s="300" t="str">
        <f>_xlfn.IFNA(VLOOKUP($BD404,Programma!$F$3:$W$1107,18,0),"")</f>
        <v/>
      </c>
      <c r="BV404" s="300" t="str">
        <f>_xlfn.IFNA(VLOOKUP($BD404,Programma!$F$3:$X$1107,19,0),"")</f>
        <v/>
      </c>
      <c r="BW404" s="300" t="str">
        <f>_xlfn.IFNA(VLOOKUP($BD404,Programma!$F$3:$Y$1107,20,0),"")</f>
        <v/>
      </c>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c r="GK404" s="4"/>
      <c r="GL404" s="4"/>
      <c r="GM404" s="4"/>
      <c r="GN404" s="4"/>
      <c r="GO404" s="4"/>
      <c r="GP404" s="4"/>
      <c r="GQ404" s="4"/>
      <c r="GR404" s="4"/>
      <c r="GS404" s="4"/>
      <c r="GT404" s="4"/>
      <c r="GU404" s="4"/>
      <c r="GV404" s="4"/>
      <c r="GW404" s="4"/>
      <c r="GX404" s="4"/>
      <c r="GY404" s="4"/>
      <c r="GZ404" s="4"/>
      <c r="HA404" s="4"/>
      <c r="HB404" s="4"/>
      <c r="HC404" s="4"/>
      <c r="HD404" s="4"/>
      <c r="HE404" s="4"/>
      <c r="HF404" s="4"/>
      <c r="HG404" s="4"/>
      <c r="HH404" s="4"/>
      <c r="HI404" s="4"/>
      <c r="HJ404" s="4"/>
      <c r="HK404" s="4"/>
      <c r="HL404" s="4"/>
    </row>
    <row r="405" spans="1:220" ht="15" customHeight="1">
      <c r="A405" s="21">
        <v>5</v>
      </c>
      <c r="B405" s="157" t="str">
        <f>VLOOKUP(Ruimtestaat[[#This Row],[Code]],Locaties[[Code]:[Locatie]],2,FALSE)</f>
        <v>François Vatel vmbo</v>
      </c>
      <c r="C405" s="157" t="str">
        <f>VLOOKUP(Ruimtestaat[[#This Row],[Code]],Locaties[[#All],[Code]:[Adres]],4,FALSE)</f>
        <v>Granaathorst 20</v>
      </c>
      <c r="D405" s="157" t="str">
        <f>VLOOKUP(Ruimtestaat[[#This Row],[Code]],Locaties[[#All],[Code]:[Postcode]],5,FALSE)</f>
        <v>2592 TD</v>
      </c>
      <c r="E405" s="157" t="str">
        <f>VLOOKUP(Ruimtestaat[[#This Row],[Code]],Locaties[#All],6,FALSE)</f>
        <v>Den Haag</v>
      </c>
      <c r="F405" s="62"/>
      <c r="G405" s="21" t="s">
        <v>1624</v>
      </c>
      <c r="H405" s="21" t="s">
        <v>1703</v>
      </c>
      <c r="I405" s="62" t="s">
        <v>2055</v>
      </c>
      <c r="J405" s="21">
        <v>16</v>
      </c>
      <c r="K405" s="62" t="str">
        <f>VLOOKUP(Ruimtestaat[[#This Row],[Ruimte code]],Ruimtegroepen[[#All],[Code]:[Ruimte omschrijving]],2,FALSE)</f>
        <v>Leslokalen theorie</v>
      </c>
      <c r="L405" s="33" t="s">
        <v>101</v>
      </c>
      <c r="M405" s="367" t="s">
        <v>2495</v>
      </c>
      <c r="N405" s="140">
        <v>55</v>
      </c>
      <c r="O405" s="140"/>
      <c r="P405" s="125" t="str">
        <f>VLOOKUP(Ruimtestaat[[#This Row],[Ruimte code]],Ruimtegroepen[],4,FALSE)</f>
        <v>Le</v>
      </c>
      <c r="R405" s="33">
        <v>40</v>
      </c>
      <c r="S405" s="33" t="s">
        <v>2</v>
      </c>
      <c r="T405" s="33">
        <f>IF(R405&gt;0,IF(RIGHT(Ruimtestaat[[#This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5" s="33">
        <f>IF(T405&gt;0,VLOOKUP($J405,Ruimtegroepen[],3,FALSE)*VLOOKUP($L405,Vloersoorten[],3,FALSE)*VLOOKUP($S405,Frequenties[],3,FALSE)*VLOOKUP($A405,Locaties[],3,FALSE),0)</f>
        <v>0</v>
      </c>
      <c r="V405" s="33">
        <f>Ruimtestaat[[#This Row],[Uitvoeringen werkdagen]]*Ruimtestaat[[#This Row],[Oppervlak (netto)]]</f>
        <v>11000</v>
      </c>
      <c r="W405" s="154">
        <f>IF(U405&gt;0,Ruimtestaat[[#This Row],[Prest. (m2 /jaar) werkdagen]]/Ruimtestaat[[#This Row],[Norm (m2/uur) werkdagen]],0)</f>
        <v>0</v>
      </c>
      <c r="X405" s="155">
        <f>Ruimtestaat[[#This Row],[uren / jaar werkdagen]]*Tariefsopbouw!$E$35</f>
        <v>0</v>
      </c>
      <c r="Y405" s="33"/>
      <c r="Z405" s="33">
        <f>IF(Ruimtestaat[[#This Row],[Frequentie weekend]]&gt;0,VALUE(LEFT(Y405,1))*R405,0)</f>
        <v>0</v>
      </c>
      <c r="AA405" s="97">
        <f>IF($Z405&gt;0,VLOOKUP($J405,Ruimtegroepen[],3,FALSE)*VLOOKUP($L405,Vloersoorten[],3,FALSE)*VLOOKUP($Y405,Frequenties[],3,FALSE)*VLOOKUP(Ruimtestaat[[#This Row],[Code]],Locaties[],3,FALSE),0)</f>
        <v>0</v>
      </c>
      <c r="AB405" s="97">
        <f>Ruimtestaat[[#This Row],[Uitvoeringen weekend]]*Ruimtestaat[[#This Row],[Oppervlak (netto)]]</f>
        <v>0</v>
      </c>
      <c r="AC405" s="97">
        <f>IF(AA405&gt;0,Ruimtestaat[[#This Row],[Prest. (m2 /jaar) weekend]]/Ruimtestaat[[#This Row],[Norm (m2/uur) weekend]],0)</f>
        <v>0</v>
      </c>
      <c r="AD405" s="155">
        <f>Ruimtestaat[[#This Row],[uren / jaar weekend]]*Tariefsopbouw!$D$40</f>
        <v>0</v>
      </c>
      <c r="AE405" s="154">
        <f>Ruimtestaat[[#This Row],[Prest. (m2 /jaar) weekend]]+Ruimtestaat[[#This Row],[Prest. (m2 /jaar) werkdagen]]</f>
        <v>11000</v>
      </c>
      <c r="AF405" s="154">
        <f>Ruimtestaat[[#This Row],[uren / jaar weekend]]+Ruimtestaat[[#This Row],[uren / jaar werkdagen]]</f>
        <v>0</v>
      </c>
      <c r="AG405" s="69">
        <f>Ruimtestaat[[#This Row],[kosten / jaar weekend]]+Ruimtestaat[[#This Row],[kosten / jaar werkdagen]]</f>
        <v>0</v>
      </c>
      <c r="AH405" s="69"/>
      <c r="AI405" s="256" t="str">
        <f>IF(Ruimtestaat[[#This Row],[Frequentie werkdagen]]="","",_xlfn.CONCAT(Ruimtestaat[[#This Row],[Ruimte code]],"-",Ruimtestaat[[#This Row],[Frequentie werkdagen]]," ",Ruimtestaat[[#This Row],[Vloer code]]))</f>
        <v>16-5w L</v>
      </c>
      <c r="AJ405" s="300" t="str">
        <f>_xlfn.IFNA(VLOOKUP($AI405,Programma!$F$3:$G$1107,2,0),"")</f>
        <v>_</v>
      </c>
      <c r="AK405" s="300" t="str">
        <f>_xlfn.IFNA(VLOOKUP($AI405,Programma!$F$3:$H$1107,3,0),"")</f>
        <v>_</v>
      </c>
      <c r="AL405" s="300" t="str">
        <f>_xlfn.IFNA(VLOOKUP($AI405,Programma!$F$3:$I$1107,4,0),"")</f>
        <v>4w</v>
      </c>
      <c r="AM405" s="300" t="str">
        <f>_xlfn.IFNA(VLOOKUP($AI405,Programma!$F$3:$J$1107,5,0),"")</f>
        <v>1w</v>
      </c>
      <c r="AN405" s="300" t="str">
        <f>_xlfn.IFNA(VLOOKUP($AI405,Programma!$F$3:$K$1107,6,0),"")</f>
        <v>_</v>
      </c>
      <c r="AO405" s="300" t="str">
        <f>_xlfn.IFNA(VLOOKUP($AI405,Programma!$F$3:$L$1107,7,0),"")</f>
        <v>_</v>
      </c>
      <c r="AP405" s="300" t="str">
        <f>_xlfn.IFNA(VLOOKUP($AI405,Programma!$F$3:$M$1107,8,0),"")</f>
        <v>_</v>
      </c>
      <c r="AQ405" s="300" t="str">
        <f>_xlfn.IFNA(VLOOKUP($AI405,Programma!$F$3:$N$1107,9,0),"")</f>
        <v>_</v>
      </c>
      <c r="AR405" s="300" t="str">
        <f>_xlfn.IFNA(VLOOKUP($AI405,Programma!$F$3:$O$1107,10,0),"")</f>
        <v>5w</v>
      </c>
      <c r="AS405" s="300" t="str">
        <f>_xlfn.IFNA(VLOOKUP($AI405,Programma!$F$3:$P$1107,11,0),"")</f>
        <v>5w</v>
      </c>
      <c r="AT405" s="300" t="str">
        <f>_xlfn.IFNA(VLOOKUP($AI405,Programma!$F$3:$Q$1107,12,0),"")</f>
        <v>1w</v>
      </c>
      <c r="AU405" s="300" t="str">
        <f>_xlfn.IFNA(VLOOKUP($AI405,Programma!$F$3:$R$1107,13,0),"")</f>
        <v>1w</v>
      </c>
      <c r="AV405" s="300" t="str">
        <f>_xlfn.IFNA(VLOOKUP($AI405,Programma!$F$3:$S$1107,14,0),"")</f>
        <v>1m</v>
      </c>
      <c r="AW405" s="300" t="str">
        <f>_xlfn.IFNA(VLOOKUP($AI405,Programma!$F$3:$T$1107,15,0),"")</f>
        <v>2j</v>
      </c>
      <c r="AX405" s="300" t="str">
        <f>_xlfn.IFNA(VLOOKUP($AI405,Programma!$F$3:$U$1107,16,0),"")</f>
        <v>1j</v>
      </c>
      <c r="AY405" s="300" t="str">
        <f>_xlfn.IFNA(VLOOKUP($AI405,Programma!$F$3:$V$1107,17,0),"")</f>
        <v>_</v>
      </c>
      <c r="AZ405" s="300" t="str">
        <f>_xlfn.IFNA(VLOOKUP($AI405,Programma!$F$3:$W$1107,18,0),"")</f>
        <v>_</v>
      </c>
      <c r="BA405" s="300" t="str">
        <f>_xlfn.IFNA(VLOOKUP($AI405,Programma!$F$3:$X$1107,19,0),"")</f>
        <v>_</v>
      </c>
      <c r="BB405" s="300" t="str">
        <f>_xlfn.IFNA(VLOOKUP($AI405,Programma!$F$3:$Y$1107,20,0),"")</f>
        <v>_</v>
      </c>
      <c r="BC405" s="257"/>
      <c r="BD405" s="256" t="str">
        <f>IF(Ruimtestaat[[#This Row],[Frequentie weekend]]="","",_xlfn.CONCAT(Ruimtestaat[[#This Row],[Ruimte code]],"-",Ruimtestaat[[#This Row],[Frequentie weekend]]," ",Ruimtestaat[[#This Row],[Vloer code]]))</f>
        <v/>
      </c>
      <c r="BE405" s="300" t="str">
        <f>_xlfn.IFNA(VLOOKUP($BD405,Programma!$F$3:$G$1107,2,0),"")</f>
        <v/>
      </c>
      <c r="BF405" s="300" t="str">
        <f>_xlfn.IFNA(VLOOKUP($BD405,Programma!$F$3:$H$1107,3,0),"")</f>
        <v/>
      </c>
      <c r="BG405" s="300" t="str">
        <f>_xlfn.IFNA(VLOOKUP($BD405,Programma!$F$3:$I$1107,4,0),"")</f>
        <v/>
      </c>
      <c r="BH405" s="300" t="str">
        <f>_xlfn.IFNA(VLOOKUP($BD405,Programma!$F$3:$J$1107,5,0),"")</f>
        <v/>
      </c>
      <c r="BI405" s="300" t="str">
        <f>_xlfn.IFNA(VLOOKUP($BD405,Programma!$F$3:$K$1107,6,0),"")</f>
        <v/>
      </c>
      <c r="BJ405" s="300" t="str">
        <f>_xlfn.IFNA(VLOOKUP($BD405,Programma!$F$3:$L$1107,7,0),"")</f>
        <v/>
      </c>
      <c r="BK405" s="300" t="str">
        <f>_xlfn.IFNA(VLOOKUP($BD405,Programma!$F$3:$M$1107,8,0),"")</f>
        <v/>
      </c>
      <c r="BL405" s="300" t="str">
        <f>_xlfn.IFNA(VLOOKUP($BD405,Programma!$F$3:$N$1107,9,0),"")</f>
        <v/>
      </c>
      <c r="BM405" s="300" t="str">
        <f>_xlfn.IFNA(VLOOKUP($BD405,Programma!$F$3:$O$1107,10,0),"")</f>
        <v/>
      </c>
      <c r="BN405" s="300" t="str">
        <f>_xlfn.IFNA(VLOOKUP($BD405,Programma!$F$3:$P$1107,11,0),"")</f>
        <v/>
      </c>
      <c r="BO405" s="300" t="str">
        <f>_xlfn.IFNA(VLOOKUP($BD405,Programma!$F$3:$Q$1107,12,0),"")</f>
        <v/>
      </c>
      <c r="BP405" s="300" t="str">
        <f>_xlfn.IFNA(VLOOKUP($BD405,Programma!$F$3:$R$1107,13,0),"")</f>
        <v/>
      </c>
      <c r="BQ405" s="300" t="str">
        <f>_xlfn.IFNA(VLOOKUP($BD405,Programma!$F$3:$S$1107,14,0),"")</f>
        <v/>
      </c>
      <c r="BR405" s="300" t="str">
        <f>_xlfn.IFNA(VLOOKUP($BD405,Programma!$F$3:$T$1107,15,0),"")</f>
        <v/>
      </c>
      <c r="BS405" s="300" t="str">
        <f>_xlfn.IFNA(VLOOKUP($BD405,Programma!$F$3:$U$1107,16,0),"")</f>
        <v/>
      </c>
      <c r="BT405" s="300" t="str">
        <f>_xlfn.IFNA(VLOOKUP($BD405,Programma!$F$3:$V$1107,17,0),"")</f>
        <v/>
      </c>
      <c r="BU405" s="300" t="str">
        <f>_xlfn.IFNA(VLOOKUP($BD405,Programma!$F$3:$W$1107,18,0),"")</f>
        <v/>
      </c>
      <c r="BV405" s="300" t="str">
        <f>_xlfn.IFNA(VLOOKUP($BD405,Programma!$F$3:$X$1107,19,0),"")</f>
        <v/>
      </c>
      <c r="BW405" s="300" t="str">
        <f>_xlfn.IFNA(VLOOKUP($BD405,Programma!$F$3:$Y$1107,20,0),"")</f>
        <v/>
      </c>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4"/>
      <c r="HC405" s="4"/>
      <c r="HD405" s="4"/>
      <c r="HE405" s="4"/>
      <c r="HF405" s="4"/>
      <c r="HG405" s="4"/>
      <c r="HH405" s="4"/>
      <c r="HI405" s="4"/>
      <c r="HJ405" s="4"/>
      <c r="HK405" s="4"/>
      <c r="HL405" s="4"/>
    </row>
    <row r="406" spans="1:220" ht="15" customHeight="1">
      <c r="A406" s="21">
        <v>5</v>
      </c>
      <c r="B406" s="157" t="str">
        <f>VLOOKUP(Ruimtestaat[[#This Row],[Code]],Locaties[[Code]:[Locatie]],2,FALSE)</f>
        <v>François Vatel vmbo</v>
      </c>
      <c r="C406" s="157" t="str">
        <f>VLOOKUP(Ruimtestaat[[#This Row],[Code]],Locaties[[#All],[Code]:[Adres]],4,FALSE)</f>
        <v>Granaathorst 20</v>
      </c>
      <c r="D406" s="157" t="str">
        <f>VLOOKUP(Ruimtestaat[[#This Row],[Code]],Locaties[[#All],[Code]:[Postcode]],5,FALSE)</f>
        <v>2592 TD</v>
      </c>
      <c r="E406" s="157" t="str">
        <f>VLOOKUP(Ruimtestaat[[#This Row],[Code]],Locaties[#All],6,FALSE)</f>
        <v>Den Haag</v>
      </c>
      <c r="F406" s="62"/>
      <c r="G406" s="21" t="s">
        <v>1624</v>
      </c>
      <c r="H406" s="21" t="s">
        <v>1704</v>
      </c>
      <c r="I406" s="62" t="s">
        <v>2056</v>
      </c>
      <c r="J406" s="21">
        <v>16</v>
      </c>
      <c r="K406" s="62" t="str">
        <f>VLOOKUP(Ruimtestaat[[#This Row],[Ruimte code]],Ruimtegroepen[[#All],[Code]:[Ruimte omschrijving]],2,FALSE)</f>
        <v>Leslokalen theorie</v>
      </c>
      <c r="L406" s="33" t="s">
        <v>101</v>
      </c>
      <c r="M406" s="367" t="s">
        <v>2495</v>
      </c>
      <c r="N406" s="140">
        <v>55</v>
      </c>
      <c r="O406" s="140"/>
      <c r="P406" s="125" t="str">
        <f>VLOOKUP(Ruimtestaat[[#This Row],[Ruimte code]],Ruimtegroepen[],4,FALSE)</f>
        <v>Le</v>
      </c>
      <c r="R406" s="33">
        <v>40</v>
      </c>
      <c r="S406" s="33" t="s">
        <v>2</v>
      </c>
      <c r="T406" s="33">
        <f>IF(R406&gt;0,IF(RIGHT(Ruimtestaat[[#This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6" s="33">
        <f>IF(T406&gt;0,VLOOKUP($J406,Ruimtegroepen[],3,FALSE)*VLOOKUP($L406,Vloersoorten[],3,FALSE)*VLOOKUP($S406,Frequenties[],3,FALSE)*VLOOKUP($A406,Locaties[],3,FALSE),0)</f>
        <v>0</v>
      </c>
      <c r="V406" s="33">
        <f>Ruimtestaat[[#This Row],[Uitvoeringen werkdagen]]*Ruimtestaat[[#This Row],[Oppervlak (netto)]]</f>
        <v>11000</v>
      </c>
      <c r="W406" s="154">
        <f>IF(U406&gt;0,Ruimtestaat[[#This Row],[Prest. (m2 /jaar) werkdagen]]/Ruimtestaat[[#This Row],[Norm (m2/uur) werkdagen]],0)</f>
        <v>0</v>
      </c>
      <c r="X406" s="155">
        <f>Ruimtestaat[[#This Row],[uren / jaar werkdagen]]*Tariefsopbouw!$E$35</f>
        <v>0</v>
      </c>
      <c r="Y406" s="33"/>
      <c r="Z406" s="33">
        <f>IF(Ruimtestaat[[#This Row],[Frequentie weekend]]&gt;0,VALUE(LEFT(Y406,1))*R406,0)</f>
        <v>0</v>
      </c>
      <c r="AA406" s="97">
        <f>IF($Z406&gt;0,VLOOKUP($J406,Ruimtegroepen[],3,FALSE)*VLOOKUP($L406,Vloersoorten[],3,FALSE)*VLOOKUP($Y406,Frequenties[],3,FALSE)*VLOOKUP(Ruimtestaat[[#This Row],[Code]],Locaties[],3,FALSE),0)</f>
        <v>0</v>
      </c>
      <c r="AB406" s="97">
        <f>Ruimtestaat[[#This Row],[Uitvoeringen weekend]]*Ruimtestaat[[#This Row],[Oppervlak (netto)]]</f>
        <v>0</v>
      </c>
      <c r="AC406" s="97">
        <f>IF(AA406&gt;0,Ruimtestaat[[#This Row],[Prest. (m2 /jaar) weekend]]/Ruimtestaat[[#This Row],[Norm (m2/uur) weekend]],0)</f>
        <v>0</v>
      </c>
      <c r="AD406" s="155">
        <f>Ruimtestaat[[#This Row],[uren / jaar weekend]]*Tariefsopbouw!$D$40</f>
        <v>0</v>
      </c>
      <c r="AE406" s="154">
        <f>Ruimtestaat[[#This Row],[Prest. (m2 /jaar) weekend]]+Ruimtestaat[[#This Row],[Prest. (m2 /jaar) werkdagen]]</f>
        <v>11000</v>
      </c>
      <c r="AF406" s="154">
        <f>Ruimtestaat[[#This Row],[uren / jaar weekend]]+Ruimtestaat[[#This Row],[uren / jaar werkdagen]]</f>
        <v>0</v>
      </c>
      <c r="AG406" s="69">
        <f>Ruimtestaat[[#This Row],[kosten / jaar weekend]]+Ruimtestaat[[#This Row],[kosten / jaar werkdagen]]</f>
        <v>0</v>
      </c>
      <c r="AH406" s="69"/>
      <c r="AI406" s="256" t="str">
        <f>IF(Ruimtestaat[[#This Row],[Frequentie werkdagen]]="","",_xlfn.CONCAT(Ruimtestaat[[#This Row],[Ruimte code]],"-",Ruimtestaat[[#This Row],[Frequentie werkdagen]]," ",Ruimtestaat[[#This Row],[Vloer code]]))</f>
        <v>16-5w L</v>
      </c>
      <c r="AJ406" s="300" t="str">
        <f>_xlfn.IFNA(VLOOKUP($AI406,Programma!$F$3:$G$1107,2,0),"")</f>
        <v>_</v>
      </c>
      <c r="AK406" s="300" t="str">
        <f>_xlfn.IFNA(VLOOKUP($AI406,Programma!$F$3:$H$1107,3,0),"")</f>
        <v>_</v>
      </c>
      <c r="AL406" s="300" t="str">
        <f>_xlfn.IFNA(VLOOKUP($AI406,Programma!$F$3:$I$1107,4,0),"")</f>
        <v>4w</v>
      </c>
      <c r="AM406" s="300" t="str">
        <f>_xlfn.IFNA(VLOOKUP($AI406,Programma!$F$3:$J$1107,5,0),"")</f>
        <v>1w</v>
      </c>
      <c r="AN406" s="300" t="str">
        <f>_xlfn.IFNA(VLOOKUP($AI406,Programma!$F$3:$K$1107,6,0),"")</f>
        <v>_</v>
      </c>
      <c r="AO406" s="300" t="str">
        <f>_xlfn.IFNA(VLOOKUP($AI406,Programma!$F$3:$L$1107,7,0),"")</f>
        <v>_</v>
      </c>
      <c r="AP406" s="300" t="str">
        <f>_xlfn.IFNA(VLOOKUP($AI406,Programma!$F$3:$M$1107,8,0),"")</f>
        <v>_</v>
      </c>
      <c r="AQ406" s="300" t="str">
        <f>_xlfn.IFNA(VLOOKUP($AI406,Programma!$F$3:$N$1107,9,0),"")</f>
        <v>_</v>
      </c>
      <c r="AR406" s="300" t="str">
        <f>_xlfn.IFNA(VLOOKUP($AI406,Programma!$F$3:$O$1107,10,0),"")</f>
        <v>5w</v>
      </c>
      <c r="AS406" s="300" t="str">
        <f>_xlfn.IFNA(VLOOKUP($AI406,Programma!$F$3:$P$1107,11,0),"")</f>
        <v>5w</v>
      </c>
      <c r="AT406" s="300" t="str">
        <f>_xlfn.IFNA(VLOOKUP($AI406,Programma!$F$3:$Q$1107,12,0),"")</f>
        <v>1w</v>
      </c>
      <c r="AU406" s="300" t="str">
        <f>_xlfn.IFNA(VLOOKUP($AI406,Programma!$F$3:$R$1107,13,0),"")</f>
        <v>1w</v>
      </c>
      <c r="AV406" s="300" t="str">
        <f>_xlfn.IFNA(VLOOKUP($AI406,Programma!$F$3:$S$1107,14,0),"")</f>
        <v>1m</v>
      </c>
      <c r="AW406" s="300" t="str">
        <f>_xlfn.IFNA(VLOOKUP($AI406,Programma!$F$3:$T$1107,15,0),"")</f>
        <v>2j</v>
      </c>
      <c r="AX406" s="300" t="str">
        <f>_xlfn.IFNA(VLOOKUP($AI406,Programma!$F$3:$U$1107,16,0),"")</f>
        <v>1j</v>
      </c>
      <c r="AY406" s="300" t="str">
        <f>_xlfn.IFNA(VLOOKUP($AI406,Programma!$F$3:$V$1107,17,0),"")</f>
        <v>_</v>
      </c>
      <c r="AZ406" s="300" t="str">
        <f>_xlfn.IFNA(VLOOKUP($AI406,Programma!$F$3:$W$1107,18,0),"")</f>
        <v>_</v>
      </c>
      <c r="BA406" s="300" t="str">
        <f>_xlfn.IFNA(VLOOKUP($AI406,Programma!$F$3:$X$1107,19,0),"")</f>
        <v>_</v>
      </c>
      <c r="BB406" s="300" t="str">
        <f>_xlfn.IFNA(VLOOKUP($AI406,Programma!$F$3:$Y$1107,20,0),"")</f>
        <v>_</v>
      </c>
      <c r="BC406" s="257"/>
      <c r="BD406" s="256" t="str">
        <f>IF(Ruimtestaat[[#This Row],[Frequentie weekend]]="","",_xlfn.CONCAT(Ruimtestaat[[#This Row],[Ruimte code]],"-",Ruimtestaat[[#This Row],[Frequentie weekend]]," ",Ruimtestaat[[#This Row],[Vloer code]]))</f>
        <v/>
      </c>
      <c r="BE406" s="300" t="str">
        <f>_xlfn.IFNA(VLOOKUP($BD406,Programma!$F$3:$G$1107,2,0),"")</f>
        <v/>
      </c>
      <c r="BF406" s="300" t="str">
        <f>_xlfn.IFNA(VLOOKUP($BD406,Programma!$F$3:$H$1107,3,0),"")</f>
        <v/>
      </c>
      <c r="BG406" s="300" t="str">
        <f>_xlfn.IFNA(VLOOKUP($BD406,Programma!$F$3:$I$1107,4,0),"")</f>
        <v/>
      </c>
      <c r="BH406" s="300" t="str">
        <f>_xlfn.IFNA(VLOOKUP($BD406,Programma!$F$3:$J$1107,5,0),"")</f>
        <v/>
      </c>
      <c r="BI406" s="300" t="str">
        <f>_xlfn.IFNA(VLOOKUP($BD406,Programma!$F$3:$K$1107,6,0),"")</f>
        <v/>
      </c>
      <c r="BJ406" s="300" t="str">
        <f>_xlfn.IFNA(VLOOKUP($BD406,Programma!$F$3:$L$1107,7,0),"")</f>
        <v/>
      </c>
      <c r="BK406" s="300" t="str">
        <f>_xlfn.IFNA(VLOOKUP($BD406,Programma!$F$3:$M$1107,8,0),"")</f>
        <v/>
      </c>
      <c r="BL406" s="300" t="str">
        <f>_xlfn.IFNA(VLOOKUP($BD406,Programma!$F$3:$N$1107,9,0),"")</f>
        <v/>
      </c>
      <c r="BM406" s="300" t="str">
        <f>_xlfn.IFNA(VLOOKUP($BD406,Programma!$F$3:$O$1107,10,0),"")</f>
        <v/>
      </c>
      <c r="BN406" s="300" t="str">
        <f>_xlfn.IFNA(VLOOKUP($BD406,Programma!$F$3:$P$1107,11,0),"")</f>
        <v/>
      </c>
      <c r="BO406" s="300" t="str">
        <f>_xlfn.IFNA(VLOOKUP($BD406,Programma!$F$3:$Q$1107,12,0),"")</f>
        <v/>
      </c>
      <c r="BP406" s="300" t="str">
        <f>_xlfn.IFNA(VLOOKUP($BD406,Programma!$F$3:$R$1107,13,0),"")</f>
        <v/>
      </c>
      <c r="BQ406" s="300" t="str">
        <f>_xlfn.IFNA(VLOOKUP($BD406,Programma!$F$3:$S$1107,14,0),"")</f>
        <v/>
      </c>
      <c r="BR406" s="300" t="str">
        <f>_xlfn.IFNA(VLOOKUP($BD406,Programma!$F$3:$T$1107,15,0),"")</f>
        <v/>
      </c>
      <c r="BS406" s="300" t="str">
        <f>_xlfn.IFNA(VLOOKUP($BD406,Programma!$F$3:$U$1107,16,0),"")</f>
        <v/>
      </c>
      <c r="BT406" s="300" t="str">
        <f>_xlfn.IFNA(VLOOKUP($BD406,Programma!$F$3:$V$1107,17,0),"")</f>
        <v/>
      </c>
      <c r="BU406" s="300" t="str">
        <f>_xlfn.IFNA(VLOOKUP($BD406,Programma!$F$3:$W$1107,18,0),"")</f>
        <v/>
      </c>
      <c r="BV406" s="300" t="str">
        <f>_xlfn.IFNA(VLOOKUP($BD406,Programma!$F$3:$X$1107,19,0),"")</f>
        <v/>
      </c>
      <c r="BW406" s="300" t="str">
        <f>_xlfn.IFNA(VLOOKUP($BD406,Programma!$F$3:$Y$1107,20,0),"")</f>
        <v/>
      </c>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c r="GK406" s="4"/>
      <c r="GL406" s="4"/>
      <c r="GM406" s="4"/>
      <c r="GN406" s="4"/>
      <c r="GO406" s="4"/>
      <c r="GP406" s="4"/>
      <c r="GQ406" s="4"/>
      <c r="GR406" s="4"/>
      <c r="GS406" s="4"/>
      <c r="GT406" s="4"/>
      <c r="GU406" s="4"/>
      <c r="GV406" s="4"/>
      <c r="GW406" s="4"/>
      <c r="GX406" s="4"/>
      <c r="GY406" s="4"/>
      <c r="GZ406" s="4"/>
      <c r="HA406" s="4"/>
      <c r="HB406" s="4"/>
      <c r="HC406" s="4"/>
      <c r="HD406" s="4"/>
      <c r="HE406" s="4"/>
      <c r="HF406" s="4"/>
      <c r="HG406" s="4"/>
      <c r="HH406" s="4"/>
      <c r="HI406" s="4"/>
      <c r="HJ406" s="4"/>
      <c r="HK406" s="4"/>
      <c r="HL406" s="4"/>
    </row>
    <row r="407" spans="1:220" ht="15" customHeight="1">
      <c r="A407" s="21">
        <v>5</v>
      </c>
      <c r="B407" s="157" t="str">
        <f>VLOOKUP(Ruimtestaat[[#This Row],[Code]],Locaties[[Code]:[Locatie]],2,FALSE)</f>
        <v>François Vatel vmbo</v>
      </c>
      <c r="C407" s="157" t="str">
        <f>VLOOKUP(Ruimtestaat[[#This Row],[Code]],Locaties[[#All],[Code]:[Adres]],4,FALSE)</f>
        <v>Granaathorst 20</v>
      </c>
      <c r="D407" s="157" t="str">
        <f>VLOOKUP(Ruimtestaat[[#This Row],[Code]],Locaties[[#All],[Code]:[Postcode]],5,FALSE)</f>
        <v>2592 TD</v>
      </c>
      <c r="E407" s="157" t="str">
        <f>VLOOKUP(Ruimtestaat[[#This Row],[Code]],Locaties[#All],6,FALSE)</f>
        <v>Den Haag</v>
      </c>
      <c r="F407" s="62"/>
      <c r="G407" s="21" t="s">
        <v>1624</v>
      </c>
      <c r="H407" s="21" t="s">
        <v>1705</v>
      </c>
      <c r="I407" s="62" t="s">
        <v>2057</v>
      </c>
      <c r="J407" s="21">
        <v>16</v>
      </c>
      <c r="K407" s="62" t="str">
        <f>VLOOKUP(Ruimtestaat[[#This Row],[Ruimte code]],Ruimtegroepen[[#All],[Code]:[Ruimte omschrijving]],2,FALSE)</f>
        <v>Leslokalen theorie</v>
      </c>
      <c r="L407" s="33" t="s">
        <v>101</v>
      </c>
      <c r="M407" s="367" t="s">
        <v>2495</v>
      </c>
      <c r="N407" s="140">
        <v>55</v>
      </c>
      <c r="O407" s="140"/>
      <c r="P407" s="125" t="str">
        <f>VLOOKUP(Ruimtestaat[[#This Row],[Ruimte code]],Ruimtegroepen[],4,FALSE)</f>
        <v>Le</v>
      </c>
      <c r="R407" s="33">
        <v>40</v>
      </c>
      <c r="S407" s="33" t="s">
        <v>2</v>
      </c>
      <c r="T407" s="33">
        <f>IF(R407&gt;0,IF(RIGHT(Ruimtestaat[[#This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7" s="33">
        <f>IF(T407&gt;0,VLOOKUP($J407,Ruimtegroepen[],3,FALSE)*VLOOKUP($L407,Vloersoorten[],3,FALSE)*VLOOKUP($S407,Frequenties[],3,FALSE)*VLOOKUP($A407,Locaties[],3,FALSE),0)</f>
        <v>0</v>
      </c>
      <c r="V407" s="33">
        <f>Ruimtestaat[[#This Row],[Uitvoeringen werkdagen]]*Ruimtestaat[[#This Row],[Oppervlak (netto)]]</f>
        <v>11000</v>
      </c>
      <c r="W407" s="154">
        <f>IF(U407&gt;0,Ruimtestaat[[#This Row],[Prest. (m2 /jaar) werkdagen]]/Ruimtestaat[[#This Row],[Norm (m2/uur) werkdagen]],0)</f>
        <v>0</v>
      </c>
      <c r="X407" s="155">
        <f>Ruimtestaat[[#This Row],[uren / jaar werkdagen]]*Tariefsopbouw!$E$35</f>
        <v>0</v>
      </c>
      <c r="Y407" s="33"/>
      <c r="Z407" s="33">
        <f>IF(Ruimtestaat[[#This Row],[Frequentie weekend]]&gt;0,VALUE(LEFT(Y407,1))*R407,0)</f>
        <v>0</v>
      </c>
      <c r="AA407" s="97">
        <f>IF($Z407&gt;0,VLOOKUP($J407,Ruimtegroepen[],3,FALSE)*VLOOKUP($L407,Vloersoorten[],3,FALSE)*VLOOKUP($Y407,Frequenties[],3,FALSE)*VLOOKUP(Ruimtestaat[[#This Row],[Code]],Locaties[],3,FALSE),0)</f>
        <v>0</v>
      </c>
      <c r="AB407" s="97">
        <f>Ruimtestaat[[#This Row],[Uitvoeringen weekend]]*Ruimtestaat[[#This Row],[Oppervlak (netto)]]</f>
        <v>0</v>
      </c>
      <c r="AC407" s="97">
        <f>IF(AA407&gt;0,Ruimtestaat[[#This Row],[Prest. (m2 /jaar) weekend]]/Ruimtestaat[[#This Row],[Norm (m2/uur) weekend]],0)</f>
        <v>0</v>
      </c>
      <c r="AD407" s="155">
        <f>Ruimtestaat[[#This Row],[uren / jaar weekend]]*Tariefsopbouw!$D$40</f>
        <v>0</v>
      </c>
      <c r="AE407" s="154">
        <f>Ruimtestaat[[#This Row],[Prest. (m2 /jaar) weekend]]+Ruimtestaat[[#This Row],[Prest. (m2 /jaar) werkdagen]]</f>
        <v>11000</v>
      </c>
      <c r="AF407" s="154">
        <f>Ruimtestaat[[#This Row],[uren / jaar weekend]]+Ruimtestaat[[#This Row],[uren / jaar werkdagen]]</f>
        <v>0</v>
      </c>
      <c r="AG407" s="69">
        <f>Ruimtestaat[[#This Row],[kosten / jaar weekend]]+Ruimtestaat[[#This Row],[kosten / jaar werkdagen]]</f>
        <v>0</v>
      </c>
      <c r="AH407" s="69"/>
      <c r="AI407" s="256" t="str">
        <f>IF(Ruimtestaat[[#This Row],[Frequentie werkdagen]]="","",_xlfn.CONCAT(Ruimtestaat[[#This Row],[Ruimte code]],"-",Ruimtestaat[[#This Row],[Frequentie werkdagen]]," ",Ruimtestaat[[#This Row],[Vloer code]]))</f>
        <v>16-5w L</v>
      </c>
      <c r="AJ407" s="300" t="str">
        <f>_xlfn.IFNA(VLOOKUP($AI407,Programma!$F$3:$G$1107,2,0),"")</f>
        <v>_</v>
      </c>
      <c r="AK407" s="300" t="str">
        <f>_xlfn.IFNA(VLOOKUP($AI407,Programma!$F$3:$H$1107,3,0),"")</f>
        <v>_</v>
      </c>
      <c r="AL407" s="300" t="str">
        <f>_xlfn.IFNA(VLOOKUP($AI407,Programma!$F$3:$I$1107,4,0),"")</f>
        <v>4w</v>
      </c>
      <c r="AM407" s="300" t="str">
        <f>_xlfn.IFNA(VLOOKUP($AI407,Programma!$F$3:$J$1107,5,0),"")</f>
        <v>1w</v>
      </c>
      <c r="AN407" s="300" t="str">
        <f>_xlfn.IFNA(VLOOKUP($AI407,Programma!$F$3:$K$1107,6,0),"")</f>
        <v>_</v>
      </c>
      <c r="AO407" s="300" t="str">
        <f>_xlfn.IFNA(VLOOKUP($AI407,Programma!$F$3:$L$1107,7,0),"")</f>
        <v>_</v>
      </c>
      <c r="AP407" s="300" t="str">
        <f>_xlfn.IFNA(VLOOKUP($AI407,Programma!$F$3:$M$1107,8,0),"")</f>
        <v>_</v>
      </c>
      <c r="AQ407" s="300" t="str">
        <f>_xlfn.IFNA(VLOOKUP($AI407,Programma!$F$3:$N$1107,9,0),"")</f>
        <v>_</v>
      </c>
      <c r="AR407" s="300" t="str">
        <f>_xlfn.IFNA(VLOOKUP($AI407,Programma!$F$3:$O$1107,10,0),"")</f>
        <v>5w</v>
      </c>
      <c r="AS407" s="300" t="str">
        <f>_xlfn.IFNA(VLOOKUP($AI407,Programma!$F$3:$P$1107,11,0),"")</f>
        <v>5w</v>
      </c>
      <c r="AT407" s="300" t="str">
        <f>_xlfn.IFNA(VLOOKUP($AI407,Programma!$F$3:$Q$1107,12,0),"")</f>
        <v>1w</v>
      </c>
      <c r="AU407" s="300" t="str">
        <f>_xlfn.IFNA(VLOOKUP($AI407,Programma!$F$3:$R$1107,13,0),"")</f>
        <v>1w</v>
      </c>
      <c r="AV407" s="300" t="str">
        <f>_xlfn.IFNA(VLOOKUP($AI407,Programma!$F$3:$S$1107,14,0),"")</f>
        <v>1m</v>
      </c>
      <c r="AW407" s="300" t="str">
        <f>_xlfn.IFNA(VLOOKUP($AI407,Programma!$F$3:$T$1107,15,0),"")</f>
        <v>2j</v>
      </c>
      <c r="AX407" s="300" t="str">
        <f>_xlfn.IFNA(VLOOKUP($AI407,Programma!$F$3:$U$1107,16,0),"")</f>
        <v>1j</v>
      </c>
      <c r="AY407" s="300" t="str">
        <f>_xlfn.IFNA(VLOOKUP($AI407,Programma!$F$3:$V$1107,17,0),"")</f>
        <v>_</v>
      </c>
      <c r="AZ407" s="300" t="str">
        <f>_xlfn.IFNA(VLOOKUP($AI407,Programma!$F$3:$W$1107,18,0),"")</f>
        <v>_</v>
      </c>
      <c r="BA407" s="300" t="str">
        <f>_xlfn.IFNA(VLOOKUP($AI407,Programma!$F$3:$X$1107,19,0),"")</f>
        <v>_</v>
      </c>
      <c r="BB407" s="300" t="str">
        <f>_xlfn.IFNA(VLOOKUP($AI407,Programma!$F$3:$Y$1107,20,0),"")</f>
        <v>_</v>
      </c>
      <c r="BC407" s="257"/>
      <c r="BD407" s="256" t="str">
        <f>IF(Ruimtestaat[[#This Row],[Frequentie weekend]]="","",_xlfn.CONCAT(Ruimtestaat[[#This Row],[Ruimte code]],"-",Ruimtestaat[[#This Row],[Frequentie weekend]]," ",Ruimtestaat[[#This Row],[Vloer code]]))</f>
        <v/>
      </c>
      <c r="BE407" s="300" t="str">
        <f>_xlfn.IFNA(VLOOKUP($BD407,Programma!$F$3:$G$1107,2,0),"")</f>
        <v/>
      </c>
      <c r="BF407" s="300" t="str">
        <f>_xlfn.IFNA(VLOOKUP($BD407,Programma!$F$3:$H$1107,3,0),"")</f>
        <v/>
      </c>
      <c r="BG407" s="300" t="str">
        <f>_xlfn.IFNA(VLOOKUP($BD407,Programma!$F$3:$I$1107,4,0),"")</f>
        <v/>
      </c>
      <c r="BH407" s="300" t="str">
        <f>_xlfn.IFNA(VLOOKUP($BD407,Programma!$F$3:$J$1107,5,0),"")</f>
        <v/>
      </c>
      <c r="BI407" s="300" t="str">
        <f>_xlfn.IFNA(VLOOKUP($BD407,Programma!$F$3:$K$1107,6,0),"")</f>
        <v/>
      </c>
      <c r="BJ407" s="300" t="str">
        <f>_xlfn.IFNA(VLOOKUP($BD407,Programma!$F$3:$L$1107,7,0),"")</f>
        <v/>
      </c>
      <c r="BK407" s="300" t="str">
        <f>_xlfn.IFNA(VLOOKUP($BD407,Programma!$F$3:$M$1107,8,0),"")</f>
        <v/>
      </c>
      <c r="BL407" s="300" t="str">
        <f>_xlfn.IFNA(VLOOKUP($BD407,Programma!$F$3:$N$1107,9,0),"")</f>
        <v/>
      </c>
      <c r="BM407" s="300" t="str">
        <f>_xlfn.IFNA(VLOOKUP($BD407,Programma!$F$3:$O$1107,10,0),"")</f>
        <v/>
      </c>
      <c r="BN407" s="300" t="str">
        <f>_xlfn.IFNA(VLOOKUP($BD407,Programma!$F$3:$P$1107,11,0),"")</f>
        <v/>
      </c>
      <c r="BO407" s="300" t="str">
        <f>_xlfn.IFNA(VLOOKUP($BD407,Programma!$F$3:$Q$1107,12,0),"")</f>
        <v/>
      </c>
      <c r="BP407" s="300" t="str">
        <f>_xlfn.IFNA(VLOOKUP($BD407,Programma!$F$3:$R$1107,13,0),"")</f>
        <v/>
      </c>
      <c r="BQ407" s="300" t="str">
        <f>_xlfn.IFNA(VLOOKUP($BD407,Programma!$F$3:$S$1107,14,0),"")</f>
        <v/>
      </c>
      <c r="BR407" s="300" t="str">
        <f>_xlfn.IFNA(VLOOKUP($BD407,Programma!$F$3:$T$1107,15,0),"")</f>
        <v/>
      </c>
      <c r="BS407" s="300" t="str">
        <f>_xlfn.IFNA(VLOOKUP($BD407,Programma!$F$3:$U$1107,16,0),"")</f>
        <v/>
      </c>
      <c r="BT407" s="300" t="str">
        <f>_xlfn.IFNA(VLOOKUP($BD407,Programma!$F$3:$V$1107,17,0),"")</f>
        <v/>
      </c>
      <c r="BU407" s="300" t="str">
        <f>_xlfn.IFNA(VLOOKUP($BD407,Programma!$F$3:$W$1107,18,0),"")</f>
        <v/>
      </c>
      <c r="BV407" s="300" t="str">
        <f>_xlfn.IFNA(VLOOKUP($BD407,Programma!$F$3:$X$1107,19,0),"")</f>
        <v/>
      </c>
      <c r="BW407" s="300" t="str">
        <f>_xlfn.IFNA(VLOOKUP($BD407,Programma!$F$3:$Y$1107,20,0),"")</f>
        <v/>
      </c>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c r="GK407" s="4"/>
      <c r="GL407" s="4"/>
      <c r="GM407" s="4"/>
      <c r="GN407" s="4"/>
      <c r="GO407" s="4"/>
      <c r="GP407" s="4"/>
      <c r="GQ407" s="4"/>
      <c r="GR407" s="4"/>
      <c r="GS407" s="4"/>
      <c r="GT407" s="4"/>
      <c r="GU407" s="4"/>
      <c r="GV407" s="4"/>
      <c r="GW407" s="4"/>
      <c r="GX407" s="4"/>
      <c r="GY407" s="4"/>
      <c r="GZ407" s="4"/>
      <c r="HA407" s="4"/>
      <c r="HB407" s="4"/>
      <c r="HC407" s="4"/>
      <c r="HD407" s="4"/>
      <c r="HE407" s="4"/>
      <c r="HF407" s="4"/>
      <c r="HG407" s="4"/>
      <c r="HH407" s="4"/>
      <c r="HI407" s="4"/>
      <c r="HJ407" s="4"/>
      <c r="HK407" s="4"/>
      <c r="HL407" s="4"/>
    </row>
    <row r="408" spans="1:220" ht="15" customHeight="1">
      <c r="A408" s="21">
        <v>5</v>
      </c>
      <c r="B408" s="157" t="str">
        <f>VLOOKUP(Ruimtestaat[[#This Row],[Code]],Locaties[[Code]:[Locatie]],2,FALSE)</f>
        <v>François Vatel vmbo</v>
      </c>
      <c r="C408" s="157" t="str">
        <f>VLOOKUP(Ruimtestaat[[#This Row],[Code]],Locaties[[#All],[Code]:[Adres]],4,FALSE)</f>
        <v>Granaathorst 20</v>
      </c>
      <c r="D408" s="157" t="str">
        <f>VLOOKUP(Ruimtestaat[[#This Row],[Code]],Locaties[[#All],[Code]:[Postcode]],5,FALSE)</f>
        <v>2592 TD</v>
      </c>
      <c r="E408" s="157" t="str">
        <f>VLOOKUP(Ruimtestaat[[#This Row],[Code]],Locaties[#All],6,FALSE)</f>
        <v>Den Haag</v>
      </c>
      <c r="F408" s="62"/>
      <c r="G408" s="21" t="s">
        <v>1624</v>
      </c>
      <c r="H408" s="21" t="s">
        <v>2058</v>
      </c>
      <c r="I408" s="62" t="s">
        <v>2059</v>
      </c>
      <c r="J408" s="21">
        <v>16</v>
      </c>
      <c r="K408" s="62" t="str">
        <f>VLOOKUP(Ruimtestaat[[#This Row],[Ruimte code]],Ruimtegroepen[[#All],[Code]:[Ruimte omschrijving]],2,FALSE)</f>
        <v>Leslokalen theorie</v>
      </c>
      <c r="L408" s="33" t="s">
        <v>101</v>
      </c>
      <c r="M408" s="367" t="s">
        <v>2495</v>
      </c>
      <c r="N408" s="140">
        <v>45</v>
      </c>
      <c r="O408" s="140"/>
      <c r="P408" s="125" t="str">
        <f>VLOOKUP(Ruimtestaat[[#This Row],[Ruimte code]],Ruimtegroepen[],4,FALSE)</f>
        <v>Le</v>
      </c>
      <c r="R408" s="33">
        <v>40</v>
      </c>
      <c r="S408" s="33" t="s">
        <v>2</v>
      </c>
      <c r="T408" s="33">
        <f>IF(R408&gt;0,IF(RIGHT(Ruimtestaat[[#This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8" s="33">
        <f>IF(T408&gt;0,VLOOKUP($J408,Ruimtegroepen[],3,FALSE)*VLOOKUP($L408,Vloersoorten[],3,FALSE)*VLOOKUP($S408,Frequenties[],3,FALSE)*VLOOKUP($A408,Locaties[],3,FALSE),0)</f>
        <v>0</v>
      </c>
      <c r="V408" s="33">
        <f>Ruimtestaat[[#This Row],[Uitvoeringen werkdagen]]*Ruimtestaat[[#This Row],[Oppervlak (netto)]]</f>
        <v>9000</v>
      </c>
      <c r="W408" s="154">
        <f>IF(U408&gt;0,Ruimtestaat[[#This Row],[Prest. (m2 /jaar) werkdagen]]/Ruimtestaat[[#This Row],[Norm (m2/uur) werkdagen]],0)</f>
        <v>0</v>
      </c>
      <c r="X408" s="155">
        <f>Ruimtestaat[[#This Row],[uren / jaar werkdagen]]*Tariefsopbouw!$E$35</f>
        <v>0</v>
      </c>
      <c r="Y408" s="33"/>
      <c r="Z408" s="33">
        <f>IF(Ruimtestaat[[#This Row],[Frequentie weekend]]&gt;0,VALUE(LEFT(Y408,1))*R408,0)</f>
        <v>0</v>
      </c>
      <c r="AA408" s="97">
        <f>IF($Z408&gt;0,VLOOKUP($J408,Ruimtegroepen[],3,FALSE)*VLOOKUP($L408,Vloersoorten[],3,FALSE)*VLOOKUP($Y408,Frequenties[],3,FALSE)*VLOOKUP(Ruimtestaat[[#This Row],[Code]],Locaties[],3,FALSE),0)</f>
        <v>0</v>
      </c>
      <c r="AB408" s="97">
        <f>Ruimtestaat[[#This Row],[Uitvoeringen weekend]]*Ruimtestaat[[#This Row],[Oppervlak (netto)]]</f>
        <v>0</v>
      </c>
      <c r="AC408" s="97">
        <f>IF(AA408&gt;0,Ruimtestaat[[#This Row],[Prest. (m2 /jaar) weekend]]/Ruimtestaat[[#This Row],[Norm (m2/uur) weekend]],0)</f>
        <v>0</v>
      </c>
      <c r="AD408" s="155">
        <f>Ruimtestaat[[#This Row],[uren / jaar weekend]]*Tariefsopbouw!$D$40</f>
        <v>0</v>
      </c>
      <c r="AE408" s="154">
        <f>Ruimtestaat[[#This Row],[Prest. (m2 /jaar) weekend]]+Ruimtestaat[[#This Row],[Prest. (m2 /jaar) werkdagen]]</f>
        <v>9000</v>
      </c>
      <c r="AF408" s="154">
        <f>Ruimtestaat[[#This Row],[uren / jaar weekend]]+Ruimtestaat[[#This Row],[uren / jaar werkdagen]]</f>
        <v>0</v>
      </c>
      <c r="AG408" s="69">
        <f>Ruimtestaat[[#This Row],[kosten / jaar weekend]]+Ruimtestaat[[#This Row],[kosten / jaar werkdagen]]</f>
        <v>0</v>
      </c>
      <c r="AH408" s="69"/>
      <c r="AI408" s="256" t="str">
        <f>IF(Ruimtestaat[[#This Row],[Frequentie werkdagen]]="","",_xlfn.CONCAT(Ruimtestaat[[#This Row],[Ruimte code]],"-",Ruimtestaat[[#This Row],[Frequentie werkdagen]]," ",Ruimtestaat[[#This Row],[Vloer code]]))</f>
        <v>16-5w L</v>
      </c>
      <c r="AJ408" s="300" t="str">
        <f>_xlfn.IFNA(VLOOKUP($AI408,Programma!$F$3:$G$1107,2,0),"")</f>
        <v>_</v>
      </c>
      <c r="AK408" s="300" t="str">
        <f>_xlfn.IFNA(VLOOKUP($AI408,Programma!$F$3:$H$1107,3,0),"")</f>
        <v>_</v>
      </c>
      <c r="AL408" s="300" t="str">
        <f>_xlfn.IFNA(VLOOKUP($AI408,Programma!$F$3:$I$1107,4,0),"")</f>
        <v>4w</v>
      </c>
      <c r="AM408" s="300" t="str">
        <f>_xlfn.IFNA(VLOOKUP($AI408,Programma!$F$3:$J$1107,5,0),"")</f>
        <v>1w</v>
      </c>
      <c r="AN408" s="300" t="str">
        <f>_xlfn.IFNA(VLOOKUP($AI408,Programma!$F$3:$K$1107,6,0),"")</f>
        <v>_</v>
      </c>
      <c r="AO408" s="300" t="str">
        <f>_xlfn.IFNA(VLOOKUP($AI408,Programma!$F$3:$L$1107,7,0),"")</f>
        <v>_</v>
      </c>
      <c r="AP408" s="300" t="str">
        <f>_xlfn.IFNA(VLOOKUP($AI408,Programma!$F$3:$M$1107,8,0),"")</f>
        <v>_</v>
      </c>
      <c r="AQ408" s="300" t="str">
        <f>_xlfn.IFNA(VLOOKUP($AI408,Programma!$F$3:$N$1107,9,0),"")</f>
        <v>_</v>
      </c>
      <c r="AR408" s="300" t="str">
        <f>_xlfn.IFNA(VLOOKUP($AI408,Programma!$F$3:$O$1107,10,0),"")</f>
        <v>5w</v>
      </c>
      <c r="AS408" s="300" t="str">
        <f>_xlfn.IFNA(VLOOKUP($AI408,Programma!$F$3:$P$1107,11,0),"")</f>
        <v>5w</v>
      </c>
      <c r="AT408" s="300" t="str">
        <f>_xlfn.IFNA(VLOOKUP($AI408,Programma!$F$3:$Q$1107,12,0),"")</f>
        <v>1w</v>
      </c>
      <c r="AU408" s="300" t="str">
        <f>_xlfn.IFNA(VLOOKUP($AI408,Programma!$F$3:$R$1107,13,0),"")</f>
        <v>1w</v>
      </c>
      <c r="AV408" s="300" t="str">
        <f>_xlfn.IFNA(VLOOKUP($AI408,Programma!$F$3:$S$1107,14,0),"")</f>
        <v>1m</v>
      </c>
      <c r="AW408" s="300" t="str">
        <f>_xlfn.IFNA(VLOOKUP($AI408,Programma!$F$3:$T$1107,15,0),"")</f>
        <v>2j</v>
      </c>
      <c r="AX408" s="300" t="str">
        <f>_xlfn.IFNA(VLOOKUP($AI408,Programma!$F$3:$U$1107,16,0),"")</f>
        <v>1j</v>
      </c>
      <c r="AY408" s="300" t="str">
        <f>_xlfn.IFNA(VLOOKUP($AI408,Programma!$F$3:$V$1107,17,0),"")</f>
        <v>_</v>
      </c>
      <c r="AZ408" s="300" t="str">
        <f>_xlfn.IFNA(VLOOKUP($AI408,Programma!$F$3:$W$1107,18,0),"")</f>
        <v>_</v>
      </c>
      <c r="BA408" s="300" t="str">
        <f>_xlfn.IFNA(VLOOKUP($AI408,Programma!$F$3:$X$1107,19,0),"")</f>
        <v>_</v>
      </c>
      <c r="BB408" s="300" t="str">
        <f>_xlfn.IFNA(VLOOKUP($AI408,Programma!$F$3:$Y$1107,20,0),"")</f>
        <v>_</v>
      </c>
      <c r="BC408" s="257"/>
      <c r="BD408" s="256" t="str">
        <f>IF(Ruimtestaat[[#This Row],[Frequentie weekend]]="","",_xlfn.CONCAT(Ruimtestaat[[#This Row],[Ruimte code]],"-",Ruimtestaat[[#This Row],[Frequentie weekend]]," ",Ruimtestaat[[#This Row],[Vloer code]]))</f>
        <v/>
      </c>
      <c r="BE408" s="300" t="str">
        <f>_xlfn.IFNA(VLOOKUP($BD408,Programma!$F$3:$G$1107,2,0),"")</f>
        <v/>
      </c>
      <c r="BF408" s="300" t="str">
        <f>_xlfn.IFNA(VLOOKUP($BD408,Programma!$F$3:$H$1107,3,0),"")</f>
        <v/>
      </c>
      <c r="BG408" s="300" t="str">
        <f>_xlfn.IFNA(VLOOKUP($BD408,Programma!$F$3:$I$1107,4,0),"")</f>
        <v/>
      </c>
      <c r="BH408" s="300" t="str">
        <f>_xlfn.IFNA(VLOOKUP($BD408,Programma!$F$3:$J$1107,5,0),"")</f>
        <v/>
      </c>
      <c r="BI408" s="300" t="str">
        <f>_xlfn.IFNA(VLOOKUP($BD408,Programma!$F$3:$K$1107,6,0),"")</f>
        <v/>
      </c>
      <c r="BJ408" s="300" t="str">
        <f>_xlfn.IFNA(VLOOKUP($BD408,Programma!$F$3:$L$1107,7,0),"")</f>
        <v/>
      </c>
      <c r="BK408" s="300" t="str">
        <f>_xlfn.IFNA(VLOOKUP($BD408,Programma!$F$3:$M$1107,8,0),"")</f>
        <v/>
      </c>
      <c r="BL408" s="300" t="str">
        <f>_xlfn.IFNA(VLOOKUP($BD408,Programma!$F$3:$N$1107,9,0),"")</f>
        <v/>
      </c>
      <c r="BM408" s="300" t="str">
        <f>_xlfn.IFNA(VLOOKUP($BD408,Programma!$F$3:$O$1107,10,0),"")</f>
        <v/>
      </c>
      <c r="BN408" s="300" t="str">
        <f>_xlfn.IFNA(VLOOKUP($BD408,Programma!$F$3:$P$1107,11,0),"")</f>
        <v/>
      </c>
      <c r="BO408" s="300" t="str">
        <f>_xlfn.IFNA(VLOOKUP($BD408,Programma!$F$3:$Q$1107,12,0),"")</f>
        <v/>
      </c>
      <c r="BP408" s="300" t="str">
        <f>_xlfn.IFNA(VLOOKUP($BD408,Programma!$F$3:$R$1107,13,0),"")</f>
        <v/>
      </c>
      <c r="BQ408" s="300" t="str">
        <f>_xlfn.IFNA(VLOOKUP($BD408,Programma!$F$3:$S$1107,14,0),"")</f>
        <v/>
      </c>
      <c r="BR408" s="300" t="str">
        <f>_xlfn.IFNA(VLOOKUP($BD408,Programma!$F$3:$T$1107,15,0),"")</f>
        <v/>
      </c>
      <c r="BS408" s="300" t="str">
        <f>_xlfn.IFNA(VLOOKUP($BD408,Programma!$F$3:$U$1107,16,0),"")</f>
        <v/>
      </c>
      <c r="BT408" s="300" t="str">
        <f>_xlfn.IFNA(VLOOKUP($BD408,Programma!$F$3:$V$1107,17,0),"")</f>
        <v/>
      </c>
      <c r="BU408" s="300" t="str">
        <f>_xlfn.IFNA(VLOOKUP($BD408,Programma!$F$3:$W$1107,18,0),"")</f>
        <v/>
      </c>
      <c r="BV408" s="300" t="str">
        <f>_xlfn.IFNA(VLOOKUP($BD408,Programma!$F$3:$X$1107,19,0),"")</f>
        <v/>
      </c>
      <c r="BW408" s="300" t="str">
        <f>_xlfn.IFNA(VLOOKUP($BD408,Programma!$F$3:$Y$1107,20,0),"")</f>
        <v/>
      </c>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c r="GK408" s="4"/>
      <c r="GL408" s="4"/>
      <c r="GM408" s="4"/>
      <c r="GN408" s="4"/>
      <c r="GO408" s="4"/>
      <c r="GP408" s="4"/>
      <c r="GQ408" s="4"/>
      <c r="GR408" s="4"/>
      <c r="GS408" s="4"/>
      <c r="GT408" s="4"/>
      <c r="GU408" s="4"/>
      <c r="GV408" s="4"/>
      <c r="GW408" s="4"/>
      <c r="GX408" s="4"/>
      <c r="GY408" s="4"/>
      <c r="GZ408" s="4"/>
      <c r="HA408" s="4"/>
      <c r="HB408" s="4"/>
      <c r="HC408" s="4"/>
      <c r="HD408" s="4"/>
      <c r="HE408" s="4"/>
      <c r="HF408" s="4"/>
      <c r="HG408" s="4"/>
      <c r="HH408" s="4"/>
      <c r="HI408" s="4"/>
      <c r="HJ408" s="4"/>
      <c r="HK408" s="4"/>
      <c r="HL408" s="4"/>
    </row>
    <row r="409" spans="1:220" ht="15" customHeight="1">
      <c r="A409" s="21">
        <v>5</v>
      </c>
      <c r="B409" s="157" t="str">
        <f>VLOOKUP(Ruimtestaat[[#This Row],[Code]],Locaties[[Code]:[Locatie]],2,FALSE)</f>
        <v>François Vatel vmbo</v>
      </c>
      <c r="C409" s="157" t="str">
        <f>VLOOKUP(Ruimtestaat[[#This Row],[Code]],Locaties[[#All],[Code]:[Adres]],4,FALSE)</f>
        <v>Granaathorst 20</v>
      </c>
      <c r="D409" s="157" t="str">
        <f>VLOOKUP(Ruimtestaat[[#This Row],[Code]],Locaties[[#All],[Code]:[Postcode]],5,FALSE)</f>
        <v>2592 TD</v>
      </c>
      <c r="E409" s="157" t="str">
        <f>VLOOKUP(Ruimtestaat[[#This Row],[Code]],Locaties[#All],6,FALSE)</f>
        <v>Den Haag</v>
      </c>
      <c r="F409" s="62"/>
      <c r="G409" s="21" t="s">
        <v>1624</v>
      </c>
      <c r="H409" s="21" t="s">
        <v>1915</v>
      </c>
      <c r="I409" s="62" t="s">
        <v>2060</v>
      </c>
      <c r="J409" s="21">
        <v>16</v>
      </c>
      <c r="K409" s="62" t="str">
        <f>VLOOKUP(Ruimtestaat[[#This Row],[Ruimte code]],Ruimtegroepen[[#All],[Code]:[Ruimte omschrijving]],2,FALSE)</f>
        <v>Leslokalen theorie</v>
      </c>
      <c r="L409" s="33" t="s">
        <v>101</v>
      </c>
      <c r="M409" s="367" t="s">
        <v>2495</v>
      </c>
      <c r="N409" s="140">
        <v>50</v>
      </c>
      <c r="O409" s="140"/>
      <c r="P409" s="125" t="str">
        <f>VLOOKUP(Ruimtestaat[[#This Row],[Ruimte code]],Ruimtegroepen[],4,FALSE)</f>
        <v>Le</v>
      </c>
      <c r="R409" s="33">
        <v>40</v>
      </c>
      <c r="S409" s="33" t="s">
        <v>2</v>
      </c>
      <c r="T409" s="33">
        <f>IF(R409&gt;0,IF(RIGHT(Ruimtestaat[[#This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9" s="33">
        <f>IF(T409&gt;0,VLOOKUP($J409,Ruimtegroepen[],3,FALSE)*VLOOKUP($L409,Vloersoorten[],3,FALSE)*VLOOKUP($S409,Frequenties[],3,FALSE)*VLOOKUP($A409,Locaties[],3,FALSE),0)</f>
        <v>0</v>
      </c>
      <c r="V409" s="33">
        <f>Ruimtestaat[[#This Row],[Uitvoeringen werkdagen]]*Ruimtestaat[[#This Row],[Oppervlak (netto)]]</f>
        <v>10000</v>
      </c>
      <c r="W409" s="154">
        <f>IF(U409&gt;0,Ruimtestaat[[#This Row],[Prest. (m2 /jaar) werkdagen]]/Ruimtestaat[[#This Row],[Norm (m2/uur) werkdagen]],0)</f>
        <v>0</v>
      </c>
      <c r="X409" s="155">
        <f>Ruimtestaat[[#This Row],[uren / jaar werkdagen]]*Tariefsopbouw!$E$35</f>
        <v>0</v>
      </c>
      <c r="Y409" s="33"/>
      <c r="Z409" s="33">
        <f>IF(Ruimtestaat[[#This Row],[Frequentie weekend]]&gt;0,VALUE(LEFT(Y409,1))*R409,0)</f>
        <v>0</v>
      </c>
      <c r="AA409" s="97">
        <f>IF($Z409&gt;0,VLOOKUP($J409,Ruimtegroepen[],3,FALSE)*VLOOKUP($L409,Vloersoorten[],3,FALSE)*VLOOKUP($Y409,Frequenties[],3,FALSE)*VLOOKUP(Ruimtestaat[[#This Row],[Code]],Locaties[],3,FALSE),0)</f>
        <v>0</v>
      </c>
      <c r="AB409" s="97">
        <f>Ruimtestaat[[#This Row],[Uitvoeringen weekend]]*Ruimtestaat[[#This Row],[Oppervlak (netto)]]</f>
        <v>0</v>
      </c>
      <c r="AC409" s="97">
        <f>IF(AA409&gt;0,Ruimtestaat[[#This Row],[Prest. (m2 /jaar) weekend]]/Ruimtestaat[[#This Row],[Norm (m2/uur) weekend]],0)</f>
        <v>0</v>
      </c>
      <c r="AD409" s="155">
        <f>Ruimtestaat[[#This Row],[uren / jaar weekend]]*Tariefsopbouw!$D$40</f>
        <v>0</v>
      </c>
      <c r="AE409" s="154">
        <f>Ruimtestaat[[#This Row],[Prest. (m2 /jaar) weekend]]+Ruimtestaat[[#This Row],[Prest. (m2 /jaar) werkdagen]]</f>
        <v>10000</v>
      </c>
      <c r="AF409" s="154">
        <f>Ruimtestaat[[#This Row],[uren / jaar weekend]]+Ruimtestaat[[#This Row],[uren / jaar werkdagen]]</f>
        <v>0</v>
      </c>
      <c r="AG409" s="69">
        <f>Ruimtestaat[[#This Row],[kosten / jaar weekend]]+Ruimtestaat[[#This Row],[kosten / jaar werkdagen]]</f>
        <v>0</v>
      </c>
      <c r="AH409" s="69"/>
      <c r="AI409" s="256" t="str">
        <f>IF(Ruimtestaat[[#This Row],[Frequentie werkdagen]]="","",_xlfn.CONCAT(Ruimtestaat[[#This Row],[Ruimte code]],"-",Ruimtestaat[[#This Row],[Frequentie werkdagen]]," ",Ruimtestaat[[#This Row],[Vloer code]]))</f>
        <v>16-5w L</v>
      </c>
      <c r="AJ409" s="300" t="str">
        <f>_xlfn.IFNA(VLOOKUP($AI409,Programma!$F$3:$G$1107,2,0),"")</f>
        <v>_</v>
      </c>
      <c r="AK409" s="300" t="str">
        <f>_xlfn.IFNA(VLOOKUP($AI409,Programma!$F$3:$H$1107,3,0),"")</f>
        <v>_</v>
      </c>
      <c r="AL409" s="300" t="str">
        <f>_xlfn.IFNA(VLOOKUP($AI409,Programma!$F$3:$I$1107,4,0),"")</f>
        <v>4w</v>
      </c>
      <c r="AM409" s="300" t="str">
        <f>_xlfn.IFNA(VLOOKUP($AI409,Programma!$F$3:$J$1107,5,0),"")</f>
        <v>1w</v>
      </c>
      <c r="AN409" s="300" t="str">
        <f>_xlfn.IFNA(VLOOKUP($AI409,Programma!$F$3:$K$1107,6,0),"")</f>
        <v>_</v>
      </c>
      <c r="AO409" s="300" t="str">
        <f>_xlfn.IFNA(VLOOKUP($AI409,Programma!$F$3:$L$1107,7,0),"")</f>
        <v>_</v>
      </c>
      <c r="AP409" s="300" t="str">
        <f>_xlfn.IFNA(VLOOKUP($AI409,Programma!$F$3:$M$1107,8,0),"")</f>
        <v>_</v>
      </c>
      <c r="AQ409" s="300" t="str">
        <f>_xlfn.IFNA(VLOOKUP($AI409,Programma!$F$3:$N$1107,9,0),"")</f>
        <v>_</v>
      </c>
      <c r="AR409" s="300" t="str">
        <f>_xlfn.IFNA(VLOOKUP($AI409,Programma!$F$3:$O$1107,10,0),"")</f>
        <v>5w</v>
      </c>
      <c r="AS409" s="300" t="str">
        <f>_xlfn.IFNA(VLOOKUP($AI409,Programma!$F$3:$P$1107,11,0),"")</f>
        <v>5w</v>
      </c>
      <c r="AT409" s="300" t="str">
        <f>_xlfn.IFNA(VLOOKUP($AI409,Programma!$F$3:$Q$1107,12,0),"")</f>
        <v>1w</v>
      </c>
      <c r="AU409" s="300" t="str">
        <f>_xlfn.IFNA(VLOOKUP($AI409,Programma!$F$3:$R$1107,13,0),"")</f>
        <v>1w</v>
      </c>
      <c r="AV409" s="300" t="str">
        <f>_xlfn.IFNA(VLOOKUP($AI409,Programma!$F$3:$S$1107,14,0),"")</f>
        <v>1m</v>
      </c>
      <c r="AW409" s="300" t="str">
        <f>_xlfn.IFNA(VLOOKUP($AI409,Programma!$F$3:$T$1107,15,0),"")</f>
        <v>2j</v>
      </c>
      <c r="AX409" s="300" t="str">
        <f>_xlfn.IFNA(VLOOKUP($AI409,Programma!$F$3:$U$1107,16,0),"")</f>
        <v>1j</v>
      </c>
      <c r="AY409" s="300" t="str">
        <f>_xlfn.IFNA(VLOOKUP($AI409,Programma!$F$3:$V$1107,17,0),"")</f>
        <v>_</v>
      </c>
      <c r="AZ409" s="300" t="str">
        <f>_xlfn.IFNA(VLOOKUP($AI409,Programma!$F$3:$W$1107,18,0),"")</f>
        <v>_</v>
      </c>
      <c r="BA409" s="300" t="str">
        <f>_xlfn.IFNA(VLOOKUP($AI409,Programma!$F$3:$X$1107,19,0),"")</f>
        <v>_</v>
      </c>
      <c r="BB409" s="300" t="str">
        <f>_xlfn.IFNA(VLOOKUP($AI409,Programma!$F$3:$Y$1107,20,0),"")</f>
        <v>_</v>
      </c>
      <c r="BC409" s="257"/>
      <c r="BD409" s="256" t="str">
        <f>IF(Ruimtestaat[[#This Row],[Frequentie weekend]]="","",_xlfn.CONCAT(Ruimtestaat[[#This Row],[Ruimte code]],"-",Ruimtestaat[[#This Row],[Frequentie weekend]]," ",Ruimtestaat[[#This Row],[Vloer code]]))</f>
        <v/>
      </c>
      <c r="BE409" s="300" t="str">
        <f>_xlfn.IFNA(VLOOKUP($BD409,Programma!$F$3:$G$1107,2,0),"")</f>
        <v/>
      </c>
      <c r="BF409" s="300" t="str">
        <f>_xlfn.IFNA(VLOOKUP($BD409,Programma!$F$3:$H$1107,3,0),"")</f>
        <v/>
      </c>
      <c r="BG409" s="300" t="str">
        <f>_xlfn.IFNA(VLOOKUP($BD409,Programma!$F$3:$I$1107,4,0),"")</f>
        <v/>
      </c>
      <c r="BH409" s="300" t="str">
        <f>_xlfn.IFNA(VLOOKUP($BD409,Programma!$F$3:$J$1107,5,0),"")</f>
        <v/>
      </c>
      <c r="BI409" s="300" t="str">
        <f>_xlfn.IFNA(VLOOKUP($BD409,Programma!$F$3:$K$1107,6,0),"")</f>
        <v/>
      </c>
      <c r="BJ409" s="300" t="str">
        <f>_xlfn.IFNA(VLOOKUP($BD409,Programma!$F$3:$L$1107,7,0),"")</f>
        <v/>
      </c>
      <c r="BK409" s="300" t="str">
        <f>_xlfn.IFNA(VLOOKUP($BD409,Programma!$F$3:$M$1107,8,0),"")</f>
        <v/>
      </c>
      <c r="BL409" s="300" t="str">
        <f>_xlfn.IFNA(VLOOKUP($BD409,Programma!$F$3:$N$1107,9,0),"")</f>
        <v/>
      </c>
      <c r="BM409" s="300" t="str">
        <f>_xlfn.IFNA(VLOOKUP($BD409,Programma!$F$3:$O$1107,10,0),"")</f>
        <v/>
      </c>
      <c r="BN409" s="300" t="str">
        <f>_xlfn.IFNA(VLOOKUP($BD409,Programma!$F$3:$P$1107,11,0),"")</f>
        <v/>
      </c>
      <c r="BO409" s="300" t="str">
        <f>_xlfn.IFNA(VLOOKUP($BD409,Programma!$F$3:$Q$1107,12,0),"")</f>
        <v/>
      </c>
      <c r="BP409" s="300" t="str">
        <f>_xlfn.IFNA(VLOOKUP($BD409,Programma!$F$3:$R$1107,13,0),"")</f>
        <v/>
      </c>
      <c r="BQ409" s="300" t="str">
        <f>_xlfn.IFNA(VLOOKUP($BD409,Programma!$F$3:$S$1107,14,0),"")</f>
        <v/>
      </c>
      <c r="BR409" s="300" t="str">
        <f>_xlfn.IFNA(VLOOKUP($BD409,Programma!$F$3:$T$1107,15,0),"")</f>
        <v/>
      </c>
      <c r="BS409" s="300" t="str">
        <f>_xlfn.IFNA(VLOOKUP($BD409,Programma!$F$3:$U$1107,16,0),"")</f>
        <v/>
      </c>
      <c r="BT409" s="300" t="str">
        <f>_xlfn.IFNA(VLOOKUP($BD409,Programma!$F$3:$V$1107,17,0),"")</f>
        <v/>
      </c>
      <c r="BU409" s="300" t="str">
        <f>_xlfn.IFNA(VLOOKUP($BD409,Programma!$F$3:$W$1107,18,0),"")</f>
        <v/>
      </c>
      <c r="BV409" s="300" t="str">
        <f>_xlfn.IFNA(VLOOKUP($BD409,Programma!$F$3:$X$1107,19,0),"")</f>
        <v/>
      </c>
      <c r="BW409" s="300" t="str">
        <f>_xlfn.IFNA(VLOOKUP($BD409,Programma!$F$3:$Y$1107,20,0),"")</f>
        <v/>
      </c>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c r="GK409" s="4"/>
      <c r="GL409" s="4"/>
      <c r="GM409" s="4"/>
      <c r="GN409" s="4"/>
      <c r="GO409" s="4"/>
      <c r="GP409" s="4"/>
      <c r="GQ409" s="4"/>
      <c r="GR409" s="4"/>
      <c r="GS409" s="4"/>
      <c r="GT409" s="4"/>
      <c r="GU409" s="4"/>
      <c r="GV409" s="4"/>
      <c r="GW409" s="4"/>
      <c r="GX409" s="4"/>
      <c r="GY409" s="4"/>
      <c r="GZ409" s="4"/>
      <c r="HA409" s="4"/>
      <c r="HB409" s="4"/>
      <c r="HC409" s="4"/>
      <c r="HD409" s="4"/>
      <c r="HE409" s="4"/>
      <c r="HF409" s="4"/>
      <c r="HG409" s="4"/>
      <c r="HH409" s="4"/>
      <c r="HI409" s="4"/>
      <c r="HJ409" s="4"/>
      <c r="HK409" s="4"/>
      <c r="HL409" s="4"/>
    </row>
    <row r="410" spans="1:220" ht="15" customHeight="1">
      <c r="A410" s="21">
        <v>5</v>
      </c>
      <c r="B410" s="157" t="str">
        <f>VLOOKUP(Ruimtestaat[[#This Row],[Code]],Locaties[[Code]:[Locatie]],2,FALSE)</f>
        <v>François Vatel vmbo</v>
      </c>
      <c r="C410" s="157" t="str">
        <f>VLOOKUP(Ruimtestaat[[#This Row],[Code]],Locaties[[#All],[Code]:[Adres]],4,FALSE)</f>
        <v>Granaathorst 20</v>
      </c>
      <c r="D410" s="157" t="str">
        <f>VLOOKUP(Ruimtestaat[[#This Row],[Code]],Locaties[[#All],[Code]:[Postcode]],5,FALSE)</f>
        <v>2592 TD</v>
      </c>
      <c r="E410" s="157" t="str">
        <f>VLOOKUP(Ruimtestaat[[#This Row],[Code]],Locaties[#All],6,FALSE)</f>
        <v>Den Haag</v>
      </c>
      <c r="F410" s="62"/>
      <c r="G410" s="21" t="s">
        <v>1624</v>
      </c>
      <c r="H410" s="21" t="s">
        <v>1916</v>
      </c>
      <c r="I410" s="62" t="s">
        <v>2061</v>
      </c>
      <c r="J410" s="21">
        <v>5</v>
      </c>
      <c r="K410" s="62" t="str">
        <f>VLOOKUP(Ruimtestaat[[#This Row],[Ruimte code]],Ruimtegroepen[[#All],[Code]:[Ruimte omschrijving]],2,FALSE)</f>
        <v>Sanitair</v>
      </c>
      <c r="L410" s="33" t="s">
        <v>102</v>
      </c>
      <c r="M410" s="367" t="s">
        <v>2509</v>
      </c>
      <c r="N410" s="140">
        <v>7</v>
      </c>
      <c r="O410" s="140"/>
      <c r="P410" s="125" t="str">
        <f>VLOOKUP(Ruimtestaat[[#This Row],[Ruimte code]],Ruimtegroepen[],4,FALSE)</f>
        <v>Sa</v>
      </c>
      <c r="R410" s="33">
        <v>40</v>
      </c>
      <c r="S410" s="33" t="s">
        <v>2</v>
      </c>
      <c r="T410" s="33">
        <f>IF(R410&gt;0,IF(RIGHT(Ruimtestaat[[#This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0" s="33">
        <f>IF(T410&gt;0,VLOOKUP($J410,Ruimtegroepen[],3,FALSE)*VLOOKUP($L410,Vloersoorten[],3,FALSE)*VLOOKUP($S410,Frequenties[],3,FALSE)*VLOOKUP($A410,Locaties[],3,FALSE),0)</f>
        <v>0</v>
      </c>
      <c r="V410" s="33">
        <f>Ruimtestaat[[#This Row],[Uitvoeringen werkdagen]]*Ruimtestaat[[#This Row],[Oppervlak (netto)]]</f>
        <v>1400</v>
      </c>
      <c r="W410" s="154">
        <f>IF(U410&gt;0,Ruimtestaat[[#This Row],[Prest. (m2 /jaar) werkdagen]]/Ruimtestaat[[#This Row],[Norm (m2/uur) werkdagen]],0)</f>
        <v>0</v>
      </c>
      <c r="X410" s="155">
        <f>Ruimtestaat[[#This Row],[uren / jaar werkdagen]]*Tariefsopbouw!$E$35</f>
        <v>0</v>
      </c>
      <c r="Y410" s="33"/>
      <c r="Z410" s="33">
        <f>IF(Ruimtestaat[[#This Row],[Frequentie weekend]]&gt;0,VALUE(LEFT(Y410,1))*R410,0)</f>
        <v>0</v>
      </c>
      <c r="AA410" s="97">
        <f>IF($Z410&gt;0,VLOOKUP($J410,Ruimtegroepen[],3,FALSE)*VLOOKUP($L410,Vloersoorten[],3,FALSE)*VLOOKUP($Y410,Frequenties[],3,FALSE)*VLOOKUP(Ruimtestaat[[#This Row],[Code]],Locaties[],3,FALSE),0)</f>
        <v>0</v>
      </c>
      <c r="AB410" s="97">
        <f>Ruimtestaat[[#This Row],[Uitvoeringen weekend]]*Ruimtestaat[[#This Row],[Oppervlak (netto)]]</f>
        <v>0</v>
      </c>
      <c r="AC410" s="97">
        <f>IF(AA410&gt;0,Ruimtestaat[[#This Row],[Prest. (m2 /jaar) weekend]]/Ruimtestaat[[#This Row],[Norm (m2/uur) weekend]],0)</f>
        <v>0</v>
      </c>
      <c r="AD410" s="155">
        <f>Ruimtestaat[[#This Row],[uren / jaar weekend]]*Tariefsopbouw!$D$40</f>
        <v>0</v>
      </c>
      <c r="AE410" s="154">
        <f>Ruimtestaat[[#This Row],[Prest. (m2 /jaar) weekend]]+Ruimtestaat[[#This Row],[Prest. (m2 /jaar) werkdagen]]</f>
        <v>1400</v>
      </c>
      <c r="AF410" s="154">
        <f>Ruimtestaat[[#This Row],[uren / jaar weekend]]+Ruimtestaat[[#This Row],[uren / jaar werkdagen]]</f>
        <v>0</v>
      </c>
      <c r="AG410" s="69">
        <f>Ruimtestaat[[#This Row],[kosten / jaar weekend]]+Ruimtestaat[[#This Row],[kosten / jaar werkdagen]]</f>
        <v>0</v>
      </c>
      <c r="AH410" s="69"/>
      <c r="AI410" s="256" t="str">
        <f>IF(Ruimtestaat[[#This Row],[Frequentie werkdagen]]="","",_xlfn.CONCAT(Ruimtestaat[[#This Row],[Ruimte code]],"-",Ruimtestaat[[#This Row],[Frequentie werkdagen]]," ",Ruimtestaat[[#This Row],[Vloer code]]))</f>
        <v>5-5w S</v>
      </c>
      <c r="AJ410" s="300" t="str">
        <f>_xlfn.IFNA(VLOOKUP($AI410,Programma!$F$3:$G$1107,2,0),"")</f>
        <v>_</v>
      </c>
      <c r="AK410" s="300" t="str">
        <f>_xlfn.IFNA(VLOOKUP($AI410,Programma!$F$3:$H$1107,3,0),"")</f>
        <v>_</v>
      </c>
      <c r="AL410" s="300" t="str">
        <f>_xlfn.IFNA(VLOOKUP($AI410,Programma!$F$3:$I$1107,4,0),"")</f>
        <v>_</v>
      </c>
      <c r="AM410" s="300" t="str">
        <f>_xlfn.IFNA(VLOOKUP($AI410,Programma!$F$3:$J$1107,5,0),"")</f>
        <v>4w</v>
      </c>
      <c r="AN410" s="300" t="str">
        <f>_xlfn.IFNA(VLOOKUP($AI410,Programma!$F$3:$K$1107,6,0),"")</f>
        <v>1w</v>
      </c>
      <c r="AO410" s="300" t="str">
        <f>_xlfn.IFNA(VLOOKUP($AI410,Programma!$F$3:$L$1107,7,0),"")</f>
        <v>_</v>
      </c>
      <c r="AP410" s="300" t="str">
        <f>_xlfn.IFNA(VLOOKUP($AI410,Programma!$F$3:$M$1107,8,0),"")</f>
        <v>_</v>
      </c>
      <c r="AQ410" s="300" t="str">
        <f>_xlfn.IFNA(VLOOKUP($AI410,Programma!$F$3:$N$1107,9,0),"")</f>
        <v>_</v>
      </c>
      <c r="AR410" s="300" t="str">
        <f>_xlfn.IFNA(VLOOKUP($AI410,Programma!$F$3:$O$1107,10,0),"")</f>
        <v>_</v>
      </c>
      <c r="AS410" s="300" t="str">
        <f>_xlfn.IFNA(VLOOKUP($AI410,Programma!$F$3:$P$1107,11,0),"")</f>
        <v>_</v>
      </c>
      <c r="AT410" s="300" t="str">
        <f>_xlfn.IFNA(VLOOKUP($AI410,Programma!$F$3:$Q$1107,12,0),"")</f>
        <v>_</v>
      </c>
      <c r="AU410" s="300" t="str">
        <f>_xlfn.IFNA(VLOOKUP($AI410,Programma!$F$3:$R$1107,13,0),"")</f>
        <v>_</v>
      </c>
      <c r="AV410" s="300" t="str">
        <f>_xlfn.IFNA(VLOOKUP($AI410,Programma!$F$3:$S$1107,14,0),"")</f>
        <v>_</v>
      </c>
      <c r="AW410" s="300" t="str">
        <f>_xlfn.IFNA(VLOOKUP($AI410,Programma!$F$3:$T$1107,15,0),"")</f>
        <v>_</v>
      </c>
      <c r="AX410" s="300" t="str">
        <f>_xlfn.IFNA(VLOOKUP($AI410,Programma!$F$3:$U$1107,16,0),"")</f>
        <v>_</v>
      </c>
      <c r="AY410" s="300" t="str">
        <f>_xlfn.IFNA(VLOOKUP($AI410,Programma!$F$3:$V$1107,17,0),"")</f>
        <v>_</v>
      </c>
      <c r="AZ410" s="300" t="str">
        <f>_xlfn.IFNA(VLOOKUP($AI410,Programma!$F$3:$W$1107,18,0),"")</f>
        <v>4w</v>
      </c>
      <c r="BA410" s="300" t="str">
        <f>_xlfn.IFNA(VLOOKUP($AI410,Programma!$F$3:$X$1107,19,0),"")</f>
        <v>1w</v>
      </c>
      <c r="BB410" s="300" t="str">
        <f>_xlfn.IFNA(VLOOKUP($AI410,Programma!$F$3:$Y$1107,20,0),"")</f>
        <v>_</v>
      </c>
      <c r="BC410" s="257"/>
      <c r="BD410" s="256" t="str">
        <f>IF(Ruimtestaat[[#This Row],[Frequentie weekend]]="","",_xlfn.CONCAT(Ruimtestaat[[#This Row],[Ruimte code]],"-",Ruimtestaat[[#This Row],[Frequentie weekend]]," ",Ruimtestaat[[#This Row],[Vloer code]]))</f>
        <v/>
      </c>
      <c r="BE410" s="300" t="str">
        <f>_xlfn.IFNA(VLOOKUP($BD410,Programma!$F$3:$G$1107,2,0),"")</f>
        <v/>
      </c>
      <c r="BF410" s="300" t="str">
        <f>_xlfn.IFNA(VLOOKUP($BD410,Programma!$F$3:$H$1107,3,0),"")</f>
        <v/>
      </c>
      <c r="BG410" s="300" t="str">
        <f>_xlfn.IFNA(VLOOKUP($BD410,Programma!$F$3:$I$1107,4,0),"")</f>
        <v/>
      </c>
      <c r="BH410" s="300" t="str">
        <f>_xlfn.IFNA(VLOOKUP($BD410,Programma!$F$3:$J$1107,5,0),"")</f>
        <v/>
      </c>
      <c r="BI410" s="300" t="str">
        <f>_xlfn.IFNA(VLOOKUP($BD410,Programma!$F$3:$K$1107,6,0),"")</f>
        <v/>
      </c>
      <c r="BJ410" s="300" t="str">
        <f>_xlfn.IFNA(VLOOKUP($BD410,Programma!$F$3:$L$1107,7,0),"")</f>
        <v/>
      </c>
      <c r="BK410" s="300" t="str">
        <f>_xlfn.IFNA(VLOOKUP($BD410,Programma!$F$3:$M$1107,8,0),"")</f>
        <v/>
      </c>
      <c r="BL410" s="300" t="str">
        <f>_xlfn.IFNA(VLOOKUP($BD410,Programma!$F$3:$N$1107,9,0),"")</f>
        <v/>
      </c>
      <c r="BM410" s="300" t="str">
        <f>_xlfn.IFNA(VLOOKUP($BD410,Programma!$F$3:$O$1107,10,0),"")</f>
        <v/>
      </c>
      <c r="BN410" s="300" t="str">
        <f>_xlfn.IFNA(VLOOKUP($BD410,Programma!$F$3:$P$1107,11,0),"")</f>
        <v/>
      </c>
      <c r="BO410" s="300" t="str">
        <f>_xlfn.IFNA(VLOOKUP($BD410,Programma!$F$3:$Q$1107,12,0),"")</f>
        <v/>
      </c>
      <c r="BP410" s="300" t="str">
        <f>_xlfn.IFNA(VLOOKUP($BD410,Programma!$F$3:$R$1107,13,0),"")</f>
        <v/>
      </c>
      <c r="BQ410" s="300" t="str">
        <f>_xlfn.IFNA(VLOOKUP($BD410,Programma!$F$3:$S$1107,14,0),"")</f>
        <v/>
      </c>
      <c r="BR410" s="300" t="str">
        <f>_xlfn.IFNA(VLOOKUP($BD410,Programma!$F$3:$T$1107,15,0),"")</f>
        <v/>
      </c>
      <c r="BS410" s="300" t="str">
        <f>_xlfn.IFNA(VLOOKUP($BD410,Programma!$F$3:$U$1107,16,0),"")</f>
        <v/>
      </c>
      <c r="BT410" s="300" t="str">
        <f>_xlfn.IFNA(VLOOKUP($BD410,Programma!$F$3:$V$1107,17,0),"")</f>
        <v/>
      </c>
      <c r="BU410" s="300" t="str">
        <f>_xlfn.IFNA(VLOOKUP($BD410,Programma!$F$3:$W$1107,18,0),"")</f>
        <v/>
      </c>
      <c r="BV410" s="300" t="str">
        <f>_xlfn.IFNA(VLOOKUP($BD410,Programma!$F$3:$X$1107,19,0),"")</f>
        <v/>
      </c>
      <c r="BW410" s="300" t="str">
        <f>_xlfn.IFNA(VLOOKUP($BD410,Programma!$F$3:$Y$1107,20,0),"")</f>
        <v/>
      </c>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c r="GK410" s="4"/>
      <c r="GL410" s="4"/>
      <c r="GM410" s="4"/>
      <c r="GN410" s="4"/>
      <c r="GO410" s="4"/>
      <c r="GP410" s="4"/>
      <c r="GQ410" s="4"/>
      <c r="GR410" s="4"/>
      <c r="GS410" s="4"/>
      <c r="GT410" s="4"/>
      <c r="GU410" s="4"/>
      <c r="GV410" s="4"/>
      <c r="GW410" s="4"/>
      <c r="GX410" s="4"/>
      <c r="GY410" s="4"/>
      <c r="GZ410" s="4"/>
      <c r="HA410" s="4"/>
      <c r="HB410" s="4"/>
      <c r="HC410" s="4"/>
      <c r="HD410" s="4"/>
      <c r="HE410" s="4"/>
      <c r="HF410" s="4"/>
      <c r="HG410" s="4"/>
      <c r="HH410" s="4"/>
      <c r="HI410" s="4"/>
      <c r="HJ410" s="4"/>
      <c r="HK410" s="4"/>
      <c r="HL410" s="4"/>
    </row>
    <row r="411" spans="1:220" ht="15" customHeight="1">
      <c r="A411" s="21">
        <v>5</v>
      </c>
      <c r="B411" s="157" t="str">
        <f>VLOOKUP(Ruimtestaat[[#This Row],[Code]],Locaties[[Code]:[Locatie]],2,FALSE)</f>
        <v>François Vatel vmbo</v>
      </c>
      <c r="C411" s="157" t="str">
        <f>VLOOKUP(Ruimtestaat[[#This Row],[Code]],Locaties[[#All],[Code]:[Adres]],4,FALSE)</f>
        <v>Granaathorst 20</v>
      </c>
      <c r="D411" s="157" t="str">
        <f>VLOOKUP(Ruimtestaat[[#This Row],[Code]],Locaties[[#All],[Code]:[Postcode]],5,FALSE)</f>
        <v>2592 TD</v>
      </c>
      <c r="E411" s="157" t="str">
        <f>VLOOKUP(Ruimtestaat[[#This Row],[Code]],Locaties[#All],6,FALSE)</f>
        <v>Den Haag</v>
      </c>
      <c r="F411" s="62"/>
      <c r="G411" s="21" t="s">
        <v>1624</v>
      </c>
      <c r="H411" s="21" t="s">
        <v>1918</v>
      </c>
      <c r="I411" s="62" t="s">
        <v>1640</v>
      </c>
      <c r="J411" s="21">
        <v>5</v>
      </c>
      <c r="K411" s="62" t="str">
        <f>VLOOKUP(Ruimtestaat[[#This Row],[Ruimte code]],Ruimtegroepen[[#All],[Code]:[Ruimte omschrijving]],2,FALSE)</f>
        <v>Sanitair</v>
      </c>
      <c r="L411" s="33" t="s">
        <v>102</v>
      </c>
      <c r="M411" s="367" t="s">
        <v>2509</v>
      </c>
      <c r="N411" s="140">
        <v>13</v>
      </c>
      <c r="O411" s="140"/>
      <c r="P411" s="125" t="str">
        <f>VLOOKUP(Ruimtestaat[[#This Row],[Ruimte code]],Ruimtegroepen[],4,FALSE)</f>
        <v>Sa</v>
      </c>
      <c r="R411" s="33">
        <v>40</v>
      </c>
      <c r="S411" s="33" t="s">
        <v>2</v>
      </c>
      <c r="T411" s="33">
        <f>IF(R411&gt;0,IF(RIGHT(Ruimtestaat[[#This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1" s="33">
        <f>IF(T411&gt;0,VLOOKUP($J411,Ruimtegroepen[],3,FALSE)*VLOOKUP($L411,Vloersoorten[],3,FALSE)*VLOOKUP($S411,Frequenties[],3,FALSE)*VLOOKUP($A411,Locaties[],3,FALSE),0)</f>
        <v>0</v>
      </c>
      <c r="V411" s="33">
        <f>Ruimtestaat[[#This Row],[Uitvoeringen werkdagen]]*Ruimtestaat[[#This Row],[Oppervlak (netto)]]</f>
        <v>2600</v>
      </c>
      <c r="W411" s="154">
        <f>IF(U411&gt;0,Ruimtestaat[[#This Row],[Prest. (m2 /jaar) werkdagen]]/Ruimtestaat[[#This Row],[Norm (m2/uur) werkdagen]],0)</f>
        <v>0</v>
      </c>
      <c r="X411" s="155">
        <f>Ruimtestaat[[#This Row],[uren / jaar werkdagen]]*Tariefsopbouw!$E$35</f>
        <v>0</v>
      </c>
      <c r="Y411" s="33"/>
      <c r="Z411" s="33">
        <f>IF(Ruimtestaat[[#This Row],[Frequentie weekend]]&gt;0,VALUE(LEFT(Y411,1))*R411,0)</f>
        <v>0</v>
      </c>
      <c r="AA411" s="97">
        <f>IF($Z411&gt;0,VLOOKUP($J411,Ruimtegroepen[],3,FALSE)*VLOOKUP($L411,Vloersoorten[],3,FALSE)*VLOOKUP($Y411,Frequenties[],3,FALSE)*VLOOKUP(Ruimtestaat[[#This Row],[Code]],Locaties[],3,FALSE),0)</f>
        <v>0</v>
      </c>
      <c r="AB411" s="97">
        <f>Ruimtestaat[[#This Row],[Uitvoeringen weekend]]*Ruimtestaat[[#This Row],[Oppervlak (netto)]]</f>
        <v>0</v>
      </c>
      <c r="AC411" s="97">
        <f>IF(AA411&gt;0,Ruimtestaat[[#This Row],[Prest. (m2 /jaar) weekend]]/Ruimtestaat[[#This Row],[Norm (m2/uur) weekend]],0)</f>
        <v>0</v>
      </c>
      <c r="AD411" s="155">
        <f>Ruimtestaat[[#This Row],[uren / jaar weekend]]*Tariefsopbouw!$D$40</f>
        <v>0</v>
      </c>
      <c r="AE411" s="154">
        <f>Ruimtestaat[[#This Row],[Prest. (m2 /jaar) weekend]]+Ruimtestaat[[#This Row],[Prest. (m2 /jaar) werkdagen]]</f>
        <v>2600</v>
      </c>
      <c r="AF411" s="154">
        <f>Ruimtestaat[[#This Row],[uren / jaar weekend]]+Ruimtestaat[[#This Row],[uren / jaar werkdagen]]</f>
        <v>0</v>
      </c>
      <c r="AG411" s="69">
        <f>Ruimtestaat[[#This Row],[kosten / jaar weekend]]+Ruimtestaat[[#This Row],[kosten / jaar werkdagen]]</f>
        <v>0</v>
      </c>
      <c r="AH411" s="69"/>
      <c r="AI411" s="256" t="str">
        <f>IF(Ruimtestaat[[#This Row],[Frequentie werkdagen]]="","",_xlfn.CONCAT(Ruimtestaat[[#This Row],[Ruimte code]],"-",Ruimtestaat[[#This Row],[Frequentie werkdagen]]," ",Ruimtestaat[[#This Row],[Vloer code]]))</f>
        <v>5-5w S</v>
      </c>
      <c r="AJ411" s="300" t="str">
        <f>_xlfn.IFNA(VLOOKUP($AI411,Programma!$F$3:$G$1107,2,0),"")</f>
        <v>_</v>
      </c>
      <c r="AK411" s="300" t="str">
        <f>_xlfn.IFNA(VLOOKUP($AI411,Programma!$F$3:$H$1107,3,0),"")</f>
        <v>_</v>
      </c>
      <c r="AL411" s="300" t="str">
        <f>_xlfn.IFNA(VLOOKUP($AI411,Programma!$F$3:$I$1107,4,0),"")</f>
        <v>_</v>
      </c>
      <c r="AM411" s="300" t="str">
        <f>_xlfn.IFNA(VLOOKUP($AI411,Programma!$F$3:$J$1107,5,0),"")</f>
        <v>4w</v>
      </c>
      <c r="AN411" s="300" t="str">
        <f>_xlfn.IFNA(VLOOKUP($AI411,Programma!$F$3:$K$1107,6,0),"")</f>
        <v>1w</v>
      </c>
      <c r="AO411" s="300" t="str">
        <f>_xlfn.IFNA(VLOOKUP($AI411,Programma!$F$3:$L$1107,7,0),"")</f>
        <v>_</v>
      </c>
      <c r="AP411" s="300" t="str">
        <f>_xlfn.IFNA(VLOOKUP($AI411,Programma!$F$3:$M$1107,8,0),"")</f>
        <v>_</v>
      </c>
      <c r="AQ411" s="300" t="str">
        <f>_xlfn.IFNA(VLOOKUP($AI411,Programma!$F$3:$N$1107,9,0),"")</f>
        <v>_</v>
      </c>
      <c r="AR411" s="300" t="str">
        <f>_xlfn.IFNA(VLOOKUP($AI411,Programma!$F$3:$O$1107,10,0),"")</f>
        <v>_</v>
      </c>
      <c r="AS411" s="300" t="str">
        <f>_xlfn.IFNA(VLOOKUP($AI411,Programma!$F$3:$P$1107,11,0),"")</f>
        <v>_</v>
      </c>
      <c r="AT411" s="300" t="str">
        <f>_xlfn.IFNA(VLOOKUP($AI411,Programma!$F$3:$Q$1107,12,0),"")</f>
        <v>_</v>
      </c>
      <c r="AU411" s="300" t="str">
        <f>_xlfn.IFNA(VLOOKUP($AI411,Programma!$F$3:$R$1107,13,0),"")</f>
        <v>_</v>
      </c>
      <c r="AV411" s="300" t="str">
        <f>_xlfn.IFNA(VLOOKUP($AI411,Programma!$F$3:$S$1107,14,0),"")</f>
        <v>_</v>
      </c>
      <c r="AW411" s="300" t="str">
        <f>_xlfn.IFNA(VLOOKUP($AI411,Programma!$F$3:$T$1107,15,0),"")</f>
        <v>_</v>
      </c>
      <c r="AX411" s="300" t="str">
        <f>_xlfn.IFNA(VLOOKUP($AI411,Programma!$F$3:$U$1107,16,0),"")</f>
        <v>_</v>
      </c>
      <c r="AY411" s="300" t="str">
        <f>_xlfn.IFNA(VLOOKUP($AI411,Programma!$F$3:$V$1107,17,0),"")</f>
        <v>_</v>
      </c>
      <c r="AZ411" s="300" t="str">
        <f>_xlfn.IFNA(VLOOKUP($AI411,Programma!$F$3:$W$1107,18,0),"")</f>
        <v>4w</v>
      </c>
      <c r="BA411" s="300" t="str">
        <f>_xlfn.IFNA(VLOOKUP($AI411,Programma!$F$3:$X$1107,19,0),"")</f>
        <v>1w</v>
      </c>
      <c r="BB411" s="300" t="str">
        <f>_xlfn.IFNA(VLOOKUP($AI411,Programma!$F$3:$Y$1107,20,0),"")</f>
        <v>_</v>
      </c>
      <c r="BC411" s="257"/>
      <c r="BD411" s="256" t="str">
        <f>IF(Ruimtestaat[[#This Row],[Frequentie weekend]]="","",_xlfn.CONCAT(Ruimtestaat[[#This Row],[Ruimte code]],"-",Ruimtestaat[[#This Row],[Frequentie weekend]]," ",Ruimtestaat[[#This Row],[Vloer code]]))</f>
        <v/>
      </c>
      <c r="BE411" s="300" t="str">
        <f>_xlfn.IFNA(VLOOKUP($BD411,Programma!$F$3:$G$1107,2,0),"")</f>
        <v/>
      </c>
      <c r="BF411" s="300" t="str">
        <f>_xlfn.IFNA(VLOOKUP($BD411,Programma!$F$3:$H$1107,3,0),"")</f>
        <v/>
      </c>
      <c r="BG411" s="300" t="str">
        <f>_xlfn.IFNA(VLOOKUP($BD411,Programma!$F$3:$I$1107,4,0),"")</f>
        <v/>
      </c>
      <c r="BH411" s="300" t="str">
        <f>_xlfn.IFNA(VLOOKUP($BD411,Programma!$F$3:$J$1107,5,0),"")</f>
        <v/>
      </c>
      <c r="BI411" s="300" t="str">
        <f>_xlfn.IFNA(VLOOKUP($BD411,Programma!$F$3:$K$1107,6,0),"")</f>
        <v/>
      </c>
      <c r="BJ411" s="300" t="str">
        <f>_xlfn.IFNA(VLOOKUP($BD411,Programma!$F$3:$L$1107,7,0),"")</f>
        <v/>
      </c>
      <c r="BK411" s="300" t="str">
        <f>_xlfn.IFNA(VLOOKUP($BD411,Programma!$F$3:$M$1107,8,0),"")</f>
        <v/>
      </c>
      <c r="BL411" s="300" t="str">
        <f>_xlfn.IFNA(VLOOKUP($BD411,Programma!$F$3:$N$1107,9,0),"")</f>
        <v/>
      </c>
      <c r="BM411" s="300" t="str">
        <f>_xlfn.IFNA(VLOOKUP($BD411,Programma!$F$3:$O$1107,10,0),"")</f>
        <v/>
      </c>
      <c r="BN411" s="300" t="str">
        <f>_xlfn.IFNA(VLOOKUP($BD411,Programma!$F$3:$P$1107,11,0),"")</f>
        <v/>
      </c>
      <c r="BO411" s="300" t="str">
        <f>_xlfn.IFNA(VLOOKUP($BD411,Programma!$F$3:$Q$1107,12,0),"")</f>
        <v/>
      </c>
      <c r="BP411" s="300" t="str">
        <f>_xlfn.IFNA(VLOOKUP($BD411,Programma!$F$3:$R$1107,13,0),"")</f>
        <v/>
      </c>
      <c r="BQ411" s="300" t="str">
        <f>_xlfn.IFNA(VLOOKUP($BD411,Programma!$F$3:$S$1107,14,0),"")</f>
        <v/>
      </c>
      <c r="BR411" s="300" t="str">
        <f>_xlfn.IFNA(VLOOKUP($BD411,Programma!$F$3:$T$1107,15,0),"")</f>
        <v/>
      </c>
      <c r="BS411" s="300" t="str">
        <f>_xlfn.IFNA(VLOOKUP($BD411,Programma!$F$3:$U$1107,16,0),"")</f>
        <v/>
      </c>
      <c r="BT411" s="300" t="str">
        <f>_xlfn.IFNA(VLOOKUP($BD411,Programma!$F$3:$V$1107,17,0),"")</f>
        <v/>
      </c>
      <c r="BU411" s="300" t="str">
        <f>_xlfn.IFNA(VLOOKUP($BD411,Programma!$F$3:$W$1107,18,0),"")</f>
        <v/>
      </c>
      <c r="BV411" s="300" t="str">
        <f>_xlfn.IFNA(VLOOKUP($BD411,Programma!$F$3:$X$1107,19,0),"")</f>
        <v/>
      </c>
      <c r="BW411" s="300" t="str">
        <f>_xlfn.IFNA(VLOOKUP($BD411,Programma!$F$3:$Y$1107,20,0),"")</f>
        <v/>
      </c>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c r="GK411" s="4"/>
      <c r="GL411" s="4"/>
      <c r="GM411" s="4"/>
      <c r="GN411" s="4"/>
      <c r="GO411" s="4"/>
      <c r="GP411" s="4"/>
      <c r="GQ411" s="4"/>
      <c r="GR411" s="4"/>
      <c r="GS411" s="4"/>
      <c r="GT411" s="4"/>
      <c r="GU411" s="4"/>
      <c r="GV411" s="4"/>
      <c r="GW411" s="4"/>
      <c r="GX411" s="4"/>
      <c r="GY411" s="4"/>
      <c r="GZ411" s="4"/>
      <c r="HA411" s="4"/>
      <c r="HB411" s="4"/>
      <c r="HC411" s="4"/>
      <c r="HD411" s="4"/>
      <c r="HE411" s="4"/>
      <c r="HF411" s="4"/>
      <c r="HG411" s="4"/>
      <c r="HH411" s="4"/>
      <c r="HI411" s="4"/>
      <c r="HJ411" s="4"/>
      <c r="HK411" s="4"/>
      <c r="HL411" s="4"/>
    </row>
    <row r="412" spans="1:220" ht="15" customHeight="1">
      <c r="A412" s="21">
        <v>5</v>
      </c>
      <c r="B412" s="157" t="str">
        <f>VLOOKUP(Ruimtestaat[[#This Row],[Code]],Locaties[[Code]:[Locatie]],2,FALSE)</f>
        <v>François Vatel vmbo</v>
      </c>
      <c r="C412" s="157" t="str">
        <f>VLOOKUP(Ruimtestaat[[#This Row],[Code]],Locaties[[#All],[Code]:[Adres]],4,FALSE)</f>
        <v>Granaathorst 20</v>
      </c>
      <c r="D412" s="157" t="str">
        <f>VLOOKUP(Ruimtestaat[[#This Row],[Code]],Locaties[[#All],[Code]:[Postcode]],5,FALSE)</f>
        <v>2592 TD</v>
      </c>
      <c r="E412" s="157" t="str">
        <f>VLOOKUP(Ruimtestaat[[#This Row],[Code]],Locaties[#All],6,FALSE)</f>
        <v>Den Haag</v>
      </c>
      <c r="F412" s="62"/>
      <c r="G412" s="21" t="s">
        <v>1624</v>
      </c>
      <c r="H412" s="21" t="s">
        <v>1920</v>
      </c>
      <c r="I412" s="62" t="s">
        <v>2062</v>
      </c>
      <c r="J412" s="21">
        <v>16</v>
      </c>
      <c r="K412" s="62" t="str">
        <f>VLOOKUP(Ruimtestaat[[#This Row],[Ruimte code]],Ruimtegroepen[[#All],[Code]:[Ruimte omschrijving]],2,FALSE)</f>
        <v>Leslokalen theorie</v>
      </c>
      <c r="L412" s="33" t="s">
        <v>101</v>
      </c>
      <c r="M412" s="367" t="s">
        <v>2495</v>
      </c>
      <c r="N412" s="140">
        <v>50</v>
      </c>
      <c r="O412" s="140"/>
      <c r="P412" s="125" t="str">
        <f>VLOOKUP(Ruimtestaat[[#This Row],[Ruimte code]],Ruimtegroepen[],4,FALSE)</f>
        <v>Le</v>
      </c>
      <c r="R412" s="33">
        <v>40</v>
      </c>
      <c r="S412" s="33" t="s">
        <v>2</v>
      </c>
      <c r="T412" s="33">
        <f>IF(R412&gt;0,IF(RIGHT(Ruimtestaat[[#This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2" s="33">
        <f>IF(T412&gt;0,VLOOKUP($J412,Ruimtegroepen[],3,FALSE)*VLOOKUP($L412,Vloersoorten[],3,FALSE)*VLOOKUP($S412,Frequenties[],3,FALSE)*VLOOKUP($A412,Locaties[],3,FALSE),0)</f>
        <v>0</v>
      </c>
      <c r="V412" s="33">
        <f>Ruimtestaat[[#This Row],[Uitvoeringen werkdagen]]*Ruimtestaat[[#This Row],[Oppervlak (netto)]]</f>
        <v>10000</v>
      </c>
      <c r="W412" s="154">
        <f>IF(U412&gt;0,Ruimtestaat[[#This Row],[Prest. (m2 /jaar) werkdagen]]/Ruimtestaat[[#This Row],[Norm (m2/uur) werkdagen]],0)</f>
        <v>0</v>
      </c>
      <c r="X412" s="155">
        <f>Ruimtestaat[[#This Row],[uren / jaar werkdagen]]*Tariefsopbouw!$E$35</f>
        <v>0</v>
      </c>
      <c r="Y412" s="33"/>
      <c r="Z412" s="33">
        <f>IF(Ruimtestaat[[#This Row],[Frequentie weekend]]&gt;0,VALUE(LEFT(Y412,1))*R412,0)</f>
        <v>0</v>
      </c>
      <c r="AA412" s="97">
        <f>IF($Z412&gt;0,VLOOKUP($J412,Ruimtegroepen[],3,FALSE)*VLOOKUP($L412,Vloersoorten[],3,FALSE)*VLOOKUP($Y412,Frequenties[],3,FALSE)*VLOOKUP(Ruimtestaat[[#This Row],[Code]],Locaties[],3,FALSE),0)</f>
        <v>0</v>
      </c>
      <c r="AB412" s="97">
        <f>Ruimtestaat[[#This Row],[Uitvoeringen weekend]]*Ruimtestaat[[#This Row],[Oppervlak (netto)]]</f>
        <v>0</v>
      </c>
      <c r="AC412" s="97">
        <f>IF(AA412&gt;0,Ruimtestaat[[#This Row],[Prest. (m2 /jaar) weekend]]/Ruimtestaat[[#This Row],[Norm (m2/uur) weekend]],0)</f>
        <v>0</v>
      </c>
      <c r="AD412" s="155">
        <f>Ruimtestaat[[#This Row],[uren / jaar weekend]]*Tariefsopbouw!$D$40</f>
        <v>0</v>
      </c>
      <c r="AE412" s="154">
        <f>Ruimtestaat[[#This Row],[Prest. (m2 /jaar) weekend]]+Ruimtestaat[[#This Row],[Prest. (m2 /jaar) werkdagen]]</f>
        <v>10000</v>
      </c>
      <c r="AF412" s="154">
        <f>Ruimtestaat[[#This Row],[uren / jaar weekend]]+Ruimtestaat[[#This Row],[uren / jaar werkdagen]]</f>
        <v>0</v>
      </c>
      <c r="AG412" s="69">
        <f>Ruimtestaat[[#This Row],[kosten / jaar weekend]]+Ruimtestaat[[#This Row],[kosten / jaar werkdagen]]</f>
        <v>0</v>
      </c>
      <c r="AH412" s="69"/>
      <c r="AI412" s="256" t="str">
        <f>IF(Ruimtestaat[[#This Row],[Frequentie werkdagen]]="","",_xlfn.CONCAT(Ruimtestaat[[#This Row],[Ruimte code]],"-",Ruimtestaat[[#This Row],[Frequentie werkdagen]]," ",Ruimtestaat[[#This Row],[Vloer code]]))</f>
        <v>16-5w L</v>
      </c>
      <c r="AJ412" s="300" t="str">
        <f>_xlfn.IFNA(VLOOKUP($AI412,Programma!$F$3:$G$1107,2,0),"")</f>
        <v>_</v>
      </c>
      <c r="AK412" s="300" t="str">
        <f>_xlfn.IFNA(VLOOKUP($AI412,Programma!$F$3:$H$1107,3,0),"")</f>
        <v>_</v>
      </c>
      <c r="AL412" s="300" t="str">
        <f>_xlfn.IFNA(VLOOKUP($AI412,Programma!$F$3:$I$1107,4,0),"")</f>
        <v>4w</v>
      </c>
      <c r="AM412" s="300" t="str">
        <f>_xlfn.IFNA(VLOOKUP($AI412,Programma!$F$3:$J$1107,5,0),"")</f>
        <v>1w</v>
      </c>
      <c r="AN412" s="300" t="str">
        <f>_xlfn.IFNA(VLOOKUP($AI412,Programma!$F$3:$K$1107,6,0),"")</f>
        <v>_</v>
      </c>
      <c r="AO412" s="300" t="str">
        <f>_xlfn.IFNA(VLOOKUP($AI412,Programma!$F$3:$L$1107,7,0),"")</f>
        <v>_</v>
      </c>
      <c r="AP412" s="300" t="str">
        <f>_xlfn.IFNA(VLOOKUP($AI412,Programma!$F$3:$M$1107,8,0),"")</f>
        <v>_</v>
      </c>
      <c r="AQ412" s="300" t="str">
        <f>_xlfn.IFNA(VLOOKUP($AI412,Programma!$F$3:$N$1107,9,0),"")</f>
        <v>_</v>
      </c>
      <c r="AR412" s="300" t="str">
        <f>_xlfn.IFNA(VLOOKUP($AI412,Programma!$F$3:$O$1107,10,0),"")</f>
        <v>5w</v>
      </c>
      <c r="AS412" s="300" t="str">
        <f>_xlfn.IFNA(VLOOKUP($AI412,Programma!$F$3:$P$1107,11,0),"")</f>
        <v>5w</v>
      </c>
      <c r="AT412" s="300" t="str">
        <f>_xlfn.IFNA(VLOOKUP($AI412,Programma!$F$3:$Q$1107,12,0),"")</f>
        <v>1w</v>
      </c>
      <c r="AU412" s="300" t="str">
        <f>_xlfn.IFNA(VLOOKUP($AI412,Programma!$F$3:$R$1107,13,0),"")</f>
        <v>1w</v>
      </c>
      <c r="AV412" s="300" t="str">
        <f>_xlfn.IFNA(VLOOKUP($AI412,Programma!$F$3:$S$1107,14,0),"")</f>
        <v>1m</v>
      </c>
      <c r="AW412" s="300" t="str">
        <f>_xlfn.IFNA(VLOOKUP($AI412,Programma!$F$3:$T$1107,15,0),"")</f>
        <v>2j</v>
      </c>
      <c r="AX412" s="300" t="str">
        <f>_xlfn.IFNA(VLOOKUP($AI412,Programma!$F$3:$U$1107,16,0),"")</f>
        <v>1j</v>
      </c>
      <c r="AY412" s="300" t="str">
        <f>_xlfn.IFNA(VLOOKUP($AI412,Programma!$F$3:$V$1107,17,0),"")</f>
        <v>_</v>
      </c>
      <c r="AZ412" s="300" t="str">
        <f>_xlfn.IFNA(VLOOKUP($AI412,Programma!$F$3:$W$1107,18,0),"")</f>
        <v>_</v>
      </c>
      <c r="BA412" s="300" t="str">
        <f>_xlfn.IFNA(VLOOKUP($AI412,Programma!$F$3:$X$1107,19,0),"")</f>
        <v>_</v>
      </c>
      <c r="BB412" s="300" t="str">
        <f>_xlfn.IFNA(VLOOKUP($AI412,Programma!$F$3:$Y$1107,20,0),"")</f>
        <v>_</v>
      </c>
      <c r="BC412" s="257"/>
      <c r="BD412" s="256" t="str">
        <f>IF(Ruimtestaat[[#This Row],[Frequentie weekend]]="","",_xlfn.CONCAT(Ruimtestaat[[#This Row],[Ruimte code]],"-",Ruimtestaat[[#This Row],[Frequentie weekend]]," ",Ruimtestaat[[#This Row],[Vloer code]]))</f>
        <v/>
      </c>
      <c r="BE412" s="300" t="str">
        <f>_xlfn.IFNA(VLOOKUP($BD412,Programma!$F$3:$G$1107,2,0),"")</f>
        <v/>
      </c>
      <c r="BF412" s="300" t="str">
        <f>_xlfn.IFNA(VLOOKUP($BD412,Programma!$F$3:$H$1107,3,0),"")</f>
        <v/>
      </c>
      <c r="BG412" s="300" t="str">
        <f>_xlfn.IFNA(VLOOKUP($BD412,Programma!$F$3:$I$1107,4,0),"")</f>
        <v/>
      </c>
      <c r="BH412" s="300" t="str">
        <f>_xlfn.IFNA(VLOOKUP($BD412,Programma!$F$3:$J$1107,5,0),"")</f>
        <v/>
      </c>
      <c r="BI412" s="300" t="str">
        <f>_xlfn.IFNA(VLOOKUP($BD412,Programma!$F$3:$K$1107,6,0),"")</f>
        <v/>
      </c>
      <c r="BJ412" s="300" t="str">
        <f>_xlfn.IFNA(VLOOKUP($BD412,Programma!$F$3:$L$1107,7,0),"")</f>
        <v/>
      </c>
      <c r="BK412" s="300" t="str">
        <f>_xlfn.IFNA(VLOOKUP($BD412,Programma!$F$3:$M$1107,8,0),"")</f>
        <v/>
      </c>
      <c r="BL412" s="300" t="str">
        <f>_xlfn.IFNA(VLOOKUP($BD412,Programma!$F$3:$N$1107,9,0),"")</f>
        <v/>
      </c>
      <c r="BM412" s="300" t="str">
        <f>_xlfn.IFNA(VLOOKUP($BD412,Programma!$F$3:$O$1107,10,0),"")</f>
        <v/>
      </c>
      <c r="BN412" s="300" t="str">
        <f>_xlfn.IFNA(VLOOKUP($BD412,Programma!$F$3:$P$1107,11,0),"")</f>
        <v/>
      </c>
      <c r="BO412" s="300" t="str">
        <f>_xlfn.IFNA(VLOOKUP($BD412,Programma!$F$3:$Q$1107,12,0),"")</f>
        <v/>
      </c>
      <c r="BP412" s="300" t="str">
        <f>_xlfn.IFNA(VLOOKUP($BD412,Programma!$F$3:$R$1107,13,0),"")</f>
        <v/>
      </c>
      <c r="BQ412" s="300" t="str">
        <f>_xlfn.IFNA(VLOOKUP($BD412,Programma!$F$3:$S$1107,14,0),"")</f>
        <v/>
      </c>
      <c r="BR412" s="300" t="str">
        <f>_xlfn.IFNA(VLOOKUP($BD412,Programma!$F$3:$T$1107,15,0),"")</f>
        <v/>
      </c>
      <c r="BS412" s="300" t="str">
        <f>_xlfn.IFNA(VLOOKUP($BD412,Programma!$F$3:$U$1107,16,0),"")</f>
        <v/>
      </c>
      <c r="BT412" s="300" t="str">
        <f>_xlfn.IFNA(VLOOKUP($BD412,Programma!$F$3:$V$1107,17,0),"")</f>
        <v/>
      </c>
      <c r="BU412" s="300" t="str">
        <f>_xlfn.IFNA(VLOOKUP($BD412,Programma!$F$3:$W$1107,18,0),"")</f>
        <v/>
      </c>
      <c r="BV412" s="300" t="str">
        <f>_xlfn.IFNA(VLOOKUP($BD412,Programma!$F$3:$X$1107,19,0),"")</f>
        <v/>
      </c>
      <c r="BW412" s="300" t="str">
        <f>_xlfn.IFNA(VLOOKUP($BD412,Programma!$F$3:$Y$1107,20,0),"")</f>
        <v/>
      </c>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c r="GK412" s="4"/>
      <c r="GL412" s="4"/>
      <c r="GM412" s="4"/>
      <c r="GN412" s="4"/>
      <c r="GO412" s="4"/>
      <c r="GP412" s="4"/>
      <c r="GQ412" s="4"/>
      <c r="GR412" s="4"/>
      <c r="GS412" s="4"/>
      <c r="GT412" s="4"/>
      <c r="GU412" s="4"/>
      <c r="GV412" s="4"/>
      <c r="GW412" s="4"/>
      <c r="GX412" s="4"/>
      <c r="GY412" s="4"/>
      <c r="GZ412" s="4"/>
      <c r="HA412" s="4"/>
      <c r="HB412" s="4"/>
      <c r="HC412" s="4"/>
      <c r="HD412" s="4"/>
      <c r="HE412" s="4"/>
      <c r="HF412" s="4"/>
      <c r="HG412" s="4"/>
      <c r="HH412" s="4"/>
      <c r="HI412" s="4"/>
      <c r="HJ412" s="4"/>
      <c r="HK412" s="4"/>
      <c r="HL412" s="4"/>
    </row>
    <row r="413" spans="1:220" ht="15" customHeight="1">
      <c r="A413" s="21">
        <v>5</v>
      </c>
      <c r="B413" s="157" t="str">
        <f>VLOOKUP(Ruimtestaat[[#This Row],[Code]],Locaties[[Code]:[Locatie]],2,FALSE)</f>
        <v>François Vatel vmbo</v>
      </c>
      <c r="C413" s="157" t="str">
        <f>VLOOKUP(Ruimtestaat[[#This Row],[Code]],Locaties[[#All],[Code]:[Adres]],4,FALSE)</f>
        <v>Granaathorst 20</v>
      </c>
      <c r="D413" s="157" t="str">
        <f>VLOOKUP(Ruimtestaat[[#This Row],[Code]],Locaties[[#All],[Code]:[Postcode]],5,FALSE)</f>
        <v>2592 TD</v>
      </c>
      <c r="E413" s="157" t="str">
        <f>VLOOKUP(Ruimtestaat[[#This Row],[Code]],Locaties[#All],6,FALSE)</f>
        <v>Den Haag</v>
      </c>
      <c r="F413" s="62"/>
      <c r="G413" s="21" t="s">
        <v>1624</v>
      </c>
      <c r="H413" s="21" t="s">
        <v>1922</v>
      </c>
      <c r="I413" s="62" t="s">
        <v>2063</v>
      </c>
      <c r="J413" s="21">
        <v>2</v>
      </c>
      <c r="K413" s="62" t="str">
        <f>VLOOKUP(Ruimtestaat[[#This Row],[Ruimte code]],Ruimtegroepen[[#All],[Code]:[Ruimte omschrijving]],2,FALSE)</f>
        <v>Kantoren</v>
      </c>
      <c r="L413" s="33" t="s">
        <v>101</v>
      </c>
      <c r="M413" s="367" t="s">
        <v>2495</v>
      </c>
      <c r="N413" s="140">
        <v>37</v>
      </c>
      <c r="O413" s="140"/>
      <c r="P413" s="125" t="str">
        <f>VLOOKUP(Ruimtestaat[[#This Row],[Ruimte code]],Ruimtegroepen[],4,FALSE)</f>
        <v>Bu</v>
      </c>
      <c r="R413" s="33">
        <v>42</v>
      </c>
      <c r="S413" s="33" t="s">
        <v>18</v>
      </c>
      <c r="T413" s="33">
        <f>IF(R413&gt;0,IF(RIGHT(Ruimtestaat[[#This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13" s="33">
        <f>IF(T413&gt;0,VLOOKUP($J413,Ruimtegroepen[],3,FALSE)*VLOOKUP($L413,Vloersoorten[],3,FALSE)*VLOOKUP($S413,Frequenties[],3,FALSE)*VLOOKUP($A413,Locaties[],3,FALSE),0)</f>
        <v>0</v>
      </c>
      <c r="V413" s="33">
        <f>Ruimtestaat[[#This Row],[Uitvoeringen werkdagen]]*Ruimtestaat[[#This Row],[Oppervlak (netto)]]</f>
        <v>4662</v>
      </c>
      <c r="W413" s="154">
        <f>IF(U413&gt;0,Ruimtestaat[[#This Row],[Prest. (m2 /jaar) werkdagen]]/Ruimtestaat[[#This Row],[Norm (m2/uur) werkdagen]],0)</f>
        <v>0</v>
      </c>
      <c r="X413" s="155">
        <f>Ruimtestaat[[#This Row],[uren / jaar werkdagen]]*Tariefsopbouw!$E$35</f>
        <v>0</v>
      </c>
      <c r="Y413" s="33"/>
      <c r="Z413" s="33">
        <f>IF(Ruimtestaat[[#This Row],[Frequentie weekend]]&gt;0,VALUE(LEFT(Y413,1))*R413,0)</f>
        <v>0</v>
      </c>
      <c r="AA413" s="97">
        <f>IF($Z413&gt;0,VLOOKUP($J413,Ruimtegroepen[],3,FALSE)*VLOOKUP($L413,Vloersoorten[],3,FALSE)*VLOOKUP($Y413,Frequenties[],3,FALSE)*VLOOKUP(Ruimtestaat[[#This Row],[Code]],Locaties[],3,FALSE),0)</f>
        <v>0</v>
      </c>
      <c r="AB413" s="97">
        <f>Ruimtestaat[[#This Row],[Uitvoeringen weekend]]*Ruimtestaat[[#This Row],[Oppervlak (netto)]]</f>
        <v>0</v>
      </c>
      <c r="AC413" s="97">
        <f>IF(AA413&gt;0,Ruimtestaat[[#This Row],[Prest. (m2 /jaar) weekend]]/Ruimtestaat[[#This Row],[Norm (m2/uur) weekend]],0)</f>
        <v>0</v>
      </c>
      <c r="AD413" s="155">
        <f>Ruimtestaat[[#This Row],[uren / jaar weekend]]*Tariefsopbouw!$D$40</f>
        <v>0</v>
      </c>
      <c r="AE413" s="154">
        <f>Ruimtestaat[[#This Row],[Prest. (m2 /jaar) weekend]]+Ruimtestaat[[#This Row],[Prest. (m2 /jaar) werkdagen]]</f>
        <v>4662</v>
      </c>
      <c r="AF413" s="154">
        <f>Ruimtestaat[[#This Row],[uren / jaar weekend]]+Ruimtestaat[[#This Row],[uren / jaar werkdagen]]</f>
        <v>0</v>
      </c>
      <c r="AG413" s="69">
        <f>Ruimtestaat[[#This Row],[kosten / jaar weekend]]+Ruimtestaat[[#This Row],[kosten / jaar werkdagen]]</f>
        <v>0</v>
      </c>
      <c r="AH413" s="69"/>
      <c r="AI413" s="256" t="str">
        <f>IF(Ruimtestaat[[#This Row],[Frequentie werkdagen]]="","",_xlfn.CONCAT(Ruimtestaat[[#This Row],[Ruimte code]],"-",Ruimtestaat[[#This Row],[Frequentie werkdagen]]," ",Ruimtestaat[[#This Row],[Vloer code]]))</f>
        <v>2-3w L</v>
      </c>
      <c r="AJ413" s="300" t="str">
        <f>_xlfn.IFNA(VLOOKUP($AI413,Programma!$F$3:$G$1107,2,0),"")</f>
        <v>_</v>
      </c>
      <c r="AK413" s="300" t="str">
        <f>_xlfn.IFNA(VLOOKUP($AI413,Programma!$F$3:$H$1107,3,0),"")</f>
        <v>_</v>
      </c>
      <c r="AL413" s="300" t="str">
        <f>_xlfn.IFNA(VLOOKUP($AI413,Programma!$F$3:$I$1107,4,0),"")</f>
        <v>2w</v>
      </c>
      <c r="AM413" s="300" t="str">
        <f>_xlfn.IFNA(VLOOKUP($AI413,Programma!$F$3:$J$1107,5,0),"")</f>
        <v>1w</v>
      </c>
      <c r="AN413" s="300" t="str">
        <f>_xlfn.IFNA(VLOOKUP($AI413,Programma!$F$3:$K$1107,6,0),"")</f>
        <v>_</v>
      </c>
      <c r="AO413" s="300" t="str">
        <f>_xlfn.IFNA(VLOOKUP($AI413,Programma!$F$3:$L$1107,7,0),"")</f>
        <v>_</v>
      </c>
      <c r="AP413" s="300" t="str">
        <f>_xlfn.IFNA(VLOOKUP($AI413,Programma!$F$3:$M$1107,8,0),"")</f>
        <v>_</v>
      </c>
      <c r="AQ413" s="300" t="str">
        <f>_xlfn.IFNA(VLOOKUP($AI413,Programma!$F$3:$N$1107,9,0),"")</f>
        <v>_</v>
      </c>
      <c r="AR413" s="300" t="str">
        <f>_xlfn.IFNA(VLOOKUP($AI413,Programma!$F$3:$O$1107,10,0),"")</f>
        <v>3w</v>
      </c>
      <c r="AS413" s="300" t="str">
        <f>_xlfn.IFNA(VLOOKUP($AI413,Programma!$F$3:$P$1107,11,0),"")</f>
        <v>3w</v>
      </c>
      <c r="AT413" s="300" t="str">
        <f>_xlfn.IFNA(VLOOKUP($AI413,Programma!$F$3:$Q$1107,12,0),"")</f>
        <v>1w</v>
      </c>
      <c r="AU413" s="300" t="str">
        <f>_xlfn.IFNA(VLOOKUP($AI413,Programma!$F$3:$R$1107,13,0),"")</f>
        <v>1w</v>
      </c>
      <c r="AV413" s="300" t="str">
        <f>_xlfn.IFNA(VLOOKUP($AI413,Programma!$F$3:$S$1107,14,0),"")</f>
        <v>1m</v>
      </c>
      <c r="AW413" s="300" t="str">
        <f>_xlfn.IFNA(VLOOKUP($AI413,Programma!$F$3:$T$1107,15,0),"")</f>
        <v>2j</v>
      </c>
      <c r="AX413" s="300" t="str">
        <f>_xlfn.IFNA(VLOOKUP($AI413,Programma!$F$3:$U$1107,16,0),"")</f>
        <v>1j</v>
      </c>
      <c r="AY413" s="300" t="str">
        <f>_xlfn.IFNA(VLOOKUP($AI413,Programma!$F$3:$V$1107,17,0),"")</f>
        <v>_</v>
      </c>
      <c r="AZ413" s="300" t="str">
        <f>_xlfn.IFNA(VLOOKUP($AI413,Programma!$F$3:$W$1107,18,0),"")</f>
        <v>_</v>
      </c>
      <c r="BA413" s="300" t="str">
        <f>_xlfn.IFNA(VLOOKUP($AI413,Programma!$F$3:$X$1107,19,0),"")</f>
        <v>_</v>
      </c>
      <c r="BB413" s="300" t="str">
        <f>_xlfn.IFNA(VLOOKUP($AI413,Programma!$F$3:$Y$1107,20,0),"")</f>
        <v>_</v>
      </c>
      <c r="BC413" s="257"/>
      <c r="BD413" s="256" t="str">
        <f>IF(Ruimtestaat[[#This Row],[Frequentie weekend]]="","",_xlfn.CONCAT(Ruimtestaat[[#This Row],[Ruimte code]],"-",Ruimtestaat[[#This Row],[Frequentie weekend]]," ",Ruimtestaat[[#This Row],[Vloer code]]))</f>
        <v/>
      </c>
      <c r="BE413" s="300" t="str">
        <f>_xlfn.IFNA(VLOOKUP($BD413,Programma!$F$3:$G$1107,2,0),"")</f>
        <v/>
      </c>
      <c r="BF413" s="300" t="str">
        <f>_xlfn.IFNA(VLOOKUP($BD413,Programma!$F$3:$H$1107,3,0),"")</f>
        <v/>
      </c>
      <c r="BG413" s="300" t="str">
        <f>_xlfn.IFNA(VLOOKUP($BD413,Programma!$F$3:$I$1107,4,0),"")</f>
        <v/>
      </c>
      <c r="BH413" s="300" t="str">
        <f>_xlfn.IFNA(VLOOKUP($BD413,Programma!$F$3:$J$1107,5,0),"")</f>
        <v/>
      </c>
      <c r="BI413" s="300" t="str">
        <f>_xlfn.IFNA(VLOOKUP($BD413,Programma!$F$3:$K$1107,6,0),"")</f>
        <v/>
      </c>
      <c r="BJ413" s="300" t="str">
        <f>_xlfn.IFNA(VLOOKUP($BD413,Programma!$F$3:$L$1107,7,0),"")</f>
        <v/>
      </c>
      <c r="BK413" s="300" t="str">
        <f>_xlfn.IFNA(VLOOKUP($BD413,Programma!$F$3:$M$1107,8,0),"")</f>
        <v/>
      </c>
      <c r="BL413" s="300" t="str">
        <f>_xlfn.IFNA(VLOOKUP($BD413,Programma!$F$3:$N$1107,9,0),"")</f>
        <v/>
      </c>
      <c r="BM413" s="300" t="str">
        <f>_xlfn.IFNA(VLOOKUP($BD413,Programma!$F$3:$O$1107,10,0),"")</f>
        <v/>
      </c>
      <c r="BN413" s="300" t="str">
        <f>_xlfn.IFNA(VLOOKUP($BD413,Programma!$F$3:$P$1107,11,0),"")</f>
        <v/>
      </c>
      <c r="BO413" s="300" t="str">
        <f>_xlfn.IFNA(VLOOKUP($BD413,Programma!$F$3:$Q$1107,12,0),"")</f>
        <v/>
      </c>
      <c r="BP413" s="300" t="str">
        <f>_xlfn.IFNA(VLOOKUP($BD413,Programma!$F$3:$R$1107,13,0),"")</f>
        <v/>
      </c>
      <c r="BQ413" s="300" t="str">
        <f>_xlfn.IFNA(VLOOKUP($BD413,Programma!$F$3:$S$1107,14,0),"")</f>
        <v/>
      </c>
      <c r="BR413" s="300" t="str">
        <f>_xlfn.IFNA(VLOOKUP($BD413,Programma!$F$3:$T$1107,15,0),"")</f>
        <v/>
      </c>
      <c r="BS413" s="300" t="str">
        <f>_xlfn.IFNA(VLOOKUP($BD413,Programma!$F$3:$U$1107,16,0),"")</f>
        <v/>
      </c>
      <c r="BT413" s="300" t="str">
        <f>_xlfn.IFNA(VLOOKUP($BD413,Programma!$F$3:$V$1107,17,0),"")</f>
        <v/>
      </c>
      <c r="BU413" s="300" t="str">
        <f>_xlfn.IFNA(VLOOKUP($BD413,Programma!$F$3:$W$1107,18,0),"")</f>
        <v/>
      </c>
      <c r="BV413" s="300" t="str">
        <f>_xlfn.IFNA(VLOOKUP($BD413,Programma!$F$3:$X$1107,19,0),"")</f>
        <v/>
      </c>
      <c r="BW413" s="300" t="str">
        <f>_xlfn.IFNA(VLOOKUP($BD413,Programma!$F$3:$Y$1107,20,0),"")</f>
        <v/>
      </c>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c r="GK413" s="4"/>
      <c r="GL413" s="4"/>
      <c r="GM413" s="4"/>
      <c r="GN413" s="4"/>
      <c r="GO413" s="4"/>
      <c r="GP413" s="4"/>
      <c r="GQ413" s="4"/>
      <c r="GR413" s="4"/>
      <c r="GS413" s="4"/>
      <c r="GT413" s="4"/>
      <c r="GU413" s="4"/>
      <c r="GV413" s="4"/>
      <c r="GW413" s="4"/>
      <c r="GX413" s="4"/>
      <c r="GY413" s="4"/>
      <c r="GZ413" s="4"/>
      <c r="HA413" s="4"/>
      <c r="HB413" s="4"/>
      <c r="HC413" s="4"/>
      <c r="HD413" s="4"/>
      <c r="HE413" s="4"/>
      <c r="HF413" s="4"/>
      <c r="HG413" s="4"/>
      <c r="HH413" s="4"/>
      <c r="HI413" s="4"/>
      <c r="HJ413" s="4"/>
      <c r="HK413" s="4"/>
      <c r="HL413" s="4"/>
    </row>
    <row r="414" spans="1:220" ht="15" customHeight="1">
      <c r="A414" s="21">
        <v>5</v>
      </c>
      <c r="B414" s="157" t="str">
        <f>VLOOKUP(Ruimtestaat[[#This Row],[Code]],Locaties[[Code]:[Locatie]],2,FALSE)</f>
        <v>François Vatel vmbo</v>
      </c>
      <c r="C414" s="157" t="str">
        <f>VLOOKUP(Ruimtestaat[[#This Row],[Code]],Locaties[[#All],[Code]:[Adres]],4,FALSE)</f>
        <v>Granaathorst 20</v>
      </c>
      <c r="D414" s="157" t="str">
        <f>VLOOKUP(Ruimtestaat[[#This Row],[Code]],Locaties[[#All],[Code]:[Postcode]],5,FALSE)</f>
        <v>2592 TD</v>
      </c>
      <c r="E414" s="157" t="str">
        <f>VLOOKUP(Ruimtestaat[[#This Row],[Code]],Locaties[#All],6,FALSE)</f>
        <v>Den Haag</v>
      </c>
      <c r="F414" s="62"/>
      <c r="G414" s="21" t="s">
        <v>1624</v>
      </c>
      <c r="H414" s="21" t="s">
        <v>1924</v>
      </c>
      <c r="I414" s="62" t="s">
        <v>2064</v>
      </c>
      <c r="J414" s="21">
        <v>2</v>
      </c>
      <c r="K414" s="62" t="str">
        <f>VLOOKUP(Ruimtestaat[[#This Row],[Ruimte code]],Ruimtegroepen[[#All],[Code]:[Ruimte omschrijving]],2,FALSE)</f>
        <v>Kantoren</v>
      </c>
      <c r="L414" s="33" t="s">
        <v>101</v>
      </c>
      <c r="M414" s="367" t="s">
        <v>2495</v>
      </c>
      <c r="N414" s="140">
        <v>4</v>
      </c>
      <c r="O414" s="140"/>
      <c r="P414" s="125" t="str">
        <f>VLOOKUP(Ruimtestaat[[#This Row],[Ruimte code]],Ruimtegroepen[],4,FALSE)</f>
        <v>Bu</v>
      </c>
      <c r="R414" s="33">
        <v>42</v>
      </c>
      <c r="S414" s="33" t="s">
        <v>18</v>
      </c>
      <c r="T414" s="33">
        <f>IF(R414&gt;0,IF(RIGHT(Ruimtestaat[[#This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14" s="33">
        <f>IF(T414&gt;0,VLOOKUP($J414,Ruimtegroepen[],3,FALSE)*VLOOKUP($L414,Vloersoorten[],3,FALSE)*VLOOKUP($S414,Frequenties[],3,FALSE)*VLOOKUP($A414,Locaties[],3,FALSE),0)</f>
        <v>0</v>
      </c>
      <c r="V414" s="33">
        <f>Ruimtestaat[[#This Row],[Uitvoeringen werkdagen]]*Ruimtestaat[[#This Row],[Oppervlak (netto)]]</f>
        <v>504</v>
      </c>
      <c r="W414" s="154">
        <f>IF(U414&gt;0,Ruimtestaat[[#This Row],[Prest. (m2 /jaar) werkdagen]]/Ruimtestaat[[#This Row],[Norm (m2/uur) werkdagen]],0)</f>
        <v>0</v>
      </c>
      <c r="X414" s="155">
        <f>Ruimtestaat[[#This Row],[uren / jaar werkdagen]]*Tariefsopbouw!$E$35</f>
        <v>0</v>
      </c>
      <c r="Y414" s="33"/>
      <c r="Z414" s="33">
        <f>IF(Ruimtestaat[[#This Row],[Frequentie weekend]]&gt;0,VALUE(LEFT(Y414,1))*R414,0)</f>
        <v>0</v>
      </c>
      <c r="AA414" s="97">
        <f>IF($Z414&gt;0,VLOOKUP($J414,Ruimtegroepen[],3,FALSE)*VLOOKUP($L414,Vloersoorten[],3,FALSE)*VLOOKUP($Y414,Frequenties[],3,FALSE)*VLOOKUP(Ruimtestaat[[#This Row],[Code]],Locaties[],3,FALSE),0)</f>
        <v>0</v>
      </c>
      <c r="AB414" s="97">
        <f>Ruimtestaat[[#This Row],[Uitvoeringen weekend]]*Ruimtestaat[[#This Row],[Oppervlak (netto)]]</f>
        <v>0</v>
      </c>
      <c r="AC414" s="97">
        <f>IF(AA414&gt;0,Ruimtestaat[[#This Row],[Prest. (m2 /jaar) weekend]]/Ruimtestaat[[#This Row],[Norm (m2/uur) weekend]],0)</f>
        <v>0</v>
      </c>
      <c r="AD414" s="155">
        <f>Ruimtestaat[[#This Row],[uren / jaar weekend]]*Tariefsopbouw!$D$40</f>
        <v>0</v>
      </c>
      <c r="AE414" s="154">
        <f>Ruimtestaat[[#This Row],[Prest. (m2 /jaar) weekend]]+Ruimtestaat[[#This Row],[Prest. (m2 /jaar) werkdagen]]</f>
        <v>504</v>
      </c>
      <c r="AF414" s="154">
        <f>Ruimtestaat[[#This Row],[uren / jaar weekend]]+Ruimtestaat[[#This Row],[uren / jaar werkdagen]]</f>
        <v>0</v>
      </c>
      <c r="AG414" s="69">
        <f>Ruimtestaat[[#This Row],[kosten / jaar weekend]]+Ruimtestaat[[#This Row],[kosten / jaar werkdagen]]</f>
        <v>0</v>
      </c>
      <c r="AH414" s="69"/>
      <c r="AI414" s="256" t="str">
        <f>IF(Ruimtestaat[[#This Row],[Frequentie werkdagen]]="","",_xlfn.CONCAT(Ruimtestaat[[#This Row],[Ruimte code]],"-",Ruimtestaat[[#This Row],[Frequentie werkdagen]]," ",Ruimtestaat[[#This Row],[Vloer code]]))</f>
        <v>2-3w L</v>
      </c>
      <c r="AJ414" s="300" t="str">
        <f>_xlfn.IFNA(VLOOKUP($AI414,Programma!$F$3:$G$1107,2,0),"")</f>
        <v>_</v>
      </c>
      <c r="AK414" s="300" t="str">
        <f>_xlfn.IFNA(VLOOKUP($AI414,Programma!$F$3:$H$1107,3,0),"")</f>
        <v>_</v>
      </c>
      <c r="AL414" s="300" t="str">
        <f>_xlfn.IFNA(VLOOKUP($AI414,Programma!$F$3:$I$1107,4,0),"")</f>
        <v>2w</v>
      </c>
      <c r="AM414" s="300" t="str">
        <f>_xlfn.IFNA(VLOOKUP($AI414,Programma!$F$3:$J$1107,5,0),"")</f>
        <v>1w</v>
      </c>
      <c r="AN414" s="300" t="str">
        <f>_xlfn.IFNA(VLOOKUP($AI414,Programma!$F$3:$K$1107,6,0),"")</f>
        <v>_</v>
      </c>
      <c r="AO414" s="300" t="str">
        <f>_xlfn.IFNA(VLOOKUP($AI414,Programma!$F$3:$L$1107,7,0),"")</f>
        <v>_</v>
      </c>
      <c r="AP414" s="300" t="str">
        <f>_xlfn.IFNA(VLOOKUP($AI414,Programma!$F$3:$M$1107,8,0),"")</f>
        <v>_</v>
      </c>
      <c r="AQ414" s="300" t="str">
        <f>_xlfn.IFNA(VLOOKUP($AI414,Programma!$F$3:$N$1107,9,0),"")</f>
        <v>_</v>
      </c>
      <c r="AR414" s="300" t="str">
        <f>_xlfn.IFNA(VLOOKUP($AI414,Programma!$F$3:$O$1107,10,0),"")</f>
        <v>3w</v>
      </c>
      <c r="AS414" s="300" t="str">
        <f>_xlfn.IFNA(VLOOKUP($AI414,Programma!$F$3:$P$1107,11,0),"")</f>
        <v>3w</v>
      </c>
      <c r="AT414" s="300" t="str">
        <f>_xlfn.IFNA(VLOOKUP($AI414,Programma!$F$3:$Q$1107,12,0),"")</f>
        <v>1w</v>
      </c>
      <c r="AU414" s="300" t="str">
        <f>_xlfn.IFNA(VLOOKUP($AI414,Programma!$F$3:$R$1107,13,0),"")</f>
        <v>1w</v>
      </c>
      <c r="AV414" s="300" t="str">
        <f>_xlfn.IFNA(VLOOKUP($AI414,Programma!$F$3:$S$1107,14,0),"")</f>
        <v>1m</v>
      </c>
      <c r="AW414" s="300" t="str">
        <f>_xlfn.IFNA(VLOOKUP($AI414,Programma!$F$3:$T$1107,15,0),"")</f>
        <v>2j</v>
      </c>
      <c r="AX414" s="300" t="str">
        <f>_xlfn.IFNA(VLOOKUP($AI414,Programma!$F$3:$U$1107,16,0),"")</f>
        <v>1j</v>
      </c>
      <c r="AY414" s="300" t="str">
        <f>_xlfn.IFNA(VLOOKUP($AI414,Programma!$F$3:$V$1107,17,0),"")</f>
        <v>_</v>
      </c>
      <c r="AZ414" s="300" t="str">
        <f>_xlfn.IFNA(VLOOKUP($AI414,Programma!$F$3:$W$1107,18,0),"")</f>
        <v>_</v>
      </c>
      <c r="BA414" s="300" t="str">
        <f>_xlfn.IFNA(VLOOKUP($AI414,Programma!$F$3:$X$1107,19,0),"")</f>
        <v>_</v>
      </c>
      <c r="BB414" s="300" t="str">
        <f>_xlfn.IFNA(VLOOKUP($AI414,Programma!$F$3:$Y$1107,20,0),"")</f>
        <v>_</v>
      </c>
      <c r="BC414" s="257"/>
      <c r="BD414" s="256" t="str">
        <f>IF(Ruimtestaat[[#This Row],[Frequentie weekend]]="","",_xlfn.CONCAT(Ruimtestaat[[#This Row],[Ruimte code]],"-",Ruimtestaat[[#This Row],[Frequentie weekend]]," ",Ruimtestaat[[#This Row],[Vloer code]]))</f>
        <v/>
      </c>
      <c r="BE414" s="300" t="str">
        <f>_xlfn.IFNA(VLOOKUP($BD414,Programma!$F$3:$G$1107,2,0),"")</f>
        <v/>
      </c>
      <c r="BF414" s="300" t="str">
        <f>_xlfn.IFNA(VLOOKUP($BD414,Programma!$F$3:$H$1107,3,0),"")</f>
        <v/>
      </c>
      <c r="BG414" s="300" t="str">
        <f>_xlfn.IFNA(VLOOKUP($BD414,Programma!$F$3:$I$1107,4,0),"")</f>
        <v/>
      </c>
      <c r="BH414" s="300" t="str">
        <f>_xlfn.IFNA(VLOOKUP($BD414,Programma!$F$3:$J$1107,5,0),"")</f>
        <v/>
      </c>
      <c r="BI414" s="300" t="str">
        <f>_xlfn.IFNA(VLOOKUP($BD414,Programma!$F$3:$K$1107,6,0),"")</f>
        <v/>
      </c>
      <c r="BJ414" s="300" t="str">
        <f>_xlfn.IFNA(VLOOKUP($BD414,Programma!$F$3:$L$1107,7,0),"")</f>
        <v/>
      </c>
      <c r="BK414" s="300" t="str">
        <f>_xlfn.IFNA(VLOOKUP($BD414,Programma!$F$3:$M$1107,8,0),"")</f>
        <v/>
      </c>
      <c r="BL414" s="300" t="str">
        <f>_xlfn.IFNA(VLOOKUP($BD414,Programma!$F$3:$N$1107,9,0),"")</f>
        <v/>
      </c>
      <c r="BM414" s="300" t="str">
        <f>_xlfn.IFNA(VLOOKUP($BD414,Programma!$F$3:$O$1107,10,0),"")</f>
        <v/>
      </c>
      <c r="BN414" s="300" t="str">
        <f>_xlfn.IFNA(VLOOKUP($BD414,Programma!$F$3:$P$1107,11,0),"")</f>
        <v/>
      </c>
      <c r="BO414" s="300" t="str">
        <f>_xlfn.IFNA(VLOOKUP($BD414,Programma!$F$3:$Q$1107,12,0),"")</f>
        <v/>
      </c>
      <c r="BP414" s="300" t="str">
        <f>_xlfn.IFNA(VLOOKUP($BD414,Programma!$F$3:$R$1107,13,0),"")</f>
        <v/>
      </c>
      <c r="BQ414" s="300" t="str">
        <f>_xlfn.IFNA(VLOOKUP($BD414,Programma!$F$3:$S$1107,14,0),"")</f>
        <v/>
      </c>
      <c r="BR414" s="300" t="str">
        <f>_xlfn.IFNA(VLOOKUP($BD414,Programma!$F$3:$T$1107,15,0),"")</f>
        <v/>
      </c>
      <c r="BS414" s="300" t="str">
        <f>_xlfn.IFNA(VLOOKUP($BD414,Programma!$F$3:$U$1107,16,0),"")</f>
        <v/>
      </c>
      <c r="BT414" s="300" t="str">
        <f>_xlfn.IFNA(VLOOKUP($BD414,Programma!$F$3:$V$1107,17,0),"")</f>
        <v/>
      </c>
      <c r="BU414" s="300" t="str">
        <f>_xlfn.IFNA(VLOOKUP($BD414,Programma!$F$3:$W$1107,18,0),"")</f>
        <v/>
      </c>
      <c r="BV414" s="300" t="str">
        <f>_xlfn.IFNA(VLOOKUP($BD414,Programma!$F$3:$X$1107,19,0),"")</f>
        <v/>
      </c>
      <c r="BW414" s="300" t="str">
        <f>_xlfn.IFNA(VLOOKUP($BD414,Programma!$F$3:$Y$1107,20,0),"")</f>
        <v/>
      </c>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c r="GK414" s="4"/>
      <c r="GL414" s="4"/>
      <c r="GM414" s="4"/>
      <c r="GN414" s="4"/>
      <c r="GO414" s="4"/>
      <c r="GP414" s="4"/>
      <c r="GQ414" s="4"/>
      <c r="GR414" s="4"/>
      <c r="GS414" s="4"/>
      <c r="GT414" s="4"/>
      <c r="GU414" s="4"/>
      <c r="GV414" s="4"/>
      <c r="GW414" s="4"/>
      <c r="GX414" s="4"/>
      <c r="GY414" s="4"/>
      <c r="GZ414" s="4"/>
      <c r="HA414" s="4"/>
      <c r="HB414" s="4"/>
      <c r="HC414" s="4"/>
      <c r="HD414" s="4"/>
      <c r="HE414" s="4"/>
      <c r="HF414" s="4"/>
      <c r="HG414" s="4"/>
      <c r="HH414" s="4"/>
      <c r="HI414" s="4"/>
      <c r="HJ414" s="4"/>
      <c r="HK414" s="4"/>
      <c r="HL414" s="4"/>
    </row>
    <row r="415" spans="1:220" ht="15" customHeight="1">
      <c r="A415" s="21">
        <v>5</v>
      </c>
      <c r="B415" s="157" t="str">
        <f>VLOOKUP(Ruimtestaat[[#This Row],[Code]],Locaties[[Code]:[Locatie]],2,FALSE)</f>
        <v>François Vatel vmbo</v>
      </c>
      <c r="C415" s="157" t="str">
        <f>VLOOKUP(Ruimtestaat[[#This Row],[Code]],Locaties[[#All],[Code]:[Adres]],4,FALSE)</f>
        <v>Granaathorst 20</v>
      </c>
      <c r="D415" s="157" t="str">
        <f>VLOOKUP(Ruimtestaat[[#This Row],[Code]],Locaties[[#All],[Code]:[Postcode]],5,FALSE)</f>
        <v>2592 TD</v>
      </c>
      <c r="E415" s="157" t="str">
        <f>VLOOKUP(Ruimtestaat[[#This Row],[Code]],Locaties[#All],6,FALSE)</f>
        <v>Den Haag</v>
      </c>
      <c r="F415" s="62"/>
      <c r="G415" s="21" t="s">
        <v>1624</v>
      </c>
      <c r="H415" s="21" t="s">
        <v>1926</v>
      </c>
      <c r="I415" s="62" t="s">
        <v>2065</v>
      </c>
      <c r="J415" s="21">
        <v>16</v>
      </c>
      <c r="K415" s="62" t="str">
        <f>VLOOKUP(Ruimtestaat[[#This Row],[Ruimte code]],Ruimtegroepen[[#All],[Code]:[Ruimte omschrijving]],2,FALSE)</f>
        <v>Leslokalen theorie</v>
      </c>
      <c r="L415" s="33" t="s">
        <v>101</v>
      </c>
      <c r="M415" s="367" t="s">
        <v>2495</v>
      </c>
      <c r="N415" s="140">
        <v>50</v>
      </c>
      <c r="O415" s="140"/>
      <c r="P415" s="125" t="str">
        <f>VLOOKUP(Ruimtestaat[[#This Row],[Ruimte code]],Ruimtegroepen[],4,FALSE)</f>
        <v>Le</v>
      </c>
      <c r="R415" s="33">
        <v>40</v>
      </c>
      <c r="S415" s="33" t="s">
        <v>2</v>
      </c>
      <c r="T415" s="33">
        <f>IF(R415&gt;0,IF(RIGHT(Ruimtestaat[[#This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5" s="33">
        <f>IF(T415&gt;0,VLOOKUP($J415,Ruimtegroepen[],3,FALSE)*VLOOKUP($L415,Vloersoorten[],3,FALSE)*VLOOKUP($S415,Frequenties[],3,FALSE)*VLOOKUP($A415,Locaties[],3,FALSE),0)</f>
        <v>0</v>
      </c>
      <c r="V415" s="33">
        <f>Ruimtestaat[[#This Row],[Uitvoeringen werkdagen]]*Ruimtestaat[[#This Row],[Oppervlak (netto)]]</f>
        <v>10000</v>
      </c>
      <c r="W415" s="154">
        <f>IF(U415&gt;0,Ruimtestaat[[#This Row],[Prest. (m2 /jaar) werkdagen]]/Ruimtestaat[[#This Row],[Norm (m2/uur) werkdagen]],0)</f>
        <v>0</v>
      </c>
      <c r="X415" s="155">
        <f>Ruimtestaat[[#This Row],[uren / jaar werkdagen]]*Tariefsopbouw!$E$35</f>
        <v>0</v>
      </c>
      <c r="Y415" s="33"/>
      <c r="Z415" s="33">
        <f>IF(Ruimtestaat[[#This Row],[Frequentie weekend]]&gt;0,VALUE(LEFT(Y415,1))*R415,0)</f>
        <v>0</v>
      </c>
      <c r="AA415" s="97">
        <f>IF($Z415&gt;0,VLOOKUP($J415,Ruimtegroepen[],3,FALSE)*VLOOKUP($L415,Vloersoorten[],3,FALSE)*VLOOKUP($Y415,Frequenties[],3,FALSE)*VLOOKUP(Ruimtestaat[[#This Row],[Code]],Locaties[],3,FALSE),0)</f>
        <v>0</v>
      </c>
      <c r="AB415" s="97">
        <f>Ruimtestaat[[#This Row],[Uitvoeringen weekend]]*Ruimtestaat[[#This Row],[Oppervlak (netto)]]</f>
        <v>0</v>
      </c>
      <c r="AC415" s="97">
        <f>IF(AA415&gt;0,Ruimtestaat[[#This Row],[Prest. (m2 /jaar) weekend]]/Ruimtestaat[[#This Row],[Norm (m2/uur) weekend]],0)</f>
        <v>0</v>
      </c>
      <c r="AD415" s="155">
        <f>Ruimtestaat[[#This Row],[uren / jaar weekend]]*Tariefsopbouw!$D$40</f>
        <v>0</v>
      </c>
      <c r="AE415" s="154">
        <f>Ruimtestaat[[#This Row],[Prest. (m2 /jaar) weekend]]+Ruimtestaat[[#This Row],[Prest. (m2 /jaar) werkdagen]]</f>
        <v>10000</v>
      </c>
      <c r="AF415" s="154">
        <f>Ruimtestaat[[#This Row],[uren / jaar weekend]]+Ruimtestaat[[#This Row],[uren / jaar werkdagen]]</f>
        <v>0</v>
      </c>
      <c r="AG415" s="69">
        <f>Ruimtestaat[[#This Row],[kosten / jaar weekend]]+Ruimtestaat[[#This Row],[kosten / jaar werkdagen]]</f>
        <v>0</v>
      </c>
      <c r="AH415" s="69"/>
      <c r="AI415" s="256" t="str">
        <f>IF(Ruimtestaat[[#This Row],[Frequentie werkdagen]]="","",_xlfn.CONCAT(Ruimtestaat[[#This Row],[Ruimte code]],"-",Ruimtestaat[[#This Row],[Frequentie werkdagen]]," ",Ruimtestaat[[#This Row],[Vloer code]]))</f>
        <v>16-5w L</v>
      </c>
      <c r="AJ415" s="300" t="str">
        <f>_xlfn.IFNA(VLOOKUP($AI415,Programma!$F$3:$G$1107,2,0),"")</f>
        <v>_</v>
      </c>
      <c r="AK415" s="300" t="str">
        <f>_xlfn.IFNA(VLOOKUP($AI415,Programma!$F$3:$H$1107,3,0),"")</f>
        <v>_</v>
      </c>
      <c r="AL415" s="300" t="str">
        <f>_xlfn.IFNA(VLOOKUP($AI415,Programma!$F$3:$I$1107,4,0),"")</f>
        <v>4w</v>
      </c>
      <c r="AM415" s="300" t="str">
        <f>_xlfn.IFNA(VLOOKUP($AI415,Programma!$F$3:$J$1107,5,0),"")</f>
        <v>1w</v>
      </c>
      <c r="AN415" s="300" t="str">
        <f>_xlfn.IFNA(VLOOKUP($AI415,Programma!$F$3:$K$1107,6,0),"")</f>
        <v>_</v>
      </c>
      <c r="AO415" s="300" t="str">
        <f>_xlfn.IFNA(VLOOKUP($AI415,Programma!$F$3:$L$1107,7,0),"")</f>
        <v>_</v>
      </c>
      <c r="AP415" s="300" t="str">
        <f>_xlfn.IFNA(VLOOKUP($AI415,Programma!$F$3:$M$1107,8,0),"")</f>
        <v>_</v>
      </c>
      <c r="AQ415" s="300" t="str">
        <f>_xlfn.IFNA(VLOOKUP($AI415,Programma!$F$3:$N$1107,9,0),"")</f>
        <v>_</v>
      </c>
      <c r="AR415" s="300" t="str">
        <f>_xlfn.IFNA(VLOOKUP($AI415,Programma!$F$3:$O$1107,10,0),"")</f>
        <v>5w</v>
      </c>
      <c r="AS415" s="300" t="str">
        <f>_xlfn.IFNA(VLOOKUP($AI415,Programma!$F$3:$P$1107,11,0),"")</f>
        <v>5w</v>
      </c>
      <c r="AT415" s="300" t="str">
        <f>_xlfn.IFNA(VLOOKUP($AI415,Programma!$F$3:$Q$1107,12,0),"")</f>
        <v>1w</v>
      </c>
      <c r="AU415" s="300" t="str">
        <f>_xlfn.IFNA(VLOOKUP($AI415,Programma!$F$3:$R$1107,13,0),"")</f>
        <v>1w</v>
      </c>
      <c r="AV415" s="300" t="str">
        <f>_xlfn.IFNA(VLOOKUP($AI415,Programma!$F$3:$S$1107,14,0),"")</f>
        <v>1m</v>
      </c>
      <c r="AW415" s="300" t="str">
        <f>_xlfn.IFNA(VLOOKUP($AI415,Programma!$F$3:$T$1107,15,0),"")</f>
        <v>2j</v>
      </c>
      <c r="AX415" s="300" t="str">
        <f>_xlfn.IFNA(VLOOKUP($AI415,Programma!$F$3:$U$1107,16,0),"")</f>
        <v>1j</v>
      </c>
      <c r="AY415" s="300" t="str">
        <f>_xlfn.IFNA(VLOOKUP($AI415,Programma!$F$3:$V$1107,17,0),"")</f>
        <v>_</v>
      </c>
      <c r="AZ415" s="300" t="str">
        <f>_xlfn.IFNA(VLOOKUP($AI415,Programma!$F$3:$W$1107,18,0),"")</f>
        <v>_</v>
      </c>
      <c r="BA415" s="300" t="str">
        <f>_xlfn.IFNA(VLOOKUP($AI415,Programma!$F$3:$X$1107,19,0),"")</f>
        <v>_</v>
      </c>
      <c r="BB415" s="300" t="str">
        <f>_xlfn.IFNA(VLOOKUP($AI415,Programma!$F$3:$Y$1107,20,0),"")</f>
        <v>_</v>
      </c>
      <c r="BC415" s="257"/>
      <c r="BD415" s="256" t="str">
        <f>IF(Ruimtestaat[[#This Row],[Frequentie weekend]]="","",_xlfn.CONCAT(Ruimtestaat[[#This Row],[Ruimte code]],"-",Ruimtestaat[[#This Row],[Frequentie weekend]]," ",Ruimtestaat[[#This Row],[Vloer code]]))</f>
        <v/>
      </c>
      <c r="BE415" s="300" t="str">
        <f>_xlfn.IFNA(VLOOKUP($BD415,Programma!$F$3:$G$1107,2,0),"")</f>
        <v/>
      </c>
      <c r="BF415" s="300" t="str">
        <f>_xlfn.IFNA(VLOOKUP($BD415,Programma!$F$3:$H$1107,3,0),"")</f>
        <v/>
      </c>
      <c r="BG415" s="300" t="str">
        <f>_xlfn.IFNA(VLOOKUP($BD415,Programma!$F$3:$I$1107,4,0),"")</f>
        <v/>
      </c>
      <c r="BH415" s="300" t="str">
        <f>_xlfn.IFNA(VLOOKUP($BD415,Programma!$F$3:$J$1107,5,0),"")</f>
        <v/>
      </c>
      <c r="BI415" s="300" t="str">
        <f>_xlfn.IFNA(VLOOKUP($BD415,Programma!$F$3:$K$1107,6,0),"")</f>
        <v/>
      </c>
      <c r="BJ415" s="300" t="str">
        <f>_xlfn.IFNA(VLOOKUP($BD415,Programma!$F$3:$L$1107,7,0),"")</f>
        <v/>
      </c>
      <c r="BK415" s="300" t="str">
        <f>_xlfn.IFNA(VLOOKUP($BD415,Programma!$F$3:$M$1107,8,0),"")</f>
        <v/>
      </c>
      <c r="BL415" s="300" t="str">
        <f>_xlfn.IFNA(VLOOKUP($BD415,Programma!$F$3:$N$1107,9,0),"")</f>
        <v/>
      </c>
      <c r="BM415" s="300" t="str">
        <f>_xlfn.IFNA(VLOOKUP($BD415,Programma!$F$3:$O$1107,10,0),"")</f>
        <v/>
      </c>
      <c r="BN415" s="300" t="str">
        <f>_xlfn.IFNA(VLOOKUP($BD415,Programma!$F$3:$P$1107,11,0),"")</f>
        <v/>
      </c>
      <c r="BO415" s="300" t="str">
        <f>_xlfn.IFNA(VLOOKUP($BD415,Programma!$F$3:$Q$1107,12,0),"")</f>
        <v/>
      </c>
      <c r="BP415" s="300" t="str">
        <f>_xlfn.IFNA(VLOOKUP($BD415,Programma!$F$3:$R$1107,13,0),"")</f>
        <v/>
      </c>
      <c r="BQ415" s="300" t="str">
        <f>_xlfn.IFNA(VLOOKUP($BD415,Programma!$F$3:$S$1107,14,0),"")</f>
        <v/>
      </c>
      <c r="BR415" s="300" t="str">
        <f>_xlfn.IFNA(VLOOKUP($BD415,Programma!$F$3:$T$1107,15,0),"")</f>
        <v/>
      </c>
      <c r="BS415" s="300" t="str">
        <f>_xlfn.IFNA(VLOOKUP($BD415,Programma!$F$3:$U$1107,16,0),"")</f>
        <v/>
      </c>
      <c r="BT415" s="300" t="str">
        <f>_xlfn.IFNA(VLOOKUP($BD415,Programma!$F$3:$V$1107,17,0),"")</f>
        <v/>
      </c>
      <c r="BU415" s="300" t="str">
        <f>_xlfn.IFNA(VLOOKUP($BD415,Programma!$F$3:$W$1107,18,0),"")</f>
        <v/>
      </c>
      <c r="BV415" s="300" t="str">
        <f>_xlfn.IFNA(VLOOKUP($BD415,Programma!$F$3:$X$1107,19,0),"")</f>
        <v/>
      </c>
      <c r="BW415" s="300" t="str">
        <f>_xlfn.IFNA(VLOOKUP($BD415,Programma!$F$3:$Y$1107,20,0),"")</f>
        <v/>
      </c>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c r="GK415" s="4"/>
      <c r="GL415" s="4"/>
      <c r="GM415" s="4"/>
      <c r="GN415" s="4"/>
      <c r="GO415" s="4"/>
      <c r="GP415" s="4"/>
      <c r="GQ415" s="4"/>
      <c r="GR415" s="4"/>
      <c r="GS415" s="4"/>
      <c r="GT415" s="4"/>
      <c r="GU415" s="4"/>
      <c r="GV415" s="4"/>
      <c r="GW415" s="4"/>
      <c r="GX415" s="4"/>
      <c r="GY415" s="4"/>
      <c r="GZ415" s="4"/>
      <c r="HA415" s="4"/>
      <c r="HB415" s="4"/>
      <c r="HC415" s="4"/>
      <c r="HD415" s="4"/>
      <c r="HE415" s="4"/>
      <c r="HF415" s="4"/>
      <c r="HG415" s="4"/>
      <c r="HH415" s="4"/>
      <c r="HI415" s="4"/>
      <c r="HJ415" s="4"/>
      <c r="HK415" s="4"/>
      <c r="HL415" s="4"/>
    </row>
    <row r="416" spans="1:220" ht="15" customHeight="1">
      <c r="A416" s="21">
        <v>5</v>
      </c>
      <c r="B416" s="157" t="str">
        <f>VLOOKUP(Ruimtestaat[[#This Row],[Code]],Locaties[[Code]:[Locatie]],2,FALSE)</f>
        <v>François Vatel vmbo</v>
      </c>
      <c r="C416" s="157" t="str">
        <f>VLOOKUP(Ruimtestaat[[#This Row],[Code]],Locaties[[#All],[Code]:[Adres]],4,FALSE)</f>
        <v>Granaathorst 20</v>
      </c>
      <c r="D416" s="157" t="str">
        <f>VLOOKUP(Ruimtestaat[[#This Row],[Code]],Locaties[[#All],[Code]:[Postcode]],5,FALSE)</f>
        <v>2592 TD</v>
      </c>
      <c r="E416" s="157" t="str">
        <f>VLOOKUP(Ruimtestaat[[#This Row],[Code]],Locaties[#All],6,FALSE)</f>
        <v>Den Haag</v>
      </c>
      <c r="F416" s="62"/>
      <c r="G416" s="21" t="s">
        <v>1624</v>
      </c>
      <c r="H416" s="21" t="s">
        <v>1928</v>
      </c>
      <c r="I416" s="62" t="s">
        <v>2066</v>
      </c>
      <c r="J416" s="21">
        <v>16</v>
      </c>
      <c r="K416" s="62" t="str">
        <f>VLOOKUP(Ruimtestaat[[#This Row],[Ruimte code]],Ruimtegroepen[[#All],[Code]:[Ruimte omschrijving]],2,FALSE)</f>
        <v>Leslokalen theorie</v>
      </c>
      <c r="L416" s="33" t="s">
        <v>101</v>
      </c>
      <c r="M416" s="367" t="s">
        <v>2495</v>
      </c>
      <c r="N416" s="140">
        <v>66</v>
      </c>
      <c r="O416" s="140"/>
      <c r="P416" s="125" t="str">
        <f>VLOOKUP(Ruimtestaat[[#This Row],[Ruimte code]],Ruimtegroepen[],4,FALSE)</f>
        <v>Le</v>
      </c>
      <c r="R416" s="33">
        <v>40</v>
      </c>
      <c r="S416" s="33" t="s">
        <v>2</v>
      </c>
      <c r="T416" s="33">
        <f>IF(R416&gt;0,IF(RIGHT(Ruimtestaat[[#This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6" s="33">
        <f>IF(T416&gt;0,VLOOKUP($J416,Ruimtegroepen[],3,FALSE)*VLOOKUP($L416,Vloersoorten[],3,FALSE)*VLOOKUP($S416,Frequenties[],3,FALSE)*VLOOKUP($A416,Locaties[],3,FALSE),0)</f>
        <v>0</v>
      </c>
      <c r="V416" s="33">
        <f>Ruimtestaat[[#This Row],[Uitvoeringen werkdagen]]*Ruimtestaat[[#This Row],[Oppervlak (netto)]]</f>
        <v>13200</v>
      </c>
      <c r="W416" s="154">
        <f>IF(U416&gt;0,Ruimtestaat[[#This Row],[Prest. (m2 /jaar) werkdagen]]/Ruimtestaat[[#This Row],[Norm (m2/uur) werkdagen]],0)</f>
        <v>0</v>
      </c>
      <c r="X416" s="155">
        <f>Ruimtestaat[[#This Row],[uren / jaar werkdagen]]*Tariefsopbouw!$E$35</f>
        <v>0</v>
      </c>
      <c r="Y416" s="33"/>
      <c r="Z416" s="33">
        <f>IF(Ruimtestaat[[#This Row],[Frequentie weekend]]&gt;0,VALUE(LEFT(Y416,1))*R416,0)</f>
        <v>0</v>
      </c>
      <c r="AA416" s="97">
        <f>IF($Z416&gt;0,VLOOKUP($J416,Ruimtegroepen[],3,FALSE)*VLOOKUP($L416,Vloersoorten[],3,FALSE)*VLOOKUP($Y416,Frequenties[],3,FALSE)*VLOOKUP(Ruimtestaat[[#This Row],[Code]],Locaties[],3,FALSE),0)</f>
        <v>0</v>
      </c>
      <c r="AB416" s="97">
        <f>Ruimtestaat[[#This Row],[Uitvoeringen weekend]]*Ruimtestaat[[#This Row],[Oppervlak (netto)]]</f>
        <v>0</v>
      </c>
      <c r="AC416" s="97">
        <f>IF(AA416&gt;0,Ruimtestaat[[#This Row],[Prest. (m2 /jaar) weekend]]/Ruimtestaat[[#This Row],[Norm (m2/uur) weekend]],0)</f>
        <v>0</v>
      </c>
      <c r="AD416" s="155">
        <f>Ruimtestaat[[#This Row],[uren / jaar weekend]]*Tariefsopbouw!$D$40</f>
        <v>0</v>
      </c>
      <c r="AE416" s="154">
        <f>Ruimtestaat[[#This Row],[Prest. (m2 /jaar) weekend]]+Ruimtestaat[[#This Row],[Prest. (m2 /jaar) werkdagen]]</f>
        <v>13200</v>
      </c>
      <c r="AF416" s="154">
        <f>Ruimtestaat[[#This Row],[uren / jaar weekend]]+Ruimtestaat[[#This Row],[uren / jaar werkdagen]]</f>
        <v>0</v>
      </c>
      <c r="AG416" s="69">
        <f>Ruimtestaat[[#This Row],[kosten / jaar weekend]]+Ruimtestaat[[#This Row],[kosten / jaar werkdagen]]</f>
        <v>0</v>
      </c>
      <c r="AH416" s="69"/>
      <c r="AI416" s="256" t="str">
        <f>IF(Ruimtestaat[[#This Row],[Frequentie werkdagen]]="","",_xlfn.CONCAT(Ruimtestaat[[#This Row],[Ruimte code]],"-",Ruimtestaat[[#This Row],[Frequentie werkdagen]]," ",Ruimtestaat[[#This Row],[Vloer code]]))</f>
        <v>16-5w L</v>
      </c>
      <c r="AJ416" s="300" t="str">
        <f>_xlfn.IFNA(VLOOKUP($AI416,Programma!$F$3:$G$1107,2,0),"")</f>
        <v>_</v>
      </c>
      <c r="AK416" s="300" t="str">
        <f>_xlfn.IFNA(VLOOKUP($AI416,Programma!$F$3:$H$1107,3,0),"")</f>
        <v>_</v>
      </c>
      <c r="AL416" s="300" t="str">
        <f>_xlfn.IFNA(VLOOKUP($AI416,Programma!$F$3:$I$1107,4,0),"")</f>
        <v>4w</v>
      </c>
      <c r="AM416" s="300" t="str">
        <f>_xlfn.IFNA(VLOOKUP($AI416,Programma!$F$3:$J$1107,5,0),"")</f>
        <v>1w</v>
      </c>
      <c r="AN416" s="300" t="str">
        <f>_xlfn.IFNA(VLOOKUP($AI416,Programma!$F$3:$K$1107,6,0),"")</f>
        <v>_</v>
      </c>
      <c r="AO416" s="300" t="str">
        <f>_xlfn.IFNA(VLOOKUP($AI416,Programma!$F$3:$L$1107,7,0),"")</f>
        <v>_</v>
      </c>
      <c r="AP416" s="300" t="str">
        <f>_xlfn.IFNA(VLOOKUP($AI416,Programma!$F$3:$M$1107,8,0),"")</f>
        <v>_</v>
      </c>
      <c r="AQ416" s="300" t="str">
        <f>_xlfn.IFNA(VLOOKUP($AI416,Programma!$F$3:$N$1107,9,0),"")</f>
        <v>_</v>
      </c>
      <c r="AR416" s="300" t="str">
        <f>_xlfn.IFNA(VLOOKUP($AI416,Programma!$F$3:$O$1107,10,0),"")</f>
        <v>5w</v>
      </c>
      <c r="AS416" s="300" t="str">
        <f>_xlfn.IFNA(VLOOKUP($AI416,Programma!$F$3:$P$1107,11,0),"")</f>
        <v>5w</v>
      </c>
      <c r="AT416" s="300" t="str">
        <f>_xlfn.IFNA(VLOOKUP($AI416,Programma!$F$3:$Q$1107,12,0),"")</f>
        <v>1w</v>
      </c>
      <c r="AU416" s="300" t="str">
        <f>_xlfn.IFNA(VLOOKUP($AI416,Programma!$F$3:$R$1107,13,0),"")</f>
        <v>1w</v>
      </c>
      <c r="AV416" s="300" t="str">
        <f>_xlfn.IFNA(VLOOKUP($AI416,Programma!$F$3:$S$1107,14,0),"")</f>
        <v>1m</v>
      </c>
      <c r="AW416" s="300" t="str">
        <f>_xlfn.IFNA(VLOOKUP($AI416,Programma!$F$3:$T$1107,15,0),"")</f>
        <v>2j</v>
      </c>
      <c r="AX416" s="300" t="str">
        <f>_xlfn.IFNA(VLOOKUP($AI416,Programma!$F$3:$U$1107,16,0),"")</f>
        <v>1j</v>
      </c>
      <c r="AY416" s="300" t="str">
        <f>_xlfn.IFNA(VLOOKUP($AI416,Programma!$F$3:$V$1107,17,0),"")</f>
        <v>_</v>
      </c>
      <c r="AZ416" s="300" t="str">
        <f>_xlfn.IFNA(VLOOKUP($AI416,Programma!$F$3:$W$1107,18,0),"")</f>
        <v>_</v>
      </c>
      <c r="BA416" s="300" t="str">
        <f>_xlfn.IFNA(VLOOKUP($AI416,Programma!$F$3:$X$1107,19,0),"")</f>
        <v>_</v>
      </c>
      <c r="BB416" s="300" t="str">
        <f>_xlfn.IFNA(VLOOKUP($AI416,Programma!$F$3:$Y$1107,20,0),"")</f>
        <v>_</v>
      </c>
      <c r="BC416" s="257"/>
      <c r="BD416" s="256" t="str">
        <f>IF(Ruimtestaat[[#This Row],[Frequentie weekend]]="","",_xlfn.CONCAT(Ruimtestaat[[#This Row],[Ruimte code]],"-",Ruimtestaat[[#This Row],[Frequentie weekend]]," ",Ruimtestaat[[#This Row],[Vloer code]]))</f>
        <v/>
      </c>
      <c r="BE416" s="300" t="str">
        <f>_xlfn.IFNA(VLOOKUP($BD416,Programma!$F$3:$G$1107,2,0),"")</f>
        <v/>
      </c>
      <c r="BF416" s="300" t="str">
        <f>_xlfn.IFNA(VLOOKUP($BD416,Programma!$F$3:$H$1107,3,0),"")</f>
        <v/>
      </c>
      <c r="BG416" s="300" t="str">
        <f>_xlfn.IFNA(VLOOKUP($BD416,Programma!$F$3:$I$1107,4,0),"")</f>
        <v/>
      </c>
      <c r="BH416" s="300" t="str">
        <f>_xlfn.IFNA(VLOOKUP($BD416,Programma!$F$3:$J$1107,5,0),"")</f>
        <v/>
      </c>
      <c r="BI416" s="300" t="str">
        <f>_xlfn.IFNA(VLOOKUP($BD416,Programma!$F$3:$K$1107,6,0),"")</f>
        <v/>
      </c>
      <c r="BJ416" s="300" t="str">
        <f>_xlfn.IFNA(VLOOKUP($BD416,Programma!$F$3:$L$1107,7,0),"")</f>
        <v/>
      </c>
      <c r="BK416" s="300" t="str">
        <f>_xlfn.IFNA(VLOOKUP($BD416,Programma!$F$3:$M$1107,8,0),"")</f>
        <v/>
      </c>
      <c r="BL416" s="300" t="str">
        <f>_xlfn.IFNA(VLOOKUP($BD416,Programma!$F$3:$N$1107,9,0),"")</f>
        <v/>
      </c>
      <c r="BM416" s="300" t="str">
        <f>_xlfn.IFNA(VLOOKUP($BD416,Programma!$F$3:$O$1107,10,0),"")</f>
        <v/>
      </c>
      <c r="BN416" s="300" t="str">
        <f>_xlfn.IFNA(VLOOKUP($BD416,Programma!$F$3:$P$1107,11,0),"")</f>
        <v/>
      </c>
      <c r="BO416" s="300" t="str">
        <f>_xlfn.IFNA(VLOOKUP($BD416,Programma!$F$3:$Q$1107,12,0),"")</f>
        <v/>
      </c>
      <c r="BP416" s="300" t="str">
        <f>_xlfn.IFNA(VLOOKUP($BD416,Programma!$F$3:$R$1107,13,0),"")</f>
        <v/>
      </c>
      <c r="BQ416" s="300" t="str">
        <f>_xlfn.IFNA(VLOOKUP($BD416,Programma!$F$3:$S$1107,14,0),"")</f>
        <v/>
      </c>
      <c r="BR416" s="300" t="str">
        <f>_xlfn.IFNA(VLOOKUP($BD416,Programma!$F$3:$T$1107,15,0),"")</f>
        <v/>
      </c>
      <c r="BS416" s="300" t="str">
        <f>_xlfn.IFNA(VLOOKUP($BD416,Programma!$F$3:$U$1107,16,0),"")</f>
        <v/>
      </c>
      <c r="BT416" s="300" t="str">
        <f>_xlfn.IFNA(VLOOKUP($BD416,Programma!$F$3:$V$1107,17,0),"")</f>
        <v/>
      </c>
      <c r="BU416" s="300" t="str">
        <f>_xlfn.IFNA(VLOOKUP($BD416,Programma!$F$3:$W$1107,18,0),"")</f>
        <v/>
      </c>
      <c r="BV416" s="300" t="str">
        <f>_xlfn.IFNA(VLOOKUP($BD416,Programma!$F$3:$X$1107,19,0),"")</f>
        <v/>
      </c>
      <c r="BW416" s="300" t="str">
        <f>_xlfn.IFNA(VLOOKUP($BD416,Programma!$F$3:$Y$1107,20,0),"")</f>
        <v/>
      </c>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c r="GK416" s="4"/>
      <c r="GL416" s="4"/>
      <c r="GM416" s="4"/>
      <c r="GN416" s="4"/>
      <c r="GO416" s="4"/>
      <c r="GP416" s="4"/>
      <c r="GQ416" s="4"/>
      <c r="GR416" s="4"/>
      <c r="GS416" s="4"/>
      <c r="GT416" s="4"/>
      <c r="GU416" s="4"/>
      <c r="GV416" s="4"/>
      <c r="GW416" s="4"/>
      <c r="GX416" s="4"/>
      <c r="GY416" s="4"/>
      <c r="GZ416" s="4"/>
      <c r="HA416" s="4"/>
      <c r="HB416" s="4"/>
      <c r="HC416" s="4"/>
      <c r="HD416" s="4"/>
      <c r="HE416" s="4"/>
      <c r="HF416" s="4"/>
      <c r="HG416" s="4"/>
      <c r="HH416" s="4"/>
      <c r="HI416" s="4"/>
      <c r="HJ416" s="4"/>
      <c r="HK416" s="4"/>
      <c r="HL416" s="4"/>
    </row>
    <row r="417" spans="1:220" ht="15" customHeight="1">
      <c r="A417" s="21">
        <v>5</v>
      </c>
      <c r="B417" s="157" t="str">
        <f>VLOOKUP(Ruimtestaat[[#This Row],[Code]],Locaties[[Code]:[Locatie]],2,FALSE)</f>
        <v>François Vatel vmbo</v>
      </c>
      <c r="C417" s="157" t="str">
        <f>VLOOKUP(Ruimtestaat[[#This Row],[Code]],Locaties[[#All],[Code]:[Adres]],4,FALSE)</f>
        <v>Granaathorst 20</v>
      </c>
      <c r="D417" s="157" t="str">
        <f>VLOOKUP(Ruimtestaat[[#This Row],[Code]],Locaties[[#All],[Code]:[Postcode]],5,FALSE)</f>
        <v>2592 TD</v>
      </c>
      <c r="E417" s="157" t="str">
        <f>VLOOKUP(Ruimtestaat[[#This Row],[Code]],Locaties[#All],6,FALSE)</f>
        <v>Den Haag</v>
      </c>
      <c r="F417" s="62"/>
      <c r="G417" s="21" t="s">
        <v>1624</v>
      </c>
      <c r="H417" s="21" t="s">
        <v>1930</v>
      </c>
      <c r="I417" s="62" t="s">
        <v>2067</v>
      </c>
      <c r="J417" s="21">
        <v>20</v>
      </c>
      <c r="K417" s="62" t="str">
        <f>VLOOKUP(Ruimtestaat[[#This Row],[Ruimte code]],Ruimtegroepen[[#All],[Code]:[Ruimte omschrijving]],2,FALSE)</f>
        <v>Niet in Onderhoud</v>
      </c>
      <c r="L417" s="33" t="s">
        <v>101</v>
      </c>
      <c r="M417" s="367" t="s">
        <v>2495</v>
      </c>
      <c r="N417" s="140"/>
      <c r="O417" s="140">
        <v>9</v>
      </c>
      <c r="P417" s="125">
        <f>VLOOKUP(Ruimtestaat[[#This Row],[Ruimte code]],Ruimtegroepen[],4,FALSE)</f>
        <v>0</v>
      </c>
      <c r="Q417" s="125" t="s">
        <v>2532</v>
      </c>
      <c r="R417" s="33"/>
      <c r="S417" s="33"/>
      <c r="T417" s="33">
        <f>IF(R417&gt;0,IF(RIGHT(Ruimtestaat[[#This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17" s="33">
        <f>IF(T417&gt;0,VLOOKUP($J417,Ruimtegroepen[],3,FALSE)*VLOOKUP($L417,Vloersoorten[],3,FALSE)*VLOOKUP($S417,Frequenties[],3,FALSE)*VLOOKUP($A417,Locaties[],3,FALSE),0)</f>
        <v>0</v>
      </c>
      <c r="V417" s="33">
        <f>Ruimtestaat[[#This Row],[Uitvoeringen werkdagen]]*Ruimtestaat[[#This Row],[Oppervlak (netto)]]</f>
        <v>0</v>
      </c>
      <c r="W417" s="154">
        <f>IF(U417&gt;0,Ruimtestaat[[#This Row],[Prest. (m2 /jaar) werkdagen]]/Ruimtestaat[[#This Row],[Norm (m2/uur) werkdagen]],0)</f>
        <v>0</v>
      </c>
      <c r="X417" s="155">
        <f>Ruimtestaat[[#This Row],[uren / jaar werkdagen]]*Tariefsopbouw!$E$35</f>
        <v>0</v>
      </c>
      <c r="Y417" s="33"/>
      <c r="Z417" s="33">
        <f>IF(Ruimtestaat[[#This Row],[Frequentie weekend]]&gt;0,VALUE(LEFT(Y417,1))*R417,0)</f>
        <v>0</v>
      </c>
      <c r="AA417" s="97">
        <f>IF($Z417&gt;0,VLOOKUP($J417,Ruimtegroepen[],3,FALSE)*VLOOKUP($L417,Vloersoorten[],3,FALSE)*VLOOKUP($Y417,Frequenties[],3,FALSE)*VLOOKUP(Ruimtestaat[[#This Row],[Code]],Locaties[],3,FALSE),0)</f>
        <v>0</v>
      </c>
      <c r="AB417" s="97">
        <f>Ruimtestaat[[#This Row],[Uitvoeringen weekend]]*Ruimtestaat[[#This Row],[Oppervlak (netto)]]</f>
        <v>0</v>
      </c>
      <c r="AC417" s="97">
        <f>IF(AA417&gt;0,Ruimtestaat[[#This Row],[Prest. (m2 /jaar) weekend]]/Ruimtestaat[[#This Row],[Norm (m2/uur) weekend]],0)</f>
        <v>0</v>
      </c>
      <c r="AD417" s="155">
        <f>Ruimtestaat[[#This Row],[uren / jaar weekend]]*Tariefsopbouw!$D$40</f>
        <v>0</v>
      </c>
      <c r="AE417" s="154">
        <f>Ruimtestaat[[#This Row],[Prest. (m2 /jaar) weekend]]+Ruimtestaat[[#This Row],[Prest. (m2 /jaar) werkdagen]]</f>
        <v>0</v>
      </c>
      <c r="AF417" s="154">
        <f>Ruimtestaat[[#This Row],[uren / jaar weekend]]+Ruimtestaat[[#This Row],[uren / jaar werkdagen]]</f>
        <v>0</v>
      </c>
      <c r="AG417" s="69">
        <f>Ruimtestaat[[#This Row],[kosten / jaar weekend]]+Ruimtestaat[[#This Row],[kosten / jaar werkdagen]]</f>
        <v>0</v>
      </c>
      <c r="AH417" s="69"/>
      <c r="AI417" s="256" t="str">
        <f>IF(Ruimtestaat[[#This Row],[Frequentie werkdagen]]="","",_xlfn.CONCAT(Ruimtestaat[[#This Row],[Ruimte code]],"-",Ruimtestaat[[#This Row],[Frequentie werkdagen]]," ",Ruimtestaat[[#This Row],[Vloer code]]))</f>
        <v/>
      </c>
      <c r="AJ417" s="300" t="str">
        <f>_xlfn.IFNA(VLOOKUP($AI417,Programma!$F$3:$G$1107,2,0),"")</f>
        <v/>
      </c>
      <c r="AK417" s="300" t="str">
        <f>_xlfn.IFNA(VLOOKUP($AI417,Programma!$F$3:$H$1107,3,0),"")</f>
        <v/>
      </c>
      <c r="AL417" s="300" t="str">
        <f>_xlfn.IFNA(VLOOKUP($AI417,Programma!$F$3:$I$1107,4,0),"")</f>
        <v/>
      </c>
      <c r="AM417" s="300" t="str">
        <f>_xlfn.IFNA(VLOOKUP($AI417,Programma!$F$3:$J$1107,5,0),"")</f>
        <v/>
      </c>
      <c r="AN417" s="300" t="str">
        <f>_xlfn.IFNA(VLOOKUP($AI417,Programma!$F$3:$K$1107,6,0),"")</f>
        <v/>
      </c>
      <c r="AO417" s="300" t="str">
        <f>_xlfn.IFNA(VLOOKUP($AI417,Programma!$F$3:$L$1107,7,0),"")</f>
        <v/>
      </c>
      <c r="AP417" s="300" t="str">
        <f>_xlfn.IFNA(VLOOKUP($AI417,Programma!$F$3:$M$1107,8,0),"")</f>
        <v/>
      </c>
      <c r="AQ417" s="300" t="str">
        <f>_xlfn.IFNA(VLOOKUP($AI417,Programma!$F$3:$N$1107,9,0),"")</f>
        <v/>
      </c>
      <c r="AR417" s="300" t="str">
        <f>_xlfn.IFNA(VLOOKUP($AI417,Programma!$F$3:$O$1107,10,0),"")</f>
        <v/>
      </c>
      <c r="AS417" s="300" t="str">
        <f>_xlfn.IFNA(VLOOKUP($AI417,Programma!$F$3:$P$1107,11,0),"")</f>
        <v/>
      </c>
      <c r="AT417" s="300" t="str">
        <f>_xlfn.IFNA(VLOOKUP($AI417,Programma!$F$3:$Q$1107,12,0),"")</f>
        <v/>
      </c>
      <c r="AU417" s="300" t="str">
        <f>_xlfn.IFNA(VLOOKUP($AI417,Programma!$F$3:$R$1107,13,0),"")</f>
        <v/>
      </c>
      <c r="AV417" s="300" t="str">
        <f>_xlfn.IFNA(VLOOKUP($AI417,Programma!$F$3:$S$1107,14,0),"")</f>
        <v/>
      </c>
      <c r="AW417" s="300" t="str">
        <f>_xlfn.IFNA(VLOOKUP($AI417,Programma!$F$3:$T$1107,15,0),"")</f>
        <v/>
      </c>
      <c r="AX417" s="300" t="str">
        <f>_xlfn.IFNA(VLOOKUP($AI417,Programma!$F$3:$U$1107,16,0),"")</f>
        <v/>
      </c>
      <c r="AY417" s="300" t="str">
        <f>_xlfn.IFNA(VLOOKUP($AI417,Programma!$F$3:$V$1107,17,0),"")</f>
        <v/>
      </c>
      <c r="AZ417" s="300" t="str">
        <f>_xlfn.IFNA(VLOOKUP($AI417,Programma!$F$3:$W$1107,18,0),"")</f>
        <v/>
      </c>
      <c r="BA417" s="300" t="str">
        <f>_xlfn.IFNA(VLOOKUP($AI417,Programma!$F$3:$X$1107,19,0),"")</f>
        <v/>
      </c>
      <c r="BB417" s="300" t="str">
        <f>_xlfn.IFNA(VLOOKUP($AI417,Programma!$F$3:$Y$1107,20,0),"")</f>
        <v/>
      </c>
      <c r="BC417" s="257"/>
      <c r="BD417" s="256" t="str">
        <f>IF(Ruimtestaat[[#This Row],[Frequentie weekend]]="","",_xlfn.CONCAT(Ruimtestaat[[#This Row],[Ruimte code]],"-",Ruimtestaat[[#This Row],[Frequentie weekend]]," ",Ruimtestaat[[#This Row],[Vloer code]]))</f>
        <v/>
      </c>
      <c r="BE417" s="300" t="str">
        <f>_xlfn.IFNA(VLOOKUP($BD417,Programma!$F$3:$G$1107,2,0),"")</f>
        <v/>
      </c>
      <c r="BF417" s="300" t="str">
        <f>_xlfn.IFNA(VLOOKUP($BD417,Programma!$F$3:$H$1107,3,0),"")</f>
        <v/>
      </c>
      <c r="BG417" s="300" t="str">
        <f>_xlfn.IFNA(VLOOKUP($BD417,Programma!$F$3:$I$1107,4,0),"")</f>
        <v/>
      </c>
      <c r="BH417" s="300" t="str">
        <f>_xlfn.IFNA(VLOOKUP($BD417,Programma!$F$3:$J$1107,5,0),"")</f>
        <v/>
      </c>
      <c r="BI417" s="300" t="str">
        <f>_xlfn.IFNA(VLOOKUP($BD417,Programma!$F$3:$K$1107,6,0),"")</f>
        <v/>
      </c>
      <c r="BJ417" s="300" t="str">
        <f>_xlfn.IFNA(VLOOKUP($BD417,Programma!$F$3:$L$1107,7,0),"")</f>
        <v/>
      </c>
      <c r="BK417" s="300" t="str">
        <f>_xlfn.IFNA(VLOOKUP($BD417,Programma!$F$3:$M$1107,8,0),"")</f>
        <v/>
      </c>
      <c r="BL417" s="300" t="str">
        <f>_xlfn.IFNA(VLOOKUP($BD417,Programma!$F$3:$N$1107,9,0),"")</f>
        <v/>
      </c>
      <c r="BM417" s="300" t="str">
        <f>_xlfn.IFNA(VLOOKUP($BD417,Programma!$F$3:$O$1107,10,0),"")</f>
        <v/>
      </c>
      <c r="BN417" s="300" t="str">
        <f>_xlfn.IFNA(VLOOKUP($BD417,Programma!$F$3:$P$1107,11,0),"")</f>
        <v/>
      </c>
      <c r="BO417" s="300" t="str">
        <f>_xlfn.IFNA(VLOOKUP($BD417,Programma!$F$3:$Q$1107,12,0),"")</f>
        <v/>
      </c>
      <c r="BP417" s="300" t="str">
        <f>_xlfn.IFNA(VLOOKUP($BD417,Programma!$F$3:$R$1107,13,0),"")</f>
        <v/>
      </c>
      <c r="BQ417" s="300" t="str">
        <f>_xlfn.IFNA(VLOOKUP($BD417,Programma!$F$3:$S$1107,14,0),"")</f>
        <v/>
      </c>
      <c r="BR417" s="300" t="str">
        <f>_xlfn.IFNA(VLOOKUP($BD417,Programma!$F$3:$T$1107,15,0),"")</f>
        <v/>
      </c>
      <c r="BS417" s="300" t="str">
        <f>_xlfn.IFNA(VLOOKUP($BD417,Programma!$F$3:$U$1107,16,0),"")</f>
        <v/>
      </c>
      <c r="BT417" s="300" t="str">
        <f>_xlfn.IFNA(VLOOKUP($BD417,Programma!$F$3:$V$1107,17,0),"")</f>
        <v/>
      </c>
      <c r="BU417" s="300" t="str">
        <f>_xlfn.IFNA(VLOOKUP($BD417,Programma!$F$3:$W$1107,18,0),"")</f>
        <v/>
      </c>
      <c r="BV417" s="300" t="str">
        <f>_xlfn.IFNA(VLOOKUP($BD417,Programma!$F$3:$X$1107,19,0),"")</f>
        <v/>
      </c>
      <c r="BW417" s="300" t="str">
        <f>_xlfn.IFNA(VLOOKUP($BD417,Programma!$F$3:$Y$1107,20,0),"")</f>
        <v/>
      </c>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c r="GK417" s="4"/>
      <c r="GL417" s="4"/>
      <c r="GM417" s="4"/>
      <c r="GN417" s="4"/>
      <c r="GO417" s="4"/>
      <c r="GP417" s="4"/>
      <c r="GQ417" s="4"/>
      <c r="GR417" s="4"/>
      <c r="GS417" s="4"/>
      <c r="GT417" s="4"/>
      <c r="GU417" s="4"/>
      <c r="GV417" s="4"/>
      <c r="GW417" s="4"/>
      <c r="GX417" s="4"/>
      <c r="GY417" s="4"/>
      <c r="GZ417" s="4"/>
      <c r="HA417" s="4"/>
      <c r="HB417" s="4"/>
      <c r="HC417" s="4"/>
      <c r="HD417" s="4"/>
      <c r="HE417" s="4"/>
      <c r="HF417" s="4"/>
      <c r="HG417" s="4"/>
      <c r="HH417" s="4"/>
      <c r="HI417" s="4"/>
      <c r="HJ417" s="4"/>
      <c r="HK417" s="4"/>
      <c r="HL417" s="4"/>
    </row>
    <row r="418" spans="1:220" ht="15" customHeight="1">
      <c r="A418" s="21">
        <v>5</v>
      </c>
      <c r="B418" s="157" t="str">
        <f>VLOOKUP(Ruimtestaat[[#This Row],[Code]],Locaties[[Code]:[Locatie]],2,FALSE)</f>
        <v>François Vatel vmbo</v>
      </c>
      <c r="C418" s="157" t="str">
        <f>VLOOKUP(Ruimtestaat[[#This Row],[Code]],Locaties[[#All],[Code]:[Adres]],4,FALSE)</f>
        <v>Granaathorst 20</v>
      </c>
      <c r="D418" s="157" t="str">
        <f>VLOOKUP(Ruimtestaat[[#This Row],[Code]],Locaties[[#All],[Code]:[Postcode]],5,FALSE)</f>
        <v>2592 TD</v>
      </c>
      <c r="E418" s="157" t="str">
        <f>VLOOKUP(Ruimtestaat[[#This Row],[Code]],Locaties[#All],6,FALSE)</f>
        <v>Den Haag</v>
      </c>
      <c r="F418" s="62"/>
      <c r="G418" s="21" t="s">
        <v>1624</v>
      </c>
      <c r="H418" s="21" t="s">
        <v>1932</v>
      </c>
      <c r="I418" s="62" t="s">
        <v>2068</v>
      </c>
      <c r="J418" s="21">
        <v>16</v>
      </c>
      <c r="K418" s="62" t="str">
        <f>VLOOKUP(Ruimtestaat[[#This Row],[Ruimte code]],Ruimtegroepen[[#All],[Code]:[Ruimte omschrijving]],2,FALSE)</f>
        <v>Leslokalen theorie</v>
      </c>
      <c r="L418" s="33" t="s">
        <v>101</v>
      </c>
      <c r="M418" s="367" t="s">
        <v>2495</v>
      </c>
      <c r="N418" s="140">
        <v>55</v>
      </c>
      <c r="O418" s="140"/>
      <c r="P418" s="125" t="str">
        <f>VLOOKUP(Ruimtestaat[[#This Row],[Ruimte code]],Ruimtegroepen[],4,FALSE)</f>
        <v>Le</v>
      </c>
      <c r="R418" s="33">
        <v>40</v>
      </c>
      <c r="S418" s="33" t="s">
        <v>2</v>
      </c>
      <c r="T418" s="33">
        <f>IF(R418&gt;0,IF(RIGHT(Ruimtestaat[[#This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8" s="33">
        <f>IF(T418&gt;0,VLOOKUP($J418,Ruimtegroepen[],3,FALSE)*VLOOKUP($L418,Vloersoorten[],3,FALSE)*VLOOKUP($S418,Frequenties[],3,FALSE)*VLOOKUP($A418,Locaties[],3,FALSE),0)</f>
        <v>0</v>
      </c>
      <c r="V418" s="33">
        <f>Ruimtestaat[[#This Row],[Uitvoeringen werkdagen]]*Ruimtestaat[[#This Row],[Oppervlak (netto)]]</f>
        <v>11000</v>
      </c>
      <c r="W418" s="154">
        <f>IF(U418&gt;0,Ruimtestaat[[#This Row],[Prest. (m2 /jaar) werkdagen]]/Ruimtestaat[[#This Row],[Norm (m2/uur) werkdagen]],0)</f>
        <v>0</v>
      </c>
      <c r="X418" s="155">
        <f>Ruimtestaat[[#This Row],[uren / jaar werkdagen]]*Tariefsopbouw!$E$35</f>
        <v>0</v>
      </c>
      <c r="Y418" s="33"/>
      <c r="Z418" s="33">
        <f>IF(Ruimtestaat[[#This Row],[Frequentie weekend]]&gt;0,VALUE(LEFT(Y418,1))*R418,0)</f>
        <v>0</v>
      </c>
      <c r="AA418" s="97">
        <f>IF($Z418&gt;0,VLOOKUP($J418,Ruimtegroepen[],3,FALSE)*VLOOKUP($L418,Vloersoorten[],3,FALSE)*VLOOKUP($Y418,Frequenties[],3,FALSE)*VLOOKUP(Ruimtestaat[[#This Row],[Code]],Locaties[],3,FALSE),0)</f>
        <v>0</v>
      </c>
      <c r="AB418" s="97">
        <f>Ruimtestaat[[#This Row],[Uitvoeringen weekend]]*Ruimtestaat[[#This Row],[Oppervlak (netto)]]</f>
        <v>0</v>
      </c>
      <c r="AC418" s="97">
        <f>IF(AA418&gt;0,Ruimtestaat[[#This Row],[Prest. (m2 /jaar) weekend]]/Ruimtestaat[[#This Row],[Norm (m2/uur) weekend]],0)</f>
        <v>0</v>
      </c>
      <c r="AD418" s="155">
        <f>Ruimtestaat[[#This Row],[uren / jaar weekend]]*Tariefsopbouw!$D$40</f>
        <v>0</v>
      </c>
      <c r="AE418" s="154">
        <f>Ruimtestaat[[#This Row],[Prest. (m2 /jaar) weekend]]+Ruimtestaat[[#This Row],[Prest. (m2 /jaar) werkdagen]]</f>
        <v>11000</v>
      </c>
      <c r="AF418" s="154">
        <f>Ruimtestaat[[#This Row],[uren / jaar weekend]]+Ruimtestaat[[#This Row],[uren / jaar werkdagen]]</f>
        <v>0</v>
      </c>
      <c r="AG418" s="69">
        <f>Ruimtestaat[[#This Row],[kosten / jaar weekend]]+Ruimtestaat[[#This Row],[kosten / jaar werkdagen]]</f>
        <v>0</v>
      </c>
      <c r="AH418" s="69"/>
      <c r="AI418" s="256" t="str">
        <f>IF(Ruimtestaat[[#This Row],[Frequentie werkdagen]]="","",_xlfn.CONCAT(Ruimtestaat[[#This Row],[Ruimte code]],"-",Ruimtestaat[[#This Row],[Frequentie werkdagen]]," ",Ruimtestaat[[#This Row],[Vloer code]]))</f>
        <v>16-5w L</v>
      </c>
      <c r="AJ418" s="300" t="str">
        <f>_xlfn.IFNA(VLOOKUP($AI418,Programma!$F$3:$G$1107,2,0),"")</f>
        <v>_</v>
      </c>
      <c r="AK418" s="300" t="str">
        <f>_xlfn.IFNA(VLOOKUP($AI418,Programma!$F$3:$H$1107,3,0),"")</f>
        <v>_</v>
      </c>
      <c r="AL418" s="300" t="str">
        <f>_xlfn.IFNA(VLOOKUP($AI418,Programma!$F$3:$I$1107,4,0),"")</f>
        <v>4w</v>
      </c>
      <c r="AM418" s="300" t="str">
        <f>_xlfn.IFNA(VLOOKUP($AI418,Programma!$F$3:$J$1107,5,0),"")</f>
        <v>1w</v>
      </c>
      <c r="AN418" s="300" t="str">
        <f>_xlfn.IFNA(VLOOKUP($AI418,Programma!$F$3:$K$1107,6,0),"")</f>
        <v>_</v>
      </c>
      <c r="AO418" s="300" t="str">
        <f>_xlfn.IFNA(VLOOKUP($AI418,Programma!$F$3:$L$1107,7,0),"")</f>
        <v>_</v>
      </c>
      <c r="AP418" s="300" t="str">
        <f>_xlfn.IFNA(VLOOKUP($AI418,Programma!$F$3:$M$1107,8,0),"")</f>
        <v>_</v>
      </c>
      <c r="AQ418" s="300" t="str">
        <f>_xlfn.IFNA(VLOOKUP($AI418,Programma!$F$3:$N$1107,9,0),"")</f>
        <v>_</v>
      </c>
      <c r="AR418" s="300" t="str">
        <f>_xlfn.IFNA(VLOOKUP($AI418,Programma!$F$3:$O$1107,10,0),"")</f>
        <v>5w</v>
      </c>
      <c r="AS418" s="300" t="str">
        <f>_xlfn.IFNA(VLOOKUP($AI418,Programma!$F$3:$P$1107,11,0),"")</f>
        <v>5w</v>
      </c>
      <c r="AT418" s="300" t="str">
        <f>_xlfn.IFNA(VLOOKUP($AI418,Programma!$F$3:$Q$1107,12,0),"")</f>
        <v>1w</v>
      </c>
      <c r="AU418" s="300" t="str">
        <f>_xlfn.IFNA(VLOOKUP($AI418,Programma!$F$3:$R$1107,13,0),"")</f>
        <v>1w</v>
      </c>
      <c r="AV418" s="300" t="str">
        <f>_xlfn.IFNA(VLOOKUP($AI418,Programma!$F$3:$S$1107,14,0),"")</f>
        <v>1m</v>
      </c>
      <c r="AW418" s="300" t="str">
        <f>_xlfn.IFNA(VLOOKUP($AI418,Programma!$F$3:$T$1107,15,0),"")</f>
        <v>2j</v>
      </c>
      <c r="AX418" s="300" t="str">
        <f>_xlfn.IFNA(VLOOKUP($AI418,Programma!$F$3:$U$1107,16,0),"")</f>
        <v>1j</v>
      </c>
      <c r="AY418" s="300" t="str">
        <f>_xlfn.IFNA(VLOOKUP($AI418,Programma!$F$3:$V$1107,17,0),"")</f>
        <v>_</v>
      </c>
      <c r="AZ418" s="300" t="str">
        <f>_xlfn.IFNA(VLOOKUP($AI418,Programma!$F$3:$W$1107,18,0),"")</f>
        <v>_</v>
      </c>
      <c r="BA418" s="300" t="str">
        <f>_xlfn.IFNA(VLOOKUP($AI418,Programma!$F$3:$X$1107,19,0),"")</f>
        <v>_</v>
      </c>
      <c r="BB418" s="300" t="str">
        <f>_xlfn.IFNA(VLOOKUP($AI418,Programma!$F$3:$Y$1107,20,0),"")</f>
        <v>_</v>
      </c>
      <c r="BC418" s="257"/>
      <c r="BD418" s="256" t="str">
        <f>IF(Ruimtestaat[[#This Row],[Frequentie weekend]]="","",_xlfn.CONCAT(Ruimtestaat[[#This Row],[Ruimte code]],"-",Ruimtestaat[[#This Row],[Frequentie weekend]]," ",Ruimtestaat[[#This Row],[Vloer code]]))</f>
        <v/>
      </c>
      <c r="BE418" s="300" t="str">
        <f>_xlfn.IFNA(VLOOKUP($BD418,Programma!$F$3:$G$1107,2,0),"")</f>
        <v/>
      </c>
      <c r="BF418" s="300" t="str">
        <f>_xlfn.IFNA(VLOOKUP($BD418,Programma!$F$3:$H$1107,3,0),"")</f>
        <v/>
      </c>
      <c r="BG418" s="300" t="str">
        <f>_xlfn.IFNA(VLOOKUP($BD418,Programma!$F$3:$I$1107,4,0),"")</f>
        <v/>
      </c>
      <c r="BH418" s="300" t="str">
        <f>_xlfn.IFNA(VLOOKUP($BD418,Programma!$F$3:$J$1107,5,0),"")</f>
        <v/>
      </c>
      <c r="BI418" s="300" t="str">
        <f>_xlfn.IFNA(VLOOKUP($BD418,Programma!$F$3:$K$1107,6,0),"")</f>
        <v/>
      </c>
      <c r="BJ418" s="300" t="str">
        <f>_xlfn.IFNA(VLOOKUP($BD418,Programma!$F$3:$L$1107,7,0),"")</f>
        <v/>
      </c>
      <c r="BK418" s="300" t="str">
        <f>_xlfn.IFNA(VLOOKUP($BD418,Programma!$F$3:$M$1107,8,0),"")</f>
        <v/>
      </c>
      <c r="BL418" s="300" t="str">
        <f>_xlfn.IFNA(VLOOKUP($BD418,Programma!$F$3:$N$1107,9,0),"")</f>
        <v/>
      </c>
      <c r="BM418" s="300" t="str">
        <f>_xlfn.IFNA(VLOOKUP($BD418,Programma!$F$3:$O$1107,10,0),"")</f>
        <v/>
      </c>
      <c r="BN418" s="300" t="str">
        <f>_xlfn.IFNA(VLOOKUP($BD418,Programma!$F$3:$P$1107,11,0),"")</f>
        <v/>
      </c>
      <c r="BO418" s="300" t="str">
        <f>_xlfn.IFNA(VLOOKUP($BD418,Programma!$F$3:$Q$1107,12,0),"")</f>
        <v/>
      </c>
      <c r="BP418" s="300" t="str">
        <f>_xlfn.IFNA(VLOOKUP($BD418,Programma!$F$3:$R$1107,13,0),"")</f>
        <v/>
      </c>
      <c r="BQ418" s="300" t="str">
        <f>_xlfn.IFNA(VLOOKUP($BD418,Programma!$F$3:$S$1107,14,0),"")</f>
        <v/>
      </c>
      <c r="BR418" s="300" t="str">
        <f>_xlfn.IFNA(VLOOKUP($BD418,Programma!$F$3:$T$1107,15,0),"")</f>
        <v/>
      </c>
      <c r="BS418" s="300" t="str">
        <f>_xlfn.IFNA(VLOOKUP($BD418,Programma!$F$3:$U$1107,16,0),"")</f>
        <v/>
      </c>
      <c r="BT418" s="300" t="str">
        <f>_xlfn.IFNA(VLOOKUP($BD418,Programma!$F$3:$V$1107,17,0),"")</f>
        <v/>
      </c>
      <c r="BU418" s="300" t="str">
        <f>_xlfn.IFNA(VLOOKUP($BD418,Programma!$F$3:$W$1107,18,0),"")</f>
        <v/>
      </c>
      <c r="BV418" s="300" t="str">
        <f>_xlfn.IFNA(VLOOKUP($BD418,Programma!$F$3:$X$1107,19,0),"")</f>
        <v/>
      </c>
      <c r="BW418" s="300" t="str">
        <f>_xlfn.IFNA(VLOOKUP($BD418,Programma!$F$3:$Y$1107,20,0),"")</f>
        <v/>
      </c>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c r="GK418" s="4"/>
      <c r="GL418" s="4"/>
      <c r="GM418" s="4"/>
      <c r="GN418" s="4"/>
      <c r="GO418" s="4"/>
      <c r="GP418" s="4"/>
      <c r="GQ418" s="4"/>
      <c r="GR418" s="4"/>
      <c r="GS418" s="4"/>
      <c r="GT418" s="4"/>
      <c r="GU418" s="4"/>
      <c r="GV418" s="4"/>
      <c r="GW418" s="4"/>
      <c r="GX418" s="4"/>
      <c r="GY418" s="4"/>
      <c r="GZ418" s="4"/>
      <c r="HA418" s="4"/>
      <c r="HB418" s="4"/>
      <c r="HC418" s="4"/>
      <c r="HD418" s="4"/>
      <c r="HE418" s="4"/>
      <c r="HF418" s="4"/>
      <c r="HG418" s="4"/>
      <c r="HH418" s="4"/>
      <c r="HI418" s="4"/>
      <c r="HJ418" s="4"/>
      <c r="HK418" s="4"/>
      <c r="HL418" s="4"/>
    </row>
    <row r="419" spans="1:220" ht="15" customHeight="1">
      <c r="A419" s="21">
        <v>5</v>
      </c>
      <c r="B419" s="157" t="str">
        <f>VLOOKUP(Ruimtestaat[[#This Row],[Code]],Locaties[[Code]:[Locatie]],2,FALSE)</f>
        <v>François Vatel vmbo</v>
      </c>
      <c r="C419" s="157" t="str">
        <f>VLOOKUP(Ruimtestaat[[#This Row],[Code]],Locaties[[#All],[Code]:[Adres]],4,FALSE)</f>
        <v>Granaathorst 20</v>
      </c>
      <c r="D419" s="157" t="str">
        <f>VLOOKUP(Ruimtestaat[[#This Row],[Code]],Locaties[[#All],[Code]:[Postcode]],5,FALSE)</f>
        <v>2592 TD</v>
      </c>
      <c r="E419" s="157" t="str">
        <f>VLOOKUP(Ruimtestaat[[#This Row],[Code]],Locaties[#All],6,FALSE)</f>
        <v>Den Haag</v>
      </c>
      <c r="F419" s="62"/>
      <c r="G419" s="21" t="s">
        <v>1624</v>
      </c>
      <c r="H419" s="21" t="s">
        <v>1934</v>
      </c>
      <c r="I419" s="62" t="s">
        <v>2069</v>
      </c>
      <c r="J419" s="21">
        <v>16</v>
      </c>
      <c r="K419" s="62" t="str">
        <f>VLOOKUP(Ruimtestaat[[#This Row],[Ruimte code]],Ruimtegroepen[[#All],[Code]:[Ruimte omschrijving]],2,FALSE)</f>
        <v>Leslokalen theorie</v>
      </c>
      <c r="L419" s="33" t="s">
        <v>101</v>
      </c>
      <c r="M419" s="367" t="s">
        <v>2495</v>
      </c>
      <c r="N419" s="140">
        <v>55</v>
      </c>
      <c r="O419" s="140"/>
      <c r="P419" s="125" t="str">
        <f>VLOOKUP(Ruimtestaat[[#This Row],[Ruimte code]],Ruimtegroepen[],4,FALSE)</f>
        <v>Le</v>
      </c>
      <c r="R419" s="33">
        <v>40</v>
      </c>
      <c r="S419" s="33" t="s">
        <v>2</v>
      </c>
      <c r="T419" s="33">
        <f>IF(R419&gt;0,IF(RIGHT(Ruimtestaat[[#This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9" s="33">
        <f>IF(T419&gt;0,VLOOKUP($J419,Ruimtegroepen[],3,FALSE)*VLOOKUP($L419,Vloersoorten[],3,FALSE)*VLOOKUP($S419,Frequenties[],3,FALSE)*VLOOKUP($A419,Locaties[],3,FALSE),0)</f>
        <v>0</v>
      </c>
      <c r="V419" s="33">
        <f>Ruimtestaat[[#This Row],[Uitvoeringen werkdagen]]*Ruimtestaat[[#This Row],[Oppervlak (netto)]]</f>
        <v>11000</v>
      </c>
      <c r="W419" s="154">
        <f>IF(U419&gt;0,Ruimtestaat[[#This Row],[Prest. (m2 /jaar) werkdagen]]/Ruimtestaat[[#This Row],[Norm (m2/uur) werkdagen]],0)</f>
        <v>0</v>
      </c>
      <c r="X419" s="155">
        <f>Ruimtestaat[[#This Row],[uren / jaar werkdagen]]*Tariefsopbouw!$E$35</f>
        <v>0</v>
      </c>
      <c r="Y419" s="33"/>
      <c r="Z419" s="33">
        <f>IF(Ruimtestaat[[#This Row],[Frequentie weekend]]&gt;0,VALUE(LEFT(Y419,1))*R419,0)</f>
        <v>0</v>
      </c>
      <c r="AA419" s="97">
        <f>IF($Z419&gt;0,VLOOKUP($J419,Ruimtegroepen[],3,FALSE)*VLOOKUP($L419,Vloersoorten[],3,FALSE)*VLOOKUP($Y419,Frequenties[],3,FALSE)*VLOOKUP(Ruimtestaat[[#This Row],[Code]],Locaties[],3,FALSE),0)</f>
        <v>0</v>
      </c>
      <c r="AB419" s="97">
        <f>Ruimtestaat[[#This Row],[Uitvoeringen weekend]]*Ruimtestaat[[#This Row],[Oppervlak (netto)]]</f>
        <v>0</v>
      </c>
      <c r="AC419" s="97">
        <f>IF(AA419&gt;0,Ruimtestaat[[#This Row],[Prest. (m2 /jaar) weekend]]/Ruimtestaat[[#This Row],[Norm (m2/uur) weekend]],0)</f>
        <v>0</v>
      </c>
      <c r="AD419" s="155">
        <f>Ruimtestaat[[#This Row],[uren / jaar weekend]]*Tariefsopbouw!$D$40</f>
        <v>0</v>
      </c>
      <c r="AE419" s="154">
        <f>Ruimtestaat[[#This Row],[Prest. (m2 /jaar) weekend]]+Ruimtestaat[[#This Row],[Prest. (m2 /jaar) werkdagen]]</f>
        <v>11000</v>
      </c>
      <c r="AF419" s="154">
        <f>Ruimtestaat[[#This Row],[uren / jaar weekend]]+Ruimtestaat[[#This Row],[uren / jaar werkdagen]]</f>
        <v>0</v>
      </c>
      <c r="AG419" s="69">
        <f>Ruimtestaat[[#This Row],[kosten / jaar weekend]]+Ruimtestaat[[#This Row],[kosten / jaar werkdagen]]</f>
        <v>0</v>
      </c>
      <c r="AH419" s="69"/>
      <c r="AI419" s="256" t="str">
        <f>IF(Ruimtestaat[[#This Row],[Frequentie werkdagen]]="","",_xlfn.CONCAT(Ruimtestaat[[#This Row],[Ruimte code]],"-",Ruimtestaat[[#This Row],[Frequentie werkdagen]]," ",Ruimtestaat[[#This Row],[Vloer code]]))</f>
        <v>16-5w L</v>
      </c>
      <c r="AJ419" s="300" t="str">
        <f>_xlfn.IFNA(VLOOKUP($AI419,Programma!$F$3:$G$1107,2,0),"")</f>
        <v>_</v>
      </c>
      <c r="AK419" s="300" t="str">
        <f>_xlfn.IFNA(VLOOKUP($AI419,Programma!$F$3:$H$1107,3,0),"")</f>
        <v>_</v>
      </c>
      <c r="AL419" s="300" t="str">
        <f>_xlfn.IFNA(VLOOKUP($AI419,Programma!$F$3:$I$1107,4,0),"")</f>
        <v>4w</v>
      </c>
      <c r="AM419" s="300" t="str">
        <f>_xlfn.IFNA(VLOOKUP($AI419,Programma!$F$3:$J$1107,5,0),"")</f>
        <v>1w</v>
      </c>
      <c r="AN419" s="300" t="str">
        <f>_xlfn.IFNA(VLOOKUP($AI419,Programma!$F$3:$K$1107,6,0),"")</f>
        <v>_</v>
      </c>
      <c r="AO419" s="300" t="str">
        <f>_xlfn.IFNA(VLOOKUP($AI419,Programma!$F$3:$L$1107,7,0),"")</f>
        <v>_</v>
      </c>
      <c r="AP419" s="300" t="str">
        <f>_xlfn.IFNA(VLOOKUP($AI419,Programma!$F$3:$M$1107,8,0),"")</f>
        <v>_</v>
      </c>
      <c r="AQ419" s="300" t="str">
        <f>_xlfn.IFNA(VLOOKUP($AI419,Programma!$F$3:$N$1107,9,0),"")</f>
        <v>_</v>
      </c>
      <c r="AR419" s="300" t="str">
        <f>_xlfn.IFNA(VLOOKUP($AI419,Programma!$F$3:$O$1107,10,0),"")</f>
        <v>5w</v>
      </c>
      <c r="AS419" s="300" t="str">
        <f>_xlfn.IFNA(VLOOKUP($AI419,Programma!$F$3:$P$1107,11,0),"")</f>
        <v>5w</v>
      </c>
      <c r="AT419" s="300" t="str">
        <f>_xlfn.IFNA(VLOOKUP($AI419,Programma!$F$3:$Q$1107,12,0),"")</f>
        <v>1w</v>
      </c>
      <c r="AU419" s="300" t="str">
        <f>_xlfn.IFNA(VLOOKUP($AI419,Programma!$F$3:$R$1107,13,0),"")</f>
        <v>1w</v>
      </c>
      <c r="AV419" s="300" t="str">
        <f>_xlfn.IFNA(VLOOKUP($AI419,Programma!$F$3:$S$1107,14,0),"")</f>
        <v>1m</v>
      </c>
      <c r="AW419" s="300" t="str">
        <f>_xlfn.IFNA(VLOOKUP($AI419,Programma!$F$3:$T$1107,15,0),"")</f>
        <v>2j</v>
      </c>
      <c r="AX419" s="300" t="str">
        <f>_xlfn.IFNA(VLOOKUP($AI419,Programma!$F$3:$U$1107,16,0),"")</f>
        <v>1j</v>
      </c>
      <c r="AY419" s="300" t="str">
        <f>_xlfn.IFNA(VLOOKUP($AI419,Programma!$F$3:$V$1107,17,0),"")</f>
        <v>_</v>
      </c>
      <c r="AZ419" s="300" t="str">
        <f>_xlfn.IFNA(VLOOKUP($AI419,Programma!$F$3:$W$1107,18,0),"")</f>
        <v>_</v>
      </c>
      <c r="BA419" s="300" t="str">
        <f>_xlfn.IFNA(VLOOKUP($AI419,Programma!$F$3:$X$1107,19,0),"")</f>
        <v>_</v>
      </c>
      <c r="BB419" s="300" t="str">
        <f>_xlfn.IFNA(VLOOKUP($AI419,Programma!$F$3:$Y$1107,20,0),"")</f>
        <v>_</v>
      </c>
      <c r="BC419" s="257"/>
      <c r="BD419" s="256" t="str">
        <f>IF(Ruimtestaat[[#This Row],[Frequentie weekend]]="","",_xlfn.CONCAT(Ruimtestaat[[#This Row],[Ruimte code]],"-",Ruimtestaat[[#This Row],[Frequentie weekend]]," ",Ruimtestaat[[#This Row],[Vloer code]]))</f>
        <v/>
      </c>
      <c r="BE419" s="300" t="str">
        <f>_xlfn.IFNA(VLOOKUP($BD419,Programma!$F$3:$G$1107,2,0),"")</f>
        <v/>
      </c>
      <c r="BF419" s="300" t="str">
        <f>_xlfn.IFNA(VLOOKUP($BD419,Programma!$F$3:$H$1107,3,0),"")</f>
        <v/>
      </c>
      <c r="BG419" s="300" t="str">
        <f>_xlfn.IFNA(VLOOKUP($BD419,Programma!$F$3:$I$1107,4,0),"")</f>
        <v/>
      </c>
      <c r="BH419" s="300" t="str">
        <f>_xlfn.IFNA(VLOOKUP($BD419,Programma!$F$3:$J$1107,5,0),"")</f>
        <v/>
      </c>
      <c r="BI419" s="300" t="str">
        <f>_xlfn.IFNA(VLOOKUP($BD419,Programma!$F$3:$K$1107,6,0),"")</f>
        <v/>
      </c>
      <c r="BJ419" s="300" t="str">
        <f>_xlfn.IFNA(VLOOKUP($BD419,Programma!$F$3:$L$1107,7,0),"")</f>
        <v/>
      </c>
      <c r="BK419" s="300" t="str">
        <f>_xlfn.IFNA(VLOOKUP($BD419,Programma!$F$3:$M$1107,8,0),"")</f>
        <v/>
      </c>
      <c r="BL419" s="300" t="str">
        <f>_xlfn.IFNA(VLOOKUP($BD419,Programma!$F$3:$N$1107,9,0),"")</f>
        <v/>
      </c>
      <c r="BM419" s="300" t="str">
        <f>_xlfn.IFNA(VLOOKUP($BD419,Programma!$F$3:$O$1107,10,0),"")</f>
        <v/>
      </c>
      <c r="BN419" s="300" t="str">
        <f>_xlfn.IFNA(VLOOKUP($BD419,Programma!$F$3:$P$1107,11,0),"")</f>
        <v/>
      </c>
      <c r="BO419" s="300" t="str">
        <f>_xlfn.IFNA(VLOOKUP($BD419,Programma!$F$3:$Q$1107,12,0),"")</f>
        <v/>
      </c>
      <c r="BP419" s="300" t="str">
        <f>_xlfn.IFNA(VLOOKUP($BD419,Programma!$F$3:$R$1107,13,0),"")</f>
        <v/>
      </c>
      <c r="BQ419" s="300" t="str">
        <f>_xlfn.IFNA(VLOOKUP($BD419,Programma!$F$3:$S$1107,14,0),"")</f>
        <v/>
      </c>
      <c r="BR419" s="300" t="str">
        <f>_xlfn.IFNA(VLOOKUP($BD419,Programma!$F$3:$T$1107,15,0),"")</f>
        <v/>
      </c>
      <c r="BS419" s="300" t="str">
        <f>_xlfn.IFNA(VLOOKUP($BD419,Programma!$F$3:$U$1107,16,0),"")</f>
        <v/>
      </c>
      <c r="BT419" s="300" t="str">
        <f>_xlfn.IFNA(VLOOKUP($BD419,Programma!$F$3:$V$1107,17,0),"")</f>
        <v/>
      </c>
      <c r="BU419" s="300" t="str">
        <f>_xlfn.IFNA(VLOOKUP($BD419,Programma!$F$3:$W$1107,18,0),"")</f>
        <v/>
      </c>
      <c r="BV419" s="300" t="str">
        <f>_xlfn.IFNA(VLOOKUP($BD419,Programma!$F$3:$X$1107,19,0),"")</f>
        <v/>
      </c>
      <c r="BW419" s="300" t="str">
        <f>_xlfn.IFNA(VLOOKUP($BD419,Programma!$F$3:$Y$1107,20,0),"")</f>
        <v/>
      </c>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c r="GK419" s="4"/>
      <c r="GL419" s="4"/>
      <c r="GM419" s="4"/>
      <c r="GN419" s="4"/>
      <c r="GO419" s="4"/>
      <c r="GP419" s="4"/>
      <c r="GQ419" s="4"/>
      <c r="GR419" s="4"/>
      <c r="GS419" s="4"/>
      <c r="GT419" s="4"/>
      <c r="GU419" s="4"/>
      <c r="GV419" s="4"/>
      <c r="GW419" s="4"/>
      <c r="GX419" s="4"/>
      <c r="GY419" s="4"/>
      <c r="GZ419" s="4"/>
      <c r="HA419" s="4"/>
      <c r="HB419" s="4"/>
      <c r="HC419" s="4"/>
      <c r="HD419" s="4"/>
      <c r="HE419" s="4"/>
      <c r="HF419" s="4"/>
      <c r="HG419" s="4"/>
      <c r="HH419" s="4"/>
      <c r="HI419" s="4"/>
      <c r="HJ419" s="4"/>
      <c r="HK419" s="4"/>
      <c r="HL419" s="4"/>
    </row>
    <row r="420" spans="1:220" ht="15" customHeight="1">
      <c r="A420" s="21">
        <v>5</v>
      </c>
      <c r="B420" s="157" t="str">
        <f>VLOOKUP(Ruimtestaat[[#This Row],[Code]],Locaties[[Code]:[Locatie]],2,FALSE)</f>
        <v>François Vatel vmbo</v>
      </c>
      <c r="C420" s="157" t="str">
        <f>VLOOKUP(Ruimtestaat[[#This Row],[Code]],Locaties[[#All],[Code]:[Adres]],4,FALSE)</f>
        <v>Granaathorst 20</v>
      </c>
      <c r="D420" s="157" t="str">
        <f>VLOOKUP(Ruimtestaat[[#This Row],[Code]],Locaties[[#All],[Code]:[Postcode]],5,FALSE)</f>
        <v>2592 TD</v>
      </c>
      <c r="E420" s="157" t="str">
        <f>VLOOKUP(Ruimtestaat[[#This Row],[Code]],Locaties[#All],6,FALSE)</f>
        <v>Den Haag</v>
      </c>
      <c r="F420" s="62"/>
      <c r="G420" s="21" t="s">
        <v>1624</v>
      </c>
      <c r="H420" s="21" t="s">
        <v>1936</v>
      </c>
      <c r="I420" s="62" t="s">
        <v>1686</v>
      </c>
      <c r="J420" s="21">
        <v>16</v>
      </c>
      <c r="K420" s="62" t="str">
        <f>VLOOKUP(Ruimtestaat[[#This Row],[Ruimte code]],Ruimtegroepen[[#All],[Code]:[Ruimte omschrijving]],2,FALSE)</f>
        <v>Leslokalen theorie</v>
      </c>
      <c r="L420" s="33" t="s">
        <v>101</v>
      </c>
      <c r="M420" s="367" t="s">
        <v>2495</v>
      </c>
      <c r="N420" s="140">
        <v>60</v>
      </c>
      <c r="O420" s="140"/>
      <c r="P420" s="125" t="str">
        <f>VLOOKUP(Ruimtestaat[[#This Row],[Ruimte code]],Ruimtegroepen[],4,FALSE)</f>
        <v>Le</v>
      </c>
      <c r="R420" s="33">
        <v>40</v>
      </c>
      <c r="S420" s="33" t="s">
        <v>2</v>
      </c>
      <c r="T420" s="33">
        <f>IF(R420&gt;0,IF(RIGHT(Ruimtestaat[[#This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0" s="33">
        <f>IF(T420&gt;0,VLOOKUP($J420,Ruimtegroepen[],3,FALSE)*VLOOKUP($L420,Vloersoorten[],3,FALSE)*VLOOKUP($S420,Frequenties[],3,FALSE)*VLOOKUP($A420,Locaties[],3,FALSE),0)</f>
        <v>0</v>
      </c>
      <c r="V420" s="33">
        <f>Ruimtestaat[[#This Row],[Uitvoeringen werkdagen]]*Ruimtestaat[[#This Row],[Oppervlak (netto)]]</f>
        <v>12000</v>
      </c>
      <c r="W420" s="154">
        <f>IF(U420&gt;0,Ruimtestaat[[#This Row],[Prest. (m2 /jaar) werkdagen]]/Ruimtestaat[[#This Row],[Norm (m2/uur) werkdagen]],0)</f>
        <v>0</v>
      </c>
      <c r="X420" s="155">
        <f>Ruimtestaat[[#This Row],[uren / jaar werkdagen]]*Tariefsopbouw!$E$35</f>
        <v>0</v>
      </c>
      <c r="Y420" s="33"/>
      <c r="Z420" s="33">
        <f>IF(Ruimtestaat[[#This Row],[Frequentie weekend]]&gt;0,VALUE(LEFT(Y420,1))*R420,0)</f>
        <v>0</v>
      </c>
      <c r="AA420" s="97">
        <f>IF($Z420&gt;0,VLOOKUP($J420,Ruimtegroepen[],3,FALSE)*VLOOKUP($L420,Vloersoorten[],3,FALSE)*VLOOKUP($Y420,Frequenties[],3,FALSE)*VLOOKUP(Ruimtestaat[[#This Row],[Code]],Locaties[],3,FALSE),0)</f>
        <v>0</v>
      </c>
      <c r="AB420" s="97">
        <f>Ruimtestaat[[#This Row],[Uitvoeringen weekend]]*Ruimtestaat[[#This Row],[Oppervlak (netto)]]</f>
        <v>0</v>
      </c>
      <c r="AC420" s="97">
        <f>IF(AA420&gt;0,Ruimtestaat[[#This Row],[Prest. (m2 /jaar) weekend]]/Ruimtestaat[[#This Row],[Norm (m2/uur) weekend]],0)</f>
        <v>0</v>
      </c>
      <c r="AD420" s="155">
        <f>Ruimtestaat[[#This Row],[uren / jaar weekend]]*Tariefsopbouw!$D$40</f>
        <v>0</v>
      </c>
      <c r="AE420" s="154">
        <f>Ruimtestaat[[#This Row],[Prest. (m2 /jaar) weekend]]+Ruimtestaat[[#This Row],[Prest. (m2 /jaar) werkdagen]]</f>
        <v>12000</v>
      </c>
      <c r="AF420" s="154">
        <f>Ruimtestaat[[#This Row],[uren / jaar weekend]]+Ruimtestaat[[#This Row],[uren / jaar werkdagen]]</f>
        <v>0</v>
      </c>
      <c r="AG420" s="69">
        <f>Ruimtestaat[[#This Row],[kosten / jaar weekend]]+Ruimtestaat[[#This Row],[kosten / jaar werkdagen]]</f>
        <v>0</v>
      </c>
      <c r="AH420" s="69"/>
      <c r="AI420" s="256" t="str">
        <f>IF(Ruimtestaat[[#This Row],[Frequentie werkdagen]]="","",_xlfn.CONCAT(Ruimtestaat[[#This Row],[Ruimte code]],"-",Ruimtestaat[[#This Row],[Frequentie werkdagen]]," ",Ruimtestaat[[#This Row],[Vloer code]]))</f>
        <v>16-5w L</v>
      </c>
      <c r="AJ420" s="300" t="str">
        <f>_xlfn.IFNA(VLOOKUP($AI420,Programma!$F$3:$G$1107,2,0),"")</f>
        <v>_</v>
      </c>
      <c r="AK420" s="300" t="str">
        <f>_xlfn.IFNA(VLOOKUP($AI420,Programma!$F$3:$H$1107,3,0),"")</f>
        <v>_</v>
      </c>
      <c r="AL420" s="300" t="str">
        <f>_xlfn.IFNA(VLOOKUP($AI420,Programma!$F$3:$I$1107,4,0),"")</f>
        <v>4w</v>
      </c>
      <c r="AM420" s="300" t="str">
        <f>_xlfn.IFNA(VLOOKUP($AI420,Programma!$F$3:$J$1107,5,0),"")</f>
        <v>1w</v>
      </c>
      <c r="AN420" s="300" t="str">
        <f>_xlfn.IFNA(VLOOKUP($AI420,Programma!$F$3:$K$1107,6,0),"")</f>
        <v>_</v>
      </c>
      <c r="AO420" s="300" t="str">
        <f>_xlfn.IFNA(VLOOKUP($AI420,Programma!$F$3:$L$1107,7,0),"")</f>
        <v>_</v>
      </c>
      <c r="AP420" s="300" t="str">
        <f>_xlfn.IFNA(VLOOKUP($AI420,Programma!$F$3:$M$1107,8,0),"")</f>
        <v>_</v>
      </c>
      <c r="AQ420" s="300" t="str">
        <f>_xlfn.IFNA(VLOOKUP($AI420,Programma!$F$3:$N$1107,9,0),"")</f>
        <v>_</v>
      </c>
      <c r="AR420" s="300" t="str">
        <f>_xlfn.IFNA(VLOOKUP($AI420,Programma!$F$3:$O$1107,10,0),"")</f>
        <v>5w</v>
      </c>
      <c r="AS420" s="300" t="str">
        <f>_xlfn.IFNA(VLOOKUP($AI420,Programma!$F$3:$P$1107,11,0),"")</f>
        <v>5w</v>
      </c>
      <c r="AT420" s="300" t="str">
        <f>_xlfn.IFNA(VLOOKUP($AI420,Programma!$F$3:$Q$1107,12,0),"")</f>
        <v>1w</v>
      </c>
      <c r="AU420" s="300" t="str">
        <f>_xlfn.IFNA(VLOOKUP($AI420,Programma!$F$3:$R$1107,13,0),"")</f>
        <v>1w</v>
      </c>
      <c r="AV420" s="300" t="str">
        <f>_xlfn.IFNA(VLOOKUP($AI420,Programma!$F$3:$S$1107,14,0),"")</f>
        <v>1m</v>
      </c>
      <c r="AW420" s="300" t="str">
        <f>_xlfn.IFNA(VLOOKUP($AI420,Programma!$F$3:$T$1107,15,0),"")</f>
        <v>2j</v>
      </c>
      <c r="AX420" s="300" t="str">
        <f>_xlfn.IFNA(VLOOKUP($AI420,Programma!$F$3:$U$1107,16,0),"")</f>
        <v>1j</v>
      </c>
      <c r="AY420" s="300" t="str">
        <f>_xlfn.IFNA(VLOOKUP($AI420,Programma!$F$3:$V$1107,17,0),"")</f>
        <v>_</v>
      </c>
      <c r="AZ420" s="300" t="str">
        <f>_xlfn.IFNA(VLOOKUP($AI420,Programma!$F$3:$W$1107,18,0),"")</f>
        <v>_</v>
      </c>
      <c r="BA420" s="300" t="str">
        <f>_xlfn.IFNA(VLOOKUP($AI420,Programma!$F$3:$X$1107,19,0),"")</f>
        <v>_</v>
      </c>
      <c r="BB420" s="300" t="str">
        <f>_xlfn.IFNA(VLOOKUP($AI420,Programma!$F$3:$Y$1107,20,0),"")</f>
        <v>_</v>
      </c>
      <c r="BC420" s="257"/>
      <c r="BD420" s="256" t="str">
        <f>IF(Ruimtestaat[[#This Row],[Frequentie weekend]]="","",_xlfn.CONCAT(Ruimtestaat[[#This Row],[Ruimte code]],"-",Ruimtestaat[[#This Row],[Frequentie weekend]]," ",Ruimtestaat[[#This Row],[Vloer code]]))</f>
        <v/>
      </c>
      <c r="BE420" s="300" t="str">
        <f>_xlfn.IFNA(VLOOKUP($BD420,Programma!$F$3:$G$1107,2,0),"")</f>
        <v/>
      </c>
      <c r="BF420" s="300" t="str">
        <f>_xlfn.IFNA(VLOOKUP($BD420,Programma!$F$3:$H$1107,3,0),"")</f>
        <v/>
      </c>
      <c r="BG420" s="300" t="str">
        <f>_xlfn.IFNA(VLOOKUP($BD420,Programma!$F$3:$I$1107,4,0),"")</f>
        <v/>
      </c>
      <c r="BH420" s="300" t="str">
        <f>_xlfn.IFNA(VLOOKUP($BD420,Programma!$F$3:$J$1107,5,0),"")</f>
        <v/>
      </c>
      <c r="BI420" s="300" t="str">
        <f>_xlfn.IFNA(VLOOKUP($BD420,Programma!$F$3:$K$1107,6,0),"")</f>
        <v/>
      </c>
      <c r="BJ420" s="300" t="str">
        <f>_xlfn.IFNA(VLOOKUP($BD420,Programma!$F$3:$L$1107,7,0),"")</f>
        <v/>
      </c>
      <c r="BK420" s="300" t="str">
        <f>_xlfn.IFNA(VLOOKUP($BD420,Programma!$F$3:$M$1107,8,0),"")</f>
        <v/>
      </c>
      <c r="BL420" s="300" t="str">
        <f>_xlfn.IFNA(VLOOKUP($BD420,Programma!$F$3:$N$1107,9,0),"")</f>
        <v/>
      </c>
      <c r="BM420" s="300" t="str">
        <f>_xlfn.IFNA(VLOOKUP($BD420,Programma!$F$3:$O$1107,10,0),"")</f>
        <v/>
      </c>
      <c r="BN420" s="300" t="str">
        <f>_xlfn.IFNA(VLOOKUP($BD420,Programma!$F$3:$P$1107,11,0),"")</f>
        <v/>
      </c>
      <c r="BO420" s="300" t="str">
        <f>_xlfn.IFNA(VLOOKUP($BD420,Programma!$F$3:$Q$1107,12,0),"")</f>
        <v/>
      </c>
      <c r="BP420" s="300" t="str">
        <f>_xlfn.IFNA(VLOOKUP($BD420,Programma!$F$3:$R$1107,13,0),"")</f>
        <v/>
      </c>
      <c r="BQ420" s="300" t="str">
        <f>_xlfn.IFNA(VLOOKUP($BD420,Programma!$F$3:$S$1107,14,0),"")</f>
        <v/>
      </c>
      <c r="BR420" s="300" t="str">
        <f>_xlfn.IFNA(VLOOKUP($BD420,Programma!$F$3:$T$1107,15,0),"")</f>
        <v/>
      </c>
      <c r="BS420" s="300" t="str">
        <f>_xlfn.IFNA(VLOOKUP($BD420,Programma!$F$3:$U$1107,16,0),"")</f>
        <v/>
      </c>
      <c r="BT420" s="300" t="str">
        <f>_xlfn.IFNA(VLOOKUP($BD420,Programma!$F$3:$V$1107,17,0),"")</f>
        <v/>
      </c>
      <c r="BU420" s="300" t="str">
        <f>_xlfn.IFNA(VLOOKUP($BD420,Programma!$F$3:$W$1107,18,0),"")</f>
        <v/>
      </c>
      <c r="BV420" s="300" t="str">
        <f>_xlfn.IFNA(VLOOKUP($BD420,Programma!$F$3:$X$1107,19,0),"")</f>
        <v/>
      </c>
      <c r="BW420" s="300" t="str">
        <f>_xlfn.IFNA(VLOOKUP($BD420,Programma!$F$3:$Y$1107,20,0),"")</f>
        <v/>
      </c>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c r="GK420" s="4"/>
      <c r="GL420" s="4"/>
      <c r="GM420" s="4"/>
      <c r="GN420" s="4"/>
      <c r="GO420" s="4"/>
      <c r="GP420" s="4"/>
      <c r="GQ420" s="4"/>
      <c r="GR420" s="4"/>
      <c r="GS420" s="4"/>
      <c r="GT420" s="4"/>
      <c r="GU420" s="4"/>
      <c r="GV420" s="4"/>
      <c r="GW420" s="4"/>
      <c r="GX420" s="4"/>
      <c r="GY420" s="4"/>
      <c r="GZ420" s="4"/>
      <c r="HA420" s="4"/>
      <c r="HB420" s="4"/>
      <c r="HC420" s="4"/>
      <c r="HD420" s="4"/>
      <c r="HE420" s="4"/>
      <c r="HF420" s="4"/>
      <c r="HG420" s="4"/>
      <c r="HH420" s="4"/>
      <c r="HI420" s="4"/>
      <c r="HJ420" s="4"/>
      <c r="HK420" s="4"/>
      <c r="HL420" s="4"/>
    </row>
    <row r="421" spans="1:220" ht="15" customHeight="1">
      <c r="A421" s="21">
        <v>5</v>
      </c>
      <c r="B421" s="157" t="str">
        <f>VLOOKUP(Ruimtestaat[[#This Row],[Code]],Locaties[[Code]:[Locatie]],2,FALSE)</f>
        <v>François Vatel vmbo</v>
      </c>
      <c r="C421" s="157" t="str">
        <f>VLOOKUP(Ruimtestaat[[#This Row],[Code]],Locaties[[#All],[Code]:[Adres]],4,FALSE)</f>
        <v>Granaathorst 20</v>
      </c>
      <c r="D421" s="157" t="str">
        <f>VLOOKUP(Ruimtestaat[[#This Row],[Code]],Locaties[[#All],[Code]:[Postcode]],5,FALSE)</f>
        <v>2592 TD</v>
      </c>
      <c r="E421" s="157" t="str">
        <f>VLOOKUP(Ruimtestaat[[#This Row],[Code]],Locaties[#All],6,FALSE)</f>
        <v>Den Haag</v>
      </c>
      <c r="F421" s="62"/>
      <c r="G421" s="21" t="s">
        <v>1624</v>
      </c>
      <c r="H421" s="21" t="s">
        <v>1938</v>
      </c>
      <c r="I421" s="62" t="s">
        <v>2070</v>
      </c>
      <c r="J421" s="21">
        <v>20</v>
      </c>
      <c r="K421" s="62" t="str">
        <f>VLOOKUP(Ruimtestaat[[#This Row],[Ruimte code]],Ruimtegroepen[[#All],[Code]:[Ruimte omschrijving]],2,FALSE)</f>
        <v>Niet in Onderhoud</v>
      </c>
      <c r="L421" s="33" t="s">
        <v>101</v>
      </c>
      <c r="M421" s="367" t="s">
        <v>2495</v>
      </c>
      <c r="N421" s="140"/>
      <c r="O421" s="140">
        <v>9</v>
      </c>
      <c r="P421" s="125">
        <f>VLOOKUP(Ruimtestaat[[#This Row],[Ruimte code]],Ruimtegroepen[],4,FALSE)</f>
        <v>0</v>
      </c>
      <c r="Q421" s="125" t="s">
        <v>2532</v>
      </c>
      <c r="R421" s="33"/>
      <c r="S421" s="33"/>
      <c r="T421" s="33">
        <f>IF(R421&gt;0,IF(RIGHT(Ruimtestaat[[#This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21" s="33">
        <f>IF(T421&gt;0,VLOOKUP($J421,Ruimtegroepen[],3,FALSE)*VLOOKUP($L421,Vloersoorten[],3,FALSE)*VLOOKUP($S421,Frequenties[],3,FALSE)*VLOOKUP($A421,Locaties[],3,FALSE),0)</f>
        <v>0</v>
      </c>
      <c r="V421" s="33">
        <f>Ruimtestaat[[#This Row],[Uitvoeringen werkdagen]]*Ruimtestaat[[#This Row],[Oppervlak (netto)]]</f>
        <v>0</v>
      </c>
      <c r="W421" s="154">
        <f>IF(U421&gt;0,Ruimtestaat[[#This Row],[Prest. (m2 /jaar) werkdagen]]/Ruimtestaat[[#This Row],[Norm (m2/uur) werkdagen]],0)</f>
        <v>0</v>
      </c>
      <c r="X421" s="155">
        <f>Ruimtestaat[[#This Row],[uren / jaar werkdagen]]*Tariefsopbouw!$E$35</f>
        <v>0</v>
      </c>
      <c r="Y421" s="33"/>
      <c r="Z421" s="33">
        <f>IF(Ruimtestaat[[#This Row],[Frequentie weekend]]&gt;0,VALUE(LEFT(Y421,1))*R421,0)</f>
        <v>0</v>
      </c>
      <c r="AA421" s="97">
        <f>IF($Z421&gt;0,VLOOKUP($J421,Ruimtegroepen[],3,FALSE)*VLOOKUP($L421,Vloersoorten[],3,FALSE)*VLOOKUP($Y421,Frequenties[],3,FALSE)*VLOOKUP(Ruimtestaat[[#This Row],[Code]],Locaties[],3,FALSE),0)</f>
        <v>0</v>
      </c>
      <c r="AB421" s="97">
        <f>Ruimtestaat[[#This Row],[Uitvoeringen weekend]]*Ruimtestaat[[#This Row],[Oppervlak (netto)]]</f>
        <v>0</v>
      </c>
      <c r="AC421" s="97">
        <f>IF(AA421&gt;0,Ruimtestaat[[#This Row],[Prest. (m2 /jaar) weekend]]/Ruimtestaat[[#This Row],[Norm (m2/uur) weekend]],0)</f>
        <v>0</v>
      </c>
      <c r="AD421" s="155">
        <f>Ruimtestaat[[#This Row],[uren / jaar weekend]]*Tariefsopbouw!$D$40</f>
        <v>0</v>
      </c>
      <c r="AE421" s="154">
        <f>Ruimtestaat[[#This Row],[Prest. (m2 /jaar) weekend]]+Ruimtestaat[[#This Row],[Prest. (m2 /jaar) werkdagen]]</f>
        <v>0</v>
      </c>
      <c r="AF421" s="154">
        <f>Ruimtestaat[[#This Row],[uren / jaar weekend]]+Ruimtestaat[[#This Row],[uren / jaar werkdagen]]</f>
        <v>0</v>
      </c>
      <c r="AG421" s="69">
        <f>Ruimtestaat[[#This Row],[kosten / jaar weekend]]+Ruimtestaat[[#This Row],[kosten / jaar werkdagen]]</f>
        <v>0</v>
      </c>
      <c r="AH421" s="69"/>
      <c r="AI421" s="256" t="str">
        <f>IF(Ruimtestaat[[#This Row],[Frequentie werkdagen]]="","",_xlfn.CONCAT(Ruimtestaat[[#This Row],[Ruimte code]],"-",Ruimtestaat[[#This Row],[Frequentie werkdagen]]," ",Ruimtestaat[[#This Row],[Vloer code]]))</f>
        <v/>
      </c>
      <c r="AJ421" s="300" t="str">
        <f>_xlfn.IFNA(VLOOKUP($AI421,Programma!$F$3:$G$1107,2,0),"")</f>
        <v/>
      </c>
      <c r="AK421" s="300" t="str">
        <f>_xlfn.IFNA(VLOOKUP($AI421,Programma!$F$3:$H$1107,3,0),"")</f>
        <v/>
      </c>
      <c r="AL421" s="300" t="str">
        <f>_xlfn.IFNA(VLOOKUP($AI421,Programma!$F$3:$I$1107,4,0),"")</f>
        <v/>
      </c>
      <c r="AM421" s="300" t="str">
        <f>_xlfn.IFNA(VLOOKUP($AI421,Programma!$F$3:$J$1107,5,0),"")</f>
        <v/>
      </c>
      <c r="AN421" s="300" t="str">
        <f>_xlfn.IFNA(VLOOKUP($AI421,Programma!$F$3:$K$1107,6,0),"")</f>
        <v/>
      </c>
      <c r="AO421" s="300" t="str">
        <f>_xlfn.IFNA(VLOOKUP($AI421,Programma!$F$3:$L$1107,7,0),"")</f>
        <v/>
      </c>
      <c r="AP421" s="300" t="str">
        <f>_xlfn.IFNA(VLOOKUP($AI421,Programma!$F$3:$M$1107,8,0),"")</f>
        <v/>
      </c>
      <c r="AQ421" s="300" t="str">
        <f>_xlfn.IFNA(VLOOKUP($AI421,Programma!$F$3:$N$1107,9,0),"")</f>
        <v/>
      </c>
      <c r="AR421" s="300" t="str">
        <f>_xlfn.IFNA(VLOOKUP($AI421,Programma!$F$3:$O$1107,10,0),"")</f>
        <v/>
      </c>
      <c r="AS421" s="300" t="str">
        <f>_xlfn.IFNA(VLOOKUP($AI421,Programma!$F$3:$P$1107,11,0),"")</f>
        <v/>
      </c>
      <c r="AT421" s="300" t="str">
        <f>_xlfn.IFNA(VLOOKUP($AI421,Programma!$F$3:$Q$1107,12,0),"")</f>
        <v/>
      </c>
      <c r="AU421" s="300" t="str">
        <f>_xlfn.IFNA(VLOOKUP($AI421,Programma!$F$3:$R$1107,13,0),"")</f>
        <v/>
      </c>
      <c r="AV421" s="300" t="str">
        <f>_xlfn.IFNA(VLOOKUP($AI421,Programma!$F$3:$S$1107,14,0),"")</f>
        <v/>
      </c>
      <c r="AW421" s="300" t="str">
        <f>_xlfn.IFNA(VLOOKUP($AI421,Programma!$F$3:$T$1107,15,0),"")</f>
        <v/>
      </c>
      <c r="AX421" s="300" t="str">
        <f>_xlfn.IFNA(VLOOKUP($AI421,Programma!$F$3:$U$1107,16,0),"")</f>
        <v/>
      </c>
      <c r="AY421" s="300" t="str">
        <f>_xlfn.IFNA(VLOOKUP($AI421,Programma!$F$3:$V$1107,17,0),"")</f>
        <v/>
      </c>
      <c r="AZ421" s="300" t="str">
        <f>_xlfn.IFNA(VLOOKUP($AI421,Programma!$F$3:$W$1107,18,0),"")</f>
        <v/>
      </c>
      <c r="BA421" s="300" t="str">
        <f>_xlfn.IFNA(VLOOKUP($AI421,Programma!$F$3:$X$1107,19,0),"")</f>
        <v/>
      </c>
      <c r="BB421" s="300" t="str">
        <f>_xlfn.IFNA(VLOOKUP($AI421,Programma!$F$3:$Y$1107,20,0),"")</f>
        <v/>
      </c>
      <c r="BC421" s="257"/>
      <c r="BD421" s="256" t="str">
        <f>IF(Ruimtestaat[[#This Row],[Frequentie weekend]]="","",_xlfn.CONCAT(Ruimtestaat[[#This Row],[Ruimte code]],"-",Ruimtestaat[[#This Row],[Frequentie weekend]]," ",Ruimtestaat[[#This Row],[Vloer code]]))</f>
        <v/>
      </c>
      <c r="BE421" s="300" t="str">
        <f>_xlfn.IFNA(VLOOKUP($BD421,Programma!$F$3:$G$1107,2,0),"")</f>
        <v/>
      </c>
      <c r="BF421" s="300" t="str">
        <f>_xlfn.IFNA(VLOOKUP($BD421,Programma!$F$3:$H$1107,3,0),"")</f>
        <v/>
      </c>
      <c r="BG421" s="300" t="str">
        <f>_xlfn.IFNA(VLOOKUP($BD421,Programma!$F$3:$I$1107,4,0),"")</f>
        <v/>
      </c>
      <c r="BH421" s="300" t="str">
        <f>_xlfn.IFNA(VLOOKUP($BD421,Programma!$F$3:$J$1107,5,0),"")</f>
        <v/>
      </c>
      <c r="BI421" s="300" t="str">
        <f>_xlfn.IFNA(VLOOKUP($BD421,Programma!$F$3:$K$1107,6,0),"")</f>
        <v/>
      </c>
      <c r="BJ421" s="300" t="str">
        <f>_xlfn.IFNA(VLOOKUP($BD421,Programma!$F$3:$L$1107,7,0),"")</f>
        <v/>
      </c>
      <c r="BK421" s="300" t="str">
        <f>_xlfn.IFNA(VLOOKUP($BD421,Programma!$F$3:$M$1107,8,0),"")</f>
        <v/>
      </c>
      <c r="BL421" s="300" t="str">
        <f>_xlfn.IFNA(VLOOKUP($BD421,Programma!$F$3:$N$1107,9,0),"")</f>
        <v/>
      </c>
      <c r="BM421" s="300" t="str">
        <f>_xlfn.IFNA(VLOOKUP($BD421,Programma!$F$3:$O$1107,10,0),"")</f>
        <v/>
      </c>
      <c r="BN421" s="300" t="str">
        <f>_xlfn.IFNA(VLOOKUP($BD421,Programma!$F$3:$P$1107,11,0),"")</f>
        <v/>
      </c>
      <c r="BO421" s="300" t="str">
        <f>_xlfn.IFNA(VLOOKUP($BD421,Programma!$F$3:$Q$1107,12,0),"")</f>
        <v/>
      </c>
      <c r="BP421" s="300" t="str">
        <f>_xlfn.IFNA(VLOOKUP($BD421,Programma!$F$3:$R$1107,13,0),"")</f>
        <v/>
      </c>
      <c r="BQ421" s="300" t="str">
        <f>_xlfn.IFNA(VLOOKUP($BD421,Programma!$F$3:$S$1107,14,0),"")</f>
        <v/>
      </c>
      <c r="BR421" s="300" t="str">
        <f>_xlfn.IFNA(VLOOKUP($BD421,Programma!$F$3:$T$1107,15,0),"")</f>
        <v/>
      </c>
      <c r="BS421" s="300" t="str">
        <f>_xlfn.IFNA(VLOOKUP($BD421,Programma!$F$3:$U$1107,16,0),"")</f>
        <v/>
      </c>
      <c r="BT421" s="300" t="str">
        <f>_xlfn.IFNA(VLOOKUP($BD421,Programma!$F$3:$V$1107,17,0),"")</f>
        <v/>
      </c>
      <c r="BU421" s="300" t="str">
        <f>_xlfn.IFNA(VLOOKUP($BD421,Programma!$F$3:$W$1107,18,0),"")</f>
        <v/>
      </c>
      <c r="BV421" s="300" t="str">
        <f>_xlfn.IFNA(VLOOKUP($BD421,Programma!$F$3:$X$1107,19,0),"")</f>
        <v/>
      </c>
      <c r="BW421" s="300" t="str">
        <f>_xlfn.IFNA(VLOOKUP($BD421,Programma!$F$3:$Y$1107,20,0),"")</f>
        <v/>
      </c>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c r="GK421" s="4"/>
      <c r="GL421" s="4"/>
      <c r="GM421" s="4"/>
      <c r="GN421" s="4"/>
      <c r="GO421" s="4"/>
      <c r="GP421" s="4"/>
      <c r="GQ421" s="4"/>
      <c r="GR421" s="4"/>
      <c r="GS421" s="4"/>
      <c r="GT421" s="4"/>
      <c r="GU421" s="4"/>
      <c r="GV421" s="4"/>
      <c r="GW421" s="4"/>
      <c r="GX421" s="4"/>
      <c r="GY421" s="4"/>
      <c r="GZ421" s="4"/>
      <c r="HA421" s="4"/>
      <c r="HB421" s="4"/>
      <c r="HC421" s="4"/>
      <c r="HD421" s="4"/>
      <c r="HE421" s="4"/>
      <c r="HF421" s="4"/>
      <c r="HG421" s="4"/>
      <c r="HH421" s="4"/>
      <c r="HI421" s="4"/>
      <c r="HJ421" s="4"/>
      <c r="HK421" s="4"/>
      <c r="HL421" s="4"/>
    </row>
    <row r="422" spans="1:220" ht="15" customHeight="1">
      <c r="A422" s="21">
        <v>5</v>
      </c>
      <c r="B422" s="157" t="str">
        <f>VLOOKUP(Ruimtestaat[[#This Row],[Code]],Locaties[[Code]:[Locatie]],2,FALSE)</f>
        <v>François Vatel vmbo</v>
      </c>
      <c r="C422" s="157" t="str">
        <f>VLOOKUP(Ruimtestaat[[#This Row],[Code]],Locaties[[#All],[Code]:[Adres]],4,FALSE)</f>
        <v>Granaathorst 20</v>
      </c>
      <c r="D422" s="157" t="str">
        <f>VLOOKUP(Ruimtestaat[[#This Row],[Code]],Locaties[[#All],[Code]:[Postcode]],5,FALSE)</f>
        <v>2592 TD</v>
      </c>
      <c r="E422" s="157" t="str">
        <f>VLOOKUP(Ruimtestaat[[#This Row],[Code]],Locaties[#All],6,FALSE)</f>
        <v>Den Haag</v>
      </c>
      <c r="F422" s="62"/>
      <c r="G422" s="21" t="s">
        <v>1624</v>
      </c>
      <c r="H422" s="21" t="s">
        <v>1942</v>
      </c>
      <c r="I422" s="62" t="s">
        <v>2071</v>
      </c>
      <c r="J422" s="21">
        <v>16</v>
      </c>
      <c r="K422" s="62" t="str">
        <f>VLOOKUP(Ruimtestaat[[#This Row],[Ruimte code]],Ruimtegroepen[[#All],[Code]:[Ruimte omschrijving]],2,FALSE)</f>
        <v>Leslokalen theorie</v>
      </c>
      <c r="L422" s="33" t="s">
        <v>101</v>
      </c>
      <c r="M422" s="367" t="s">
        <v>2495</v>
      </c>
      <c r="N422" s="140">
        <v>154</v>
      </c>
      <c r="O422" s="140"/>
      <c r="P422" s="125" t="str">
        <f>VLOOKUP(Ruimtestaat[[#This Row],[Ruimte code]],Ruimtegroepen[],4,FALSE)</f>
        <v>Le</v>
      </c>
      <c r="R422" s="33">
        <v>40</v>
      </c>
      <c r="S422" s="33" t="s">
        <v>2</v>
      </c>
      <c r="T422" s="33">
        <f>IF(R422&gt;0,IF(RIGHT(Ruimtestaat[[#This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2" s="33">
        <f>IF(T422&gt;0,VLOOKUP($J422,Ruimtegroepen[],3,FALSE)*VLOOKUP($L422,Vloersoorten[],3,FALSE)*VLOOKUP($S422,Frequenties[],3,FALSE)*VLOOKUP($A422,Locaties[],3,FALSE),0)</f>
        <v>0</v>
      </c>
      <c r="V422" s="33">
        <f>Ruimtestaat[[#This Row],[Uitvoeringen werkdagen]]*Ruimtestaat[[#This Row],[Oppervlak (netto)]]</f>
        <v>30800</v>
      </c>
      <c r="W422" s="154">
        <f>IF(U422&gt;0,Ruimtestaat[[#This Row],[Prest. (m2 /jaar) werkdagen]]/Ruimtestaat[[#This Row],[Norm (m2/uur) werkdagen]],0)</f>
        <v>0</v>
      </c>
      <c r="X422" s="155">
        <f>Ruimtestaat[[#This Row],[uren / jaar werkdagen]]*Tariefsopbouw!$E$35</f>
        <v>0</v>
      </c>
      <c r="Y422" s="33"/>
      <c r="Z422" s="33">
        <f>IF(Ruimtestaat[[#This Row],[Frequentie weekend]]&gt;0,VALUE(LEFT(Y422,1))*R422,0)</f>
        <v>0</v>
      </c>
      <c r="AA422" s="97">
        <f>IF($Z422&gt;0,VLOOKUP($J422,Ruimtegroepen[],3,FALSE)*VLOOKUP($L422,Vloersoorten[],3,FALSE)*VLOOKUP($Y422,Frequenties[],3,FALSE)*VLOOKUP(Ruimtestaat[[#This Row],[Code]],Locaties[],3,FALSE),0)</f>
        <v>0</v>
      </c>
      <c r="AB422" s="97">
        <f>Ruimtestaat[[#This Row],[Uitvoeringen weekend]]*Ruimtestaat[[#This Row],[Oppervlak (netto)]]</f>
        <v>0</v>
      </c>
      <c r="AC422" s="97">
        <f>IF(AA422&gt;0,Ruimtestaat[[#This Row],[Prest. (m2 /jaar) weekend]]/Ruimtestaat[[#This Row],[Norm (m2/uur) weekend]],0)</f>
        <v>0</v>
      </c>
      <c r="AD422" s="155">
        <f>Ruimtestaat[[#This Row],[uren / jaar weekend]]*Tariefsopbouw!$D$40</f>
        <v>0</v>
      </c>
      <c r="AE422" s="154">
        <f>Ruimtestaat[[#This Row],[Prest. (m2 /jaar) weekend]]+Ruimtestaat[[#This Row],[Prest. (m2 /jaar) werkdagen]]</f>
        <v>30800</v>
      </c>
      <c r="AF422" s="154">
        <f>Ruimtestaat[[#This Row],[uren / jaar weekend]]+Ruimtestaat[[#This Row],[uren / jaar werkdagen]]</f>
        <v>0</v>
      </c>
      <c r="AG422" s="69">
        <f>Ruimtestaat[[#This Row],[kosten / jaar weekend]]+Ruimtestaat[[#This Row],[kosten / jaar werkdagen]]</f>
        <v>0</v>
      </c>
      <c r="AH422" s="69"/>
      <c r="AI422" s="256" t="str">
        <f>IF(Ruimtestaat[[#This Row],[Frequentie werkdagen]]="","",_xlfn.CONCAT(Ruimtestaat[[#This Row],[Ruimte code]],"-",Ruimtestaat[[#This Row],[Frequentie werkdagen]]," ",Ruimtestaat[[#This Row],[Vloer code]]))</f>
        <v>16-5w L</v>
      </c>
      <c r="AJ422" s="300" t="str">
        <f>_xlfn.IFNA(VLOOKUP($AI422,Programma!$F$3:$G$1107,2,0),"")</f>
        <v>_</v>
      </c>
      <c r="AK422" s="300" t="str">
        <f>_xlfn.IFNA(VLOOKUP($AI422,Programma!$F$3:$H$1107,3,0),"")</f>
        <v>_</v>
      </c>
      <c r="AL422" s="300" t="str">
        <f>_xlfn.IFNA(VLOOKUP($AI422,Programma!$F$3:$I$1107,4,0),"")</f>
        <v>4w</v>
      </c>
      <c r="AM422" s="300" t="str">
        <f>_xlfn.IFNA(VLOOKUP($AI422,Programma!$F$3:$J$1107,5,0),"")</f>
        <v>1w</v>
      </c>
      <c r="AN422" s="300" t="str">
        <f>_xlfn.IFNA(VLOOKUP($AI422,Programma!$F$3:$K$1107,6,0),"")</f>
        <v>_</v>
      </c>
      <c r="AO422" s="300" t="str">
        <f>_xlfn.IFNA(VLOOKUP($AI422,Programma!$F$3:$L$1107,7,0),"")</f>
        <v>_</v>
      </c>
      <c r="AP422" s="300" t="str">
        <f>_xlfn.IFNA(VLOOKUP($AI422,Programma!$F$3:$M$1107,8,0),"")</f>
        <v>_</v>
      </c>
      <c r="AQ422" s="300" t="str">
        <f>_xlfn.IFNA(VLOOKUP($AI422,Programma!$F$3:$N$1107,9,0),"")</f>
        <v>_</v>
      </c>
      <c r="AR422" s="300" t="str">
        <f>_xlfn.IFNA(VLOOKUP($AI422,Programma!$F$3:$O$1107,10,0),"")</f>
        <v>5w</v>
      </c>
      <c r="AS422" s="300" t="str">
        <f>_xlfn.IFNA(VLOOKUP($AI422,Programma!$F$3:$P$1107,11,0),"")</f>
        <v>5w</v>
      </c>
      <c r="AT422" s="300" t="str">
        <f>_xlfn.IFNA(VLOOKUP($AI422,Programma!$F$3:$Q$1107,12,0),"")</f>
        <v>1w</v>
      </c>
      <c r="AU422" s="300" t="str">
        <f>_xlfn.IFNA(VLOOKUP($AI422,Programma!$F$3:$R$1107,13,0),"")</f>
        <v>1w</v>
      </c>
      <c r="AV422" s="300" t="str">
        <f>_xlfn.IFNA(VLOOKUP($AI422,Programma!$F$3:$S$1107,14,0),"")</f>
        <v>1m</v>
      </c>
      <c r="AW422" s="300" t="str">
        <f>_xlfn.IFNA(VLOOKUP($AI422,Programma!$F$3:$T$1107,15,0),"")</f>
        <v>2j</v>
      </c>
      <c r="AX422" s="300" t="str">
        <f>_xlfn.IFNA(VLOOKUP($AI422,Programma!$F$3:$U$1107,16,0),"")</f>
        <v>1j</v>
      </c>
      <c r="AY422" s="300" t="str">
        <f>_xlfn.IFNA(VLOOKUP($AI422,Programma!$F$3:$V$1107,17,0),"")</f>
        <v>_</v>
      </c>
      <c r="AZ422" s="300" t="str">
        <f>_xlfn.IFNA(VLOOKUP($AI422,Programma!$F$3:$W$1107,18,0),"")</f>
        <v>_</v>
      </c>
      <c r="BA422" s="300" t="str">
        <f>_xlfn.IFNA(VLOOKUP($AI422,Programma!$F$3:$X$1107,19,0),"")</f>
        <v>_</v>
      </c>
      <c r="BB422" s="300" t="str">
        <f>_xlfn.IFNA(VLOOKUP($AI422,Programma!$F$3:$Y$1107,20,0),"")</f>
        <v>_</v>
      </c>
      <c r="BC422" s="257"/>
      <c r="BD422" s="256" t="str">
        <f>IF(Ruimtestaat[[#This Row],[Frequentie weekend]]="","",_xlfn.CONCAT(Ruimtestaat[[#This Row],[Ruimte code]],"-",Ruimtestaat[[#This Row],[Frequentie weekend]]," ",Ruimtestaat[[#This Row],[Vloer code]]))</f>
        <v/>
      </c>
      <c r="BE422" s="300" t="str">
        <f>_xlfn.IFNA(VLOOKUP($BD422,Programma!$F$3:$G$1107,2,0),"")</f>
        <v/>
      </c>
      <c r="BF422" s="300" t="str">
        <f>_xlfn.IFNA(VLOOKUP($BD422,Programma!$F$3:$H$1107,3,0),"")</f>
        <v/>
      </c>
      <c r="BG422" s="300" t="str">
        <f>_xlfn.IFNA(VLOOKUP($BD422,Programma!$F$3:$I$1107,4,0),"")</f>
        <v/>
      </c>
      <c r="BH422" s="300" t="str">
        <f>_xlfn.IFNA(VLOOKUP($BD422,Programma!$F$3:$J$1107,5,0),"")</f>
        <v/>
      </c>
      <c r="BI422" s="300" t="str">
        <f>_xlfn.IFNA(VLOOKUP($BD422,Programma!$F$3:$K$1107,6,0),"")</f>
        <v/>
      </c>
      <c r="BJ422" s="300" t="str">
        <f>_xlfn.IFNA(VLOOKUP($BD422,Programma!$F$3:$L$1107,7,0),"")</f>
        <v/>
      </c>
      <c r="BK422" s="300" t="str">
        <f>_xlfn.IFNA(VLOOKUP($BD422,Programma!$F$3:$M$1107,8,0),"")</f>
        <v/>
      </c>
      <c r="BL422" s="300" t="str">
        <f>_xlfn.IFNA(VLOOKUP($BD422,Programma!$F$3:$N$1107,9,0),"")</f>
        <v/>
      </c>
      <c r="BM422" s="300" t="str">
        <f>_xlfn.IFNA(VLOOKUP($BD422,Programma!$F$3:$O$1107,10,0),"")</f>
        <v/>
      </c>
      <c r="BN422" s="300" t="str">
        <f>_xlfn.IFNA(VLOOKUP($BD422,Programma!$F$3:$P$1107,11,0),"")</f>
        <v/>
      </c>
      <c r="BO422" s="300" t="str">
        <f>_xlfn.IFNA(VLOOKUP($BD422,Programma!$F$3:$Q$1107,12,0),"")</f>
        <v/>
      </c>
      <c r="BP422" s="300" t="str">
        <f>_xlfn.IFNA(VLOOKUP($BD422,Programma!$F$3:$R$1107,13,0),"")</f>
        <v/>
      </c>
      <c r="BQ422" s="300" t="str">
        <f>_xlfn.IFNA(VLOOKUP($BD422,Programma!$F$3:$S$1107,14,0),"")</f>
        <v/>
      </c>
      <c r="BR422" s="300" t="str">
        <f>_xlfn.IFNA(VLOOKUP($BD422,Programma!$F$3:$T$1107,15,0),"")</f>
        <v/>
      </c>
      <c r="BS422" s="300" t="str">
        <f>_xlfn.IFNA(VLOOKUP($BD422,Programma!$F$3:$U$1107,16,0),"")</f>
        <v/>
      </c>
      <c r="BT422" s="300" t="str">
        <f>_xlfn.IFNA(VLOOKUP($BD422,Programma!$F$3:$V$1107,17,0),"")</f>
        <v/>
      </c>
      <c r="BU422" s="300" t="str">
        <f>_xlfn.IFNA(VLOOKUP($BD422,Programma!$F$3:$W$1107,18,0),"")</f>
        <v/>
      </c>
      <c r="BV422" s="300" t="str">
        <f>_xlfn.IFNA(VLOOKUP($BD422,Programma!$F$3:$X$1107,19,0),"")</f>
        <v/>
      </c>
      <c r="BW422" s="300" t="str">
        <f>_xlfn.IFNA(VLOOKUP($BD422,Programma!$F$3:$Y$1107,20,0),"")</f>
        <v/>
      </c>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c r="GK422" s="4"/>
      <c r="GL422" s="4"/>
      <c r="GM422" s="4"/>
      <c r="GN422" s="4"/>
      <c r="GO422" s="4"/>
      <c r="GP422" s="4"/>
      <c r="GQ422" s="4"/>
      <c r="GR422" s="4"/>
      <c r="GS422" s="4"/>
      <c r="GT422" s="4"/>
      <c r="GU422" s="4"/>
      <c r="GV422" s="4"/>
      <c r="GW422" s="4"/>
      <c r="GX422" s="4"/>
      <c r="GY422" s="4"/>
      <c r="GZ422" s="4"/>
      <c r="HA422" s="4"/>
      <c r="HB422" s="4"/>
      <c r="HC422" s="4"/>
      <c r="HD422" s="4"/>
      <c r="HE422" s="4"/>
      <c r="HF422" s="4"/>
      <c r="HG422" s="4"/>
      <c r="HH422" s="4"/>
      <c r="HI422" s="4"/>
      <c r="HJ422" s="4"/>
      <c r="HK422" s="4"/>
      <c r="HL422" s="4"/>
    </row>
    <row r="423" spans="1:220" ht="15" customHeight="1">
      <c r="A423" s="21">
        <v>5</v>
      </c>
      <c r="B423" s="157" t="str">
        <f>VLOOKUP(Ruimtestaat[[#This Row],[Code]],Locaties[[Code]:[Locatie]],2,FALSE)</f>
        <v>François Vatel vmbo</v>
      </c>
      <c r="C423" s="157" t="str">
        <f>VLOOKUP(Ruimtestaat[[#This Row],[Code]],Locaties[[#All],[Code]:[Adres]],4,FALSE)</f>
        <v>Granaathorst 20</v>
      </c>
      <c r="D423" s="157" t="str">
        <f>VLOOKUP(Ruimtestaat[[#This Row],[Code]],Locaties[[#All],[Code]:[Postcode]],5,FALSE)</f>
        <v>2592 TD</v>
      </c>
      <c r="E423" s="157" t="str">
        <f>VLOOKUP(Ruimtestaat[[#This Row],[Code]],Locaties[#All],6,FALSE)</f>
        <v>Den Haag</v>
      </c>
      <c r="F423" s="62"/>
      <c r="G423" s="21" t="s">
        <v>1624</v>
      </c>
      <c r="H423" s="21" t="s">
        <v>1946</v>
      </c>
      <c r="I423" s="62" t="s">
        <v>2072</v>
      </c>
      <c r="J423" s="21">
        <v>1</v>
      </c>
      <c r="K423" s="62" t="str">
        <f>VLOOKUP(Ruimtestaat[[#This Row],[Ruimte code]],Ruimtegroepen[[#All],[Code]:[Ruimte omschrijving]],2,FALSE)</f>
        <v>Magazijnen/bergingen</v>
      </c>
      <c r="L423" s="33" t="s">
        <v>101</v>
      </c>
      <c r="M423" s="367" t="s">
        <v>2495</v>
      </c>
      <c r="N423" s="140">
        <v>9</v>
      </c>
      <c r="O423" s="140"/>
      <c r="P423" s="125" t="str">
        <f>VLOOKUP(Ruimtestaat[[#This Row],[Ruimte code]],Ruimtegroepen[],4,FALSE)</f>
        <v>Ve</v>
      </c>
      <c r="R423" s="33">
        <v>40</v>
      </c>
      <c r="S423" s="33" t="s">
        <v>16</v>
      </c>
      <c r="T423" s="33">
        <f>IF(R423&gt;0,IF(RIGHT(Ruimtestaat[[#This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23" s="33">
        <f>IF(T423&gt;0,VLOOKUP($J423,Ruimtegroepen[],3,FALSE)*VLOOKUP($L423,Vloersoorten[],3,FALSE)*VLOOKUP($S423,Frequenties[],3,FALSE)*VLOOKUP($A423,Locaties[],3,FALSE),0)</f>
        <v>0</v>
      </c>
      <c r="V423" s="33">
        <f>Ruimtestaat[[#This Row],[Uitvoeringen werkdagen]]*Ruimtestaat[[#This Row],[Oppervlak (netto)]]</f>
        <v>108</v>
      </c>
      <c r="W423" s="154">
        <f>IF(U423&gt;0,Ruimtestaat[[#This Row],[Prest. (m2 /jaar) werkdagen]]/Ruimtestaat[[#This Row],[Norm (m2/uur) werkdagen]],0)</f>
        <v>0</v>
      </c>
      <c r="X423" s="155">
        <f>Ruimtestaat[[#This Row],[uren / jaar werkdagen]]*Tariefsopbouw!$E$35</f>
        <v>0</v>
      </c>
      <c r="Y423" s="33"/>
      <c r="Z423" s="33">
        <f>IF(Ruimtestaat[[#This Row],[Frequentie weekend]]&gt;0,VALUE(LEFT(Y423,1))*R423,0)</f>
        <v>0</v>
      </c>
      <c r="AA423" s="97">
        <f>IF($Z423&gt;0,VLOOKUP($J423,Ruimtegroepen[],3,FALSE)*VLOOKUP($L423,Vloersoorten[],3,FALSE)*VLOOKUP($Y423,Frequenties[],3,FALSE)*VLOOKUP(Ruimtestaat[[#This Row],[Code]],Locaties[],3,FALSE),0)</f>
        <v>0</v>
      </c>
      <c r="AB423" s="97">
        <f>Ruimtestaat[[#This Row],[Uitvoeringen weekend]]*Ruimtestaat[[#This Row],[Oppervlak (netto)]]</f>
        <v>0</v>
      </c>
      <c r="AC423" s="97">
        <f>IF(AA423&gt;0,Ruimtestaat[[#This Row],[Prest. (m2 /jaar) weekend]]/Ruimtestaat[[#This Row],[Norm (m2/uur) weekend]],0)</f>
        <v>0</v>
      </c>
      <c r="AD423" s="155">
        <f>Ruimtestaat[[#This Row],[uren / jaar weekend]]*Tariefsopbouw!$D$40</f>
        <v>0</v>
      </c>
      <c r="AE423" s="154">
        <f>Ruimtestaat[[#This Row],[Prest. (m2 /jaar) weekend]]+Ruimtestaat[[#This Row],[Prest. (m2 /jaar) werkdagen]]</f>
        <v>108</v>
      </c>
      <c r="AF423" s="154">
        <f>Ruimtestaat[[#This Row],[uren / jaar weekend]]+Ruimtestaat[[#This Row],[uren / jaar werkdagen]]</f>
        <v>0</v>
      </c>
      <c r="AG423" s="69">
        <f>Ruimtestaat[[#This Row],[kosten / jaar weekend]]+Ruimtestaat[[#This Row],[kosten / jaar werkdagen]]</f>
        <v>0</v>
      </c>
      <c r="AH423" s="69"/>
      <c r="AI423" s="256" t="str">
        <f>IF(Ruimtestaat[[#This Row],[Frequentie werkdagen]]="","",_xlfn.CONCAT(Ruimtestaat[[#This Row],[Ruimte code]],"-",Ruimtestaat[[#This Row],[Frequentie werkdagen]]," ",Ruimtestaat[[#This Row],[Vloer code]]))</f>
        <v>1-1m L</v>
      </c>
      <c r="AJ423" s="300" t="str">
        <f>_xlfn.IFNA(VLOOKUP($AI423,Programma!$F$3:$G$1107,2,0),"")</f>
        <v>_</v>
      </c>
      <c r="AK423" s="300" t="str">
        <f>_xlfn.IFNA(VLOOKUP($AI423,Programma!$F$3:$H$1107,3,0),"")</f>
        <v>_</v>
      </c>
      <c r="AL423" s="300" t="str">
        <f>_xlfn.IFNA(VLOOKUP($AI423,Programma!$F$3:$I$1107,4,0),"")</f>
        <v>1m</v>
      </c>
      <c r="AM423" s="300" t="str">
        <f>_xlfn.IFNA(VLOOKUP($AI423,Programma!$F$3:$J$1107,5,0),"")</f>
        <v>1m</v>
      </c>
      <c r="AN423" s="300" t="str">
        <f>_xlfn.IFNA(VLOOKUP($AI423,Programma!$F$3:$K$1107,6,0),"")</f>
        <v>_</v>
      </c>
      <c r="AO423" s="300" t="str">
        <f>_xlfn.IFNA(VLOOKUP($AI423,Programma!$F$3:$L$1107,7,0),"")</f>
        <v>_</v>
      </c>
      <c r="AP423" s="300" t="str">
        <f>_xlfn.IFNA(VLOOKUP($AI423,Programma!$F$3:$M$1107,8,0),"")</f>
        <v>_</v>
      </c>
      <c r="AQ423" s="300" t="str">
        <f>_xlfn.IFNA(VLOOKUP($AI423,Programma!$F$3:$N$1107,9,0),"")</f>
        <v>_</v>
      </c>
      <c r="AR423" s="300" t="str">
        <f>_xlfn.IFNA(VLOOKUP($AI423,Programma!$F$3:$O$1107,10,0),"")</f>
        <v>_</v>
      </c>
      <c r="AS423" s="300" t="str">
        <f>_xlfn.IFNA(VLOOKUP($AI423,Programma!$F$3:$P$1107,11,0),"")</f>
        <v>_</v>
      </c>
      <c r="AT423" s="300" t="str">
        <f>_xlfn.IFNA(VLOOKUP($AI423,Programma!$F$3:$Q$1107,12,0),"")</f>
        <v>_</v>
      </c>
      <c r="AU423" s="300" t="str">
        <f>_xlfn.IFNA(VLOOKUP($AI423,Programma!$F$3:$R$1107,13,0),"")</f>
        <v>_</v>
      </c>
      <c r="AV423" s="300" t="str">
        <f>_xlfn.IFNA(VLOOKUP($AI423,Programma!$F$3:$S$1107,14,0),"")</f>
        <v>1m</v>
      </c>
      <c r="AW423" s="300" t="str">
        <f>_xlfn.IFNA(VLOOKUP($AI423,Programma!$F$3:$T$1107,15,0),"")</f>
        <v>4j</v>
      </c>
      <c r="AX423" s="300" t="str">
        <f>_xlfn.IFNA(VLOOKUP($AI423,Programma!$F$3:$U$1107,16,0),"")</f>
        <v>4j</v>
      </c>
      <c r="AY423" s="300" t="str">
        <f>_xlfn.IFNA(VLOOKUP($AI423,Programma!$F$3:$V$1107,17,0),"")</f>
        <v>_</v>
      </c>
      <c r="AZ423" s="300" t="str">
        <f>_xlfn.IFNA(VLOOKUP($AI423,Programma!$F$3:$W$1107,18,0),"")</f>
        <v>_</v>
      </c>
      <c r="BA423" s="300" t="str">
        <f>_xlfn.IFNA(VLOOKUP($AI423,Programma!$F$3:$X$1107,19,0),"")</f>
        <v>_</v>
      </c>
      <c r="BB423" s="300" t="str">
        <f>_xlfn.IFNA(VLOOKUP($AI423,Programma!$F$3:$Y$1107,20,0),"")</f>
        <v>_</v>
      </c>
      <c r="BC423" s="257"/>
      <c r="BD423" s="256" t="str">
        <f>IF(Ruimtestaat[[#This Row],[Frequentie weekend]]="","",_xlfn.CONCAT(Ruimtestaat[[#This Row],[Ruimte code]],"-",Ruimtestaat[[#This Row],[Frequentie weekend]]," ",Ruimtestaat[[#This Row],[Vloer code]]))</f>
        <v/>
      </c>
      <c r="BE423" s="300" t="str">
        <f>_xlfn.IFNA(VLOOKUP($BD423,Programma!$F$3:$G$1107,2,0),"")</f>
        <v/>
      </c>
      <c r="BF423" s="300" t="str">
        <f>_xlfn.IFNA(VLOOKUP($BD423,Programma!$F$3:$H$1107,3,0),"")</f>
        <v/>
      </c>
      <c r="BG423" s="300" t="str">
        <f>_xlfn.IFNA(VLOOKUP($BD423,Programma!$F$3:$I$1107,4,0),"")</f>
        <v/>
      </c>
      <c r="BH423" s="300" t="str">
        <f>_xlfn.IFNA(VLOOKUP($BD423,Programma!$F$3:$J$1107,5,0),"")</f>
        <v/>
      </c>
      <c r="BI423" s="300" t="str">
        <f>_xlfn.IFNA(VLOOKUP($BD423,Programma!$F$3:$K$1107,6,0),"")</f>
        <v/>
      </c>
      <c r="BJ423" s="300" t="str">
        <f>_xlfn.IFNA(VLOOKUP($BD423,Programma!$F$3:$L$1107,7,0),"")</f>
        <v/>
      </c>
      <c r="BK423" s="300" t="str">
        <f>_xlfn.IFNA(VLOOKUP($BD423,Programma!$F$3:$M$1107,8,0),"")</f>
        <v/>
      </c>
      <c r="BL423" s="300" t="str">
        <f>_xlfn.IFNA(VLOOKUP($BD423,Programma!$F$3:$N$1107,9,0),"")</f>
        <v/>
      </c>
      <c r="BM423" s="300" t="str">
        <f>_xlfn.IFNA(VLOOKUP($BD423,Programma!$F$3:$O$1107,10,0),"")</f>
        <v/>
      </c>
      <c r="BN423" s="300" t="str">
        <f>_xlfn.IFNA(VLOOKUP($BD423,Programma!$F$3:$P$1107,11,0),"")</f>
        <v/>
      </c>
      <c r="BO423" s="300" t="str">
        <f>_xlfn.IFNA(VLOOKUP($BD423,Programma!$F$3:$Q$1107,12,0),"")</f>
        <v/>
      </c>
      <c r="BP423" s="300" t="str">
        <f>_xlfn.IFNA(VLOOKUP($BD423,Programma!$F$3:$R$1107,13,0),"")</f>
        <v/>
      </c>
      <c r="BQ423" s="300" t="str">
        <f>_xlfn.IFNA(VLOOKUP($BD423,Programma!$F$3:$S$1107,14,0),"")</f>
        <v/>
      </c>
      <c r="BR423" s="300" t="str">
        <f>_xlfn.IFNA(VLOOKUP($BD423,Programma!$F$3:$T$1107,15,0),"")</f>
        <v/>
      </c>
      <c r="BS423" s="300" t="str">
        <f>_xlfn.IFNA(VLOOKUP($BD423,Programma!$F$3:$U$1107,16,0),"")</f>
        <v/>
      </c>
      <c r="BT423" s="300" t="str">
        <f>_xlfn.IFNA(VLOOKUP($BD423,Programma!$F$3:$V$1107,17,0),"")</f>
        <v/>
      </c>
      <c r="BU423" s="300" t="str">
        <f>_xlfn.IFNA(VLOOKUP($BD423,Programma!$F$3:$W$1107,18,0),"")</f>
        <v/>
      </c>
      <c r="BV423" s="300" t="str">
        <f>_xlfn.IFNA(VLOOKUP($BD423,Programma!$F$3:$X$1107,19,0),"")</f>
        <v/>
      </c>
      <c r="BW423" s="300" t="str">
        <f>_xlfn.IFNA(VLOOKUP($BD423,Programma!$F$3:$Y$1107,20,0),"")</f>
        <v/>
      </c>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c r="GK423" s="4"/>
      <c r="GL423" s="4"/>
      <c r="GM423" s="4"/>
      <c r="GN423" s="4"/>
      <c r="GO423" s="4"/>
      <c r="GP423" s="4"/>
      <c r="GQ423" s="4"/>
      <c r="GR423" s="4"/>
      <c r="GS423" s="4"/>
      <c r="GT423" s="4"/>
      <c r="GU423" s="4"/>
      <c r="GV423" s="4"/>
      <c r="GW423" s="4"/>
      <c r="GX423" s="4"/>
      <c r="GY423" s="4"/>
      <c r="GZ423" s="4"/>
      <c r="HA423" s="4"/>
      <c r="HB423" s="4"/>
      <c r="HC423" s="4"/>
      <c r="HD423" s="4"/>
      <c r="HE423" s="4"/>
      <c r="HF423" s="4"/>
      <c r="HG423" s="4"/>
      <c r="HH423" s="4"/>
      <c r="HI423" s="4"/>
      <c r="HJ423" s="4"/>
      <c r="HK423" s="4"/>
      <c r="HL423" s="4"/>
    </row>
    <row r="424" spans="1:220" ht="15" customHeight="1">
      <c r="A424" s="21">
        <v>5</v>
      </c>
      <c r="B424" s="157" t="str">
        <f>VLOOKUP(Ruimtestaat[[#This Row],[Code]],Locaties[[Code]:[Locatie]],2,FALSE)</f>
        <v>François Vatel vmbo</v>
      </c>
      <c r="C424" s="157" t="str">
        <f>VLOOKUP(Ruimtestaat[[#This Row],[Code]],Locaties[[#All],[Code]:[Adres]],4,FALSE)</f>
        <v>Granaathorst 20</v>
      </c>
      <c r="D424" s="157" t="str">
        <f>VLOOKUP(Ruimtestaat[[#This Row],[Code]],Locaties[[#All],[Code]:[Postcode]],5,FALSE)</f>
        <v>2592 TD</v>
      </c>
      <c r="E424" s="157" t="str">
        <f>VLOOKUP(Ruimtestaat[[#This Row],[Code]],Locaties[#All],6,FALSE)</f>
        <v>Den Haag</v>
      </c>
      <c r="F424" s="62"/>
      <c r="G424" s="21" t="s">
        <v>1624</v>
      </c>
      <c r="H424" s="21" t="s">
        <v>1947</v>
      </c>
      <c r="I424" s="62" t="s">
        <v>1639</v>
      </c>
      <c r="J424" s="21">
        <v>5</v>
      </c>
      <c r="K424" s="62" t="str">
        <f>VLOOKUP(Ruimtestaat[[#This Row],[Ruimte code]],Ruimtegroepen[[#All],[Code]:[Ruimte omschrijving]],2,FALSE)</f>
        <v>Sanitair</v>
      </c>
      <c r="L424" s="33" t="s">
        <v>102</v>
      </c>
      <c r="M424" s="367" t="s">
        <v>2509</v>
      </c>
      <c r="N424" s="140">
        <v>9</v>
      </c>
      <c r="O424" s="140"/>
      <c r="P424" s="125" t="str">
        <f>VLOOKUP(Ruimtestaat[[#This Row],[Ruimte code]],Ruimtegroepen[],4,FALSE)</f>
        <v>Sa</v>
      </c>
      <c r="R424" s="33">
        <v>40</v>
      </c>
      <c r="S424" s="33" t="s">
        <v>2</v>
      </c>
      <c r="T424" s="33">
        <f>IF(R424&gt;0,IF(RIGHT(Ruimtestaat[[#This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4" s="33">
        <f>IF(T424&gt;0,VLOOKUP($J424,Ruimtegroepen[],3,FALSE)*VLOOKUP($L424,Vloersoorten[],3,FALSE)*VLOOKUP($S424,Frequenties[],3,FALSE)*VLOOKUP($A424,Locaties[],3,FALSE),0)</f>
        <v>0</v>
      </c>
      <c r="V424" s="33">
        <f>Ruimtestaat[[#This Row],[Uitvoeringen werkdagen]]*Ruimtestaat[[#This Row],[Oppervlak (netto)]]</f>
        <v>1800</v>
      </c>
      <c r="W424" s="154">
        <f>IF(U424&gt;0,Ruimtestaat[[#This Row],[Prest. (m2 /jaar) werkdagen]]/Ruimtestaat[[#This Row],[Norm (m2/uur) werkdagen]],0)</f>
        <v>0</v>
      </c>
      <c r="X424" s="155">
        <f>Ruimtestaat[[#This Row],[uren / jaar werkdagen]]*Tariefsopbouw!$E$35</f>
        <v>0</v>
      </c>
      <c r="Y424" s="33"/>
      <c r="Z424" s="33">
        <f>IF(Ruimtestaat[[#This Row],[Frequentie weekend]]&gt;0,VALUE(LEFT(Y424,1))*R424,0)</f>
        <v>0</v>
      </c>
      <c r="AA424" s="97">
        <f>IF($Z424&gt;0,VLOOKUP($J424,Ruimtegroepen[],3,FALSE)*VLOOKUP($L424,Vloersoorten[],3,FALSE)*VLOOKUP($Y424,Frequenties[],3,FALSE)*VLOOKUP(Ruimtestaat[[#This Row],[Code]],Locaties[],3,FALSE),0)</f>
        <v>0</v>
      </c>
      <c r="AB424" s="97">
        <f>Ruimtestaat[[#This Row],[Uitvoeringen weekend]]*Ruimtestaat[[#This Row],[Oppervlak (netto)]]</f>
        <v>0</v>
      </c>
      <c r="AC424" s="97">
        <f>IF(AA424&gt;0,Ruimtestaat[[#This Row],[Prest. (m2 /jaar) weekend]]/Ruimtestaat[[#This Row],[Norm (m2/uur) weekend]],0)</f>
        <v>0</v>
      </c>
      <c r="AD424" s="155">
        <f>Ruimtestaat[[#This Row],[uren / jaar weekend]]*Tariefsopbouw!$D$40</f>
        <v>0</v>
      </c>
      <c r="AE424" s="154">
        <f>Ruimtestaat[[#This Row],[Prest. (m2 /jaar) weekend]]+Ruimtestaat[[#This Row],[Prest. (m2 /jaar) werkdagen]]</f>
        <v>1800</v>
      </c>
      <c r="AF424" s="154">
        <f>Ruimtestaat[[#This Row],[uren / jaar weekend]]+Ruimtestaat[[#This Row],[uren / jaar werkdagen]]</f>
        <v>0</v>
      </c>
      <c r="AG424" s="69">
        <f>Ruimtestaat[[#This Row],[kosten / jaar weekend]]+Ruimtestaat[[#This Row],[kosten / jaar werkdagen]]</f>
        <v>0</v>
      </c>
      <c r="AH424" s="69"/>
      <c r="AI424" s="256" t="str">
        <f>IF(Ruimtestaat[[#This Row],[Frequentie werkdagen]]="","",_xlfn.CONCAT(Ruimtestaat[[#This Row],[Ruimte code]],"-",Ruimtestaat[[#This Row],[Frequentie werkdagen]]," ",Ruimtestaat[[#This Row],[Vloer code]]))</f>
        <v>5-5w S</v>
      </c>
      <c r="AJ424" s="300" t="str">
        <f>_xlfn.IFNA(VLOOKUP($AI424,Programma!$F$3:$G$1107,2,0),"")</f>
        <v>_</v>
      </c>
      <c r="AK424" s="300" t="str">
        <f>_xlfn.IFNA(VLOOKUP($AI424,Programma!$F$3:$H$1107,3,0),"")</f>
        <v>_</v>
      </c>
      <c r="AL424" s="300" t="str">
        <f>_xlfn.IFNA(VLOOKUP($AI424,Programma!$F$3:$I$1107,4,0),"")</f>
        <v>_</v>
      </c>
      <c r="AM424" s="300" t="str">
        <f>_xlfn.IFNA(VLOOKUP($AI424,Programma!$F$3:$J$1107,5,0),"")</f>
        <v>4w</v>
      </c>
      <c r="AN424" s="300" t="str">
        <f>_xlfn.IFNA(VLOOKUP($AI424,Programma!$F$3:$K$1107,6,0),"")</f>
        <v>1w</v>
      </c>
      <c r="AO424" s="300" t="str">
        <f>_xlfn.IFNA(VLOOKUP($AI424,Programma!$F$3:$L$1107,7,0),"")</f>
        <v>_</v>
      </c>
      <c r="AP424" s="300" t="str">
        <f>_xlfn.IFNA(VLOOKUP($AI424,Programma!$F$3:$M$1107,8,0),"")</f>
        <v>_</v>
      </c>
      <c r="AQ424" s="300" t="str">
        <f>_xlfn.IFNA(VLOOKUP($AI424,Programma!$F$3:$N$1107,9,0),"")</f>
        <v>_</v>
      </c>
      <c r="AR424" s="300" t="str">
        <f>_xlfn.IFNA(VLOOKUP($AI424,Programma!$F$3:$O$1107,10,0),"")</f>
        <v>_</v>
      </c>
      <c r="AS424" s="300" t="str">
        <f>_xlfn.IFNA(VLOOKUP($AI424,Programma!$F$3:$P$1107,11,0),"")</f>
        <v>_</v>
      </c>
      <c r="AT424" s="300" t="str">
        <f>_xlfn.IFNA(VLOOKUP($AI424,Programma!$F$3:$Q$1107,12,0),"")</f>
        <v>_</v>
      </c>
      <c r="AU424" s="300" t="str">
        <f>_xlfn.IFNA(VLOOKUP($AI424,Programma!$F$3:$R$1107,13,0),"")</f>
        <v>_</v>
      </c>
      <c r="AV424" s="300" t="str">
        <f>_xlfn.IFNA(VLOOKUP($AI424,Programma!$F$3:$S$1107,14,0),"")</f>
        <v>_</v>
      </c>
      <c r="AW424" s="300" t="str">
        <f>_xlfn.IFNA(VLOOKUP($AI424,Programma!$F$3:$T$1107,15,0),"")</f>
        <v>_</v>
      </c>
      <c r="AX424" s="300" t="str">
        <f>_xlfn.IFNA(VLOOKUP($AI424,Programma!$F$3:$U$1107,16,0),"")</f>
        <v>_</v>
      </c>
      <c r="AY424" s="300" t="str">
        <f>_xlfn.IFNA(VLOOKUP($AI424,Programma!$F$3:$V$1107,17,0),"")</f>
        <v>_</v>
      </c>
      <c r="AZ424" s="300" t="str">
        <f>_xlfn.IFNA(VLOOKUP($AI424,Programma!$F$3:$W$1107,18,0),"")</f>
        <v>4w</v>
      </c>
      <c r="BA424" s="300" t="str">
        <f>_xlfn.IFNA(VLOOKUP($AI424,Programma!$F$3:$X$1107,19,0),"")</f>
        <v>1w</v>
      </c>
      <c r="BB424" s="300" t="str">
        <f>_xlfn.IFNA(VLOOKUP($AI424,Programma!$F$3:$Y$1107,20,0),"")</f>
        <v>_</v>
      </c>
      <c r="BC424" s="257"/>
      <c r="BD424" s="256" t="str">
        <f>IF(Ruimtestaat[[#This Row],[Frequentie weekend]]="","",_xlfn.CONCAT(Ruimtestaat[[#This Row],[Ruimte code]],"-",Ruimtestaat[[#This Row],[Frequentie weekend]]," ",Ruimtestaat[[#This Row],[Vloer code]]))</f>
        <v/>
      </c>
      <c r="BE424" s="300" t="str">
        <f>_xlfn.IFNA(VLOOKUP($BD424,Programma!$F$3:$G$1107,2,0),"")</f>
        <v/>
      </c>
      <c r="BF424" s="300" t="str">
        <f>_xlfn.IFNA(VLOOKUP($BD424,Programma!$F$3:$H$1107,3,0),"")</f>
        <v/>
      </c>
      <c r="BG424" s="300" t="str">
        <f>_xlfn.IFNA(VLOOKUP($BD424,Programma!$F$3:$I$1107,4,0),"")</f>
        <v/>
      </c>
      <c r="BH424" s="300" t="str">
        <f>_xlfn.IFNA(VLOOKUP($BD424,Programma!$F$3:$J$1107,5,0),"")</f>
        <v/>
      </c>
      <c r="BI424" s="300" t="str">
        <f>_xlfn.IFNA(VLOOKUP($BD424,Programma!$F$3:$K$1107,6,0),"")</f>
        <v/>
      </c>
      <c r="BJ424" s="300" t="str">
        <f>_xlfn.IFNA(VLOOKUP($BD424,Programma!$F$3:$L$1107,7,0),"")</f>
        <v/>
      </c>
      <c r="BK424" s="300" t="str">
        <f>_xlfn.IFNA(VLOOKUP($BD424,Programma!$F$3:$M$1107,8,0),"")</f>
        <v/>
      </c>
      <c r="BL424" s="300" t="str">
        <f>_xlfn.IFNA(VLOOKUP($BD424,Programma!$F$3:$N$1107,9,0),"")</f>
        <v/>
      </c>
      <c r="BM424" s="300" t="str">
        <f>_xlfn.IFNA(VLOOKUP($BD424,Programma!$F$3:$O$1107,10,0),"")</f>
        <v/>
      </c>
      <c r="BN424" s="300" t="str">
        <f>_xlfn.IFNA(VLOOKUP($BD424,Programma!$F$3:$P$1107,11,0),"")</f>
        <v/>
      </c>
      <c r="BO424" s="300" t="str">
        <f>_xlfn.IFNA(VLOOKUP($BD424,Programma!$F$3:$Q$1107,12,0),"")</f>
        <v/>
      </c>
      <c r="BP424" s="300" t="str">
        <f>_xlfn.IFNA(VLOOKUP($BD424,Programma!$F$3:$R$1107,13,0),"")</f>
        <v/>
      </c>
      <c r="BQ424" s="300" t="str">
        <f>_xlfn.IFNA(VLOOKUP($BD424,Programma!$F$3:$S$1107,14,0),"")</f>
        <v/>
      </c>
      <c r="BR424" s="300" t="str">
        <f>_xlfn.IFNA(VLOOKUP($BD424,Programma!$F$3:$T$1107,15,0),"")</f>
        <v/>
      </c>
      <c r="BS424" s="300" t="str">
        <f>_xlfn.IFNA(VLOOKUP($BD424,Programma!$F$3:$U$1107,16,0),"")</f>
        <v/>
      </c>
      <c r="BT424" s="300" t="str">
        <f>_xlfn.IFNA(VLOOKUP($BD424,Programma!$F$3:$V$1107,17,0),"")</f>
        <v/>
      </c>
      <c r="BU424" s="300" t="str">
        <f>_xlfn.IFNA(VLOOKUP($BD424,Programma!$F$3:$W$1107,18,0),"")</f>
        <v/>
      </c>
      <c r="BV424" s="300" t="str">
        <f>_xlfn.IFNA(VLOOKUP($BD424,Programma!$F$3:$X$1107,19,0),"")</f>
        <v/>
      </c>
      <c r="BW424" s="300" t="str">
        <f>_xlfn.IFNA(VLOOKUP($BD424,Programma!$F$3:$Y$1107,20,0),"")</f>
        <v/>
      </c>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c r="GK424" s="4"/>
      <c r="GL424" s="4"/>
      <c r="GM424" s="4"/>
      <c r="GN424" s="4"/>
      <c r="GO424" s="4"/>
      <c r="GP424" s="4"/>
      <c r="GQ424" s="4"/>
      <c r="GR424" s="4"/>
      <c r="GS424" s="4"/>
      <c r="GT424" s="4"/>
      <c r="GU424" s="4"/>
      <c r="GV424" s="4"/>
      <c r="GW424" s="4"/>
      <c r="GX424" s="4"/>
      <c r="GY424" s="4"/>
      <c r="GZ424" s="4"/>
      <c r="HA424" s="4"/>
      <c r="HB424" s="4"/>
      <c r="HC424" s="4"/>
      <c r="HD424" s="4"/>
      <c r="HE424" s="4"/>
      <c r="HF424" s="4"/>
      <c r="HG424" s="4"/>
      <c r="HH424" s="4"/>
      <c r="HI424" s="4"/>
      <c r="HJ424" s="4"/>
      <c r="HK424" s="4"/>
      <c r="HL424" s="4"/>
    </row>
    <row r="425" spans="1:220" ht="15" customHeight="1">
      <c r="A425" s="21">
        <v>6</v>
      </c>
      <c r="B425" s="157" t="str">
        <f>VLOOKUP(Ruimtestaat[[#This Row],[Code]],Locaties[[Code]:[Locatie]],2,FALSE)</f>
        <v>Veurs Lyceum</v>
      </c>
      <c r="C425" s="157" t="str">
        <f>VLOOKUP(Ruimtestaat[[#This Row],[Code]],Locaties[[#All],[Code]:[Adres]],4,FALSE)</f>
        <v>Burg. Kolfschotenlaan 5</v>
      </c>
      <c r="D425" s="157" t="str">
        <f>VLOOKUP(Ruimtestaat[[#This Row],[Code]],Locaties[[#All],[Code]:[Postcode]],5,FALSE)</f>
        <v xml:space="preserve">2262 EZ </v>
      </c>
      <c r="E425" s="157" t="str">
        <f>VLOOKUP(Ruimtestaat[[#This Row],[Code]],Locaties[#All],6,FALSE)</f>
        <v>Leidschendam</v>
      </c>
      <c r="F425" s="62"/>
      <c r="G425" s="21" t="s">
        <v>1632</v>
      </c>
      <c r="H425" s="21">
        <v>1</v>
      </c>
      <c r="I425" s="62" t="s">
        <v>1633</v>
      </c>
      <c r="J425" s="21">
        <v>7</v>
      </c>
      <c r="K425" s="62" t="str">
        <f>VLOOKUP(Ruimtestaat[[#This Row],[Ruimte code]],Ruimtegroepen[[#All],[Code]:[Ruimte omschrijving]],2,FALSE)</f>
        <v>Entree</v>
      </c>
      <c r="L425" s="33" t="s">
        <v>100</v>
      </c>
      <c r="M425" s="367" t="s">
        <v>2493</v>
      </c>
      <c r="N425" s="140">
        <v>16</v>
      </c>
      <c r="O425" s="140"/>
      <c r="P425" s="125" t="str">
        <f>VLOOKUP(Ruimtestaat[[#This Row],[Ruimte code]],Ruimtegroepen[],4,FALSE)</f>
        <v>Ve</v>
      </c>
      <c r="R425" s="33">
        <v>40</v>
      </c>
      <c r="S425" s="33" t="s">
        <v>2</v>
      </c>
      <c r="T425" s="33">
        <f>IF(R425&gt;0,IF(RIGHT(Ruimtestaat[[#This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5" s="33">
        <f>IF(T425&gt;0,VLOOKUP($J425,Ruimtegroepen[],3,FALSE)*VLOOKUP($L425,Vloersoorten[],3,FALSE)*VLOOKUP($S425,Frequenties[],3,FALSE)*VLOOKUP($A425,Locaties[],3,FALSE),0)</f>
        <v>0</v>
      </c>
      <c r="V425" s="33">
        <f>Ruimtestaat[[#This Row],[Uitvoeringen werkdagen]]*Ruimtestaat[[#This Row],[Oppervlak (netto)]]</f>
        <v>3200</v>
      </c>
      <c r="W425" s="154">
        <f>IF(U425&gt;0,Ruimtestaat[[#This Row],[Prest. (m2 /jaar) werkdagen]]/Ruimtestaat[[#This Row],[Norm (m2/uur) werkdagen]],0)</f>
        <v>0</v>
      </c>
      <c r="X425" s="155">
        <f>Ruimtestaat[[#This Row],[uren / jaar werkdagen]]*Tariefsopbouw!$E$35</f>
        <v>0</v>
      </c>
      <c r="Y425" s="33"/>
      <c r="Z425" s="33">
        <f>IF(Ruimtestaat[[#This Row],[Frequentie weekend]]&gt;0,VALUE(LEFT(Y425,1))*R425,0)</f>
        <v>0</v>
      </c>
      <c r="AA425" s="97">
        <f>IF($Z425&gt;0,VLOOKUP($J425,Ruimtegroepen[],3,FALSE)*VLOOKUP($L425,Vloersoorten[],3,FALSE)*VLOOKUP($Y425,Frequenties[],3,FALSE)*VLOOKUP(Ruimtestaat[[#This Row],[Code]],Locaties[],3,FALSE),0)</f>
        <v>0</v>
      </c>
      <c r="AB425" s="97">
        <f>Ruimtestaat[[#This Row],[Uitvoeringen weekend]]*Ruimtestaat[[#This Row],[Oppervlak (netto)]]</f>
        <v>0</v>
      </c>
      <c r="AC425" s="97">
        <f>IF(AA425&gt;0,Ruimtestaat[[#This Row],[Prest. (m2 /jaar) weekend]]/Ruimtestaat[[#This Row],[Norm (m2/uur) weekend]],0)</f>
        <v>0</v>
      </c>
      <c r="AD425" s="155">
        <f>Ruimtestaat[[#This Row],[uren / jaar weekend]]*Tariefsopbouw!$D$40</f>
        <v>0</v>
      </c>
      <c r="AE425" s="154">
        <f>Ruimtestaat[[#This Row],[Prest. (m2 /jaar) weekend]]+Ruimtestaat[[#This Row],[Prest. (m2 /jaar) werkdagen]]</f>
        <v>3200</v>
      </c>
      <c r="AF425" s="154">
        <f>Ruimtestaat[[#This Row],[uren / jaar weekend]]+Ruimtestaat[[#This Row],[uren / jaar werkdagen]]</f>
        <v>0</v>
      </c>
      <c r="AG425" s="69">
        <f>Ruimtestaat[[#This Row],[kosten / jaar weekend]]+Ruimtestaat[[#This Row],[kosten / jaar werkdagen]]</f>
        <v>0</v>
      </c>
      <c r="AH425" s="69"/>
      <c r="AI425" s="256" t="str">
        <f>IF(Ruimtestaat[[#This Row],[Frequentie werkdagen]]="","",_xlfn.CONCAT(Ruimtestaat[[#This Row],[Ruimte code]],"-",Ruimtestaat[[#This Row],[Frequentie werkdagen]]," ",Ruimtestaat[[#This Row],[Vloer code]]))</f>
        <v>7-5w T</v>
      </c>
      <c r="AJ425" s="300" t="str">
        <f>_xlfn.IFNA(VLOOKUP($AI425,Programma!$F$3:$G$1107,2,0),"")</f>
        <v>_</v>
      </c>
      <c r="AK425" s="300" t="str">
        <f>_xlfn.IFNA(VLOOKUP($AI425,Programma!$F$3:$H$1107,3,0),"")</f>
        <v>5w</v>
      </c>
      <c r="AL425" s="300" t="str">
        <f>_xlfn.IFNA(VLOOKUP($AI425,Programma!$F$3:$I$1107,4,0),"")</f>
        <v>_</v>
      </c>
      <c r="AM425" s="300" t="str">
        <f>_xlfn.IFNA(VLOOKUP($AI425,Programma!$F$3:$J$1107,5,0),"")</f>
        <v>_</v>
      </c>
      <c r="AN425" s="300" t="str">
        <f>_xlfn.IFNA(VLOOKUP($AI425,Programma!$F$3:$K$1107,6,0),"")</f>
        <v>_</v>
      </c>
      <c r="AO425" s="300" t="str">
        <f>_xlfn.IFNA(VLOOKUP($AI425,Programma!$F$3:$L$1107,7,0),"")</f>
        <v>_</v>
      </c>
      <c r="AP425" s="300" t="str">
        <f>_xlfn.IFNA(VLOOKUP($AI425,Programma!$F$3:$M$1107,8,0),"")</f>
        <v>_</v>
      </c>
      <c r="AQ425" s="300" t="str">
        <f>_xlfn.IFNA(VLOOKUP($AI425,Programma!$F$3:$N$1107,9,0),"")</f>
        <v>_</v>
      </c>
      <c r="AR425" s="300" t="str">
        <f>_xlfn.IFNA(VLOOKUP($AI425,Programma!$F$3:$O$1107,10,0),"")</f>
        <v>5w</v>
      </c>
      <c r="AS425" s="300" t="str">
        <f>_xlfn.IFNA(VLOOKUP($AI425,Programma!$F$3:$P$1107,11,0),"")</f>
        <v>5w</v>
      </c>
      <c r="AT425" s="300" t="str">
        <f>_xlfn.IFNA(VLOOKUP($AI425,Programma!$F$3:$Q$1107,12,0),"")</f>
        <v>1w</v>
      </c>
      <c r="AU425" s="300" t="str">
        <f>_xlfn.IFNA(VLOOKUP($AI425,Programma!$F$3:$R$1107,13,0),"")</f>
        <v>1w</v>
      </c>
      <c r="AV425" s="300" t="str">
        <f>_xlfn.IFNA(VLOOKUP($AI425,Programma!$F$3:$S$1107,14,0),"")</f>
        <v>1m</v>
      </c>
      <c r="AW425" s="300" t="str">
        <f>_xlfn.IFNA(VLOOKUP($AI425,Programma!$F$3:$T$1107,15,0),"")</f>
        <v>2j</v>
      </c>
      <c r="AX425" s="300" t="str">
        <f>_xlfn.IFNA(VLOOKUP($AI425,Programma!$F$3:$U$1107,16,0),"")</f>
        <v>1j</v>
      </c>
      <c r="AY425" s="300" t="str">
        <f>_xlfn.IFNA(VLOOKUP($AI425,Programma!$F$3:$V$1107,17,0),"")</f>
        <v>_</v>
      </c>
      <c r="AZ425" s="300" t="str">
        <f>_xlfn.IFNA(VLOOKUP($AI425,Programma!$F$3:$W$1107,18,0),"")</f>
        <v>_</v>
      </c>
      <c r="BA425" s="300" t="str">
        <f>_xlfn.IFNA(VLOOKUP($AI425,Programma!$F$3:$X$1107,19,0),"")</f>
        <v>_</v>
      </c>
      <c r="BB425" s="300" t="str">
        <f>_xlfn.IFNA(VLOOKUP($AI425,Programma!$F$3:$Y$1107,20,0),"")</f>
        <v>_</v>
      </c>
      <c r="BC425" s="257"/>
      <c r="BD425" s="256" t="str">
        <f>IF(Ruimtestaat[[#This Row],[Frequentie weekend]]="","",_xlfn.CONCAT(Ruimtestaat[[#This Row],[Ruimte code]],"-",Ruimtestaat[[#This Row],[Frequentie weekend]]," ",Ruimtestaat[[#This Row],[Vloer code]]))</f>
        <v/>
      </c>
      <c r="BE425" s="300" t="str">
        <f>_xlfn.IFNA(VLOOKUP($BD425,Programma!$F$3:$G$1107,2,0),"")</f>
        <v/>
      </c>
      <c r="BF425" s="300" t="str">
        <f>_xlfn.IFNA(VLOOKUP($BD425,Programma!$F$3:$H$1107,3,0),"")</f>
        <v/>
      </c>
      <c r="BG425" s="300" t="str">
        <f>_xlfn.IFNA(VLOOKUP($BD425,Programma!$F$3:$I$1107,4,0),"")</f>
        <v/>
      </c>
      <c r="BH425" s="300" t="str">
        <f>_xlfn.IFNA(VLOOKUP($BD425,Programma!$F$3:$J$1107,5,0),"")</f>
        <v/>
      </c>
      <c r="BI425" s="300" t="str">
        <f>_xlfn.IFNA(VLOOKUP($BD425,Programma!$F$3:$K$1107,6,0),"")</f>
        <v/>
      </c>
      <c r="BJ425" s="300" t="str">
        <f>_xlfn.IFNA(VLOOKUP($BD425,Programma!$F$3:$L$1107,7,0),"")</f>
        <v/>
      </c>
      <c r="BK425" s="300" t="str">
        <f>_xlfn.IFNA(VLOOKUP($BD425,Programma!$F$3:$M$1107,8,0),"")</f>
        <v/>
      </c>
      <c r="BL425" s="300" t="str">
        <f>_xlfn.IFNA(VLOOKUP($BD425,Programma!$F$3:$N$1107,9,0),"")</f>
        <v/>
      </c>
      <c r="BM425" s="300" t="str">
        <f>_xlfn.IFNA(VLOOKUP($BD425,Programma!$F$3:$O$1107,10,0),"")</f>
        <v/>
      </c>
      <c r="BN425" s="300" t="str">
        <f>_xlfn.IFNA(VLOOKUP($BD425,Programma!$F$3:$P$1107,11,0),"")</f>
        <v/>
      </c>
      <c r="BO425" s="300" t="str">
        <f>_xlfn.IFNA(VLOOKUP($BD425,Programma!$F$3:$Q$1107,12,0),"")</f>
        <v/>
      </c>
      <c r="BP425" s="300" t="str">
        <f>_xlfn.IFNA(VLOOKUP($BD425,Programma!$F$3:$R$1107,13,0),"")</f>
        <v/>
      </c>
      <c r="BQ425" s="300" t="str">
        <f>_xlfn.IFNA(VLOOKUP($BD425,Programma!$F$3:$S$1107,14,0),"")</f>
        <v/>
      </c>
      <c r="BR425" s="300" t="str">
        <f>_xlfn.IFNA(VLOOKUP($BD425,Programma!$F$3:$T$1107,15,0),"")</f>
        <v/>
      </c>
      <c r="BS425" s="300" t="str">
        <f>_xlfn.IFNA(VLOOKUP($BD425,Programma!$F$3:$U$1107,16,0),"")</f>
        <v/>
      </c>
      <c r="BT425" s="300" t="str">
        <f>_xlfn.IFNA(VLOOKUP($BD425,Programma!$F$3:$V$1107,17,0),"")</f>
        <v/>
      </c>
      <c r="BU425" s="300" t="str">
        <f>_xlfn.IFNA(VLOOKUP($BD425,Programma!$F$3:$W$1107,18,0),"")</f>
        <v/>
      </c>
      <c r="BV425" s="300" t="str">
        <f>_xlfn.IFNA(VLOOKUP($BD425,Programma!$F$3:$X$1107,19,0),"")</f>
        <v/>
      </c>
      <c r="BW425" s="300" t="str">
        <f>_xlfn.IFNA(VLOOKUP($BD425,Programma!$F$3:$Y$1107,20,0),"")</f>
        <v/>
      </c>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c r="GK425" s="4"/>
      <c r="GL425" s="4"/>
      <c r="GM425" s="4"/>
      <c r="GN425" s="4"/>
      <c r="GO425" s="4"/>
      <c r="GP425" s="4"/>
      <c r="GQ425" s="4"/>
      <c r="GR425" s="4"/>
      <c r="GS425" s="4"/>
      <c r="GT425" s="4"/>
      <c r="GU425" s="4"/>
      <c r="GV425" s="4"/>
      <c r="GW425" s="4"/>
      <c r="GX425" s="4"/>
      <c r="GY425" s="4"/>
      <c r="GZ425" s="4"/>
      <c r="HA425" s="4"/>
      <c r="HB425" s="4"/>
      <c r="HC425" s="4"/>
      <c r="HD425" s="4"/>
      <c r="HE425" s="4"/>
      <c r="HF425" s="4"/>
      <c r="HG425" s="4"/>
      <c r="HH425" s="4"/>
      <c r="HI425" s="4"/>
      <c r="HJ425" s="4"/>
      <c r="HK425" s="4"/>
      <c r="HL425" s="4"/>
    </row>
    <row r="426" spans="1:220" ht="15" customHeight="1">
      <c r="A426" s="21">
        <v>6</v>
      </c>
      <c r="B426" s="157" t="str">
        <f>VLOOKUP(Ruimtestaat[[#This Row],[Code]],Locaties[[Code]:[Locatie]],2,FALSE)</f>
        <v>Veurs Lyceum</v>
      </c>
      <c r="C426" s="157" t="str">
        <f>VLOOKUP(Ruimtestaat[[#This Row],[Code]],Locaties[[#All],[Code]:[Adres]],4,FALSE)</f>
        <v>Burg. Kolfschotenlaan 5</v>
      </c>
      <c r="D426" s="157" t="str">
        <f>VLOOKUP(Ruimtestaat[[#This Row],[Code]],Locaties[[#All],[Code]:[Postcode]],5,FALSE)</f>
        <v xml:space="preserve">2262 EZ </v>
      </c>
      <c r="E426" s="157" t="str">
        <f>VLOOKUP(Ruimtestaat[[#This Row],[Code]],Locaties[#All],6,FALSE)</f>
        <v>Leidschendam</v>
      </c>
      <c r="F426" s="62"/>
      <c r="G426" s="21" t="s">
        <v>1632</v>
      </c>
      <c r="H426" s="21">
        <v>2</v>
      </c>
      <c r="I426" s="62" t="s">
        <v>1807</v>
      </c>
      <c r="J426" s="21">
        <v>6</v>
      </c>
      <c r="K426" s="62" t="str">
        <f>VLOOKUP(Ruimtestaat[[#This Row],[Ruimte code]],Ruimtegroepen[[#All],[Code]:[Ruimte omschrijving]],2,FALSE)</f>
        <v>Gangen/hallen</v>
      </c>
      <c r="L426" s="33" t="s">
        <v>102</v>
      </c>
      <c r="M426" s="367" t="s">
        <v>2509</v>
      </c>
      <c r="N426" s="140">
        <v>382</v>
      </c>
      <c r="O426" s="140"/>
      <c r="P426" s="125" t="str">
        <f>VLOOKUP(Ruimtestaat[[#This Row],[Ruimte code]],Ruimtegroepen[],4,FALSE)</f>
        <v>Ve</v>
      </c>
      <c r="R426" s="33">
        <v>40</v>
      </c>
      <c r="S426" s="33" t="s">
        <v>2</v>
      </c>
      <c r="T426" s="33">
        <f>IF(R426&gt;0,IF(RIGHT(Ruimtestaat[[#This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6" s="33">
        <f>IF(T426&gt;0,VLOOKUP($J426,Ruimtegroepen[],3,FALSE)*VLOOKUP($L426,Vloersoorten[],3,FALSE)*VLOOKUP($S426,Frequenties[],3,FALSE)*VLOOKUP($A426,Locaties[],3,FALSE),0)</f>
        <v>0</v>
      </c>
      <c r="V426" s="33">
        <f>Ruimtestaat[[#This Row],[Uitvoeringen werkdagen]]*Ruimtestaat[[#This Row],[Oppervlak (netto)]]</f>
        <v>76400</v>
      </c>
      <c r="W426" s="154">
        <f>IF(U426&gt;0,Ruimtestaat[[#This Row],[Prest. (m2 /jaar) werkdagen]]/Ruimtestaat[[#This Row],[Norm (m2/uur) werkdagen]],0)</f>
        <v>0</v>
      </c>
      <c r="X426" s="155">
        <f>Ruimtestaat[[#This Row],[uren / jaar werkdagen]]*Tariefsopbouw!$E$35</f>
        <v>0</v>
      </c>
      <c r="Y426" s="33"/>
      <c r="Z426" s="33">
        <f>IF(Ruimtestaat[[#This Row],[Frequentie weekend]]&gt;0,VALUE(LEFT(Y426,1))*R426,0)</f>
        <v>0</v>
      </c>
      <c r="AA426" s="97">
        <f>IF($Z426&gt;0,VLOOKUP($J426,Ruimtegroepen[],3,FALSE)*VLOOKUP($L426,Vloersoorten[],3,FALSE)*VLOOKUP($Y426,Frequenties[],3,FALSE)*VLOOKUP(Ruimtestaat[[#This Row],[Code]],Locaties[],3,FALSE),0)</f>
        <v>0</v>
      </c>
      <c r="AB426" s="97">
        <f>Ruimtestaat[[#This Row],[Uitvoeringen weekend]]*Ruimtestaat[[#This Row],[Oppervlak (netto)]]</f>
        <v>0</v>
      </c>
      <c r="AC426" s="97">
        <f>IF(AA426&gt;0,Ruimtestaat[[#This Row],[Prest. (m2 /jaar) weekend]]/Ruimtestaat[[#This Row],[Norm (m2/uur) weekend]],0)</f>
        <v>0</v>
      </c>
      <c r="AD426" s="155">
        <f>Ruimtestaat[[#This Row],[uren / jaar weekend]]*Tariefsopbouw!$D$40</f>
        <v>0</v>
      </c>
      <c r="AE426" s="154">
        <f>Ruimtestaat[[#This Row],[Prest. (m2 /jaar) weekend]]+Ruimtestaat[[#This Row],[Prest. (m2 /jaar) werkdagen]]</f>
        <v>76400</v>
      </c>
      <c r="AF426" s="154">
        <f>Ruimtestaat[[#This Row],[uren / jaar weekend]]+Ruimtestaat[[#This Row],[uren / jaar werkdagen]]</f>
        <v>0</v>
      </c>
      <c r="AG426" s="69">
        <f>Ruimtestaat[[#This Row],[kosten / jaar weekend]]+Ruimtestaat[[#This Row],[kosten / jaar werkdagen]]</f>
        <v>0</v>
      </c>
      <c r="AH426" s="69"/>
      <c r="AI426" s="256" t="str">
        <f>IF(Ruimtestaat[[#This Row],[Frequentie werkdagen]]="","",_xlfn.CONCAT(Ruimtestaat[[#This Row],[Ruimte code]],"-",Ruimtestaat[[#This Row],[Frequentie werkdagen]]," ",Ruimtestaat[[#This Row],[Vloer code]]))</f>
        <v>6-5w S</v>
      </c>
      <c r="AJ426" s="300" t="str">
        <f>_xlfn.IFNA(VLOOKUP($AI426,Programma!$F$3:$G$1107,2,0),"")</f>
        <v>_</v>
      </c>
      <c r="AK426" s="300" t="str">
        <f>_xlfn.IFNA(VLOOKUP($AI426,Programma!$F$3:$H$1107,3,0),"")</f>
        <v>_</v>
      </c>
      <c r="AL426" s="300" t="str">
        <f>_xlfn.IFNA(VLOOKUP($AI426,Programma!$F$3:$I$1107,4,0),"")</f>
        <v>5w</v>
      </c>
      <c r="AM426" s="300" t="str">
        <f>_xlfn.IFNA(VLOOKUP($AI426,Programma!$F$3:$J$1107,5,0),"")</f>
        <v>_</v>
      </c>
      <c r="AN426" s="300" t="str">
        <f>_xlfn.IFNA(VLOOKUP($AI426,Programma!$F$3:$K$1107,6,0),"")</f>
        <v>5w</v>
      </c>
      <c r="AO426" s="300" t="str">
        <f>_xlfn.IFNA(VLOOKUP($AI426,Programma!$F$3:$L$1107,7,0),"")</f>
        <v>_</v>
      </c>
      <c r="AP426" s="300" t="str">
        <f>_xlfn.IFNA(VLOOKUP($AI426,Programma!$F$3:$M$1107,8,0),"")</f>
        <v>_</v>
      </c>
      <c r="AQ426" s="300" t="str">
        <f>_xlfn.IFNA(VLOOKUP($AI426,Programma!$F$3:$N$1107,9,0),"")</f>
        <v>_</v>
      </c>
      <c r="AR426" s="300" t="str">
        <f>_xlfn.IFNA(VLOOKUP($AI426,Programma!$F$3:$O$1107,10,0),"")</f>
        <v>5w</v>
      </c>
      <c r="AS426" s="300" t="str">
        <f>_xlfn.IFNA(VLOOKUP($AI426,Programma!$F$3:$P$1107,11,0),"")</f>
        <v>5w</v>
      </c>
      <c r="AT426" s="300" t="str">
        <f>_xlfn.IFNA(VLOOKUP($AI426,Programma!$F$3:$Q$1107,12,0),"")</f>
        <v>1w</v>
      </c>
      <c r="AU426" s="300" t="str">
        <f>_xlfn.IFNA(VLOOKUP($AI426,Programma!$F$3:$R$1107,13,0),"")</f>
        <v>1w</v>
      </c>
      <c r="AV426" s="300" t="str">
        <f>_xlfn.IFNA(VLOOKUP($AI426,Programma!$F$3:$S$1107,14,0),"")</f>
        <v>1m</v>
      </c>
      <c r="AW426" s="300" t="str">
        <f>_xlfn.IFNA(VLOOKUP($AI426,Programma!$F$3:$T$1107,15,0),"")</f>
        <v>2j</v>
      </c>
      <c r="AX426" s="300" t="str">
        <f>_xlfn.IFNA(VLOOKUP($AI426,Programma!$F$3:$U$1107,16,0),"")</f>
        <v>1j</v>
      </c>
      <c r="AY426" s="300" t="str">
        <f>_xlfn.IFNA(VLOOKUP($AI426,Programma!$F$3:$V$1107,17,0),"")</f>
        <v>_</v>
      </c>
      <c r="AZ426" s="300" t="str">
        <f>_xlfn.IFNA(VLOOKUP($AI426,Programma!$F$3:$W$1107,18,0),"")</f>
        <v>_</v>
      </c>
      <c r="BA426" s="300" t="str">
        <f>_xlfn.IFNA(VLOOKUP($AI426,Programma!$F$3:$X$1107,19,0),"")</f>
        <v>_</v>
      </c>
      <c r="BB426" s="300" t="str">
        <f>_xlfn.IFNA(VLOOKUP($AI426,Programma!$F$3:$Y$1107,20,0),"")</f>
        <v>_</v>
      </c>
      <c r="BC426" s="257"/>
      <c r="BD426" s="256" t="str">
        <f>IF(Ruimtestaat[[#This Row],[Frequentie weekend]]="","",_xlfn.CONCAT(Ruimtestaat[[#This Row],[Ruimte code]],"-",Ruimtestaat[[#This Row],[Frequentie weekend]]," ",Ruimtestaat[[#This Row],[Vloer code]]))</f>
        <v/>
      </c>
      <c r="BE426" s="300" t="str">
        <f>_xlfn.IFNA(VLOOKUP($BD426,Programma!$F$3:$G$1107,2,0),"")</f>
        <v/>
      </c>
      <c r="BF426" s="300" t="str">
        <f>_xlfn.IFNA(VLOOKUP($BD426,Programma!$F$3:$H$1107,3,0),"")</f>
        <v/>
      </c>
      <c r="BG426" s="300" t="str">
        <f>_xlfn.IFNA(VLOOKUP($BD426,Programma!$F$3:$I$1107,4,0),"")</f>
        <v/>
      </c>
      <c r="BH426" s="300" t="str">
        <f>_xlfn.IFNA(VLOOKUP($BD426,Programma!$F$3:$J$1107,5,0),"")</f>
        <v/>
      </c>
      <c r="BI426" s="300" t="str">
        <f>_xlfn.IFNA(VLOOKUP($BD426,Programma!$F$3:$K$1107,6,0),"")</f>
        <v/>
      </c>
      <c r="BJ426" s="300" t="str">
        <f>_xlfn.IFNA(VLOOKUP($BD426,Programma!$F$3:$L$1107,7,0),"")</f>
        <v/>
      </c>
      <c r="BK426" s="300" t="str">
        <f>_xlfn.IFNA(VLOOKUP($BD426,Programma!$F$3:$M$1107,8,0),"")</f>
        <v/>
      </c>
      <c r="BL426" s="300" t="str">
        <f>_xlfn.IFNA(VLOOKUP($BD426,Programma!$F$3:$N$1107,9,0),"")</f>
        <v/>
      </c>
      <c r="BM426" s="300" t="str">
        <f>_xlfn.IFNA(VLOOKUP($BD426,Programma!$F$3:$O$1107,10,0),"")</f>
        <v/>
      </c>
      <c r="BN426" s="300" t="str">
        <f>_xlfn.IFNA(VLOOKUP($BD426,Programma!$F$3:$P$1107,11,0),"")</f>
        <v/>
      </c>
      <c r="BO426" s="300" t="str">
        <f>_xlfn.IFNA(VLOOKUP($BD426,Programma!$F$3:$Q$1107,12,0),"")</f>
        <v/>
      </c>
      <c r="BP426" s="300" t="str">
        <f>_xlfn.IFNA(VLOOKUP($BD426,Programma!$F$3:$R$1107,13,0),"")</f>
        <v/>
      </c>
      <c r="BQ426" s="300" t="str">
        <f>_xlfn.IFNA(VLOOKUP($BD426,Programma!$F$3:$S$1107,14,0),"")</f>
        <v/>
      </c>
      <c r="BR426" s="300" t="str">
        <f>_xlfn.IFNA(VLOOKUP($BD426,Programma!$F$3:$T$1107,15,0),"")</f>
        <v/>
      </c>
      <c r="BS426" s="300" t="str">
        <f>_xlfn.IFNA(VLOOKUP($BD426,Programma!$F$3:$U$1107,16,0),"")</f>
        <v/>
      </c>
      <c r="BT426" s="300" t="str">
        <f>_xlfn.IFNA(VLOOKUP($BD426,Programma!$F$3:$V$1107,17,0),"")</f>
        <v/>
      </c>
      <c r="BU426" s="300" t="str">
        <f>_xlfn.IFNA(VLOOKUP($BD426,Programma!$F$3:$W$1107,18,0),"")</f>
        <v/>
      </c>
      <c r="BV426" s="300" t="str">
        <f>_xlfn.IFNA(VLOOKUP($BD426,Programma!$F$3:$X$1107,19,0),"")</f>
        <v/>
      </c>
      <c r="BW426" s="300" t="str">
        <f>_xlfn.IFNA(VLOOKUP($BD426,Programma!$F$3:$Y$1107,20,0),"")</f>
        <v/>
      </c>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c r="GK426" s="4"/>
      <c r="GL426" s="4"/>
      <c r="GM426" s="4"/>
      <c r="GN426" s="4"/>
      <c r="GO426" s="4"/>
      <c r="GP426" s="4"/>
      <c r="GQ426" s="4"/>
      <c r="GR426" s="4"/>
      <c r="GS426" s="4"/>
      <c r="GT426" s="4"/>
      <c r="GU426" s="4"/>
      <c r="GV426" s="4"/>
      <c r="GW426" s="4"/>
      <c r="GX426" s="4"/>
      <c r="GY426" s="4"/>
      <c r="GZ426" s="4"/>
      <c r="HA426" s="4"/>
      <c r="HB426" s="4"/>
      <c r="HC426" s="4"/>
      <c r="HD426" s="4"/>
      <c r="HE426" s="4"/>
      <c r="HF426" s="4"/>
      <c r="HG426" s="4"/>
      <c r="HH426" s="4"/>
      <c r="HI426" s="4"/>
      <c r="HJ426" s="4"/>
      <c r="HK426" s="4"/>
      <c r="HL426" s="4"/>
    </row>
    <row r="427" spans="1:220" ht="15" customHeight="1">
      <c r="A427" s="21">
        <v>6</v>
      </c>
      <c r="B427" s="157" t="str">
        <f>VLOOKUP(Ruimtestaat[[#This Row],[Code]],Locaties[[Code]:[Locatie]],2,FALSE)</f>
        <v>Veurs Lyceum</v>
      </c>
      <c r="C427" s="157" t="str">
        <f>VLOOKUP(Ruimtestaat[[#This Row],[Code]],Locaties[[#All],[Code]:[Adres]],4,FALSE)</f>
        <v>Burg. Kolfschotenlaan 5</v>
      </c>
      <c r="D427" s="157" t="str">
        <f>VLOOKUP(Ruimtestaat[[#This Row],[Code]],Locaties[[#All],[Code]:[Postcode]],5,FALSE)</f>
        <v xml:space="preserve">2262 EZ </v>
      </c>
      <c r="E427" s="157" t="str">
        <f>VLOOKUP(Ruimtestaat[[#This Row],[Code]],Locaties[#All],6,FALSE)</f>
        <v>Leidschendam</v>
      </c>
      <c r="F427" s="62"/>
      <c r="G427" s="21" t="s">
        <v>1632</v>
      </c>
      <c r="H427" s="21">
        <v>3</v>
      </c>
      <c r="I427" s="62" t="s">
        <v>1637</v>
      </c>
      <c r="J427" s="21">
        <v>10</v>
      </c>
      <c r="K427" s="62" t="str">
        <f>VLOOKUP(Ruimtestaat[[#This Row],[Ruimte code]],Ruimtegroepen[[#All],[Code]:[Ruimte omschrijving]],2,FALSE)</f>
        <v>Trappenhuizen/lift</v>
      </c>
      <c r="L427" s="33" t="s">
        <v>101</v>
      </c>
      <c r="M427" s="367" t="s">
        <v>2516</v>
      </c>
      <c r="N427" s="140">
        <v>2</v>
      </c>
      <c r="O427" s="140"/>
      <c r="P427" s="125" t="str">
        <f>VLOOKUP(Ruimtestaat[[#This Row],[Ruimte code]],Ruimtegroepen[],4,FALSE)</f>
        <v>Ve</v>
      </c>
      <c r="R427" s="33">
        <v>40</v>
      </c>
      <c r="S427" s="33" t="s">
        <v>2</v>
      </c>
      <c r="T427" s="33">
        <f>IF(R427&gt;0,IF(RIGHT(Ruimtestaat[[#This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7" s="33">
        <f>IF(T427&gt;0,VLOOKUP($J427,Ruimtegroepen[],3,FALSE)*VLOOKUP($L427,Vloersoorten[],3,FALSE)*VLOOKUP($S427,Frequenties[],3,FALSE)*VLOOKUP($A427,Locaties[],3,FALSE),0)</f>
        <v>0</v>
      </c>
      <c r="V427" s="33">
        <f>Ruimtestaat[[#This Row],[Uitvoeringen werkdagen]]*Ruimtestaat[[#This Row],[Oppervlak (netto)]]</f>
        <v>400</v>
      </c>
      <c r="W427" s="154">
        <f>IF(U427&gt;0,Ruimtestaat[[#This Row],[Prest. (m2 /jaar) werkdagen]]/Ruimtestaat[[#This Row],[Norm (m2/uur) werkdagen]],0)</f>
        <v>0</v>
      </c>
      <c r="X427" s="155">
        <f>Ruimtestaat[[#This Row],[uren / jaar werkdagen]]*Tariefsopbouw!$E$35</f>
        <v>0</v>
      </c>
      <c r="Y427" s="33"/>
      <c r="Z427" s="33">
        <f>IF(Ruimtestaat[[#This Row],[Frequentie weekend]]&gt;0,VALUE(LEFT(Y427,1))*R427,0)</f>
        <v>0</v>
      </c>
      <c r="AA427" s="97">
        <f>IF($Z427&gt;0,VLOOKUP($J427,Ruimtegroepen[],3,FALSE)*VLOOKUP($L427,Vloersoorten[],3,FALSE)*VLOOKUP($Y427,Frequenties[],3,FALSE)*VLOOKUP(Ruimtestaat[[#This Row],[Code]],Locaties[],3,FALSE),0)</f>
        <v>0</v>
      </c>
      <c r="AB427" s="97">
        <f>Ruimtestaat[[#This Row],[Uitvoeringen weekend]]*Ruimtestaat[[#This Row],[Oppervlak (netto)]]</f>
        <v>0</v>
      </c>
      <c r="AC427" s="97">
        <f>IF(AA427&gt;0,Ruimtestaat[[#This Row],[Prest. (m2 /jaar) weekend]]/Ruimtestaat[[#This Row],[Norm (m2/uur) weekend]],0)</f>
        <v>0</v>
      </c>
      <c r="AD427" s="155">
        <f>Ruimtestaat[[#This Row],[uren / jaar weekend]]*Tariefsopbouw!$D$40</f>
        <v>0</v>
      </c>
      <c r="AE427" s="154">
        <f>Ruimtestaat[[#This Row],[Prest. (m2 /jaar) weekend]]+Ruimtestaat[[#This Row],[Prest. (m2 /jaar) werkdagen]]</f>
        <v>400</v>
      </c>
      <c r="AF427" s="154">
        <f>Ruimtestaat[[#This Row],[uren / jaar weekend]]+Ruimtestaat[[#This Row],[uren / jaar werkdagen]]</f>
        <v>0</v>
      </c>
      <c r="AG427" s="69">
        <f>Ruimtestaat[[#This Row],[kosten / jaar weekend]]+Ruimtestaat[[#This Row],[kosten / jaar werkdagen]]</f>
        <v>0</v>
      </c>
      <c r="AH427" s="69"/>
      <c r="AI427" s="256" t="str">
        <f>IF(Ruimtestaat[[#This Row],[Frequentie werkdagen]]="","",_xlfn.CONCAT(Ruimtestaat[[#This Row],[Ruimte code]],"-",Ruimtestaat[[#This Row],[Frequentie werkdagen]]," ",Ruimtestaat[[#This Row],[Vloer code]]))</f>
        <v>10-5w L</v>
      </c>
      <c r="AJ427" s="300" t="str">
        <f>_xlfn.IFNA(VLOOKUP($AI427,Programma!$F$3:$G$1107,2,0),"")</f>
        <v>_</v>
      </c>
      <c r="AK427" s="300" t="str">
        <f>_xlfn.IFNA(VLOOKUP($AI427,Programma!$F$3:$H$1107,3,0),"")</f>
        <v>_</v>
      </c>
      <c r="AL427" s="300" t="str">
        <f>_xlfn.IFNA(VLOOKUP($AI427,Programma!$F$3:$I$1107,4,0),"")</f>
        <v>4w</v>
      </c>
      <c r="AM427" s="300" t="str">
        <f>_xlfn.IFNA(VLOOKUP($AI427,Programma!$F$3:$J$1107,5,0),"")</f>
        <v>1w</v>
      </c>
      <c r="AN427" s="300" t="str">
        <f>_xlfn.IFNA(VLOOKUP($AI427,Programma!$F$3:$K$1107,6,0),"")</f>
        <v>_</v>
      </c>
      <c r="AO427" s="300" t="str">
        <f>_xlfn.IFNA(VLOOKUP($AI427,Programma!$F$3:$L$1107,7,0),"")</f>
        <v>_</v>
      </c>
      <c r="AP427" s="300" t="str">
        <f>_xlfn.IFNA(VLOOKUP($AI427,Programma!$F$3:$M$1107,8,0),"")</f>
        <v>_</v>
      </c>
      <c r="AQ427" s="300" t="str">
        <f>_xlfn.IFNA(VLOOKUP($AI427,Programma!$F$3:$N$1107,9,0),"")</f>
        <v>_</v>
      </c>
      <c r="AR427" s="300" t="str">
        <f>_xlfn.IFNA(VLOOKUP($AI427,Programma!$F$3:$O$1107,10,0),"")</f>
        <v>5w</v>
      </c>
      <c r="AS427" s="300" t="str">
        <f>_xlfn.IFNA(VLOOKUP($AI427,Programma!$F$3:$P$1107,11,0),"")</f>
        <v>5w</v>
      </c>
      <c r="AT427" s="300" t="str">
        <f>_xlfn.IFNA(VLOOKUP($AI427,Programma!$F$3:$Q$1107,12,0),"")</f>
        <v>1w</v>
      </c>
      <c r="AU427" s="300" t="str">
        <f>_xlfn.IFNA(VLOOKUP($AI427,Programma!$F$3:$R$1107,13,0),"")</f>
        <v>1w</v>
      </c>
      <c r="AV427" s="300" t="str">
        <f>_xlfn.IFNA(VLOOKUP($AI427,Programma!$F$3:$S$1107,14,0),"")</f>
        <v>1m</v>
      </c>
      <c r="AW427" s="300" t="str">
        <f>_xlfn.IFNA(VLOOKUP($AI427,Programma!$F$3:$T$1107,15,0),"")</f>
        <v>2j</v>
      </c>
      <c r="AX427" s="300" t="str">
        <f>_xlfn.IFNA(VLOOKUP($AI427,Programma!$F$3:$U$1107,16,0),"")</f>
        <v>1j</v>
      </c>
      <c r="AY427" s="300" t="str">
        <f>_xlfn.IFNA(VLOOKUP($AI427,Programma!$F$3:$V$1107,17,0),"")</f>
        <v>_</v>
      </c>
      <c r="AZ427" s="300" t="str">
        <f>_xlfn.IFNA(VLOOKUP($AI427,Programma!$F$3:$W$1107,18,0),"")</f>
        <v>_</v>
      </c>
      <c r="BA427" s="300" t="str">
        <f>_xlfn.IFNA(VLOOKUP($AI427,Programma!$F$3:$X$1107,19,0),"")</f>
        <v>_</v>
      </c>
      <c r="BB427" s="300" t="str">
        <f>_xlfn.IFNA(VLOOKUP($AI427,Programma!$F$3:$Y$1107,20,0),"")</f>
        <v>_</v>
      </c>
      <c r="BC427" s="257"/>
      <c r="BD427" s="256" t="str">
        <f>IF(Ruimtestaat[[#This Row],[Frequentie weekend]]="","",_xlfn.CONCAT(Ruimtestaat[[#This Row],[Ruimte code]],"-",Ruimtestaat[[#This Row],[Frequentie weekend]]," ",Ruimtestaat[[#This Row],[Vloer code]]))</f>
        <v/>
      </c>
      <c r="BE427" s="300" t="str">
        <f>_xlfn.IFNA(VLOOKUP($BD427,Programma!$F$3:$G$1107,2,0),"")</f>
        <v/>
      </c>
      <c r="BF427" s="300" t="str">
        <f>_xlfn.IFNA(VLOOKUP($BD427,Programma!$F$3:$H$1107,3,0),"")</f>
        <v/>
      </c>
      <c r="BG427" s="300" t="str">
        <f>_xlfn.IFNA(VLOOKUP($BD427,Programma!$F$3:$I$1107,4,0),"")</f>
        <v/>
      </c>
      <c r="BH427" s="300" t="str">
        <f>_xlfn.IFNA(VLOOKUP($BD427,Programma!$F$3:$J$1107,5,0),"")</f>
        <v/>
      </c>
      <c r="BI427" s="300" t="str">
        <f>_xlfn.IFNA(VLOOKUP($BD427,Programma!$F$3:$K$1107,6,0),"")</f>
        <v/>
      </c>
      <c r="BJ427" s="300" t="str">
        <f>_xlfn.IFNA(VLOOKUP($BD427,Programma!$F$3:$L$1107,7,0),"")</f>
        <v/>
      </c>
      <c r="BK427" s="300" t="str">
        <f>_xlfn.IFNA(VLOOKUP($BD427,Programma!$F$3:$M$1107,8,0),"")</f>
        <v/>
      </c>
      <c r="BL427" s="300" t="str">
        <f>_xlfn.IFNA(VLOOKUP($BD427,Programma!$F$3:$N$1107,9,0),"")</f>
        <v/>
      </c>
      <c r="BM427" s="300" t="str">
        <f>_xlfn.IFNA(VLOOKUP($BD427,Programma!$F$3:$O$1107,10,0),"")</f>
        <v/>
      </c>
      <c r="BN427" s="300" t="str">
        <f>_xlfn.IFNA(VLOOKUP($BD427,Programma!$F$3:$P$1107,11,0),"")</f>
        <v/>
      </c>
      <c r="BO427" s="300" t="str">
        <f>_xlfn.IFNA(VLOOKUP($BD427,Programma!$F$3:$Q$1107,12,0),"")</f>
        <v/>
      </c>
      <c r="BP427" s="300" t="str">
        <f>_xlfn.IFNA(VLOOKUP($BD427,Programma!$F$3:$R$1107,13,0),"")</f>
        <v/>
      </c>
      <c r="BQ427" s="300" t="str">
        <f>_xlfn.IFNA(VLOOKUP($BD427,Programma!$F$3:$S$1107,14,0),"")</f>
        <v/>
      </c>
      <c r="BR427" s="300" t="str">
        <f>_xlfn.IFNA(VLOOKUP($BD427,Programma!$F$3:$T$1107,15,0),"")</f>
        <v/>
      </c>
      <c r="BS427" s="300" t="str">
        <f>_xlfn.IFNA(VLOOKUP($BD427,Programma!$F$3:$U$1107,16,0),"")</f>
        <v/>
      </c>
      <c r="BT427" s="300" t="str">
        <f>_xlfn.IFNA(VLOOKUP($BD427,Programma!$F$3:$V$1107,17,0),"")</f>
        <v/>
      </c>
      <c r="BU427" s="300" t="str">
        <f>_xlfn.IFNA(VLOOKUP($BD427,Programma!$F$3:$W$1107,18,0),"")</f>
        <v/>
      </c>
      <c r="BV427" s="300" t="str">
        <f>_xlfn.IFNA(VLOOKUP($BD427,Programma!$F$3:$X$1107,19,0),"")</f>
        <v/>
      </c>
      <c r="BW427" s="300" t="str">
        <f>_xlfn.IFNA(VLOOKUP($BD427,Programma!$F$3:$Y$1107,20,0),"")</f>
        <v/>
      </c>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c r="GK427" s="4"/>
      <c r="GL427" s="4"/>
      <c r="GM427" s="4"/>
      <c r="GN427" s="4"/>
      <c r="GO427" s="4"/>
      <c r="GP427" s="4"/>
      <c r="GQ427" s="4"/>
      <c r="GR427" s="4"/>
      <c r="GS427" s="4"/>
      <c r="GT427" s="4"/>
      <c r="GU427" s="4"/>
      <c r="GV427" s="4"/>
      <c r="GW427" s="4"/>
      <c r="GX427" s="4"/>
      <c r="GY427" s="4"/>
      <c r="GZ427" s="4"/>
      <c r="HA427" s="4"/>
      <c r="HB427" s="4"/>
      <c r="HC427" s="4"/>
      <c r="HD427" s="4"/>
      <c r="HE427" s="4"/>
      <c r="HF427" s="4"/>
      <c r="HG427" s="4"/>
      <c r="HH427" s="4"/>
      <c r="HI427" s="4"/>
      <c r="HJ427" s="4"/>
      <c r="HK427" s="4"/>
      <c r="HL427" s="4"/>
    </row>
    <row r="428" spans="1:220" ht="15" customHeight="1">
      <c r="A428" s="21">
        <v>6</v>
      </c>
      <c r="B428" s="157" t="str">
        <f>VLOOKUP(Ruimtestaat[[#This Row],[Code]],Locaties[[Code]:[Locatie]],2,FALSE)</f>
        <v>Veurs Lyceum</v>
      </c>
      <c r="C428" s="157" t="str">
        <f>VLOOKUP(Ruimtestaat[[#This Row],[Code]],Locaties[[#All],[Code]:[Adres]],4,FALSE)</f>
        <v>Burg. Kolfschotenlaan 5</v>
      </c>
      <c r="D428" s="157" t="str">
        <f>VLOOKUP(Ruimtestaat[[#This Row],[Code]],Locaties[[#All],[Code]:[Postcode]],5,FALSE)</f>
        <v xml:space="preserve">2262 EZ </v>
      </c>
      <c r="E428" s="157" t="str">
        <f>VLOOKUP(Ruimtestaat[[#This Row],[Code]],Locaties[#All],6,FALSE)</f>
        <v>Leidschendam</v>
      </c>
      <c r="F428" s="62"/>
      <c r="G428" s="21" t="s">
        <v>1632</v>
      </c>
      <c r="H428" s="21">
        <v>4</v>
      </c>
      <c r="I428" s="62" t="s">
        <v>1638</v>
      </c>
      <c r="J428" s="21">
        <v>6</v>
      </c>
      <c r="K428" s="62" t="str">
        <f>VLOOKUP(Ruimtestaat[[#This Row],[Ruimte code]],Ruimtegroepen[[#All],[Code]:[Ruimte omschrijving]],2,FALSE)</f>
        <v>Gangen/hallen</v>
      </c>
      <c r="L428" s="33" t="s">
        <v>102</v>
      </c>
      <c r="M428" s="367" t="s">
        <v>2509</v>
      </c>
      <c r="N428" s="140">
        <v>3</v>
      </c>
      <c r="O428" s="140"/>
      <c r="P428" s="125" t="str">
        <f>VLOOKUP(Ruimtestaat[[#This Row],[Ruimte code]],Ruimtegroepen[],4,FALSE)</f>
        <v>Ve</v>
      </c>
      <c r="R428" s="33">
        <v>40</v>
      </c>
      <c r="S428" s="33" t="s">
        <v>2</v>
      </c>
      <c r="T428" s="33">
        <f>IF(R428&gt;0,IF(RIGHT(Ruimtestaat[[#This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8" s="33">
        <f>IF(T428&gt;0,VLOOKUP($J428,Ruimtegroepen[],3,FALSE)*VLOOKUP($L428,Vloersoorten[],3,FALSE)*VLOOKUP($S428,Frequenties[],3,FALSE)*VLOOKUP($A428,Locaties[],3,FALSE),0)</f>
        <v>0</v>
      </c>
      <c r="V428" s="33">
        <f>Ruimtestaat[[#This Row],[Uitvoeringen werkdagen]]*Ruimtestaat[[#This Row],[Oppervlak (netto)]]</f>
        <v>600</v>
      </c>
      <c r="W428" s="154">
        <f>IF(U428&gt;0,Ruimtestaat[[#This Row],[Prest. (m2 /jaar) werkdagen]]/Ruimtestaat[[#This Row],[Norm (m2/uur) werkdagen]],0)</f>
        <v>0</v>
      </c>
      <c r="X428" s="155">
        <f>Ruimtestaat[[#This Row],[uren / jaar werkdagen]]*Tariefsopbouw!$E$35</f>
        <v>0</v>
      </c>
      <c r="Y428" s="33"/>
      <c r="Z428" s="33">
        <f>IF(Ruimtestaat[[#This Row],[Frequentie weekend]]&gt;0,VALUE(LEFT(Y428,1))*R428,0)</f>
        <v>0</v>
      </c>
      <c r="AA428" s="97">
        <f>IF($Z428&gt;0,VLOOKUP($J428,Ruimtegroepen[],3,FALSE)*VLOOKUP($L428,Vloersoorten[],3,FALSE)*VLOOKUP($Y428,Frequenties[],3,FALSE)*VLOOKUP(Ruimtestaat[[#This Row],[Code]],Locaties[],3,FALSE),0)</f>
        <v>0</v>
      </c>
      <c r="AB428" s="97">
        <f>Ruimtestaat[[#This Row],[Uitvoeringen weekend]]*Ruimtestaat[[#This Row],[Oppervlak (netto)]]</f>
        <v>0</v>
      </c>
      <c r="AC428" s="97">
        <f>IF(AA428&gt;0,Ruimtestaat[[#This Row],[Prest. (m2 /jaar) weekend]]/Ruimtestaat[[#This Row],[Norm (m2/uur) weekend]],0)</f>
        <v>0</v>
      </c>
      <c r="AD428" s="155">
        <f>Ruimtestaat[[#This Row],[uren / jaar weekend]]*Tariefsopbouw!$D$40</f>
        <v>0</v>
      </c>
      <c r="AE428" s="154">
        <f>Ruimtestaat[[#This Row],[Prest. (m2 /jaar) weekend]]+Ruimtestaat[[#This Row],[Prest. (m2 /jaar) werkdagen]]</f>
        <v>600</v>
      </c>
      <c r="AF428" s="154">
        <f>Ruimtestaat[[#This Row],[uren / jaar weekend]]+Ruimtestaat[[#This Row],[uren / jaar werkdagen]]</f>
        <v>0</v>
      </c>
      <c r="AG428" s="69">
        <f>Ruimtestaat[[#This Row],[kosten / jaar weekend]]+Ruimtestaat[[#This Row],[kosten / jaar werkdagen]]</f>
        <v>0</v>
      </c>
      <c r="AH428" s="69"/>
      <c r="AI428" s="256" t="str">
        <f>IF(Ruimtestaat[[#This Row],[Frequentie werkdagen]]="","",_xlfn.CONCAT(Ruimtestaat[[#This Row],[Ruimte code]],"-",Ruimtestaat[[#This Row],[Frequentie werkdagen]]," ",Ruimtestaat[[#This Row],[Vloer code]]))</f>
        <v>6-5w S</v>
      </c>
      <c r="AJ428" s="300" t="str">
        <f>_xlfn.IFNA(VLOOKUP($AI428,Programma!$F$3:$G$1107,2,0),"")</f>
        <v>_</v>
      </c>
      <c r="AK428" s="300" t="str">
        <f>_xlfn.IFNA(VLOOKUP($AI428,Programma!$F$3:$H$1107,3,0),"")</f>
        <v>_</v>
      </c>
      <c r="AL428" s="300" t="str">
        <f>_xlfn.IFNA(VLOOKUP($AI428,Programma!$F$3:$I$1107,4,0),"")</f>
        <v>5w</v>
      </c>
      <c r="AM428" s="300" t="str">
        <f>_xlfn.IFNA(VLOOKUP($AI428,Programma!$F$3:$J$1107,5,0),"")</f>
        <v>_</v>
      </c>
      <c r="AN428" s="300" t="str">
        <f>_xlfn.IFNA(VLOOKUP($AI428,Programma!$F$3:$K$1107,6,0),"")</f>
        <v>5w</v>
      </c>
      <c r="AO428" s="300" t="str">
        <f>_xlfn.IFNA(VLOOKUP($AI428,Programma!$F$3:$L$1107,7,0),"")</f>
        <v>_</v>
      </c>
      <c r="AP428" s="300" t="str">
        <f>_xlfn.IFNA(VLOOKUP($AI428,Programma!$F$3:$M$1107,8,0),"")</f>
        <v>_</v>
      </c>
      <c r="AQ428" s="300" t="str">
        <f>_xlfn.IFNA(VLOOKUP($AI428,Programma!$F$3:$N$1107,9,0),"")</f>
        <v>_</v>
      </c>
      <c r="AR428" s="300" t="str">
        <f>_xlfn.IFNA(VLOOKUP($AI428,Programma!$F$3:$O$1107,10,0),"")</f>
        <v>5w</v>
      </c>
      <c r="AS428" s="300" t="str">
        <f>_xlfn.IFNA(VLOOKUP($AI428,Programma!$F$3:$P$1107,11,0),"")</f>
        <v>5w</v>
      </c>
      <c r="AT428" s="300" t="str">
        <f>_xlfn.IFNA(VLOOKUP($AI428,Programma!$F$3:$Q$1107,12,0),"")</f>
        <v>1w</v>
      </c>
      <c r="AU428" s="300" t="str">
        <f>_xlfn.IFNA(VLOOKUP($AI428,Programma!$F$3:$R$1107,13,0),"")</f>
        <v>1w</v>
      </c>
      <c r="AV428" s="300" t="str">
        <f>_xlfn.IFNA(VLOOKUP($AI428,Programma!$F$3:$S$1107,14,0),"")</f>
        <v>1m</v>
      </c>
      <c r="AW428" s="300" t="str">
        <f>_xlfn.IFNA(VLOOKUP($AI428,Programma!$F$3:$T$1107,15,0),"")</f>
        <v>2j</v>
      </c>
      <c r="AX428" s="300" t="str">
        <f>_xlfn.IFNA(VLOOKUP($AI428,Programma!$F$3:$U$1107,16,0),"")</f>
        <v>1j</v>
      </c>
      <c r="AY428" s="300" t="str">
        <f>_xlfn.IFNA(VLOOKUP($AI428,Programma!$F$3:$V$1107,17,0),"")</f>
        <v>_</v>
      </c>
      <c r="AZ428" s="300" t="str">
        <f>_xlfn.IFNA(VLOOKUP($AI428,Programma!$F$3:$W$1107,18,0),"")</f>
        <v>_</v>
      </c>
      <c r="BA428" s="300" t="str">
        <f>_xlfn.IFNA(VLOOKUP($AI428,Programma!$F$3:$X$1107,19,0),"")</f>
        <v>_</v>
      </c>
      <c r="BB428" s="300" t="str">
        <f>_xlfn.IFNA(VLOOKUP($AI428,Programma!$F$3:$Y$1107,20,0),"")</f>
        <v>_</v>
      </c>
      <c r="BC428" s="257"/>
      <c r="BD428" s="256" t="str">
        <f>IF(Ruimtestaat[[#This Row],[Frequentie weekend]]="","",_xlfn.CONCAT(Ruimtestaat[[#This Row],[Ruimte code]],"-",Ruimtestaat[[#This Row],[Frequentie weekend]]," ",Ruimtestaat[[#This Row],[Vloer code]]))</f>
        <v/>
      </c>
      <c r="BE428" s="300" t="str">
        <f>_xlfn.IFNA(VLOOKUP($BD428,Programma!$F$3:$G$1107,2,0),"")</f>
        <v/>
      </c>
      <c r="BF428" s="300" t="str">
        <f>_xlfn.IFNA(VLOOKUP($BD428,Programma!$F$3:$H$1107,3,0),"")</f>
        <v/>
      </c>
      <c r="BG428" s="300" t="str">
        <f>_xlfn.IFNA(VLOOKUP($BD428,Programma!$F$3:$I$1107,4,0),"")</f>
        <v/>
      </c>
      <c r="BH428" s="300" t="str">
        <f>_xlfn.IFNA(VLOOKUP($BD428,Programma!$F$3:$J$1107,5,0),"")</f>
        <v/>
      </c>
      <c r="BI428" s="300" t="str">
        <f>_xlfn.IFNA(VLOOKUP($BD428,Programma!$F$3:$K$1107,6,0),"")</f>
        <v/>
      </c>
      <c r="BJ428" s="300" t="str">
        <f>_xlfn.IFNA(VLOOKUP($BD428,Programma!$F$3:$L$1107,7,0),"")</f>
        <v/>
      </c>
      <c r="BK428" s="300" t="str">
        <f>_xlfn.IFNA(VLOOKUP($BD428,Programma!$F$3:$M$1107,8,0),"")</f>
        <v/>
      </c>
      <c r="BL428" s="300" t="str">
        <f>_xlfn.IFNA(VLOOKUP($BD428,Programma!$F$3:$N$1107,9,0),"")</f>
        <v/>
      </c>
      <c r="BM428" s="300" t="str">
        <f>_xlfn.IFNA(VLOOKUP($BD428,Programma!$F$3:$O$1107,10,0),"")</f>
        <v/>
      </c>
      <c r="BN428" s="300" t="str">
        <f>_xlfn.IFNA(VLOOKUP($BD428,Programma!$F$3:$P$1107,11,0),"")</f>
        <v/>
      </c>
      <c r="BO428" s="300" t="str">
        <f>_xlfn.IFNA(VLOOKUP($BD428,Programma!$F$3:$Q$1107,12,0),"")</f>
        <v/>
      </c>
      <c r="BP428" s="300" t="str">
        <f>_xlfn.IFNA(VLOOKUP($BD428,Programma!$F$3:$R$1107,13,0),"")</f>
        <v/>
      </c>
      <c r="BQ428" s="300" t="str">
        <f>_xlfn.IFNA(VLOOKUP($BD428,Programma!$F$3:$S$1107,14,0),"")</f>
        <v/>
      </c>
      <c r="BR428" s="300" t="str">
        <f>_xlfn.IFNA(VLOOKUP($BD428,Programma!$F$3:$T$1107,15,0),"")</f>
        <v/>
      </c>
      <c r="BS428" s="300" t="str">
        <f>_xlfn.IFNA(VLOOKUP($BD428,Programma!$F$3:$U$1107,16,0),"")</f>
        <v/>
      </c>
      <c r="BT428" s="300" t="str">
        <f>_xlfn.IFNA(VLOOKUP($BD428,Programma!$F$3:$V$1107,17,0),"")</f>
        <v/>
      </c>
      <c r="BU428" s="300" t="str">
        <f>_xlfn.IFNA(VLOOKUP($BD428,Programma!$F$3:$W$1107,18,0),"")</f>
        <v/>
      </c>
      <c r="BV428" s="300" t="str">
        <f>_xlfn.IFNA(VLOOKUP($BD428,Programma!$F$3:$X$1107,19,0),"")</f>
        <v/>
      </c>
      <c r="BW428" s="300" t="str">
        <f>_xlfn.IFNA(VLOOKUP($BD428,Programma!$F$3:$Y$1107,20,0),"")</f>
        <v/>
      </c>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c r="GK428" s="4"/>
      <c r="GL428" s="4"/>
      <c r="GM428" s="4"/>
      <c r="GN428" s="4"/>
      <c r="GO428" s="4"/>
      <c r="GP428" s="4"/>
      <c r="GQ428" s="4"/>
      <c r="GR428" s="4"/>
      <c r="GS428" s="4"/>
      <c r="GT428" s="4"/>
      <c r="GU428" s="4"/>
      <c r="GV428" s="4"/>
      <c r="GW428" s="4"/>
      <c r="GX428" s="4"/>
      <c r="GY428" s="4"/>
      <c r="GZ428" s="4"/>
      <c r="HA428" s="4"/>
      <c r="HB428" s="4"/>
      <c r="HC428" s="4"/>
      <c r="HD428" s="4"/>
      <c r="HE428" s="4"/>
      <c r="HF428" s="4"/>
      <c r="HG428" s="4"/>
      <c r="HH428" s="4"/>
      <c r="HI428" s="4"/>
      <c r="HJ428" s="4"/>
      <c r="HK428" s="4"/>
      <c r="HL428" s="4"/>
    </row>
    <row r="429" spans="1:220" ht="15" customHeight="1">
      <c r="A429" s="21">
        <v>6</v>
      </c>
      <c r="B429" s="157" t="str">
        <f>VLOOKUP(Ruimtestaat[[#This Row],[Code]],Locaties[[Code]:[Locatie]],2,FALSE)</f>
        <v>Veurs Lyceum</v>
      </c>
      <c r="C429" s="157" t="str">
        <f>VLOOKUP(Ruimtestaat[[#This Row],[Code]],Locaties[[#All],[Code]:[Adres]],4,FALSE)</f>
        <v>Burg. Kolfschotenlaan 5</v>
      </c>
      <c r="D429" s="157" t="str">
        <f>VLOOKUP(Ruimtestaat[[#This Row],[Code]],Locaties[[#All],[Code]:[Postcode]],5,FALSE)</f>
        <v xml:space="preserve">2262 EZ </v>
      </c>
      <c r="E429" s="157" t="str">
        <f>VLOOKUP(Ruimtestaat[[#This Row],[Code]],Locaties[#All],6,FALSE)</f>
        <v>Leidschendam</v>
      </c>
      <c r="F429" s="62"/>
      <c r="G429" s="21" t="s">
        <v>1632</v>
      </c>
      <c r="H429" s="21">
        <v>5</v>
      </c>
      <c r="I429" s="62" t="s">
        <v>2073</v>
      </c>
      <c r="J429" s="21">
        <v>2</v>
      </c>
      <c r="K429" s="62" t="str">
        <f>VLOOKUP(Ruimtestaat[[#This Row],[Ruimte code]],Ruimtegroepen[[#All],[Code]:[Ruimte omschrijving]],2,FALSE)</f>
        <v>Kantoren</v>
      </c>
      <c r="L429" s="33" t="s">
        <v>100</v>
      </c>
      <c r="M429" s="367" t="s">
        <v>2493</v>
      </c>
      <c r="N429" s="140">
        <v>17</v>
      </c>
      <c r="O429" s="140"/>
      <c r="P429" s="125" t="str">
        <f>VLOOKUP(Ruimtestaat[[#This Row],[Ruimte code]],Ruimtegroepen[],4,FALSE)</f>
        <v>Bu</v>
      </c>
      <c r="R429" s="33">
        <v>42</v>
      </c>
      <c r="S429" s="33" t="s">
        <v>18</v>
      </c>
      <c r="T429" s="33">
        <f>IF(R429&gt;0,IF(RIGHT(Ruimtestaat[[#This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29" s="33">
        <f>IF(T429&gt;0,VLOOKUP($J429,Ruimtegroepen[],3,FALSE)*VLOOKUP($L429,Vloersoorten[],3,FALSE)*VLOOKUP($S429,Frequenties[],3,FALSE)*VLOOKUP($A429,Locaties[],3,FALSE),0)</f>
        <v>0</v>
      </c>
      <c r="V429" s="33">
        <f>Ruimtestaat[[#This Row],[Uitvoeringen werkdagen]]*Ruimtestaat[[#This Row],[Oppervlak (netto)]]</f>
        <v>2142</v>
      </c>
      <c r="W429" s="154">
        <f>IF(U429&gt;0,Ruimtestaat[[#This Row],[Prest. (m2 /jaar) werkdagen]]/Ruimtestaat[[#This Row],[Norm (m2/uur) werkdagen]],0)</f>
        <v>0</v>
      </c>
      <c r="X429" s="155">
        <f>Ruimtestaat[[#This Row],[uren / jaar werkdagen]]*Tariefsopbouw!$E$35</f>
        <v>0</v>
      </c>
      <c r="Y429" s="33"/>
      <c r="Z429" s="33">
        <f>IF(Ruimtestaat[[#This Row],[Frequentie weekend]]&gt;0,VALUE(LEFT(Y429,1))*R429,0)</f>
        <v>0</v>
      </c>
      <c r="AA429" s="97">
        <f>IF($Z429&gt;0,VLOOKUP($J429,Ruimtegroepen[],3,FALSE)*VLOOKUP($L429,Vloersoorten[],3,FALSE)*VLOOKUP($Y429,Frequenties[],3,FALSE)*VLOOKUP(Ruimtestaat[[#This Row],[Code]],Locaties[],3,FALSE),0)</f>
        <v>0</v>
      </c>
      <c r="AB429" s="97">
        <f>Ruimtestaat[[#This Row],[Uitvoeringen weekend]]*Ruimtestaat[[#This Row],[Oppervlak (netto)]]</f>
        <v>0</v>
      </c>
      <c r="AC429" s="97">
        <f>IF(AA429&gt;0,Ruimtestaat[[#This Row],[Prest. (m2 /jaar) weekend]]/Ruimtestaat[[#This Row],[Norm (m2/uur) weekend]],0)</f>
        <v>0</v>
      </c>
      <c r="AD429" s="155">
        <f>Ruimtestaat[[#This Row],[uren / jaar weekend]]*Tariefsopbouw!$D$40</f>
        <v>0</v>
      </c>
      <c r="AE429" s="154">
        <f>Ruimtestaat[[#This Row],[Prest. (m2 /jaar) weekend]]+Ruimtestaat[[#This Row],[Prest. (m2 /jaar) werkdagen]]</f>
        <v>2142</v>
      </c>
      <c r="AF429" s="154">
        <f>Ruimtestaat[[#This Row],[uren / jaar weekend]]+Ruimtestaat[[#This Row],[uren / jaar werkdagen]]</f>
        <v>0</v>
      </c>
      <c r="AG429" s="69">
        <f>Ruimtestaat[[#This Row],[kosten / jaar weekend]]+Ruimtestaat[[#This Row],[kosten / jaar werkdagen]]</f>
        <v>0</v>
      </c>
      <c r="AH429" s="69"/>
      <c r="AI429" s="256" t="str">
        <f>IF(Ruimtestaat[[#This Row],[Frequentie werkdagen]]="","",_xlfn.CONCAT(Ruimtestaat[[#This Row],[Ruimte code]],"-",Ruimtestaat[[#This Row],[Frequentie werkdagen]]," ",Ruimtestaat[[#This Row],[Vloer code]]))</f>
        <v>2-3w T</v>
      </c>
      <c r="AJ429" s="300" t="str">
        <f>_xlfn.IFNA(VLOOKUP($AI429,Programma!$F$3:$G$1107,2,0),"")</f>
        <v>2w</v>
      </c>
      <c r="AK429" s="300" t="str">
        <f>_xlfn.IFNA(VLOOKUP($AI429,Programma!$F$3:$H$1107,3,0),"")</f>
        <v>1w</v>
      </c>
      <c r="AL429" s="300" t="str">
        <f>_xlfn.IFNA(VLOOKUP($AI429,Programma!$F$3:$I$1107,4,0),"")</f>
        <v>_</v>
      </c>
      <c r="AM429" s="300" t="str">
        <f>_xlfn.IFNA(VLOOKUP($AI429,Programma!$F$3:$J$1107,5,0),"")</f>
        <v>_</v>
      </c>
      <c r="AN429" s="300" t="str">
        <f>_xlfn.IFNA(VLOOKUP($AI429,Programma!$F$3:$K$1107,6,0),"")</f>
        <v>_</v>
      </c>
      <c r="AO429" s="300" t="str">
        <f>_xlfn.IFNA(VLOOKUP($AI429,Programma!$F$3:$L$1107,7,0),"")</f>
        <v>_</v>
      </c>
      <c r="AP429" s="300" t="str">
        <f>_xlfn.IFNA(VLOOKUP($AI429,Programma!$F$3:$M$1107,8,0),"")</f>
        <v>_</v>
      </c>
      <c r="AQ429" s="300" t="str">
        <f>_xlfn.IFNA(VLOOKUP($AI429,Programma!$F$3:$N$1107,9,0),"")</f>
        <v>_</v>
      </c>
      <c r="AR429" s="300" t="str">
        <f>_xlfn.IFNA(VLOOKUP($AI429,Programma!$F$3:$O$1107,10,0),"")</f>
        <v>3w</v>
      </c>
      <c r="AS429" s="300" t="str">
        <f>_xlfn.IFNA(VLOOKUP($AI429,Programma!$F$3:$P$1107,11,0),"")</f>
        <v>3w</v>
      </c>
      <c r="AT429" s="300" t="str">
        <f>_xlfn.IFNA(VLOOKUP($AI429,Programma!$F$3:$Q$1107,12,0),"")</f>
        <v>1w</v>
      </c>
      <c r="AU429" s="300" t="str">
        <f>_xlfn.IFNA(VLOOKUP($AI429,Programma!$F$3:$R$1107,13,0),"")</f>
        <v>1w</v>
      </c>
      <c r="AV429" s="300" t="str">
        <f>_xlfn.IFNA(VLOOKUP($AI429,Programma!$F$3:$S$1107,14,0),"")</f>
        <v>1m</v>
      </c>
      <c r="AW429" s="300" t="str">
        <f>_xlfn.IFNA(VLOOKUP($AI429,Programma!$F$3:$T$1107,15,0),"")</f>
        <v>2j</v>
      </c>
      <c r="AX429" s="300" t="str">
        <f>_xlfn.IFNA(VLOOKUP($AI429,Programma!$F$3:$U$1107,16,0),"")</f>
        <v>1j</v>
      </c>
      <c r="AY429" s="300" t="str">
        <f>_xlfn.IFNA(VLOOKUP($AI429,Programma!$F$3:$V$1107,17,0),"")</f>
        <v>_</v>
      </c>
      <c r="AZ429" s="300" t="str">
        <f>_xlfn.IFNA(VLOOKUP($AI429,Programma!$F$3:$W$1107,18,0),"")</f>
        <v>_</v>
      </c>
      <c r="BA429" s="300" t="str">
        <f>_xlfn.IFNA(VLOOKUP($AI429,Programma!$F$3:$X$1107,19,0),"")</f>
        <v>_</v>
      </c>
      <c r="BB429" s="300" t="str">
        <f>_xlfn.IFNA(VLOOKUP($AI429,Programma!$F$3:$Y$1107,20,0),"")</f>
        <v>_</v>
      </c>
      <c r="BC429" s="257"/>
      <c r="BD429" s="256" t="str">
        <f>IF(Ruimtestaat[[#This Row],[Frequentie weekend]]="","",_xlfn.CONCAT(Ruimtestaat[[#This Row],[Ruimte code]],"-",Ruimtestaat[[#This Row],[Frequentie weekend]]," ",Ruimtestaat[[#This Row],[Vloer code]]))</f>
        <v/>
      </c>
      <c r="BE429" s="300" t="str">
        <f>_xlfn.IFNA(VLOOKUP($BD429,Programma!$F$3:$G$1107,2,0),"")</f>
        <v/>
      </c>
      <c r="BF429" s="300" t="str">
        <f>_xlfn.IFNA(VLOOKUP($BD429,Programma!$F$3:$H$1107,3,0),"")</f>
        <v/>
      </c>
      <c r="BG429" s="300" t="str">
        <f>_xlfn.IFNA(VLOOKUP($BD429,Programma!$F$3:$I$1107,4,0),"")</f>
        <v/>
      </c>
      <c r="BH429" s="300" t="str">
        <f>_xlfn.IFNA(VLOOKUP($BD429,Programma!$F$3:$J$1107,5,0),"")</f>
        <v/>
      </c>
      <c r="BI429" s="300" t="str">
        <f>_xlfn.IFNA(VLOOKUP($BD429,Programma!$F$3:$K$1107,6,0),"")</f>
        <v/>
      </c>
      <c r="BJ429" s="300" t="str">
        <f>_xlfn.IFNA(VLOOKUP($BD429,Programma!$F$3:$L$1107,7,0),"")</f>
        <v/>
      </c>
      <c r="BK429" s="300" t="str">
        <f>_xlfn.IFNA(VLOOKUP($BD429,Programma!$F$3:$M$1107,8,0),"")</f>
        <v/>
      </c>
      <c r="BL429" s="300" t="str">
        <f>_xlfn.IFNA(VLOOKUP($BD429,Programma!$F$3:$N$1107,9,0),"")</f>
        <v/>
      </c>
      <c r="BM429" s="300" t="str">
        <f>_xlfn.IFNA(VLOOKUP($BD429,Programma!$F$3:$O$1107,10,0),"")</f>
        <v/>
      </c>
      <c r="BN429" s="300" t="str">
        <f>_xlfn.IFNA(VLOOKUP($BD429,Programma!$F$3:$P$1107,11,0),"")</f>
        <v/>
      </c>
      <c r="BO429" s="300" t="str">
        <f>_xlfn.IFNA(VLOOKUP($BD429,Programma!$F$3:$Q$1107,12,0),"")</f>
        <v/>
      </c>
      <c r="BP429" s="300" t="str">
        <f>_xlfn.IFNA(VLOOKUP($BD429,Programma!$F$3:$R$1107,13,0),"")</f>
        <v/>
      </c>
      <c r="BQ429" s="300" t="str">
        <f>_xlfn.IFNA(VLOOKUP($BD429,Programma!$F$3:$S$1107,14,0),"")</f>
        <v/>
      </c>
      <c r="BR429" s="300" t="str">
        <f>_xlfn.IFNA(VLOOKUP($BD429,Programma!$F$3:$T$1107,15,0),"")</f>
        <v/>
      </c>
      <c r="BS429" s="300" t="str">
        <f>_xlfn.IFNA(VLOOKUP($BD429,Programma!$F$3:$U$1107,16,0),"")</f>
        <v/>
      </c>
      <c r="BT429" s="300" t="str">
        <f>_xlfn.IFNA(VLOOKUP($BD429,Programma!$F$3:$V$1107,17,0),"")</f>
        <v/>
      </c>
      <c r="BU429" s="300" t="str">
        <f>_xlfn.IFNA(VLOOKUP($BD429,Programma!$F$3:$W$1107,18,0),"")</f>
        <v/>
      </c>
      <c r="BV429" s="300" t="str">
        <f>_xlfn.IFNA(VLOOKUP($BD429,Programma!$F$3:$X$1107,19,0),"")</f>
        <v/>
      </c>
      <c r="BW429" s="300" t="str">
        <f>_xlfn.IFNA(VLOOKUP($BD429,Programma!$F$3:$Y$1107,20,0),"")</f>
        <v/>
      </c>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c r="GK429" s="4"/>
      <c r="GL429" s="4"/>
      <c r="GM429" s="4"/>
      <c r="GN429" s="4"/>
      <c r="GO429" s="4"/>
      <c r="GP429" s="4"/>
      <c r="GQ429" s="4"/>
      <c r="GR429" s="4"/>
      <c r="GS429" s="4"/>
      <c r="GT429" s="4"/>
      <c r="GU429" s="4"/>
      <c r="GV429" s="4"/>
      <c r="GW429" s="4"/>
      <c r="GX429" s="4"/>
      <c r="GY429" s="4"/>
      <c r="GZ429" s="4"/>
      <c r="HA429" s="4"/>
      <c r="HB429" s="4"/>
      <c r="HC429" s="4"/>
      <c r="HD429" s="4"/>
      <c r="HE429" s="4"/>
      <c r="HF429" s="4"/>
      <c r="HG429" s="4"/>
      <c r="HH429" s="4"/>
      <c r="HI429" s="4"/>
      <c r="HJ429" s="4"/>
      <c r="HK429" s="4"/>
      <c r="HL429" s="4"/>
    </row>
    <row r="430" spans="1:220" ht="15" customHeight="1">
      <c r="A430" s="21">
        <v>6</v>
      </c>
      <c r="B430" s="157" t="str">
        <f>VLOOKUP(Ruimtestaat[[#This Row],[Code]],Locaties[[Code]:[Locatie]],2,FALSE)</f>
        <v>Veurs Lyceum</v>
      </c>
      <c r="C430" s="157" t="str">
        <f>VLOOKUP(Ruimtestaat[[#This Row],[Code]],Locaties[[#All],[Code]:[Adres]],4,FALSE)</f>
        <v>Burg. Kolfschotenlaan 5</v>
      </c>
      <c r="D430" s="157" t="str">
        <f>VLOOKUP(Ruimtestaat[[#This Row],[Code]],Locaties[[#All],[Code]:[Postcode]],5,FALSE)</f>
        <v xml:space="preserve">2262 EZ </v>
      </c>
      <c r="E430" s="157" t="str">
        <f>VLOOKUP(Ruimtestaat[[#This Row],[Code]],Locaties[#All],6,FALSE)</f>
        <v>Leidschendam</v>
      </c>
      <c r="F430" s="62"/>
      <c r="G430" s="21" t="s">
        <v>1632</v>
      </c>
      <c r="H430" s="21">
        <v>6</v>
      </c>
      <c r="I430" s="62" t="s">
        <v>1653</v>
      </c>
      <c r="J430" s="21">
        <v>2</v>
      </c>
      <c r="K430" s="62" t="str">
        <f>VLOOKUP(Ruimtestaat[[#This Row],[Ruimte code]],Ruimtegroepen[[#All],[Code]:[Ruimte omschrijving]],2,FALSE)</f>
        <v>Kantoren</v>
      </c>
      <c r="L430" s="33" t="s">
        <v>100</v>
      </c>
      <c r="M430" s="367" t="s">
        <v>2493</v>
      </c>
      <c r="N430" s="140">
        <v>29</v>
      </c>
      <c r="O430" s="140"/>
      <c r="P430" s="125" t="str">
        <f>VLOOKUP(Ruimtestaat[[#This Row],[Ruimte code]],Ruimtegroepen[],4,FALSE)</f>
        <v>Bu</v>
      </c>
      <c r="R430" s="33">
        <v>42</v>
      </c>
      <c r="S430" s="33" t="s">
        <v>18</v>
      </c>
      <c r="T430" s="33">
        <f>IF(R430&gt;0,IF(RIGHT(Ruimtestaat[[#This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30" s="33">
        <f>IF(T430&gt;0,VLOOKUP($J430,Ruimtegroepen[],3,FALSE)*VLOOKUP($L430,Vloersoorten[],3,FALSE)*VLOOKUP($S430,Frequenties[],3,FALSE)*VLOOKUP($A430,Locaties[],3,FALSE),0)</f>
        <v>0</v>
      </c>
      <c r="V430" s="33">
        <f>Ruimtestaat[[#This Row],[Uitvoeringen werkdagen]]*Ruimtestaat[[#This Row],[Oppervlak (netto)]]</f>
        <v>3654</v>
      </c>
      <c r="W430" s="154">
        <f>IF(U430&gt;0,Ruimtestaat[[#This Row],[Prest. (m2 /jaar) werkdagen]]/Ruimtestaat[[#This Row],[Norm (m2/uur) werkdagen]],0)</f>
        <v>0</v>
      </c>
      <c r="X430" s="155">
        <f>Ruimtestaat[[#This Row],[uren / jaar werkdagen]]*Tariefsopbouw!$E$35</f>
        <v>0</v>
      </c>
      <c r="Y430" s="33"/>
      <c r="Z430" s="33">
        <f>IF(Ruimtestaat[[#This Row],[Frequentie weekend]]&gt;0,VALUE(LEFT(Y430,1))*R430,0)</f>
        <v>0</v>
      </c>
      <c r="AA430" s="97">
        <f>IF($Z430&gt;0,VLOOKUP($J430,Ruimtegroepen[],3,FALSE)*VLOOKUP($L430,Vloersoorten[],3,FALSE)*VLOOKUP($Y430,Frequenties[],3,FALSE)*VLOOKUP(Ruimtestaat[[#This Row],[Code]],Locaties[],3,FALSE),0)</f>
        <v>0</v>
      </c>
      <c r="AB430" s="97">
        <f>Ruimtestaat[[#This Row],[Uitvoeringen weekend]]*Ruimtestaat[[#This Row],[Oppervlak (netto)]]</f>
        <v>0</v>
      </c>
      <c r="AC430" s="97">
        <f>IF(AA430&gt;0,Ruimtestaat[[#This Row],[Prest. (m2 /jaar) weekend]]/Ruimtestaat[[#This Row],[Norm (m2/uur) weekend]],0)</f>
        <v>0</v>
      </c>
      <c r="AD430" s="155">
        <f>Ruimtestaat[[#This Row],[uren / jaar weekend]]*Tariefsopbouw!$D$40</f>
        <v>0</v>
      </c>
      <c r="AE430" s="154">
        <f>Ruimtestaat[[#This Row],[Prest. (m2 /jaar) weekend]]+Ruimtestaat[[#This Row],[Prest. (m2 /jaar) werkdagen]]</f>
        <v>3654</v>
      </c>
      <c r="AF430" s="154">
        <f>Ruimtestaat[[#This Row],[uren / jaar weekend]]+Ruimtestaat[[#This Row],[uren / jaar werkdagen]]</f>
        <v>0</v>
      </c>
      <c r="AG430" s="69">
        <f>Ruimtestaat[[#This Row],[kosten / jaar weekend]]+Ruimtestaat[[#This Row],[kosten / jaar werkdagen]]</f>
        <v>0</v>
      </c>
      <c r="AH430" s="69"/>
      <c r="AI430" s="256" t="str">
        <f>IF(Ruimtestaat[[#This Row],[Frequentie werkdagen]]="","",_xlfn.CONCAT(Ruimtestaat[[#This Row],[Ruimte code]],"-",Ruimtestaat[[#This Row],[Frequentie werkdagen]]," ",Ruimtestaat[[#This Row],[Vloer code]]))</f>
        <v>2-3w T</v>
      </c>
      <c r="AJ430" s="300" t="str">
        <f>_xlfn.IFNA(VLOOKUP($AI430,Programma!$F$3:$G$1107,2,0),"")</f>
        <v>2w</v>
      </c>
      <c r="AK430" s="300" t="str">
        <f>_xlfn.IFNA(VLOOKUP($AI430,Programma!$F$3:$H$1107,3,0),"")</f>
        <v>1w</v>
      </c>
      <c r="AL430" s="300" t="str">
        <f>_xlfn.IFNA(VLOOKUP($AI430,Programma!$F$3:$I$1107,4,0),"")</f>
        <v>_</v>
      </c>
      <c r="AM430" s="300" t="str">
        <f>_xlfn.IFNA(VLOOKUP($AI430,Programma!$F$3:$J$1107,5,0),"")</f>
        <v>_</v>
      </c>
      <c r="AN430" s="300" t="str">
        <f>_xlfn.IFNA(VLOOKUP($AI430,Programma!$F$3:$K$1107,6,0),"")</f>
        <v>_</v>
      </c>
      <c r="AO430" s="300" t="str">
        <f>_xlfn.IFNA(VLOOKUP($AI430,Programma!$F$3:$L$1107,7,0),"")</f>
        <v>_</v>
      </c>
      <c r="AP430" s="300" t="str">
        <f>_xlfn.IFNA(VLOOKUP($AI430,Programma!$F$3:$M$1107,8,0),"")</f>
        <v>_</v>
      </c>
      <c r="AQ430" s="300" t="str">
        <f>_xlfn.IFNA(VLOOKUP($AI430,Programma!$F$3:$N$1107,9,0),"")</f>
        <v>_</v>
      </c>
      <c r="AR430" s="300" t="str">
        <f>_xlfn.IFNA(VLOOKUP($AI430,Programma!$F$3:$O$1107,10,0),"")</f>
        <v>3w</v>
      </c>
      <c r="AS430" s="300" t="str">
        <f>_xlfn.IFNA(VLOOKUP($AI430,Programma!$F$3:$P$1107,11,0),"")</f>
        <v>3w</v>
      </c>
      <c r="AT430" s="300" t="str">
        <f>_xlfn.IFNA(VLOOKUP($AI430,Programma!$F$3:$Q$1107,12,0),"")</f>
        <v>1w</v>
      </c>
      <c r="AU430" s="300" t="str">
        <f>_xlfn.IFNA(VLOOKUP($AI430,Programma!$F$3:$R$1107,13,0),"")</f>
        <v>1w</v>
      </c>
      <c r="AV430" s="300" t="str">
        <f>_xlfn.IFNA(VLOOKUP($AI430,Programma!$F$3:$S$1107,14,0),"")</f>
        <v>1m</v>
      </c>
      <c r="AW430" s="300" t="str">
        <f>_xlfn.IFNA(VLOOKUP($AI430,Programma!$F$3:$T$1107,15,0),"")</f>
        <v>2j</v>
      </c>
      <c r="AX430" s="300" t="str">
        <f>_xlfn.IFNA(VLOOKUP($AI430,Programma!$F$3:$U$1107,16,0),"")</f>
        <v>1j</v>
      </c>
      <c r="AY430" s="300" t="str">
        <f>_xlfn.IFNA(VLOOKUP($AI430,Programma!$F$3:$V$1107,17,0),"")</f>
        <v>_</v>
      </c>
      <c r="AZ430" s="300" t="str">
        <f>_xlfn.IFNA(VLOOKUP($AI430,Programma!$F$3:$W$1107,18,0),"")</f>
        <v>_</v>
      </c>
      <c r="BA430" s="300" t="str">
        <f>_xlfn.IFNA(VLOOKUP($AI430,Programma!$F$3:$X$1107,19,0),"")</f>
        <v>_</v>
      </c>
      <c r="BB430" s="300" t="str">
        <f>_xlfn.IFNA(VLOOKUP($AI430,Programma!$F$3:$Y$1107,20,0),"")</f>
        <v>_</v>
      </c>
      <c r="BC430" s="257"/>
      <c r="BD430" s="256" t="str">
        <f>IF(Ruimtestaat[[#This Row],[Frequentie weekend]]="","",_xlfn.CONCAT(Ruimtestaat[[#This Row],[Ruimte code]],"-",Ruimtestaat[[#This Row],[Frequentie weekend]]," ",Ruimtestaat[[#This Row],[Vloer code]]))</f>
        <v/>
      </c>
      <c r="BE430" s="300" t="str">
        <f>_xlfn.IFNA(VLOOKUP($BD430,Programma!$F$3:$G$1107,2,0),"")</f>
        <v/>
      </c>
      <c r="BF430" s="300" t="str">
        <f>_xlfn.IFNA(VLOOKUP($BD430,Programma!$F$3:$H$1107,3,0),"")</f>
        <v/>
      </c>
      <c r="BG430" s="300" t="str">
        <f>_xlfn.IFNA(VLOOKUP($BD430,Programma!$F$3:$I$1107,4,0),"")</f>
        <v/>
      </c>
      <c r="BH430" s="300" t="str">
        <f>_xlfn.IFNA(VLOOKUP($BD430,Programma!$F$3:$J$1107,5,0),"")</f>
        <v/>
      </c>
      <c r="BI430" s="300" t="str">
        <f>_xlfn.IFNA(VLOOKUP($BD430,Programma!$F$3:$K$1107,6,0),"")</f>
        <v/>
      </c>
      <c r="BJ430" s="300" t="str">
        <f>_xlfn.IFNA(VLOOKUP($BD430,Programma!$F$3:$L$1107,7,0),"")</f>
        <v/>
      </c>
      <c r="BK430" s="300" t="str">
        <f>_xlfn.IFNA(VLOOKUP($BD430,Programma!$F$3:$M$1107,8,0),"")</f>
        <v/>
      </c>
      <c r="BL430" s="300" t="str">
        <f>_xlfn.IFNA(VLOOKUP($BD430,Programma!$F$3:$N$1107,9,0),"")</f>
        <v/>
      </c>
      <c r="BM430" s="300" t="str">
        <f>_xlfn.IFNA(VLOOKUP($BD430,Programma!$F$3:$O$1107,10,0),"")</f>
        <v/>
      </c>
      <c r="BN430" s="300" t="str">
        <f>_xlfn.IFNA(VLOOKUP($BD430,Programma!$F$3:$P$1107,11,0),"")</f>
        <v/>
      </c>
      <c r="BO430" s="300" t="str">
        <f>_xlfn.IFNA(VLOOKUP($BD430,Programma!$F$3:$Q$1107,12,0),"")</f>
        <v/>
      </c>
      <c r="BP430" s="300" t="str">
        <f>_xlfn.IFNA(VLOOKUP($BD430,Programma!$F$3:$R$1107,13,0),"")</f>
        <v/>
      </c>
      <c r="BQ430" s="300" t="str">
        <f>_xlfn.IFNA(VLOOKUP($BD430,Programma!$F$3:$S$1107,14,0),"")</f>
        <v/>
      </c>
      <c r="BR430" s="300" t="str">
        <f>_xlfn.IFNA(VLOOKUP($BD430,Programma!$F$3:$T$1107,15,0),"")</f>
        <v/>
      </c>
      <c r="BS430" s="300" t="str">
        <f>_xlfn.IFNA(VLOOKUP($BD430,Programma!$F$3:$U$1107,16,0),"")</f>
        <v/>
      </c>
      <c r="BT430" s="300" t="str">
        <f>_xlfn.IFNA(VLOOKUP($BD430,Programma!$F$3:$V$1107,17,0),"")</f>
        <v/>
      </c>
      <c r="BU430" s="300" t="str">
        <f>_xlfn.IFNA(VLOOKUP($BD430,Programma!$F$3:$W$1107,18,0),"")</f>
        <v/>
      </c>
      <c r="BV430" s="300" t="str">
        <f>_xlfn.IFNA(VLOOKUP($BD430,Programma!$F$3:$X$1107,19,0),"")</f>
        <v/>
      </c>
      <c r="BW430" s="300" t="str">
        <f>_xlfn.IFNA(VLOOKUP($BD430,Programma!$F$3:$Y$1107,20,0),"")</f>
        <v/>
      </c>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c r="GK430" s="4"/>
      <c r="GL430" s="4"/>
      <c r="GM430" s="4"/>
      <c r="GN430" s="4"/>
      <c r="GO430" s="4"/>
      <c r="GP430" s="4"/>
      <c r="GQ430" s="4"/>
      <c r="GR430" s="4"/>
      <c r="GS430" s="4"/>
      <c r="GT430" s="4"/>
      <c r="GU430" s="4"/>
      <c r="GV430" s="4"/>
      <c r="GW430" s="4"/>
      <c r="GX430" s="4"/>
      <c r="GY430" s="4"/>
      <c r="GZ430" s="4"/>
      <c r="HA430" s="4"/>
      <c r="HB430" s="4"/>
      <c r="HC430" s="4"/>
      <c r="HD430" s="4"/>
      <c r="HE430" s="4"/>
      <c r="HF430" s="4"/>
      <c r="HG430" s="4"/>
      <c r="HH430" s="4"/>
      <c r="HI430" s="4"/>
      <c r="HJ430" s="4"/>
      <c r="HK430" s="4"/>
      <c r="HL430" s="4"/>
    </row>
    <row r="431" spans="1:220" ht="15" customHeight="1">
      <c r="A431" s="21">
        <v>6</v>
      </c>
      <c r="B431" s="157" t="str">
        <f>VLOOKUP(Ruimtestaat[[#This Row],[Code]],Locaties[[Code]:[Locatie]],2,FALSE)</f>
        <v>Veurs Lyceum</v>
      </c>
      <c r="C431" s="157" t="str">
        <f>VLOOKUP(Ruimtestaat[[#This Row],[Code]],Locaties[[#All],[Code]:[Adres]],4,FALSE)</f>
        <v>Burg. Kolfschotenlaan 5</v>
      </c>
      <c r="D431" s="157" t="str">
        <f>VLOOKUP(Ruimtestaat[[#This Row],[Code]],Locaties[[#All],[Code]:[Postcode]],5,FALSE)</f>
        <v xml:space="preserve">2262 EZ </v>
      </c>
      <c r="E431" s="157" t="str">
        <f>VLOOKUP(Ruimtestaat[[#This Row],[Code]],Locaties[#All],6,FALSE)</f>
        <v>Leidschendam</v>
      </c>
      <c r="F431" s="62"/>
      <c r="G431" s="21" t="s">
        <v>1632</v>
      </c>
      <c r="H431" s="21">
        <v>7</v>
      </c>
      <c r="I431" s="62" t="s">
        <v>2074</v>
      </c>
      <c r="J431" s="21">
        <v>20</v>
      </c>
      <c r="K431" s="62" t="str">
        <f>VLOOKUP(Ruimtestaat[[#This Row],[Ruimte code]],Ruimtegroepen[[#All],[Code]:[Ruimte omschrijving]],2,FALSE)</f>
        <v>Niet in Onderhoud</v>
      </c>
      <c r="L431" s="33" t="s">
        <v>100</v>
      </c>
      <c r="M431" s="367"/>
      <c r="N431" s="140"/>
      <c r="O431" s="140">
        <v>14</v>
      </c>
      <c r="P431" s="125">
        <f>VLOOKUP(Ruimtestaat[[#This Row],[Ruimte code]],Ruimtegroepen[],4,FALSE)</f>
        <v>0</v>
      </c>
      <c r="Q431" s="125" t="s">
        <v>2532</v>
      </c>
      <c r="R431" s="33"/>
      <c r="S431" s="33"/>
      <c r="T431" s="33">
        <f>IF(R431&gt;0,IF(RIGHT(Ruimtestaat[[#This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31" s="33">
        <f>IF(T431&gt;0,VLOOKUP($J431,Ruimtegroepen[],3,FALSE)*VLOOKUP($L431,Vloersoorten[],3,FALSE)*VLOOKUP($S431,Frequenties[],3,FALSE)*VLOOKUP($A431,Locaties[],3,FALSE),0)</f>
        <v>0</v>
      </c>
      <c r="V431" s="33">
        <f>Ruimtestaat[[#This Row],[Uitvoeringen werkdagen]]*Ruimtestaat[[#This Row],[Oppervlak (netto)]]</f>
        <v>0</v>
      </c>
      <c r="W431" s="154">
        <f>IF(U431&gt;0,Ruimtestaat[[#This Row],[Prest. (m2 /jaar) werkdagen]]/Ruimtestaat[[#This Row],[Norm (m2/uur) werkdagen]],0)</f>
        <v>0</v>
      </c>
      <c r="X431" s="155">
        <f>Ruimtestaat[[#This Row],[uren / jaar werkdagen]]*Tariefsopbouw!$E$35</f>
        <v>0</v>
      </c>
      <c r="Y431" s="33"/>
      <c r="Z431" s="33">
        <f>IF(Ruimtestaat[[#This Row],[Frequentie weekend]]&gt;0,VALUE(LEFT(Y431,1))*R431,0)</f>
        <v>0</v>
      </c>
      <c r="AA431" s="97">
        <f>IF($Z431&gt;0,VLOOKUP($J431,Ruimtegroepen[],3,FALSE)*VLOOKUP($L431,Vloersoorten[],3,FALSE)*VLOOKUP($Y431,Frequenties[],3,FALSE)*VLOOKUP(Ruimtestaat[[#This Row],[Code]],Locaties[],3,FALSE),0)</f>
        <v>0</v>
      </c>
      <c r="AB431" s="97">
        <f>Ruimtestaat[[#This Row],[Uitvoeringen weekend]]*Ruimtestaat[[#This Row],[Oppervlak (netto)]]</f>
        <v>0</v>
      </c>
      <c r="AC431" s="97">
        <f>IF(AA431&gt;0,Ruimtestaat[[#This Row],[Prest. (m2 /jaar) weekend]]/Ruimtestaat[[#This Row],[Norm (m2/uur) weekend]],0)</f>
        <v>0</v>
      </c>
      <c r="AD431" s="155">
        <f>Ruimtestaat[[#This Row],[uren / jaar weekend]]*Tariefsopbouw!$D$40</f>
        <v>0</v>
      </c>
      <c r="AE431" s="154">
        <f>Ruimtestaat[[#This Row],[Prest. (m2 /jaar) weekend]]+Ruimtestaat[[#This Row],[Prest. (m2 /jaar) werkdagen]]</f>
        <v>0</v>
      </c>
      <c r="AF431" s="154">
        <f>Ruimtestaat[[#This Row],[uren / jaar weekend]]+Ruimtestaat[[#This Row],[uren / jaar werkdagen]]</f>
        <v>0</v>
      </c>
      <c r="AG431" s="69">
        <f>Ruimtestaat[[#This Row],[kosten / jaar weekend]]+Ruimtestaat[[#This Row],[kosten / jaar werkdagen]]</f>
        <v>0</v>
      </c>
      <c r="AH431" s="69"/>
      <c r="AI431" s="256" t="str">
        <f>IF(Ruimtestaat[[#This Row],[Frequentie werkdagen]]="","",_xlfn.CONCAT(Ruimtestaat[[#This Row],[Ruimte code]],"-",Ruimtestaat[[#This Row],[Frequentie werkdagen]]," ",Ruimtestaat[[#This Row],[Vloer code]]))</f>
        <v/>
      </c>
      <c r="AJ431" s="300" t="str">
        <f>_xlfn.IFNA(VLOOKUP($AI431,Programma!$F$3:$G$1107,2,0),"")</f>
        <v/>
      </c>
      <c r="AK431" s="300" t="str">
        <f>_xlfn.IFNA(VLOOKUP($AI431,Programma!$F$3:$H$1107,3,0),"")</f>
        <v/>
      </c>
      <c r="AL431" s="300" t="str">
        <f>_xlfn.IFNA(VLOOKUP($AI431,Programma!$F$3:$I$1107,4,0),"")</f>
        <v/>
      </c>
      <c r="AM431" s="300" t="str">
        <f>_xlfn.IFNA(VLOOKUP($AI431,Programma!$F$3:$J$1107,5,0),"")</f>
        <v/>
      </c>
      <c r="AN431" s="300" t="str">
        <f>_xlfn.IFNA(VLOOKUP($AI431,Programma!$F$3:$K$1107,6,0),"")</f>
        <v/>
      </c>
      <c r="AO431" s="300" t="str">
        <f>_xlfn.IFNA(VLOOKUP($AI431,Programma!$F$3:$L$1107,7,0),"")</f>
        <v/>
      </c>
      <c r="AP431" s="300" t="str">
        <f>_xlfn.IFNA(VLOOKUP($AI431,Programma!$F$3:$M$1107,8,0),"")</f>
        <v/>
      </c>
      <c r="AQ431" s="300" t="str">
        <f>_xlfn.IFNA(VLOOKUP($AI431,Programma!$F$3:$N$1107,9,0),"")</f>
        <v/>
      </c>
      <c r="AR431" s="300" t="str">
        <f>_xlfn.IFNA(VLOOKUP($AI431,Programma!$F$3:$O$1107,10,0),"")</f>
        <v/>
      </c>
      <c r="AS431" s="300" t="str">
        <f>_xlfn.IFNA(VLOOKUP($AI431,Programma!$F$3:$P$1107,11,0),"")</f>
        <v/>
      </c>
      <c r="AT431" s="300" t="str">
        <f>_xlfn.IFNA(VLOOKUP($AI431,Programma!$F$3:$Q$1107,12,0),"")</f>
        <v/>
      </c>
      <c r="AU431" s="300" t="str">
        <f>_xlfn.IFNA(VLOOKUP($AI431,Programma!$F$3:$R$1107,13,0),"")</f>
        <v/>
      </c>
      <c r="AV431" s="300" t="str">
        <f>_xlfn.IFNA(VLOOKUP($AI431,Programma!$F$3:$S$1107,14,0),"")</f>
        <v/>
      </c>
      <c r="AW431" s="300" t="str">
        <f>_xlfn.IFNA(VLOOKUP($AI431,Programma!$F$3:$T$1107,15,0),"")</f>
        <v/>
      </c>
      <c r="AX431" s="300" t="str">
        <f>_xlfn.IFNA(VLOOKUP($AI431,Programma!$F$3:$U$1107,16,0),"")</f>
        <v/>
      </c>
      <c r="AY431" s="300" t="str">
        <f>_xlfn.IFNA(VLOOKUP($AI431,Programma!$F$3:$V$1107,17,0),"")</f>
        <v/>
      </c>
      <c r="AZ431" s="300" t="str">
        <f>_xlfn.IFNA(VLOOKUP($AI431,Programma!$F$3:$W$1107,18,0),"")</f>
        <v/>
      </c>
      <c r="BA431" s="300" t="str">
        <f>_xlfn.IFNA(VLOOKUP($AI431,Programma!$F$3:$X$1107,19,0),"")</f>
        <v/>
      </c>
      <c r="BB431" s="300" t="str">
        <f>_xlfn.IFNA(VLOOKUP($AI431,Programma!$F$3:$Y$1107,20,0),"")</f>
        <v/>
      </c>
      <c r="BC431" s="257"/>
      <c r="BD431" s="256" t="str">
        <f>IF(Ruimtestaat[[#This Row],[Frequentie weekend]]="","",_xlfn.CONCAT(Ruimtestaat[[#This Row],[Ruimte code]],"-",Ruimtestaat[[#This Row],[Frequentie weekend]]," ",Ruimtestaat[[#This Row],[Vloer code]]))</f>
        <v/>
      </c>
      <c r="BE431" s="300" t="str">
        <f>_xlfn.IFNA(VLOOKUP($BD431,Programma!$F$3:$G$1107,2,0),"")</f>
        <v/>
      </c>
      <c r="BF431" s="300" t="str">
        <f>_xlfn.IFNA(VLOOKUP($BD431,Programma!$F$3:$H$1107,3,0),"")</f>
        <v/>
      </c>
      <c r="BG431" s="300" t="str">
        <f>_xlfn.IFNA(VLOOKUP($BD431,Programma!$F$3:$I$1107,4,0),"")</f>
        <v/>
      </c>
      <c r="BH431" s="300" t="str">
        <f>_xlfn.IFNA(VLOOKUP($BD431,Programma!$F$3:$J$1107,5,0),"")</f>
        <v/>
      </c>
      <c r="BI431" s="300" t="str">
        <f>_xlfn.IFNA(VLOOKUP($BD431,Programma!$F$3:$K$1107,6,0),"")</f>
        <v/>
      </c>
      <c r="BJ431" s="300" t="str">
        <f>_xlfn.IFNA(VLOOKUP($BD431,Programma!$F$3:$L$1107,7,0),"")</f>
        <v/>
      </c>
      <c r="BK431" s="300" t="str">
        <f>_xlfn.IFNA(VLOOKUP($BD431,Programma!$F$3:$M$1107,8,0),"")</f>
        <v/>
      </c>
      <c r="BL431" s="300" t="str">
        <f>_xlfn.IFNA(VLOOKUP($BD431,Programma!$F$3:$N$1107,9,0),"")</f>
        <v/>
      </c>
      <c r="BM431" s="300" t="str">
        <f>_xlfn.IFNA(VLOOKUP($BD431,Programma!$F$3:$O$1107,10,0),"")</f>
        <v/>
      </c>
      <c r="BN431" s="300" t="str">
        <f>_xlfn.IFNA(VLOOKUP($BD431,Programma!$F$3:$P$1107,11,0),"")</f>
        <v/>
      </c>
      <c r="BO431" s="300" t="str">
        <f>_xlfn.IFNA(VLOOKUP($BD431,Programma!$F$3:$Q$1107,12,0),"")</f>
        <v/>
      </c>
      <c r="BP431" s="300" t="str">
        <f>_xlfn.IFNA(VLOOKUP($BD431,Programma!$F$3:$R$1107,13,0),"")</f>
        <v/>
      </c>
      <c r="BQ431" s="300" t="str">
        <f>_xlfn.IFNA(VLOOKUP($BD431,Programma!$F$3:$S$1107,14,0),"")</f>
        <v/>
      </c>
      <c r="BR431" s="300" t="str">
        <f>_xlfn.IFNA(VLOOKUP($BD431,Programma!$F$3:$T$1107,15,0),"")</f>
        <v/>
      </c>
      <c r="BS431" s="300" t="str">
        <f>_xlfn.IFNA(VLOOKUP($BD431,Programma!$F$3:$U$1107,16,0),"")</f>
        <v/>
      </c>
      <c r="BT431" s="300" t="str">
        <f>_xlfn.IFNA(VLOOKUP($BD431,Programma!$F$3:$V$1107,17,0),"")</f>
        <v/>
      </c>
      <c r="BU431" s="300" t="str">
        <f>_xlfn.IFNA(VLOOKUP($BD431,Programma!$F$3:$W$1107,18,0),"")</f>
        <v/>
      </c>
      <c r="BV431" s="300" t="str">
        <f>_xlfn.IFNA(VLOOKUP($BD431,Programma!$F$3:$X$1107,19,0),"")</f>
        <v/>
      </c>
      <c r="BW431" s="300" t="str">
        <f>_xlfn.IFNA(VLOOKUP($BD431,Programma!$F$3:$Y$1107,20,0),"")</f>
        <v/>
      </c>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c r="GK431" s="4"/>
      <c r="GL431" s="4"/>
      <c r="GM431" s="4"/>
      <c r="GN431" s="4"/>
      <c r="GO431" s="4"/>
      <c r="GP431" s="4"/>
      <c r="GQ431" s="4"/>
      <c r="GR431" s="4"/>
      <c r="GS431" s="4"/>
      <c r="GT431" s="4"/>
      <c r="GU431" s="4"/>
      <c r="GV431" s="4"/>
      <c r="GW431" s="4"/>
      <c r="GX431" s="4"/>
      <c r="GY431" s="4"/>
      <c r="GZ431" s="4"/>
      <c r="HA431" s="4"/>
      <c r="HB431" s="4"/>
      <c r="HC431" s="4"/>
      <c r="HD431" s="4"/>
      <c r="HE431" s="4"/>
      <c r="HF431" s="4"/>
      <c r="HG431" s="4"/>
      <c r="HH431" s="4"/>
      <c r="HI431" s="4"/>
      <c r="HJ431" s="4"/>
      <c r="HK431" s="4"/>
      <c r="HL431" s="4"/>
    </row>
    <row r="432" spans="1:220" ht="15" customHeight="1">
      <c r="A432" s="21">
        <v>6</v>
      </c>
      <c r="B432" s="157" t="str">
        <f>VLOOKUP(Ruimtestaat[[#This Row],[Code]],Locaties[[Code]:[Locatie]],2,FALSE)</f>
        <v>Veurs Lyceum</v>
      </c>
      <c r="C432" s="157" t="str">
        <f>VLOOKUP(Ruimtestaat[[#This Row],[Code]],Locaties[[#All],[Code]:[Adres]],4,FALSE)</f>
        <v>Burg. Kolfschotenlaan 5</v>
      </c>
      <c r="D432" s="157" t="str">
        <f>VLOOKUP(Ruimtestaat[[#This Row],[Code]],Locaties[[#All],[Code]:[Postcode]],5,FALSE)</f>
        <v xml:space="preserve">2262 EZ </v>
      </c>
      <c r="E432" s="157" t="str">
        <f>VLOOKUP(Ruimtestaat[[#This Row],[Code]],Locaties[#All],6,FALSE)</f>
        <v>Leidschendam</v>
      </c>
      <c r="F432" s="62"/>
      <c r="G432" s="21" t="s">
        <v>1632</v>
      </c>
      <c r="H432" s="21">
        <v>8</v>
      </c>
      <c r="I432" s="62" t="s">
        <v>1640</v>
      </c>
      <c r="J432" s="21">
        <v>5</v>
      </c>
      <c r="K432" s="62" t="str">
        <f>VLOOKUP(Ruimtestaat[[#This Row],[Ruimte code]],Ruimtegroepen[[#All],[Code]:[Ruimte omschrijving]],2,FALSE)</f>
        <v>Sanitair</v>
      </c>
      <c r="L432" s="33" t="s">
        <v>102</v>
      </c>
      <c r="M432" s="367" t="s">
        <v>2509</v>
      </c>
      <c r="N432" s="140">
        <v>13</v>
      </c>
      <c r="O432" s="140"/>
      <c r="P432" s="125" t="str">
        <f>VLOOKUP(Ruimtestaat[[#This Row],[Ruimte code]],Ruimtegroepen[],4,FALSE)</f>
        <v>Sa</v>
      </c>
      <c r="R432" s="33">
        <v>40</v>
      </c>
      <c r="S432" s="33" t="s">
        <v>2</v>
      </c>
      <c r="T432" s="33">
        <f>IF(R432&gt;0,IF(RIGHT(Ruimtestaat[[#This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2" s="33">
        <f>IF(T432&gt;0,VLOOKUP($J432,Ruimtegroepen[],3,FALSE)*VLOOKUP($L432,Vloersoorten[],3,FALSE)*VLOOKUP($S432,Frequenties[],3,FALSE)*VLOOKUP($A432,Locaties[],3,FALSE),0)</f>
        <v>0</v>
      </c>
      <c r="V432" s="33">
        <f>Ruimtestaat[[#This Row],[Uitvoeringen werkdagen]]*Ruimtestaat[[#This Row],[Oppervlak (netto)]]</f>
        <v>2600</v>
      </c>
      <c r="W432" s="154">
        <f>IF(U432&gt;0,Ruimtestaat[[#This Row],[Prest. (m2 /jaar) werkdagen]]/Ruimtestaat[[#This Row],[Norm (m2/uur) werkdagen]],0)</f>
        <v>0</v>
      </c>
      <c r="X432" s="155">
        <f>Ruimtestaat[[#This Row],[uren / jaar werkdagen]]*Tariefsopbouw!$E$35</f>
        <v>0</v>
      </c>
      <c r="Y432" s="33"/>
      <c r="Z432" s="33">
        <f>IF(Ruimtestaat[[#This Row],[Frequentie weekend]]&gt;0,VALUE(LEFT(Y432,1))*R432,0)</f>
        <v>0</v>
      </c>
      <c r="AA432" s="97">
        <f>IF($Z432&gt;0,VLOOKUP($J432,Ruimtegroepen[],3,FALSE)*VLOOKUP($L432,Vloersoorten[],3,FALSE)*VLOOKUP($Y432,Frequenties[],3,FALSE)*VLOOKUP(Ruimtestaat[[#This Row],[Code]],Locaties[],3,FALSE),0)</f>
        <v>0</v>
      </c>
      <c r="AB432" s="97">
        <f>Ruimtestaat[[#This Row],[Uitvoeringen weekend]]*Ruimtestaat[[#This Row],[Oppervlak (netto)]]</f>
        <v>0</v>
      </c>
      <c r="AC432" s="97">
        <f>IF(AA432&gt;0,Ruimtestaat[[#This Row],[Prest. (m2 /jaar) weekend]]/Ruimtestaat[[#This Row],[Norm (m2/uur) weekend]],0)</f>
        <v>0</v>
      </c>
      <c r="AD432" s="155">
        <f>Ruimtestaat[[#This Row],[uren / jaar weekend]]*Tariefsopbouw!$D$40</f>
        <v>0</v>
      </c>
      <c r="AE432" s="154">
        <f>Ruimtestaat[[#This Row],[Prest. (m2 /jaar) weekend]]+Ruimtestaat[[#This Row],[Prest. (m2 /jaar) werkdagen]]</f>
        <v>2600</v>
      </c>
      <c r="AF432" s="154">
        <f>Ruimtestaat[[#This Row],[uren / jaar weekend]]+Ruimtestaat[[#This Row],[uren / jaar werkdagen]]</f>
        <v>0</v>
      </c>
      <c r="AG432" s="69">
        <f>Ruimtestaat[[#This Row],[kosten / jaar weekend]]+Ruimtestaat[[#This Row],[kosten / jaar werkdagen]]</f>
        <v>0</v>
      </c>
      <c r="AH432" s="69"/>
      <c r="AI432" s="256" t="str">
        <f>IF(Ruimtestaat[[#This Row],[Frequentie werkdagen]]="","",_xlfn.CONCAT(Ruimtestaat[[#This Row],[Ruimte code]],"-",Ruimtestaat[[#This Row],[Frequentie werkdagen]]," ",Ruimtestaat[[#This Row],[Vloer code]]))</f>
        <v>5-5w S</v>
      </c>
      <c r="AJ432" s="300" t="str">
        <f>_xlfn.IFNA(VLOOKUP($AI432,Programma!$F$3:$G$1107,2,0),"")</f>
        <v>_</v>
      </c>
      <c r="AK432" s="300" t="str">
        <f>_xlfn.IFNA(VLOOKUP($AI432,Programma!$F$3:$H$1107,3,0),"")</f>
        <v>_</v>
      </c>
      <c r="AL432" s="300" t="str">
        <f>_xlfn.IFNA(VLOOKUP($AI432,Programma!$F$3:$I$1107,4,0),"")</f>
        <v>_</v>
      </c>
      <c r="AM432" s="300" t="str">
        <f>_xlfn.IFNA(VLOOKUP($AI432,Programma!$F$3:$J$1107,5,0),"")</f>
        <v>4w</v>
      </c>
      <c r="AN432" s="300" t="str">
        <f>_xlfn.IFNA(VLOOKUP($AI432,Programma!$F$3:$K$1107,6,0),"")</f>
        <v>1w</v>
      </c>
      <c r="AO432" s="300" t="str">
        <f>_xlfn.IFNA(VLOOKUP($AI432,Programma!$F$3:$L$1107,7,0),"")</f>
        <v>_</v>
      </c>
      <c r="AP432" s="300" t="str">
        <f>_xlfn.IFNA(VLOOKUP($AI432,Programma!$F$3:$M$1107,8,0),"")</f>
        <v>_</v>
      </c>
      <c r="AQ432" s="300" t="str">
        <f>_xlfn.IFNA(VLOOKUP($AI432,Programma!$F$3:$N$1107,9,0),"")</f>
        <v>_</v>
      </c>
      <c r="AR432" s="300" t="str">
        <f>_xlfn.IFNA(VLOOKUP($AI432,Programma!$F$3:$O$1107,10,0),"")</f>
        <v>_</v>
      </c>
      <c r="AS432" s="300" t="str">
        <f>_xlfn.IFNA(VLOOKUP($AI432,Programma!$F$3:$P$1107,11,0),"")</f>
        <v>_</v>
      </c>
      <c r="AT432" s="300" t="str">
        <f>_xlfn.IFNA(VLOOKUP($AI432,Programma!$F$3:$Q$1107,12,0),"")</f>
        <v>_</v>
      </c>
      <c r="AU432" s="300" t="str">
        <f>_xlfn.IFNA(VLOOKUP($AI432,Programma!$F$3:$R$1107,13,0),"")</f>
        <v>_</v>
      </c>
      <c r="AV432" s="300" t="str">
        <f>_xlfn.IFNA(VLOOKUP($AI432,Programma!$F$3:$S$1107,14,0),"")</f>
        <v>_</v>
      </c>
      <c r="AW432" s="300" t="str">
        <f>_xlfn.IFNA(VLOOKUP($AI432,Programma!$F$3:$T$1107,15,0),"")</f>
        <v>_</v>
      </c>
      <c r="AX432" s="300" t="str">
        <f>_xlfn.IFNA(VLOOKUP($AI432,Programma!$F$3:$U$1107,16,0),"")</f>
        <v>_</v>
      </c>
      <c r="AY432" s="300" t="str">
        <f>_xlfn.IFNA(VLOOKUP($AI432,Programma!$F$3:$V$1107,17,0),"")</f>
        <v>_</v>
      </c>
      <c r="AZ432" s="300" t="str">
        <f>_xlfn.IFNA(VLOOKUP($AI432,Programma!$F$3:$W$1107,18,0),"")</f>
        <v>4w</v>
      </c>
      <c r="BA432" s="300" t="str">
        <f>_xlfn.IFNA(VLOOKUP($AI432,Programma!$F$3:$X$1107,19,0),"")</f>
        <v>1w</v>
      </c>
      <c r="BB432" s="300" t="str">
        <f>_xlfn.IFNA(VLOOKUP($AI432,Programma!$F$3:$Y$1107,20,0),"")</f>
        <v>_</v>
      </c>
      <c r="BC432" s="257"/>
      <c r="BD432" s="256" t="str">
        <f>IF(Ruimtestaat[[#This Row],[Frequentie weekend]]="","",_xlfn.CONCAT(Ruimtestaat[[#This Row],[Ruimte code]],"-",Ruimtestaat[[#This Row],[Frequentie weekend]]," ",Ruimtestaat[[#This Row],[Vloer code]]))</f>
        <v/>
      </c>
      <c r="BE432" s="300" t="str">
        <f>_xlfn.IFNA(VLOOKUP($BD432,Programma!$F$3:$G$1107,2,0),"")</f>
        <v/>
      </c>
      <c r="BF432" s="300" t="str">
        <f>_xlfn.IFNA(VLOOKUP($BD432,Programma!$F$3:$H$1107,3,0),"")</f>
        <v/>
      </c>
      <c r="BG432" s="300" t="str">
        <f>_xlfn.IFNA(VLOOKUP($BD432,Programma!$F$3:$I$1107,4,0),"")</f>
        <v/>
      </c>
      <c r="BH432" s="300" t="str">
        <f>_xlfn.IFNA(VLOOKUP($BD432,Programma!$F$3:$J$1107,5,0),"")</f>
        <v/>
      </c>
      <c r="BI432" s="300" t="str">
        <f>_xlfn.IFNA(VLOOKUP($BD432,Programma!$F$3:$K$1107,6,0),"")</f>
        <v/>
      </c>
      <c r="BJ432" s="300" t="str">
        <f>_xlfn.IFNA(VLOOKUP($BD432,Programma!$F$3:$L$1107,7,0),"")</f>
        <v/>
      </c>
      <c r="BK432" s="300" t="str">
        <f>_xlfn.IFNA(VLOOKUP($BD432,Programma!$F$3:$M$1107,8,0),"")</f>
        <v/>
      </c>
      <c r="BL432" s="300" t="str">
        <f>_xlfn.IFNA(VLOOKUP($BD432,Programma!$F$3:$N$1107,9,0),"")</f>
        <v/>
      </c>
      <c r="BM432" s="300" t="str">
        <f>_xlfn.IFNA(VLOOKUP($BD432,Programma!$F$3:$O$1107,10,0),"")</f>
        <v/>
      </c>
      <c r="BN432" s="300" t="str">
        <f>_xlfn.IFNA(VLOOKUP($BD432,Programma!$F$3:$P$1107,11,0),"")</f>
        <v/>
      </c>
      <c r="BO432" s="300" t="str">
        <f>_xlfn.IFNA(VLOOKUP($BD432,Programma!$F$3:$Q$1107,12,0),"")</f>
        <v/>
      </c>
      <c r="BP432" s="300" t="str">
        <f>_xlfn.IFNA(VLOOKUP($BD432,Programma!$F$3:$R$1107,13,0),"")</f>
        <v/>
      </c>
      <c r="BQ432" s="300" t="str">
        <f>_xlfn.IFNA(VLOOKUP($BD432,Programma!$F$3:$S$1107,14,0),"")</f>
        <v/>
      </c>
      <c r="BR432" s="300" t="str">
        <f>_xlfn.IFNA(VLOOKUP($BD432,Programma!$F$3:$T$1107,15,0),"")</f>
        <v/>
      </c>
      <c r="BS432" s="300" t="str">
        <f>_xlfn.IFNA(VLOOKUP($BD432,Programma!$F$3:$U$1107,16,0),"")</f>
        <v/>
      </c>
      <c r="BT432" s="300" t="str">
        <f>_xlfn.IFNA(VLOOKUP($BD432,Programma!$F$3:$V$1107,17,0),"")</f>
        <v/>
      </c>
      <c r="BU432" s="300" t="str">
        <f>_xlfn.IFNA(VLOOKUP($BD432,Programma!$F$3:$W$1107,18,0),"")</f>
        <v/>
      </c>
      <c r="BV432" s="300" t="str">
        <f>_xlfn.IFNA(VLOOKUP($BD432,Programma!$F$3:$X$1107,19,0),"")</f>
        <v/>
      </c>
      <c r="BW432" s="300" t="str">
        <f>_xlfn.IFNA(VLOOKUP($BD432,Programma!$F$3:$Y$1107,20,0),"")</f>
        <v/>
      </c>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c r="GK432" s="4"/>
      <c r="GL432" s="4"/>
      <c r="GM432" s="4"/>
      <c r="GN432" s="4"/>
      <c r="GO432" s="4"/>
      <c r="GP432" s="4"/>
      <c r="GQ432" s="4"/>
      <c r="GR432" s="4"/>
      <c r="GS432" s="4"/>
      <c r="GT432" s="4"/>
      <c r="GU432" s="4"/>
      <c r="GV432" s="4"/>
      <c r="GW432" s="4"/>
      <c r="GX432" s="4"/>
      <c r="GY432" s="4"/>
      <c r="GZ432" s="4"/>
      <c r="HA432" s="4"/>
      <c r="HB432" s="4"/>
      <c r="HC432" s="4"/>
      <c r="HD432" s="4"/>
      <c r="HE432" s="4"/>
      <c r="HF432" s="4"/>
      <c r="HG432" s="4"/>
      <c r="HH432" s="4"/>
      <c r="HI432" s="4"/>
      <c r="HJ432" s="4"/>
      <c r="HK432" s="4"/>
      <c r="HL432" s="4"/>
    </row>
    <row r="433" spans="1:220" ht="15" customHeight="1">
      <c r="A433" s="21">
        <v>6</v>
      </c>
      <c r="B433" s="157" t="str">
        <f>VLOOKUP(Ruimtestaat[[#This Row],[Code]],Locaties[[Code]:[Locatie]],2,FALSE)</f>
        <v>Veurs Lyceum</v>
      </c>
      <c r="C433" s="157" t="str">
        <f>VLOOKUP(Ruimtestaat[[#This Row],[Code]],Locaties[[#All],[Code]:[Adres]],4,FALSE)</f>
        <v>Burg. Kolfschotenlaan 5</v>
      </c>
      <c r="D433" s="157" t="str">
        <f>VLOOKUP(Ruimtestaat[[#This Row],[Code]],Locaties[[#All],[Code]:[Postcode]],5,FALSE)</f>
        <v xml:space="preserve">2262 EZ </v>
      </c>
      <c r="E433" s="157" t="str">
        <f>VLOOKUP(Ruimtestaat[[#This Row],[Code]],Locaties[#All],6,FALSE)</f>
        <v>Leidschendam</v>
      </c>
      <c r="F433" s="62"/>
      <c r="G433" s="21" t="s">
        <v>1632</v>
      </c>
      <c r="H433" s="21">
        <v>9</v>
      </c>
      <c r="I433" s="62" t="s">
        <v>1639</v>
      </c>
      <c r="J433" s="21">
        <v>5</v>
      </c>
      <c r="K433" s="62" t="str">
        <f>VLOOKUP(Ruimtestaat[[#This Row],[Ruimte code]],Ruimtegroepen[[#All],[Code]:[Ruimte omschrijving]],2,FALSE)</f>
        <v>Sanitair</v>
      </c>
      <c r="L433" s="33" t="s">
        <v>102</v>
      </c>
      <c r="M433" s="367" t="s">
        <v>2509</v>
      </c>
      <c r="N433" s="140">
        <v>11</v>
      </c>
      <c r="O433" s="140"/>
      <c r="P433" s="125" t="str">
        <f>VLOOKUP(Ruimtestaat[[#This Row],[Ruimte code]],Ruimtegroepen[],4,FALSE)</f>
        <v>Sa</v>
      </c>
      <c r="R433" s="33">
        <v>40</v>
      </c>
      <c r="S433" s="33" t="s">
        <v>2</v>
      </c>
      <c r="T433" s="33">
        <f>IF(R433&gt;0,IF(RIGHT(Ruimtestaat[[#This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3" s="33">
        <f>IF(T433&gt;0,VLOOKUP($J433,Ruimtegroepen[],3,FALSE)*VLOOKUP($L433,Vloersoorten[],3,FALSE)*VLOOKUP($S433,Frequenties[],3,FALSE)*VLOOKUP($A433,Locaties[],3,FALSE),0)</f>
        <v>0</v>
      </c>
      <c r="V433" s="33">
        <f>Ruimtestaat[[#This Row],[Uitvoeringen werkdagen]]*Ruimtestaat[[#This Row],[Oppervlak (netto)]]</f>
        <v>2200</v>
      </c>
      <c r="W433" s="154">
        <f>IF(U433&gt;0,Ruimtestaat[[#This Row],[Prest. (m2 /jaar) werkdagen]]/Ruimtestaat[[#This Row],[Norm (m2/uur) werkdagen]],0)</f>
        <v>0</v>
      </c>
      <c r="X433" s="155">
        <f>Ruimtestaat[[#This Row],[uren / jaar werkdagen]]*Tariefsopbouw!$E$35</f>
        <v>0</v>
      </c>
      <c r="Y433" s="33"/>
      <c r="Z433" s="33">
        <f>IF(Ruimtestaat[[#This Row],[Frequentie weekend]]&gt;0,VALUE(LEFT(Y433,1))*R433,0)</f>
        <v>0</v>
      </c>
      <c r="AA433" s="97">
        <f>IF($Z433&gt;0,VLOOKUP($J433,Ruimtegroepen[],3,FALSE)*VLOOKUP($L433,Vloersoorten[],3,FALSE)*VLOOKUP($Y433,Frequenties[],3,FALSE)*VLOOKUP(Ruimtestaat[[#This Row],[Code]],Locaties[],3,FALSE),0)</f>
        <v>0</v>
      </c>
      <c r="AB433" s="97">
        <f>Ruimtestaat[[#This Row],[Uitvoeringen weekend]]*Ruimtestaat[[#This Row],[Oppervlak (netto)]]</f>
        <v>0</v>
      </c>
      <c r="AC433" s="97">
        <f>IF(AA433&gt;0,Ruimtestaat[[#This Row],[Prest. (m2 /jaar) weekend]]/Ruimtestaat[[#This Row],[Norm (m2/uur) weekend]],0)</f>
        <v>0</v>
      </c>
      <c r="AD433" s="155">
        <f>Ruimtestaat[[#This Row],[uren / jaar weekend]]*Tariefsopbouw!$D$40</f>
        <v>0</v>
      </c>
      <c r="AE433" s="154">
        <f>Ruimtestaat[[#This Row],[Prest. (m2 /jaar) weekend]]+Ruimtestaat[[#This Row],[Prest. (m2 /jaar) werkdagen]]</f>
        <v>2200</v>
      </c>
      <c r="AF433" s="154">
        <f>Ruimtestaat[[#This Row],[uren / jaar weekend]]+Ruimtestaat[[#This Row],[uren / jaar werkdagen]]</f>
        <v>0</v>
      </c>
      <c r="AG433" s="69">
        <f>Ruimtestaat[[#This Row],[kosten / jaar weekend]]+Ruimtestaat[[#This Row],[kosten / jaar werkdagen]]</f>
        <v>0</v>
      </c>
      <c r="AH433" s="69"/>
      <c r="AI433" s="256" t="str">
        <f>IF(Ruimtestaat[[#This Row],[Frequentie werkdagen]]="","",_xlfn.CONCAT(Ruimtestaat[[#This Row],[Ruimte code]],"-",Ruimtestaat[[#This Row],[Frequentie werkdagen]]," ",Ruimtestaat[[#This Row],[Vloer code]]))</f>
        <v>5-5w S</v>
      </c>
      <c r="AJ433" s="300" t="str">
        <f>_xlfn.IFNA(VLOOKUP($AI433,Programma!$F$3:$G$1107,2,0),"")</f>
        <v>_</v>
      </c>
      <c r="AK433" s="300" t="str">
        <f>_xlfn.IFNA(VLOOKUP($AI433,Programma!$F$3:$H$1107,3,0),"")</f>
        <v>_</v>
      </c>
      <c r="AL433" s="300" t="str">
        <f>_xlfn.IFNA(VLOOKUP($AI433,Programma!$F$3:$I$1107,4,0),"")</f>
        <v>_</v>
      </c>
      <c r="AM433" s="300" t="str">
        <f>_xlfn.IFNA(VLOOKUP($AI433,Programma!$F$3:$J$1107,5,0),"")</f>
        <v>4w</v>
      </c>
      <c r="AN433" s="300" t="str">
        <f>_xlfn.IFNA(VLOOKUP($AI433,Programma!$F$3:$K$1107,6,0),"")</f>
        <v>1w</v>
      </c>
      <c r="AO433" s="300" t="str">
        <f>_xlfn.IFNA(VLOOKUP($AI433,Programma!$F$3:$L$1107,7,0),"")</f>
        <v>_</v>
      </c>
      <c r="AP433" s="300" t="str">
        <f>_xlfn.IFNA(VLOOKUP($AI433,Programma!$F$3:$M$1107,8,0),"")</f>
        <v>_</v>
      </c>
      <c r="AQ433" s="300" t="str">
        <f>_xlfn.IFNA(VLOOKUP($AI433,Programma!$F$3:$N$1107,9,0),"")</f>
        <v>_</v>
      </c>
      <c r="AR433" s="300" t="str">
        <f>_xlfn.IFNA(VLOOKUP($AI433,Programma!$F$3:$O$1107,10,0),"")</f>
        <v>_</v>
      </c>
      <c r="AS433" s="300" t="str">
        <f>_xlfn.IFNA(VLOOKUP($AI433,Programma!$F$3:$P$1107,11,0),"")</f>
        <v>_</v>
      </c>
      <c r="AT433" s="300" t="str">
        <f>_xlfn.IFNA(VLOOKUP($AI433,Programma!$F$3:$Q$1107,12,0),"")</f>
        <v>_</v>
      </c>
      <c r="AU433" s="300" t="str">
        <f>_xlfn.IFNA(VLOOKUP($AI433,Programma!$F$3:$R$1107,13,0),"")</f>
        <v>_</v>
      </c>
      <c r="AV433" s="300" t="str">
        <f>_xlfn.IFNA(VLOOKUP($AI433,Programma!$F$3:$S$1107,14,0),"")</f>
        <v>_</v>
      </c>
      <c r="AW433" s="300" t="str">
        <f>_xlfn.IFNA(VLOOKUP($AI433,Programma!$F$3:$T$1107,15,0),"")</f>
        <v>_</v>
      </c>
      <c r="AX433" s="300" t="str">
        <f>_xlfn.IFNA(VLOOKUP($AI433,Programma!$F$3:$U$1107,16,0),"")</f>
        <v>_</v>
      </c>
      <c r="AY433" s="300" t="str">
        <f>_xlfn.IFNA(VLOOKUP($AI433,Programma!$F$3:$V$1107,17,0),"")</f>
        <v>_</v>
      </c>
      <c r="AZ433" s="300" t="str">
        <f>_xlfn.IFNA(VLOOKUP($AI433,Programma!$F$3:$W$1107,18,0),"")</f>
        <v>4w</v>
      </c>
      <c r="BA433" s="300" t="str">
        <f>_xlfn.IFNA(VLOOKUP($AI433,Programma!$F$3:$X$1107,19,0),"")</f>
        <v>1w</v>
      </c>
      <c r="BB433" s="300" t="str">
        <f>_xlfn.IFNA(VLOOKUP($AI433,Programma!$F$3:$Y$1107,20,0),"")</f>
        <v>_</v>
      </c>
      <c r="BC433" s="257"/>
      <c r="BD433" s="256" t="str">
        <f>IF(Ruimtestaat[[#This Row],[Frequentie weekend]]="","",_xlfn.CONCAT(Ruimtestaat[[#This Row],[Ruimte code]],"-",Ruimtestaat[[#This Row],[Frequentie weekend]]," ",Ruimtestaat[[#This Row],[Vloer code]]))</f>
        <v/>
      </c>
      <c r="BE433" s="300" t="str">
        <f>_xlfn.IFNA(VLOOKUP($BD433,Programma!$F$3:$G$1107,2,0),"")</f>
        <v/>
      </c>
      <c r="BF433" s="300" t="str">
        <f>_xlfn.IFNA(VLOOKUP($BD433,Programma!$F$3:$H$1107,3,0),"")</f>
        <v/>
      </c>
      <c r="BG433" s="300" t="str">
        <f>_xlfn.IFNA(VLOOKUP($BD433,Programma!$F$3:$I$1107,4,0),"")</f>
        <v/>
      </c>
      <c r="BH433" s="300" t="str">
        <f>_xlfn.IFNA(VLOOKUP($BD433,Programma!$F$3:$J$1107,5,0),"")</f>
        <v/>
      </c>
      <c r="BI433" s="300" t="str">
        <f>_xlfn.IFNA(VLOOKUP($BD433,Programma!$F$3:$K$1107,6,0),"")</f>
        <v/>
      </c>
      <c r="BJ433" s="300" t="str">
        <f>_xlfn.IFNA(VLOOKUP($BD433,Programma!$F$3:$L$1107,7,0),"")</f>
        <v/>
      </c>
      <c r="BK433" s="300" t="str">
        <f>_xlfn.IFNA(VLOOKUP($BD433,Programma!$F$3:$M$1107,8,0),"")</f>
        <v/>
      </c>
      <c r="BL433" s="300" t="str">
        <f>_xlfn.IFNA(VLOOKUP($BD433,Programma!$F$3:$N$1107,9,0),"")</f>
        <v/>
      </c>
      <c r="BM433" s="300" t="str">
        <f>_xlfn.IFNA(VLOOKUP($BD433,Programma!$F$3:$O$1107,10,0),"")</f>
        <v/>
      </c>
      <c r="BN433" s="300" t="str">
        <f>_xlfn.IFNA(VLOOKUP($BD433,Programma!$F$3:$P$1107,11,0),"")</f>
        <v/>
      </c>
      <c r="BO433" s="300" t="str">
        <f>_xlfn.IFNA(VLOOKUP($BD433,Programma!$F$3:$Q$1107,12,0),"")</f>
        <v/>
      </c>
      <c r="BP433" s="300" t="str">
        <f>_xlfn.IFNA(VLOOKUP($BD433,Programma!$F$3:$R$1107,13,0),"")</f>
        <v/>
      </c>
      <c r="BQ433" s="300" t="str">
        <f>_xlfn.IFNA(VLOOKUP($BD433,Programma!$F$3:$S$1107,14,0),"")</f>
        <v/>
      </c>
      <c r="BR433" s="300" t="str">
        <f>_xlfn.IFNA(VLOOKUP($BD433,Programma!$F$3:$T$1107,15,0),"")</f>
        <v/>
      </c>
      <c r="BS433" s="300" t="str">
        <f>_xlfn.IFNA(VLOOKUP($BD433,Programma!$F$3:$U$1107,16,0),"")</f>
        <v/>
      </c>
      <c r="BT433" s="300" t="str">
        <f>_xlfn.IFNA(VLOOKUP($BD433,Programma!$F$3:$V$1107,17,0),"")</f>
        <v/>
      </c>
      <c r="BU433" s="300" t="str">
        <f>_xlfn.IFNA(VLOOKUP($BD433,Programma!$F$3:$W$1107,18,0),"")</f>
        <v/>
      </c>
      <c r="BV433" s="300" t="str">
        <f>_xlfn.IFNA(VLOOKUP($BD433,Programma!$F$3:$X$1107,19,0),"")</f>
        <v/>
      </c>
      <c r="BW433" s="300" t="str">
        <f>_xlfn.IFNA(VLOOKUP($BD433,Programma!$F$3:$Y$1107,20,0),"")</f>
        <v/>
      </c>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c r="GK433" s="4"/>
      <c r="GL433" s="4"/>
      <c r="GM433" s="4"/>
      <c r="GN433" s="4"/>
      <c r="GO433" s="4"/>
      <c r="GP433" s="4"/>
      <c r="GQ433" s="4"/>
      <c r="GR433" s="4"/>
      <c r="GS433" s="4"/>
      <c r="GT433" s="4"/>
      <c r="GU433" s="4"/>
      <c r="GV433" s="4"/>
      <c r="GW433" s="4"/>
      <c r="GX433" s="4"/>
      <c r="GY433" s="4"/>
      <c r="GZ433" s="4"/>
      <c r="HA433" s="4"/>
      <c r="HB433" s="4"/>
      <c r="HC433" s="4"/>
      <c r="HD433" s="4"/>
      <c r="HE433" s="4"/>
      <c r="HF433" s="4"/>
      <c r="HG433" s="4"/>
      <c r="HH433" s="4"/>
      <c r="HI433" s="4"/>
      <c r="HJ433" s="4"/>
      <c r="HK433" s="4"/>
      <c r="HL433" s="4"/>
    </row>
    <row r="434" spans="1:220" ht="15" customHeight="1">
      <c r="A434" s="21">
        <v>6</v>
      </c>
      <c r="B434" s="157" t="str">
        <f>VLOOKUP(Ruimtestaat[[#This Row],[Code]],Locaties[[Code]:[Locatie]],2,FALSE)</f>
        <v>Veurs Lyceum</v>
      </c>
      <c r="C434" s="157" t="str">
        <f>VLOOKUP(Ruimtestaat[[#This Row],[Code]],Locaties[[#All],[Code]:[Adres]],4,FALSE)</f>
        <v>Burg. Kolfschotenlaan 5</v>
      </c>
      <c r="D434" s="157" t="str">
        <f>VLOOKUP(Ruimtestaat[[#This Row],[Code]],Locaties[[#All],[Code]:[Postcode]],5,FALSE)</f>
        <v xml:space="preserve">2262 EZ </v>
      </c>
      <c r="E434" s="157" t="str">
        <f>VLOOKUP(Ruimtestaat[[#This Row],[Code]],Locaties[#All],6,FALSE)</f>
        <v>Leidschendam</v>
      </c>
      <c r="F434" s="62"/>
      <c r="G434" s="21" t="s">
        <v>1632</v>
      </c>
      <c r="H434" s="21">
        <v>10</v>
      </c>
      <c r="I434" s="62" t="s">
        <v>1625</v>
      </c>
      <c r="J434" s="21">
        <v>6</v>
      </c>
      <c r="K434" s="62" t="str">
        <f>VLOOKUP(Ruimtestaat[[#This Row],[Ruimte code]],Ruimtegroepen[[#All],[Code]:[Ruimte omschrijving]],2,FALSE)</f>
        <v>Gangen/hallen</v>
      </c>
      <c r="L434" s="33" t="s">
        <v>100</v>
      </c>
      <c r="M434" s="367" t="s">
        <v>2493</v>
      </c>
      <c r="N434" s="140">
        <v>81</v>
      </c>
      <c r="O434" s="140"/>
      <c r="P434" s="125" t="str">
        <f>VLOOKUP(Ruimtestaat[[#This Row],[Ruimte code]],Ruimtegroepen[],4,FALSE)</f>
        <v>Ve</v>
      </c>
      <c r="R434" s="33">
        <v>40</v>
      </c>
      <c r="S434" s="33" t="s">
        <v>2</v>
      </c>
      <c r="T434" s="33">
        <f>IF(R434&gt;0,IF(RIGHT(Ruimtestaat[[#This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4" s="33">
        <f>IF(T434&gt;0,VLOOKUP($J434,Ruimtegroepen[],3,FALSE)*VLOOKUP($L434,Vloersoorten[],3,FALSE)*VLOOKUP($S434,Frequenties[],3,FALSE)*VLOOKUP($A434,Locaties[],3,FALSE),0)</f>
        <v>0</v>
      </c>
      <c r="V434" s="33">
        <f>Ruimtestaat[[#This Row],[Uitvoeringen werkdagen]]*Ruimtestaat[[#This Row],[Oppervlak (netto)]]</f>
        <v>16200</v>
      </c>
      <c r="W434" s="154">
        <f>IF(U434&gt;0,Ruimtestaat[[#This Row],[Prest. (m2 /jaar) werkdagen]]/Ruimtestaat[[#This Row],[Norm (m2/uur) werkdagen]],0)</f>
        <v>0</v>
      </c>
      <c r="X434" s="155">
        <f>Ruimtestaat[[#This Row],[uren / jaar werkdagen]]*Tariefsopbouw!$E$35</f>
        <v>0</v>
      </c>
      <c r="Y434" s="33"/>
      <c r="Z434" s="33">
        <f>IF(Ruimtestaat[[#This Row],[Frequentie weekend]]&gt;0,VALUE(LEFT(Y434,1))*R434,0)</f>
        <v>0</v>
      </c>
      <c r="AA434" s="97">
        <f>IF($Z434&gt;0,VLOOKUP($J434,Ruimtegroepen[],3,FALSE)*VLOOKUP($L434,Vloersoorten[],3,FALSE)*VLOOKUP($Y434,Frequenties[],3,FALSE)*VLOOKUP(Ruimtestaat[[#This Row],[Code]],Locaties[],3,FALSE),0)</f>
        <v>0</v>
      </c>
      <c r="AB434" s="97">
        <f>Ruimtestaat[[#This Row],[Uitvoeringen weekend]]*Ruimtestaat[[#This Row],[Oppervlak (netto)]]</f>
        <v>0</v>
      </c>
      <c r="AC434" s="97">
        <f>IF(AA434&gt;0,Ruimtestaat[[#This Row],[Prest. (m2 /jaar) weekend]]/Ruimtestaat[[#This Row],[Norm (m2/uur) weekend]],0)</f>
        <v>0</v>
      </c>
      <c r="AD434" s="155">
        <f>Ruimtestaat[[#This Row],[uren / jaar weekend]]*Tariefsopbouw!$D$40</f>
        <v>0</v>
      </c>
      <c r="AE434" s="154">
        <f>Ruimtestaat[[#This Row],[Prest. (m2 /jaar) weekend]]+Ruimtestaat[[#This Row],[Prest. (m2 /jaar) werkdagen]]</f>
        <v>16200</v>
      </c>
      <c r="AF434" s="154">
        <f>Ruimtestaat[[#This Row],[uren / jaar weekend]]+Ruimtestaat[[#This Row],[uren / jaar werkdagen]]</f>
        <v>0</v>
      </c>
      <c r="AG434" s="69">
        <f>Ruimtestaat[[#This Row],[kosten / jaar weekend]]+Ruimtestaat[[#This Row],[kosten / jaar werkdagen]]</f>
        <v>0</v>
      </c>
      <c r="AH434" s="69"/>
      <c r="AI434" s="256" t="str">
        <f>IF(Ruimtestaat[[#This Row],[Frequentie werkdagen]]="","",_xlfn.CONCAT(Ruimtestaat[[#This Row],[Ruimte code]],"-",Ruimtestaat[[#This Row],[Frequentie werkdagen]]," ",Ruimtestaat[[#This Row],[Vloer code]]))</f>
        <v>6-5w T</v>
      </c>
      <c r="AJ434" s="300" t="str">
        <f>_xlfn.IFNA(VLOOKUP($AI434,Programma!$F$3:$G$1107,2,0),"")</f>
        <v>_</v>
      </c>
      <c r="AK434" s="300" t="str">
        <f>_xlfn.IFNA(VLOOKUP($AI434,Programma!$F$3:$H$1107,3,0),"")</f>
        <v>5w</v>
      </c>
      <c r="AL434" s="300" t="str">
        <f>_xlfn.IFNA(VLOOKUP($AI434,Programma!$F$3:$I$1107,4,0),"")</f>
        <v>_</v>
      </c>
      <c r="AM434" s="300" t="str">
        <f>_xlfn.IFNA(VLOOKUP($AI434,Programma!$F$3:$J$1107,5,0),"")</f>
        <v>_</v>
      </c>
      <c r="AN434" s="300" t="str">
        <f>_xlfn.IFNA(VLOOKUP($AI434,Programma!$F$3:$K$1107,6,0),"")</f>
        <v>_</v>
      </c>
      <c r="AO434" s="300" t="str">
        <f>_xlfn.IFNA(VLOOKUP($AI434,Programma!$F$3:$L$1107,7,0),"")</f>
        <v>_</v>
      </c>
      <c r="AP434" s="300" t="str">
        <f>_xlfn.IFNA(VLOOKUP($AI434,Programma!$F$3:$M$1107,8,0),"")</f>
        <v>_</v>
      </c>
      <c r="AQ434" s="300" t="str">
        <f>_xlfn.IFNA(VLOOKUP($AI434,Programma!$F$3:$N$1107,9,0),"")</f>
        <v>_</v>
      </c>
      <c r="AR434" s="300" t="str">
        <f>_xlfn.IFNA(VLOOKUP($AI434,Programma!$F$3:$O$1107,10,0),"")</f>
        <v>5w</v>
      </c>
      <c r="AS434" s="300" t="str">
        <f>_xlfn.IFNA(VLOOKUP($AI434,Programma!$F$3:$P$1107,11,0),"")</f>
        <v>5w</v>
      </c>
      <c r="AT434" s="300" t="str">
        <f>_xlfn.IFNA(VLOOKUP($AI434,Programma!$F$3:$Q$1107,12,0),"")</f>
        <v>1w</v>
      </c>
      <c r="AU434" s="300" t="str">
        <f>_xlfn.IFNA(VLOOKUP($AI434,Programma!$F$3:$R$1107,13,0),"")</f>
        <v>1w</v>
      </c>
      <c r="AV434" s="300" t="str">
        <f>_xlfn.IFNA(VLOOKUP($AI434,Programma!$F$3:$S$1107,14,0),"")</f>
        <v>1m</v>
      </c>
      <c r="AW434" s="300" t="str">
        <f>_xlfn.IFNA(VLOOKUP($AI434,Programma!$F$3:$T$1107,15,0),"")</f>
        <v>2j</v>
      </c>
      <c r="AX434" s="300" t="str">
        <f>_xlfn.IFNA(VLOOKUP($AI434,Programma!$F$3:$U$1107,16,0),"")</f>
        <v>1j</v>
      </c>
      <c r="AY434" s="300" t="str">
        <f>_xlfn.IFNA(VLOOKUP($AI434,Programma!$F$3:$V$1107,17,0),"")</f>
        <v>_</v>
      </c>
      <c r="AZ434" s="300" t="str">
        <f>_xlfn.IFNA(VLOOKUP($AI434,Programma!$F$3:$W$1107,18,0),"")</f>
        <v>_</v>
      </c>
      <c r="BA434" s="300" t="str">
        <f>_xlfn.IFNA(VLOOKUP($AI434,Programma!$F$3:$X$1107,19,0),"")</f>
        <v>_</v>
      </c>
      <c r="BB434" s="300" t="str">
        <f>_xlfn.IFNA(VLOOKUP($AI434,Programma!$F$3:$Y$1107,20,0),"")</f>
        <v>_</v>
      </c>
      <c r="BC434" s="257"/>
      <c r="BD434" s="256" t="str">
        <f>IF(Ruimtestaat[[#This Row],[Frequentie weekend]]="","",_xlfn.CONCAT(Ruimtestaat[[#This Row],[Ruimte code]],"-",Ruimtestaat[[#This Row],[Frequentie weekend]]," ",Ruimtestaat[[#This Row],[Vloer code]]))</f>
        <v/>
      </c>
      <c r="BE434" s="300" t="str">
        <f>_xlfn.IFNA(VLOOKUP($BD434,Programma!$F$3:$G$1107,2,0),"")</f>
        <v/>
      </c>
      <c r="BF434" s="300" t="str">
        <f>_xlfn.IFNA(VLOOKUP($BD434,Programma!$F$3:$H$1107,3,0),"")</f>
        <v/>
      </c>
      <c r="BG434" s="300" t="str">
        <f>_xlfn.IFNA(VLOOKUP($BD434,Programma!$F$3:$I$1107,4,0),"")</f>
        <v/>
      </c>
      <c r="BH434" s="300" t="str">
        <f>_xlfn.IFNA(VLOOKUP($BD434,Programma!$F$3:$J$1107,5,0),"")</f>
        <v/>
      </c>
      <c r="BI434" s="300" t="str">
        <f>_xlfn.IFNA(VLOOKUP($BD434,Programma!$F$3:$K$1107,6,0),"")</f>
        <v/>
      </c>
      <c r="BJ434" s="300" t="str">
        <f>_xlfn.IFNA(VLOOKUP($BD434,Programma!$F$3:$L$1107,7,0),"")</f>
        <v/>
      </c>
      <c r="BK434" s="300" t="str">
        <f>_xlfn.IFNA(VLOOKUP($BD434,Programma!$F$3:$M$1107,8,0),"")</f>
        <v/>
      </c>
      <c r="BL434" s="300" t="str">
        <f>_xlfn.IFNA(VLOOKUP($BD434,Programma!$F$3:$N$1107,9,0),"")</f>
        <v/>
      </c>
      <c r="BM434" s="300" t="str">
        <f>_xlfn.IFNA(VLOOKUP($BD434,Programma!$F$3:$O$1107,10,0),"")</f>
        <v/>
      </c>
      <c r="BN434" s="300" t="str">
        <f>_xlfn.IFNA(VLOOKUP($BD434,Programma!$F$3:$P$1107,11,0),"")</f>
        <v/>
      </c>
      <c r="BO434" s="300" t="str">
        <f>_xlfn.IFNA(VLOOKUP($BD434,Programma!$F$3:$Q$1107,12,0),"")</f>
        <v/>
      </c>
      <c r="BP434" s="300" t="str">
        <f>_xlfn.IFNA(VLOOKUP($BD434,Programma!$F$3:$R$1107,13,0),"")</f>
        <v/>
      </c>
      <c r="BQ434" s="300" t="str">
        <f>_xlfn.IFNA(VLOOKUP($BD434,Programma!$F$3:$S$1107,14,0),"")</f>
        <v/>
      </c>
      <c r="BR434" s="300" t="str">
        <f>_xlfn.IFNA(VLOOKUP($BD434,Programma!$F$3:$T$1107,15,0),"")</f>
        <v/>
      </c>
      <c r="BS434" s="300" t="str">
        <f>_xlfn.IFNA(VLOOKUP($BD434,Programma!$F$3:$U$1107,16,0),"")</f>
        <v/>
      </c>
      <c r="BT434" s="300" t="str">
        <f>_xlfn.IFNA(VLOOKUP($BD434,Programma!$F$3:$V$1107,17,0),"")</f>
        <v/>
      </c>
      <c r="BU434" s="300" t="str">
        <f>_xlfn.IFNA(VLOOKUP($BD434,Programma!$F$3:$W$1107,18,0),"")</f>
        <v/>
      </c>
      <c r="BV434" s="300" t="str">
        <f>_xlfn.IFNA(VLOOKUP($BD434,Programma!$F$3:$X$1107,19,0),"")</f>
        <v/>
      </c>
      <c r="BW434" s="300" t="str">
        <f>_xlfn.IFNA(VLOOKUP($BD434,Programma!$F$3:$Y$1107,20,0),"")</f>
        <v/>
      </c>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c r="GK434" s="4"/>
      <c r="GL434" s="4"/>
      <c r="GM434" s="4"/>
      <c r="GN434" s="4"/>
      <c r="GO434" s="4"/>
      <c r="GP434" s="4"/>
      <c r="GQ434" s="4"/>
      <c r="GR434" s="4"/>
      <c r="GS434" s="4"/>
      <c r="GT434" s="4"/>
      <c r="GU434" s="4"/>
      <c r="GV434" s="4"/>
      <c r="GW434" s="4"/>
      <c r="GX434" s="4"/>
      <c r="GY434" s="4"/>
      <c r="GZ434" s="4"/>
      <c r="HA434" s="4"/>
      <c r="HB434" s="4"/>
      <c r="HC434" s="4"/>
      <c r="HD434" s="4"/>
      <c r="HE434" s="4"/>
      <c r="HF434" s="4"/>
      <c r="HG434" s="4"/>
      <c r="HH434" s="4"/>
      <c r="HI434" s="4"/>
      <c r="HJ434" s="4"/>
      <c r="HK434" s="4"/>
      <c r="HL434" s="4"/>
    </row>
    <row r="435" spans="1:220" ht="15" customHeight="1">
      <c r="A435" s="21">
        <v>6</v>
      </c>
      <c r="B435" s="157" t="str">
        <f>VLOOKUP(Ruimtestaat[[#This Row],[Code]],Locaties[[Code]:[Locatie]],2,FALSE)</f>
        <v>Veurs Lyceum</v>
      </c>
      <c r="C435" s="157" t="str">
        <f>VLOOKUP(Ruimtestaat[[#This Row],[Code]],Locaties[[#All],[Code]:[Adres]],4,FALSE)</f>
        <v>Burg. Kolfschotenlaan 5</v>
      </c>
      <c r="D435" s="157" t="str">
        <f>VLOOKUP(Ruimtestaat[[#This Row],[Code]],Locaties[[#All],[Code]:[Postcode]],5,FALSE)</f>
        <v xml:space="preserve">2262 EZ </v>
      </c>
      <c r="E435" s="157" t="str">
        <f>VLOOKUP(Ruimtestaat[[#This Row],[Code]],Locaties[#All],6,FALSE)</f>
        <v>Leidschendam</v>
      </c>
      <c r="F435" s="62"/>
      <c r="G435" s="21" t="s">
        <v>1632</v>
      </c>
      <c r="H435" s="21">
        <v>11</v>
      </c>
      <c r="I435" s="62" t="s">
        <v>2075</v>
      </c>
      <c r="J435" s="21">
        <v>4</v>
      </c>
      <c r="K435" s="62" t="str">
        <f>VLOOKUP(Ruimtestaat[[#This Row],[Ruimte code]],Ruimtegroepen[[#All],[Code]:[Ruimte omschrijving]],2,FALSE)</f>
        <v>Vergader/spreekkamers</v>
      </c>
      <c r="L435" s="33" t="s">
        <v>100</v>
      </c>
      <c r="M435" s="367" t="s">
        <v>2493</v>
      </c>
      <c r="N435" s="140">
        <v>28</v>
      </c>
      <c r="O435" s="140"/>
      <c r="P435" s="125" t="str">
        <f>VLOOKUP(Ruimtestaat[[#This Row],[Ruimte code]],Ruimtegroepen[],4,FALSE)</f>
        <v>Bu</v>
      </c>
      <c r="R435" s="33">
        <v>40</v>
      </c>
      <c r="S435" s="33" t="s">
        <v>18</v>
      </c>
      <c r="T435" s="33">
        <f>IF(R435&gt;0,IF(RIGHT(Ruimtestaat[[#This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435" s="33">
        <f>IF(T435&gt;0,VLOOKUP($J435,Ruimtegroepen[],3,FALSE)*VLOOKUP($L435,Vloersoorten[],3,FALSE)*VLOOKUP($S435,Frequenties[],3,FALSE)*VLOOKUP($A435,Locaties[],3,FALSE),0)</f>
        <v>0</v>
      </c>
      <c r="V435" s="33">
        <f>Ruimtestaat[[#This Row],[Uitvoeringen werkdagen]]*Ruimtestaat[[#This Row],[Oppervlak (netto)]]</f>
        <v>3360</v>
      </c>
      <c r="W435" s="154">
        <f>IF(U435&gt;0,Ruimtestaat[[#This Row],[Prest. (m2 /jaar) werkdagen]]/Ruimtestaat[[#This Row],[Norm (m2/uur) werkdagen]],0)</f>
        <v>0</v>
      </c>
      <c r="X435" s="155">
        <f>Ruimtestaat[[#This Row],[uren / jaar werkdagen]]*Tariefsopbouw!$E$35</f>
        <v>0</v>
      </c>
      <c r="Y435" s="33"/>
      <c r="Z435" s="33">
        <f>IF(Ruimtestaat[[#This Row],[Frequentie weekend]]&gt;0,VALUE(LEFT(Y435,1))*R435,0)</f>
        <v>0</v>
      </c>
      <c r="AA435" s="97">
        <f>IF($Z435&gt;0,VLOOKUP($J435,Ruimtegroepen[],3,FALSE)*VLOOKUP($L435,Vloersoorten[],3,FALSE)*VLOOKUP($Y435,Frequenties[],3,FALSE)*VLOOKUP(Ruimtestaat[[#This Row],[Code]],Locaties[],3,FALSE),0)</f>
        <v>0</v>
      </c>
      <c r="AB435" s="97">
        <f>Ruimtestaat[[#This Row],[Uitvoeringen weekend]]*Ruimtestaat[[#This Row],[Oppervlak (netto)]]</f>
        <v>0</v>
      </c>
      <c r="AC435" s="97">
        <f>IF(AA435&gt;0,Ruimtestaat[[#This Row],[Prest. (m2 /jaar) weekend]]/Ruimtestaat[[#This Row],[Norm (m2/uur) weekend]],0)</f>
        <v>0</v>
      </c>
      <c r="AD435" s="155">
        <f>Ruimtestaat[[#This Row],[uren / jaar weekend]]*Tariefsopbouw!$D$40</f>
        <v>0</v>
      </c>
      <c r="AE435" s="154">
        <f>Ruimtestaat[[#This Row],[Prest. (m2 /jaar) weekend]]+Ruimtestaat[[#This Row],[Prest. (m2 /jaar) werkdagen]]</f>
        <v>3360</v>
      </c>
      <c r="AF435" s="154">
        <f>Ruimtestaat[[#This Row],[uren / jaar weekend]]+Ruimtestaat[[#This Row],[uren / jaar werkdagen]]</f>
        <v>0</v>
      </c>
      <c r="AG435" s="69">
        <f>Ruimtestaat[[#This Row],[kosten / jaar weekend]]+Ruimtestaat[[#This Row],[kosten / jaar werkdagen]]</f>
        <v>0</v>
      </c>
      <c r="AH435" s="69"/>
      <c r="AI435" s="256" t="str">
        <f>IF(Ruimtestaat[[#This Row],[Frequentie werkdagen]]="","",_xlfn.CONCAT(Ruimtestaat[[#This Row],[Ruimte code]],"-",Ruimtestaat[[#This Row],[Frequentie werkdagen]]," ",Ruimtestaat[[#This Row],[Vloer code]]))</f>
        <v>4-3w T</v>
      </c>
      <c r="AJ435" s="300" t="str">
        <f>_xlfn.IFNA(VLOOKUP($AI435,Programma!$F$3:$G$1107,2,0),"")</f>
        <v>2w</v>
      </c>
      <c r="AK435" s="300" t="str">
        <f>_xlfn.IFNA(VLOOKUP($AI435,Programma!$F$3:$H$1107,3,0),"")</f>
        <v>1w</v>
      </c>
      <c r="AL435" s="300" t="str">
        <f>_xlfn.IFNA(VLOOKUP($AI435,Programma!$F$3:$I$1107,4,0),"")</f>
        <v>_</v>
      </c>
      <c r="AM435" s="300" t="str">
        <f>_xlfn.IFNA(VLOOKUP($AI435,Programma!$F$3:$J$1107,5,0),"")</f>
        <v>_</v>
      </c>
      <c r="AN435" s="300" t="str">
        <f>_xlfn.IFNA(VLOOKUP($AI435,Programma!$F$3:$K$1107,6,0),"")</f>
        <v>_</v>
      </c>
      <c r="AO435" s="300" t="str">
        <f>_xlfn.IFNA(VLOOKUP($AI435,Programma!$F$3:$L$1107,7,0),"")</f>
        <v>_</v>
      </c>
      <c r="AP435" s="300" t="str">
        <f>_xlfn.IFNA(VLOOKUP($AI435,Programma!$F$3:$M$1107,8,0),"")</f>
        <v>_</v>
      </c>
      <c r="AQ435" s="300" t="str">
        <f>_xlfn.IFNA(VLOOKUP($AI435,Programma!$F$3:$N$1107,9,0),"")</f>
        <v>_</v>
      </c>
      <c r="AR435" s="300" t="str">
        <f>_xlfn.IFNA(VLOOKUP($AI435,Programma!$F$3:$O$1107,10,0),"")</f>
        <v>3w</v>
      </c>
      <c r="AS435" s="300" t="str">
        <f>_xlfn.IFNA(VLOOKUP($AI435,Programma!$F$3:$P$1107,11,0),"")</f>
        <v>3w</v>
      </c>
      <c r="AT435" s="300" t="str">
        <f>_xlfn.IFNA(VLOOKUP($AI435,Programma!$F$3:$Q$1107,12,0),"")</f>
        <v>1w</v>
      </c>
      <c r="AU435" s="300" t="str">
        <f>_xlfn.IFNA(VLOOKUP($AI435,Programma!$F$3:$R$1107,13,0),"")</f>
        <v>1w</v>
      </c>
      <c r="AV435" s="300" t="str">
        <f>_xlfn.IFNA(VLOOKUP($AI435,Programma!$F$3:$S$1107,14,0),"")</f>
        <v>1m</v>
      </c>
      <c r="AW435" s="300" t="str">
        <f>_xlfn.IFNA(VLOOKUP($AI435,Programma!$F$3:$T$1107,15,0),"")</f>
        <v>2j</v>
      </c>
      <c r="AX435" s="300" t="str">
        <f>_xlfn.IFNA(VLOOKUP($AI435,Programma!$F$3:$U$1107,16,0),"")</f>
        <v>1j</v>
      </c>
      <c r="AY435" s="300" t="str">
        <f>_xlfn.IFNA(VLOOKUP($AI435,Programma!$F$3:$V$1107,17,0),"")</f>
        <v>_</v>
      </c>
      <c r="AZ435" s="300" t="str">
        <f>_xlfn.IFNA(VLOOKUP($AI435,Programma!$F$3:$W$1107,18,0),"")</f>
        <v>_</v>
      </c>
      <c r="BA435" s="300" t="str">
        <f>_xlfn.IFNA(VLOOKUP($AI435,Programma!$F$3:$X$1107,19,0),"")</f>
        <v>_</v>
      </c>
      <c r="BB435" s="300" t="str">
        <f>_xlfn.IFNA(VLOOKUP($AI435,Programma!$F$3:$Y$1107,20,0),"")</f>
        <v>_</v>
      </c>
      <c r="BC435" s="257"/>
      <c r="BD435" s="256" t="str">
        <f>IF(Ruimtestaat[[#This Row],[Frequentie weekend]]="","",_xlfn.CONCAT(Ruimtestaat[[#This Row],[Ruimte code]],"-",Ruimtestaat[[#This Row],[Frequentie weekend]]," ",Ruimtestaat[[#This Row],[Vloer code]]))</f>
        <v/>
      </c>
      <c r="BE435" s="300" t="str">
        <f>_xlfn.IFNA(VLOOKUP($BD435,Programma!$F$3:$G$1107,2,0),"")</f>
        <v/>
      </c>
      <c r="BF435" s="300" t="str">
        <f>_xlfn.IFNA(VLOOKUP($BD435,Programma!$F$3:$H$1107,3,0),"")</f>
        <v/>
      </c>
      <c r="BG435" s="300" t="str">
        <f>_xlfn.IFNA(VLOOKUP($BD435,Programma!$F$3:$I$1107,4,0),"")</f>
        <v/>
      </c>
      <c r="BH435" s="300" t="str">
        <f>_xlfn.IFNA(VLOOKUP($BD435,Programma!$F$3:$J$1107,5,0),"")</f>
        <v/>
      </c>
      <c r="BI435" s="300" t="str">
        <f>_xlfn.IFNA(VLOOKUP($BD435,Programma!$F$3:$K$1107,6,0),"")</f>
        <v/>
      </c>
      <c r="BJ435" s="300" t="str">
        <f>_xlfn.IFNA(VLOOKUP($BD435,Programma!$F$3:$L$1107,7,0),"")</f>
        <v/>
      </c>
      <c r="BK435" s="300" t="str">
        <f>_xlfn.IFNA(VLOOKUP($BD435,Programma!$F$3:$M$1107,8,0),"")</f>
        <v/>
      </c>
      <c r="BL435" s="300" t="str">
        <f>_xlfn.IFNA(VLOOKUP($BD435,Programma!$F$3:$N$1107,9,0),"")</f>
        <v/>
      </c>
      <c r="BM435" s="300" t="str">
        <f>_xlfn.IFNA(VLOOKUP($BD435,Programma!$F$3:$O$1107,10,0),"")</f>
        <v/>
      </c>
      <c r="BN435" s="300" t="str">
        <f>_xlfn.IFNA(VLOOKUP($BD435,Programma!$F$3:$P$1107,11,0),"")</f>
        <v/>
      </c>
      <c r="BO435" s="300" t="str">
        <f>_xlfn.IFNA(VLOOKUP($BD435,Programma!$F$3:$Q$1107,12,0),"")</f>
        <v/>
      </c>
      <c r="BP435" s="300" t="str">
        <f>_xlfn.IFNA(VLOOKUP($BD435,Programma!$F$3:$R$1107,13,0),"")</f>
        <v/>
      </c>
      <c r="BQ435" s="300" t="str">
        <f>_xlfn.IFNA(VLOOKUP($BD435,Programma!$F$3:$S$1107,14,0),"")</f>
        <v/>
      </c>
      <c r="BR435" s="300" t="str">
        <f>_xlfn.IFNA(VLOOKUP($BD435,Programma!$F$3:$T$1107,15,0),"")</f>
        <v/>
      </c>
      <c r="BS435" s="300" t="str">
        <f>_xlfn.IFNA(VLOOKUP($BD435,Programma!$F$3:$U$1107,16,0),"")</f>
        <v/>
      </c>
      <c r="BT435" s="300" t="str">
        <f>_xlfn.IFNA(VLOOKUP($BD435,Programma!$F$3:$V$1107,17,0),"")</f>
        <v/>
      </c>
      <c r="BU435" s="300" t="str">
        <f>_xlfn.IFNA(VLOOKUP($BD435,Programma!$F$3:$W$1107,18,0),"")</f>
        <v/>
      </c>
      <c r="BV435" s="300" t="str">
        <f>_xlfn.IFNA(VLOOKUP($BD435,Programma!$F$3:$X$1107,19,0),"")</f>
        <v/>
      </c>
      <c r="BW435" s="300" t="str">
        <f>_xlfn.IFNA(VLOOKUP($BD435,Programma!$F$3:$Y$1107,20,0),"")</f>
        <v/>
      </c>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c r="GK435" s="4"/>
      <c r="GL435" s="4"/>
      <c r="GM435" s="4"/>
      <c r="GN435" s="4"/>
      <c r="GO435" s="4"/>
      <c r="GP435" s="4"/>
      <c r="GQ435" s="4"/>
      <c r="GR435" s="4"/>
      <c r="GS435" s="4"/>
      <c r="GT435" s="4"/>
      <c r="GU435" s="4"/>
      <c r="GV435" s="4"/>
      <c r="GW435" s="4"/>
      <c r="GX435" s="4"/>
      <c r="GY435" s="4"/>
      <c r="GZ435" s="4"/>
      <c r="HA435" s="4"/>
      <c r="HB435" s="4"/>
      <c r="HC435" s="4"/>
      <c r="HD435" s="4"/>
      <c r="HE435" s="4"/>
      <c r="HF435" s="4"/>
      <c r="HG435" s="4"/>
      <c r="HH435" s="4"/>
      <c r="HI435" s="4"/>
      <c r="HJ435" s="4"/>
      <c r="HK435" s="4"/>
      <c r="HL435" s="4"/>
    </row>
    <row r="436" spans="1:220" ht="15" customHeight="1">
      <c r="A436" s="21">
        <v>6</v>
      </c>
      <c r="B436" s="157" t="str">
        <f>VLOOKUP(Ruimtestaat[[#This Row],[Code]],Locaties[[Code]:[Locatie]],2,FALSE)</f>
        <v>Veurs Lyceum</v>
      </c>
      <c r="C436" s="157" t="str">
        <f>VLOOKUP(Ruimtestaat[[#This Row],[Code]],Locaties[[#All],[Code]:[Adres]],4,FALSE)</f>
        <v>Burg. Kolfschotenlaan 5</v>
      </c>
      <c r="D436" s="157" t="str">
        <f>VLOOKUP(Ruimtestaat[[#This Row],[Code]],Locaties[[#All],[Code]:[Postcode]],5,FALSE)</f>
        <v xml:space="preserve">2262 EZ </v>
      </c>
      <c r="E436" s="157" t="str">
        <f>VLOOKUP(Ruimtestaat[[#This Row],[Code]],Locaties[#All],6,FALSE)</f>
        <v>Leidschendam</v>
      </c>
      <c r="F436" s="62"/>
      <c r="G436" s="21" t="s">
        <v>1632</v>
      </c>
      <c r="H436" s="21">
        <v>12</v>
      </c>
      <c r="I436" s="62" t="s">
        <v>2076</v>
      </c>
      <c r="J436" s="21">
        <v>12</v>
      </c>
      <c r="K436" s="62" t="str">
        <f>VLOOKUP(Ruimtestaat[[#This Row],[Ruimte code]],Ruimtegroepen[[#All],[Code]:[Ruimte omschrijving]],2,FALSE)</f>
        <v>Kantine</v>
      </c>
      <c r="L436" s="33" t="s">
        <v>103</v>
      </c>
      <c r="M436" s="367" t="s">
        <v>2517</v>
      </c>
      <c r="N436" s="140">
        <v>80</v>
      </c>
      <c r="O436" s="140"/>
      <c r="P436" s="125" t="str">
        <f>VLOOKUP(Ruimtestaat[[#This Row],[Ruimte code]],Ruimtegroepen[],4,FALSE)</f>
        <v>Ve</v>
      </c>
      <c r="R436" s="33">
        <v>40</v>
      </c>
      <c r="S436" s="33" t="s">
        <v>2</v>
      </c>
      <c r="T436" s="33">
        <f>IF(R436&gt;0,IF(RIGHT(Ruimtestaat[[#This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6" s="33">
        <f>IF(T436&gt;0,VLOOKUP($J436,Ruimtegroepen[],3,FALSE)*VLOOKUP($L436,Vloersoorten[],3,FALSE)*VLOOKUP($S436,Frequenties[],3,FALSE)*VLOOKUP($A436,Locaties[],3,FALSE),0)</f>
        <v>0</v>
      </c>
      <c r="V436" s="33">
        <f>Ruimtestaat[[#This Row],[Uitvoeringen werkdagen]]*Ruimtestaat[[#This Row],[Oppervlak (netto)]]</f>
        <v>16000</v>
      </c>
      <c r="W436" s="154">
        <f>IF(U436&gt;0,Ruimtestaat[[#This Row],[Prest. (m2 /jaar) werkdagen]]/Ruimtestaat[[#This Row],[Norm (m2/uur) werkdagen]],0)</f>
        <v>0</v>
      </c>
      <c r="X436" s="155">
        <f>Ruimtestaat[[#This Row],[uren / jaar werkdagen]]*Tariefsopbouw!$E$35</f>
        <v>0</v>
      </c>
      <c r="Y436" s="33"/>
      <c r="Z436" s="33">
        <f>IF(Ruimtestaat[[#This Row],[Frequentie weekend]]&gt;0,VALUE(LEFT(Y436,1))*R436,0)</f>
        <v>0</v>
      </c>
      <c r="AA436" s="97">
        <f>IF($Z436&gt;0,VLOOKUP($J436,Ruimtegroepen[],3,FALSE)*VLOOKUP($L436,Vloersoorten[],3,FALSE)*VLOOKUP($Y436,Frequenties[],3,FALSE)*VLOOKUP(Ruimtestaat[[#This Row],[Code]],Locaties[],3,FALSE),0)</f>
        <v>0</v>
      </c>
      <c r="AB436" s="97">
        <f>Ruimtestaat[[#This Row],[Uitvoeringen weekend]]*Ruimtestaat[[#This Row],[Oppervlak (netto)]]</f>
        <v>0</v>
      </c>
      <c r="AC436" s="97">
        <f>IF(AA436&gt;0,Ruimtestaat[[#This Row],[Prest. (m2 /jaar) weekend]]/Ruimtestaat[[#This Row],[Norm (m2/uur) weekend]],0)</f>
        <v>0</v>
      </c>
      <c r="AD436" s="155">
        <f>Ruimtestaat[[#This Row],[uren / jaar weekend]]*Tariefsopbouw!$D$40</f>
        <v>0</v>
      </c>
      <c r="AE436" s="154">
        <f>Ruimtestaat[[#This Row],[Prest. (m2 /jaar) weekend]]+Ruimtestaat[[#This Row],[Prest. (m2 /jaar) werkdagen]]</f>
        <v>16000</v>
      </c>
      <c r="AF436" s="154">
        <f>Ruimtestaat[[#This Row],[uren / jaar weekend]]+Ruimtestaat[[#This Row],[uren / jaar werkdagen]]</f>
        <v>0</v>
      </c>
      <c r="AG436" s="69">
        <f>Ruimtestaat[[#This Row],[kosten / jaar weekend]]+Ruimtestaat[[#This Row],[kosten / jaar werkdagen]]</f>
        <v>0</v>
      </c>
      <c r="AH436" s="69"/>
      <c r="AI436" s="256" t="str">
        <f>IF(Ruimtestaat[[#This Row],[Frequentie werkdagen]]="","",_xlfn.CONCAT(Ruimtestaat[[#This Row],[Ruimte code]],"-",Ruimtestaat[[#This Row],[Frequentie werkdagen]]," ",Ruimtestaat[[#This Row],[Vloer code]]))</f>
        <v>12-5w P</v>
      </c>
      <c r="AJ436" s="300" t="str">
        <f>_xlfn.IFNA(VLOOKUP($AI436,Programma!$F$3:$G$1107,2,0),"")</f>
        <v>_</v>
      </c>
      <c r="AK436" s="300" t="str">
        <f>_xlfn.IFNA(VLOOKUP($AI436,Programma!$F$3:$H$1107,3,0),"")</f>
        <v>_</v>
      </c>
      <c r="AL436" s="300" t="str">
        <f>_xlfn.IFNA(VLOOKUP($AI436,Programma!$F$3:$I$1107,4,0),"")</f>
        <v>5w</v>
      </c>
      <c r="AM436" s="300" t="str">
        <f>_xlfn.IFNA(VLOOKUP($AI436,Programma!$F$3:$J$1107,5,0),"")</f>
        <v>_</v>
      </c>
      <c r="AN436" s="300" t="str">
        <f>_xlfn.IFNA(VLOOKUP($AI436,Programma!$F$3:$K$1107,6,0),"")</f>
        <v>5w</v>
      </c>
      <c r="AO436" s="300" t="str">
        <f>_xlfn.IFNA(VLOOKUP($AI436,Programma!$F$3:$L$1107,7,0),"")</f>
        <v>_</v>
      </c>
      <c r="AP436" s="300" t="str">
        <f>_xlfn.IFNA(VLOOKUP($AI436,Programma!$F$3:$M$1107,8,0),"")</f>
        <v>_</v>
      </c>
      <c r="AQ436" s="300" t="str">
        <f>_xlfn.IFNA(VLOOKUP($AI436,Programma!$F$3:$N$1107,9,0),"")</f>
        <v>_</v>
      </c>
      <c r="AR436" s="300" t="str">
        <f>_xlfn.IFNA(VLOOKUP($AI436,Programma!$F$3:$O$1107,10,0),"")</f>
        <v>5w</v>
      </c>
      <c r="AS436" s="300" t="str">
        <f>_xlfn.IFNA(VLOOKUP($AI436,Programma!$F$3:$P$1107,11,0),"")</f>
        <v>5w</v>
      </c>
      <c r="AT436" s="300" t="str">
        <f>_xlfn.IFNA(VLOOKUP($AI436,Programma!$F$3:$Q$1107,12,0),"")</f>
        <v>1w</v>
      </c>
      <c r="AU436" s="300" t="str">
        <f>_xlfn.IFNA(VLOOKUP($AI436,Programma!$F$3:$R$1107,13,0),"")</f>
        <v>1w</v>
      </c>
      <c r="AV436" s="300" t="str">
        <f>_xlfn.IFNA(VLOOKUP($AI436,Programma!$F$3:$S$1107,14,0),"")</f>
        <v>1m</v>
      </c>
      <c r="AW436" s="300" t="str">
        <f>_xlfn.IFNA(VLOOKUP($AI436,Programma!$F$3:$T$1107,15,0),"")</f>
        <v>2j</v>
      </c>
      <c r="AX436" s="300" t="str">
        <f>_xlfn.IFNA(VLOOKUP($AI436,Programma!$F$3:$U$1107,16,0),"")</f>
        <v>1j</v>
      </c>
      <c r="AY436" s="300" t="str">
        <f>_xlfn.IFNA(VLOOKUP($AI436,Programma!$F$3:$V$1107,17,0),"")</f>
        <v>_</v>
      </c>
      <c r="AZ436" s="300" t="str">
        <f>_xlfn.IFNA(VLOOKUP($AI436,Programma!$F$3:$W$1107,18,0),"")</f>
        <v>_</v>
      </c>
      <c r="BA436" s="300" t="str">
        <f>_xlfn.IFNA(VLOOKUP($AI436,Programma!$F$3:$X$1107,19,0),"")</f>
        <v>_</v>
      </c>
      <c r="BB436" s="300" t="str">
        <f>_xlfn.IFNA(VLOOKUP($AI436,Programma!$F$3:$Y$1107,20,0),"")</f>
        <v>_</v>
      </c>
      <c r="BC436" s="257"/>
      <c r="BD436" s="256" t="str">
        <f>IF(Ruimtestaat[[#This Row],[Frequentie weekend]]="","",_xlfn.CONCAT(Ruimtestaat[[#This Row],[Ruimte code]],"-",Ruimtestaat[[#This Row],[Frequentie weekend]]," ",Ruimtestaat[[#This Row],[Vloer code]]))</f>
        <v/>
      </c>
      <c r="BE436" s="300" t="str">
        <f>_xlfn.IFNA(VLOOKUP($BD436,Programma!$F$3:$G$1107,2,0),"")</f>
        <v/>
      </c>
      <c r="BF436" s="300" t="str">
        <f>_xlfn.IFNA(VLOOKUP($BD436,Programma!$F$3:$H$1107,3,0),"")</f>
        <v/>
      </c>
      <c r="BG436" s="300" t="str">
        <f>_xlfn.IFNA(VLOOKUP($BD436,Programma!$F$3:$I$1107,4,0),"")</f>
        <v/>
      </c>
      <c r="BH436" s="300" t="str">
        <f>_xlfn.IFNA(VLOOKUP($BD436,Programma!$F$3:$J$1107,5,0),"")</f>
        <v/>
      </c>
      <c r="BI436" s="300" t="str">
        <f>_xlfn.IFNA(VLOOKUP($BD436,Programma!$F$3:$K$1107,6,0),"")</f>
        <v/>
      </c>
      <c r="BJ436" s="300" t="str">
        <f>_xlfn.IFNA(VLOOKUP($BD436,Programma!$F$3:$L$1107,7,0),"")</f>
        <v/>
      </c>
      <c r="BK436" s="300" t="str">
        <f>_xlfn.IFNA(VLOOKUP($BD436,Programma!$F$3:$M$1107,8,0),"")</f>
        <v/>
      </c>
      <c r="BL436" s="300" t="str">
        <f>_xlfn.IFNA(VLOOKUP($BD436,Programma!$F$3:$N$1107,9,0),"")</f>
        <v/>
      </c>
      <c r="BM436" s="300" t="str">
        <f>_xlfn.IFNA(VLOOKUP($BD436,Programma!$F$3:$O$1107,10,0),"")</f>
        <v/>
      </c>
      <c r="BN436" s="300" t="str">
        <f>_xlfn.IFNA(VLOOKUP($BD436,Programma!$F$3:$P$1107,11,0),"")</f>
        <v/>
      </c>
      <c r="BO436" s="300" t="str">
        <f>_xlfn.IFNA(VLOOKUP($BD436,Programma!$F$3:$Q$1107,12,0),"")</f>
        <v/>
      </c>
      <c r="BP436" s="300" t="str">
        <f>_xlfn.IFNA(VLOOKUP($BD436,Programma!$F$3:$R$1107,13,0),"")</f>
        <v/>
      </c>
      <c r="BQ436" s="300" t="str">
        <f>_xlfn.IFNA(VLOOKUP($BD436,Programma!$F$3:$S$1107,14,0),"")</f>
        <v/>
      </c>
      <c r="BR436" s="300" t="str">
        <f>_xlfn.IFNA(VLOOKUP($BD436,Programma!$F$3:$T$1107,15,0),"")</f>
        <v/>
      </c>
      <c r="BS436" s="300" t="str">
        <f>_xlfn.IFNA(VLOOKUP($BD436,Programma!$F$3:$U$1107,16,0),"")</f>
        <v/>
      </c>
      <c r="BT436" s="300" t="str">
        <f>_xlfn.IFNA(VLOOKUP($BD436,Programma!$F$3:$V$1107,17,0),"")</f>
        <v/>
      </c>
      <c r="BU436" s="300" t="str">
        <f>_xlfn.IFNA(VLOOKUP($BD436,Programma!$F$3:$W$1107,18,0),"")</f>
        <v/>
      </c>
      <c r="BV436" s="300" t="str">
        <f>_xlfn.IFNA(VLOOKUP($BD436,Programma!$F$3:$X$1107,19,0),"")</f>
        <v/>
      </c>
      <c r="BW436" s="300" t="str">
        <f>_xlfn.IFNA(VLOOKUP($BD436,Programma!$F$3:$Y$1107,20,0),"")</f>
        <v/>
      </c>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c r="GK436" s="4"/>
      <c r="GL436" s="4"/>
      <c r="GM436" s="4"/>
      <c r="GN436" s="4"/>
      <c r="GO436" s="4"/>
      <c r="GP436" s="4"/>
      <c r="GQ436" s="4"/>
      <c r="GR436" s="4"/>
      <c r="GS436" s="4"/>
      <c r="GT436" s="4"/>
      <c r="GU436" s="4"/>
      <c r="GV436" s="4"/>
      <c r="GW436" s="4"/>
      <c r="GX436" s="4"/>
      <c r="GY436" s="4"/>
      <c r="GZ436" s="4"/>
      <c r="HA436" s="4"/>
      <c r="HB436" s="4"/>
      <c r="HC436" s="4"/>
      <c r="HD436" s="4"/>
      <c r="HE436" s="4"/>
      <c r="HF436" s="4"/>
      <c r="HG436" s="4"/>
      <c r="HH436" s="4"/>
      <c r="HI436" s="4"/>
      <c r="HJ436" s="4"/>
      <c r="HK436" s="4"/>
      <c r="HL436" s="4"/>
    </row>
    <row r="437" spans="1:220" ht="15" customHeight="1">
      <c r="A437" s="21">
        <v>6</v>
      </c>
      <c r="B437" s="157" t="str">
        <f>VLOOKUP(Ruimtestaat[[#This Row],[Code]],Locaties[[Code]:[Locatie]],2,FALSE)</f>
        <v>Veurs Lyceum</v>
      </c>
      <c r="C437" s="157" t="str">
        <f>VLOOKUP(Ruimtestaat[[#This Row],[Code]],Locaties[[#All],[Code]:[Adres]],4,FALSE)</f>
        <v>Burg. Kolfschotenlaan 5</v>
      </c>
      <c r="D437" s="157" t="str">
        <f>VLOOKUP(Ruimtestaat[[#This Row],[Code]],Locaties[[#All],[Code]:[Postcode]],5,FALSE)</f>
        <v xml:space="preserve">2262 EZ </v>
      </c>
      <c r="E437" s="157" t="str">
        <f>VLOOKUP(Ruimtestaat[[#This Row],[Code]],Locaties[#All],6,FALSE)</f>
        <v>Leidschendam</v>
      </c>
      <c r="F437" s="62"/>
      <c r="G437" s="21" t="s">
        <v>1632</v>
      </c>
      <c r="H437" s="21">
        <v>13</v>
      </c>
      <c r="I437" s="62" t="s">
        <v>1631</v>
      </c>
      <c r="J437" s="21">
        <v>2</v>
      </c>
      <c r="K437" s="62" t="str">
        <f>VLOOKUP(Ruimtestaat[[#This Row],[Ruimte code]],Ruimtegroepen[[#All],[Code]:[Ruimte omschrijving]],2,FALSE)</f>
        <v>Kantoren</v>
      </c>
      <c r="L437" s="33" t="s">
        <v>100</v>
      </c>
      <c r="M437" s="367" t="s">
        <v>2493</v>
      </c>
      <c r="N437" s="140">
        <v>7</v>
      </c>
      <c r="O437" s="140"/>
      <c r="P437" s="125" t="str">
        <f>VLOOKUP(Ruimtestaat[[#This Row],[Ruimte code]],Ruimtegroepen[],4,FALSE)</f>
        <v>Bu</v>
      </c>
      <c r="R437" s="33">
        <v>42</v>
      </c>
      <c r="S437" s="33" t="s">
        <v>18</v>
      </c>
      <c r="T437" s="33">
        <f>IF(R437&gt;0,IF(RIGHT(Ruimtestaat[[#This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37" s="33">
        <f>IF(T437&gt;0,VLOOKUP($J437,Ruimtegroepen[],3,FALSE)*VLOOKUP($L437,Vloersoorten[],3,FALSE)*VLOOKUP($S437,Frequenties[],3,FALSE)*VLOOKUP($A437,Locaties[],3,FALSE),0)</f>
        <v>0</v>
      </c>
      <c r="V437" s="33">
        <f>Ruimtestaat[[#This Row],[Uitvoeringen werkdagen]]*Ruimtestaat[[#This Row],[Oppervlak (netto)]]</f>
        <v>882</v>
      </c>
      <c r="W437" s="154">
        <f>IF(U437&gt;0,Ruimtestaat[[#This Row],[Prest. (m2 /jaar) werkdagen]]/Ruimtestaat[[#This Row],[Norm (m2/uur) werkdagen]],0)</f>
        <v>0</v>
      </c>
      <c r="X437" s="155">
        <f>Ruimtestaat[[#This Row],[uren / jaar werkdagen]]*Tariefsopbouw!$E$35</f>
        <v>0</v>
      </c>
      <c r="Y437" s="33"/>
      <c r="Z437" s="33">
        <f>IF(Ruimtestaat[[#This Row],[Frequentie weekend]]&gt;0,VALUE(LEFT(Y437,1))*R437,0)</f>
        <v>0</v>
      </c>
      <c r="AA437" s="97">
        <f>IF($Z437&gt;0,VLOOKUP($J437,Ruimtegroepen[],3,FALSE)*VLOOKUP($L437,Vloersoorten[],3,FALSE)*VLOOKUP($Y437,Frequenties[],3,FALSE)*VLOOKUP(Ruimtestaat[[#This Row],[Code]],Locaties[],3,FALSE),0)</f>
        <v>0</v>
      </c>
      <c r="AB437" s="97">
        <f>Ruimtestaat[[#This Row],[Uitvoeringen weekend]]*Ruimtestaat[[#This Row],[Oppervlak (netto)]]</f>
        <v>0</v>
      </c>
      <c r="AC437" s="97">
        <f>IF(AA437&gt;0,Ruimtestaat[[#This Row],[Prest. (m2 /jaar) weekend]]/Ruimtestaat[[#This Row],[Norm (m2/uur) weekend]],0)</f>
        <v>0</v>
      </c>
      <c r="AD437" s="155">
        <f>Ruimtestaat[[#This Row],[uren / jaar weekend]]*Tariefsopbouw!$D$40</f>
        <v>0</v>
      </c>
      <c r="AE437" s="154">
        <f>Ruimtestaat[[#This Row],[Prest. (m2 /jaar) weekend]]+Ruimtestaat[[#This Row],[Prest. (m2 /jaar) werkdagen]]</f>
        <v>882</v>
      </c>
      <c r="AF437" s="154">
        <f>Ruimtestaat[[#This Row],[uren / jaar weekend]]+Ruimtestaat[[#This Row],[uren / jaar werkdagen]]</f>
        <v>0</v>
      </c>
      <c r="AG437" s="69">
        <f>Ruimtestaat[[#This Row],[kosten / jaar weekend]]+Ruimtestaat[[#This Row],[kosten / jaar werkdagen]]</f>
        <v>0</v>
      </c>
      <c r="AH437" s="69"/>
      <c r="AI437" s="256" t="str">
        <f>IF(Ruimtestaat[[#This Row],[Frequentie werkdagen]]="","",_xlfn.CONCAT(Ruimtestaat[[#This Row],[Ruimte code]],"-",Ruimtestaat[[#This Row],[Frequentie werkdagen]]," ",Ruimtestaat[[#This Row],[Vloer code]]))</f>
        <v>2-3w T</v>
      </c>
      <c r="AJ437" s="300" t="str">
        <f>_xlfn.IFNA(VLOOKUP($AI437,Programma!$F$3:$G$1107,2,0),"")</f>
        <v>2w</v>
      </c>
      <c r="AK437" s="300" t="str">
        <f>_xlfn.IFNA(VLOOKUP($AI437,Programma!$F$3:$H$1107,3,0),"")</f>
        <v>1w</v>
      </c>
      <c r="AL437" s="300" t="str">
        <f>_xlfn.IFNA(VLOOKUP($AI437,Programma!$F$3:$I$1107,4,0),"")</f>
        <v>_</v>
      </c>
      <c r="AM437" s="300" t="str">
        <f>_xlfn.IFNA(VLOOKUP($AI437,Programma!$F$3:$J$1107,5,0),"")</f>
        <v>_</v>
      </c>
      <c r="AN437" s="300" t="str">
        <f>_xlfn.IFNA(VLOOKUP($AI437,Programma!$F$3:$K$1107,6,0),"")</f>
        <v>_</v>
      </c>
      <c r="AO437" s="300" t="str">
        <f>_xlfn.IFNA(VLOOKUP($AI437,Programma!$F$3:$L$1107,7,0),"")</f>
        <v>_</v>
      </c>
      <c r="AP437" s="300" t="str">
        <f>_xlfn.IFNA(VLOOKUP($AI437,Programma!$F$3:$M$1107,8,0),"")</f>
        <v>_</v>
      </c>
      <c r="AQ437" s="300" t="str">
        <f>_xlfn.IFNA(VLOOKUP($AI437,Programma!$F$3:$N$1107,9,0),"")</f>
        <v>_</v>
      </c>
      <c r="AR437" s="300" t="str">
        <f>_xlfn.IFNA(VLOOKUP($AI437,Programma!$F$3:$O$1107,10,0),"")</f>
        <v>3w</v>
      </c>
      <c r="AS437" s="300" t="str">
        <f>_xlfn.IFNA(VLOOKUP($AI437,Programma!$F$3:$P$1107,11,0),"")</f>
        <v>3w</v>
      </c>
      <c r="AT437" s="300" t="str">
        <f>_xlfn.IFNA(VLOOKUP($AI437,Programma!$F$3:$Q$1107,12,0),"")</f>
        <v>1w</v>
      </c>
      <c r="AU437" s="300" t="str">
        <f>_xlfn.IFNA(VLOOKUP($AI437,Programma!$F$3:$R$1107,13,0),"")</f>
        <v>1w</v>
      </c>
      <c r="AV437" s="300" t="str">
        <f>_xlfn.IFNA(VLOOKUP($AI437,Programma!$F$3:$S$1107,14,0),"")</f>
        <v>1m</v>
      </c>
      <c r="AW437" s="300" t="str">
        <f>_xlfn.IFNA(VLOOKUP($AI437,Programma!$F$3:$T$1107,15,0),"")</f>
        <v>2j</v>
      </c>
      <c r="AX437" s="300" t="str">
        <f>_xlfn.IFNA(VLOOKUP($AI437,Programma!$F$3:$U$1107,16,0),"")</f>
        <v>1j</v>
      </c>
      <c r="AY437" s="300" t="str">
        <f>_xlfn.IFNA(VLOOKUP($AI437,Programma!$F$3:$V$1107,17,0),"")</f>
        <v>_</v>
      </c>
      <c r="AZ437" s="300" t="str">
        <f>_xlfn.IFNA(VLOOKUP($AI437,Programma!$F$3:$W$1107,18,0),"")</f>
        <v>_</v>
      </c>
      <c r="BA437" s="300" t="str">
        <f>_xlfn.IFNA(VLOOKUP($AI437,Programma!$F$3:$X$1107,19,0),"")</f>
        <v>_</v>
      </c>
      <c r="BB437" s="300" t="str">
        <f>_xlfn.IFNA(VLOOKUP($AI437,Programma!$F$3:$Y$1107,20,0),"")</f>
        <v>_</v>
      </c>
      <c r="BC437" s="257"/>
      <c r="BD437" s="256" t="str">
        <f>IF(Ruimtestaat[[#This Row],[Frequentie weekend]]="","",_xlfn.CONCAT(Ruimtestaat[[#This Row],[Ruimte code]],"-",Ruimtestaat[[#This Row],[Frequentie weekend]]," ",Ruimtestaat[[#This Row],[Vloer code]]))</f>
        <v/>
      </c>
      <c r="BE437" s="300" t="str">
        <f>_xlfn.IFNA(VLOOKUP($BD437,Programma!$F$3:$G$1107,2,0),"")</f>
        <v/>
      </c>
      <c r="BF437" s="300" t="str">
        <f>_xlfn.IFNA(VLOOKUP($BD437,Programma!$F$3:$H$1107,3,0),"")</f>
        <v/>
      </c>
      <c r="BG437" s="300" t="str">
        <f>_xlfn.IFNA(VLOOKUP($BD437,Programma!$F$3:$I$1107,4,0),"")</f>
        <v/>
      </c>
      <c r="BH437" s="300" t="str">
        <f>_xlfn.IFNA(VLOOKUP($BD437,Programma!$F$3:$J$1107,5,0),"")</f>
        <v/>
      </c>
      <c r="BI437" s="300" t="str">
        <f>_xlfn.IFNA(VLOOKUP($BD437,Programma!$F$3:$K$1107,6,0),"")</f>
        <v/>
      </c>
      <c r="BJ437" s="300" t="str">
        <f>_xlfn.IFNA(VLOOKUP($BD437,Programma!$F$3:$L$1107,7,0),"")</f>
        <v/>
      </c>
      <c r="BK437" s="300" t="str">
        <f>_xlfn.IFNA(VLOOKUP($BD437,Programma!$F$3:$M$1107,8,0),"")</f>
        <v/>
      </c>
      <c r="BL437" s="300" t="str">
        <f>_xlfn.IFNA(VLOOKUP($BD437,Programma!$F$3:$N$1107,9,0),"")</f>
        <v/>
      </c>
      <c r="BM437" s="300" t="str">
        <f>_xlfn.IFNA(VLOOKUP($BD437,Programma!$F$3:$O$1107,10,0),"")</f>
        <v/>
      </c>
      <c r="BN437" s="300" t="str">
        <f>_xlfn.IFNA(VLOOKUP($BD437,Programma!$F$3:$P$1107,11,0),"")</f>
        <v/>
      </c>
      <c r="BO437" s="300" t="str">
        <f>_xlfn.IFNA(VLOOKUP($BD437,Programma!$F$3:$Q$1107,12,0),"")</f>
        <v/>
      </c>
      <c r="BP437" s="300" t="str">
        <f>_xlfn.IFNA(VLOOKUP($BD437,Programma!$F$3:$R$1107,13,0),"")</f>
        <v/>
      </c>
      <c r="BQ437" s="300" t="str">
        <f>_xlfn.IFNA(VLOOKUP($BD437,Programma!$F$3:$S$1107,14,0),"")</f>
        <v/>
      </c>
      <c r="BR437" s="300" t="str">
        <f>_xlfn.IFNA(VLOOKUP($BD437,Programma!$F$3:$T$1107,15,0),"")</f>
        <v/>
      </c>
      <c r="BS437" s="300" t="str">
        <f>_xlfn.IFNA(VLOOKUP($BD437,Programma!$F$3:$U$1107,16,0),"")</f>
        <v/>
      </c>
      <c r="BT437" s="300" t="str">
        <f>_xlfn.IFNA(VLOOKUP($BD437,Programma!$F$3:$V$1107,17,0),"")</f>
        <v/>
      </c>
      <c r="BU437" s="300" t="str">
        <f>_xlfn.IFNA(VLOOKUP($BD437,Programma!$F$3:$W$1107,18,0),"")</f>
        <v/>
      </c>
      <c r="BV437" s="300" t="str">
        <f>_xlfn.IFNA(VLOOKUP($BD437,Programma!$F$3:$X$1107,19,0),"")</f>
        <v/>
      </c>
      <c r="BW437" s="300" t="str">
        <f>_xlfn.IFNA(VLOOKUP($BD437,Programma!$F$3:$Y$1107,20,0),"")</f>
        <v/>
      </c>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c r="GK437" s="4"/>
      <c r="GL437" s="4"/>
      <c r="GM437" s="4"/>
      <c r="GN437" s="4"/>
      <c r="GO437" s="4"/>
      <c r="GP437" s="4"/>
      <c r="GQ437" s="4"/>
      <c r="GR437" s="4"/>
      <c r="GS437" s="4"/>
      <c r="GT437" s="4"/>
      <c r="GU437" s="4"/>
      <c r="GV437" s="4"/>
      <c r="GW437" s="4"/>
      <c r="GX437" s="4"/>
      <c r="GY437" s="4"/>
      <c r="GZ437" s="4"/>
      <c r="HA437" s="4"/>
      <c r="HB437" s="4"/>
      <c r="HC437" s="4"/>
      <c r="HD437" s="4"/>
      <c r="HE437" s="4"/>
      <c r="HF437" s="4"/>
      <c r="HG437" s="4"/>
      <c r="HH437" s="4"/>
      <c r="HI437" s="4"/>
      <c r="HJ437" s="4"/>
      <c r="HK437" s="4"/>
      <c r="HL437" s="4"/>
    </row>
    <row r="438" spans="1:220" ht="15" customHeight="1">
      <c r="A438" s="21">
        <v>6</v>
      </c>
      <c r="B438" s="157" t="str">
        <f>VLOOKUP(Ruimtestaat[[#This Row],[Code]],Locaties[[Code]:[Locatie]],2,FALSE)</f>
        <v>Veurs Lyceum</v>
      </c>
      <c r="C438" s="157" t="str">
        <f>VLOOKUP(Ruimtestaat[[#This Row],[Code]],Locaties[[#All],[Code]:[Adres]],4,FALSE)</f>
        <v>Burg. Kolfschotenlaan 5</v>
      </c>
      <c r="D438" s="157" t="str">
        <f>VLOOKUP(Ruimtestaat[[#This Row],[Code]],Locaties[[#All],[Code]:[Postcode]],5,FALSE)</f>
        <v xml:space="preserve">2262 EZ </v>
      </c>
      <c r="E438" s="157" t="str">
        <f>VLOOKUP(Ruimtestaat[[#This Row],[Code]],Locaties[#All],6,FALSE)</f>
        <v>Leidschendam</v>
      </c>
      <c r="F438" s="62"/>
      <c r="G438" s="21" t="s">
        <v>1632</v>
      </c>
      <c r="H438" s="21">
        <v>14</v>
      </c>
      <c r="I438" s="62" t="s">
        <v>2077</v>
      </c>
      <c r="J438" s="21">
        <v>2</v>
      </c>
      <c r="K438" s="62" t="str">
        <f>VLOOKUP(Ruimtestaat[[#This Row],[Ruimte code]],Ruimtegroepen[[#All],[Code]:[Ruimte omschrijving]],2,FALSE)</f>
        <v>Kantoren</v>
      </c>
      <c r="L438" s="33" t="s">
        <v>100</v>
      </c>
      <c r="M438" s="367" t="s">
        <v>2493</v>
      </c>
      <c r="N438" s="140">
        <v>20</v>
      </c>
      <c r="O438" s="140"/>
      <c r="P438" s="125" t="str">
        <f>VLOOKUP(Ruimtestaat[[#This Row],[Ruimte code]],Ruimtegroepen[],4,FALSE)</f>
        <v>Bu</v>
      </c>
      <c r="R438" s="33">
        <v>42</v>
      </c>
      <c r="S438" s="33" t="s">
        <v>18</v>
      </c>
      <c r="T438" s="33">
        <f>IF(R438&gt;0,IF(RIGHT(Ruimtestaat[[#This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38" s="33">
        <f>IF(T438&gt;0,VLOOKUP($J438,Ruimtegroepen[],3,FALSE)*VLOOKUP($L438,Vloersoorten[],3,FALSE)*VLOOKUP($S438,Frequenties[],3,FALSE)*VLOOKUP($A438,Locaties[],3,FALSE),0)</f>
        <v>0</v>
      </c>
      <c r="V438" s="33">
        <f>Ruimtestaat[[#This Row],[Uitvoeringen werkdagen]]*Ruimtestaat[[#This Row],[Oppervlak (netto)]]</f>
        <v>2520</v>
      </c>
      <c r="W438" s="154">
        <f>IF(U438&gt;0,Ruimtestaat[[#This Row],[Prest. (m2 /jaar) werkdagen]]/Ruimtestaat[[#This Row],[Norm (m2/uur) werkdagen]],0)</f>
        <v>0</v>
      </c>
      <c r="X438" s="155">
        <f>Ruimtestaat[[#This Row],[uren / jaar werkdagen]]*Tariefsopbouw!$E$35</f>
        <v>0</v>
      </c>
      <c r="Y438" s="33"/>
      <c r="Z438" s="33">
        <f>IF(Ruimtestaat[[#This Row],[Frequentie weekend]]&gt;0,VALUE(LEFT(Y438,1))*R438,0)</f>
        <v>0</v>
      </c>
      <c r="AA438" s="97">
        <f>IF($Z438&gt;0,VLOOKUP($J438,Ruimtegroepen[],3,FALSE)*VLOOKUP($L438,Vloersoorten[],3,FALSE)*VLOOKUP($Y438,Frequenties[],3,FALSE)*VLOOKUP(Ruimtestaat[[#This Row],[Code]],Locaties[],3,FALSE),0)</f>
        <v>0</v>
      </c>
      <c r="AB438" s="97">
        <f>Ruimtestaat[[#This Row],[Uitvoeringen weekend]]*Ruimtestaat[[#This Row],[Oppervlak (netto)]]</f>
        <v>0</v>
      </c>
      <c r="AC438" s="97">
        <f>IF(AA438&gt;0,Ruimtestaat[[#This Row],[Prest. (m2 /jaar) weekend]]/Ruimtestaat[[#This Row],[Norm (m2/uur) weekend]],0)</f>
        <v>0</v>
      </c>
      <c r="AD438" s="155">
        <f>Ruimtestaat[[#This Row],[uren / jaar weekend]]*Tariefsopbouw!$D$40</f>
        <v>0</v>
      </c>
      <c r="AE438" s="154">
        <f>Ruimtestaat[[#This Row],[Prest. (m2 /jaar) weekend]]+Ruimtestaat[[#This Row],[Prest. (m2 /jaar) werkdagen]]</f>
        <v>2520</v>
      </c>
      <c r="AF438" s="154">
        <f>Ruimtestaat[[#This Row],[uren / jaar weekend]]+Ruimtestaat[[#This Row],[uren / jaar werkdagen]]</f>
        <v>0</v>
      </c>
      <c r="AG438" s="69">
        <f>Ruimtestaat[[#This Row],[kosten / jaar weekend]]+Ruimtestaat[[#This Row],[kosten / jaar werkdagen]]</f>
        <v>0</v>
      </c>
      <c r="AH438" s="69"/>
      <c r="AI438" s="256" t="str">
        <f>IF(Ruimtestaat[[#This Row],[Frequentie werkdagen]]="","",_xlfn.CONCAT(Ruimtestaat[[#This Row],[Ruimte code]],"-",Ruimtestaat[[#This Row],[Frequentie werkdagen]]," ",Ruimtestaat[[#This Row],[Vloer code]]))</f>
        <v>2-3w T</v>
      </c>
      <c r="AJ438" s="300" t="str">
        <f>_xlfn.IFNA(VLOOKUP($AI438,Programma!$F$3:$G$1107,2,0),"")</f>
        <v>2w</v>
      </c>
      <c r="AK438" s="300" t="str">
        <f>_xlfn.IFNA(VLOOKUP($AI438,Programma!$F$3:$H$1107,3,0),"")</f>
        <v>1w</v>
      </c>
      <c r="AL438" s="300" t="str">
        <f>_xlfn.IFNA(VLOOKUP($AI438,Programma!$F$3:$I$1107,4,0),"")</f>
        <v>_</v>
      </c>
      <c r="AM438" s="300" t="str">
        <f>_xlfn.IFNA(VLOOKUP($AI438,Programma!$F$3:$J$1107,5,0),"")</f>
        <v>_</v>
      </c>
      <c r="AN438" s="300" t="str">
        <f>_xlfn.IFNA(VLOOKUP($AI438,Programma!$F$3:$K$1107,6,0),"")</f>
        <v>_</v>
      </c>
      <c r="AO438" s="300" t="str">
        <f>_xlfn.IFNA(VLOOKUP($AI438,Programma!$F$3:$L$1107,7,0),"")</f>
        <v>_</v>
      </c>
      <c r="AP438" s="300" t="str">
        <f>_xlfn.IFNA(VLOOKUP($AI438,Programma!$F$3:$M$1107,8,0),"")</f>
        <v>_</v>
      </c>
      <c r="AQ438" s="300" t="str">
        <f>_xlfn.IFNA(VLOOKUP($AI438,Programma!$F$3:$N$1107,9,0),"")</f>
        <v>_</v>
      </c>
      <c r="AR438" s="300" t="str">
        <f>_xlfn.IFNA(VLOOKUP($AI438,Programma!$F$3:$O$1107,10,0),"")</f>
        <v>3w</v>
      </c>
      <c r="AS438" s="300" t="str">
        <f>_xlfn.IFNA(VLOOKUP($AI438,Programma!$F$3:$P$1107,11,0),"")</f>
        <v>3w</v>
      </c>
      <c r="AT438" s="300" t="str">
        <f>_xlfn.IFNA(VLOOKUP($AI438,Programma!$F$3:$Q$1107,12,0),"")</f>
        <v>1w</v>
      </c>
      <c r="AU438" s="300" t="str">
        <f>_xlfn.IFNA(VLOOKUP($AI438,Programma!$F$3:$R$1107,13,0),"")</f>
        <v>1w</v>
      </c>
      <c r="AV438" s="300" t="str">
        <f>_xlfn.IFNA(VLOOKUP($AI438,Programma!$F$3:$S$1107,14,0),"")</f>
        <v>1m</v>
      </c>
      <c r="AW438" s="300" t="str">
        <f>_xlfn.IFNA(VLOOKUP($AI438,Programma!$F$3:$T$1107,15,0),"")</f>
        <v>2j</v>
      </c>
      <c r="AX438" s="300" t="str">
        <f>_xlfn.IFNA(VLOOKUP($AI438,Programma!$F$3:$U$1107,16,0),"")</f>
        <v>1j</v>
      </c>
      <c r="AY438" s="300" t="str">
        <f>_xlfn.IFNA(VLOOKUP($AI438,Programma!$F$3:$V$1107,17,0),"")</f>
        <v>_</v>
      </c>
      <c r="AZ438" s="300" t="str">
        <f>_xlfn.IFNA(VLOOKUP($AI438,Programma!$F$3:$W$1107,18,0),"")</f>
        <v>_</v>
      </c>
      <c r="BA438" s="300" t="str">
        <f>_xlfn.IFNA(VLOOKUP($AI438,Programma!$F$3:$X$1107,19,0),"")</f>
        <v>_</v>
      </c>
      <c r="BB438" s="300" t="str">
        <f>_xlfn.IFNA(VLOOKUP($AI438,Programma!$F$3:$Y$1107,20,0),"")</f>
        <v>_</v>
      </c>
      <c r="BC438" s="257"/>
      <c r="BD438" s="256" t="str">
        <f>IF(Ruimtestaat[[#This Row],[Frequentie weekend]]="","",_xlfn.CONCAT(Ruimtestaat[[#This Row],[Ruimte code]],"-",Ruimtestaat[[#This Row],[Frequentie weekend]]," ",Ruimtestaat[[#This Row],[Vloer code]]))</f>
        <v/>
      </c>
      <c r="BE438" s="300" t="str">
        <f>_xlfn.IFNA(VLOOKUP($BD438,Programma!$F$3:$G$1107,2,0),"")</f>
        <v/>
      </c>
      <c r="BF438" s="300" t="str">
        <f>_xlfn.IFNA(VLOOKUP($BD438,Programma!$F$3:$H$1107,3,0),"")</f>
        <v/>
      </c>
      <c r="BG438" s="300" t="str">
        <f>_xlfn.IFNA(VLOOKUP($BD438,Programma!$F$3:$I$1107,4,0),"")</f>
        <v/>
      </c>
      <c r="BH438" s="300" t="str">
        <f>_xlfn.IFNA(VLOOKUP($BD438,Programma!$F$3:$J$1107,5,0),"")</f>
        <v/>
      </c>
      <c r="BI438" s="300" t="str">
        <f>_xlfn.IFNA(VLOOKUP($BD438,Programma!$F$3:$K$1107,6,0),"")</f>
        <v/>
      </c>
      <c r="BJ438" s="300" t="str">
        <f>_xlfn.IFNA(VLOOKUP($BD438,Programma!$F$3:$L$1107,7,0),"")</f>
        <v/>
      </c>
      <c r="BK438" s="300" t="str">
        <f>_xlfn.IFNA(VLOOKUP($BD438,Programma!$F$3:$M$1107,8,0),"")</f>
        <v/>
      </c>
      <c r="BL438" s="300" t="str">
        <f>_xlfn.IFNA(VLOOKUP($BD438,Programma!$F$3:$N$1107,9,0),"")</f>
        <v/>
      </c>
      <c r="BM438" s="300" t="str">
        <f>_xlfn.IFNA(VLOOKUP($BD438,Programma!$F$3:$O$1107,10,0),"")</f>
        <v/>
      </c>
      <c r="BN438" s="300" t="str">
        <f>_xlfn.IFNA(VLOOKUP($BD438,Programma!$F$3:$P$1107,11,0),"")</f>
        <v/>
      </c>
      <c r="BO438" s="300" t="str">
        <f>_xlfn.IFNA(VLOOKUP($BD438,Programma!$F$3:$Q$1107,12,0),"")</f>
        <v/>
      </c>
      <c r="BP438" s="300" t="str">
        <f>_xlfn.IFNA(VLOOKUP($BD438,Programma!$F$3:$R$1107,13,0),"")</f>
        <v/>
      </c>
      <c r="BQ438" s="300" t="str">
        <f>_xlfn.IFNA(VLOOKUP($BD438,Programma!$F$3:$S$1107,14,0),"")</f>
        <v/>
      </c>
      <c r="BR438" s="300" t="str">
        <f>_xlfn.IFNA(VLOOKUP($BD438,Programma!$F$3:$T$1107,15,0),"")</f>
        <v/>
      </c>
      <c r="BS438" s="300" t="str">
        <f>_xlfn.IFNA(VLOOKUP($BD438,Programma!$F$3:$U$1107,16,0),"")</f>
        <v/>
      </c>
      <c r="BT438" s="300" t="str">
        <f>_xlfn.IFNA(VLOOKUP($BD438,Programma!$F$3:$V$1107,17,0),"")</f>
        <v/>
      </c>
      <c r="BU438" s="300" t="str">
        <f>_xlfn.IFNA(VLOOKUP($BD438,Programma!$F$3:$W$1107,18,0),"")</f>
        <v/>
      </c>
      <c r="BV438" s="300" t="str">
        <f>_xlfn.IFNA(VLOOKUP($BD438,Programma!$F$3:$X$1107,19,0),"")</f>
        <v/>
      </c>
      <c r="BW438" s="300" t="str">
        <f>_xlfn.IFNA(VLOOKUP($BD438,Programma!$F$3:$Y$1107,20,0),"")</f>
        <v/>
      </c>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c r="GK438" s="4"/>
      <c r="GL438" s="4"/>
      <c r="GM438" s="4"/>
      <c r="GN438" s="4"/>
      <c r="GO438" s="4"/>
      <c r="GP438" s="4"/>
      <c r="GQ438" s="4"/>
      <c r="GR438" s="4"/>
      <c r="GS438" s="4"/>
      <c r="GT438" s="4"/>
      <c r="GU438" s="4"/>
      <c r="GV438" s="4"/>
      <c r="GW438" s="4"/>
      <c r="GX438" s="4"/>
      <c r="GY438" s="4"/>
      <c r="GZ438" s="4"/>
      <c r="HA438" s="4"/>
      <c r="HB438" s="4"/>
      <c r="HC438" s="4"/>
      <c r="HD438" s="4"/>
      <c r="HE438" s="4"/>
      <c r="HF438" s="4"/>
      <c r="HG438" s="4"/>
      <c r="HH438" s="4"/>
      <c r="HI438" s="4"/>
      <c r="HJ438" s="4"/>
      <c r="HK438" s="4"/>
      <c r="HL438" s="4"/>
    </row>
    <row r="439" spans="1:220" ht="15" customHeight="1">
      <c r="A439" s="21">
        <v>6</v>
      </c>
      <c r="B439" s="157" t="str">
        <f>VLOOKUP(Ruimtestaat[[#This Row],[Code]],Locaties[[Code]:[Locatie]],2,FALSE)</f>
        <v>Veurs Lyceum</v>
      </c>
      <c r="C439" s="157" t="str">
        <f>VLOOKUP(Ruimtestaat[[#This Row],[Code]],Locaties[[#All],[Code]:[Adres]],4,FALSE)</f>
        <v>Burg. Kolfschotenlaan 5</v>
      </c>
      <c r="D439" s="157" t="str">
        <f>VLOOKUP(Ruimtestaat[[#This Row],[Code]],Locaties[[#All],[Code]:[Postcode]],5,FALSE)</f>
        <v xml:space="preserve">2262 EZ </v>
      </c>
      <c r="E439" s="157" t="str">
        <f>VLOOKUP(Ruimtestaat[[#This Row],[Code]],Locaties[#All],6,FALSE)</f>
        <v>Leidschendam</v>
      </c>
      <c r="F439" s="62"/>
      <c r="G439" s="21" t="s">
        <v>1632</v>
      </c>
      <c r="H439" s="21">
        <v>15</v>
      </c>
      <c r="I439" s="62" t="s">
        <v>1629</v>
      </c>
      <c r="J439" s="21">
        <v>3</v>
      </c>
      <c r="K439" s="62" t="str">
        <f>VLOOKUP(Ruimtestaat[[#This Row],[Ruimte code]],Ruimtegroepen[[#All],[Code]:[Ruimte omschrijving]],2,FALSE)</f>
        <v>Reproruimte</v>
      </c>
      <c r="L439" s="33" t="s">
        <v>101</v>
      </c>
      <c r="M439" s="367" t="s">
        <v>2495</v>
      </c>
      <c r="N439" s="140">
        <v>20</v>
      </c>
      <c r="O439" s="140"/>
      <c r="P439" s="125" t="str">
        <f>VLOOKUP(Ruimtestaat[[#This Row],[Ruimte code]],Ruimtegroepen[],4,FALSE)</f>
        <v>Ve</v>
      </c>
      <c r="R439" s="33">
        <v>40</v>
      </c>
      <c r="S439" s="33" t="s">
        <v>2</v>
      </c>
      <c r="T439" s="33">
        <f>IF(R439&gt;0,IF(RIGHT(Ruimtestaat[[#This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9" s="33">
        <f>IF(T439&gt;0,VLOOKUP($J439,Ruimtegroepen[],3,FALSE)*VLOOKUP($L439,Vloersoorten[],3,FALSE)*VLOOKUP($S439,Frequenties[],3,FALSE)*VLOOKUP($A439,Locaties[],3,FALSE),0)</f>
        <v>0</v>
      </c>
      <c r="V439" s="33">
        <f>Ruimtestaat[[#This Row],[Uitvoeringen werkdagen]]*Ruimtestaat[[#This Row],[Oppervlak (netto)]]</f>
        <v>4000</v>
      </c>
      <c r="W439" s="154">
        <f>IF(U439&gt;0,Ruimtestaat[[#This Row],[Prest. (m2 /jaar) werkdagen]]/Ruimtestaat[[#This Row],[Norm (m2/uur) werkdagen]],0)</f>
        <v>0</v>
      </c>
      <c r="X439" s="155">
        <f>Ruimtestaat[[#This Row],[uren / jaar werkdagen]]*Tariefsopbouw!$E$35</f>
        <v>0</v>
      </c>
      <c r="Y439" s="33"/>
      <c r="Z439" s="33">
        <f>IF(Ruimtestaat[[#This Row],[Frequentie weekend]]&gt;0,VALUE(LEFT(Y439,1))*R439,0)</f>
        <v>0</v>
      </c>
      <c r="AA439" s="97">
        <f>IF($Z439&gt;0,VLOOKUP($J439,Ruimtegroepen[],3,FALSE)*VLOOKUP($L439,Vloersoorten[],3,FALSE)*VLOOKUP($Y439,Frequenties[],3,FALSE)*VLOOKUP(Ruimtestaat[[#This Row],[Code]],Locaties[],3,FALSE),0)</f>
        <v>0</v>
      </c>
      <c r="AB439" s="97">
        <f>Ruimtestaat[[#This Row],[Uitvoeringen weekend]]*Ruimtestaat[[#This Row],[Oppervlak (netto)]]</f>
        <v>0</v>
      </c>
      <c r="AC439" s="97">
        <f>IF(AA439&gt;0,Ruimtestaat[[#This Row],[Prest. (m2 /jaar) weekend]]/Ruimtestaat[[#This Row],[Norm (m2/uur) weekend]],0)</f>
        <v>0</v>
      </c>
      <c r="AD439" s="155">
        <f>Ruimtestaat[[#This Row],[uren / jaar weekend]]*Tariefsopbouw!$D$40</f>
        <v>0</v>
      </c>
      <c r="AE439" s="154">
        <f>Ruimtestaat[[#This Row],[Prest. (m2 /jaar) weekend]]+Ruimtestaat[[#This Row],[Prest. (m2 /jaar) werkdagen]]</f>
        <v>4000</v>
      </c>
      <c r="AF439" s="154">
        <f>Ruimtestaat[[#This Row],[uren / jaar weekend]]+Ruimtestaat[[#This Row],[uren / jaar werkdagen]]</f>
        <v>0</v>
      </c>
      <c r="AG439" s="69">
        <f>Ruimtestaat[[#This Row],[kosten / jaar weekend]]+Ruimtestaat[[#This Row],[kosten / jaar werkdagen]]</f>
        <v>0</v>
      </c>
      <c r="AH439" s="69"/>
      <c r="AI439" s="256" t="str">
        <f>IF(Ruimtestaat[[#This Row],[Frequentie werkdagen]]="","",_xlfn.CONCAT(Ruimtestaat[[#This Row],[Ruimte code]],"-",Ruimtestaat[[#This Row],[Frequentie werkdagen]]," ",Ruimtestaat[[#This Row],[Vloer code]]))</f>
        <v>3-5w L</v>
      </c>
      <c r="AJ439" s="300" t="str">
        <f>_xlfn.IFNA(VLOOKUP($AI439,Programma!$F$3:$G$1107,2,0),"")</f>
        <v>_</v>
      </c>
      <c r="AK439" s="300" t="str">
        <f>_xlfn.IFNA(VLOOKUP($AI439,Programma!$F$3:$H$1107,3,0),"")</f>
        <v>_</v>
      </c>
      <c r="AL439" s="300" t="str">
        <f>_xlfn.IFNA(VLOOKUP($AI439,Programma!$F$3:$I$1107,4,0),"")</f>
        <v>4w</v>
      </c>
      <c r="AM439" s="300" t="str">
        <f>_xlfn.IFNA(VLOOKUP($AI439,Programma!$F$3:$J$1107,5,0),"")</f>
        <v>1w</v>
      </c>
      <c r="AN439" s="300" t="str">
        <f>_xlfn.IFNA(VLOOKUP($AI439,Programma!$F$3:$K$1107,6,0),"")</f>
        <v>_</v>
      </c>
      <c r="AO439" s="300" t="str">
        <f>_xlfn.IFNA(VLOOKUP($AI439,Programma!$F$3:$L$1107,7,0),"")</f>
        <v>_</v>
      </c>
      <c r="AP439" s="300" t="str">
        <f>_xlfn.IFNA(VLOOKUP($AI439,Programma!$F$3:$M$1107,8,0),"")</f>
        <v>_</v>
      </c>
      <c r="AQ439" s="300" t="str">
        <f>_xlfn.IFNA(VLOOKUP($AI439,Programma!$F$3:$N$1107,9,0),"")</f>
        <v>_</v>
      </c>
      <c r="AR439" s="300" t="str">
        <f>_xlfn.IFNA(VLOOKUP($AI439,Programma!$F$3:$O$1107,10,0),"")</f>
        <v>5w</v>
      </c>
      <c r="AS439" s="300" t="str">
        <f>_xlfn.IFNA(VLOOKUP($AI439,Programma!$F$3:$P$1107,11,0),"")</f>
        <v>5w</v>
      </c>
      <c r="AT439" s="300" t="str">
        <f>_xlfn.IFNA(VLOOKUP($AI439,Programma!$F$3:$Q$1107,12,0),"")</f>
        <v>1w</v>
      </c>
      <c r="AU439" s="300" t="str">
        <f>_xlfn.IFNA(VLOOKUP($AI439,Programma!$F$3:$R$1107,13,0),"")</f>
        <v>1w</v>
      </c>
      <c r="AV439" s="300" t="str">
        <f>_xlfn.IFNA(VLOOKUP($AI439,Programma!$F$3:$S$1107,14,0),"")</f>
        <v>1m</v>
      </c>
      <c r="AW439" s="300" t="str">
        <f>_xlfn.IFNA(VLOOKUP($AI439,Programma!$F$3:$T$1107,15,0),"")</f>
        <v>4j</v>
      </c>
      <c r="AX439" s="300" t="str">
        <f>_xlfn.IFNA(VLOOKUP($AI439,Programma!$F$3:$U$1107,16,0),"")</f>
        <v>1j</v>
      </c>
      <c r="AY439" s="300" t="str">
        <f>_xlfn.IFNA(VLOOKUP($AI439,Programma!$F$3:$V$1107,17,0),"")</f>
        <v>_</v>
      </c>
      <c r="AZ439" s="300" t="str">
        <f>_xlfn.IFNA(VLOOKUP($AI439,Programma!$F$3:$W$1107,18,0),"")</f>
        <v>_</v>
      </c>
      <c r="BA439" s="300" t="str">
        <f>_xlfn.IFNA(VLOOKUP($AI439,Programma!$F$3:$X$1107,19,0),"")</f>
        <v>_</v>
      </c>
      <c r="BB439" s="300" t="str">
        <f>_xlfn.IFNA(VLOOKUP($AI439,Programma!$F$3:$Y$1107,20,0),"")</f>
        <v>_</v>
      </c>
      <c r="BC439" s="257"/>
      <c r="BD439" s="256" t="str">
        <f>IF(Ruimtestaat[[#This Row],[Frequentie weekend]]="","",_xlfn.CONCAT(Ruimtestaat[[#This Row],[Ruimte code]],"-",Ruimtestaat[[#This Row],[Frequentie weekend]]," ",Ruimtestaat[[#This Row],[Vloer code]]))</f>
        <v/>
      </c>
      <c r="BE439" s="300" t="str">
        <f>_xlfn.IFNA(VLOOKUP($BD439,Programma!$F$3:$G$1107,2,0),"")</f>
        <v/>
      </c>
      <c r="BF439" s="300" t="str">
        <f>_xlfn.IFNA(VLOOKUP($BD439,Programma!$F$3:$H$1107,3,0),"")</f>
        <v/>
      </c>
      <c r="BG439" s="300" t="str">
        <f>_xlfn.IFNA(VLOOKUP($BD439,Programma!$F$3:$I$1107,4,0),"")</f>
        <v/>
      </c>
      <c r="BH439" s="300" t="str">
        <f>_xlfn.IFNA(VLOOKUP($BD439,Programma!$F$3:$J$1107,5,0),"")</f>
        <v/>
      </c>
      <c r="BI439" s="300" t="str">
        <f>_xlfn.IFNA(VLOOKUP($BD439,Programma!$F$3:$K$1107,6,0),"")</f>
        <v/>
      </c>
      <c r="BJ439" s="300" t="str">
        <f>_xlfn.IFNA(VLOOKUP($BD439,Programma!$F$3:$L$1107,7,0),"")</f>
        <v/>
      </c>
      <c r="BK439" s="300" t="str">
        <f>_xlfn.IFNA(VLOOKUP($BD439,Programma!$F$3:$M$1107,8,0),"")</f>
        <v/>
      </c>
      <c r="BL439" s="300" t="str">
        <f>_xlfn.IFNA(VLOOKUP($BD439,Programma!$F$3:$N$1107,9,0),"")</f>
        <v/>
      </c>
      <c r="BM439" s="300" t="str">
        <f>_xlfn.IFNA(VLOOKUP($BD439,Programma!$F$3:$O$1107,10,0),"")</f>
        <v/>
      </c>
      <c r="BN439" s="300" t="str">
        <f>_xlfn.IFNA(VLOOKUP($BD439,Programma!$F$3:$P$1107,11,0),"")</f>
        <v/>
      </c>
      <c r="BO439" s="300" t="str">
        <f>_xlfn.IFNA(VLOOKUP($BD439,Programma!$F$3:$Q$1107,12,0),"")</f>
        <v/>
      </c>
      <c r="BP439" s="300" t="str">
        <f>_xlfn.IFNA(VLOOKUP($BD439,Programma!$F$3:$R$1107,13,0),"")</f>
        <v/>
      </c>
      <c r="BQ439" s="300" t="str">
        <f>_xlfn.IFNA(VLOOKUP($BD439,Programma!$F$3:$S$1107,14,0),"")</f>
        <v/>
      </c>
      <c r="BR439" s="300" t="str">
        <f>_xlfn.IFNA(VLOOKUP($BD439,Programma!$F$3:$T$1107,15,0),"")</f>
        <v/>
      </c>
      <c r="BS439" s="300" t="str">
        <f>_xlfn.IFNA(VLOOKUP($BD439,Programma!$F$3:$U$1107,16,0),"")</f>
        <v/>
      </c>
      <c r="BT439" s="300" t="str">
        <f>_xlfn.IFNA(VLOOKUP($BD439,Programma!$F$3:$V$1107,17,0),"")</f>
        <v/>
      </c>
      <c r="BU439" s="300" t="str">
        <f>_xlfn.IFNA(VLOOKUP($BD439,Programma!$F$3:$W$1107,18,0),"")</f>
        <v/>
      </c>
      <c r="BV439" s="300" t="str">
        <f>_xlfn.IFNA(VLOOKUP($BD439,Programma!$F$3:$X$1107,19,0),"")</f>
        <v/>
      </c>
      <c r="BW439" s="300" t="str">
        <f>_xlfn.IFNA(VLOOKUP($BD439,Programma!$F$3:$Y$1107,20,0),"")</f>
        <v/>
      </c>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c r="GK439" s="4"/>
      <c r="GL439" s="4"/>
      <c r="GM439" s="4"/>
      <c r="GN439" s="4"/>
      <c r="GO439" s="4"/>
      <c r="GP439" s="4"/>
      <c r="GQ439" s="4"/>
      <c r="GR439" s="4"/>
      <c r="GS439" s="4"/>
      <c r="GT439" s="4"/>
      <c r="GU439" s="4"/>
      <c r="GV439" s="4"/>
      <c r="GW439" s="4"/>
      <c r="GX439" s="4"/>
      <c r="GY439" s="4"/>
      <c r="GZ439" s="4"/>
      <c r="HA439" s="4"/>
      <c r="HB439" s="4"/>
      <c r="HC439" s="4"/>
      <c r="HD439" s="4"/>
      <c r="HE439" s="4"/>
      <c r="HF439" s="4"/>
      <c r="HG439" s="4"/>
      <c r="HH439" s="4"/>
      <c r="HI439" s="4"/>
      <c r="HJ439" s="4"/>
      <c r="HK439" s="4"/>
      <c r="HL439" s="4"/>
    </row>
    <row r="440" spans="1:220" ht="15" customHeight="1">
      <c r="A440" s="21">
        <v>6</v>
      </c>
      <c r="B440" s="157" t="str">
        <f>VLOOKUP(Ruimtestaat[[#This Row],[Code]],Locaties[[Code]:[Locatie]],2,FALSE)</f>
        <v>Veurs Lyceum</v>
      </c>
      <c r="C440" s="157" t="str">
        <f>VLOOKUP(Ruimtestaat[[#This Row],[Code]],Locaties[[#All],[Code]:[Adres]],4,FALSE)</f>
        <v>Burg. Kolfschotenlaan 5</v>
      </c>
      <c r="D440" s="157" t="str">
        <f>VLOOKUP(Ruimtestaat[[#This Row],[Code]],Locaties[[#All],[Code]:[Postcode]],5,FALSE)</f>
        <v xml:space="preserve">2262 EZ </v>
      </c>
      <c r="E440" s="157" t="str">
        <f>VLOOKUP(Ruimtestaat[[#This Row],[Code]],Locaties[#All],6,FALSE)</f>
        <v>Leidschendam</v>
      </c>
      <c r="F440" s="62"/>
      <c r="G440" s="21" t="s">
        <v>1632</v>
      </c>
      <c r="H440" s="21">
        <v>16</v>
      </c>
      <c r="I440" s="62" t="s">
        <v>1640</v>
      </c>
      <c r="J440" s="21">
        <v>5</v>
      </c>
      <c r="K440" s="62" t="str">
        <f>VLOOKUP(Ruimtestaat[[#This Row],[Ruimte code]],Ruimtegroepen[[#All],[Code]:[Ruimte omschrijving]],2,FALSE)</f>
        <v>Sanitair</v>
      </c>
      <c r="L440" s="33" t="s">
        <v>102</v>
      </c>
      <c r="M440" s="367" t="s">
        <v>2509</v>
      </c>
      <c r="N440" s="140">
        <v>6</v>
      </c>
      <c r="O440" s="140"/>
      <c r="P440" s="125" t="str">
        <f>VLOOKUP(Ruimtestaat[[#This Row],[Ruimte code]],Ruimtegroepen[],4,FALSE)</f>
        <v>Sa</v>
      </c>
      <c r="R440" s="33">
        <v>40</v>
      </c>
      <c r="S440" s="33" t="s">
        <v>2</v>
      </c>
      <c r="T440" s="33">
        <f>IF(R440&gt;0,IF(RIGHT(Ruimtestaat[[#This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0" s="33">
        <f>IF(T440&gt;0,VLOOKUP($J440,Ruimtegroepen[],3,FALSE)*VLOOKUP($L440,Vloersoorten[],3,FALSE)*VLOOKUP($S440,Frequenties[],3,FALSE)*VLOOKUP($A440,Locaties[],3,FALSE),0)</f>
        <v>0</v>
      </c>
      <c r="V440" s="33">
        <f>Ruimtestaat[[#This Row],[Uitvoeringen werkdagen]]*Ruimtestaat[[#This Row],[Oppervlak (netto)]]</f>
        <v>1200</v>
      </c>
      <c r="W440" s="154">
        <f>IF(U440&gt;0,Ruimtestaat[[#This Row],[Prest. (m2 /jaar) werkdagen]]/Ruimtestaat[[#This Row],[Norm (m2/uur) werkdagen]],0)</f>
        <v>0</v>
      </c>
      <c r="X440" s="155">
        <f>Ruimtestaat[[#This Row],[uren / jaar werkdagen]]*Tariefsopbouw!$E$35</f>
        <v>0</v>
      </c>
      <c r="Y440" s="33"/>
      <c r="Z440" s="33">
        <f>IF(Ruimtestaat[[#This Row],[Frequentie weekend]]&gt;0,VALUE(LEFT(Y440,1))*R440,0)</f>
        <v>0</v>
      </c>
      <c r="AA440" s="97">
        <f>IF($Z440&gt;0,VLOOKUP($J440,Ruimtegroepen[],3,FALSE)*VLOOKUP($L440,Vloersoorten[],3,FALSE)*VLOOKUP($Y440,Frequenties[],3,FALSE)*VLOOKUP(Ruimtestaat[[#This Row],[Code]],Locaties[],3,FALSE),0)</f>
        <v>0</v>
      </c>
      <c r="AB440" s="97">
        <f>Ruimtestaat[[#This Row],[Uitvoeringen weekend]]*Ruimtestaat[[#This Row],[Oppervlak (netto)]]</f>
        <v>0</v>
      </c>
      <c r="AC440" s="97">
        <f>IF(AA440&gt;0,Ruimtestaat[[#This Row],[Prest. (m2 /jaar) weekend]]/Ruimtestaat[[#This Row],[Norm (m2/uur) weekend]],0)</f>
        <v>0</v>
      </c>
      <c r="AD440" s="155">
        <f>Ruimtestaat[[#This Row],[uren / jaar weekend]]*Tariefsopbouw!$D$40</f>
        <v>0</v>
      </c>
      <c r="AE440" s="154">
        <f>Ruimtestaat[[#This Row],[Prest. (m2 /jaar) weekend]]+Ruimtestaat[[#This Row],[Prest. (m2 /jaar) werkdagen]]</f>
        <v>1200</v>
      </c>
      <c r="AF440" s="154">
        <f>Ruimtestaat[[#This Row],[uren / jaar weekend]]+Ruimtestaat[[#This Row],[uren / jaar werkdagen]]</f>
        <v>0</v>
      </c>
      <c r="AG440" s="69">
        <f>Ruimtestaat[[#This Row],[kosten / jaar weekend]]+Ruimtestaat[[#This Row],[kosten / jaar werkdagen]]</f>
        <v>0</v>
      </c>
      <c r="AH440" s="69"/>
      <c r="AI440" s="256" t="str">
        <f>IF(Ruimtestaat[[#This Row],[Frequentie werkdagen]]="","",_xlfn.CONCAT(Ruimtestaat[[#This Row],[Ruimte code]],"-",Ruimtestaat[[#This Row],[Frequentie werkdagen]]," ",Ruimtestaat[[#This Row],[Vloer code]]))</f>
        <v>5-5w S</v>
      </c>
      <c r="AJ440" s="300" t="str">
        <f>_xlfn.IFNA(VLOOKUP($AI440,Programma!$F$3:$G$1107,2,0),"")</f>
        <v>_</v>
      </c>
      <c r="AK440" s="300" t="str">
        <f>_xlfn.IFNA(VLOOKUP($AI440,Programma!$F$3:$H$1107,3,0),"")</f>
        <v>_</v>
      </c>
      <c r="AL440" s="300" t="str">
        <f>_xlfn.IFNA(VLOOKUP($AI440,Programma!$F$3:$I$1107,4,0),"")</f>
        <v>_</v>
      </c>
      <c r="AM440" s="300" t="str">
        <f>_xlfn.IFNA(VLOOKUP($AI440,Programma!$F$3:$J$1107,5,0),"")</f>
        <v>4w</v>
      </c>
      <c r="AN440" s="300" t="str">
        <f>_xlfn.IFNA(VLOOKUP($AI440,Programma!$F$3:$K$1107,6,0),"")</f>
        <v>1w</v>
      </c>
      <c r="AO440" s="300" t="str">
        <f>_xlfn.IFNA(VLOOKUP($AI440,Programma!$F$3:$L$1107,7,0),"")</f>
        <v>_</v>
      </c>
      <c r="AP440" s="300" t="str">
        <f>_xlfn.IFNA(VLOOKUP($AI440,Programma!$F$3:$M$1107,8,0),"")</f>
        <v>_</v>
      </c>
      <c r="AQ440" s="300" t="str">
        <f>_xlfn.IFNA(VLOOKUP($AI440,Programma!$F$3:$N$1107,9,0),"")</f>
        <v>_</v>
      </c>
      <c r="AR440" s="300" t="str">
        <f>_xlfn.IFNA(VLOOKUP($AI440,Programma!$F$3:$O$1107,10,0),"")</f>
        <v>_</v>
      </c>
      <c r="AS440" s="300" t="str">
        <f>_xlfn.IFNA(VLOOKUP($AI440,Programma!$F$3:$P$1107,11,0),"")</f>
        <v>_</v>
      </c>
      <c r="AT440" s="300" t="str">
        <f>_xlfn.IFNA(VLOOKUP($AI440,Programma!$F$3:$Q$1107,12,0),"")</f>
        <v>_</v>
      </c>
      <c r="AU440" s="300" t="str">
        <f>_xlfn.IFNA(VLOOKUP($AI440,Programma!$F$3:$R$1107,13,0),"")</f>
        <v>_</v>
      </c>
      <c r="AV440" s="300" t="str">
        <f>_xlfn.IFNA(VLOOKUP($AI440,Programma!$F$3:$S$1107,14,0),"")</f>
        <v>_</v>
      </c>
      <c r="AW440" s="300" t="str">
        <f>_xlfn.IFNA(VLOOKUP($AI440,Programma!$F$3:$T$1107,15,0),"")</f>
        <v>_</v>
      </c>
      <c r="AX440" s="300" t="str">
        <f>_xlfn.IFNA(VLOOKUP($AI440,Programma!$F$3:$U$1107,16,0),"")</f>
        <v>_</v>
      </c>
      <c r="AY440" s="300" t="str">
        <f>_xlfn.IFNA(VLOOKUP($AI440,Programma!$F$3:$V$1107,17,0),"")</f>
        <v>_</v>
      </c>
      <c r="AZ440" s="300" t="str">
        <f>_xlfn.IFNA(VLOOKUP($AI440,Programma!$F$3:$W$1107,18,0),"")</f>
        <v>4w</v>
      </c>
      <c r="BA440" s="300" t="str">
        <f>_xlfn.IFNA(VLOOKUP($AI440,Programma!$F$3:$X$1107,19,0),"")</f>
        <v>1w</v>
      </c>
      <c r="BB440" s="300" t="str">
        <f>_xlfn.IFNA(VLOOKUP($AI440,Programma!$F$3:$Y$1107,20,0),"")</f>
        <v>_</v>
      </c>
      <c r="BC440" s="257"/>
      <c r="BD440" s="256" t="str">
        <f>IF(Ruimtestaat[[#This Row],[Frequentie weekend]]="","",_xlfn.CONCAT(Ruimtestaat[[#This Row],[Ruimte code]],"-",Ruimtestaat[[#This Row],[Frequentie weekend]]," ",Ruimtestaat[[#This Row],[Vloer code]]))</f>
        <v/>
      </c>
      <c r="BE440" s="300" t="str">
        <f>_xlfn.IFNA(VLOOKUP($BD440,Programma!$F$3:$G$1107,2,0),"")</f>
        <v/>
      </c>
      <c r="BF440" s="300" t="str">
        <f>_xlfn.IFNA(VLOOKUP($BD440,Programma!$F$3:$H$1107,3,0),"")</f>
        <v/>
      </c>
      <c r="BG440" s="300" t="str">
        <f>_xlfn.IFNA(VLOOKUP($BD440,Programma!$F$3:$I$1107,4,0),"")</f>
        <v/>
      </c>
      <c r="BH440" s="300" t="str">
        <f>_xlfn.IFNA(VLOOKUP($BD440,Programma!$F$3:$J$1107,5,0),"")</f>
        <v/>
      </c>
      <c r="BI440" s="300" t="str">
        <f>_xlfn.IFNA(VLOOKUP($BD440,Programma!$F$3:$K$1107,6,0),"")</f>
        <v/>
      </c>
      <c r="BJ440" s="300" t="str">
        <f>_xlfn.IFNA(VLOOKUP($BD440,Programma!$F$3:$L$1107,7,0),"")</f>
        <v/>
      </c>
      <c r="BK440" s="300" t="str">
        <f>_xlfn.IFNA(VLOOKUP($BD440,Programma!$F$3:$M$1107,8,0),"")</f>
        <v/>
      </c>
      <c r="BL440" s="300" t="str">
        <f>_xlfn.IFNA(VLOOKUP($BD440,Programma!$F$3:$N$1107,9,0),"")</f>
        <v/>
      </c>
      <c r="BM440" s="300" t="str">
        <f>_xlfn.IFNA(VLOOKUP($BD440,Programma!$F$3:$O$1107,10,0),"")</f>
        <v/>
      </c>
      <c r="BN440" s="300" t="str">
        <f>_xlfn.IFNA(VLOOKUP($BD440,Programma!$F$3:$P$1107,11,0),"")</f>
        <v/>
      </c>
      <c r="BO440" s="300" t="str">
        <f>_xlfn.IFNA(VLOOKUP($BD440,Programma!$F$3:$Q$1107,12,0),"")</f>
        <v/>
      </c>
      <c r="BP440" s="300" t="str">
        <f>_xlfn.IFNA(VLOOKUP($BD440,Programma!$F$3:$R$1107,13,0),"")</f>
        <v/>
      </c>
      <c r="BQ440" s="300" t="str">
        <f>_xlfn.IFNA(VLOOKUP($BD440,Programma!$F$3:$S$1107,14,0),"")</f>
        <v/>
      </c>
      <c r="BR440" s="300" t="str">
        <f>_xlfn.IFNA(VLOOKUP($BD440,Programma!$F$3:$T$1107,15,0),"")</f>
        <v/>
      </c>
      <c r="BS440" s="300" t="str">
        <f>_xlfn.IFNA(VLOOKUP($BD440,Programma!$F$3:$U$1107,16,0),"")</f>
        <v/>
      </c>
      <c r="BT440" s="300" t="str">
        <f>_xlfn.IFNA(VLOOKUP($BD440,Programma!$F$3:$V$1107,17,0),"")</f>
        <v/>
      </c>
      <c r="BU440" s="300" t="str">
        <f>_xlfn.IFNA(VLOOKUP($BD440,Programma!$F$3:$W$1107,18,0),"")</f>
        <v/>
      </c>
      <c r="BV440" s="300" t="str">
        <f>_xlfn.IFNA(VLOOKUP($BD440,Programma!$F$3:$X$1107,19,0),"")</f>
        <v/>
      </c>
      <c r="BW440" s="300" t="str">
        <f>_xlfn.IFNA(VLOOKUP($BD440,Programma!$F$3:$Y$1107,20,0),"")</f>
        <v/>
      </c>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c r="GK440" s="4"/>
      <c r="GL440" s="4"/>
      <c r="GM440" s="4"/>
      <c r="GN440" s="4"/>
      <c r="GO440" s="4"/>
      <c r="GP440" s="4"/>
      <c r="GQ440" s="4"/>
      <c r="GR440" s="4"/>
      <c r="GS440" s="4"/>
      <c r="GT440" s="4"/>
      <c r="GU440" s="4"/>
      <c r="GV440" s="4"/>
      <c r="GW440" s="4"/>
      <c r="GX440" s="4"/>
      <c r="GY440" s="4"/>
      <c r="GZ440" s="4"/>
      <c r="HA440" s="4"/>
      <c r="HB440" s="4"/>
      <c r="HC440" s="4"/>
      <c r="HD440" s="4"/>
      <c r="HE440" s="4"/>
      <c r="HF440" s="4"/>
      <c r="HG440" s="4"/>
      <c r="HH440" s="4"/>
      <c r="HI440" s="4"/>
      <c r="HJ440" s="4"/>
      <c r="HK440" s="4"/>
      <c r="HL440" s="4"/>
    </row>
    <row r="441" spans="1:220" ht="15" customHeight="1">
      <c r="A441" s="21">
        <v>6</v>
      </c>
      <c r="B441" s="157" t="str">
        <f>VLOOKUP(Ruimtestaat[[#This Row],[Code]],Locaties[[Code]:[Locatie]],2,FALSE)</f>
        <v>Veurs Lyceum</v>
      </c>
      <c r="C441" s="157" t="str">
        <f>VLOOKUP(Ruimtestaat[[#This Row],[Code]],Locaties[[#All],[Code]:[Adres]],4,FALSE)</f>
        <v>Burg. Kolfschotenlaan 5</v>
      </c>
      <c r="D441" s="157" t="str">
        <f>VLOOKUP(Ruimtestaat[[#This Row],[Code]],Locaties[[#All],[Code]:[Postcode]],5,FALSE)</f>
        <v xml:space="preserve">2262 EZ </v>
      </c>
      <c r="E441" s="157" t="str">
        <f>VLOOKUP(Ruimtestaat[[#This Row],[Code]],Locaties[#All],6,FALSE)</f>
        <v>Leidschendam</v>
      </c>
      <c r="F441" s="62"/>
      <c r="G441" s="21" t="s">
        <v>1632</v>
      </c>
      <c r="H441" s="21">
        <v>17</v>
      </c>
      <c r="I441" s="62" t="s">
        <v>1639</v>
      </c>
      <c r="J441" s="21">
        <v>5</v>
      </c>
      <c r="K441" s="62" t="str">
        <f>VLOOKUP(Ruimtestaat[[#This Row],[Ruimte code]],Ruimtegroepen[[#All],[Code]:[Ruimte omschrijving]],2,FALSE)</f>
        <v>Sanitair</v>
      </c>
      <c r="L441" s="33" t="s">
        <v>102</v>
      </c>
      <c r="M441" s="367" t="s">
        <v>2509</v>
      </c>
      <c r="N441" s="140">
        <v>6</v>
      </c>
      <c r="O441" s="140"/>
      <c r="P441" s="125" t="str">
        <f>VLOOKUP(Ruimtestaat[[#This Row],[Ruimte code]],Ruimtegroepen[],4,FALSE)</f>
        <v>Sa</v>
      </c>
      <c r="R441" s="33">
        <v>40</v>
      </c>
      <c r="S441" s="33" t="s">
        <v>2</v>
      </c>
      <c r="T441" s="33">
        <f>IF(R441&gt;0,IF(RIGHT(Ruimtestaat[[#This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1" s="33">
        <f>IF(T441&gt;0,VLOOKUP($J441,Ruimtegroepen[],3,FALSE)*VLOOKUP($L441,Vloersoorten[],3,FALSE)*VLOOKUP($S441,Frequenties[],3,FALSE)*VLOOKUP($A441,Locaties[],3,FALSE),0)</f>
        <v>0</v>
      </c>
      <c r="V441" s="33">
        <f>Ruimtestaat[[#This Row],[Uitvoeringen werkdagen]]*Ruimtestaat[[#This Row],[Oppervlak (netto)]]</f>
        <v>1200</v>
      </c>
      <c r="W441" s="154">
        <f>IF(U441&gt;0,Ruimtestaat[[#This Row],[Prest. (m2 /jaar) werkdagen]]/Ruimtestaat[[#This Row],[Norm (m2/uur) werkdagen]],0)</f>
        <v>0</v>
      </c>
      <c r="X441" s="155">
        <f>Ruimtestaat[[#This Row],[uren / jaar werkdagen]]*Tariefsopbouw!$E$35</f>
        <v>0</v>
      </c>
      <c r="Y441" s="33"/>
      <c r="Z441" s="33">
        <f>IF(Ruimtestaat[[#This Row],[Frequentie weekend]]&gt;0,VALUE(LEFT(Y441,1))*R441,0)</f>
        <v>0</v>
      </c>
      <c r="AA441" s="97">
        <f>IF($Z441&gt;0,VLOOKUP($J441,Ruimtegroepen[],3,FALSE)*VLOOKUP($L441,Vloersoorten[],3,FALSE)*VLOOKUP($Y441,Frequenties[],3,FALSE)*VLOOKUP(Ruimtestaat[[#This Row],[Code]],Locaties[],3,FALSE),0)</f>
        <v>0</v>
      </c>
      <c r="AB441" s="97">
        <f>Ruimtestaat[[#This Row],[Uitvoeringen weekend]]*Ruimtestaat[[#This Row],[Oppervlak (netto)]]</f>
        <v>0</v>
      </c>
      <c r="AC441" s="97">
        <f>IF(AA441&gt;0,Ruimtestaat[[#This Row],[Prest. (m2 /jaar) weekend]]/Ruimtestaat[[#This Row],[Norm (m2/uur) weekend]],0)</f>
        <v>0</v>
      </c>
      <c r="AD441" s="155">
        <f>Ruimtestaat[[#This Row],[uren / jaar weekend]]*Tariefsopbouw!$D$40</f>
        <v>0</v>
      </c>
      <c r="AE441" s="154">
        <f>Ruimtestaat[[#This Row],[Prest. (m2 /jaar) weekend]]+Ruimtestaat[[#This Row],[Prest. (m2 /jaar) werkdagen]]</f>
        <v>1200</v>
      </c>
      <c r="AF441" s="154">
        <f>Ruimtestaat[[#This Row],[uren / jaar weekend]]+Ruimtestaat[[#This Row],[uren / jaar werkdagen]]</f>
        <v>0</v>
      </c>
      <c r="AG441" s="69">
        <f>Ruimtestaat[[#This Row],[kosten / jaar weekend]]+Ruimtestaat[[#This Row],[kosten / jaar werkdagen]]</f>
        <v>0</v>
      </c>
      <c r="AH441" s="69"/>
      <c r="AI441" s="256" t="str">
        <f>IF(Ruimtestaat[[#This Row],[Frequentie werkdagen]]="","",_xlfn.CONCAT(Ruimtestaat[[#This Row],[Ruimte code]],"-",Ruimtestaat[[#This Row],[Frequentie werkdagen]]," ",Ruimtestaat[[#This Row],[Vloer code]]))</f>
        <v>5-5w S</v>
      </c>
      <c r="AJ441" s="300" t="str">
        <f>_xlfn.IFNA(VLOOKUP($AI441,Programma!$F$3:$G$1107,2,0),"")</f>
        <v>_</v>
      </c>
      <c r="AK441" s="300" t="str">
        <f>_xlfn.IFNA(VLOOKUP($AI441,Programma!$F$3:$H$1107,3,0),"")</f>
        <v>_</v>
      </c>
      <c r="AL441" s="300" t="str">
        <f>_xlfn.IFNA(VLOOKUP($AI441,Programma!$F$3:$I$1107,4,0),"")</f>
        <v>_</v>
      </c>
      <c r="AM441" s="300" t="str">
        <f>_xlfn.IFNA(VLOOKUP($AI441,Programma!$F$3:$J$1107,5,0),"")</f>
        <v>4w</v>
      </c>
      <c r="AN441" s="300" t="str">
        <f>_xlfn.IFNA(VLOOKUP($AI441,Programma!$F$3:$K$1107,6,0),"")</f>
        <v>1w</v>
      </c>
      <c r="AO441" s="300" t="str">
        <f>_xlfn.IFNA(VLOOKUP($AI441,Programma!$F$3:$L$1107,7,0),"")</f>
        <v>_</v>
      </c>
      <c r="AP441" s="300" t="str">
        <f>_xlfn.IFNA(VLOOKUP($AI441,Programma!$F$3:$M$1107,8,0),"")</f>
        <v>_</v>
      </c>
      <c r="AQ441" s="300" t="str">
        <f>_xlfn.IFNA(VLOOKUP($AI441,Programma!$F$3:$N$1107,9,0),"")</f>
        <v>_</v>
      </c>
      <c r="AR441" s="300" t="str">
        <f>_xlfn.IFNA(VLOOKUP($AI441,Programma!$F$3:$O$1107,10,0),"")</f>
        <v>_</v>
      </c>
      <c r="AS441" s="300" t="str">
        <f>_xlfn.IFNA(VLOOKUP($AI441,Programma!$F$3:$P$1107,11,0),"")</f>
        <v>_</v>
      </c>
      <c r="AT441" s="300" t="str">
        <f>_xlfn.IFNA(VLOOKUP($AI441,Programma!$F$3:$Q$1107,12,0),"")</f>
        <v>_</v>
      </c>
      <c r="AU441" s="300" t="str">
        <f>_xlfn.IFNA(VLOOKUP($AI441,Programma!$F$3:$R$1107,13,0),"")</f>
        <v>_</v>
      </c>
      <c r="AV441" s="300" t="str">
        <f>_xlfn.IFNA(VLOOKUP($AI441,Programma!$F$3:$S$1107,14,0),"")</f>
        <v>_</v>
      </c>
      <c r="AW441" s="300" t="str">
        <f>_xlfn.IFNA(VLOOKUP($AI441,Programma!$F$3:$T$1107,15,0),"")</f>
        <v>_</v>
      </c>
      <c r="AX441" s="300" t="str">
        <f>_xlfn.IFNA(VLOOKUP($AI441,Programma!$F$3:$U$1107,16,0),"")</f>
        <v>_</v>
      </c>
      <c r="AY441" s="300" t="str">
        <f>_xlfn.IFNA(VLOOKUP($AI441,Programma!$F$3:$V$1107,17,0),"")</f>
        <v>_</v>
      </c>
      <c r="AZ441" s="300" t="str">
        <f>_xlfn.IFNA(VLOOKUP($AI441,Programma!$F$3:$W$1107,18,0),"")</f>
        <v>4w</v>
      </c>
      <c r="BA441" s="300" t="str">
        <f>_xlfn.IFNA(VLOOKUP($AI441,Programma!$F$3:$X$1107,19,0),"")</f>
        <v>1w</v>
      </c>
      <c r="BB441" s="300" t="str">
        <f>_xlfn.IFNA(VLOOKUP($AI441,Programma!$F$3:$Y$1107,20,0),"")</f>
        <v>_</v>
      </c>
      <c r="BC441" s="257"/>
      <c r="BD441" s="256" t="str">
        <f>IF(Ruimtestaat[[#This Row],[Frequentie weekend]]="","",_xlfn.CONCAT(Ruimtestaat[[#This Row],[Ruimte code]],"-",Ruimtestaat[[#This Row],[Frequentie weekend]]," ",Ruimtestaat[[#This Row],[Vloer code]]))</f>
        <v/>
      </c>
      <c r="BE441" s="300" t="str">
        <f>_xlfn.IFNA(VLOOKUP($BD441,Programma!$F$3:$G$1107,2,0),"")</f>
        <v/>
      </c>
      <c r="BF441" s="300" t="str">
        <f>_xlfn.IFNA(VLOOKUP($BD441,Programma!$F$3:$H$1107,3,0),"")</f>
        <v/>
      </c>
      <c r="BG441" s="300" t="str">
        <f>_xlfn.IFNA(VLOOKUP($BD441,Programma!$F$3:$I$1107,4,0),"")</f>
        <v/>
      </c>
      <c r="BH441" s="300" t="str">
        <f>_xlfn.IFNA(VLOOKUP($BD441,Programma!$F$3:$J$1107,5,0),"")</f>
        <v/>
      </c>
      <c r="BI441" s="300" t="str">
        <f>_xlfn.IFNA(VLOOKUP($BD441,Programma!$F$3:$K$1107,6,0),"")</f>
        <v/>
      </c>
      <c r="BJ441" s="300" t="str">
        <f>_xlfn.IFNA(VLOOKUP($BD441,Programma!$F$3:$L$1107,7,0),"")</f>
        <v/>
      </c>
      <c r="BK441" s="300" t="str">
        <f>_xlfn.IFNA(VLOOKUP($BD441,Programma!$F$3:$M$1107,8,0),"")</f>
        <v/>
      </c>
      <c r="BL441" s="300" t="str">
        <f>_xlfn.IFNA(VLOOKUP($BD441,Programma!$F$3:$N$1107,9,0),"")</f>
        <v/>
      </c>
      <c r="BM441" s="300" t="str">
        <f>_xlfn.IFNA(VLOOKUP($BD441,Programma!$F$3:$O$1107,10,0),"")</f>
        <v/>
      </c>
      <c r="BN441" s="300" t="str">
        <f>_xlfn.IFNA(VLOOKUP($BD441,Programma!$F$3:$P$1107,11,0),"")</f>
        <v/>
      </c>
      <c r="BO441" s="300" t="str">
        <f>_xlfn.IFNA(VLOOKUP($BD441,Programma!$F$3:$Q$1107,12,0),"")</f>
        <v/>
      </c>
      <c r="BP441" s="300" t="str">
        <f>_xlfn.IFNA(VLOOKUP($BD441,Programma!$F$3:$R$1107,13,0),"")</f>
        <v/>
      </c>
      <c r="BQ441" s="300" t="str">
        <f>_xlfn.IFNA(VLOOKUP($BD441,Programma!$F$3:$S$1107,14,0),"")</f>
        <v/>
      </c>
      <c r="BR441" s="300" t="str">
        <f>_xlfn.IFNA(VLOOKUP($BD441,Programma!$F$3:$T$1107,15,0),"")</f>
        <v/>
      </c>
      <c r="BS441" s="300" t="str">
        <f>_xlfn.IFNA(VLOOKUP($BD441,Programma!$F$3:$U$1107,16,0),"")</f>
        <v/>
      </c>
      <c r="BT441" s="300" t="str">
        <f>_xlfn.IFNA(VLOOKUP($BD441,Programma!$F$3:$V$1107,17,0),"")</f>
        <v/>
      </c>
      <c r="BU441" s="300" t="str">
        <f>_xlfn.IFNA(VLOOKUP($BD441,Programma!$F$3:$W$1107,18,0),"")</f>
        <v/>
      </c>
      <c r="BV441" s="300" t="str">
        <f>_xlfn.IFNA(VLOOKUP($BD441,Programma!$F$3:$X$1107,19,0),"")</f>
        <v/>
      </c>
      <c r="BW441" s="300" t="str">
        <f>_xlfn.IFNA(VLOOKUP($BD441,Programma!$F$3:$Y$1107,20,0),"")</f>
        <v/>
      </c>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c r="GK441" s="4"/>
      <c r="GL441" s="4"/>
      <c r="GM441" s="4"/>
      <c r="GN441" s="4"/>
      <c r="GO441" s="4"/>
      <c r="GP441" s="4"/>
      <c r="GQ441" s="4"/>
      <c r="GR441" s="4"/>
      <c r="GS441" s="4"/>
      <c r="GT441" s="4"/>
      <c r="GU441" s="4"/>
      <c r="GV441" s="4"/>
      <c r="GW441" s="4"/>
      <c r="GX441" s="4"/>
      <c r="GY441" s="4"/>
      <c r="GZ441" s="4"/>
      <c r="HA441" s="4"/>
      <c r="HB441" s="4"/>
      <c r="HC441" s="4"/>
      <c r="HD441" s="4"/>
      <c r="HE441" s="4"/>
      <c r="HF441" s="4"/>
      <c r="HG441" s="4"/>
      <c r="HH441" s="4"/>
      <c r="HI441" s="4"/>
      <c r="HJ441" s="4"/>
      <c r="HK441" s="4"/>
      <c r="HL441" s="4"/>
    </row>
    <row r="442" spans="1:220" ht="15" customHeight="1">
      <c r="A442" s="21">
        <v>6</v>
      </c>
      <c r="B442" s="157" t="str">
        <f>VLOOKUP(Ruimtestaat[[#This Row],[Code]],Locaties[[Code]:[Locatie]],2,FALSE)</f>
        <v>Veurs Lyceum</v>
      </c>
      <c r="C442" s="157" t="str">
        <f>VLOOKUP(Ruimtestaat[[#This Row],[Code]],Locaties[[#All],[Code]:[Adres]],4,FALSE)</f>
        <v>Burg. Kolfschotenlaan 5</v>
      </c>
      <c r="D442" s="157" t="str">
        <f>VLOOKUP(Ruimtestaat[[#This Row],[Code]],Locaties[[#All],[Code]:[Postcode]],5,FALSE)</f>
        <v xml:space="preserve">2262 EZ </v>
      </c>
      <c r="E442" s="157" t="str">
        <f>VLOOKUP(Ruimtestaat[[#This Row],[Code]],Locaties[#All],6,FALSE)</f>
        <v>Leidschendam</v>
      </c>
      <c r="F442" s="62"/>
      <c r="G442" s="21" t="s">
        <v>1632</v>
      </c>
      <c r="H442" s="21">
        <v>18</v>
      </c>
      <c r="I442" s="62" t="s">
        <v>2078</v>
      </c>
      <c r="J442" s="21">
        <v>2</v>
      </c>
      <c r="K442" s="62" t="str">
        <f>VLOOKUP(Ruimtestaat[[#This Row],[Ruimte code]],Ruimtegroepen[[#All],[Code]:[Ruimte omschrijving]],2,FALSE)</f>
        <v>Kantoren</v>
      </c>
      <c r="L442" s="33" t="s">
        <v>103</v>
      </c>
      <c r="M442" s="367" t="s">
        <v>121</v>
      </c>
      <c r="N442" s="140">
        <v>21</v>
      </c>
      <c r="O442" s="140"/>
      <c r="P442" s="125" t="str">
        <f>VLOOKUP(Ruimtestaat[[#This Row],[Ruimte code]],Ruimtegroepen[],4,FALSE)</f>
        <v>Bu</v>
      </c>
      <c r="R442" s="33">
        <v>42</v>
      </c>
      <c r="S442" s="33" t="s">
        <v>18</v>
      </c>
      <c r="T442" s="33">
        <f>IF(R442&gt;0,IF(RIGHT(Ruimtestaat[[#This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42" s="33">
        <f>IF(T442&gt;0,VLOOKUP($J442,Ruimtegroepen[],3,FALSE)*VLOOKUP($L442,Vloersoorten[],3,FALSE)*VLOOKUP($S442,Frequenties[],3,FALSE)*VLOOKUP($A442,Locaties[],3,FALSE),0)</f>
        <v>0</v>
      </c>
      <c r="V442" s="33">
        <f>Ruimtestaat[[#This Row],[Uitvoeringen werkdagen]]*Ruimtestaat[[#This Row],[Oppervlak (netto)]]</f>
        <v>2646</v>
      </c>
      <c r="W442" s="154">
        <f>IF(U442&gt;0,Ruimtestaat[[#This Row],[Prest. (m2 /jaar) werkdagen]]/Ruimtestaat[[#This Row],[Norm (m2/uur) werkdagen]],0)</f>
        <v>0</v>
      </c>
      <c r="X442" s="155">
        <f>Ruimtestaat[[#This Row],[uren / jaar werkdagen]]*Tariefsopbouw!$E$35</f>
        <v>0</v>
      </c>
      <c r="Y442" s="33"/>
      <c r="Z442" s="33">
        <f>IF(Ruimtestaat[[#This Row],[Frequentie weekend]]&gt;0,VALUE(LEFT(Y442,1))*R442,0)</f>
        <v>0</v>
      </c>
      <c r="AA442" s="97">
        <f>IF($Z442&gt;0,VLOOKUP($J442,Ruimtegroepen[],3,FALSE)*VLOOKUP($L442,Vloersoorten[],3,FALSE)*VLOOKUP($Y442,Frequenties[],3,FALSE)*VLOOKUP(Ruimtestaat[[#This Row],[Code]],Locaties[],3,FALSE),0)</f>
        <v>0</v>
      </c>
      <c r="AB442" s="97">
        <f>Ruimtestaat[[#This Row],[Uitvoeringen weekend]]*Ruimtestaat[[#This Row],[Oppervlak (netto)]]</f>
        <v>0</v>
      </c>
      <c r="AC442" s="97">
        <f>IF(AA442&gt;0,Ruimtestaat[[#This Row],[Prest. (m2 /jaar) weekend]]/Ruimtestaat[[#This Row],[Norm (m2/uur) weekend]],0)</f>
        <v>0</v>
      </c>
      <c r="AD442" s="155">
        <f>Ruimtestaat[[#This Row],[uren / jaar weekend]]*Tariefsopbouw!$D$40</f>
        <v>0</v>
      </c>
      <c r="AE442" s="154">
        <f>Ruimtestaat[[#This Row],[Prest. (m2 /jaar) weekend]]+Ruimtestaat[[#This Row],[Prest. (m2 /jaar) werkdagen]]</f>
        <v>2646</v>
      </c>
      <c r="AF442" s="154">
        <f>Ruimtestaat[[#This Row],[uren / jaar weekend]]+Ruimtestaat[[#This Row],[uren / jaar werkdagen]]</f>
        <v>0</v>
      </c>
      <c r="AG442" s="69">
        <f>Ruimtestaat[[#This Row],[kosten / jaar weekend]]+Ruimtestaat[[#This Row],[kosten / jaar werkdagen]]</f>
        <v>0</v>
      </c>
      <c r="AH442" s="69"/>
      <c r="AI442" s="256" t="str">
        <f>IF(Ruimtestaat[[#This Row],[Frequentie werkdagen]]="","",_xlfn.CONCAT(Ruimtestaat[[#This Row],[Ruimte code]],"-",Ruimtestaat[[#This Row],[Frequentie werkdagen]]," ",Ruimtestaat[[#This Row],[Vloer code]]))</f>
        <v>2-3w P</v>
      </c>
      <c r="AJ442" s="300" t="str">
        <f>_xlfn.IFNA(VLOOKUP($AI442,Programma!$F$3:$G$1107,2,0),"")</f>
        <v>_</v>
      </c>
      <c r="AK442" s="300" t="str">
        <f>_xlfn.IFNA(VLOOKUP($AI442,Programma!$F$3:$H$1107,3,0),"")</f>
        <v>_</v>
      </c>
      <c r="AL442" s="300" t="str">
        <f>_xlfn.IFNA(VLOOKUP($AI442,Programma!$F$3:$I$1107,4,0),"")</f>
        <v>2w</v>
      </c>
      <c r="AM442" s="300" t="str">
        <f>_xlfn.IFNA(VLOOKUP($AI442,Programma!$F$3:$J$1107,5,0),"")</f>
        <v>1w</v>
      </c>
      <c r="AN442" s="300" t="str">
        <f>_xlfn.IFNA(VLOOKUP($AI442,Programma!$F$3:$K$1107,6,0),"")</f>
        <v>1j</v>
      </c>
      <c r="AO442" s="300" t="str">
        <f>_xlfn.IFNA(VLOOKUP($AI442,Programma!$F$3:$L$1107,7,0),"")</f>
        <v>_</v>
      </c>
      <c r="AP442" s="300" t="str">
        <f>_xlfn.IFNA(VLOOKUP($AI442,Programma!$F$3:$M$1107,8,0),"")</f>
        <v>_</v>
      </c>
      <c r="AQ442" s="300" t="str">
        <f>_xlfn.IFNA(VLOOKUP($AI442,Programma!$F$3:$N$1107,9,0),"")</f>
        <v>_</v>
      </c>
      <c r="AR442" s="300" t="str">
        <f>_xlfn.IFNA(VLOOKUP($AI442,Programma!$F$3:$O$1107,10,0),"")</f>
        <v>3w</v>
      </c>
      <c r="AS442" s="300" t="str">
        <f>_xlfn.IFNA(VLOOKUP($AI442,Programma!$F$3:$P$1107,11,0),"")</f>
        <v>3w</v>
      </c>
      <c r="AT442" s="300" t="str">
        <f>_xlfn.IFNA(VLOOKUP($AI442,Programma!$F$3:$Q$1107,12,0),"")</f>
        <v>1w</v>
      </c>
      <c r="AU442" s="300" t="str">
        <f>_xlfn.IFNA(VLOOKUP($AI442,Programma!$F$3:$R$1107,13,0),"")</f>
        <v>1w</v>
      </c>
      <c r="AV442" s="300" t="str">
        <f>_xlfn.IFNA(VLOOKUP($AI442,Programma!$F$3:$S$1107,14,0),"")</f>
        <v>1m</v>
      </c>
      <c r="AW442" s="300" t="str">
        <f>_xlfn.IFNA(VLOOKUP($AI442,Programma!$F$3:$T$1107,15,0),"")</f>
        <v>2j</v>
      </c>
      <c r="AX442" s="300" t="str">
        <f>_xlfn.IFNA(VLOOKUP($AI442,Programma!$F$3:$U$1107,16,0),"")</f>
        <v>1j</v>
      </c>
      <c r="AY442" s="300" t="str">
        <f>_xlfn.IFNA(VLOOKUP($AI442,Programma!$F$3:$V$1107,17,0),"")</f>
        <v>_</v>
      </c>
      <c r="AZ442" s="300" t="str">
        <f>_xlfn.IFNA(VLOOKUP($AI442,Programma!$F$3:$W$1107,18,0),"")</f>
        <v>_</v>
      </c>
      <c r="BA442" s="300" t="str">
        <f>_xlfn.IFNA(VLOOKUP($AI442,Programma!$F$3:$X$1107,19,0),"")</f>
        <v>_</v>
      </c>
      <c r="BB442" s="300" t="str">
        <f>_xlfn.IFNA(VLOOKUP($AI442,Programma!$F$3:$Y$1107,20,0),"")</f>
        <v>_</v>
      </c>
      <c r="BC442" s="257"/>
      <c r="BD442" s="256" t="str">
        <f>IF(Ruimtestaat[[#This Row],[Frequentie weekend]]="","",_xlfn.CONCAT(Ruimtestaat[[#This Row],[Ruimte code]],"-",Ruimtestaat[[#This Row],[Frequentie weekend]]," ",Ruimtestaat[[#This Row],[Vloer code]]))</f>
        <v/>
      </c>
      <c r="BE442" s="300" t="str">
        <f>_xlfn.IFNA(VLOOKUP($BD442,Programma!$F$3:$G$1107,2,0),"")</f>
        <v/>
      </c>
      <c r="BF442" s="300" t="str">
        <f>_xlfn.IFNA(VLOOKUP($BD442,Programma!$F$3:$H$1107,3,0),"")</f>
        <v/>
      </c>
      <c r="BG442" s="300" t="str">
        <f>_xlfn.IFNA(VLOOKUP($BD442,Programma!$F$3:$I$1107,4,0),"")</f>
        <v/>
      </c>
      <c r="BH442" s="300" t="str">
        <f>_xlfn.IFNA(VLOOKUP($BD442,Programma!$F$3:$J$1107,5,0),"")</f>
        <v/>
      </c>
      <c r="BI442" s="300" t="str">
        <f>_xlfn.IFNA(VLOOKUP($BD442,Programma!$F$3:$K$1107,6,0),"")</f>
        <v/>
      </c>
      <c r="BJ442" s="300" t="str">
        <f>_xlfn.IFNA(VLOOKUP($BD442,Programma!$F$3:$L$1107,7,0),"")</f>
        <v/>
      </c>
      <c r="BK442" s="300" t="str">
        <f>_xlfn.IFNA(VLOOKUP($BD442,Programma!$F$3:$M$1107,8,0),"")</f>
        <v/>
      </c>
      <c r="BL442" s="300" t="str">
        <f>_xlfn.IFNA(VLOOKUP($BD442,Programma!$F$3:$N$1107,9,0),"")</f>
        <v/>
      </c>
      <c r="BM442" s="300" t="str">
        <f>_xlfn.IFNA(VLOOKUP($BD442,Programma!$F$3:$O$1107,10,0),"")</f>
        <v/>
      </c>
      <c r="BN442" s="300" t="str">
        <f>_xlfn.IFNA(VLOOKUP($BD442,Programma!$F$3:$P$1107,11,0),"")</f>
        <v/>
      </c>
      <c r="BO442" s="300" t="str">
        <f>_xlfn.IFNA(VLOOKUP($BD442,Programma!$F$3:$Q$1107,12,0),"")</f>
        <v/>
      </c>
      <c r="BP442" s="300" t="str">
        <f>_xlfn.IFNA(VLOOKUP($BD442,Programma!$F$3:$R$1107,13,0),"")</f>
        <v/>
      </c>
      <c r="BQ442" s="300" t="str">
        <f>_xlfn.IFNA(VLOOKUP($BD442,Programma!$F$3:$S$1107,14,0),"")</f>
        <v/>
      </c>
      <c r="BR442" s="300" t="str">
        <f>_xlfn.IFNA(VLOOKUP($BD442,Programma!$F$3:$T$1107,15,0),"")</f>
        <v/>
      </c>
      <c r="BS442" s="300" t="str">
        <f>_xlfn.IFNA(VLOOKUP($BD442,Programma!$F$3:$U$1107,16,0),"")</f>
        <v/>
      </c>
      <c r="BT442" s="300" t="str">
        <f>_xlfn.IFNA(VLOOKUP($BD442,Programma!$F$3:$V$1107,17,0),"")</f>
        <v/>
      </c>
      <c r="BU442" s="300" t="str">
        <f>_xlfn.IFNA(VLOOKUP($BD442,Programma!$F$3:$W$1107,18,0),"")</f>
        <v/>
      </c>
      <c r="BV442" s="300" t="str">
        <f>_xlfn.IFNA(VLOOKUP($BD442,Programma!$F$3:$X$1107,19,0),"")</f>
        <v/>
      </c>
      <c r="BW442" s="300" t="str">
        <f>_xlfn.IFNA(VLOOKUP($BD442,Programma!$F$3:$Y$1107,20,0),"")</f>
        <v/>
      </c>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c r="GK442" s="4"/>
      <c r="GL442" s="4"/>
      <c r="GM442" s="4"/>
      <c r="GN442" s="4"/>
      <c r="GO442" s="4"/>
      <c r="GP442" s="4"/>
      <c r="GQ442" s="4"/>
      <c r="GR442" s="4"/>
      <c r="GS442" s="4"/>
      <c r="GT442" s="4"/>
      <c r="GU442" s="4"/>
      <c r="GV442" s="4"/>
      <c r="GW442" s="4"/>
      <c r="GX442" s="4"/>
      <c r="GY442" s="4"/>
      <c r="GZ442" s="4"/>
      <c r="HA442" s="4"/>
      <c r="HB442" s="4"/>
      <c r="HC442" s="4"/>
      <c r="HD442" s="4"/>
      <c r="HE442" s="4"/>
      <c r="HF442" s="4"/>
      <c r="HG442" s="4"/>
      <c r="HH442" s="4"/>
      <c r="HI442" s="4"/>
      <c r="HJ442" s="4"/>
      <c r="HK442" s="4"/>
      <c r="HL442" s="4"/>
    </row>
    <row r="443" spans="1:220" ht="15" customHeight="1">
      <c r="A443" s="21">
        <v>6</v>
      </c>
      <c r="B443" s="157" t="str">
        <f>VLOOKUP(Ruimtestaat[[#This Row],[Code]],Locaties[[Code]:[Locatie]],2,FALSE)</f>
        <v>Veurs Lyceum</v>
      </c>
      <c r="C443" s="157" t="str">
        <f>VLOOKUP(Ruimtestaat[[#This Row],[Code]],Locaties[[#All],[Code]:[Adres]],4,FALSE)</f>
        <v>Burg. Kolfschotenlaan 5</v>
      </c>
      <c r="D443" s="157" t="str">
        <f>VLOOKUP(Ruimtestaat[[#This Row],[Code]],Locaties[[#All],[Code]:[Postcode]],5,FALSE)</f>
        <v xml:space="preserve">2262 EZ </v>
      </c>
      <c r="E443" s="157" t="str">
        <f>VLOOKUP(Ruimtestaat[[#This Row],[Code]],Locaties[#All],6,FALSE)</f>
        <v>Leidschendam</v>
      </c>
      <c r="F443" s="62"/>
      <c r="G443" s="21" t="s">
        <v>1632</v>
      </c>
      <c r="H443" s="21">
        <v>19</v>
      </c>
      <c r="I443" s="62" t="s">
        <v>2079</v>
      </c>
      <c r="J443" s="21">
        <v>2</v>
      </c>
      <c r="K443" s="62" t="str">
        <f>VLOOKUP(Ruimtestaat[[#This Row],[Ruimte code]],Ruimtegroepen[[#All],[Code]:[Ruimte omschrijving]],2,FALSE)</f>
        <v>Kantoren</v>
      </c>
      <c r="L443" s="33" t="s">
        <v>103</v>
      </c>
      <c r="M443" s="367" t="s">
        <v>121</v>
      </c>
      <c r="N443" s="140">
        <v>21</v>
      </c>
      <c r="O443" s="140"/>
      <c r="P443" s="125" t="str">
        <f>VLOOKUP(Ruimtestaat[[#This Row],[Ruimte code]],Ruimtegroepen[],4,FALSE)</f>
        <v>Bu</v>
      </c>
      <c r="R443" s="33">
        <v>42</v>
      </c>
      <c r="S443" s="33" t="s">
        <v>18</v>
      </c>
      <c r="T443" s="33">
        <f>IF(R443&gt;0,IF(RIGHT(Ruimtestaat[[#This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43" s="33">
        <f>IF(T443&gt;0,VLOOKUP($J443,Ruimtegroepen[],3,FALSE)*VLOOKUP($L443,Vloersoorten[],3,FALSE)*VLOOKUP($S443,Frequenties[],3,FALSE)*VLOOKUP($A443,Locaties[],3,FALSE),0)</f>
        <v>0</v>
      </c>
      <c r="V443" s="33">
        <f>Ruimtestaat[[#This Row],[Uitvoeringen werkdagen]]*Ruimtestaat[[#This Row],[Oppervlak (netto)]]</f>
        <v>2646</v>
      </c>
      <c r="W443" s="154">
        <f>IF(U443&gt;0,Ruimtestaat[[#This Row],[Prest. (m2 /jaar) werkdagen]]/Ruimtestaat[[#This Row],[Norm (m2/uur) werkdagen]],0)</f>
        <v>0</v>
      </c>
      <c r="X443" s="155">
        <f>Ruimtestaat[[#This Row],[uren / jaar werkdagen]]*Tariefsopbouw!$E$35</f>
        <v>0</v>
      </c>
      <c r="Y443" s="33"/>
      <c r="Z443" s="33">
        <f>IF(Ruimtestaat[[#This Row],[Frequentie weekend]]&gt;0,VALUE(LEFT(Y443,1))*R443,0)</f>
        <v>0</v>
      </c>
      <c r="AA443" s="97">
        <f>IF($Z443&gt;0,VLOOKUP($J443,Ruimtegroepen[],3,FALSE)*VLOOKUP($L443,Vloersoorten[],3,FALSE)*VLOOKUP($Y443,Frequenties[],3,FALSE)*VLOOKUP(Ruimtestaat[[#This Row],[Code]],Locaties[],3,FALSE),0)</f>
        <v>0</v>
      </c>
      <c r="AB443" s="97">
        <f>Ruimtestaat[[#This Row],[Uitvoeringen weekend]]*Ruimtestaat[[#This Row],[Oppervlak (netto)]]</f>
        <v>0</v>
      </c>
      <c r="AC443" s="97">
        <f>IF(AA443&gt;0,Ruimtestaat[[#This Row],[Prest. (m2 /jaar) weekend]]/Ruimtestaat[[#This Row],[Norm (m2/uur) weekend]],0)</f>
        <v>0</v>
      </c>
      <c r="AD443" s="155">
        <f>Ruimtestaat[[#This Row],[uren / jaar weekend]]*Tariefsopbouw!$D$40</f>
        <v>0</v>
      </c>
      <c r="AE443" s="154">
        <f>Ruimtestaat[[#This Row],[Prest. (m2 /jaar) weekend]]+Ruimtestaat[[#This Row],[Prest. (m2 /jaar) werkdagen]]</f>
        <v>2646</v>
      </c>
      <c r="AF443" s="154">
        <f>Ruimtestaat[[#This Row],[uren / jaar weekend]]+Ruimtestaat[[#This Row],[uren / jaar werkdagen]]</f>
        <v>0</v>
      </c>
      <c r="AG443" s="69">
        <f>Ruimtestaat[[#This Row],[kosten / jaar weekend]]+Ruimtestaat[[#This Row],[kosten / jaar werkdagen]]</f>
        <v>0</v>
      </c>
      <c r="AH443" s="69"/>
      <c r="AI443" s="256" t="str">
        <f>IF(Ruimtestaat[[#This Row],[Frequentie werkdagen]]="","",_xlfn.CONCAT(Ruimtestaat[[#This Row],[Ruimte code]],"-",Ruimtestaat[[#This Row],[Frequentie werkdagen]]," ",Ruimtestaat[[#This Row],[Vloer code]]))</f>
        <v>2-3w P</v>
      </c>
      <c r="AJ443" s="300" t="str">
        <f>_xlfn.IFNA(VLOOKUP($AI443,Programma!$F$3:$G$1107,2,0),"")</f>
        <v>_</v>
      </c>
      <c r="AK443" s="300" t="str">
        <f>_xlfn.IFNA(VLOOKUP($AI443,Programma!$F$3:$H$1107,3,0),"")</f>
        <v>_</v>
      </c>
      <c r="AL443" s="300" t="str">
        <f>_xlfn.IFNA(VLOOKUP($AI443,Programma!$F$3:$I$1107,4,0),"")</f>
        <v>2w</v>
      </c>
      <c r="AM443" s="300" t="str">
        <f>_xlfn.IFNA(VLOOKUP($AI443,Programma!$F$3:$J$1107,5,0),"")</f>
        <v>1w</v>
      </c>
      <c r="AN443" s="300" t="str">
        <f>_xlfn.IFNA(VLOOKUP($AI443,Programma!$F$3:$K$1107,6,0),"")</f>
        <v>1j</v>
      </c>
      <c r="AO443" s="300" t="str">
        <f>_xlfn.IFNA(VLOOKUP($AI443,Programma!$F$3:$L$1107,7,0),"")</f>
        <v>_</v>
      </c>
      <c r="AP443" s="300" t="str">
        <f>_xlfn.IFNA(VLOOKUP($AI443,Programma!$F$3:$M$1107,8,0),"")</f>
        <v>_</v>
      </c>
      <c r="AQ443" s="300" t="str">
        <f>_xlfn.IFNA(VLOOKUP($AI443,Programma!$F$3:$N$1107,9,0),"")</f>
        <v>_</v>
      </c>
      <c r="AR443" s="300" t="str">
        <f>_xlfn.IFNA(VLOOKUP($AI443,Programma!$F$3:$O$1107,10,0),"")</f>
        <v>3w</v>
      </c>
      <c r="AS443" s="300" t="str">
        <f>_xlfn.IFNA(VLOOKUP($AI443,Programma!$F$3:$P$1107,11,0),"")</f>
        <v>3w</v>
      </c>
      <c r="AT443" s="300" t="str">
        <f>_xlfn.IFNA(VLOOKUP($AI443,Programma!$F$3:$Q$1107,12,0),"")</f>
        <v>1w</v>
      </c>
      <c r="AU443" s="300" t="str">
        <f>_xlfn.IFNA(VLOOKUP($AI443,Programma!$F$3:$R$1107,13,0),"")</f>
        <v>1w</v>
      </c>
      <c r="AV443" s="300" t="str">
        <f>_xlfn.IFNA(VLOOKUP($AI443,Programma!$F$3:$S$1107,14,0),"")</f>
        <v>1m</v>
      </c>
      <c r="AW443" s="300" t="str">
        <f>_xlfn.IFNA(VLOOKUP($AI443,Programma!$F$3:$T$1107,15,0),"")</f>
        <v>2j</v>
      </c>
      <c r="AX443" s="300" t="str">
        <f>_xlfn.IFNA(VLOOKUP($AI443,Programma!$F$3:$U$1107,16,0),"")</f>
        <v>1j</v>
      </c>
      <c r="AY443" s="300" t="str">
        <f>_xlfn.IFNA(VLOOKUP($AI443,Programma!$F$3:$V$1107,17,0),"")</f>
        <v>_</v>
      </c>
      <c r="AZ443" s="300" t="str">
        <f>_xlfn.IFNA(VLOOKUP($AI443,Programma!$F$3:$W$1107,18,0),"")</f>
        <v>_</v>
      </c>
      <c r="BA443" s="300" t="str">
        <f>_xlfn.IFNA(VLOOKUP($AI443,Programma!$F$3:$X$1107,19,0),"")</f>
        <v>_</v>
      </c>
      <c r="BB443" s="300" t="str">
        <f>_xlfn.IFNA(VLOOKUP($AI443,Programma!$F$3:$Y$1107,20,0),"")</f>
        <v>_</v>
      </c>
      <c r="BC443" s="257"/>
      <c r="BD443" s="256" t="str">
        <f>IF(Ruimtestaat[[#This Row],[Frequentie weekend]]="","",_xlfn.CONCAT(Ruimtestaat[[#This Row],[Ruimte code]],"-",Ruimtestaat[[#This Row],[Frequentie weekend]]," ",Ruimtestaat[[#This Row],[Vloer code]]))</f>
        <v/>
      </c>
      <c r="BE443" s="300" t="str">
        <f>_xlfn.IFNA(VLOOKUP($BD443,Programma!$F$3:$G$1107,2,0),"")</f>
        <v/>
      </c>
      <c r="BF443" s="300" t="str">
        <f>_xlfn.IFNA(VLOOKUP($BD443,Programma!$F$3:$H$1107,3,0),"")</f>
        <v/>
      </c>
      <c r="BG443" s="300" t="str">
        <f>_xlfn.IFNA(VLOOKUP($BD443,Programma!$F$3:$I$1107,4,0),"")</f>
        <v/>
      </c>
      <c r="BH443" s="300" t="str">
        <f>_xlfn.IFNA(VLOOKUP($BD443,Programma!$F$3:$J$1107,5,0),"")</f>
        <v/>
      </c>
      <c r="BI443" s="300" t="str">
        <f>_xlfn.IFNA(VLOOKUP($BD443,Programma!$F$3:$K$1107,6,0),"")</f>
        <v/>
      </c>
      <c r="BJ443" s="300" t="str">
        <f>_xlfn.IFNA(VLOOKUP($BD443,Programma!$F$3:$L$1107,7,0),"")</f>
        <v/>
      </c>
      <c r="BK443" s="300" t="str">
        <f>_xlfn.IFNA(VLOOKUP($BD443,Programma!$F$3:$M$1107,8,0),"")</f>
        <v/>
      </c>
      <c r="BL443" s="300" t="str">
        <f>_xlfn.IFNA(VLOOKUP($BD443,Programma!$F$3:$N$1107,9,0),"")</f>
        <v/>
      </c>
      <c r="BM443" s="300" t="str">
        <f>_xlfn.IFNA(VLOOKUP($BD443,Programma!$F$3:$O$1107,10,0),"")</f>
        <v/>
      </c>
      <c r="BN443" s="300" t="str">
        <f>_xlfn.IFNA(VLOOKUP($BD443,Programma!$F$3:$P$1107,11,0),"")</f>
        <v/>
      </c>
      <c r="BO443" s="300" t="str">
        <f>_xlfn.IFNA(VLOOKUP($BD443,Programma!$F$3:$Q$1107,12,0),"")</f>
        <v/>
      </c>
      <c r="BP443" s="300" t="str">
        <f>_xlfn.IFNA(VLOOKUP($BD443,Programma!$F$3:$R$1107,13,0),"")</f>
        <v/>
      </c>
      <c r="BQ443" s="300" t="str">
        <f>_xlfn.IFNA(VLOOKUP($BD443,Programma!$F$3:$S$1107,14,0),"")</f>
        <v/>
      </c>
      <c r="BR443" s="300" t="str">
        <f>_xlfn.IFNA(VLOOKUP($BD443,Programma!$F$3:$T$1107,15,0),"")</f>
        <v/>
      </c>
      <c r="BS443" s="300" t="str">
        <f>_xlfn.IFNA(VLOOKUP($BD443,Programma!$F$3:$U$1107,16,0),"")</f>
        <v/>
      </c>
      <c r="BT443" s="300" t="str">
        <f>_xlfn.IFNA(VLOOKUP($BD443,Programma!$F$3:$V$1107,17,0),"")</f>
        <v/>
      </c>
      <c r="BU443" s="300" t="str">
        <f>_xlfn.IFNA(VLOOKUP($BD443,Programma!$F$3:$W$1107,18,0),"")</f>
        <v/>
      </c>
      <c r="BV443" s="300" t="str">
        <f>_xlfn.IFNA(VLOOKUP($BD443,Programma!$F$3:$X$1107,19,0),"")</f>
        <v/>
      </c>
      <c r="BW443" s="300" t="str">
        <f>_xlfn.IFNA(VLOOKUP($BD443,Programma!$F$3:$Y$1107,20,0),"")</f>
        <v/>
      </c>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c r="GK443" s="4"/>
      <c r="GL443" s="4"/>
      <c r="GM443" s="4"/>
      <c r="GN443" s="4"/>
      <c r="GO443" s="4"/>
      <c r="GP443" s="4"/>
      <c r="GQ443" s="4"/>
      <c r="GR443" s="4"/>
      <c r="GS443" s="4"/>
      <c r="GT443" s="4"/>
      <c r="GU443" s="4"/>
      <c r="GV443" s="4"/>
      <c r="GW443" s="4"/>
      <c r="GX443" s="4"/>
      <c r="GY443" s="4"/>
      <c r="GZ443" s="4"/>
      <c r="HA443" s="4"/>
      <c r="HB443" s="4"/>
      <c r="HC443" s="4"/>
      <c r="HD443" s="4"/>
      <c r="HE443" s="4"/>
      <c r="HF443" s="4"/>
      <c r="HG443" s="4"/>
      <c r="HH443" s="4"/>
      <c r="HI443" s="4"/>
      <c r="HJ443" s="4"/>
      <c r="HK443" s="4"/>
      <c r="HL443" s="4"/>
    </row>
    <row r="444" spans="1:220" ht="15" customHeight="1">
      <c r="A444" s="21">
        <v>6</v>
      </c>
      <c r="B444" s="157" t="str">
        <f>VLOOKUP(Ruimtestaat[[#This Row],[Code]],Locaties[[Code]:[Locatie]],2,FALSE)</f>
        <v>Veurs Lyceum</v>
      </c>
      <c r="C444" s="157" t="str">
        <f>VLOOKUP(Ruimtestaat[[#This Row],[Code]],Locaties[[#All],[Code]:[Adres]],4,FALSE)</f>
        <v>Burg. Kolfschotenlaan 5</v>
      </c>
      <c r="D444" s="157" t="str">
        <f>VLOOKUP(Ruimtestaat[[#This Row],[Code]],Locaties[[#All],[Code]:[Postcode]],5,FALSE)</f>
        <v xml:space="preserve">2262 EZ </v>
      </c>
      <c r="E444" s="157" t="str">
        <f>VLOOKUP(Ruimtestaat[[#This Row],[Code]],Locaties[#All],6,FALSE)</f>
        <v>Leidschendam</v>
      </c>
      <c r="F444" s="62"/>
      <c r="G444" s="21" t="s">
        <v>1632</v>
      </c>
      <c r="H444" s="21">
        <v>20</v>
      </c>
      <c r="I444" s="62" t="s">
        <v>2080</v>
      </c>
      <c r="J444" s="21">
        <v>2</v>
      </c>
      <c r="K444" s="62" t="str">
        <f>VLOOKUP(Ruimtestaat[[#This Row],[Ruimte code]],Ruimtegroepen[[#All],[Code]:[Ruimte omschrijving]],2,FALSE)</f>
        <v>Kantoren</v>
      </c>
      <c r="L444" s="33" t="s">
        <v>103</v>
      </c>
      <c r="M444" s="367" t="s">
        <v>121</v>
      </c>
      <c r="N444" s="140">
        <v>21</v>
      </c>
      <c r="O444" s="140"/>
      <c r="P444" s="125" t="str">
        <f>VLOOKUP(Ruimtestaat[[#This Row],[Ruimte code]],Ruimtegroepen[],4,FALSE)</f>
        <v>Bu</v>
      </c>
      <c r="R444" s="33">
        <v>42</v>
      </c>
      <c r="S444" s="33" t="s">
        <v>18</v>
      </c>
      <c r="T444" s="33">
        <f>IF(R444&gt;0,IF(RIGHT(Ruimtestaat[[#This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44" s="33">
        <f>IF(T444&gt;0,VLOOKUP($J444,Ruimtegroepen[],3,FALSE)*VLOOKUP($L444,Vloersoorten[],3,FALSE)*VLOOKUP($S444,Frequenties[],3,FALSE)*VLOOKUP($A444,Locaties[],3,FALSE),0)</f>
        <v>0</v>
      </c>
      <c r="V444" s="33">
        <f>Ruimtestaat[[#This Row],[Uitvoeringen werkdagen]]*Ruimtestaat[[#This Row],[Oppervlak (netto)]]</f>
        <v>2646</v>
      </c>
      <c r="W444" s="154">
        <f>IF(U444&gt;0,Ruimtestaat[[#This Row],[Prest. (m2 /jaar) werkdagen]]/Ruimtestaat[[#This Row],[Norm (m2/uur) werkdagen]],0)</f>
        <v>0</v>
      </c>
      <c r="X444" s="155">
        <f>Ruimtestaat[[#This Row],[uren / jaar werkdagen]]*Tariefsopbouw!$E$35</f>
        <v>0</v>
      </c>
      <c r="Y444" s="33"/>
      <c r="Z444" s="33">
        <f>IF(Ruimtestaat[[#This Row],[Frequentie weekend]]&gt;0,VALUE(LEFT(Y444,1))*R444,0)</f>
        <v>0</v>
      </c>
      <c r="AA444" s="97">
        <f>IF($Z444&gt;0,VLOOKUP($J444,Ruimtegroepen[],3,FALSE)*VLOOKUP($L444,Vloersoorten[],3,FALSE)*VLOOKUP($Y444,Frequenties[],3,FALSE)*VLOOKUP(Ruimtestaat[[#This Row],[Code]],Locaties[],3,FALSE),0)</f>
        <v>0</v>
      </c>
      <c r="AB444" s="97">
        <f>Ruimtestaat[[#This Row],[Uitvoeringen weekend]]*Ruimtestaat[[#This Row],[Oppervlak (netto)]]</f>
        <v>0</v>
      </c>
      <c r="AC444" s="97">
        <f>IF(AA444&gt;0,Ruimtestaat[[#This Row],[Prest. (m2 /jaar) weekend]]/Ruimtestaat[[#This Row],[Norm (m2/uur) weekend]],0)</f>
        <v>0</v>
      </c>
      <c r="AD444" s="155">
        <f>Ruimtestaat[[#This Row],[uren / jaar weekend]]*Tariefsopbouw!$D$40</f>
        <v>0</v>
      </c>
      <c r="AE444" s="154">
        <f>Ruimtestaat[[#This Row],[Prest. (m2 /jaar) weekend]]+Ruimtestaat[[#This Row],[Prest. (m2 /jaar) werkdagen]]</f>
        <v>2646</v>
      </c>
      <c r="AF444" s="154">
        <f>Ruimtestaat[[#This Row],[uren / jaar weekend]]+Ruimtestaat[[#This Row],[uren / jaar werkdagen]]</f>
        <v>0</v>
      </c>
      <c r="AG444" s="69">
        <f>Ruimtestaat[[#This Row],[kosten / jaar weekend]]+Ruimtestaat[[#This Row],[kosten / jaar werkdagen]]</f>
        <v>0</v>
      </c>
      <c r="AH444" s="69"/>
      <c r="AI444" s="256" t="str">
        <f>IF(Ruimtestaat[[#This Row],[Frequentie werkdagen]]="","",_xlfn.CONCAT(Ruimtestaat[[#This Row],[Ruimte code]],"-",Ruimtestaat[[#This Row],[Frequentie werkdagen]]," ",Ruimtestaat[[#This Row],[Vloer code]]))</f>
        <v>2-3w P</v>
      </c>
      <c r="AJ444" s="300" t="str">
        <f>_xlfn.IFNA(VLOOKUP($AI444,Programma!$F$3:$G$1107,2,0),"")</f>
        <v>_</v>
      </c>
      <c r="AK444" s="300" t="str">
        <f>_xlfn.IFNA(VLOOKUP($AI444,Programma!$F$3:$H$1107,3,0),"")</f>
        <v>_</v>
      </c>
      <c r="AL444" s="300" t="str">
        <f>_xlfn.IFNA(VLOOKUP($AI444,Programma!$F$3:$I$1107,4,0),"")</f>
        <v>2w</v>
      </c>
      <c r="AM444" s="300" t="str">
        <f>_xlfn.IFNA(VLOOKUP($AI444,Programma!$F$3:$J$1107,5,0),"")</f>
        <v>1w</v>
      </c>
      <c r="AN444" s="300" t="str">
        <f>_xlfn.IFNA(VLOOKUP($AI444,Programma!$F$3:$K$1107,6,0),"")</f>
        <v>1j</v>
      </c>
      <c r="AO444" s="300" t="str">
        <f>_xlfn.IFNA(VLOOKUP($AI444,Programma!$F$3:$L$1107,7,0),"")</f>
        <v>_</v>
      </c>
      <c r="AP444" s="300" t="str">
        <f>_xlfn.IFNA(VLOOKUP($AI444,Programma!$F$3:$M$1107,8,0),"")</f>
        <v>_</v>
      </c>
      <c r="AQ444" s="300" t="str">
        <f>_xlfn.IFNA(VLOOKUP($AI444,Programma!$F$3:$N$1107,9,0),"")</f>
        <v>_</v>
      </c>
      <c r="AR444" s="300" t="str">
        <f>_xlfn.IFNA(VLOOKUP($AI444,Programma!$F$3:$O$1107,10,0),"")</f>
        <v>3w</v>
      </c>
      <c r="AS444" s="300" t="str">
        <f>_xlfn.IFNA(VLOOKUP($AI444,Programma!$F$3:$P$1107,11,0),"")</f>
        <v>3w</v>
      </c>
      <c r="AT444" s="300" t="str">
        <f>_xlfn.IFNA(VLOOKUP($AI444,Programma!$F$3:$Q$1107,12,0),"")</f>
        <v>1w</v>
      </c>
      <c r="AU444" s="300" t="str">
        <f>_xlfn.IFNA(VLOOKUP($AI444,Programma!$F$3:$R$1107,13,0),"")</f>
        <v>1w</v>
      </c>
      <c r="AV444" s="300" t="str">
        <f>_xlfn.IFNA(VLOOKUP($AI444,Programma!$F$3:$S$1107,14,0),"")</f>
        <v>1m</v>
      </c>
      <c r="AW444" s="300" t="str">
        <f>_xlfn.IFNA(VLOOKUP($AI444,Programma!$F$3:$T$1107,15,0),"")</f>
        <v>2j</v>
      </c>
      <c r="AX444" s="300" t="str">
        <f>_xlfn.IFNA(VLOOKUP($AI444,Programma!$F$3:$U$1107,16,0),"")</f>
        <v>1j</v>
      </c>
      <c r="AY444" s="300" t="str">
        <f>_xlfn.IFNA(VLOOKUP($AI444,Programma!$F$3:$V$1107,17,0),"")</f>
        <v>_</v>
      </c>
      <c r="AZ444" s="300" t="str">
        <f>_xlfn.IFNA(VLOOKUP($AI444,Programma!$F$3:$W$1107,18,0),"")</f>
        <v>_</v>
      </c>
      <c r="BA444" s="300" t="str">
        <f>_xlfn.IFNA(VLOOKUP($AI444,Programma!$F$3:$X$1107,19,0),"")</f>
        <v>_</v>
      </c>
      <c r="BB444" s="300" t="str">
        <f>_xlfn.IFNA(VLOOKUP($AI444,Programma!$F$3:$Y$1107,20,0),"")</f>
        <v>_</v>
      </c>
      <c r="BC444" s="257"/>
      <c r="BD444" s="256" t="str">
        <f>IF(Ruimtestaat[[#This Row],[Frequentie weekend]]="","",_xlfn.CONCAT(Ruimtestaat[[#This Row],[Ruimte code]],"-",Ruimtestaat[[#This Row],[Frequentie weekend]]," ",Ruimtestaat[[#This Row],[Vloer code]]))</f>
        <v/>
      </c>
      <c r="BE444" s="300" t="str">
        <f>_xlfn.IFNA(VLOOKUP($BD444,Programma!$F$3:$G$1107,2,0),"")</f>
        <v/>
      </c>
      <c r="BF444" s="300" t="str">
        <f>_xlfn.IFNA(VLOOKUP($BD444,Programma!$F$3:$H$1107,3,0),"")</f>
        <v/>
      </c>
      <c r="BG444" s="300" t="str">
        <f>_xlfn.IFNA(VLOOKUP($BD444,Programma!$F$3:$I$1107,4,0),"")</f>
        <v/>
      </c>
      <c r="BH444" s="300" t="str">
        <f>_xlfn.IFNA(VLOOKUP($BD444,Programma!$F$3:$J$1107,5,0),"")</f>
        <v/>
      </c>
      <c r="BI444" s="300" t="str">
        <f>_xlfn.IFNA(VLOOKUP($BD444,Programma!$F$3:$K$1107,6,0),"")</f>
        <v/>
      </c>
      <c r="BJ444" s="300" t="str">
        <f>_xlfn.IFNA(VLOOKUP($BD444,Programma!$F$3:$L$1107,7,0),"")</f>
        <v/>
      </c>
      <c r="BK444" s="300" t="str">
        <f>_xlfn.IFNA(VLOOKUP($BD444,Programma!$F$3:$M$1107,8,0),"")</f>
        <v/>
      </c>
      <c r="BL444" s="300" t="str">
        <f>_xlfn.IFNA(VLOOKUP($BD444,Programma!$F$3:$N$1107,9,0),"")</f>
        <v/>
      </c>
      <c r="BM444" s="300" t="str">
        <f>_xlfn.IFNA(VLOOKUP($BD444,Programma!$F$3:$O$1107,10,0),"")</f>
        <v/>
      </c>
      <c r="BN444" s="300" t="str">
        <f>_xlfn.IFNA(VLOOKUP($BD444,Programma!$F$3:$P$1107,11,0),"")</f>
        <v/>
      </c>
      <c r="BO444" s="300" t="str">
        <f>_xlfn.IFNA(VLOOKUP($BD444,Programma!$F$3:$Q$1107,12,0),"")</f>
        <v/>
      </c>
      <c r="BP444" s="300" t="str">
        <f>_xlfn.IFNA(VLOOKUP($BD444,Programma!$F$3:$R$1107,13,0),"")</f>
        <v/>
      </c>
      <c r="BQ444" s="300" t="str">
        <f>_xlfn.IFNA(VLOOKUP($BD444,Programma!$F$3:$S$1107,14,0),"")</f>
        <v/>
      </c>
      <c r="BR444" s="300" t="str">
        <f>_xlfn.IFNA(VLOOKUP($BD444,Programma!$F$3:$T$1107,15,0),"")</f>
        <v/>
      </c>
      <c r="BS444" s="300" t="str">
        <f>_xlfn.IFNA(VLOOKUP($BD444,Programma!$F$3:$U$1107,16,0),"")</f>
        <v/>
      </c>
      <c r="BT444" s="300" t="str">
        <f>_xlfn.IFNA(VLOOKUP($BD444,Programma!$F$3:$V$1107,17,0),"")</f>
        <v/>
      </c>
      <c r="BU444" s="300" t="str">
        <f>_xlfn.IFNA(VLOOKUP($BD444,Programma!$F$3:$W$1107,18,0),"")</f>
        <v/>
      </c>
      <c r="BV444" s="300" t="str">
        <f>_xlfn.IFNA(VLOOKUP($BD444,Programma!$F$3:$X$1107,19,0),"")</f>
        <v/>
      </c>
      <c r="BW444" s="300" t="str">
        <f>_xlfn.IFNA(VLOOKUP($BD444,Programma!$F$3:$Y$1107,20,0),"")</f>
        <v/>
      </c>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c r="GK444" s="4"/>
      <c r="GL444" s="4"/>
      <c r="GM444" s="4"/>
      <c r="GN444" s="4"/>
      <c r="GO444" s="4"/>
      <c r="GP444" s="4"/>
      <c r="GQ444" s="4"/>
      <c r="GR444" s="4"/>
      <c r="GS444" s="4"/>
      <c r="GT444" s="4"/>
      <c r="GU444" s="4"/>
      <c r="GV444" s="4"/>
      <c r="GW444" s="4"/>
      <c r="GX444" s="4"/>
      <c r="GY444" s="4"/>
      <c r="GZ444" s="4"/>
      <c r="HA444" s="4"/>
      <c r="HB444" s="4"/>
      <c r="HC444" s="4"/>
      <c r="HD444" s="4"/>
      <c r="HE444" s="4"/>
      <c r="HF444" s="4"/>
      <c r="HG444" s="4"/>
      <c r="HH444" s="4"/>
      <c r="HI444" s="4"/>
      <c r="HJ444" s="4"/>
      <c r="HK444" s="4"/>
      <c r="HL444" s="4"/>
    </row>
    <row r="445" spans="1:220" ht="15" customHeight="1">
      <c r="A445" s="21">
        <v>6</v>
      </c>
      <c r="B445" s="157" t="str">
        <f>VLOOKUP(Ruimtestaat[[#This Row],[Code]],Locaties[[Code]:[Locatie]],2,FALSE)</f>
        <v>Veurs Lyceum</v>
      </c>
      <c r="C445" s="157" t="str">
        <f>VLOOKUP(Ruimtestaat[[#This Row],[Code]],Locaties[[#All],[Code]:[Adres]],4,FALSE)</f>
        <v>Burg. Kolfschotenlaan 5</v>
      </c>
      <c r="D445" s="157" t="str">
        <f>VLOOKUP(Ruimtestaat[[#This Row],[Code]],Locaties[[#All],[Code]:[Postcode]],5,FALSE)</f>
        <v xml:space="preserve">2262 EZ </v>
      </c>
      <c r="E445" s="157" t="str">
        <f>VLOOKUP(Ruimtestaat[[#This Row],[Code]],Locaties[#All],6,FALSE)</f>
        <v>Leidschendam</v>
      </c>
      <c r="F445" s="62"/>
      <c r="G445" s="21" t="s">
        <v>1632</v>
      </c>
      <c r="I445" s="62" t="s">
        <v>2081</v>
      </c>
      <c r="J445" s="21">
        <v>2</v>
      </c>
      <c r="K445" s="62" t="str">
        <f>VLOOKUP(Ruimtestaat[[#This Row],[Ruimte code]],Ruimtegroepen[[#All],[Code]:[Ruimte omschrijving]],2,FALSE)</f>
        <v>Kantoren</v>
      </c>
      <c r="L445" s="33" t="s">
        <v>103</v>
      </c>
      <c r="M445" s="367" t="s">
        <v>121</v>
      </c>
      <c r="N445" s="140">
        <v>21</v>
      </c>
      <c r="O445" s="140"/>
      <c r="P445" s="125" t="str">
        <f>VLOOKUP(Ruimtestaat[[#This Row],[Ruimte code]],Ruimtegroepen[],4,FALSE)</f>
        <v>Bu</v>
      </c>
      <c r="R445" s="33">
        <v>40</v>
      </c>
      <c r="S445" s="33" t="s">
        <v>18</v>
      </c>
      <c r="T445" s="33">
        <f>IF(R445&gt;0,IF(RIGHT(Ruimtestaat[[#This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445" s="33">
        <f>IF(T445&gt;0,VLOOKUP($J445,Ruimtegroepen[],3,FALSE)*VLOOKUP($L445,Vloersoorten[],3,FALSE)*VLOOKUP($S445,Frequenties[],3,FALSE)*VLOOKUP($A445,Locaties[],3,FALSE),0)</f>
        <v>0</v>
      </c>
      <c r="V445" s="33">
        <f>Ruimtestaat[[#This Row],[Uitvoeringen werkdagen]]*Ruimtestaat[[#This Row],[Oppervlak (netto)]]</f>
        <v>2520</v>
      </c>
      <c r="W445" s="154">
        <f>IF(U445&gt;0,Ruimtestaat[[#This Row],[Prest. (m2 /jaar) werkdagen]]/Ruimtestaat[[#This Row],[Norm (m2/uur) werkdagen]],0)</f>
        <v>0</v>
      </c>
      <c r="X445" s="155">
        <f>Ruimtestaat[[#This Row],[uren / jaar werkdagen]]*Tariefsopbouw!$E$35</f>
        <v>0</v>
      </c>
      <c r="Y445" s="33"/>
      <c r="Z445" s="33">
        <f>IF(Ruimtestaat[[#This Row],[Frequentie weekend]]&gt;0,VALUE(LEFT(Y445,1))*R445,0)</f>
        <v>0</v>
      </c>
      <c r="AA445" s="97">
        <f>IF($Z445&gt;0,VLOOKUP($J445,Ruimtegroepen[],3,FALSE)*VLOOKUP($L445,Vloersoorten[],3,FALSE)*VLOOKUP($Y445,Frequenties[],3,FALSE)*VLOOKUP(Ruimtestaat[[#This Row],[Code]],Locaties[],3,FALSE),0)</f>
        <v>0</v>
      </c>
      <c r="AB445" s="97">
        <f>Ruimtestaat[[#This Row],[Uitvoeringen weekend]]*Ruimtestaat[[#This Row],[Oppervlak (netto)]]</f>
        <v>0</v>
      </c>
      <c r="AC445" s="97">
        <f>IF(AA445&gt;0,Ruimtestaat[[#This Row],[Prest. (m2 /jaar) weekend]]/Ruimtestaat[[#This Row],[Norm (m2/uur) weekend]],0)</f>
        <v>0</v>
      </c>
      <c r="AD445" s="155">
        <f>Ruimtestaat[[#This Row],[uren / jaar weekend]]*Tariefsopbouw!$D$40</f>
        <v>0</v>
      </c>
      <c r="AE445" s="154">
        <f>Ruimtestaat[[#This Row],[Prest. (m2 /jaar) weekend]]+Ruimtestaat[[#This Row],[Prest. (m2 /jaar) werkdagen]]</f>
        <v>2520</v>
      </c>
      <c r="AF445" s="154">
        <f>Ruimtestaat[[#This Row],[uren / jaar weekend]]+Ruimtestaat[[#This Row],[uren / jaar werkdagen]]</f>
        <v>0</v>
      </c>
      <c r="AG445" s="69">
        <f>Ruimtestaat[[#This Row],[kosten / jaar weekend]]+Ruimtestaat[[#This Row],[kosten / jaar werkdagen]]</f>
        <v>0</v>
      </c>
      <c r="AH445" s="69"/>
      <c r="AI445" s="256" t="str">
        <f>IF(Ruimtestaat[[#This Row],[Frequentie werkdagen]]="","",_xlfn.CONCAT(Ruimtestaat[[#This Row],[Ruimte code]],"-",Ruimtestaat[[#This Row],[Frequentie werkdagen]]," ",Ruimtestaat[[#This Row],[Vloer code]]))</f>
        <v>2-3w P</v>
      </c>
      <c r="AJ445" s="300" t="str">
        <f>_xlfn.IFNA(VLOOKUP($AI445,Programma!$F$3:$G$1107,2,0),"")</f>
        <v>_</v>
      </c>
      <c r="AK445" s="300" t="str">
        <f>_xlfn.IFNA(VLOOKUP($AI445,Programma!$F$3:$H$1107,3,0),"")</f>
        <v>_</v>
      </c>
      <c r="AL445" s="300" t="str">
        <f>_xlfn.IFNA(VLOOKUP($AI445,Programma!$F$3:$I$1107,4,0),"")</f>
        <v>2w</v>
      </c>
      <c r="AM445" s="300" t="str">
        <f>_xlfn.IFNA(VLOOKUP($AI445,Programma!$F$3:$J$1107,5,0),"")</f>
        <v>1w</v>
      </c>
      <c r="AN445" s="300" t="str">
        <f>_xlfn.IFNA(VLOOKUP($AI445,Programma!$F$3:$K$1107,6,0),"")</f>
        <v>1j</v>
      </c>
      <c r="AO445" s="300" t="str">
        <f>_xlfn.IFNA(VLOOKUP($AI445,Programma!$F$3:$L$1107,7,0),"")</f>
        <v>_</v>
      </c>
      <c r="AP445" s="300" t="str">
        <f>_xlfn.IFNA(VLOOKUP($AI445,Programma!$F$3:$M$1107,8,0),"")</f>
        <v>_</v>
      </c>
      <c r="AQ445" s="300" t="str">
        <f>_xlfn.IFNA(VLOOKUP($AI445,Programma!$F$3:$N$1107,9,0),"")</f>
        <v>_</v>
      </c>
      <c r="AR445" s="300" t="str">
        <f>_xlfn.IFNA(VLOOKUP($AI445,Programma!$F$3:$O$1107,10,0),"")</f>
        <v>3w</v>
      </c>
      <c r="AS445" s="300" t="str">
        <f>_xlfn.IFNA(VLOOKUP($AI445,Programma!$F$3:$P$1107,11,0),"")</f>
        <v>3w</v>
      </c>
      <c r="AT445" s="300" t="str">
        <f>_xlfn.IFNA(VLOOKUP($AI445,Programma!$F$3:$Q$1107,12,0),"")</f>
        <v>1w</v>
      </c>
      <c r="AU445" s="300" t="str">
        <f>_xlfn.IFNA(VLOOKUP($AI445,Programma!$F$3:$R$1107,13,0),"")</f>
        <v>1w</v>
      </c>
      <c r="AV445" s="300" t="str">
        <f>_xlfn.IFNA(VLOOKUP($AI445,Programma!$F$3:$S$1107,14,0),"")</f>
        <v>1m</v>
      </c>
      <c r="AW445" s="300" t="str">
        <f>_xlfn.IFNA(VLOOKUP($AI445,Programma!$F$3:$T$1107,15,0),"")</f>
        <v>2j</v>
      </c>
      <c r="AX445" s="300" t="str">
        <f>_xlfn.IFNA(VLOOKUP($AI445,Programma!$F$3:$U$1107,16,0),"")</f>
        <v>1j</v>
      </c>
      <c r="AY445" s="300" t="str">
        <f>_xlfn.IFNA(VLOOKUP($AI445,Programma!$F$3:$V$1107,17,0),"")</f>
        <v>_</v>
      </c>
      <c r="AZ445" s="300" t="str">
        <f>_xlfn.IFNA(VLOOKUP($AI445,Programma!$F$3:$W$1107,18,0),"")</f>
        <v>_</v>
      </c>
      <c r="BA445" s="300" t="str">
        <f>_xlfn.IFNA(VLOOKUP($AI445,Programma!$F$3:$X$1107,19,0),"")</f>
        <v>_</v>
      </c>
      <c r="BB445" s="300" t="str">
        <f>_xlfn.IFNA(VLOOKUP($AI445,Programma!$F$3:$Y$1107,20,0),"")</f>
        <v>_</v>
      </c>
      <c r="BC445" s="257"/>
      <c r="BD445" s="256" t="str">
        <f>IF(Ruimtestaat[[#This Row],[Frequentie weekend]]="","",_xlfn.CONCAT(Ruimtestaat[[#This Row],[Ruimte code]],"-",Ruimtestaat[[#This Row],[Frequentie weekend]]," ",Ruimtestaat[[#This Row],[Vloer code]]))</f>
        <v/>
      </c>
      <c r="BE445" s="300" t="str">
        <f>_xlfn.IFNA(VLOOKUP($BD445,Programma!$F$3:$G$1107,2,0),"")</f>
        <v/>
      </c>
      <c r="BF445" s="300" t="str">
        <f>_xlfn.IFNA(VLOOKUP($BD445,Programma!$F$3:$H$1107,3,0),"")</f>
        <v/>
      </c>
      <c r="BG445" s="300" t="str">
        <f>_xlfn.IFNA(VLOOKUP($BD445,Programma!$F$3:$I$1107,4,0),"")</f>
        <v/>
      </c>
      <c r="BH445" s="300" t="str">
        <f>_xlfn.IFNA(VLOOKUP($BD445,Programma!$F$3:$J$1107,5,0),"")</f>
        <v/>
      </c>
      <c r="BI445" s="300" t="str">
        <f>_xlfn.IFNA(VLOOKUP($BD445,Programma!$F$3:$K$1107,6,0),"")</f>
        <v/>
      </c>
      <c r="BJ445" s="300" t="str">
        <f>_xlfn.IFNA(VLOOKUP($BD445,Programma!$F$3:$L$1107,7,0),"")</f>
        <v/>
      </c>
      <c r="BK445" s="300" t="str">
        <f>_xlfn.IFNA(VLOOKUP($BD445,Programma!$F$3:$M$1107,8,0),"")</f>
        <v/>
      </c>
      <c r="BL445" s="300" t="str">
        <f>_xlfn.IFNA(VLOOKUP($BD445,Programma!$F$3:$N$1107,9,0),"")</f>
        <v/>
      </c>
      <c r="BM445" s="300" t="str">
        <f>_xlfn.IFNA(VLOOKUP($BD445,Programma!$F$3:$O$1107,10,0),"")</f>
        <v/>
      </c>
      <c r="BN445" s="300" t="str">
        <f>_xlfn.IFNA(VLOOKUP($BD445,Programma!$F$3:$P$1107,11,0),"")</f>
        <v/>
      </c>
      <c r="BO445" s="300" t="str">
        <f>_xlfn.IFNA(VLOOKUP($BD445,Programma!$F$3:$Q$1107,12,0),"")</f>
        <v/>
      </c>
      <c r="BP445" s="300" t="str">
        <f>_xlfn.IFNA(VLOOKUP($BD445,Programma!$F$3:$R$1107,13,0),"")</f>
        <v/>
      </c>
      <c r="BQ445" s="300" t="str">
        <f>_xlfn.IFNA(VLOOKUP($BD445,Programma!$F$3:$S$1107,14,0),"")</f>
        <v/>
      </c>
      <c r="BR445" s="300" t="str">
        <f>_xlfn.IFNA(VLOOKUP($BD445,Programma!$F$3:$T$1107,15,0),"")</f>
        <v/>
      </c>
      <c r="BS445" s="300" t="str">
        <f>_xlfn.IFNA(VLOOKUP($BD445,Programma!$F$3:$U$1107,16,0),"")</f>
        <v/>
      </c>
      <c r="BT445" s="300" t="str">
        <f>_xlfn.IFNA(VLOOKUP($BD445,Programma!$F$3:$V$1107,17,0),"")</f>
        <v/>
      </c>
      <c r="BU445" s="300" t="str">
        <f>_xlfn.IFNA(VLOOKUP($BD445,Programma!$F$3:$W$1107,18,0),"")</f>
        <v/>
      </c>
      <c r="BV445" s="300" t="str">
        <f>_xlfn.IFNA(VLOOKUP($BD445,Programma!$F$3:$X$1107,19,0),"")</f>
        <v/>
      </c>
      <c r="BW445" s="300" t="str">
        <f>_xlfn.IFNA(VLOOKUP($BD445,Programma!$F$3:$Y$1107,20,0),"")</f>
        <v/>
      </c>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c r="GK445" s="4"/>
      <c r="GL445" s="4"/>
      <c r="GM445" s="4"/>
      <c r="GN445" s="4"/>
      <c r="GO445" s="4"/>
      <c r="GP445" s="4"/>
      <c r="GQ445" s="4"/>
      <c r="GR445" s="4"/>
      <c r="GS445" s="4"/>
      <c r="GT445" s="4"/>
      <c r="GU445" s="4"/>
      <c r="GV445" s="4"/>
      <c r="GW445" s="4"/>
      <c r="GX445" s="4"/>
      <c r="GY445" s="4"/>
      <c r="GZ445" s="4"/>
      <c r="HA445" s="4"/>
      <c r="HB445" s="4"/>
      <c r="HC445" s="4"/>
      <c r="HD445" s="4"/>
      <c r="HE445" s="4"/>
      <c r="HF445" s="4"/>
      <c r="HG445" s="4"/>
      <c r="HH445" s="4"/>
      <c r="HI445" s="4"/>
      <c r="HJ445" s="4"/>
      <c r="HK445" s="4"/>
      <c r="HL445" s="4"/>
    </row>
    <row r="446" spans="1:220" ht="15" customHeight="1">
      <c r="A446" s="21">
        <v>6</v>
      </c>
      <c r="B446" s="157" t="str">
        <f>VLOOKUP(Ruimtestaat[[#This Row],[Code]],Locaties[[Code]:[Locatie]],2,FALSE)</f>
        <v>Veurs Lyceum</v>
      </c>
      <c r="C446" s="157" t="str">
        <f>VLOOKUP(Ruimtestaat[[#This Row],[Code]],Locaties[[#All],[Code]:[Adres]],4,FALSE)</f>
        <v>Burg. Kolfschotenlaan 5</v>
      </c>
      <c r="D446" s="157" t="str">
        <f>VLOOKUP(Ruimtestaat[[#This Row],[Code]],Locaties[[#All],[Code]:[Postcode]],5,FALSE)</f>
        <v xml:space="preserve">2262 EZ </v>
      </c>
      <c r="E446" s="157" t="str">
        <f>VLOOKUP(Ruimtestaat[[#This Row],[Code]],Locaties[#All],6,FALSE)</f>
        <v>Leidschendam</v>
      </c>
      <c r="F446" s="62"/>
      <c r="G446" s="21" t="s">
        <v>1632</v>
      </c>
      <c r="H446" s="21">
        <v>21</v>
      </c>
      <c r="I446" s="62" t="s">
        <v>2082</v>
      </c>
      <c r="J446" s="21">
        <v>2</v>
      </c>
      <c r="K446" s="62" t="str">
        <f>VLOOKUP(Ruimtestaat[[#This Row],[Ruimte code]],Ruimtegroepen[[#All],[Code]:[Ruimte omschrijving]],2,FALSE)</f>
        <v>Kantoren</v>
      </c>
      <c r="L446" s="33" t="s">
        <v>103</v>
      </c>
      <c r="M446" s="367" t="s">
        <v>121</v>
      </c>
      <c r="N446" s="140">
        <v>21</v>
      </c>
      <c r="O446" s="140"/>
      <c r="P446" s="125" t="str">
        <f>VLOOKUP(Ruimtestaat[[#This Row],[Ruimte code]],Ruimtegroepen[],4,FALSE)</f>
        <v>Bu</v>
      </c>
      <c r="R446" s="33">
        <v>42</v>
      </c>
      <c r="S446" s="33" t="s">
        <v>18</v>
      </c>
      <c r="T446" s="33">
        <f>IF(R446&gt;0,IF(RIGHT(Ruimtestaat[[#This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46" s="33">
        <f>IF(T446&gt;0,VLOOKUP($J446,Ruimtegroepen[],3,FALSE)*VLOOKUP($L446,Vloersoorten[],3,FALSE)*VLOOKUP($S446,Frequenties[],3,FALSE)*VLOOKUP($A446,Locaties[],3,FALSE),0)</f>
        <v>0</v>
      </c>
      <c r="V446" s="33">
        <f>Ruimtestaat[[#This Row],[Uitvoeringen werkdagen]]*Ruimtestaat[[#This Row],[Oppervlak (netto)]]</f>
        <v>2646</v>
      </c>
      <c r="W446" s="154">
        <f>IF(U446&gt;0,Ruimtestaat[[#This Row],[Prest. (m2 /jaar) werkdagen]]/Ruimtestaat[[#This Row],[Norm (m2/uur) werkdagen]],0)</f>
        <v>0</v>
      </c>
      <c r="X446" s="155">
        <f>Ruimtestaat[[#This Row],[uren / jaar werkdagen]]*Tariefsopbouw!$E$35</f>
        <v>0</v>
      </c>
      <c r="Y446" s="33"/>
      <c r="Z446" s="33">
        <f>IF(Ruimtestaat[[#This Row],[Frequentie weekend]]&gt;0,VALUE(LEFT(Y446,1))*R446,0)</f>
        <v>0</v>
      </c>
      <c r="AA446" s="97">
        <f>IF($Z446&gt;0,VLOOKUP($J446,Ruimtegroepen[],3,FALSE)*VLOOKUP($L446,Vloersoorten[],3,FALSE)*VLOOKUP($Y446,Frequenties[],3,FALSE)*VLOOKUP(Ruimtestaat[[#This Row],[Code]],Locaties[],3,FALSE),0)</f>
        <v>0</v>
      </c>
      <c r="AB446" s="97">
        <f>Ruimtestaat[[#This Row],[Uitvoeringen weekend]]*Ruimtestaat[[#This Row],[Oppervlak (netto)]]</f>
        <v>0</v>
      </c>
      <c r="AC446" s="97">
        <f>IF(AA446&gt;0,Ruimtestaat[[#This Row],[Prest. (m2 /jaar) weekend]]/Ruimtestaat[[#This Row],[Norm (m2/uur) weekend]],0)</f>
        <v>0</v>
      </c>
      <c r="AD446" s="155">
        <f>Ruimtestaat[[#This Row],[uren / jaar weekend]]*Tariefsopbouw!$D$40</f>
        <v>0</v>
      </c>
      <c r="AE446" s="154">
        <f>Ruimtestaat[[#This Row],[Prest. (m2 /jaar) weekend]]+Ruimtestaat[[#This Row],[Prest. (m2 /jaar) werkdagen]]</f>
        <v>2646</v>
      </c>
      <c r="AF446" s="154">
        <f>Ruimtestaat[[#This Row],[uren / jaar weekend]]+Ruimtestaat[[#This Row],[uren / jaar werkdagen]]</f>
        <v>0</v>
      </c>
      <c r="AG446" s="69">
        <f>Ruimtestaat[[#This Row],[kosten / jaar weekend]]+Ruimtestaat[[#This Row],[kosten / jaar werkdagen]]</f>
        <v>0</v>
      </c>
      <c r="AH446" s="69"/>
      <c r="AI446" s="256" t="str">
        <f>IF(Ruimtestaat[[#This Row],[Frequentie werkdagen]]="","",_xlfn.CONCAT(Ruimtestaat[[#This Row],[Ruimte code]],"-",Ruimtestaat[[#This Row],[Frequentie werkdagen]]," ",Ruimtestaat[[#This Row],[Vloer code]]))</f>
        <v>2-3w P</v>
      </c>
      <c r="AJ446" s="300" t="str">
        <f>_xlfn.IFNA(VLOOKUP($AI446,Programma!$F$3:$G$1107,2,0),"")</f>
        <v>_</v>
      </c>
      <c r="AK446" s="300" t="str">
        <f>_xlfn.IFNA(VLOOKUP($AI446,Programma!$F$3:$H$1107,3,0),"")</f>
        <v>_</v>
      </c>
      <c r="AL446" s="300" t="str">
        <f>_xlfn.IFNA(VLOOKUP($AI446,Programma!$F$3:$I$1107,4,0),"")</f>
        <v>2w</v>
      </c>
      <c r="AM446" s="300" t="str">
        <f>_xlfn.IFNA(VLOOKUP($AI446,Programma!$F$3:$J$1107,5,0),"")</f>
        <v>1w</v>
      </c>
      <c r="AN446" s="300" t="str">
        <f>_xlfn.IFNA(VLOOKUP($AI446,Programma!$F$3:$K$1107,6,0),"")</f>
        <v>1j</v>
      </c>
      <c r="AO446" s="300" t="str">
        <f>_xlfn.IFNA(VLOOKUP($AI446,Programma!$F$3:$L$1107,7,0),"")</f>
        <v>_</v>
      </c>
      <c r="AP446" s="300" t="str">
        <f>_xlfn.IFNA(VLOOKUP($AI446,Programma!$F$3:$M$1107,8,0),"")</f>
        <v>_</v>
      </c>
      <c r="AQ446" s="300" t="str">
        <f>_xlfn.IFNA(VLOOKUP($AI446,Programma!$F$3:$N$1107,9,0),"")</f>
        <v>_</v>
      </c>
      <c r="AR446" s="300" t="str">
        <f>_xlfn.IFNA(VLOOKUP($AI446,Programma!$F$3:$O$1107,10,0),"")</f>
        <v>3w</v>
      </c>
      <c r="AS446" s="300" t="str">
        <f>_xlfn.IFNA(VLOOKUP($AI446,Programma!$F$3:$P$1107,11,0),"")</f>
        <v>3w</v>
      </c>
      <c r="AT446" s="300" t="str">
        <f>_xlfn.IFNA(VLOOKUP($AI446,Programma!$F$3:$Q$1107,12,0),"")</f>
        <v>1w</v>
      </c>
      <c r="AU446" s="300" t="str">
        <f>_xlfn.IFNA(VLOOKUP($AI446,Programma!$F$3:$R$1107,13,0),"")</f>
        <v>1w</v>
      </c>
      <c r="AV446" s="300" t="str">
        <f>_xlfn.IFNA(VLOOKUP($AI446,Programma!$F$3:$S$1107,14,0),"")</f>
        <v>1m</v>
      </c>
      <c r="AW446" s="300" t="str">
        <f>_xlfn.IFNA(VLOOKUP($AI446,Programma!$F$3:$T$1107,15,0),"")</f>
        <v>2j</v>
      </c>
      <c r="AX446" s="300" t="str">
        <f>_xlfn.IFNA(VLOOKUP($AI446,Programma!$F$3:$U$1107,16,0),"")</f>
        <v>1j</v>
      </c>
      <c r="AY446" s="300" t="str">
        <f>_xlfn.IFNA(VLOOKUP($AI446,Programma!$F$3:$V$1107,17,0),"")</f>
        <v>_</v>
      </c>
      <c r="AZ446" s="300" t="str">
        <f>_xlfn.IFNA(VLOOKUP($AI446,Programma!$F$3:$W$1107,18,0),"")</f>
        <v>_</v>
      </c>
      <c r="BA446" s="300" t="str">
        <f>_xlfn.IFNA(VLOOKUP($AI446,Programma!$F$3:$X$1107,19,0),"")</f>
        <v>_</v>
      </c>
      <c r="BB446" s="300" t="str">
        <f>_xlfn.IFNA(VLOOKUP($AI446,Programma!$F$3:$Y$1107,20,0),"")</f>
        <v>_</v>
      </c>
      <c r="BC446" s="257"/>
      <c r="BD446" s="256" t="str">
        <f>IF(Ruimtestaat[[#This Row],[Frequentie weekend]]="","",_xlfn.CONCAT(Ruimtestaat[[#This Row],[Ruimte code]],"-",Ruimtestaat[[#This Row],[Frequentie weekend]]," ",Ruimtestaat[[#This Row],[Vloer code]]))</f>
        <v/>
      </c>
      <c r="BE446" s="300" t="str">
        <f>_xlfn.IFNA(VLOOKUP($BD446,Programma!$F$3:$G$1107,2,0),"")</f>
        <v/>
      </c>
      <c r="BF446" s="300" t="str">
        <f>_xlfn.IFNA(VLOOKUP($BD446,Programma!$F$3:$H$1107,3,0),"")</f>
        <v/>
      </c>
      <c r="BG446" s="300" t="str">
        <f>_xlfn.IFNA(VLOOKUP($BD446,Programma!$F$3:$I$1107,4,0),"")</f>
        <v/>
      </c>
      <c r="BH446" s="300" t="str">
        <f>_xlfn.IFNA(VLOOKUP($BD446,Programma!$F$3:$J$1107,5,0),"")</f>
        <v/>
      </c>
      <c r="BI446" s="300" t="str">
        <f>_xlfn.IFNA(VLOOKUP($BD446,Programma!$F$3:$K$1107,6,0),"")</f>
        <v/>
      </c>
      <c r="BJ446" s="300" t="str">
        <f>_xlfn.IFNA(VLOOKUP($BD446,Programma!$F$3:$L$1107,7,0),"")</f>
        <v/>
      </c>
      <c r="BK446" s="300" t="str">
        <f>_xlfn.IFNA(VLOOKUP($BD446,Programma!$F$3:$M$1107,8,0),"")</f>
        <v/>
      </c>
      <c r="BL446" s="300" t="str">
        <f>_xlfn.IFNA(VLOOKUP($BD446,Programma!$F$3:$N$1107,9,0),"")</f>
        <v/>
      </c>
      <c r="BM446" s="300" t="str">
        <f>_xlfn.IFNA(VLOOKUP($BD446,Programma!$F$3:$O$1107,10,0),"")</f>
        <v/>
      </c>
      <c r="BN446" s="300" t="str">
        <f>_xlfn.IFNA(VLOOKUP($BD446,Programma!$F$3:$P$1107,11,0),"")</f>
        <v/>
      </c>
      <c r="BO446" s="300" t="str">
        <f>_xlfn.IFNA(VLOOKUP($BD446,Programma!$F$3:$Q$1107,12,0),"")</f>
        <v/>
      </c>
      <c r="BP446" s="300" t="str">
        <f>_xlfn.IFNA(VLOOKUP($BD446,Programma!$F$3:$R$1107,13,0),"")</f>
        <v/>
      </c>
      <c r="BQ446" s="300" t="str">
        <f>_xlfn.IFNA(VLOOKUP($BD446,Programma!$F$3:$S$1107,14,0),"")</f>
        <v/>
      </c>
      <c r="BR446" s="300" t="str">
        <f>_xlfn.IFNA(VLOOKUP($BD446,Programma!$F$3:$T$1107,15,0),"")</f>
        <v/>
      </c>
      <c r="BS446" s="300" t="str">
        <f>_xlfn.IFNA(VLOOKUP($BD446,Programma!$F$3:$U$1107,16,0),"")</f>
        <v/>
      </c>
      <c r="BT446" s="300" t="str">
        <f>_xlfn.IFNA(VLOOKUP($BD446,Programma!$F$3:$V$1107,17,0),"")</f>
        <v/>
      </c>
      <c r="BU446" s="300" t="str">
        <f>_xlfn.IFNA(VLOOKUP($BD446,Programma!$F$3:$W$1107,18,0),"")</f>
        <v/>
      </c>
      <c r="BV446" s="300" t="str">
        <f>_xlfn.IFNA(VLOOKUP($BD446,Programma!$F$3:$X$1107,19,0),"")</f>
        <v/>
      </c>
      <c r="BW446" s="300" t="str">
        <f>_xlfn.IFNA(VLOOKUP($BD446,Programma!$F$3:$Y$1107,20,0),"")</f>
        <v/>
      </c>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c r="GK446" s="4"/>
      <c r="GL446" s="4"/>
      <c r="GM446" s="4"/>
      <c r="GN446" s="4"/>
      <c r="GO446" s="4"/>
      <c r="GP446" s="4"/>
      <c r="GQ446" s="4"/>
      <c r="GR446" s="4"/>
      <c r="GS446" s="4"/>
      <c r="GT446" s="4"/>
      <c r="GU446" s="4"/>
      <c r="GV446" s="4"/>
      <c r="GW446" s="4"/>
      <c r="GX446" s="4"/>
      <c r="GY446" s="4"/>
      <c r="GZ446" s="4"/>
      <c r="HA446" s="4"/>
      <c r="HB446" s="4"/>
      <c r="HC446" s="4"/>
      <c r="HD446" s="4"/>
      <c r="HE446" s="4"/>
      <c r="HF446" s="4"/>
      <c r="HG446" s="4"/>
      <c r="HH446" s="4"/>
      <c r="HI446" s="4"/>
      <c r="HJ446" s="4"/>
      <c r="HK446" s="4"/>
      <c r="HL446" s="4"/>
    </row>
    <row r="447" spans="1:220" ht="15" customHeight="1">
      <c r="A447" s="21">
        <v>6</v>
      </c>
      <c r="B447" s="157" t="str">
        <f>VLOOKUP(Ruimtestaat[[#This Row],[Code]],Locaties[[Code]:[Locatie]],2,FALSE)</f>
        <v>Veurs Lyceum</v>
      </c>
      <c r="C447" s="157" t="str">
        <f>VLOOKUP(Ruimtestaat[[#This Row],[Code]],Locaties[[#All],[Code]:[Adres]],4,FALSE)</f>
        <v>Burg. Kolfschotenlaan 5</v>
      </c>
      <c r="D447" s="157" t="str">
        <f>VLOOKUP(Ruimtestaat[[#This Row],[Code]],Locaties[[#All],[Code]:[Postcode]],5,FALSE)</f>
        <v xml:space="preserve">2262 EZ </v>
      </c>
      <c r="E447" s="157" t="str">
        <f>VLOOKUP(Ruimtestaat[[#This Row],[Code]],Locaties[#All],6,FALSE)</f>
        <v>Leidschendam</v>
      </c>
      <c r="F447" s="62"/>
      <c r="G447" s="21" t="s">
        <v>1632</v>
      </c>
      <c r="H447" s="21">
        <v>22</v>
      </c>
      <c r="I447" s="62" t="s">
        <v>2083</v>
      </c>
      <c r="J447" s="21">
        <v>2</v>
      </c>
      <c r="K447" s="62" t="str">
        <f>VLOOKUP(Ruimtestaat[[#This Row],[Ruimte code]],Ruimtegroepen[[#All],[Code]:[Ruimte omschrijving]],2,FALSE)</f>
        <v>Kantoren</v>
      </c>
      <c r="L447" s="33" t="s">
        <v>103</v>
      </c>
      <c r="M447" s="367" t="s">
        <v>121</v>
      </c>
      <c r="N447" s="140">
        <v>21</v>
      </c>
      <c r="O447" s="140"/>
      <c r="P447" s="125" t="str">
        <f>VLOOKUP(Ruimtestaat[[#This Row],[Ruimte code]],Ruimtegroepen[],4,FALSE)</f>
        <v>Bu</v>
      </c>
      <c r="R447" s="33">
        <v>42</v>
      </c>
      <c r="S447" s="33" t="s">
        <v>18</v>
      </c>
      <c r="T447" s="33">
        <f>IF(R447&gt;0,IF(RIGHT(Ruimtestaat[[#This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47" s="33">
        <f>IF(T447&gt;0,VLOOKUP($J447,Ruimtegroepen[],3,FALSE)*VLOOKUP($L447,Vloersoorten[],3,FALSE)*VLOOKUP($S447,Frequenties[],3,FALSE)*VLOOKUP($A447,Locaties[],3,FALSE),0)</f>
        <v>0</v>
      </c>
      <c r="V447" s="33">
        <f>Ruimtestaat[[#This Row],[Uitvoeringen werkdagen]]*Ruimtestaat[[#This Row],[Oppervlak (netto)]]</f>
        <v>2646</v>
      </c>
      <c r="W447" s="154">
        <f>IF(U447&gt;0,Ruimtestaat[[#This Row],[Prest. (m2 /jaar) werkdagen]]/Ruimtestaat[[#This Row],[Norm (m2/uur) werkdagen]],0)</f>
        <v>0</v>
      </c>
      <c r="X447" s="155">
        <f>Ruimtestaat[[#This Row],[uren / jaar werkdagen]]*Tariefsopbouw!$E$35</f>
        <v>0</v>
      </c>
      <c r="Y447" s="33"/>
      <c r="Z447" s="33">
        <f>IF(Ruimtestaat[[#This Row],[Frequentie weekend]]&gt;0,VALUE(LEFT(Y447,1))*R447,0)</f>
        <v>0</v>
      </c>
      <c r="AA447" s="97">
        <f>IF($Z447&gt;0,VLOOKUP($J447,Ruimtegroepen[],3,FALSE)*VLOOKUP($L447,Vloersoorten[],3,FALSE)*VLOOKUP($Y447,Frequenties[],3,FALSE)*VLOOKUP(Ruimtestaat[[#This Row],[Code]],Locaties[],3,FALSE),0)</f>
        <v>0</v>
      </c>
      <c r="AB447" s="97">
        <f>Ruimtestaat[[#This Row],[Uitvoeringen weekend]]*Ruimtestaat[[#This Row],[Oppervlak (netto)]]</f>
        <v>0</v>
      </c>
      <c r="AC447" s="97">
        <f>IF(AA447&gt;0,Ruimtestaat[[#This Row],[Prest. (m2 /jaar) weekend]]/Ruimtestaat[[#This Row],[Norm (m2/uur) weekend]],0)</f>
        <v>0</v>
      </c>
      <c r="AD447" s="155">
        <f>Ruimtestaat[[#This Row],[uren / jaar weekend]]*Tariefsopbouw!$D$40</f>
        <v>0</v>
      </c>
      <c r="AE447" s="154">
        <f>Ruimtestaat[[#This Row],[Prest. (m2 /jaar) weekend]]+Ruimtestaat[[#This Row],[Prest. (m2 /jaar) werkdagen]]</f>
        <v>2646</v>
      </c>
      <c r="AF447" s="154">
        <f>Ruimtestaat[[#This Row],[uren / jaar weekend]]+Ruimtestaat[[#This Row],[uren / jaar werkdagen]]</f>
        <v>0</v>
      </c>
      <c r="AG447" s="69">
        <f>Ruimtestaat[[#This Row],[kosten / jaar weekend]]+Ruimtestaat[[#This Row],[kosten / jaar werkdagen]]</f>
        <v>0</v>
      </c>
      <c r="AH447" s="69"/>
      <c r="AI447" s="256" t="str">
        <f>IF(Ruimtestaat[[#This Row],[Frequentie werkdagen]]="","",_xlfn.CONCAT(Ruimtestaat[[#This Row],[Ruimte code]],"-",Ruimtestaat[[#This Row],[Frequentie werkdagen]]," ",Ruimtestaat[[#This Row],[Vloer code]]))</f>
        <v>2-3w P</v>
      </c>
      <c r="AJ447" s="300" t="str">
        <f>_xlfn.IFNA(VLOOKUP($AI447,Programma!$F$3:$G$1107,2,0),"")</f>
        <v>_</v>
      </c>
      <c r="AK447" s="300" t="str">
        <f>_xlfn.IFNA(VLOOKUP($AI447,Programma!$F$3:$H$1107,3,0),"")</f>
        <v>_</v>
      </c>
      <c r="AL447" s="300" t="str">
        <f>_xlfn.IFNA(VLOOKUP($AI447,Programma!$F$3:$I$1107,4,0),"")</f>
        <v>2w</v>
      </c>
      <c r="AM447" s="300" t="str">
        <f>_xlfn.IFNA(VLOOKUP($AI447,Programma!$F$3:$J$1107,5,0),"")</f>
        <v>1w</v>
      </c>
      <c r="AN447" s="300" t="str">
        <f>_xlfn.IFNA(VLOOKUP($AI447,Programma!$F$3:$K$1107,6,0),"")</f>
        <v>1j</v>
      </c>
      <c r="AO447" s="300" t="str">
        <f>_xlfn.IFNA(VLOOKUP($AI447,Programma!$F$3:$L$1107,7,0),"")</f>
        <v>_</v>
      </c>
      <c r="AP447" s="300" t="str">
        <f>_xlfn.IFNA(VLOOKUP($AI447,Programma!$F$3:$M$1107,8,0),"")</f>
        <v>_</v>
      </c>
      <c r="AQ447" s="300" t="str">
        <f>_xlfn.IFNA(VLOOKUP($AI447,Programma!$F$3:$N$1107,9,0),"")</f>
        <v>_</v>
      </c>
      <c r="AR447" s="300" t="str">
        <f>_xlfn.IFNA(VLOOKUP($AI447,Programma!$F$3:$O$1107,10,0),"")</f>
        <v>3w</v>
      </c>
      <c r="AS447" s="300" t="str">
        <f>_xlfn.IFNA(VLOOKUP($AI447,Programma!$F$3:$P$1107,11,0),"")</f>
        <v>3w</v>
      </c>
      <c r="AT447" s="300" t="str">
        <f>_xlfn.IFNA(VLOOKUP($AI447,Programma!$F$3:$Q$1107,12,0),"")</f>
        <v>1w</v>
      </c>
      <c r="AU447" s="300" t="str">
        <f>_xlfn.IFNA(VLOOKUP($AI447,Programma!$F$3:$R$1107,13,0),"")</f>
        <v>1w</v>
      </c>
      <c r="AV447" s="300" t="str">
        <f>_xlfn.IFNA(VLOOKUP($AI447,Programma!$F$3:$S$1107,14,0),"")</f>
        <v>1m</v>
      </c>
      <c r="AW447" s="300" t="str">
        <f>_xlfn.IFNA(VLOOKUP($AI447,Programma!$F$3:$T$1107,15,0),"")</f>
        <v>2j</v>
      </c>
      <c r="AX447" s="300" t="str">
        <f>_xlfn.IFNA(VLOOKUP($AI447,Programma!$F$3:$U$1107,16,0),"")</f>
        <v>1j</v>
      </c>
      <c r="AY447" s="300" t="str">
        <f>_xlfn.IFNA(VLOOKUP($AI447,Programma!$F$3:$V$1107,17,0),"")</f>
        <v>_</v>
      </c>
      <c r="AZ447" s="300" t="str">
        <f>_xlfn.IFNA(VLOOKUP($AI447,Programma!$F$3:$W$1107,18,0),"")</f>
        <v>_</v>
      </c>
      <c r="BA447" s="300" t="str">
        <f>_xlfn.IFNA(VLOOKUP($AI447,Programma!$F$3:$X$1107,19,0),"")</f>
        <v>_</v>
      </c>
      <c r="BB447" s="300" t="str">
        <f>_xlfn.IFNA(VLOOKUP($AI447,Programma!$F$3:$Y$1107,20,0),"")</f>
        <v>_</v>
      </c>
      <c r="BC447" s="257"/>
      <c r="BD447" s="256" t="str">
        <f>IF(Ruimtestaat[[#This Row],[Frequentie weekend]]="","",_xlfn.CONCAT(Ruimtestaat[[#This Row],[Ruimte code]],"-",Ruimtestaat[[#This Row],[Frequentie weekend]]," ",Ruimtestaat[[#This Row],[Vloer code]]))</f>
        <v/>
      </c>
      <c r="BE447" s="300" t="str">
        <f>_xlfn.IFNA(VLOOKUP($BD447,Programma!$F$3:$G$1107,2,0),"")</f>
        <v/>
      </c>
      <c r="BF447" s="300" t="str">
        <f>_xlfn.IFNA(VLOOKUP($BD447,Programma!$F$3:$H$1107,3,0),"")</f>
        <v/>
      </c>
      <c r="BG447" s="300" t="str">
        <f>_xlfn.IFNA(VLOOKUP($BD447,Programma!$F$3:$I$1107,4,0),"")</f>
        <v/>
      </c>
      <c r="BH447" s="300" t="str">
        <f>_xlfn.IFNA(VLOOKUP($BD447,Programma!$F$3:$J$1107,5,0),"")</f>
        <v/>
      </c>
      <c r="BI447" s="300" t="str">
        <f>_xlfn.IFNA(VLOOKUP($BD447,Programma!$F$3:$K$1107,6,0),"")</f>
        <v/>
      </c>
      <c r="BJ447" s="300" t="str">
        <f>_xlfn.IFNA(VLOOKUP($BD447,Programma!$F$3:$L$1107,7,0),"")</f>
        <v/>
      </c>
      <c r="BK447" s="300" t="str">
        <f>_xlfn.IFNA(VLOOKUP($BD447,Programma!$F$3:$M$1107,8,0),"")</f>
        <v/>
      </c>
      <c r="BL447" s="300" t="str">
        <f>_xlfn.IFNA(VLOOKUP($BD447,Programma!$F$3:$N$1107,9,0),"")</f>
        <v/>
      </c>
      <c r="BM447" s="300" t="str">
        <f>_xlfn.IFNA(VLOOKUP($BD447,Programma!$F$3:$O$1107,10,0),"")</f>
        <v/>
      </c>
      <c r="BN447" s="300" t="str">
        <f>_xlfn.IFNA(VLOOKUP($BD447,Programma!$F$3:$P$1107,11,0),"")</f>
        <v/>
      </c>
      <c r="BO447" s="300" t="str">
        <f>_xlfn.IFNA(VLOOKUP($BD447,Programma!$F$3:$Q$1107,12,0),"")</f>
        <v/>
      </c>
      <c r="BP447" s="300" t="str">
        <f>_xlfn.IFNA(VLOOKUP($BD447,Programma!$F$3:$R$1107,13,0),"")</f>
        <v/>
      </c>
      <c r="BQ447" s="300" t="str">
        <f>_xlfn.IFNA(VLOOKUP($BD447,Programma!$F$3:$S$1107,14,0),"")</f>
        <v/>
      </c>
      <c r="BR447" s="300" t="str">
        <f>_xlfn.IFNA(VLOOKUP($BD447,Programma!$F$3:$T$1107,15,0),"")</f>
        <v/>
      </c>
      <c r="BS447" s="300" t="str">
        <f>_xlfn.IFNA(VLOOKUP($BD447,Programma!$F$3:$U$1107,16,0),"")</f>
        <v/>
      </c>
      <c r="BT447" s="300" t="str">
        <f>_xlfn.IFNA(VLOOKUP($BD447,Programma!$F$3:$V$1107,17,0),"")</f>
        <v/>
      </c>
      <c r="BU447" s="300" t="str">
        <f>_xlfn.IFNA(VLOOKUP($BD447,Programma!$F$3:$W$1107,18,0),"")</f>
        <v/>
      </c>
      <c r="BV447" s="300" t="str">
        <f>_xlfn.IFNA(VLOOKUP($BD447,Programma!$F$3:$X$1107,19,0),"")</f>
        <v/>
      </c>
      <c r="BW447" s="300" t="str">
        <f>_xlfn.IFNA(VLOOKUP($BD447,Programma!$F$3:$Y$1107,20,0),"")</f>
        <v/>
      </c>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c r="GK447" s="4"/>
      <c r="GL447" s="4"/>
      <c r="GM447" s="4"/>
      <c r="GN447" s="4"/>
      <c r="GO447" s="4"/>
      <c r="GP447" s="4"/>
      <c r="GQ447" s="4"/>
      <c r="GR447" s="4"/>
      <c r="GS447" s="4"/>
      <c r="GT447" s="4"/>
      <c r="GU447" s="4"/>
      <c r="GV447" s="4"/>
      <c r="GW447" s="4"/>
      <c r="GX447" s="4"/>
      <c r="GY447" s="4"/>
      <c r="GZ447" s="4"/>
      <c r="HA447" s="4"/>
      <c r="HB447" s="4"/>
      <c r="HC447" s="4"/>
      <c r="HD447" s="4"/>
      <c r="HE447" s="4"/>
      <c r="HF447" s="4"/>
      <c r="HG447" s="4"/>
      <c r="HH447" s="4"/>
      <c r="HI447" s="4"/>
      <c r="HJ447" s="4"/>
      <c r="HK447" s="4"/>
      <c r="HL447" s="4"/>
    </row>
    <row r="448" spans="1:220" ht="15" customHeight="1">
      <c r="A448" s="21">
        <v>6</v>
      </c>
      <c r="B448" s="157" t="str">
        <f>VLOOKUP(Ruimtestaat[[#This Row],[Code]],Locaties[[Code]:[Locatie]],2,FALSE)</f>
        <v>Veurs Lyceum</v>
      </c>
      <c r="C448" s="157" t="str">
        <f>VLOOKUP(Ruimtestaat[[#This Row],[Code]],Locaties[[#All],[Code]:[Adres]],4,FALSE)</f>
        <v>Burg. Kolfschotenlaan 5</v>
      </c>
      <c r="D448" s="157" t="str">
        <f>VLOOKUP(Ruimtestaat[[#This Row],[Code]],Locaties[[#All],[Code]:[Postcode]],5,FALSE)</f>
        <v xml:space="preserve">2262 EZ </v>
      </c>
      <c r="E448" s="157" t="str">
        <f>VLOOKUP(Ruimtestaat[[#This Row],[Code]],Locaties[#All],6,FALSE)</f>
        <v>Leidschendam</v>
      </c>
      <c r="F448" s="62"/>
      <c r="G448" s="21" t="s">
        <v>1632</v>
      </c>
      <c r="H448" s="21">
        <v>23</v>
      </c>
      <c r="I448" s="62" t="s">
        <v>1625</v>
      </c>
      <c r="J448" s="21">
        <v>6</v>
      </c>
      <c r="K448" s="62" t="str">
        <f>VLOOKUP(Ruimtestaat[[#This Row],[Ruimte code]],Ruimtegroepen[[#All],[Code]:[Ruimte omschrijving]],2,FALSE)</f>
        <v>Gangen/hallen</v>
      </c>
      <c r="L448" s="33" t="s">
        <v>100</v>
      </c>
      <c r="M448" s="367" t="s">
        <v>2493</v>
      </c>
      <c r="N448" s="140">
        <v>53</v>
      </c>
      <c r="O448" s="140"/>
      <c r="P448" s="125" t="str">
        <f>VLOOKUP(Ruimtestaat[[#This Row],[Ruimte code]],Ruimtegroepen[],4,FALSE)</f>
        <v>Ve</v>
      </c>
      <c r="R448" s="33">
        <v>40</v>
      </c>
      <c r="S448" s="33" t="s">
        <v>2</v>
      </c>
      <c r="T448" s="33">
        <f>IF(R448&gt;0,IF(RIGHT(Ruimtestaat[[#This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8" s="33">
        <f>IF(T448&gt;0,VLOOKUP($J448,Ruimtegroepen[],3,FALSE)*VLOOKUP($L448,Vloersoorten[],3,FALSE)*VLOOKUP($S448,Frequenties[],3,FALSE)*VLOOKUP($A448,Locaties[],3,FALSE),0)</f>
        <v>0</v>
      </c>
      <c r="V448" s="33">
        <f>Ruimtestaat[[#This Row],[Uitvoeringen werkdagen]]*Ruimtestaat[[#This Row],[Oppervlak (netto)]]</f>
        <v>10600</v>
      </c>
      <c r="W448" s="154">
        <f>IF(U448&gt;0,Ruimtestaat[[#This Row],[Prest. (m2 /jaar) werkdagen]]/Ruimtestaat[[#This Row],[Norm (m2/uur) werkdagen]],0)</f>
        <v>0</v>
      </c>
      <c r="X448" s="155">
        <f>Ruimtestaat[[#This Row],[uren / jaar werkdagen]]*Tariefsopbouw!$E$35</f>
        <v>0</v>
      </c>
      <c r="Y448" s="33"/>
      <c r="Z448" s="33">
        <f>IF(Ruimtestaat[[#This Row],[Frequentie weekend]]&gt;0,VALUE(LEFT(Y448,1))*R448,0)</f>
        <v>0</v>
      </c>
      <c r="AA448" s="97">
        <f>IF($Z448&gt;0,VLOOKUP($J448,Ruimtegroepen[],3,FALSE)*VLOOKUP($L448,Vloersoorten[],3,FALSE)*VLOOKUP($Y448,Frequenties[],3,FALSE)*VLOOKUP(Ruimtestaat[[#This Row],[Code]],Locaties[],3,FALSE),0)</f>
        <v>0</v>
      </c>
      <c r="AB448" s="97">
        <f>Ruimtestaat[[#This Row],[Uitvoeringen weekend]]*Ruimtestaat[[#This Row],[Oppervlak (netto)]]</f>
        <v>0</v>
      </c>
      <c r="AC448" s="97">
        <f>IF(AA448&gt;0,Ruimtestaat[[#This Row],[Prest. (m2 /jaar) weekend]]/Ruimtestaat[[#This Row],[Norm (m2/uur) weekend]],0)</f>
        <v>0</v>
      </c>
      <c r="AD448" s="155">
        <f>Ruimtestaat[[#This Row],[uren / jaar weekend]]*Tariefsopbouw!$D$40</f>
        <v>0</v>
      </c>
      <c r="AE448" s="154">
        <f>Ruimtestaat[[#This Row],[Prest. (m2 /jaar) weekend]]+Ruimtestaat[[#This Row],[Prest. (m2 /jaar) werkdagen]]</f>
        <v>10600</v>
      </c>
      <c r="AF448" s="154">
        <f>Ruimtestaat[[#This Row],[uren / jaar weekend]]+Ruimtestaat[[#This Row],[uren / jaar werkdagen]]</f>
        <v>0</v>
      </c>
      <c r="AG448" s="69">
        <f>Ruimtestaat[[#This Row],[kosten / jaar weekend]]+Ruimtestaat[[#This Row],[kosten / jaar werkdagen]]</f>
        <v>0</v>
      </c>
      <c r="AH448" s="69"/>
      <c r="AI448" s="256" t="str">
        <f>IF(Ruimtestaat[[#This Row],[Frequentie werkdagen]]="","",_xlfn.CONCAT(Ruimtestaat[[#This Row],[Ruimte code]],"-",Ruimtestaat[[#This Row],[Frequentie werkdagen]]," ",Ruimtestaat[[#This Row],[Vloer code]]))</f>
        <v>6-5w T</v>
      </c>
      <c r="AJ448" s="300" t="str">
        <f>_xlfn.IFNA(VLOOKUP($AI448,Programma!$F$3:$G$1107,2,0),"")</f>
        <v>_</v>
      </c>
      <c r="AK448" s="300" t="str">
        <f>_xlfn.IFNA(VLOOKUP($AI448,Programma!$F$3:$H$1107,3,0),"")</f>
        <v>5w</v>
      </c>
      <c r="AL448" s="300" t="str">
        <f>_xlfn.IFNA(VLOOKUP($AI448,Programma!$F$3:$I$1107,4,0),"")</f>
        <v>_</v>
      </c>
      <c r="AM448" s="300" t="str">
        <f>_xlfn.IFNA(VLOOKUP($AI448,Programma!$F$3:$J$1107,5,0),"")</f>
        <v>_</v>
      </c>
      <c r="AN448" s="300" t="str">
        <f>_xlfn.IFNA(VLOOKUP($AI448,Programma!$F$3:$K$1107,6,0),"")</f>
        <v>_</v>
      </c>
      <c r="AO448" s="300" t="str">
        <f>_xlfn.IFNA(VLOOKUP($AI448,Programma!$F$3:$L$1107,7,0),"")</f>
        <v>_</v>
      </c>
      <c r="AP448" s="300" t="str">
        <f>_xlfn.IFNA(VLOOKUP($AI448,Programma!$F$3:$M$1107,8,0),"")</f>
        <v>_</v>
      </c>
      <c r="AQ448" s="300" t="str">
        <f>_xlfn.IFNA(VLOOKUP($AI448,Programma!$F$3:$N$1107,9,0),"")</f>
        <v>_</v>
      </c>
      <c r="AR448" s="300" t="str">
        <f>_xlfn.IFNA(VLOOKUP($AI448,Programma!$F$3:$O$1107,10,0),"")</f>
        <v>5w</v>
      </c>
      <c r="AS448" s="300" t="str">
        <f>_xlfn.IFNA(VLOOKUP($AI448,Programma!$F$3:$P$1107,11,0),"")</f>
        <v>5w</v>
      </c>
      <c r="AT448" s="300" t="str">
        <f>_xlfn.IFNA(VLOOKUP($AI448,Programma!$F$3:$Q$1107,12,0),"")</f>
        <v>1w</v>
      </c>
      <c r="AU448" s="300" t="str">
        <f>_xlfn.IFNA(VLOOKUP($AI448,Programma!$F$3:$R$1107,13,0),"")</f>
        <v>1w</v>
      </c>
      <c r="AV448" s="300" t="str">
        <f>_xlfn.IFNA(VLOOKUP($AI448,Programma!$F$3:$S$1107,14,0),"")</f>
        <v>1m</v>
      </c>
      <c r="AW448" s="300" t="str">
        <f>_xlfn.IFNA(VLOOKUP($AI448,Programma!$F$3:$T$1107,15,0),"")</f>
        <v>2j</v>
      </c>
      <c r="AX448" s="300" t="str">
        <f>_xlfn.IFNA(VLOOKUP($AI448,Programma!$F$3:$U$1107,16,0),"")</f>
        <v>1j</v>
      </c>
      <c r="AY448" s="300" t="str">
        <f>_xlfn.IFNA(VLOOKUP($AI448,Programma!$F$3:$V$1107,17,0),"")</f>
        <v>_</v>
      </c>
      <c r="AZ448" s="300" t="str">
        <f>_xlfn.IFNA(VLOOKUP($AI448,Programma!$F$3:$W$1107,18,0),"")</f>
        <v>_</v>
      </c>
      <c r="BA448" s="300" t="str">
        <f>_xlfn.IFNA(VLOOKUP($AI448,Programma!$F$3:$X$1107,19,0),"")</f>
        <v>_</v>
      </c>
      <c r="BB448" s="300" t="str">
        <f>_xlfn.IFNA(VLOOKUP($AI448,Programma!$F$3:$Y$1107,20,0),"")</f>
        <v>_</v>
      </c>
      <c r="BC448" s="257"/>
      <c r="BD448" s="256" t="str">
        <f>IF(Ruimtestaat[[#This Row],[Frequentie weekend]]="","",_xlfn.CONCAT(Ruimtestaat[[#This Row],[Ruimte code]],"-",Ruimtestaat[[#This Row],[Frequentie weekend]]," ",Ruimtestaat[[#This Row],[Vloer code]]))</f>
        <v/>
      </c>
      <c r="BE448" s="300" t="str">
        <f>_xlfn.IFNA(VLOOKUP($BD448,Programma!$F$3:$G$1107,2,0),"")</f>
        <v/>
      </c>
      <c r="BF448" s="300" t="str">
        <f>_xlfn.IFNA(VLOOKUP($BD448,Programma!$F$3:$H$1107,3,0),"")</f>
        <v/>
      </c>
      <c r="BG448" s="300" t="str">
        <f>_xlfn.IFNA(VLOOKUP($BD448,Programma!$F$3:$I$1107,4,0),"")</f>
        <v/>
      </c>
      <c r="BH448" s="300" t="str">
        <f>_xlfn.IFNA(VLOOKUP($BD448,Programma!$F$3:$J$1107,5,0),"")</f>
        <v/>
      </c>
      <c r="BI448" s="300" t="str">
        <f>_xlfn.IFNA(VLOOKUP($BD448,Programma!$F$3:$K$1107,6,0),"")</f>
        <v/>
      </c>
      <c r="BJ448" s="300" t="str">
        <f>_xlfn.IFNA(VLOOKUP($BD448,Programma!$F$3:$L$1107,7,0),"")</f>
        <v/>
      </c>
      <c r="BK448" s="300" t="str">
        <f>_xlfn.IFNA(VLOOKUP($BD448,Programma!$F$3:$M$1107,8,0),"")</f>
        <v/>
      </c>
      <c r="BL448" s="300" t="str">
        <f>_xlfn.IFNA(VLOOKUP($BD448,Programma!$F$3:$N$1107,9,0),"")</f>
        <v/>
      </c>
      <c r="BM448" s="300" t="str">
        <f>_xlfn.IFNA(VLOOKUP($BD448,Programma!$F$3:$O$1107,10,0),"")</f>
        <v/>
      </c>
      <c r="BN448" s="300" t="str">
        <f>_xlfn.IFNA(VLOOKUP($BD448,Programma!$F$3:$P$1107,11,0),"")</f>
        <v/>
      </c>
      <c r="BO448" s="300" t="str">
        <f>_xlfn.IFNA(VLOOKUP($BD448,Programma!$F$3:$Q$1107,12,0),"")</f>
        <v/>
      </c>
      <c r="BP448" s="300" t="str">
        <f>_xlfn.IFNA(VLOOKUP($BD448,Programma!$F$3:$R$1107,13,0),"")</f>
        <v/>
      </c>
      <c r="BQ448" s="300" t="str">
        <f>_xlfn.IFNA(VLOOKUP($BD448,Programma!$F$3:$S$1107,14,0),"")</f>
        <v/>
      </c>
      <c r="BR448" s="300" t="str">
        <f>_xlfn.IFNA(VLOOKUP($BD448,Programma!$F$3:$T$1107,15,0),"")</f>
        <v/>
      </c>
      <c r="BS448" s="300" t="str">
        <f>_xlfn.IFNA(VLOOKUP($BD448,Programma!$F$3:$U$1107,16,0),"")</f>
        <v/>
      </c>
      <c r="BT448" s="300" t="str">
        <f>_xlfn.IFNA(VLOOKUP($BD448,Programma!$F$3:$V$1107,17,0),"")</f>
        <v/>
      </c>
      <c r="BU448" s="300" t="str">
        <f>_xlfn.IFNA(VLOOKUP($BD448,Programma!$F$3:$W$1107,18,0),"")</f>
        <v/>
      </c>
      <c r="BV448" s="300" t="str">
        <f>_xlfn.IFNA(VLOOKUP($BD448,Programma!$F$3:$X$1107,19,0),"")</f>
        <v/>
      </c>
      <c r="BW448" s="300" t="str">
        <f>_xlfn.IFNA(VLOOKUP($BD448,Programma!$F$3:$Y$1107,20,0),"")</f>
        <v/>
      </c>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c r="GK448" s="4"/>
      <c r="GL448" s="4"/>
      <c r="GM448" s="4"/>
      <c r="GN448" s="4"/>
      <c r="GO448" s="4"/>
      <c r="GP448" s="4"/>
      <c r="GQ448" s="4"/>
      <c r="GR448" s="4"/>
      <c r="GS448" s="4"/>
      <c r="GT448" s="4"/>
      <c r="GU448" s="4"/>
      <c r="GV448" s="4"/>
      <c r="GW448" s="4"/>
      <c r="GX448" s="4"/>
      <c r="GY448" s="4"/>
      <c r="GZ448" s="4"/>
      <c r="HA448" s="4"/>
      <c r="HB448" s="4"/>
      <c r="HC448" s="4"/>
      <c r="HD448" s="4"/>
      <c r="HE448" s="4"/>
      <c r="HF448" s="4"/>
      <c r="HG448" s="4"/>
      <c r="HH448" s="4"/>
      <c r="HI448" s="4"/>
      <c r="HJ448" s="4"/>
      <c r="HK448" s="4"/>
      <c r="HL448" s="4"/>
    </row>
    <row r="449" spans="1:220" ht="15" customHeight="1">
      <c r="A449" s="21">
        <v>6</v>
      </c>
      <c r="B449" s="157" t="str">
        <f>VLOOKUP(Ruimtestaat[[#This Row],[Code]],Locaties[[Code]:[Locatie]],2,FALSE)</f>
        <v>Veurs Lyceum</v>
      </c>
      <c r="C449" s="157" t="str">
        <f>VLOOKUP(Ruimtestaat[[#This Row],[Code]],Locaties[[#All],[Code]:[Adres]],4,FALSE)</f>
        <v>Burg. Kolfschotenlaan 5</v>
      </c>
      <c r="D449" s="157" t="str">
        <f>VLOOKUP(Ruimtestaat[[#This Row],[Code]],Locaties[[#All],[Code]:[Postcode]],5,FALSE)</f>
        <v xml:space="preserve">2262 EZ </v>
      </c>
      <c r="E449" s="157" t="str">
        <f>VLOOKUP(Ruimtestaat[[#This Row],[Code]],Locaties[#All],6,FALSE)</f>
        <v>Leidschendam</v>
      </c>
      <c r="F449" s="62"/>
      <c r="G449" s="21" t="s">
        <v>1632</v>
      </c>
      <c r="H449" s="21">
        <v>24</v>
      </c>
      <c r="I449" s="62" t="s">
        <v>2084</v>
      </c>
      <c r="J449" s="21">
        <v>4</v>
      </c>
      <c r="K449" s="62" t="str">
        <f>VLOOKUP(Ruimtestaat[[#This Row],[Ruimte code]],Ruimtegroepen[[#All],[Code]:[Ruimte omschrijving]],2,FALSE)</f>
        <v>Vergader/spreekkamers</v>
      </c>
      <c r="L449" s="33" t="s">
        <v>100</v>
      </c>
      <c r="M449" s="367" t="s">
        <v>2493</v>
      </c>
      <c r="N449" s="140">
        <v>14</v>
      </c>
      <c r="O449" s="140"/>
      <c r="P449" s="125" t="str">
        <f>VLOOKUP(Ruimtestaat[[#This Row],[Ruimte code]],Ruimtegroepen[],4,FALSE)</f>
        <v>Bu</v>
      </c>
      <c r="R449" s="33">
        <v>40</v>
      </c>
      <c r="S449" s="33" t="s">
        <v>18</v>
      </c>
      <c r="T449" s="33">
        <f>IF(R449&gt;0,IF(RIGHT(Ruimtestaat[[#This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449" s="33">
        <f>IF(T449&gt;0,VLOOKUP($J449,Ruimtegroepen[],3,FALSE)*VLOOKUP($L449,Vloersoorten[],3,FALSE)*VLOOKUP($S449,Frequenties[],3,FALSE)*VLOOKUP($A449,Locaties[],3,FALSE),0)</f>
        <v>0</v>
      </c>
      <c r="V449" s="33">
        <f>Ruimtestaat[[#This Row],[Uitvoeringen werkdagen]]*Ruimtestaat[[#This Row],[Oppervlak (netto)]]</f>
        <v>1680</v>
      </c>
      <c r="W449" s="154">
        <f>IF(U449&gt;0,Ruimtestaat[[#This Row],[Prest. (m2 /jaar) werkdagen]]/Ruimtestaat[[#This Row],[Norm (m2/uur) werkdagen]],0)</f>
        <v>0</v>
      </c>
      <c r="X449" s="155">
        <f>Ruimtestaat[[#This Row],[uren / jaar werkdagen]]*Tariefsopbouw!$E$35</f>
        <v>0</v>
      </c>
      <c r="Y449" s="33"/>
      <c r="Z449" s="33">
        <f>IF(Ruimtestaat[[#This Row],[Frequentie weekend]]&gt;0,VALUE(LEFT(Y449,1))*R449,0)</f>
        <v>0</v>
      </c>
      <c r="AA449" s="97">
        <f>IF($Z449&gt;0,VLOOKUP($J449,Ruimtegroepen[],3,FALSE)*VLOOKUP($L449,Vloersoorten[],3,FALSE)*VLOOKUP($Y449,Frequenties[],3,FALSE)*VLOOKUP(Ruimtestaat[[#This Row],[Code]],Locaties[],3,FALSE),0)</f>
        <v>0</v>
      </c>
      <c r="AB449" s="97">
        <f>Ruimtestaat[[#This Row],[Uitvoeringen weekend]]*Ruimtestaat[[#This Row],[Oppervlak (netto)]]</f>
        <v>0</v>
      </c>
      <c r="AC449" s="97">
        <f>IF(AA449&gt;0,Ruimtestaat[[#This Row],[Prest. (m2 /jaar) weekend]]/Ruimtestaat[[#This Row],[Norm (m2/uur) weekend]],0)</f>
        <v>0</v>
      </c>
      <c r="AD449" s="155">
        <f>Ruimtestaat[[#This Row],[uren / jaar weekend]]*Tariefsopbouw!$D$40</f>
        <v>0</v>
      </c>
      <c r="AE449" s="154">
        <f>Ruimtestaat[[#This Row],[Prest. (m2 /jaar) weekend]]+Ruimtestaat[[#This Row],[Prest. (m2 /jaar) werkdagen]]</f>
        <v>1680</v>
      </c>
      <c r="AF449" s="154">
        <f>Ruimtestaat[[#This Row],[uren / jaar weekend]]+Ruimtestaat[[#This Row],[uren / jaar werkdagen]]</f>
        <v>0</v>
      </c>
      <c r="AG449" s="69">
        <f>Ruimtestaat[[#This Row],[kosten / jaar weekend]]+Ruimtestaat[[#This Row],[kosten / jaar werkdagen]]</f>
        <v>0</v>
      </c>
      <c r="AH449" s="69"/>
      <c r="AI449" s="256" t="str">
        <f>IF(Ruimtestaat[[#This Row],[Frequentie werkdagen]]="","",_xlfn.CONCAT(Ruimtestaat[[#This Row],[Ruimte code]],"-",Ruimtestaat[[#This Row],[Frequentie werkdagen]]," ",Ruimtestaat[[#This Row],[Vloer code]]))</f>
        <v>4-3w T</v>
      </c>
      <c r="AJ449" s="300" t="str">
        <f>_xlfn.IFNA(VLOOKUP($AI449,Programma!$F$3:$G$1107,2,0),"")</f>
        <v>2w</v>
      </c>
      <c r="AK449" s="300" t="str">
        <f>_xlfn.IFNA(VLOOKUP($AI449,Programma!$F$3:$H$1107,3,0),"")</f>
        <v>1w</v>
      </c>
      <c r="AL449" s="300" t="str">
        <f>_xlfn.IFNA(VLOOKUP($AI449,Programma!$F$3:$I$1107,4,0),"")</f>
        <v>_</v>
      </c>
      <c r="AM449" s="300" t="str">
        <f>_xlfn.IFNA(VLOOKUP($AI449,Programma!$F$3:$J$1107,5,0),"")</f>
        <v>_</v>
      </c>
      <c r="AN449" s="300" t="str">
        <f>_xlfn.IFNA(VLOOKUP($AI449,Programma!$F$3:$K$1107,6,0),"")</f>
        <v>_</v>
      </c>
      <c r="AO449" s="300" t="str">
        <f>_xlfn.IFNA(VLOOKUP($AI449,Programma!$F$3:$L$1107,7,0),"")</f>
        <v>_</v>
      </c>
      <c r="AP449" s="300" t="str">
        <f>_xlfn.IFNA(VLOOKUP($AI449,Programma!$F$3:$M$1107,8,0),"")</f>
        <v>_</v>
      </c>
      <c r="AQ449" s="300" t="str">
        <f>_xlfn.IFNA(VLOOKUP($AI449,Programma!$F$3:$N$1107,9,0),"")</f>
        <v>_</v>
      </c>
      <c r="AR449" s="300" t="str">
        <f>_xlfn.IFNA(VLOOKUP($AI449,Programma!$F$3:$O$1107,10,0),"")</f>
        <v>3w</v>
      </c>
      <c r="AS449" s="300" t="str">
        <f>_xlfn.IFNA(VLOOKUP($AI449,Programma!$F$3:$P$1107,11,0),"")</f>
        <v>3w</v>
      </c>
      <c r="AT449" s="300" t="str">
        <f>_xlfn.IFNA(VLOOKUP($AI449,Programma!$F$3:$Q$1107,12,0),"")</f>
        <v>1w</v>
      </c>
      <c r="AU449" s="300" t="str">
        <f>_xlfn.IFNA(VLOOKUP($AI449,Programma!$F$3:$R$1107,13,0),"")</f>
        <v>1w</v>
      </c>
      <c r="AV449" s="300" t="str">
        <f>_xlfn.IFNA(VLOOKUP($AI449,Programma!$F$3:$S$1107,14,0),"")</f>
        <v>1m</v>
      </c>
      <c r="AW449" s="300" t="str">
        <f>_xlfn.IFNA(VLOOKUP($AI449,Programma!$F$3:$T$1107,15,0),"")</f>
        <v>2j</v>
      </c>
      <c r="AX449" s="300" t="str">
        <f>_xlfn.IFNA(VLOOKUP($AI449,Programma!$F$3:$U$1107,16,0),"")</f>
        <v>1j</v>
      </c>
      <c r="AY449" s="300" t="str">
        <f>_xlfn.IFNA(VLOOKUP($AI449,Programma!$F$3:$V$1107,17,0),"")</f>
        <v>_</v>
      </c>
      <c r="AZ449" s="300" t="str">
        <f>_xlfn.IFNA(VLOOKUP($AI449,Programma!$F$3:$W$1107,18,0),"")</f>
        <v>_</v>
      </c>
      <c r="BA449" s="300" t="str">
        <f>_xlfn.IFNA(VLOOKUP($AI449,Programma!$F$3:$X$1107,19,0),"")</f>
        <v>_</v>
      </c>
      <c r="BB449" s="300" t="str">
        <f>_xlfn.IFNA(VLOOKUP($AI449,Programma!$F$3:$Y$1107,20,0),"")</f>
        <v>_</v>
      </c>
      <c r="BC449" s="257"/>
      <c r="BD449" s="256" t="str">
        <f>IF(Ruimtestaat[[#This Row],[Frequentie weekend]]="","",_xlfn.CONCAT(Ruimtestaat[[#This Row],[Ruimte code]],"-",Ruimtestaat[[#This Row],[Frequentie weekend]]," ",Ruimtestaat[[#This Row],[Vloer code]]))</f>
        <v/>
      </c>
      <c r="BE449" s="300" t="str">
        <f>_xlfn.IFNA(VLOOKUP($BD449,Programma!$F$3:$G$1107,2,0),"")</f>
        <v/>
      </c>
      <c r="BF449" s="300" t="str">
        <f>_xlfn.IFNA(VLOOKUP($BD449,Programma!$F$3:$H$1107,3,0),"")</f>
        <v/>
      </c>
      <c r="BG449" s="300" t="str">
        <f>_xlfn.IFNA(VLOOKUP($BD449,Programma!$F$3:$I$1107,4,0),"")</f>
        <v/>
      </c>
      <c r="BH449" s="300" t="str">
        <f>_xlfn.IFNA(VLOOKUP($BD449,Programma!$F$3:$J$1107,5,0),"")</f>
        <v/>
      </c>
      <c r="BI449" s="300" t="str">
        <f>_xlfn.IFNA(VLOOKUP($BD449,Programma!$F$3:$K$1107,6,0),"")</f>
        <v/>
      </c>
      <c r="BJ449" s="300" t="str">
        <f>_xlfn.IFNA(VLOOKUP($BD449,Programma!$F$3:$L$1107,7,0),"")</f>
        <v/>
      </c>
      <c r="BK449" s="300" t="str">
        <f>_xlfn.IFNA(VLOOKUP($BD449,Programma!$F$3:$M$1107,8,0),"")</f>
        <v/>
      </c>
      <c r="BL449" s="300" t="str">
        <f>_xlfn.IFNA(VLOOKUP($BD449,Programma!$F$3:$N$1107,9,0),"")</f>
        <v/>
      </c>
      <c r="BM449" s="300" t="str">
        <f>_xlfn.IFNA(VLOOKUP($BD449,Programma!$F$3:$O$1107,10,0),"")</f>
        <v/>
      </c>
      <c r="BN449" s="300" t="str">
        <f>_xlfn.IFNA(VLOOKUP($BD449,Programma!$F$3:$P$1107,11,0),"")</f>
        <v/>
      </c>
      <c r="BO449" s="300" t="str">
        <f>_xlfn.IFNA(VLOOKUP($BD449,Programma!$F$3:$Q$1107,12,0),"")</f>
        <v/>
      </c>
      <c r="BP449" s="300" t="str">
        <f>_xlfn.IFNA(VLOOKUP($BD449,Programma!$F$3:$R$1107,13,0),"")</f>
        <v/>
      </c>
      <c r="BQ449" s="300" t="str">
        <f>_xlfn.IFNA(VLOOKUP($BD449,Programma!$F$3:$S$1107,14,0),"")</f>
        <v/>
      </c>
      <c r="BR449" s="300" t="str">
        <f>_xlfn.IFNA(VLOOKUP($BD449,Programma!$F$3:$T$1107,15,0),"")</f>
        <v/>
      </c>
      <c r="BS449" s="300" t="str">
        <f>_xlfn.IFNA(VLOOKUP($BD449,Programma!$F$3:$U$1107,16,0),"")</f>
        <v/>
      </c>
      <c r="BT449" s="300" t="str">
        <f>_xlfn.IFNA(VLOOKUP($BD449,Programma!$F$3:$V$1107,17,0),"")</f>
        <v/>
      </c>
      <c r="BU449" s="300" t="str">
        <f>_xlfn.IFNA(VLOOKUP($BD449,Programma!$F$3:$W$1107,18,0),"")</f>
        <v/>
      </c>
      <c r="BV449" s="300" t="str">
        <f>_xlfn.IFNA(VLOOKUP($BD449,Programma!$F$3:$X$1107,19,0),"")</f>
        <v/>
      </c>
      <c r="BW449" s="300" t="str">
        <f>_xlfn.IFNA(VLOOKUP($BD449,Programma!$F$3:$Y$1107,20,0),"")</f>
        <v/>
      </c>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c r="GK449" s="4"/>
      <c r="GL449" s="4"/>
      <c r="GM449" s="4"/>
      <c r="GN449" s="4"/>
      <c r="GO449" s="4"/>
      <c r="GP449" s="4"/>
      <c r="GQ449" s="4"/>
      <c r="GR449" s="4"/>
      <c r="GS449" s="4"/>
      <c r="GT449" s="4"/>
      <c r="GU449" s="4"/>
      <c r="GV449" s="4"/>
      <c r="GW449" s="4"/>
      <c r="GX449" s="4"/>
      <c r="GY449" s="4"/>
      <c r="GZ449" s="4"/>
      <c r="HA449" s="4"/>
      <c r="HB449" s="4"/>
      <c r="HC449" s="4"/>
      <c r="HD449" s="4"/>
      <c r="HE449" s="4"/>
      <c r="HF449" s="4"/>
      <c r="HG449" s="4"/>
      <c r="HH449" s="4"/>
      <c r="HI449" s="4"/>
      <c r="HJ449" s="4"/>
      <c r="HK449" s="4"/>
      <c r="HL449" s="4"/>
    </row>
    <row r="450" spans="1:220" ht="15" customHeight="1">
      <c r="A450" s="21">
        <v>6</v>
      </c>
      <c r="B450" s="157" t="str">
        <f>VLOOKUP(Ruimtestaat[[#This Row],[Code]],Locaties[[Code]:[Locatie]],2,FALSE)</f>
        <v>Veurs Lyceum</v>
      </c>
      <c r="C450" s="157" t="str">
        <f>VLOOKUP(Ruimtestaat[[#This Row],[Code]],Locaties[[#All],[Code]:[Adres]],4,FALSE)</f>
        <v>Burg. Kolfschotenlaan 5</v>
      </c>
      <c r="D450" s="157" t="str">
        <f>VLOOKUP(Ruimtestaat[[#This Row],[Code]],Locaties[[#All],[Code]:[Postcode]],5,FALSE)</f>
        <v xml:space="preserve">2262 EZ </v>
      </c>
      <c r="E450" s="157" t="str">
        <f>VLOOKUP(Ruimtestaat[[#This Row],[Code]],Locaties[#All],6,FALSE)</f>
        <v>Leidschendam</v>
      </c>
      <c r="F450" s="62"/>
      <c r="G450" s="21" t="s">
        <v>1632</v>
      </c>
      <c r="H450" s="21">
        <v>25</v>
      </c>
      <c r="I450" s="62" t="s">
        <v>2085</v>
      </c>
      <c r="J450" s="21">
        <v>8</v>
      </c>
      <c r="K450" s="62" t="str">
        <f>VLOOKUP(Ruimtestaat[[#This Row],[Ruimte code]],Ruimtegroepen[[#All],[Code]:[Ruimte omschrijving]],2,FALSE)</f>
        <v>Mediatheek / OLC</v>
      </c>
      <c r="L450" s="33" t="s">
        <v>100</v>
      </c>
      <c r="M450" s="367" t="s">
        <v>2493</v>
      </c>
      <c r="N450" s="140">
        <v>287</v>
      </c>
      <c r="O450" s="140"/>
      <c r="P450" s="125" t="str">
        <f>VLOOKUP(Ruimtestaat[[#This Row],[Ruimte code]],Ruimtegroepen[],4,FALSE)</f>
        <v>Le</v>
      </c>
      <c r="R450" s="33">
        <v>40</v>
      </c>
      <c r="S450" s="33" t="s">
        <v>2</v>
      </c>
      <c r="T450" s="33">
        <f>IF(R450&gt;0,IF(RIGHT(Ruimtestaat[[#This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0" s="33">
        <f>IF(T450&gt;0,VLOOKUP($J450,Ruimtegroepen[],3,FALSE)*VLOOKUP($L450,Vloersoorten[],3,FALSE)*VLOOKUP($S450,Frequenties[],3,FALSE)*VLOOKUP($A450,Locaties[],3,FALSE),0)</f>
        <v>0</v>
      </c>
      <c r="V450" s="33">
        <f>Ruimtestaat[[#This Row],[Uitvoeringen werkdagen]]*Ruimtestaat[[#This Row],[Oppervlak (netto)]]</f>
        <v>57400</v>
      </c>
      <c r="W450" s="154">
        <f>IF(U450&gt;0,Ruimtestaat[[#This Row],[Prest. (m2 /jaar) werkdagen]]/Ruimtestaat[[#This Row],[Norm (m2/uur) werkdagen]],0)</f>
        <v>0</v>
      </c>
      <c r="X450" s="155">
        <f>Ruimtestaat[[#This Row],[uren / jaar werkdagen]]*Tariefsopbouw!$E$35</f>
        <v>0</v>
      </c>
      <c r="Y450" s="33"/>
      <c r="Z450" s="33">
        <f>IF(Ruimtestaat[[#This Row],[Frequentie weekend]]&gt;0,VALUE(LEFT(Y450,1))*R450,0)</f>
        <v>0</v>
      </c>
      <c r="AA450" s="97">
        <f>IF($Z450&gt;0,VLOOKUP($J450,Ruimtegroepen[],3,FALSE)*VLOOKUP($L450,Vloersoorten[],3,FALSE)*VLOOKUP($Y450,Frequenties[],3,FALSE)*VLOOKUP(Ruimtestaat[[#This Row],[Code]],Locaties[],3,FALSE),0)</f>
        <v>0</v>
      </c>
      <c r="AB450" s="97">
        <f>Ruimtestaat[[#This Row],[Uitvoeringen weekend]]*Ruimtestaat[[#This Row],[Oppervlak (netto)]]</f>
        <v>0</v>
      </c>
      <c r="AC450" s="97">
        <f>IF(AA450&gt;0,Ruimtestaat[[#This Row],[Prest. (m2 /jaar) weekend]]/Ruimtestaat[[#This Row],[Norm (m2/uur) weekend]],0)</f>
        <v>0</v>
      </c>
      <c r="AD450" s="155">
        <f>Ruimtestaat[[#This Row],[uren / jaar weekend]]*Tariefsopbouw!$D$40</f>
        <v>0</v>
      </c>
      <c r="AE450" s="154">
        <f>Ruimtestaat[[#This Row],[Prest. (m2 /jaar) weekend]]+Ruimtestaat[[#This Row],[Prest. (m2 /jaar) werkdagen]]</f>
        <v>57400</v>
      </c>
      <c r="AF450" s="154">
        <f>Ruimtestaat[[#This Row],[uren / jaar weekend]]+Ruimtestaat[[#This Row],[uren / jaar werkdagen]]</f>
        <v>0</v>
      </c>
      <c r="AG450" s="69">
        <f>Ruimtestaat[[#This Row],[kosten / jaar weekend]]+Ruimtestaat[[#This Row],[kosten / jaar werkdagen]]</f>
        <v>0</v>
      </c>
      <c r="AH450" s="69"/>
      <c r="AI450" s="256" t="str">
        <f>IF(Ruimtestaat[[#This Row],[Frequentie werkdagen]]="","",_xlfn.CONCAT(Ruimtestaat[[#This Row],[Ruimte code]],"-",Ruimtestaat[[#This Row],[Frequentie werkdagen]]," ",Ruimtestaat[[#This Row],[Vloer code]]))</f>
        <v>8-5w T</v>
      </c>
      <c r="AJ450" s="300" t="str">
        <f>_xlfn.IFNA(VLOOKUP($AI450,Programma!$F$3:$G$1107,2,0),"")</f>
        <v>_</v>
      </c>
      <c r="AK450" s="300" t="str">
        <f>_xlfn.IFNA(VLOOKUP($AI450,Programma!$F$3:$H$1107,3,0),"")</f>
        <v>5w</v>
      </c>
      <c r="AL450" s="300" t="str">
        <f>_xlfn.IFNA(VLOOKUP($AI450,Programma!$F$3:$I$1107,4,0),"")</f>
        <v>_</v>
      </c>
      <c r="AM450" s="300" t="str">
        <f>_xlfn.IFNA(VLOOKUP($AI450,Programma!$F$3:$J$1107,5,0),"")</f>
        <v>_</v>
      </c>
      <c r="AN450" s="300" t="str">
        <f>_xlfn.IFNA(VLOOKUP($AI450,Programma!$F$3:$K$1107,6,0),"")</f>
        <v>_</v>
      </c>
      <c r="AO450" s="300" t="str">
        <f>_xlfn.IFNA(VLOOKUP($AI450,Programma!$F$3:$L$1107,7,0),"")</f>
        <v>_</v>
      </c>
      <c r="AP450" s="300" t="str">
        <f>_xlfn.IFNA(VLOOKUP($AI450,Programma!$F$3:$M$1107,8,0),"")</f>
        <v>_</v>
      </c>
      <c r="AQ450" s="300" t="str">
        <f>_xlfn.IFNA(VLOOKUP($AI450,Programma!$F$3:$N$1107,9,0),"")</f>
        <v>_</v>
      </c>
      <c r="AR450" s="300" t="str">
        <f>_xlfn.IFNA(VLOOKUP($AI450,Programma!$F$3:$O$1107,10,0),"")</f>
        <v>5w</v>
      </c>
      <c r="AS450" s="300" t="str">
        <f>_xlfn.IFNA(VLOOKUP($AI450,Programma!$F$3:$P$1107,11,0),"")</f>
        <v>5w</v>
      </c>
      <c r="AT450" s="300" t="str">
        <f>_xlfn.IFNA(VLOOKUP($AI450,Programma!$F$3:$Q$1107,12,0),"")</f>
        <v>1w</v>
      </c>
      <c r="AU450" s="300" t="str">
        <f>_xlfn.IFNA(VLOOKUP($AI450,Programma!$F$3:$R$1107,13,0),"")</f>
        <v>1w</v>
      </c>
      <c r="AV450" s="300" t="str">
        <f>_xlfn.IFNA(VLOOKUP($AI450,Programma!$F$3:$S$1107,14,0),"")</f>
        <v>1m</v>
      </c>
      <c r="AW450" s="300" t="str">
        <f>_xlfn.IFNA(VLOOKUP($AI450,Programma!$F$3:$T$1107,15,0),"")</f>
        <v>2j</v>
      </c>
      <c r="AX450" s="300" t="str">
        <f>_xlfn.IFNA(VLOOKUP($AI450,Programma!$F$3:$U$1107,16,0),"")</f>
        <v>1j</v>
      </c>
      <c r="AY450" s="300" t="str">
        <f>_xlfn.IFNA(VLOOKUP($AI450,Programma!$F$3:$V$1107,17,0),"")</f>
        <v>_</v>
      </c>
      <c r="AZ450" s="300" t="str">
        <f>_xlfn.IFNA(VLOOKUP($AI450,Programma!$F$3:$W$1107,18,0),"")</f>
        <v>_</v>
      </c>
      <c r="BA450" s="300" t="str">
        <f>_xlfn.IFNA(VLOOKUP($AI450,Programma!$F$3:$X$1107,19,0),"")</f>
        <v>_</v>
      </c>
      <c r="BB450" s="300" t="str">
        <f>_xlfn.IFNA(VLOOKUP($AI450,Programma!$F$3:$Y$1107,20,0),"")</f>
        <v>_</v>
      </c>
      <c r="BC450" s="257"/>
      <c r="BD450" s="256" t="str">
        <f>IF(Ruimtestaat[[#This Row],[Frequentie weekend]]="","",_xlfn.CONCAT(Ruimtestaat[[#This Row],[Ruimte code]],"-",Ruimtestaat[[#This Row],[Frequentie weekend]]," ",Ruimtestaat[[#This Row],[Vloer code]]))</f>
        <v/>
      </c>
      <c r="BE450" s="300" t="str">
        <f>_xlfn.IFNA(VLOOKUP($BD450,Programma!$F$3:$G$1107,2,0),"")</f>
        <v/>
      </c>
      <c r="BF450" s="300" t="str">
        <f>_xlfn.IFNA(VLOOKUP($BD450,Programma!$F$3:$H$1107,3,0),"")</f>
        <v/>
      </c>
      <c r="BG450" s="300" t="str">
        <f>_xlfn.IFNA(VLOOKUP($BD450,Programma!$F$3:$I$1107,4,0),"")</f>
        <v/>
      </c>
      <c r="BH450" s="300" t="str">
        <f>_xlfn.IFNA(VLOOKUP($BD450,Programma!$F$3:$J$1107,5,0),"")</f>
        <v/>
      </c>
      <c r="BI450" s="300" t="str">
        <f>_xlfn.IFNA(VLOOKUP($BD450,Programma!$F$3:$K$1107,6,0),"")</f>
        <v/>
      </c>
      <c r="BJ450" s="300" t="str">
        <f>_xlfn.IFNA(VLOOKUP($BD450,Programma!$F$3:$L$1107,7,0),"")</f>
        <v/>
      </c>
      <c r="BK450" s="300" t="str">
        <f>_xlfn.IFNA(VLOOKUP($BD450,Programma!$F$3:$M$1107,8,0),"")</f>
        <v/>
      </c>
      <c r="BL450" s="300" t="str">
        <f>_xlfn.IFNA(VLOOKUP($BD450,Programma!$F$3:$N$1107,9,0),"")</f>
        <v/>
      </c>
      <c r="BM450" s="300" t="str">
        <f>_xlfn.IFNA(VLOOKUP($BD450,Programma!$F$3:$O$1107,10,0),"")</f>
        <v/>
      </c>
      <c r="BN450" s="300" t="str">
        <f>_xlfn.IFNA(VLOOKUP($BD450,Programma!$F$3:$P$1107,11,0),"")</f>
        <v/>
      </c>
      <c r="BO450" s="300" t="str">
        <f>_xlfn.IFNA(VLOOKUP($BD450,Programma!$F$3:$Q$1107,12,0),"")</f>
        <v/>
      </c>
      <c r="BP450" s="300" t="str">
        <f>_xlfn.IFNA(VLOOKUP($BD450,Programma!$F$3:$R$1107,13,0),"")</f>
        <v/>
      </c>
      <c r="BQ450" s="300" t="str">
        <f>_xlfn.IFNA(VLOOKUP($BD450,Programma!$F$3:$S$1107,14,0),"")</f>
        <v/>
      </c>
      <c r="BR450" s="300" t="str">
        <f>_xlfn.IFNA(VLOOKUP($BD450,Programma!$F$3:$T$1107,15,0),"")</f>
        <v/>
      </c>
      <c r="BS450" s="300" t="str">
        <f>_xlfn.IFNA(VLOOKUP($BD450,Programma!$F$3:$U$1107,16,0),"")</f>
        <v/>
      </c>
      <c r="BT450" s="300" t="str">
        <f>_xlfn.IFNA(VLOOKUP($BD450,Programma!$F$3:$V$1107,17,0),"")</f>
        <v/>
      </c>
      <c r="BU450" s="300" t="str">
        <f>_xlfn.IFNA(VLOOKUP($BD450,Programma!$F$3:$W$1107,18,0),"")</f>
        <v/>
      </c>
      <c r="BV450" s="300" t="str">
        <f>_xlfn.IFNA(VLOOKUP($BD450,Programma!$F$3:$X$1107,19,0),"")</f>
        <v/>
      </c>
      <c r="BW450" s="300" t="str">
        <f>_xlfn.IFNA(VLOOKUP($BD450,Programma!$F$3:$Y$1107,20,0),"")</f>
        <v/>
      </c>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c r="GK450" s="4"/>
      <c r="GL450" s="4"/>
      <c r="GM450" s="4"/>
      <c r="GN450" s="4"/>
      <c r="GO450" s="4"/>
      <c r="GP450" s="4"/>
      <c r="GQ450" s="4"/>
      <c r="GR450" s="4"/>
      <c r="GS450" s="4"/>
      <c r="GT450" s="4"/>
      <c r="GU450" s="4"/>
      <c r="GV450" s="4"/>
      <c r="GW450" s="4"/>
      <c r="GX450" s="4"/>
      <c r="GY450" s="4"/>
      <c r="GZ450" s="4"/>
      <c r="HA450" s="4"/>
      <c r="HB450" s="4"/>
      <c r="HC450" s="4"/>
      <c r="HD450" s="4"/>
      <c r="HE450" s="4"/>
      <c r="HF450" s="4"/>
      <c r="HG450" s="4"/>
      <c r="HH450" s="4"/>
      <c r="HI450" s="4"/>
      <c r="HJ450" s="4"/>
      <c r="HK450" s="4"/>
      <c r="HL450" s="4"/>
    </row>
    <row r="451" spans="1:220" ht="15" customHeight="1">
      <c r="A451" s="21">
        <v>6</v>
      </c>
      <c r="B451" s="157" t="str">
        <f>VLOOKUP(Ruimtestaat[[#This Row],[Code]],Locaties[[Code]:[Locatie]],2,FALSE)</f>
        <v>Veurs Lyceum</v>
      </c>
      <c r="C451" s="157" t="str">
        <f>VLOOKUP(Ruimtestaat[[#This Row],[Code]],Locaties[[#All],[Code]:[Adres]],4,FALSE)</f>
        <v>Burg. Kolfschotenlaan 5</v>
      </c>
      <c r="D451" s="157" t="str">
        <f>VLOOKUP(Ruimtestaat[[#This Row],[Code]],Locaties[[#All],[Code]:[Postcode]],5,FALSE)</f>
        <v xml:space="preserve">2262 EZ </v>
      </c>
      <c r="E451" s="157" t="str">
        <f>VLOOKUP(Ruimtestaat[[#This Row],[Code]],Locaties[#All],6,FALSE)</f>
        <v>Leidschendam</v>
      </c>
      <c r="F451" s="62"/>
      <c r="G451" s="21" t="s">
        <v>1632</v>
      </c>
      <c r="H451" s="21">
        <v>26</v>
      </c>
      <c r="I451" s="62" t="s">
        <v>2086</v>
      </c>
      <c r="J451" s="21">
        <v>8</v>
      </c>
      <c r="K451" s="62" t="str">
        <f>VLOOKUP(Ruimtestaat[[#This Row],[Ruimte code]],Ruimtegroepen[[#All],[Code]:[Ruimte omschrijving]],2,FALSE)</f>
        <v>Mediatheek / OLC</v>
      </c>
      <c r="L451" s="33" t="s">
        <v>100</v>
      </c>
      <c r="M451" s="367" t="s">
        <v>2493</v>
      </c>
      <c r="N451" s="140">
        <v>26</v>
      </c>
      <c r="O451" s="140"/>
      <c r="P451" s="125" t="str">
        <f>VLOOKUP(Ruimtestaat[[#This Row],[Ruimte code]],Ruimtegroepen[],4,FALSE)</f>
        <v>Le</v>
      </c>
      <c r="R451" s="33">
        <v>40</v>
      </c>
      <c r="S451" s="33" t="s">
        <v>2</v>
      </c>
      <c r="T451" s="33">
        <f>IF(R451&gt;0,IF(RIGHT(Ruimtestaat[[#This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1" s="33">
        <f>IF(T451&gt;0,VLOOKUP($J451,Ruimtegroepen[],3,FALSE)*VLOOKUP($L451,Vloersoorten[],3,FALSE)*VLOOKUP($S451,Frequenties[],3,FALSE)*VLOOKUP($A451,Locaties[],3,FALSE),0)</f>
        <v>0</v>
      </c>
      <c r="V451" s="33">
        <f>Ruimtestaat[[#This Row],[Uitvoeringen werkdagen]]*Ruimtestaat[[#This Row],[Oppervlak (netto)]]</f>
        <v>5200</v>
      </c>
      <c r="W451" s="154">
        <f>IF(U451&gt;0,Ruimtestaat[[#This Row],[Prest. (m2 /jaar) werkdagen]]/Ruimtestaat[[#This Row],[Norm (m2/uur) werkdagen]],0)</f>
        <v>0</v>
      </c>
      <c r="X451" s="155">
        <f>Ruimtestaat[[#This Row],[uren / jaar werkdagen]]*Tariefsopbouw!$E$35</f>
        <v>0</v>
      </c>
      <c r="Y451" s="33"/>
      <c r="Z451" s="33">
        <f>IF(Ruimtestaat[[#This Row],[Frequentie weekend]]&gt;0,VALUE(LEFT(Y451,1))*R451,0)</f>
        <v>0</v>
      </c>
      <c r="AA451" s="97">
        <f>IF($Z451&gt;0,VLOOKUP($J451,Ruimtegroepen[],3,FALSE)*VLOOKUP($L451,Vloersoorten[],3,FALSE)*VLOOKUP($Y451,Frequenties[],3,FALSE)*VLOOKUP(Ruimtestaat[[#This Row],[Code]],Locaties[],3,FALSE),0)</f>
        <v>0</v>
      </c>
      <c r="AB451" s="97">
        <f>Ruimtestaat[[#This Row],[Uitvoeringen weekend]]*Ruimtestaat[[#This Row],[Oppervlak (netto)]]</f>
        <v>0</v>
      </c>
      <c r="AC451" s="97">
        <f>IF(AA451&gt;0,Ruimtestaat[[#This Row],[Prest. (m2 /jaar) weekend]]/Ruimtestaat[[#This Row],[Norm (m2/uur) weekend]],0)</f>
        <v>0</v>
      </c>
      <c r="AD451" s="155">
        <f>Ruimtestaat[[#This Row],[uren / jaar weekend]]*Tariefsopbouw!$D$40</f>
        <v>0</v>
      </c>
      <c r="AE451" s="154">
        <f>Ruimtestaat[[#This Row],[Prest. (m2 /jaar) weekend]]+Ruimtestaat[[#This Row],[Prest. (m2 /jaar) werkdagen]]</f>
        <v>5200</v>
      </c>
      <c r="AF451" s="154">
        <f>Ruimtestaat[[#This Row],[uren / jaar weekend]]+Ruimtestaat[[#This Row],[uren / jaar werkdagen]]</f>
        <v>0</v>
      </c>
      <c r="AG451" s="69">
        <f>Ruimtestaat[[#This Row],[kosten / jaar weekend]]+Ruimtestaat[[#This Row],[kosten / jaar werkdagen]]</f>
        <v>0</v>
      </c>
      <c r="AH451" s="69"/>
      <c r="AI451" s="256" t="str">
        <f>IF(Ruimtestaat[[#This Row],[Frequentie werkdagen]]="","",_xlfn.CONCAT(Ruimtestaat[[#This Row],[Ruimte code]],"-",Ruimtestaat[[#This Row],[Frequentie werkdagen]]," ",Ruimtestaat[[#This Row],[Vloer code]]))</f>
        <v>8-5w T</v>
      </c>
      <c r="AJ451" s="300" t="str">
        <f>_xlfn.IFNA(VLOOKUP($AI451,Programma!$F$3:$G$1107,2,0),"")</f>
        <v>_</v>
      </c>
      <c r="AK451" s="300" t="str">
        <f>_xlfn.IFNA(VLOOKUP($AI451,Programma!$F$3:$H$1107,3,0),"")</f>
        <v>5w</v>
      </c>
      <c r="AL451" s="300" t="str">
        <f>_xlfn.IFNA(VLOOKUP($AI451,Programma!$F$3:$I$1107,4,0),"")</f>
        <v>_</v>
      </c>
      <c r="AM451" s="300" t="str">
        <f>_xlfn.IFNA(VLOOKUP($AI451,Programma!$F$3:$J$1107,5,0),"")</f>
        <v>_</v>
      </c>
      <c r="AN451" s="300" t="str">
        <f>_xlfn.IFNA(VLOOKUP($AI451,Programma!$F$3:$K$1107,6,0),"")</f>
        <v>_</v>
      </c>
      <c r="AO451" s="300" t="str">
        <f>_xlfn.IFNA(VLOOKUP($AI451,Programma!$F$3:$L$1107,7,0),"")</f>
        <v>_</v>
      </c>
      <c r="AP451" s="300" t="str">
        <f>_xlfn.IFNA(VLOOKUP($AI451,Programma!$F$3:$M$1107,8,0),"")</f>
        <v>_</v>
      </c>
      <c r="AQ451" s="300" t="str">
        <f>_xlfn.IFNA(VLOOKUP($AI451,Programma!$F$3:$N$1107,9,0),"")</f>
        <v>_</v>
      </c>
      <c r="AR451" s="300" t="str">
        <f>_xlfn.IFNA(VLOOKUP($AI451,Programma!$F$3:$O$1107,10,0),"")</f>
        <v>5w</v>
      </c>
      <c r="AS451" s="300" t="str">
        <f>_xlfn.IFNA(VLOOKUP($AI451,Programma!$F$3:$P$1107,11,0),"")</f>
        <v>5w</v>
      </c>
      <c r="AT451" s="300" t="str">
        <f>_xlfn.IFNA(VLOOKUP($AI451,Programma!$F$3:$Q$1107,12,0),"")</f>
        <v>1w</v>
      </c>
      <c r="AU451" s="300" t="str">
        <f>_xlfn.IFNA(VLOOKUP($AI451,Programma!$F$3:$R$1107,13,0),"")</f>
        <v>1w</v>
      </c>
      <c r="AV451" s="300" t="str">
        <f>_xlfn.IFNA(VLOOKUP($AI451,Programma!$F$3:$S$1107,14,0),"")</f>
        <v>1m</v>
      </c>
      <c r="AW451" s="300" t="str">
        <f>_xlfn.IFNA(VLOOKUP($AI451,Programma!$F$3:$T$1107,15,0),"")</f>
        <v>2j</v>
      </c>
      <c r="AX451" s="300" t="str">
        <f>_xlfn.IFNA(VLOOKUP($AI451,Programma!$F$3:$U$1107,16,0),"")</f>
        <v>1j</v>
      </c>
      <c r="AY451" s="300" t="str">
        <f>_xlfn.IFNA(VLOOKUP($AI451,Programma!$F$3:$V$1107,17,0),"")</f>
        <v>_</v>
      </c>
      <c r="AZ451" s="300" t="str">
        <f>_xlfn.IFNA(VLOOKUP($AI451,Programma!$F$3:$W$1107,18,0),"")</f>
        <v>_</v>
      </c>
      <c r="BA451" s="300" t="str">
        <f>_xlfn.IFNA(VLOOKUP($AI451,Programma!$F$3:$X$1107,19,0),"")</f>
        <v>_</v>
      </c>
      <c r="BB451" s="300" t="str">
        <f>_xlfn.IFNA(VLOOKUP($AI451,Programma!$F$3:$Y$1107,20,0),"")</f>
        <v>_</v>
      </c>
      <c r="BC451" s="257"/>
      <c r="BD451" s="256" t="str">
        <f>IF(Ruimtestaat[[#This Row],[Frequentie weekend]]="","",_xlfn.CONCAT(Ruimtestaat[[#This Row],[Ruimte code]],"-",Ruimtestaat[[#This Row],[Frequentie weekend]]," ",Ruimtestaat[[#This Row],[Vloer code]]))</f>
        <v/>
      </c>
      <c r="BE451" s="300" t="str">
        <f>_xlfn.IFNA(VLOOKUP($BD451,Programma!$F$3:$G$1107,2,0),"")</f>
        <v/>
      </c>
      <c r="BF451" s="300" t="str">
        <f>_xlfn.IFNA(VLOOKUP($BD451,Programma!$F$3:$H$1107,3,0),"")</f>
        <v/>
      </c>
      <c r="BG451" s="300" t="str">
        <f>_xlfn.IFNA(VLOOKUP($BD451,Programma!$F$3:$I$1107,4,0),"")</f>
        <v/>
      </c>
      <c r="BH451" s="300" t="str">
        <f>_xlfn.IFNA(VLOOKUP($BD451,Programma!$F$3:$J$1107,5,0),"")</f>
        <v/>
      </c>
      <c r="BI451" s="300" t="str">
        <f>_xlfn.IFNA(VLOOKUP($BD451,Programma!$F$3:$K$1107,6,0),"")</f>
        <v/>
      </c>
      <c r="BJ451" s="300" t="str">
        <f>_xlfn.IFNA(VLOOKUP($BD451,Programma!$F$3:$L$1107,7,0),"")</f>
        <v/>
      </c>
      <c r="BK451" s="300" t="str">
        <f>_xlfn.IFNA(VLOOKUP($BD451,Programma!$F$3:$M$1107,8,0),"")</f>
        <v/>
      </c>
      <c r="BL451" s="300" t="str">
        <f>_xlfn.IFNA(VLOOKUP($BD451,Programma!$F$3:$N$1107,9,0),"")</f>
        <v/>
      </c>
      <c r="BM451" s="300" t="str">
        <f>_xlfn.IFNA(VLOOKUP($BD451,Programma!$F$3:$O$1107,10,0),"")</f>
        <v/>
      </c>
      <c r="BN451" s="300" t="str">
        <f>_xlfn.IFNA(VLOOKUP($BD451,Programma!$F$3:$P$1107,11,0),"")</f>
        <v/>
      </c>
      <c r="BO451" s="300" t="str">
        <f>_xlfn.IFNA(VLOOKUP($BD451,Programma!$F$3:$Q$1107,12,0),"")</f>
        <v/>
      </c>
      <c r="BP451" s="300" t="str">
        <f>_xlfn.IFNA(VLOOKUP($BD451,Programma!$F$3:$R$1107,13,0),"")</f>
        <v/>
      </c>
      <c r="BQ451" s="300" t="str">
        <f>_xlfn.IFNA(VLOOKUP($BD451,Programma!$F$3:$S$1107,14,0),"")</f>
        <v/>
      </c>
      <c r="BR451" s="300" t="str">
        <f>_xlfn.IFNA(VLOOKUP($BD451,Programma!$F$3:$T$1107,15,0),"")</f>
        <v/>
      </c>
      <c r="BS451" s="300" t="str">
        <f>_xlfn.IFNA(VLOOKUP($BD451,Programma!$F$3:$U$1107,16,0),"")</f>
        <v/>
      </c>
      <c r="BT451" s="300" t="str">
        <f>_xlfn.IFNA(VLOOKUP($BD451,Programma!$F$3:$V$1107,17,0),"")</f>
        <v/>
      </c>
      <c r="BU451" s="300" t="str">
        <f>_xlfn.IFNA(VLOOKUP($BD451,Programma!$F$3:$W$1107,18,0),"")</f>
        <v/>
      </c>
      <c r="BV451" s="300" t="str">
        <f>_xlfn.IFNA(VLOOKUP($BD451,Programma!$F$3:$X$1107,19,0),"")</f>
        <v/>
      </c>
      <c r="BW451" s="300" t="str">
        <f>_xlfn.IFNA(VLOOKUP($BD451,Programma!$F$3:$Y$1107,20,0),"")</f>
        <v/>
      </c>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c r="GK451" s="4"/>
      <c r="GL451" s="4"/>
      <c r="GM451" s="4"/>
      <c r="GN451" s="4"/>
      <c r="GO451" s="4"/>
      <c r="GP451" s="4"/>
      <c r="GQ451" s="4"/>
      <c r="GR451" s="4"/>
      <c r="GS451" s="4"/>
      <c r="GT451" s="4"/>
      <c r="GU451" s="4"/>
      <c r="GV451" s="4"/>
      <c r="GW451" s="4"/>
      <c r="GX451" s="4"/>
      <c r="GY451" s="4"/>
      <c r="GZ451" s="4"/>
      <c r="HA451" s="4"/>
      <c r="HB451" s="4"/>
      <c r="HC451" s="4"/>
      <c r="HD451" s="4"/>
      <c r="HE451" s="4"/>
      <c r="HF451" s="4"/>
      <c r="HG451" s="4"/>
      <c r="HH451" s="4"/>
      <c r="HI451" s="4"/>
      <c r="HJ451" s="4"/>
      <c r="HK451" s="4"/>
      <c r="HL451" s="4"/>
    </row>
    <row r="452" spans="1:220" ht="15" customHeight="1">
      <c r="A452" s="21">
        <v>6</v>
      </c>
      <c r="B452" s="157" t="str">
        <f>VLOOKUP(Ruimtestaat[[#This Row],[Code]],Locaties[[Code]:[Locatie]],2,FALSE)</f>
        <v>Veurs Lyceum</v>
      </c>
      <c r="C452" s="157" t="str">
        <f>VLOOKUP(Ruimtestaat[[#This Row],[Code]],Locaties[[#All],[Code]:[Adres]],4,FALSE)</f>
        <v>Burg. Kolfschotenlaan 5</v>
      </c>
      <c r="D452" s="157" t="str">
        <f>VLOOKUP(Ruimtestaat[[#This Row],[Code]],Locaties[[#All],[Code]:[Postcode]],5,FALSE)</f>
        <v xml:space="preserve">2262 EZ </v>
      </c>
      <c r="E452" s="157" t="str">
        <f>VLOOKUP(Ruimtestaat[[#This Row],[Code]],Locaties[#All],6,FALSE)</f>
        <v>Leidschendam</v>
      </c>
      <c r="F452" s="62"/>
      <c r="G452" s="21" t="s">
        <v>1632</v>
      </c>
      <c r="H452" s="21">
        <v>27</v>
      </c>
      <c r="I452" s="62" t="s">
        <v>2087</v>
      </c>
      <c r="J452" s="21">
        <v>2</v>
      </c>
      <c r="K452" s="62" t="str">
        <f>VLOOKUP(Ruimtestaat[[#This Row],[Ruimte code]],Ruimtegroepen[[#All],[Code]:[Ruimte omschrijving]],2,FALSE)</f>
        <v>Kantoren</v>
      </c>
      <c r="L452" s="33" t="s">
        <v>100</v>
      </c>
      <c r="M452" s="367" t="s">
        <v>2493</v>
      </c>
      <c r="N452" s="140">
        <v>49</v>
      </c>
      <c r="O452" s="140"/>
      <c r="P452" s="125" t="str">
        <f>VLOOKUP(Ruimtestaat[[#This Row],[Ruimte code]],Ruimtegroepen[],4,FALSE)</f>
        <v>Bu</v>
      </c>
      <c r="R452" s="33">
        <v>42</v>
      </c>
      <c r="S452" s="33" t="s">
        <v>18</v>
      </c>
      <c r="T452" s="33">
        <f>IF(R452&gt;0,IF(RIGHT(Ruimtestaat[[#This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52" s="33">
        <f>IF(T452&gt;0,VLOOKUP($J452,Ruimtegroepen[],3,FALSE)*VLOOKUP($L452,Vloersoorten[],3,FALSE)*VLOOKUP($S452,Frequenties[],3,FALSE)*VLOOKUP($A452,Locaties[],3,FALSE),0)</f>
        <v>0</v>
      </c>
      <c r="V452" s="33">
        <f>Ruimtestaat[[#This Row],[Uitvoeringen werkdagen]]*Ruimtestaat[[#This Row],[Oppervlak (netto)]]</f>
        <v>6174</v>
      </c>
      <c r="W452" s="154">
        <f>IF(U452&gt;0,Ruimtestaat[[#This Row],[Prest. (m2 /jaar) werkdagen]]/Ruimtestaat[[#This Row],[Norm (m2/uur) werkdagen]],0)</f>
        <v>0</v>
      </c>
      <c r="X452" s="155">
        <f>Ruimtestaat[[#This Row],[uren / jaar werkdagen]]*Tariefsopbouw!$E$35</f>
        <v>0</v>
      </c>
      <c r="Y452" s="33"/>
      <c r="Z452" s="33">
        <f>IF(Ruimtestaat[[#This Row],[Frequentie weekend]]&gt;0,VALUE(LEFT(Y452,1))*R452,0)</f>
        <v>0</v>
      </c>
      <c r="AA452" s="97">
        <f>IF($Z452&gt;0,VLOOKUP($J452,Ruimtegroepen[],3,FALSE)*VLOOKUP($L452,Vloersoorten[],3,FALSE)*VLOOKUP($Y452,Frequenties[],3,FALSE)*VLOOKUP(Ruimtestaat[[#This Row],[Code]],Locaties[],3,FALSE),0)</f>
        <v>0</v>
      </c>
      <c r="AB452" s="97">
        <f>Ruimtestaat[[#This Row],[Uitvoeringen weekend]]*Ruimtestaat[[#This Row],[Oppervlak (netto)]]</f>
        <v>0</v>
      </c>
      <c r="AC452" s="97">
        <f>IF(AA452&gt;0,Ruimtestaat[[#This Row],[Prest. (m2 /jaar) weekend]]/Ruimtestaat[[#This Row],[Norm (m2/uur) weekend]],0)</f>
        <v>0</v>
      </c>
      <c r="AD452" s="155">
        <f>Ruimtestaat[[#This Row],[uren / jaar weekend]]*Tariefsopbouw!$D$40</f>
        <v>0</v>
      </c>
      <c r="AE452" s="154">
        <f>Ruimtestaat[[#This Row],[Prest. (m2 /jaar) weekend]]+Ruimtestaat[[#This Row],[Prest. (m2 /jaar) werkdagen]]</f>
        <v>6174</v>
      </c>
      <c r="AF452" s="154">
        <f>Ruimtestaat[[#This Row],[uren / jaar weekend]]+Ruimtestaat[[#This Row],[uren / jaar werkdagen]]</f>
        <v>0</v>
      </c>
      <c r="AG452" s="69">
        <f>Ruimtestaat[[#This Row],[kosten / jaar weekend]]+Ruimtestaat[[#This Row],[kosten / jaar werkdagen]]</f>
        <v>0</v>
      </c>
      <c r="AH452" s="69"/>
      <c r="AI452" s="256" t="str">
        <f>IF(Ruimtestaat[[#This Row],[Frequentie werkdagen]]="","",_xlfn.CONCAT(Ruimtestaat[[#This Row],[Ruimte code]],"-",Ruimtestaat[[#This Row],[Frequentie werkdagen]]," ",Ruimtestaat[[#This Row],[Vloer code]]))</f>
        <v>2-3w T</v>
      </c>
      <c r="AJ452" s="300" t="str">
        <f>_xlfn.IFNA(VLOOKUP($AI452,Programma!$F$3:$G$1107,2,0),"")</f>
        <v>2w</v>
      </c>
      <c r="AK452" s="300" t="str">
        <f>_xlfn.IFNA(VLOOKUP($AI452,Programma!$F$3:$H$1107,3,0),"")</f>
        <v>1w</v>
      </c>
      <c r="AL452" s="300" t="str">
        <f>_xlfn.IFNA(VLOOKUP($AI452,Programma!$F$3:$I$1107,4,0),"")</f>
        <v>_</v>
      </c>
      <c r="AM452" s="300" t="str">
        <f>_xlfn.IFNA(VLOOKUP($AI452,Programma!$F$3:$J$1107,5,0),"")</f>
        <v>_</v>
      </c>
      <c r="AN452" s="300" t="str">
        <f>_xlfn.IFNA(VLOOKUP($AI452,Programma!$F$3:$K$1107,6,0),"")</f>
        <v>_</v>
      </c>
      <c r="AO452" s="300" t="str">
        <f>_xlfn.IFNA(VLOOKUP($AI452,Programma!$F$3:$L$1107,7,0),"")</f>
        <v>_</v>
      </c>
      <c r="AP452" s="300" t="str">
        <f>_xlfn.IFNA(VLOOKUP($AI452,Programma!$F$3:$M$1107,8,0),"")</f>
        <v>_</v>
      </c>
      <c r="AQ452" s="300" t="str">
        <f>_xlfn.IFNA(VLOOKUP($AI452,Programma!$F$3:$N$1107,9,0),"")</f>
        <v>_</v>
      </c>
      <c r="AR452" s="300" t="str">
        <f>_xlfn.IFNA(VLOOKUP($AI452,Programma!$F$3:$O$1107,10,0),"")</f>
        <v>3w</v>
      </c>
      <c r="AS452" s="300" t="str">
        <f>_xlfn.IFNA(VLOOKUP($AI452,Programma!$F$3:$P$1107,11,0),"")</f>
        <v>3w</v>
      </c>
      <c r="AT452" s="300" t="str">
        <f>_xlfn.IFNA(VLOOKUP($AI452,Programma!$F$3:$Q$1107,12,0),"")</f>
        <v>1w</v>
      </c>
      <c r="AU452" s="300" t="str">
        <f>_xlfn.IFNA(VLOOKUP($AI452,Programma!$F$3:$R$1107,13,0),"")</f>
        <v>1w</v>
      </c>
      <c r="AV452" s="300" t="str">
        <f>_xlfn.IFNA(VLOOKUP($AI452,Programma!$F$3:$S$1107,14,0),"")</f>
        <v>1m</v>
      </c>
      <c r="AW452" s="300" t="str">
        <f>_xlfn.IFNA(VLOOKUP($AI452,Programma!$F$3:$T$1107,15,0),"")</f>
        <v>2j</v>
      </c>
      <c r="AX452" s="300" t="str">
        <f>_xlfn.IFNA(VLOOKUP($AI452,Programma!$F$3:$U$1107,16,0),"")</f>
        <v>1j</v>
      </c>
      <c r="AY452" s="300" t="str">
        <f>_xlfn.IFNA(VLOOKUP($AI452,Programma!$F$3:$V$1107,17,0),"")</f>
        <v>_</v>
      </c>
      <c r="AZ452" s="300" t="str">
        <f>_xlfn.IFNA(VLOOKUP($AI452,Programma!$F$3:$W$1107,18,0),"")</f>
        <v>_</v>
      </c>
      <c r="BA452" s="300" t="str">
        <f>_xlfn.IFNA(VLOOKUP($AI452,Programma!$F$3:$X$1107,19,0),"")</f>
        <v>_</v>
      </c>
      <c r="BB452" s="300" t="str">
        <f>_xlfn.IFNA(VLOOKUP($AI452,Programma!$F$3:$Y$1107,20,0),"")</f>
        <v>_</v>
      </c>
      <c r="BC452" s="257"/>
      <c r="BD452" s="256" t="str">
        <f>IF(Ruimtestaat[[#This Row],[Frequentie weekend]]="","",_xlfn.CONCAT(Ruimtestaat[[#This Row],[Ruimte code]],"-",Ruimtestaat[[#This Row],[Frequentie weekend]]," ",Ruimtestaat[[#This Row],[Vloer code]]))</f>
        <v/>
      </c>
      <c r="BE452" s="300" t="str">
        <f>_xlfn.IFNA(VLOOKUP($BD452,Programma!$F$3:$G$1107,2,0),"")</f>
        <v/>
      </c>
      <c r="BF452" s="300" t="str">
        <f>_xlfn.IFNA(VLOOKUP($BD452,Programma!$F$3:$H$1107,3,0),"")</f>
        <v/>
      </c>
      <c r="BG452" s="300" t="str">
        <f>_xlfn.IFNA(VLOOKUP($BD452,Programma!$F$3:$I$1107,4,0),"")</f>
        <v/>
      </c>
      <c r="BH452" s="300" t="str">
        <f>_xlfn.IFNA(VLOOKUP($BD452,Programma!$F$3:$J$1107,5,0),"")</f>
        <v/>
      </c>
      <c r="BI452" s="300" t="str">
        <f>_xlfn.IFNA(VLOOKUP($BD452,Programma!$F$3:$K$1107,6,0),"")</f>
        <v/>
      </c>
      <c r="BJ452" s="300" t="str">
        <f>_xlfn.IFNA(VLOOKUP($BD452,Programma!$F$3:$L$1107,7,0),"")</f>
        <v/>
      </c>
      <c r="BK452" s="300" t="str">
        <f>_xlfn.IFNA(VLOOKUP($BD452,Programma!$F$3:$M$1107,8,0),"")</f>
        <v/>
      </c>
      <c r="BL452" s="300" t="str">
        <f>_xlfn.IFNA(VLOOKUP($BD452,Programma!$F$3:$N$1107,9,0),"")</f>
        <v/>
      </c>
      <c r="BM452" s="300" t="str">
        <f>_xlfn.IFNA(VLOOKUP($BD452,Programma!$F$3:$O$1107,10,0),"")</f>
        <v/>
      </c>
      <c r="BN452" s="300" t="str">
        <f>_xlfn.IFNA(VLOOKUP($BD452,Programma!$F$3:$P$1107,11,0),"")</f>
        <v/>
      </c>
      <c r="BO452" s="300" t="str">
        <f>_xlfn.IFNA(VLOOKUP($BD452,Programma!$F$3:$Q$1107,12,0),"")</f>
        <v/>
      </c>
      <c r="BP452" s="300" t="str">
        <f>_xlfn.IFNA(VLOOKUP($BD452,Programma!$F$3:$R$1107,13,0),"")</f>
        <v/>
      </c>
      <c r="BQ452" s="300" t="str">
        <f>_xlfn.IFNA(VLOOKUP($BD452,Programma!$F$3:$S$1107,14,0),"")</f>
        <v/>
      </c>
      <c r="BR452" s="300" t="str">
        <f>_xlfn.IFNA(VLOOKUP($BD452,Programma!$F$3:$T$1107,15,0),"")</f>
        <v/>
      </c>
      <c r="BS452" s="300" t="str">
        <f>_xlfn.IFNA(VLOOKUP($BD452,Programma!$F$3:$U$1107,16,0),"")</f>
        <v/>
      </c>
      <c r="BT452" s="300" t="str">
        <f>_xlfn.IFNA(VLOOKUP($BD452,Programma!$F$3:$V$1107,17,0),"")</f>
        <v/>
      </c>
      <c r="BU452" s="300" t="str">
        <f>_xlfn.IFNA(VLOOKUP($BD452,Programma!$F$3:$W$1107,18,0),"")</f>
        <v/>
      </c>
      <c r="BV452" s="300" t="str">
        <f>_xlfn.IFNA(VLOOKUP($BD452,Programma!$F$3:$X$1107,19,0),"")</f>
        <v/>
      </c>
      <c r="BW452" s="300" t="str">
        <f>_xlfn.IFNA(VLOOKUP($BD452,Programma!$F$3:$Y$1107,20,0),"")</f>
        <v/>
      </c>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c r="GK452" s="4"/>
      <c r="GL452" s="4"/>
      <c r="GM452" s="4"/>
      <c r="GN452" s="4"/>
      <c r="GO452" s="4"/>
      <c r="GP452" s="4"/>
      <c r="GQ452" s="4"/>
      <c r="GR452" s="4"/>
      <c r="GS452" s="4"/>
      <c r="GT452" s="4"/>
      <c r="GU452" s="4"/>
      <c r="GV452" s="4"/>
      <c r="GW452" s="4"/>
      <c r="GX452" s="4"/>
      <c r="GY452" s="4"/>
      <c r="GZ452" s="4"/>
      <c r="HA452" s="4"/>
      <c r="HB452" s="4"/>
      <c r="HC452" s="4"/>
      <c r="HD452" s="4"/>
      <c r="HE452" s="4"/>
      <c r="HF452" s="4"/>
      <c r="HG452" s="4"/>
      <c r="HH452" s="4"/>
      <c r="HI452" s="4"/>
      <c r="HJ452" s="4"/>
      <c r="HK452" s="4"/>
      <c r="HL452" s="4"/>
    </row>
    <row r="453" spans="1:220" ht="15" customHeight="1">
      <c r="A453" s="21">
        <v>6</v>
      </c>
      <c r="B453" s="157" t="str">
        <f>VLOOKUP(Ruimtestaat[[#This Row],[Code]],Locaties[[Code]:[Locatie]],2,FALSE)</f>
        <v>Veurs Lyceum</v>
      </c>
      <c r="C453" s="157" t="str">
        <f>VLOOKUP(Ruimtestaat[[#This Row],[Code]],Locaties[[#All],[Code]:[Adres]],4,FALSE)</f>
        <v>Burg. Kolfschotenlaan 5</v>
      </c>
      <c r="D453" s="157" t="str">
        <f>VLOOKUP(Ruimtestaat[[#This Row],[Code]],Locaties[[#All],[Code]:[Postcode]],5,FALSE)</f>
        <v xml:space="preserve">2262 EZ </v>
      </c>
      <c r="E453" s="157" t="str">
        <f>VLOOKUP(Ruimtestaat[[#This Row],[Code]],Locaties[#All],6,FALSE)</f>
        <v>Leidschendam</v>
      </c>
      <c r="F453" s="62"/>
      <c r="G453" s="21" t="s">
        <v>1632</v>
      </c>
      <c r="H453" s="21">
        <v>28</v>
      </c>
      <c r="I453" s="62" t="s">
        <v>2088</v>
      </c>
      <c r="J453" s="21">
        <v>1</v>
      </c>
      <c r="K453" s="62" t="str">
        <f>VLOOKUP(Ruimtestaat[[#This Row],[Ruimte code]],Ruimtegroepen[[#All],[Code]:[Ruimte omschrijving]],2,FALSE)</f>
        <v>Magazijnen/bergingen</v>
      </c>
      <c r="L453" s="33" t="s">
        <v>101</v>
      </c>
      <c r="M453" s="367" t="s">
        <v>2495</v>
      </c>
      <c r="N453" s="140">
        <v>6</v>
      </c>
      <c r="O453" s="140"/>
      <c r="P453" s="125" t="str">
        <f>VLOOKUP(Ruimtestaat[[#This Row],[Ruimte code]],Ruimtegroepen[],4,FALSE)</f>
        <v>Ve</v>
      </c>
      <c r="R453" s="33">
        <v>40</v>
      </c>
      <c r="S453" s="33" t="s">
        <v>16</v>
      </c>
      <c r="T453" s="33">
        <f>IF(R453&gt;0,IF(RIGHT(Ruimtestaat[[#This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53" s="33">
        <f>IF(T453&gt;0,VLOOKUP($J453,Ruimtegroepen[],3,FALSE)*VLOOKUP($L453,Vloersoorten[],3,FALSE)*VLOOKUP($S453,Frequenties[],3,FALSE)*VLOOKUP($A453,Locaties[],3,FALSE),0)</f>
        <v>0</v>
      </c>
      <c r="V453" s="33">
        <f>Ruimtestaat[[#This Row],[Uitvoeringen werkdagen]]*Ruimtestaat[[#This Row],[Oppervlak (netto)]]</f>
        <v>72</v>
      </c>
      <c r="W453" s="154">
        <f>IF(U453&gt;0,Ruimtestaat[[#This Row],[Prest. (m2 /jaar) werkdagen]]/Ruimtestaat[[#This Row],[Norm (m2/uur) werkdagen]],0)</f>
        <v>0</v>
      </c>
      <c r="X453" s="155">
        <f>Ruimtestaat[[#This Row],[uren / jaar werkdagen]]*Tariefsopbouw!$E$35</f>
        <v>0</v>
      </c>
      <c r="Y453" s="33"/>
      <c r="Z453" s="33">
        <f>IF(Ruimtestaat[[#This Row],[Frequentie weekend]]&gt;0,VALUE(LEFT(Y453,1))*R453,0)</f>
        <v>0</v>
      </c>
      <c r="AA453" s="97">
        <f>IF($Z453&gt;0,VLOOKUP($J453,Ruimtegroepen[],3,FALSE)*VLOOKUP($L453,Vloersoorten[],3,FALSE)*VLOOKUP($Y453,Frequenties[],3,FALSE)*VLOOKUP(Ruimtestaat[[#This Row],[Code]],Locaties[],3,FALSE),0)</f>
        <v>0</v>
      </c>
      <c r="AB453" s="97">
        <f>Ruimtestaat[[#This Row],[Uitvoeringen weekend]]*Ruimtestaat[[#This Row],[Oppervlak (netto)]]</f>
        <v>0</v>
      </c>
      <c r="AC453" s="97">
        <f>IF(AA453&gt;0,Ruimtestaat[[#This Row],[Prest. (m2 /jaar) weekend]]/Ruimtestaat[[#This Row],[Norm (m2/uur) weekend]],0)</f>
        <v>0</v>
      </c>
      <c r="AD453" s="155">
        <f>Ruimtestaat[[#This Row],[uren / jaar weekend]]*Tariefsopbouw!$D$40</f>
        <v>0</v>
      </c>
      <c r="AE453" s="154">
        <f>Ruimtestaat[[#This Row],[Prest. (m2 /jaar) weekend]]+Ruimtestaat[[#This Row],[Prest. (m2 /jaar) werkdagen]]</f>
        <v>72</v>
      </c>
      <c r="AF453" s="154">
        <f>Ruimtestaat[[#This Row],[uren / jaar weekend]]+Ruimtestaat[[#This Row],[uren / jaar werkdagen]]</f>
        <v>0</v>
      </c>
      <c r="AG453" s="69">
        <f>Ruimtestaat[[#This Row],[kosten / jaar weekend]]+Ruimtestaat[[#This Row],[kosten / jaar werkdagen]]</f>
        <v>0</v>
      </c>
      <c r="AH453" s="69"/>
      <c r="AI453" s="256" t="str">
        <f>IF(Ruimtestaat[[#This Row],[Frequentie werkdagen]]="","",_xlfn.CONCAT(Ruimtestaat[[#This Row],[Ruimte code]],"-",Ruimtestaat[[#This Row],[Frequentie werkdagen]]," ",Ruimtestaat[[#This Row],[Vloer code]]))</f>
        <v>1-1m L</v>
      </c>
      <c r="AJ453" s="300" t="str">
        <f>_xlfn.IFNA(VLOOKUP($AI453,Programma!$F$3:$G$1107,2,0),"")</f>
        <v>_</v>
      </c>
      <c r="AK453" s="300" t="str">
        <f>_xlfn.IFNA(VLOOKUP($AI453,Programma!$F$3:$H$1107,3,0),"")</f>
        <v>_</v>
      </c>
      <c r="AL453" s="300" t="str">
        <f>_xlfn.IFNA(VLOOKUP($AI453,Programma!$F$3:$I$1107,4,0),"")</f>
        <v>1m</v>
      </c>
      <c r="AM453" s="300" t="str">
        <f>_xlfn.IFNA(VLOOKUP($AI453,Programma!$F$3:$J$1107,5,0),"")</f>
        <v>1m</v>
      </c>
      <c r="AN453" s="300" t="str">
        <f>_xlfn.IFNA(VLOOKUP($AI453,Programma!$F$3:$K$1107,6,0),"")</f>
        <v>_</v>
      </c>
      <c r="AO453" s="300" t="str">
        <f>_xlfn.IFNA(VLOOKUP($AI453,Programma!$F$3:$L$1107,7,0),"")</f>
        <v>_</v>
      </c>
      <c r="AP453" s="300" t="str">
        <f>_xlfn.IFNA(VLOOKUP($AI453,Programma!$F$3:$M$1107,8,0),"")</f>
        <v>_</v>
      </c>
      <c r="AQ453" s="300" t="str">
        <f>_xlfn.IFNA(VLOOKUP($AI453,Programma!$F$3:$N$1107,9,0),"")</f>
        <v>_</v>
      </c>
      <c r="AR453" s="300" t="str">
        <f>_xlfn.IFNA(VLOOKUP($AI453,Programma!$F$3:$O$1107,10,0),"")</f>
        <v>_</v>
      </c>
      <c r="AS453" s="300" t="str">
        <f>_xlfn.IFNA(VLOOKUP($AI453,Programma!$F$3:$P$1107,11,0),"")</f>
        <v>_</v>
      </c>
      <c r="AT453" s="300" t="str">
        <f>_xlfn.IFNA(VLOOKUP($AI453,Programma!$F$3:$Q$1107,12,0),"")</f>
        <v>_</v>
      </c>
      <c r="AU453" s="300" t="str">
        <f>_xlfn.IFNA(VLOOKUP($AI453,Programma!$F$3:$R$1107,13,0),"")</f>
        <v>_</v>
      </c>
      <c r="AV453" s="300" t="str">
        <f>_xlfn.IFNA(VLOOKUP($AI453,Programma!$F$3:$S$1107,14,0),"")</f>
        <v>1m</v>
      </c>
      <c r="AW453" s="300" t="str">
        <f>_xlfn.IFNA(VLOOKUP($AI453,Programma!$F$3:$T$1107,15,0),"")</f>
        <v>4j</v>
      </c>
      <c r="AX453" s="300" t="str">
        <f>_xlfn.IFNA(VLOOKUP($AI453,Programma!$F$3:$U$1107,16,0),"")</f>
        <v>4j</v>
      </c>
      <c r="AY453" s="300" t="str">
        <f>_xlfn.IFNA(VLOOKUP($AI453,Programma!$F$3:$V$1107,17,0),"")</f>
        <v>_</v>
      </c>
      <c r="AZ453" s="300" t="str">
        <f>_xlfn.IFNA(VLOOKUP($AI453,Programma!$F$3:$W$1107,18,0),"")</f>
        <v>_</v>
      </c>
      <c r="BA453" s="300" t="str">
        <f>_xlfn.IFNA(VLOOKUP($AI453,Programma!$F$3:$X$1107,19,0),"")</f>
        <v>_</v>
      </c>
      <c r="BB453" s="300" t="str">
        <f>_xlfn.IFNA(VLOOKUP($AI453,Programma!$F$3:$Y$1107,20,0),"")</f>
        <v>_</v>
      </c>
      <c r="BC453" s="257"/>
      <c r="BD453" s="256" t="str">
        <f>IF(Ruimtestaat[[#This Row],[Frequentie weekend]]="","",_xlfn.CONCAT(Ruimtestaat[[#This Row],[Ruimte code]],"-",Ruimtestaat[[#This Row],[Frequentie weekend]]," ",Ruimtestaat[[#This Row],[Vloer code]]))</f>
        <v/>
      </c>
      <c r="BE453" s="300" t="str">
        <f>_xlfn.IFNA(VLOOKUP($BD453,Programma!$F$3:$G$1107,2,0),"")</f>
        <v/>
      </c>
      <c r="BF453" s="300" t="str">
        <f>_xlfn.IFNA(VLOOKUP($BD453,Programma!$F$3:$H$1107,3,0),"")</f>
        <v/>
      </c>
      <c r="BG453" s="300" t="str">
        <f>_xlfn.IFNA(VLOOKUP($BD453,Programma!$F$3:$I$1107,4,0),"")</f>
        <v/>
      </c>
      <c r="BH453" s="300" t="str">
        <f>_xlfn.IFNA(VLOOKUP($BD453,Programma!$F$3:$J$1107,5,0),"")</f>
        <v/>
      </c>
      <c r="BI453" s="300" t="str">
        <f>_xlfn.IFNA(VLOOKUP($BD453,Programma!$F$3:$K$1107,6,0),"")</f>
        <v/>
      </c>
      <c r="BJ453" s="300" t="str">
        <f>_xlfn.IFNA(VLOOKUP($BD453,Programma!$F$3:$L$1107,7,0),"")</f>
        <v/>
      </c>
      <c r="BK453" s="300" t="str">
        <f>_xlfn.IFNA(VLOOKUP($BD453,Programma!$F$3:$M$1107,8,0),"")</f>
        <v/>
      </c>
      <c r="BL453" s="300" t="str">
        <f>_xlfn.IFNA(VLOOKUP($BD453,Programma!$F$3:$N$1107,9,0),"")</f>
        <v/>
      </c>
      <c r="BM453" s="300" t="str">
        <f>_xlfn.IFNA(VLOOKUP($BD453,Programma!$F$3:$O$1107,10,0),"")</f>
        <v/>
      </c>
      <c r="BN453" s="300" t="str">
        <f>_xlfn.IFNA(VLOOKUP($BD453,Programma!$F$3:$P$1107,11,0),"")</f>
        <v/>
      </c>
      <c r="BO453" s="300" t="str">
        <f>_xlfn.IFNA(VLOOKUP($BD453,Programma!$F$3:$Q$1107,12,0),"")</f>
        <v/>
      </c>
      <c r="BP453" s="300" t="str">
        <f>_xlfn.IFNA(VLOOKUP($BD453,Programma!$F$3:$R$1107,13,0),"")</f>
        <v/>
      </c>
      <c r="BQ453" s="300" t="str">
        <f>_xlfn.IFNA(VLOOKUP($BD453,Programma!$F$3:$S$1107,14,0),"")</f>
        <v/>
      </c>
      <c r="BR453" s="300" t="str">
        <f>_xlfn.IFNA(VLOOKUP($BD453,Programma!$F$3:$T$1107,15,0),"")</f>
        <v/>
      </c>
      <c r="BS453" s="300" t="str">
        <f>_xlfn.IFNA(VLOOKUP($BD453,Programma!$F$3:$U$1107,16,0),"")</f>
        <v/>
      </c>
      <c r="BT453" s="300" t="str">
        <f>_xlfn.IFNA(VLOOKUP($BD453,Programma!$F$3:$V$1107,17,0),"")</f>
        <v/>
      </c>
      <c r="BU453" s="300" t="str">
        <f>_xlfn.IFNA(VLOOKUP($BD453,Programma!$F$3:$W$1107,18,0),"")</f>
        <v/>
      </c>
      <c r="BV453" s="300" t="str">
        <f>_xlfn.IFNA(VLOOKUP($BD453,Programma!$F$3:$X$1107,19,0),"")</f>
        <v/>
      </c>
      <c r="BW453" s="300" t="str">
        <f>_xlfn.IFNA(VLOOKUP($BD453,Programma!$F$3:$Y$1107,20,0),"")</f>
        <v/>
      </c>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c r="GK453" s="4"/>
      <c r="GL453" s="4"/>
      <c r="GM453" s="4"/>
      <c r="GN453" s="4"/>
      <c r="GO453" s="4"/>
      <c r="GP453" s="4"/>
      <c r="GQ453" s="4"/>
      <c r="GR453" s="4"/>
      <c r="GS453" s="4"/>
      <c r="GT453" s="4"/>
      <c r="GU453" s="4"/>
      <c r="GV453" s="4"/>
      <c r="GW453" s="4"/>
      <c r="GX453" s="4"/>
      <c r="GY453" s="4"/>
      <c r="GZ453" s="4"/>
      <c r="HA453" s="4"/>
      <c r="HB453" s="4"/>
      <c r="HC453" s="4"/>
      <c r="HD453" s="4"/>
      <c r="HE453" s="4"/>
      <c r="HF453" s="4"/>
      <c r="HG453" s="4"/>
      <c r="HH453" s="4"/>
      <c r="HI453" s="4"/>
      <c r="HJ453" s="4"/>
      <c r="HK453" s="4"/>
      <c r="HL453" s="4"/>
    </row>
    <row r="454" spans="1:220" ht="15" customHeight="1">
      <c r="A454" s="21">
        <v>6</v>
      </c>
      <c r="B454" s="157" t="str">
        <f>VLOOKUP(Ruimtestaat[[#This Row],[Code]],Locaties[[Code]:[Locatie]],2,FALSE)</f>
        <v>Veurs Lyceum</v>
      </c>
      <c r="C454" s="157" t="str">
        <f>VLOOKUP(Ruimtestaat[[#This Row],[Code]],Locaties[[#All],[Code]:[Adres]],4,FALSE)</f>
        <v>Burg. Kolfschotenlaan 5</v>
      </c>
      <c r="D454" s="157" t="str">
        <f>VLOOKUP(Ruimtestaat[[#This Row],[Code]],Locaties[[#All],[Code]:[Postcode]],5,FALSE)</f>
        <v xml:space="preserve">2262 EZ </v>
      </c>
      <c r="E454" s="157" t="str">
        <f>VLOOKUP(Ruimtestaat[[#This Row],[Code]],Locaties[#All],6,FALSE)</f>
        <v>Leidschendam</v>
      </c>
      <c r="F454" s="62"/>
      <c r="G454" s="21" t="s">
        <v>1632</v>
      </c>
      <c r="H454" s="21">
        <v>29</v>
      </c>
      <c r="I454" s="62" t="s">
        <v>2089</v>
      </c>
      <c r="J454" s="21">
        <v>5</v>
      </c>
      <c r="K454" s="62" t="str">
        <f>VLOOKUP(Ruimtestaat[[#This Row],[Ruimte code]],Ruimtegroepen[[#All],[Code]:[Ruimte omschrijving]],2,FALSE)</f>
        <v>Sanitair</v>
      </c>
      <c r="L454" s="33" t="s">
        <v>103</v>
      </c>
      <c r="M454" s="367" t="s">
        <v>2518</v>
      </c>
      <c r="N454" s="140">
        <v>3</v>
      </c>
      <c r="O454" s="140"/>
      <c r="P454" s="125" t="str">
        <f>VLOOKUP(Ruimtestaat[[#This Row],[Ruimte code]],Ruimtegroepen[],4,FALSE)</f>
        <v>Sa</v>
      </c>
      <c r="R454" s="33">
        <v>40</v>
      </c>
      <c r="S454" s="33" t="s">
        <v>2</v>
      </c>
      <c r="T454" s="33">
        <f>IF(R454&gt;0,IF(RIGHT(Ruimtestaat[[#This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4" s="33">
        <f>IF(T454&gt;0,VLOOKUP($J454,Ruimtegroepen[],3,FALSE)*VLOOKUP($L454,Vloersoorten[],3,FALSE)*VLOOKUP($S454,Frequenties[],3,FALSE)*VLOOKUP($A454,Locaties[],3,FALSE),0)</f>
        <v>0</v>
      </c>
      <c r="V454" s="33">
        <f>Ruimtestaat[[#This Row],[Uitvoeringen werkdagen]]*Ruimtestaat[[#This Row],[Oppervlak (netto)]]</f>
        <v>600</v>
      </c>
      <c r="W454" s="154">
        <f>IF(U454&gt;0,Ruimtestaat[[#This Row],[Prest. (m2 /jaar) werkdagen]]/Ruimtestaat[[#This Row],[Norm (m2/uur) werkdagen]],0)</f>
        <v>0</v>
      </c>
      <c r="X454" s="155">
        <f>Ruimtestaat[[#This Row],[uren / jaar werkdagen]]*Tariefsopbouw!$E$35</f>
        <v>0</v>
      </c>
      <c r="Y454" s="33"/>
      <c r="Z454" s="33">
        <f>IF(Ruimtestaat[[#This Row],[Frequentie weekend]]&gt;0,VALUE(LEFT(Y454,1))*R454,0)</f>
        <v>0</v>
      </c>
      <c r="AA454" s="97">
        <f>IF($Z454&gt;0,VLOOKUP($J454,Ruimtegroepen[],3,FALSE)*VLOOKUP($L454,Vloersoorten[],3,FALSE)*VLOOKUP($Y454,Frequenties[],3,FALSE)*VLOOKUP(Ruimtestaat[[#This Row],[Code]],Locaties[],3,FALSE),0)</f>
        <v>0</v>
      </c>
      <c r="AB454" s="97">
        <f>Ruimtestaat[[#This Row],[Uitvoeringen weekend]]*Ruimtestaat[[#This Row],[Oppervlak (netto)]]</f>
        <v>0</v>
      </c>
      <c r="AC454" s="97">
        <f>IF(AA454&gt;0,Ruimtestaat[[#This Row],[Prest. (m2 /jaar) weekend]]/Ruimtestaat[[#This Row],[Norm (m2/uur) weekend]],0)</f>
        <v>0</v>
      </c>
      <c r="AD454" s="155">
        <f>Ruimtestaat[[#This Row],[uren / jaar weekend]]*Tariefsopbouw!$D$40</f>
        <v>0</v>
      </c>
      <c r="AE454" s="154">
        <f>Ruimtestaat[[#This Row],[Prest. (m2 /jaar) weekend]]+Ruimtestaat[[#This Row],[Prest. (m2 /jaar) werkdagen]]</f>
        <v>600</v>
      </c>
      <c r="AF454" s="154">
        <f>Ruimtestaat[[#This Row],[uren / jaar weekend]]+Ruimtestaat[[#This Row],[uren / jaar werkdagen]]</f>
        <v>0</v>
      </c>
      <c r="AG454" s="69">
        <f>Ruimtestaat[[#This Row],[kosten / jaar weekend]]+Ruimtestaat[[#This Row],[kosten / jaar werkdagen]]</f>
        <v>0</v>
      </c>
      <c r="AH454" s="69"/>
      <c r="AI454" s="256" t="str">
        <f>IF(Ruimtestaat[[#This Row],[Frequentie werkdagen]]="","",_xlfn.CONCAT(Ruimtestaat[[#This Row],[Ruimte code]],"-",Ruimtestaat[[#This Row],[Frequentie werkdagen]]," ",Ruimtestaat[[#This Row],[Vloer code]]))</f>
        <v>5-5w P</v>
      </c>
      <c r="AJ454" s="300" t="str">
        <f>_xlfn.IFNA(VLOOKUP($AI454,Programma!$F$3:$G$1107,2,0),"")</f>
        <v>_</v>
      </c>
      <c r="AK454" s="300" t="str">
        <f>_xlfn.IFNA(VLOOKUP($AI454,Programma!$F$3:$H$1107,3,0),"")</f>
        <v>_</v>
      </c>
      <c r="AL454" s="300" t="str">
        <f>_xlfn.IFNA(VLOOKUP($AI454,Programma!$F$3:$I$1107,4,0),"")</f>
        <v>_</v>
      </c>
      <c r="AM454" s="300" t="str">
        <f>_xlfn.IFNA(VLOOKUP($AI454,Programma!$F$3:$J$1107,5,0),"")</f>
        <v>4w</v>
      </c>
      <c r="AN454" s="300" t="str">
        <f>_xlfn.IFNA(VLOOKUP($AI454,Programma!$F$3:$K$1107,6,0),"")</f>
        <v>1w</v>
      </c>
      <c r="AO454" s="300" t="str">
        <f>_xlfn.IFNA(VLOOKUP($AI454,Programma!$F$3:$L$1107,7,0),"")</f>
        <v>_</v>
      </c>
      <c r="AP454" s="300" t="str">
        <f>_xlfn.IFNA(VLOOKUP($AI454,Programma!$F$3:$M$1107,8,0),"")</f>
        <v>_</v>
      </c>
      <c r="AQ454" s="300" t="str">
        <f>_xlfn.IFNA(VLOOKUP($AI454,Programma!$F$3:$N$1107,9,0),"")</f>
        <v>_</v>
      </c>
      <c r="AR454" s="300" t="str">
        <f>_xlfn.IFNA(VLOOKUP($AI454,Programma!$F$3:$O$1107,10,0),"")</f>
        <v>_</v>
      </c>
      <c r="AS454" s="300" t="str">
        <f>_xlfn.IFNA(VLOOKUP($AI454,Programma!$F$3:$P$1107,11,0),"")</f>
        <v>_</v>
      </c>
      <c r="AT454" s="300" t="str">
        <f>_xlfn.IFNA(VLOOKUP($AI454,Programma!$F$3:$Q$1107,12,0),"")</f>
        <v>_</v>
      </c>
      <c r="AU454" s="300" t="str">
        <f>_xlfn.IFNA(VLOOKUP($AI454,Programma!$F$3:$R$1107,13,0),"")</f>
        <v>_</v>
      </c>
      <c r="AV454" s="300" t="str">
        <f>_xlfn.IFNA(VLOOKUP($AI454,Programma!$F$3:$S$1107,14,0),"")</f>
        <v>_</v>
      </c>
      <c r="AW454" s="300" t="str">
        <f>_xlfn.IFNA(VLOOKUP($AI454,Programma!$F$3:$T$1107,15,0),"")</f>
        <v>_</v>
      </c>
      <c r="AX454" s="300" t="str">
        <f>_xlfn.IFNA(VLOOKUP($AI454,Programma!$F$3:$U$1107,16,0),"")</f>
        <v>_</v>
      </c>
      <c r="AY454" s="300" t="str">
        <f>_xlfn.IFNA(VLOOKUP($AI454,Programma!$F$3:$V$1107,17,0),"")</f>
        <v>_</v>
      </c>
      <c r="AZ454" s="300" t="str">
        <f>_xlfn.IFNA(VLOOKUP($AI454,Programma!$F$3:$W$1107,18,0),"")</f>
        <v>4w</v>
      </c>
      <c r="BA454" s="300" t="str">
        <f>_xlfn.IFNA(VLOOKUP($AI454,Programma!$F$3:$X$1107,19,0),"")</f>
        <v>1w</v>
      </c>
      <c r="BB454" s="300" t="str">
        <f>_xlfn.IFNA(VLOOKUP($AI454,Programma!$F$3:$Y$1107,20,0),"")</f>
        <v>_</v>
      </c>
      <c r="BC454" s="257"/>
      <c r="BD454" s="256" t="str">
        <f>IF(Ruimtestaat[[#This Row],[Frequentie weekend]]="","",_xlfn.CONCAT(Ruimtestaat[[#This Row],[Ruimte code]],"-",Ruimtestaat[[#This Row],[Frequentie weekend]]," ",Ruimtestaat[[#This Row],[Vloer code]]))</f>
        <v/>
      </c>
      <c r="BE454" s="300" t="str">
        <f>_xlfn.IFNA(VLOOKUP($BD454,Programma!$F$3:$G$1107,2,0),"")</f>
        <v/>
      </c>
      <c r="BF454" s="300" t="str">
        <f>_xlfn.IFNA(VLOOKUP($BD454,Programma!$F$3:$H$1107,3,0),"")</f>
        <v/>
      </c>
      <c r="BG454" s="300" t="str">
        <f>_xlfn.IFNA(VLOOKUP($BD454,Programma!$F$3:$I$1107,4,0),"")</f>
        <v/>
      </c>
      <c r="BH454" s="300" t="str">
        <f>_xlfn.IFNA(VLOOKUP($BD454,Programma!$F$3:$J$1107,5,0),"")</f>
        <v/>
      </c>
      <c r="BI454" s="300" t="str">
        <f>_xlfn.IFNA(VLOOKUP($BD454,Programma!$F$3:$K$1107,6,0),"")</f>
        <v/>
      </c>
      <c r="BJ454" s="300" t="str">
        <f>_xlfn.IFNA(VLOOKUP($BD454,Programma!$F$3:$L$1107,7,0),"")</f>
        <v/>
      </c>
      <c r="BK454" s="300" t="str">
        <f>_xlfn.IFNA(VLOOKUP($BD454,Programma!$F$3:$M$1107,8,0),"")</f>
        <v/>
      </c>
      <c r="BL454" s="300" t="str">
        <f>_xlfn.IFNA(VLOOKUP($BD454,Programma!$F$3:$N$1107,9,0),"")</f>
        <v/>
      </c>
      <c r="BM454" s="300" t="str">
        <f>_xlfn.IFNA(VLOOKUP($BD454,Programma!$F$3:$O$1107,10,0),"")</f>
        <v/>
      </c>
      <c r="BN454" s="300" t="str">
        <f>_xlfn.IFNA(VLOOKUP($BD454,Programma!$F$3:$P$1107,11,0),"")</f>
        <v/>
      </c>
      <c r="BO454" s="300" t="str">
        <f>_xlfn.IFNA(VLOOKUP($BD454,Programma!$F$3:$Q$1107,12,0),"")</f>
        <v/>
      </c>
      <c r="BP454" s="300" t="str">
        <f>_xlfn.IFNA(VLOOKUP($BD454,Programma!$F$3:$R$1107,13,0),"")</f>
        <v/>
      </c>
      <c r="BQ454" s="300" t="str">
        <f>_xlfn.IFNA(VLOOKUP($BD454,Programma!$F$3:$S$1107,14,0),"")</f>
        <v/>
      </c>
      <c r="BR454" s="300" t="str">
        <f>_xlfn.IFNA(VLOOKUP($BD454,Programma!$F$3:$T$1107,15,0),"")</f>
        <v/>
      </c>
      <c r="BS454" s="300" t="str">
        <f>_xlfn.IFNA(VLOOKUP($BD454,Programma!$F$3:$U$1107,16,0),"")</f>
        <v/>
      </c>
      <c r="BT454" s="300" t="str">
        <f>_xlfn.IFNA(VLOOKUP($BD454,Programma!$F$3:$V$1107,17,0),"")</f>
        <v/>
      </c>
      <c r="BU454" s="300" t="str">
        <f>_xlfn.IFNA(VLOOKUP($BD454,Programma!$F$3:$W$1107,18,0),"")</f>
        <v/>
      </c>
      <c r="BV454" s="300" t="str">
        <f>_xlfn.IFNA(VLOOKUP($BD454,Programma!$F$3:$X$1107,19,0),"")</f>
        <v/>
      </c>
      <c r="BW454" s="300" t="str">
        <f>_xlfn.IFNA(VLOOKUP($BD454,Programma!$F$3:$Y$1107,20,0),"")</f>
        <v/>
      </c>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c r="GK454" s="4"/>
      <c r="GL454" s="4"/>
      <c r="GM454" s="4"/>
      <c r="GN454" s="4"/>
      <c r="GO454" s="4"/>
      <c r="GP454" s="4"/>
      <c r="GQ454" s="4"/>
      <c r="GR454" s="4"/>
      <c r="GS454" s="4"/>
      <c r="GT454" s="4"/>
      <c r="GU454" s="4"/>
      <c r="GV454" s="4"/>
      <c r="GW454" s="4"/>
      <c r="GX454" s="4"/>
      <c r="GY454" s="4"/>
      <c r="GZ454" s="4"/>
      <c r="HA454" s="4"/>
      <c r="HB454" s="4"/>
      <c r="HC454" s="4"/>
      <c r="HD454" s="4"/>
      <c r="HE454" s="4"/>
      <c r="HF454" s="4"/>
      <c r="HG454" s="4"/>
      <c r="HH454" s="4"/>
      <c r="HI454" s="4"/>
      <c r="HJ454" s="4"/>
      <c r="HK454" s="4"/>
      <c r="HL454" s="4"/>
    </row>
    <row r="455" spans="1:220" ht="15" customHeight="1">
      <c r="A455" s="21">
        <v>6</v>
      </c>
      <c r="B455" s="157" t="str">
        <f>VLOOKUP(Ruimtestaat[[#This Row],[Code]],Locaties[[Code]:[Locatie]],2,FALSE)</f>
        <v>Veurs Lyceum</v>
      </c>
      <c r="C455" s="157" t="str">
        <f>VLOOKUP(Ruimtestaat[[#This Row],[Code]],Locaties[[#All],[Code]:[Adres]],4,FALSE)</f>
        <v>Burg. Kolfschotenlaan 5</v>
      </c>
      <c r="D455" s="157" t="str">
        <f>VLOOKUP(Ruimtestaat[[#This Row],[Code]],Locaties[[#All],[Code]:[Postcode]],5,FALSE)</f>
        <v xml:space="preserve">2262 EZ </v>
      </c>
      <c r="E455" s="157" t="str">
        <f>VLOOKUP(Ruimtestaat[[#This Row],[Code]],Locaties[#All],6,FALSE)</f>
        <v>Leidschendam</v>
      </c>
      <c r="F455" s="62"/>
      <c r="G455" s="21" t="s">
        <v>1632</v>
      </c>
      <c r="H455" s="21">
        <v>30</v>
      </c>
      <c r="I455" s="62" t="s">
        <v>2090</v>
      </c>
      <c r="J455" s="21">
        <v>2</v>
      </c>
      <c r="K455" s="62" t="str">
        <f>VLOOKUP(Ruimtestaat[[#This Row],[Ruimte code]],Ruimtegroepen[[#All],[Code]:[Ruimte omschrijving]],2,FALSE)</f>
        <v>Kantoren</v>
      </c>
      <c r="L455" s="33" t="s">
        <v>103</v>
      </c>
      <c r="M455" s="367" t="s">
        <v>121</v>
      </c>
      <c r="N455" s="140">
        <v>14</v>
      </c>
      <c r="O455" s="140"/>
      <c r="P455" s="125" t="str">
        <f>VLOOKUP(Ruimtestaat[[#This Row],[Ruimte code]],Ruimtegroepen[],4,FALSE)</f>
        <v>Bu</v>
      </c>
      <c r="R455" s="33">
        <v>42</v>
      </c>
      <c r="S455" s="33" t="s">
        <v>18</v>
      </c>
      <c r="T455" s="33">
        <f>IF(R455&gt;0,IF(RIGHT(Ruimtestaat[[#This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55" s="33">
        <f>IF(T455&gt;0,VLOOKUP($J455,Ruimtegroepen[],3,FALSE)*VLOOKUP($L455,Vloersoorten[],3,FALSE)*VLOOKUP($S455,Frequenties[],3,FALSE)*VLOOKUP($A455,Locaties[],3,FALSE),0)</f>
        <v>0</v>
      </c>
      <c r="V455" s="33">
        <f>Ruimtestaat[[#This Row],[Uitvoeringen werkdagen]]*Ruimtestaat[[#This Row],[Oppervlak (netto)]]</f>
        <v>1764</v>
      </c>
      <c r="W455" s="154">
        <f>IF(U455&gt;0,Ruimtestaat[[#This Row],[Prest. (m2 /jaar) werkdagen]]/Ruimtestaat[[#This Row],[Norm (m2/uur) werkdagen]],0)</f>
        <v>0</v>
      </c>
      <c r="X455" s="155">
        <f>Ruimtestaat[[#This Row],[uren / jaar werkdagen]]*Tariefsopbouw!$E$35</f>
        <v>0</v>
      </c>
      <c r="Y455" s="33"/>
      <c r="Z455" s="33">
        <f>IF(Ruimtestaat[[#This Row],[Frequentie weekend]]&gt;0,VALUE(LEFT(Y455,1))*R455,0)</f>
        <v>0</v>
      </c>
      <c r="AA455" s="97">
        <f>IF($Z455&gt;0,VLOOKUP($J455,Ruimtegroepen[],3,FALSE)*VLOOKUP($L455,Vloersoorten[],3,FALSE)*VLOOKUP($Y455,Frequenties[],3,FALSE)*VLOOKUP(Ruimtestaat[[#This Row],[Code]],Locaties[],3,FALSE),0)</f>
        <v>0</v>
      </c>
      <c r="AB455" s="97">
        <f>Ruimtestaat[[#This Row],[Uitvoeringen weekend]]*Ruimtestaat[[#This Row],[Oppervlak (netto)]]</f>
        <v>0</v>
      </c>
      <c r="AC455" s="97">
        <f>IF(AA455&gt;0,Ruimtestaat[[#This Row],[Prest. (m2 /jaar) weekend]]/Ruimtestaat[[#This Row],[Norm (m2/uur) weekend]],0)</f>
        <v>0</v>
      </c>
      <c r="AD455" s="155">
        <f>Ruimtestaat[[#This Row],[uren / jaar weekend]]*Tariefsopbouw!$D$40</f>
        <v>0</v>
      </c>
      <c r="AE455" s="154">
        <f>Ruimtestaat[[#This Row],[Prest. (m2 /jaar) weekend]]+Ruimtestaat[[#This Row],[Prest. (m2 /jaar) werkdagen]]</f>
        <v>1764</v>
      </c>
      <c r="AF455" s="154">
        <f>Ruimtestaat[[#This Row],[uren / jaar weekend]]+Ruimtestaat[[#This Row],[uren / jaar werkdagen]]</f>
        <v>0</v>
      </c>
      <c r="AG455" s="69">
        <f>Ruimtestaat[[#This Row],[kosten / jaar weekend]]+Ruimtestaat[[#This Row],[kosten / jaar werkdagen]]</f>
        <v>0</v>
      </c>
      <c r="AH455" s="69"/>
      <c r="AI455" s="256" t="str">
        <f>IF(Ruimtestaat[[#This Row],[Frequentie werkdagen]]="","",_xlfn.CONCAT(Ruimtestaat[[#This Row],[Ruimte code]],"-",Ruimtestaat[[#This Row],[Frequentie werkdagen]]," ",Ruimtestaat[[#This Row],[Vloer code]]))</f>
        <v>2-3w P</v>
      </c>
      <c r="AJ455" s="300" t="str">
        <f>_xlfn.IFNA(VLOOKUP($AI455,Programma!$F$3:$G$1107,2,0),"")</f>
        <v>_</v>
      </c>
      <c r="AK455" s="300" t="str">
        <f>_xlfn.IFNA(VLOOKUP($AI455,Programma!$F$3:$H$1107,3,0),"")</f>
        <v>_</v>
      </c>
      <c r="AL455" s="300" t="str">
        <f>_xlfn.IFNA(VLOOKUP($AI455,Programma!$F$3:$I$1107,4,0),"")</f>
        <v>2w</v>
      </c>
      <c r="AM455" s="300" t="str">
        <f>_xlfn.IFNA(VLOOKUP($AI455,Programma!$F$3:$J$1107,5,0),"")</f>
        <v>1w</v>
      </c>
      <c r="AN455" s="300" t="str">
        <f>_xlfn.IFNA(VLOOKUP($AI455,Programma!$F$3:$K$1107,6,0),"")</f>
        <v>1j</v>
      </c>
      <c r="AO455" s="300" t="str">
        <f>_xlfn.IFNA(VLOOKUP($AI455,Programma!$F$3:$L$1107,7,0),"")</f>
        <v>_</v>
      </c>
      <c r="AP455" s="300" t="str">
        <f>_xlfn.IFNA(VLOOKUP($AI455,Programma!$F$3:$M$1107,8,0),"")</f>
        <v>_</v>
      </c>
      <c r="AQ455" s="300" t="str">
        <f>_xlfn.IFNA(VLOOKUP($AI455,Programma!$F$3:$N$1107,9,0),"")</f>
        <v>_</v>
      </c>
      <c r="AR455" s="300" t="str">
        <f>_xlfn.IFNA(VLOOKUP($AI455,Programma!$F$3:$O$1107,10,0),"")</f>
        <v>3w</v>
      </c>
      <c r="AS455" s="300" t="str">
        <f>_xlfn.IFNA(VLOOKUP($AI455,Programma!$F$3:$P$1107,11,0),"")</f>
        <v>3w</v>
      </c>
      <c r="AT455" s="300" t="str">
        <f>_xlfn.IFNA(VLOOKUP($AI455,Programma!$F$3:$Q$1107,12,0),"")</f>
        <v>1w</v>
      </c>
      <c r="AU455" s="300" t="str">
        <f>_xlfn.IFNA(VLOOKUP($AI455,Programma!$F$3:$R$1107,13,0),"")</f>
        <v>1w</v>
      </c>
      <c r="AV455" s="300" t="str">
        <f>_xlfn.IFNA(VLOOKUP($AI455,Programma!$F$3:$S$1107,14,0),"")</f>
        <v>1m</v>
      </c>
      <c r="AW455" s="300" t="str">
        <f>_xlfn.IFNA(VLOOKUP($AI455,Programma!$F$3:$T$1107,15,0),"")</f>
        <v>2j</v>
      </c>
      <c r="AX455" s="300" t="str">
        <f>_xlfn.IFNA(VLOOKUP($AI455,Programma!$F$3:$U$1107,16,0),"")</f>
        <v>1j</v>
      </c>
      <c r="AY455" s="300" t="str">
        <f>_xlfn.IFNA(VLOOKUP($AI455,Programma!$F$3:$V$1107,17,0),"")</f>
        <v>_</v>
      </c>
      <c r="AZ455" s="300" t="str">
        <f>_xlfn.IFNA(VLOOKUP($AI455,Programma!$F$3:$W$1107,18,0),"")</f>
        <v>_</v>
      </c>
      <c r="BA455" s="300" t="str">
        <f>_xlfn.IFNA(VLOOKUP($AI455,Programma!$F$3:$X$1107,19,0),"")</f>
        <v>_</v>
      </c>
      <c r="BB455" s="300" t="str">
        <f>_xlfn.IFNA(VLOOKUP($AI455,Programma!$F$3:$Y$1107,20,0),"")</f>
        <v>_</v>
      </c>
      <c r="BC455" s="257"/>
      <c r="BD455" s="256" t="str">
        <f>IF(Ruimtestaat[[#This Row],[Frequentie weekend]]="","",_xlfn.CONCAT(Ruimtestaat[[#This Row],[Ruimte code]],"-",Ruimtestaat[[#This Row],[Frequentie weekend]]," ",Ruimtestaat[[#This Row],[Vloer code]]))</f>
        <v/>
      </c>
      <c r="BE455" s="300" t="str">
        <f>_xlfn.IFNA(VLOOKUP($BD455,Programma!$F$3:$G$1107,2,0),"")</f>
        <v/>
      </c>
      <c r="BF455" s="300" t="str">
        <f>_xlfn.IFNA(VLOOKUP($BD455,Programma!$F$3:$H$1107,3,0),"")</f>
        <v/>
      </c>
      <c r="BG455" s="300" t="str">
        <f>_xlfn.IFNA(VLOOKUP($BD455,Programma!$F$3:$I$1107,4,0),"")</f>
        <v/>
      </c>
      <c r="BH455" s="300" t="str">
        <f>_xlfn.IFNA(VLOOKUP($BD455,Programma!$F$3:$J$1107,5,0),"")</f>
        <v/>
      </c>
      <c r="BI455" s="300" t="str">
        <f>_xlfn.IFNA(VLOOKUP($BD455,Programma!$F$3:$K$1107,6,0),"")</f>
        <v/>
      </c>
      <c r="BJ455" s="300" t="str">
        <f>_xlfn.IFNA(VLOOKUP($BD455,Programma!$F$3:$L$1107,7,0),"")</f>
        <v/>
      </c>
      <c r="BK455" s="300" t="str">
        <f>_xlfn.IFNA(VLOOKUP($BD455,Programma!$F$3:$M$1107,8,0),"")</f>
        <v/>
      </c>
      <c r="BL455" s="300" t="str">
        <f>_xlfn.IFNA(VLOOKUP($BD455,Programma!$F$3:$N$1107,9,0),"")</f>
        <v/>
      </c>
      <c r="BM455" s="300" t="str">
        <f>_xlfn.IFNA(VLOOKUP($BD455,Programma!$F$3:$O$1107,10,0),"")</f>
        <v/>
      </c>
      <c r="BN455" s="300" t="str">
        <f>_xlfn.IFNA(VLOOKUP($BD455,Programma!$F$3:$P$1107,11,0),"")</f>
        <v/>
      </c>
      <c r="BO455" s="300" t="str">
        <f>_xlfn.IFNA(VLOOKUP($BD455,Programma!$F$3:$Q$1107,12,0),"")</f>
        <v/>
      </c>
      <c r="BP455" s="300" t="str">
        <f>_xlfn.IFNA(VLOOKUP($BD455,Programma!$F$3:$R$1107,13,0),"")</f>
        <v/>
      </c>
      <c r="BQ455" s="300" t="str">
        <f>_xlfn.IFNA(VLOOKUP($BD455,Programma!$F$3:$S$1107,14,0),"")</f>
        <v/>
      </c>
      <c r="BR455" s="300" t="str">
        <f>_xlfn.IFNA(VLOOKUP($BD455,Programma!$F$3:$T$1107,15,0),"")</f>
        <v/>
      </c>
      <c r="BS455" s="300" t="str">
        <f>_xlfn.IFNA(VLOOKUP($BD455,Programma!$F$3:$U$1107,16,0),"")</f>
        <v/>
      </c>
      <c r="BT455" s="300" t="str">
        <f>_xlfn.IFNA(VLOOKUP($BD455,Programma!$F$3:$V$1107,17,0),"")</f>
        <v/>
      </c>
      <c r="BU455" s="300" t="str">
        <f>_xlfn.IFNA(VLOOKUP($BD455,Programma!$F$3:$W$1107,18,0),"")</f>
        <v/>
      </c>
      <c r="BV455" s="300" t="str">
        <f>_xlfn.IFNA(VLOOKUP($BD455,Programma!$F$3:$X$1107,19,0),"")</f>
        <v/>
      </c>
      <c r="BW455" s="300" t="str">
        <f>_xlfn.IFNA(VLOOKUP($BD455,Programma!$F$3:$Y$1107,20,0),"")</f>
        <v/>
      </c>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c r="GK455" s="4"/>
      <c r="GL455" s="4"/>
      <c r="GM455" s="4"/>
      <c r="GN455" s="4"/>
      <c r="GO455" s="4"/>
      <c r="GP455" s="4"/>
      <c r="GQ455" s="4"/>
      <c r="GR455" s="4"/>
      <c r="GS455" s="4"/>
      <c r="GT455" s="4"/>
      <c r="GU455" s="4"/>
      <c r="GV455" s="4"/>
      <c r="GW455" s="4"/>
      <c r="GX455" s="4"/>
      <c r="GY455" s="4"/>
      <c r="GZ455" s="4"/>
      <c r="HA455" s="4"/>
      <c r="HB455" s="4"/>
      <c r="HC455" s="4"/>
      <c r="HD455" s="4"/>
      <c r="HE455" s="4"/>
      <c r="HF455" s="4"/>
      <c r="HG455" s="4"/>
      <c r="HH455" s="4"/>
      <c r="HI455" s="4"/>
      <c r="HJ455" s="4"/>
      <c r="HK455" s="4"/>
      <c r="HL455" s="4"/>
    </row>
    <row r="456" spans="1:220" ht="15" customHeight="1">
      <c r="A456" s="21">
        <v>6</v>
      </c>
      <c r="B456" s="157" t="str">
        <f>VLOOKUP(Ruimtestaat[[#This Row],[Code]],Locaties[[Code]:[Locatie]],2,FALSE)</f>
        <v>Veurs Lyceum</v>
      </c>
      <c r="C456" s="157" t="str">
        <f>VLOOKUP(Ruimtestaat[[#This Row],[Code]],Locaties[[#All],[Code]:[Adres]],4,FALSE)</f>
        <v>Burg. Kolfschotenlaan 5</v>
      </c>
      <c r="D456" s="157" t="str">
        <f>VLOOKUP(Ruimtestaat[[#This Row],[Code]],Locaties[[#All],[Code]:[Postcode]],5,FALSE)</f>
        <v xml:space="preserve">2262 EZ </v>
      </c>
      <c r="E456" s="157" t="str">
        <f>VLOOKUP(Ruimtestaat[[#This Row],[Code]],Locaties[#All],6,FALSE)</f>
        <v>Leidschendam</v>
      </c>
      <c r="F456" s="62"/>
      <c r="G456" s="21" t="s">
        <v>1632</v>
      </c>
      <c r="H456" s="21">
        <v>31</v>
      </c>
      <c r="I456" s="62" t="s">
        <v>2091</v>
      </c>
      <c r="J456" s="21">
        <v>20</v>
      </c>
      <c r="K456" s="62" t="str">
        <f>VLOOKUP(Ruimtestaat[[#This Row],[Ruimte code]],Ruimtegroepen[[#All],[Code]:[Ruimte omschrijving]],2,FALSE)</f>
        <v>Niet in Onderhoud</v>
      </c>
      <c r="L456" s="33" t="s">
        <v>101</v>
      </c>
      <c r="M456" s="367" t="s">
        <v>2495</v>
      </c>
      <c r="N456" s="140"/>
      <c r="O456" s="140">
        <v>13</v>
      </c>
      <c r="P456" s="125">
        <f>VLOOKUP(Ruimtestaat[[#This Row],[Ruimte code]],Ruimtegroepen[],4,FALSE)</f>
        <v>0</v>
      </c>
      <c r="R456" s="33"/>
      <c r="S456" s="33"/>
      <c r="T456" s="33">
        <f>IF(R456&gt;0,IF(RIGHT(Ruimtestaat[[#This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56" s="33">
        <f>IF(T456&gt;0,VLOOKUP($J456,Ruimtegroepen[],3,FALSE)*VLOOKUP($L456,Vloersoorten[],3,FALSE)*VLOOKUP($S456,Frequenties[],3,FALSE)*VLOOKUP($A456,Locaties[],3,FALSE),0)</f>
        <v>0</v>
      </c>
      <c r="V456" s="33">
        <f>Ruimtestaat[[#This Row],[Uitvoeringen werkdagen]]*Ruimtestaat[[#This Row],[Oppervlak (netto)]]</f>
        <v>0</v>
      </c>
      <c r="W456" s="154">
        <f>IF(U456&gt;0,Ruimtestaat[[#This Row],[Prest. (m2 /jaar) werkdagen]]/Ruimtestaat[[#This Row],[Norm (m2/uur) werkdagen]],0)</f>
        <v>0</v>
      </c>
      <c r="X456" s="155">
        <f>Ruimtestaat[[#This Row],[uren / jaar werkdagen]]*Tariefsopbouw!$E$35</f>
        <v>0</v>
      </c>
      <c r="Y456" s="33"/>
      <c r="Z456" s="33">
        <f>IF(Ruimtestaat[[#This Row],[Frequentie weekend]]&gt;0,VALUE(LEFT(Y456,1))*R456,0)</f>
        <v>0</v>
      </c>
      <c r="AA456" s="97">
        <f>IF($Z456&gt;0,VLOOKUP($J456,Ruimtegroepen[],3,FALSE)*VLOOKUP($L456,Vloersoorten[],3,FALSE)*VLOOKUP($Y456,Frequenties[],3,FALSE)*VLOOKUP(Ruimtestaat[[#This Row],[Code]],Locaties[],3,FALSE),0)</f>
        <v>0</v>
      </c>
      <c r="AB456" s="97">
        <f>Ruimtestaat[[#This Row],[Uitvoeringen weekend]]*Ruimtestaat[[#This Row],[Oppervlak (netto)]]</f>
        <v>0</v>
      </c>
      <c r="AC456" s="97">
        <f>IF(AA456&gt;0,Ruimtestaat[[#This Row],[Prest. (m2 /jaar) weekend]]/Ruimtestaat[[#This Row],[Norm (m2/uur) weekend]],0)</f>
        <v>0</v>
      </c>
      <c r="AD456" s="155">
        <f>Ruimtestaat[[#This Row],[uren / jaar weekend]]*Tariefsopbouw!$D$40</f>
        <v>0</v>
      </c>
      <c r="AE456" s="154">
        <f>Ruimtestaat[[#This Row],[Prest. (m2 /jaar) weekend]]+Ruimtestaat[[#This Row],[Prest. (m2 /jaar) werkdagen]]</f>
        <v>0</v>
      </c>
      <c r="AF456" s="154">
        <f>Ruimtestaat[[#This Row],[uren / jaar weekend]]+Ruimtestaat[[#This Row],[uren / jaar werkdagen]]</f>
        <v>0</v>
      </c>
      <c r="AG456" s="69">
        <f>Ruimtestaat[[#This Row],[kosten / jaar weekend]]+Ruimtestaat[[#This Row],[kosten / jaar werkdagen]]</f>
        <v>0</v>
      </c>
      <c r="AH456" s="69"/>
      <c r="AI456" s="256" t="str">
        <f>IF(Ruimtestaat[[#This Row],[Frequentie werkdagen]]="","",_xlfn.CONCAT(Ruimtestaat[[#This Row],[Ruimte code]],"-",Ruimtestaat[[#This Row],[Frequentie werkdagen]]," ",Ruimtestaat[[#This Row],[Vloer code]]))</f>
        <v/>
      </c>
      <c r="AJ456" s="300" t="str">
        <f>_xlfn.IFNA(VLOOKUP($AI456,Programma!$F$3:$G$1107,2,0),"")</f>
        <v/>
      </c>
      <c r="AK456" s="300" t="str">
        <f>_xlfn.IFNA(VLOOKUP($AI456,Programma!$F$3:$H$1107,3,0),"")</f>
        <v/>
      </c>
      <c r="AL456" s="300" t="str">
        <f>_xlfn.IFNA(VLOOKUP($AI456,Programma!$F$3:$I$1107,4,0),"")</f>
        <v/>
      </c>
      <c r="AM456" s="300" t="str">
        <f>_xlfn.IFNA(VLOOKUP($AI456,Programma!$F$3:$J$1107,5,0),"")</f>
        <v/>
      </c>
      <c r="AN456" s="300" t="str">
        <f>_xlfn.IFNA(VLOOKUP($AI456,Programma!$F$3:$K$1107,6,0),"")</f>
        <v/>
      </c>
      <c r="AO456" s="300" t="str">
        <f>_xlfn.IFNA(VLOOKUP($AI456,Programma!$F$3:$L$1107,7,0),"")</f>
        <v/>
      </c>
      <c r="AP456" s="300" t="str">
        <f>_xlfn.IFNA(VLOOKUP($AI456,Programma!$F$3:$M$1107,8,0),"")</f>
        <v/>
      </c>
      <c r="AQ456" s="300" t="str">
        <f>_xlfn.IFNA(VLOOKUP($AI456,Programma!$F$3:$N$1107,9,0),"")</f>
        <v/>
      </c>
      <c r="AR456" s="300" t="str">
        <f>_xlfn.IFNA(VLOOKUP($AI456,Programma!$F$3:$O$1107,10,0),"")</f>
        <v/>
      </c>
      <c r="AS456" s="300" t="str">
        <f>_xlfn.IFNA(VLOOKUP($AI456,Programma!$F$3:$P$1107,11,0),"")</f>
        <v/>
      </c>
      <c r="AT456" s="300" t="str">
        <f>_xlfn.IFNA(VLOOKUP($AI456,Programma!$F$3:$Q$1107,12,0),"")</f>
        <v/>
      </c>
      <c r="AU456" s="300" t="str">
        <f>_xlfn.IFNA(VLOOKUP($AI456,Programma!$F$3:$R$1107,13,0),"")</f>
        <v/>
      </c>
      <c r="AV456" s="300" t="str">
        <f>_xlfn.IFNA(VLOOKUP($AI456,Programma!$F$3:$S$1107,14,0),"")</f>
        <v/>
      </c>
      <c r="AW456" s="300" t="str">
        <f>_xlfn.IFNA(VLOOKUP($AI456,Programma!$F$3:$T$1107,15,0),"")</f>
        <v/>
      </c>
      <c r="AX456" s="300" t="str">
        <f>_xlfn.IFNA(VLOOKUP($AI456,Programma!$F$3:$U$1107,16,0),"")</f>
        <v/>
      </c>
      <c r="AY456" s="300" t="str">
        <f>_xlfn.IFNA(VLOOKUP($AI456,Programma!$F$3:$V$1107,17,0),"")</f>
        <v/>
      </c>
      <c r="AZ456" s="300" t="str">
        <f>_xlfn.IFNA(VLOOKUP($AI456,Programma!$F$3:$W$1107,18,0),"")</f>
        <v/>
      </c>
      <c r="BA456" s="300" t="str">
        <f>_xlfn.IFNA(VLOOKUP($AI456,Programma!$F$3:$X$1107,19,0),"")</f>
        <v/>
      </c>
      <c r="BB456" s="300" t="str">
        <f>_xlfn.IFNA(VLOOKUP($AI456,Programma!$F$3:$Y$1107,20,0),"")</f>
        <v/>
      </c>
      <c r="BC456" s="257"/>
      <c r="BD456" s="256" t="str">
        <f>IF(Ruimtestaat[[#This Row],[Frequentie weekend]]="","",_xlfn.CONCAT(Ruimtestaat[[#This Row],[Ruimte code]],"-",Ruimtestaat[[#This Row],[Frequentie weekend]]," ",Ruimtestaat[[#This Row],[Vloer code]]))</f>
        <v/>
      </c>
      <c r="BE456" s="300" t="str">
        <f>_xlfn.IFNA(VLOOKUP($BD456,Programma!$F$3:$G$1107,2,0),"")</f>
        <v/>
      </c>
      <c r="BF456" s="300" t="str">
        <f>_xlfn.IFNA(VLOOKUP($BD456,Programma!$F$3:$H$1107,3,0),"")</f>
        <v/>
      </c>
      <c r="BG456" s="300" t="str">
        <f>_xlfn.IFNA(VLOOKUP($BD456,Programma!$F$3:$I$1107,4,0),"")</f>
        <v/>
      </c>
      <c r="BH456" s="300" t="str">
        <f>_xlfn.IFNA(VLOOKUP($BD456,Programma!$F$3:$J$1107,5,0),"")</f>
        <v/>
      </c>
      <c r="BI456" s="300" t="str">
        <f>_xlfn.IFNA(VLOOKUP($BD456,Programma!$F$3:$K$1107,6,0),"")</f>
        <v/>
      </c>
      <c r="BJ456" s="300" t="str">
        <f>_xlfn.IFNA(VLOOKUP($BD456,Programma!$F$3:$L$1107,7,0),"")</f>
        <v/>
      </c>
      <c r="BK456" s="300" t="str">
        <f>_xlfn.IFNA(VLOOKUP($BD456,Programma!$F$3:$M$1107,8,0),"")</f>
        <v/>
      </c>
      <c r="BL456" s="300" t="str">
        <f>_xlfn.IFNA(VLOOKUP($BD456,Programma!$F$3:$N$1107,9,0),"")</f>
        <v/>
      </c>
      <c r="BM456" s="300" t="str">
        <f>_xlfn.IFNA(VLOOKUP($BD456,Programma!$F$3:$O$1107,10,0),"")</f>
        <v/>
      </c>
      <c r="BN456" s="300" t="str">
        <f>_xlfn.IFNA(VLOOKUP($BD456,Programma!$F$3:$P$1107,11,0),"")</f>
        <v/>
      </c>
      <c r="BO456" s="300" t="str">
        <f>_xlfn.IFNA(VLOOKUP($BD456,Programma!$F$3:$Q$1107,12,0),"")</f>
        <v/>
      </c>
      <c r="BP456" s="300" t="str">
        <f>_xlfn.IFNA(VLOOKUP($BD456,Programma!$F$3:$R$1107,13,0),"")</f>
        <v/>
      </c>
      <c r="BQ456" s="300" t="str">
        <f>_xlfn.IFNA(VLOOKUP($BD456,Programma!$F$3:$S$1107,14,0),"")</f>
        <v/>
      </c>
      <c r="BR456" s="300" t="str">
        <f>_xlfn.IFNA(VLOOKUP($BD456,Programma!$F$3:$T$1107,15,0),"")</f>
        <v/>
      </c>
      <c r="BS456" s="300" t="str">
        <f>_xlfn.IFNA(VLOOKUP($BD456,Programma!$F$3:$U$1107,16,0),"")</f>
        <v/>
      </c>
      <c r="BT456" s="300" t="str">
        <f>_xlfn.IFNA(VLOOKUP($BD456,Programma!$F$3:$V$1107,17,0),"")</f>
        <v/>
      </c>
      <c r="BU456" s="300" t="str">
        <f>_xlfn.IFNA(VLOOKUP($BD456,Programma!$F$3:$W$1107,18,0),"")</f>
        <v/>
      </c>
      <c r="BV456" s="300" t="str">
        <f>_xlfn.IFNA(VLOOKUP($BD456,Programma!$F$3:$X$1107,19,0),"")</f>
        <v/>
      </c>
      <c r="BW456" s="300" t="str">
        <f>_xlfn.IFNA(VLOOKUP($BD456,Programma!$F$3:$Y$1107,20,0),"")</f>
        <v/>
      </c>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c r="GK456" s="4"/>
      <c r="GL456" s="4"/>
      <c r="GM456" s="4"/>
      <c r="GN456" s="4"/>
      <c r="GO456" s="4"/>
      <c r="GP456" s="4"/>
      <c r="GQ456" s="4"/>
      <c r="GR456" s="4"/>
      <c r="GS456" s="4"/>
      <c r="GT456" s="4"/>
      <c r="GU456" s="4"/>
      <c r="GV456" s="4"/>
      <c r="GW456" s="4"/>
      <c r="GX456" s="4"/>
      <c r="GY456" s="4"/>
      <c r="GZ456" s="4"/>
      <c r="HA456" s="4"/>
      <c r="HB456" s="4"/>
      <c r="HC456" s="4"/>
      <c r="HD456" s="4"/>
      <c r="HE456" s="4"/>
      <c r="HF456" s="4"/>
      <c r="HG456" s="4"/>
      <c r="HH456" s="4"/>
      <c r="HI456" s="4"/>
      <c r="HJ456" s="4"/>
      <c r="HK456" s="4"/>
      <c r="HL456" s="4"/>
    </row>
    <row r="457" spans="1:220" ht="15" customHeight="1">
      <c r="A457" s="21">
        <v>6</v>
      </c>
      <c r="B457" s="157" t="str">
        <f>VLOOKUP(Ruimtestaat[[#This Row],[Code]],Locaties[[Code]:[Locatie]],2,FALSE)</f>
        <v>Veurs Lyceum</v>
      </c>
      <c r="C457" s="157" t="str">
        <f>VLOOKUP(Ruimtestaat[[#This Row],[Code]],Locaties[[#All],[Code]:[Adres]],4,FALSE)</f>
        <v>Burg. Kolfschotenlaan 5</v>
      </c>
      <c r="D457" s="157" t="str">
        <f>VLOOKUP(Ruimtestaat[[#This Row],[Code]],Locaties[[#All],[Code]:[Postcode]],5,FALSE)</f>
        <v xml:space="preserve">2262 EZ </v>
      </c>
      <c r="E457" s="157" t="str">
        <f>VLOOKUP(Ruimtestaat[[#This Row],[Code]],Locaties[#All],6,FALSE)</f>
        <v>Leidschendam</v>
      </c>
      <c r="F457" s="62"/>
      <c r="G457" s="21" t="s">
        <v>1632</v>
      </c>
      <c r="H457" s="21">
        <v>32</v>
      </c>
      <c r="I457" s="62" t="s">
        <v>2092</v>
      </c>
      <c r="J457" s="21">
        <v>16</v>
      </c>
      <c r="K457" s="62" t="str">
        <f>VLOOKUP(Ruimtestaat[[#This Row],[Ruimte code]],Ruimtegroepen[[#All],[Code]:[Ruimte omschrijving]],2,FALSE)</f>
        <v>Leslokalen theorie</v>
      </c>
      <c r="L457" s="33" t="s">
        <v>101</v>
      </c>
      <c r="M457" s="367" t="s">
        <v>2495</v>
      </c>
      <c r="N457" s="140">
        <v>69</v>
      </c>
      <c r="O457" s="140"/>
      <c r="P457" s="125" t="str">
        <f>VLOOKUP(Ruimtestaat[[#This Row],[Ruimte code]],Ruimtegroepen[],4,FALSE)</f>
        <v>Le</v>
      </c>
      <c r="R457" s="33">
        <v>40</v>
      </c>
      <c r="S457" s="33" t="s">
        <v>2</v>
      </c>
      <c r="T457" s="33">
        <f>IF(R457&gt;0,IF(RIGHT(Ruimtestaat[[#This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7" s="33">
        <f>IF(T457&gt;0,VLOOKUP($J457,Ruimtegroepen[],3,FALSE)*VLOOKUP($L457,Vloersoorten[],3,FALSE)*VLOOKUP($S457,Frequenties[],3,FALSE)*VLOOKUP($A457,Locaties[],3,FALSE),0)</f>
        <v>0</v>
      </c>
      <c r="V457" s="33">
        <f>Ruimtestaat[[#This Row],[Uitvoeringen werkdagen]]*Ruimtestaat[[#This Row],[Oppervlak (netto)]]</f>
        <v>13800</v>
      </c>
      <c r="W457" s="154">
        <f>IF(U457&gt;0,Ruimtestaat[[#This Row],[Prest. (m2 /jaar) werkdagen]]/Ruimtestaat[[#This Row],[Norm (m2/uur) werkdagen]],0)</f>
        <v>0</v>
      </c>
      <c r="X457" s="155">
        <f>Ruimtestaat[[#This Row],[uren / jaar werkdagen]]*Tariefsopbouw!$E$35</f>
        <v>0</v>
      </c>
      <c r="Y457" s="33"/>
      <c r="Z457" s="33">
        <f>IF(Ruimtestaat[[#This Row],[Frequentie weekend]]&gt;0,VALUE(LEFT(Y457,1))*R457,0)</f>
        <v>0</v>
      </c>
      <c r="AA457" s="97">
        <f>IF($Z457&gt;0,VLOOKUP($J457,Ruimtegroepen[],3,FALSE)*VLOOKUP($L457,Vloersoorten[],3,FALSE)*VLOOKUP($Y457,Frequenties[],3,FALSE)*VLOOKUP(Ruimtestaat[[#This Row],[Code]],Locaties[],3,FALSE),0)</f>
        <v>0</v>
      </c>
      <c r="AB457" s="97">
        <f>Ruimtestaat[[#This Row],[Uitvoeringen weekend]]*Ruimtestaat[[#This Row],[Oppervlak (netto)]]</f>
        <v>0</v>
      </c>
      <c r="AC457" s="97">
        <f>IF(AA457&gt;0,Ruimtestaat[[#This Row],[Prest. (m2 /jaar) weekend]]/Ruimtestaat[[#This Row],[Norm (m2/uur) weekend]],0)</f>
        <v>0</v>
      </c>
      <c r="AD457" s="155">
        <f>Ruimtestaat[[#This Row],[uren / jaar weekend]]*Tariefsopbouw!$D$40</f>
        <v>0</v>
      </c>
      <c r="AE457" s="154">
        <f>Ruimtestaat[[#This Row],[Prest. (m2 /jaar) weekend]]+Ruimtestaat[[#This Row],[Prest. (m2 /jaar) werkdagen]]</f>
        <v>13800</v>
      </c>
      <c r="AF457" s="154">
        <f>Ruimtestaat[[#This Row],[uren / jaar weekend]]+Ruimtestaat[[#This Row],[uren / jaar werkdagen]]</f>
        <v>0</v>
      </c>
      <c r="AG457" s="69">
        <f>Ruimtestaat[[#This Row],[kosten / jaar weekend]]+Ruimtestaat[[#This Row],[kosten / jaar werkdagen]]</f>
        <v>0</v>
      </c>
      <c r="AH457" s="69"/>
      <c r="AI457" s="256" t="str">
        <f>IF(Ruimtestaat[[#This Row],[Frequentie werkdagen]]="","",_xlfn.CONCAT(Ruimtestaat[[#This Row],[Ruimte code]],"-",Ruimtestaat[[#This Row],[Frequentie werkdagen]]," ",Ruimtestaat[[#This Row],[Vloer code]]))</f>
        <v>16-5w L</v>
      </c>
      <c r="AJ457" s="300" t="str">
        <f>_xlfn.IFNA(VLOOKUP($AI457,Programma!$F$3:$G$1107,2,0),"")</f>
        <v>_</v>
      </c>
      <c r="AK457" s="300" t="str">
        <f>_xlfn.IFNA(VLOOKUP($AI457,Programma!$F$3:$H$1107,3,0),"")</f>
        <v>_</v>
      </c>
      <c r="AL457" s="300" t="str">
        <f>_xlfn.IFNA(VLOOKUP($AI457,Programma!$F$3:$I$1107,4,0),"")</f>
        <v>4w</v>
      </c>
      <c r="AM457" s="300" t="str">
        <f>_xlfn.IFNA(VLOOKUP($AI457,Programma!$F$3:$J$1107,5,0),"")</f>
        <v>1w</v>
      </c>
      <c r="AN457" s="300" t="str">
        <f>_xlfn.IFNA(VLOOKUP($AI457,Programma!$F$3:$K$1107,6,0),"")</f>
        <v>_</v>
      </c>
      <c r="AO457" s="300" t="str">
        <f>_xlfn.IFNA(VLOOKUP($AI457,Programma!$F$3:$L$1107,7,0),"")</f>
        <v>_</v>
      </c>
      <c r="AP457" s="300" t="str">
        <f>_xlfn.IFNA(VLOOKUP($AI457,Programma!$F$3:$M$1107,8,0),"")</f>
        <v>_</v>
      </c>
      <c r="AQ457" s="300" t="str">
        <f>_xlfn.IFNA(VLOOKUP($AI457,Programma!$F$3:$N$1107,9,0),"")</f>
        <v>_</v>
      </c>
      <c r="AR457" s="300" t="str">
        <f>_xlfn.IFNA(VLOOKUP($AI457,Programma!$F$3:$O$1107,10,0),"")</f>
        <v>5w</v>
      </c>
      <c r="AS457" s="300" t="str">
        <f>_xlfn.IFNA(VLOOKUP($AI457,Programma!$F$3:$P$1107,11,0),"")</f>
        <v>5w</v>
      </c>
      <c r="AT457" s="300" t="str">
        <f>_xlfn.IFNA(VLOOKUP($AI457,Programma!$F$3:$Q$1107,12,0),"")</f>
        <v>1w</v>
      </c>
      <c r="AU457" s="300" t="str">
        <f>_xlfn.IFNA(VLOOKUP($AI457,Programma!$F$3:$R$1107,13,0),"")</f>
        <v>1w</v>
      </c>
      <c r="AV457" s="300" t="str">
        <f>_xlfn.IFNA(VLOOKUP($AI457,Programma!$F$3:$S$1107,14,0),"")</f>
        <v>1m</v>
      </c>
      <c r="AW457" s="300" t="str">
        <f>_xlfn.IFNA(VLOOKUP($AI457,Programma!$F$3:$T$1107,15,0),"")</f>
        <v>2j</v>
      </c>
      <c r="AX457" s="300" t="str">
        <f>_xlfn.IFNA(VLOOKUP($AI457,Programma!$F$3:$U$1107,16,0),"")</f>
        <v>1j</v>
      </c>
      <c r="AY457" s="300" t="str">
        <f>_xlfn.IFNA(VLOOKUP($AI457,Programma!$F$3:$V$1107,17,0),"")</f>
        <v>_</v>
      </c>
      <c r="AZ457" s="300" t="str">
        <f>_xlfn.IFNA(VLOOKUP($AI457,Programma!$F$3:$W$1107,18,0),"")</f>
        <v>_</v>
      </c>
      <c r="BA457" s="300" t="str">
        <f>_xlfn.IFNA(VLOOKUP($AI457,Programma!$F$3:$X$1107,19,0),"")</f>
        <v>_</v>
      </c>
      <c r="BB457" s="300" t="str">
        <f>_xlfn.IFNA(VLOOKUP($AI457,Programma!$F$3:$Y$1107,20,0),"")</f>
        <v>_</v>
      </c>
      <c r="BC457" s="257"/>
      <c r="BD457" s="256" t="str">
        <f>IF(Ruimtestaat[[#This Row],[Frequentie weekend]]="","",_xlfn.CONCAT(Ruimtestaat[[#This Row],[Ruimte code]],"-",Ruimtestaat[[#This Row],[Frequentie weekend]]," ",Ruimtestaat[[#This Row],[Vloer code]]))</f>
        <v/>
      </c>
      <c r="BE457" s="300" t="str">
        <f>_xlfn.IFNA(VLOOKUP($BD457,Programma!$F$3:$G$1107,2,0),"")</f>
        <v/>
      </c>
      <c r="BF457" s="300" t="str">
        <f>_xlfn.IFNA(VLOOKUP($BD457,Programma!$F$3:$H$1107,3,0),"")</f>
        <v/>
      </c>
      <c r="BG457" s="300" t="str">
        <f>_xlfn.IFNA(VLOOKUP($BD457,Programma!$F$3:$I$1107,4,0),"")</f>
        <v/>
      </c>
      <c r="BH457" s="300" t="str">
        <f>_xlfn.IFNA(VLOOKUP($BD457,Programma!$F$3:$J$1107,5,0),"")</f>
        <v/>
      </c>
      <c r="BI457" s="300" t="str">
        <f>_xlfn.IFNA(VLOOKUP($BD457,Programma!$F$3:$K$1107,6,0),"")</f>
        <v/>
      </c>
      <c r="BJ457" s="300" t="str">
        <f>_xlfn.IFNA(VLOOKUP($BD457,Programma!$F$3:$L$1107,7,0),"")</f>
        <v/>
      </c>
      <c r="BK457" s="300" t="str">
        <f>_xlfn.IFNA(VLOOKUP($BD457,Programma!$F$3:$M$1107,8,0),"")</f>
        <v/>
      </c>
      <c r="BL457" s="300" t="str">
        <f>_xlfn.IFNA(VLOOKUP($BD457,Programma!$F$3:$N$1107,9,0),"")</f>
        <v/>
      </c>
      <c r="BM457" s="300" t="str">
        <f>_xlfn.IFNA(VLOOKUP($BD457,Programma!$F$3:$O$1107,10,0),"")</f>
        <v/>
      </c>
      <c r="BN457" s="300" t="str">
        <f>_xlfn.IFNA(VLOOKUP($BD457,Programma!$F$3:$P$1107,11,0),"")</f>
        <v/>
      </c>
      <c r="BO457" s="300" t="str">
        <f>_xlfn.IFNA(VLOOKUP($BD457,Programma!$F$3:$Q$1107,12,0),"")</f>
        <v/>
      </c>
      <c r="BP457" s="300" t="str">
        <f>_xlfn.IFNA(VLOOKUP($BD457,Programma!$F$3:$R$1107,13,0),"")</f>
        <v/>
      </c>
      <c r="BQ457" s="300" t="str">
        <f>_xlfn.IFNA(VLOOKUP($BD457,Programma!$F$3:$S$1107,14,0),"")</f>
        <v/>
      </c>
      <c r="BR457" s="300" t="str">
        <f>_xlfn.IFNA(VLOOKUP($BD457,Programma!$F$3:$T$1107,15,0),"")</f>
        <v/>
      </c>
      <c r="BS457" s="300" t="str">
        <f>_xlfn.IFNA(VLOOKUP($BD457,Programma!$F$3:$U$1107,16,0),"")</f>
        <v/>
      </c>
      <c r="BT457" s="300" t="str">
        <f>_xlfn.IFNA(VLOOKUP($BD457,Programma!$F$3:$V$1107,17,0),"")</f>
        <v/>
      </c>
      <c r="BU457" s="300" t="str">
        <f>_xlfn.IFNA(VLOOKUP($BD457,Programma!$F$3:$W$1107,18,0),"")</f>
        <v/>
      </c>
      <c r="BV457" s="300" t="str">
        <f>_xlfn.IFNA(VLOOKUP($BD457,Programma!$F$3:$X$1107,19,0),"")</f>
        <v/>
      </c>
      <c r="BW457" s="300" t="str">
        <f>_xlfn.IFNA(VLOOKUP($BD457,Programma!$F$3:$Y$1107,20,0),"")</f>
        <v/>
      </c>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c r="GK457" s="4"/>
      <c r="GL457" s="4"/>
      <c r="GM457" s="4"/>
      <c r="GN457" s="4"/>
      <c r="GO457" s="4"/>
      <c r="GP457" s="4"/>
      <c r="GQ457" s="4"/>
      <c r="GR457" s="4"/>
      <c r="GS457" s="4"/>
      <c r="GT457" s="4"/>
      <c r="GU457" s="4"/>
      <c r="GV457" s="4"/>
      <c r="GW457" s="4"/>
      <c r="GX457" s="4"/>
      <c r="GY457" s="4"/>
      <c r="GZ457" s="4"/>
      <c r="HA457" s="4"/>
      <c r="HB457" s="4"/>
      <c r="HC457" s="4"/>
      <c r="HD457" s="4"/>
      <c r="HE457" s="4"/>
      <c r="HF457" s="4"/>
      <c r="HG457" s="4"/>
      <c r="HH457" s="4"/>
      <c r="HI457" s="4"/>
      <c r="HJ457" s="4"/>
      <c r="HK457" s="4"/>
      <c r="HL457" s="4"/>
    </row>
    <row r="458" spans="1:220" ht="15" customHeight="1">
      <c r="A458" s="21">
        <v>6</v>
      </c>
      <c r="B458" s="157" t="str">
        <f>VLOOKUP(Ruimtestaat[[#This Row],[Code]],Locaties[[Code]:[Locatie]],2,FALSE)</f>
        <v>Veurs Lyceum</v>
      </c>
      <c r="C458" s="157" t="str">
        <f>VLOOKUP(Ruimtestaat[[#This Row],[Code]],Locaties[[#All],[Code]:[Adres]],4,FALSE)</f>
        <v>Burg. Kolfschotenlaan 5</v>
      </c>
      <c r="D458" s="157" t="str">
        <f>VLOOKUP(Ruimtestaat[[#This Row],[Code]],Locaties[[#All],[Code]:[Postcode]],5,FALSE)</f>
        <v xml:space="preserve">2262 EZ </v>
      </c>
      <c r="E458" s="157" t="str">
        <f>VLOOKUP(Ruimtestaat[[#This Row],[Code]],Locaties[#All],6,FALSE)</f>
        <v>Leidschendam</v>
      </c>
      <c r="F458" s="62"/>
      <c r="G458" s="21" t="s">
        <v>1632</v>
      </c>
      <c r="H458" s="21">
        <v>33</v>
      </c>
      <c r="I458" s="62" t="s">
        <v>2093</v>
      </c>
      <c r="J458" s="21">
        <v>1</v>
      </c>
      <c r="K458" s="62" t="str">
        <f>VLOOKUP(Ruimtestaat[[#This Row],[Ruimte code]],Ruimtegroepen[[#All],[Code]:[Ruimte omschrijving]],2,FALSE)</f>
        <v>Magazijnen/bergingen</v>
      </c>
      <c r="L458" s="33" t="s">
        <v>101</v>
      </c>
      <c r="M458" s="367" t="s">
        <v>2495</v>
      </c>
      <c r="N458" s="140"/>
      <c r="O458" s="140">
        <v>6</v>
      </c>
      <c r="P458" s="125" t="str">
        <f>VLOOKUP(Ruimtestaat[[#This Row],[Ruimte code]],Ruimtegroepen[],4,FALSE)</f>
        <v>Ve</v>
      </c>
      <c r="Q458" s="125" t="s">
        <v>2532</v>
      </c>
      <c r="R458" s="33">
        <v>40</v>
      </c>
      <c r="S458" s="33" t="s">
        <v>16</v>
      </c>
      <c r="T458" s="33">
        <f>IF(R458&gt;0,IF(RIGHT(Ruimtestaat[[#This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58" s="33">
        <f>IF(T458&gt;0,VLOOKUP($J458,Ruimtegroepen[],3,FALSE)*VLOOKUP($L458,Vloersoorten[],3,FALSE)*VLOOKUP($S458,Frequenties[],3,FALSE)*VLOOKUP($A458,Locaties[],3,FALSE),0)</f>
        <v>0</v>
      </c>
      <c r="V458" s="33">
        <f>Ruimtestaat[[#This Row],[Uitvoeringen werkdagen]]*Ruimtestaat[[#This Row],[Oppervlak (netto)]]</f>
        <v>0</v>
      </c>
      <c r="W458" s="154">
        <f>IF(U458&gt;0,Ruimtestaat[[#This Row],[Prest. (m2 /jaar) werkdagen]]/Ruimtestaat[[#This Row],[Norm (m2/uur) werkdagen]],0)</f>
        <v>0</v>
      </c>
      <c r="X458" s="155">
        <f>Ruimtestaat[[#This Row],[uren / jaar werkdagen]]*Tariefsopbouw!$E$35</f>
        <v>0</v>
      </c>
      <c r="Y458" s="33"/>
      <c r="Z458" s="33">
        <f>IF(Ruimtestaat[[#This Row],[Frequentie weekend]]&gt;0,VALUE(LEFT(Y458,1))*R458,0)</f>
        <v>0</v>
      </c>
      <c r="AA458" s="97">
        <f>IF($Z458&gt;0,VLOOKUP($J458,Ruimtegroepen[],3,FALSE)*VLOOKUP($L458,Vloersoorten[],3,FALSE)*VLOOKUP($Y458,Frequenties[],3,FALSE)*VLOOKUP(Ruimtestaat[[#This Row],[Code]],Locaties[],3,FALSE),0)</f>
        <v>0</v>
      </c>
      <c r="AB458" s="97">
        <f>Ruimtestaat[[#This Row],[Uitvoeringen weekend]]*Ruimtestaat[[#This Row],[Oppervlak (netto)]]</f>
        <v>0</v>
      </c>
      <c r="AC458" s="97">
        <f>IF(AA458&gt;0,Ruimtestaat[[#This Row],[Prest. (m2 /jaar) weekend]]/Ruimtestaat[[#This Row],[Norm (m2/uur) weekend]],0)</f>
        <v>0</v>
      </c>
      <c r="AD458" s="155">
        <f>Ruimtestaat[[#This Row],[uren / jaar weekend]]*Tariefsopbouw!$D$40</f>
        <v>0</v>
      </c>
      <c r="AE458" s="154">
        <f>Ruimtestaat[[#This Row],[Prest. (m2 /jaar) weekend]]+Ruimtestaat[[#This Row],[Prest. (m2 /jaar) werkdagen]]</f>
        <v>0</v>
      </c>
      <c r="AF458" s="154">
        <f>Ruimtestaat[[#This Row],[uren / jaar weekend]]+Ruimtestaat[[#This Row],[uren / jaar werkdagen]]</f>
        <v>0</v>
      </c>
      <c r="AG458" s="69">
        <f>Ruimtestaat[[#This Row],[kosten / jaar weekend]]+Ruimtestaat[[#This Row],[kosten / jaar werkdagen]]</f>
        <v>0</v>
      </c>
      <c r="AH458" s="69"/>
      <c r="AI458" s="256" t="str">
        <f>IF(Ruimtestaat[[#This Row],[Frequentie werkdagen]]="","",_xlfn.CONCAT(Ruimtestaat[[#This Row],[Ruimte code]],"-",Ruimtestaat[[#This Row],[Frequentie werkdagen]]," ",Ruimtestaat[[#This Row],[Vloer code]]))</f>
        <v>1-1m L</v>
      </c>
      <c r="AJ458" s="300" t="str">
        <f>_xlfn.IFNA(VLOOKUP($AI458,Programma!$F$3:$G$1107,2,0),"")</f>
        <v>_</v>
      </c>
      <c r="AK458" s="300" t="str">
        <f>_xlfn.IFNA(VLOOKUP($AI458,Programma!$F$3:$H$1107,3,0),"")</f>
        <v>_</v>
      </c>
      <c r="AL458" s="300" t="str">
        <f>_xlfn.IFNA(VLOOKUP($AI458,Programma!$F$3:$I$1107,4,0),"")</f>
        <v>1m</v>
      </c>
      <c r="AM458" s="300" t="str">
        <f>_xlfn.IFNA(VLOOKUP($AI458,Programma!$F$3:$J$1107,5,0),"")</f>
        <v>1m</v>
      </c>
      <c r="AN458" s="300" t="str">
        <f>_xlfn.IFNA(VLOOKUP($AI458,Programma!$F$3:$K$1107,6,0),"")</f>
        <v>_</v>
      </c>
      <c r="AO458" s="300" t="str">
        <f>_xlfn.IFNA(VLOOKUP($AI458,Programma!$F$3:$L$1107,7,0),"")</f>
        <v>_</v>
      </c>
      <c r="AP458" s="300" t="str">
        <f>_xlfn.IFNA(VLOOKUP($AI458,Programma!$F$3:$M$1107,8,0),"")</f>
        <v>_</v>
      </c>
      <c r="AQ458" s="300" t="str">
        <f>_xlfn.IFNA(VLOOKUP($AI458,Programma!$F$3:$N$1107,9,0),"")</f>
        <v>_</v>
      </c>
      <c r="AR458" s="300" t="str">
        <f>_xlfn.IFNA(VLOOKUP($AI458,Programma!$F$3:$O$1107,10,0),"")</f>
        <v>_</v>
      </c>
      <c r="AS458" s="300" t="str">
        <f>_xlfn.IFNA(VLOOKUP($AI458,Programma!$F$3:$P$1107,11,0),"")</f>
        <v>_</v>
      </c>
      <c r="AT458" s="300" t="str">
        <f>_xlfn.IFNA(VLOOKUP($AI458,Programma!$F$3:$Q$1107,12,0),"")</f>
        <v>_</v>
      </c>
      <c r="AU458" s="300" t="str">
        <f>_xlfn.IFNA(VLOOKUP($AI458,Programma!$F$3:$R$1107,13,0),"")</f>
        <v>_</v>
      </c>
      <c r="AV458" s="300" t="str">
        <f>_xlfn.IFNA(VLOOKUP($AI458,Programma!$F$3:$S$1107,14,0),"")</f>
        <v>1m</v>
      </c>
      <c r="AW458" s="300" t="str">
        <f>_xlfn.IFNA(VLOOKUP($AI458,Programma!$F$3:$T$1107,15,0),"")</f>
        <v>4j</v>
      </c>
      <c r="AX458" s="300" t="str">
        <f>_xlfn.IFNA(VLOOKUP($AI458,Programma!$F$3:$U$1107,16,0),"")</f>
        <v>4j</v>
      </c>
      <c r="AY458" s="300" t="str">
        <f>_xlfn.IFNA(VLOOKUP($AI458,Programma!$F$3:$V$1107,17,0),"")</f>
        <v>_</v>
      </c>
      <c r="AZ458" s="300" t="str">
        <f>_xlfn.IFNA(VLOOKUP($AI458,Programma!$F$3:$W$1107,18,0),"")</f>
        <v>_</v>
      </c>
      <c r="BA458" s="300" t="str">
        <f>_xlfn.IFNA(VLOOKUP($AI458,Programma!$F$3:$X$1107,19,0),"")</f>
        <v>_</v>
      </c>
      <c r="BB458" s="300" t="str">
        <f>_xlfn.IFNA(VLOOKUP($AI458,Programma!$F$3:$Y$1107,20,0),"")</f>
        <v>_</v>
      </c>
      <c r="BC458" s="257"/>
      <c r="BD458" s="256" t="str">
        <f>IF(Ruimtestaat[[#This Row],[Frequentie weekend]]="","",_xlfn.CONCAT(Ruimtestaat[[#This Row],[Ruimte code]],"-",Ruimtestaat[[#This Row],[Frequentie weekend]]," ",Ruimtestaat[[#This Row],[Vloer code]]))</f>
        <v/>
      </c>
      <c r="BE458" s="300" t="str">
        <f>_xlfn.IFNA(VLOOKUP($BD458,Programma!$F$3:$G$1107,2,0),"")</f>
        <v/>
      </c>
      <c r="BF458" s="300" t="str">
        <f>_xlfn.IFNA(VLOOKUP($BD458,Programma!$F$3:$H$1107,3,0),"")</f>
        <v/>
      </c>
      <c r="BG458" s="300" t="str">
        <f>_xlfn.IFNA(VLOOKUP($BD458,Programma!$F$3:$I$1107,4,0),"")</f>
        <v/>
      </c>
      <c r="BH458" s="300" t="str">
        <f>_xlfn.IFNA(VLOOKUP($BD458,Programma!$F$3:$J$1107,5,0),"")</f>
        <v/>
      </c>
      <c r="BI458" s="300" t="str">
        <f>_xlfn.IFNA(VLOOKUP($BD458,Programma!$F$3:$K$1107,6,0),"")</f>
        <v/>
      </c>
      <c r="BJ458" s="300" t="str">
        <f>_xlfn.IFNA(VLOOKUP($BD458,Programma!$F$3:$L$1107,7,0),"")</f>
        <v/>
      </c>
      <c r="BK458" s="300" t="str">
        <f>_xlfn.IFNA(VLOOKUP($BD458,Programma!$F$3:$M$1107,8,0),"")</f>
        <v/>
      </c>
      <c r="BL458" s="300" t="str">
        <f>_xlfn.IFNA(VLOOKUP($BD458,Programma!$F$3:$N$1107,9,0),"")</f>
        <v/>
      </c>
      <c r="BM458" s="300" t="str">
        <f>_xlfn.IFNA(VLOOKUP($BD458,Programma!$F$3:$O$1107,10,0),"")</f>
        <v/>
      </c>
      <c r="BN458" s="300" t="str">
        <f>_xlfn.IFNA(VLOOKUP($BD458,Programma!$F$3:$P$1107,11,0),"")</f>
        <v/>
      </c>
      <c r="BO458" s="300" t="str">
        <f>_xlfn.IFNA(VLOOKUP($BD458,Programma!$F$3:$Q$1107,12,0),"")</f>
        <v/>
      </c>
      <c r="BP458" s="300" t="str">
        <f>_xlfn.IFNA(VLOOKUP($BD458,Programma!$F$3:$R$1107,13,0),"")</f>
        <v/>
      </c>
      <c r="BQ458" s="300" t="str">
        <f>_xlfn.IFNA(VLOOKUP($BD458,Programma!$F$3:$S$1107,14,0),"")</f>
        <v/>
      </c>
      <c r="BR458" s="300" t="str">
        <f>_xlfn.IFNA(VLOOKUP($BD458,Programma!$F$3:$T$1107,15,0),"")</f>
        <v/>
      </c>
      <c r="BS458" s="300" t="str">
        <f>_xlfn.IFNA(VLOOKUP($BD458,Programma!$F$3:$U$1107,16,0),"")</f>
        <v/>
      </c>
      <c r="BT458" s="300" t="str">
        <f>_xlfn.IFNA(VLOOKUP($BD458,Programma!$F$3:$V$1107,17,0),"")</f>
        <v/>
      </c>
      <c r="BU458" s="300" t="str">
        <f>_xlfn.IFNA(VLOOKUP($BD458,Programma!$F$3:$W$1107,18,0),"")</f>
        <v/>
      </c>
      <c r="BV458" s="300" t="str">
        <f>_xlfn.IFNA(VLOOKUP($BD458,Programma!$F$3:$X$1107,19,0),"")</f>
        <v/>
      </c>
      <c r="BW458" s="300" t="str">
        <f>_xlfn.IFNA(VLOOKUP($BD458,Programma!$F$3:$Y$1107,20,0),"")</f>
        <v/>
      </c>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c r="GB458" s="4"/>
      <c r="GC458" s="4"/>
      <c r="GD458" s="4"/>
      <c r="GE458" s="4"/>
      <c r="GF458" s="4"/>
      <c r="GG458" s="4"/>
      <c r="GH458" s="4"/>
      <c r="GI458" s="4"/>
      <c r="GJ458" s="4"/>
      <c r="GK458" s="4"/>
      <c r="GL458" s="4"/>
      <c r="GM458" s="4"/>
      <c r="GN458" s="4"/>
      <c r="GO458" s="4"/>
      <c r="GP458" s="4"/>
      <c r="GQ458" s="4"/>
      <c r="GR458" s="4"/>
      <c r="GS458" s="4"/>
      <c r="GT458" s="4"/>
      <c r="GU458" s="4"/>
      <c r="GV458" s="4"/>
      <c r="GW458" s="4"/>
      <c r="GX458" s="4"/>
      <c r="GY458" s="4"/>
      <c r="GZ458" s="4"/>
      <c r="HA458" s="4"/>
      <c r="HB458" s="4"/>
      <c r="HC458" s="4"/>
      <c r="HD458" s="4"/>
      <c r="HE458" s="4"/>
      <c r="HF458" s="4"/>
      <c r="HG458" s="4"/>
      <c r="HH458" s="4"/>
      <c r="HI458" s="4"/>
      <c r="HJ458" s="4"/>
      <c r="HK458" s="4"/>
      <c r="HL458" s="4"/>
    </row>
    <row r="459" spans="1:220" ht="15" customHeight="1">
      <c r="A459" s="21">
        <v>6</v>
      </c>
      <c r="B459" s="157" t="str">
        <f>VLOOKUP(Ruimtestaat[[#This Row],[Code]],Locaties[[Code]:[Locatie]],2,FALSE)</f>
        <v>Veurs Lyceum</v>
      </c>
      <c r="C459" s="157" t="str">
        <f>VLOOKUP(Ruimtestaat[[#This Row],[Code]],Locaties[[#All],[Code]:[Adres]],4,FALSE)</f>
        <v>Burg. Kolfschotenlaan 5</v>
      </c>
      <c r="D459" s="157" t="str">
        <f>VLOOKUP(Ruimtestaat[[#This Row],[Code]],Locaties[[#All],[Code]:[Postcode]],5,FALSE)</f>
        <v xml:space="preserve">2262 EZ </v>
      </c>
      <c r="E459" s="157" t="str">
        <f>VLOOKUP(Ruimtestaat[[#This Row],[Code]],Locaties[#All],6,FALSE)</f>
        <v>Leidschendam</v>
      </c>
      <c r="F459" s="62"/>
      <c r="G459" s="21" t="s">
        <v>1632</v>
      </c>
      <c r="H459" s="21">
        <v>34</v>
      </c>
      <c r="I459" s="62" t="s">
        <v>2094</v>
      </c>
      <c r="J459" s="21">
        <v>14</v>
      </c>
      <c r="K459" s="62" t="str">
        <f>VLOOKUP(Ruimtestaat[[#This Row],[Ruimte code]],Ruimtegroepen[[#All],[Code]:[Ruimte omschrijving]],2,FALSE)</f>
        <v>Praktijklokalen binas/zorg</v>
      </c>
      <c r="L459" s="33" t="s">
        <v>103</v>
      </c>
      <c r="M459" s="367" t="s">
        <v>2519</v>
      </c>
      <c r="N459" s="140">
        <v>111</v>
      </c>
      <c r="O459" s="140"/>
      <c r="P459" s="125" t="str">
        <f>VLOOKUP(Ruimtestaat[[#This Row],[Ruimte code]],Ruimtegroepen[],4,FALSE)</f>
        <v>Le</v>
      </c>
      <c r="R459" s="33">
        <v>40</v>
      </c>
      <c r="S459" s="33" t="s">
        <v>2</v>
      </c>
      <c r="T459" s="33">
        <f>IF(R459&gt;0,IF(RIGHT(Ruimtestaat[[#This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9" s="33">
        <f>IF(T459&gt;0,VLOOKUP($J459,Ruimtegroepen[],3,FALSE)*VLOOKUP($L459,Vloersoorten[],3,FALSE)*VLOOKUP($S459,Frequenties[],3,FALSE)*VLOOKUP($A459,Locaties[],3,FALSE),0)</f>
        <v>0</v>
      </c>
      <c r="V459" s="33">
        <f>Ruimtestaat[[#This Row],[Uitvoeringen werkdagen]]*Ruimtestaat[[#This Row],[Oppervlak (netto)]]</f>
        <v>22200</v>
      </c>
      <c r="W459" s="154">
        <f>IF(U459&gt;0,Ruimtestaat[[#This Row],[Prest. (m2 /jaar) werkdagen]]/Ruimtestaat[[#This Row],[Norm (m2/uur) werkdagen]],0)</f>
        <v>0</v>
      </c>
      <c r="X459" s="155">
        <f>Ruimtestaat[[#This Row],[uren / jaar werkdagen]]*Tariefsopbouw!$E$35</f>
        <v>0</v>
      </c>
      <c r="Y459" s="33"/>
      <c r="Z459" s="33">
        <f>IF(Ruimtestaat[[#This Row],[Frequentie weekend]]&gt;0,VALUE(LEFT(Y459,1))*R459,0)</f>
        <v>0</v>
      </c>
      <c r="AA459" s="97">
        <f>IF($Z459&gt;0,VLOOKUP($J459,Ruimtegroepen[],3,FALSE)*VLOOKUP($L459,Vloersoorten[],3,FALSE)*VLOOKUP($Y459,Frequenties[],3,FALSE)*VLOOKUP(Ruimtestaat[[#This Row],[Code]],Locaties[],3,FALSE),0)</f>
        <v>0</v>
      </c>
      <c r="AB459" s="97">
        <f>Ruimtestaat[[#This Row],[Uitvoeringen weekend]]*Ruimtestaat[[#This Row],[Oppervlak (netto)]]</f>
        <v>0</v>
      </c>
      <c r="AC459" s="97">
        <f>IF(AA459&gt;0,Ruimtestaat[[#This Row],[Prest. (m2 /jaar) weekend]]/Ruimtestaat[[#This Row],[Norm (m2/uur) weekend]],0)</f>
        <v>0</v>
      </c>
      <c r="AD459" s="155">
        <f>Ruimtestaat[[#This Row],[uren / jaar weekend]]*Tariefsopbouw!$D$40</f>
        <v>0</v>
      </c>
      <c r="AE459" s="154">
        <f>Ruimtestaat[[#This Row],[Prest. (m2 /jaar) weekend]]+Ruimtestaat[[#This Row],[Prest. (m2 /jaar) werkdagen]]</f>
        <v>22200</v>
      </c>
      <c r="AF459" s="154">
        <f>Ruimtestaat[[#This Row],[uren / jaar weekend]]+Ruimtestaat[[#This Row],[uren / jaar werkdagen]]</f>
        <v>0</v>
      </c>
      <c r="AG459" s="69">
        <f>Ruimtestaat[[#This Row],[kosten / jaar weekend]]+Ruimtestaat[[#This Row],[kosten / jaar werkdagen]]</f>
        <v>0</v>
      </c>
      <c r="AH459" s="69"/>
      <c r="AI459" s="256" t="str">
        <f>IF(Ruimtestaat[[#This Row],[Frequentie werkdagen]]="","",_xlfn.CONCAT(Ruimtestaat[[#This Row],[Ruimte code]],"-",Ruimtestaat[[#This Row],[Frequentie werkdagen]]," ",Ruimtestaat[[#This Row],[Vloer code]]))</f>
        <v>14-5w P</v>
      </c>
      <c r="AJ459" s="300" t="str">
        <f>_xlfn.IFNA(VLOOKUP($AI459,Programma!$F$3:$G$1107,2,0),"")</f>
        <v>_</v>
      </c>
      <c r="AK459" s="300" t="str">
        <f>_xlfn.IFNA(VLOOKUP($AI459,Programma!$F$3:$H$1107,3,0),"")</f>
        <v>_</v>
      </c>
      <c r="AL459" s="300" t="str">
        <f>_xlfn.IFNA(VLOOKUP($AI459,Programma!$F$3:$I$1107,4,0),"")</f>
        <v>5w</v>
      </c>
      <c r="AM459" s="300" t="str">
        <f>_xlfn.IFNA(VLOOKUP($AI459,Programma!$F$3:$J$1107,5,0),"")</f>
        <v>_</v>
      </c>
      <c r="AN459" s="300" t="str">
        <f>_xlfn.IFNA(VLOOKUP($AI459,Programma!$F$3:$K$1107,6,0),"")</f>
        <v>5w</v>
      </c>
      <c r="AO459" s="300" t="str">
        <f>_xlfn.IFNA(VLOOKUP($AI459,Programma!$F$3:$L$1107,7,0),"")</f>
        <v>_</v>
      </c>
      <c r="AP459" s="300" t="str">
        <f>_xlfn.IFNA(VLOOKUP($AI459,Programma!$F$3:$M$1107,8,0),"")</f>
        <v>_</v>
      </c>
      <c r="AQ459" s="300" t="str">
        <f>_xlfn.IFNA(VLOOKUP($AI459,Programma!$F$3:$N$1107,9,0),"")</f>
        <v>_</v>
      </c>
      <c r="AR459" s="300" t="str">
        <f>_xlfn.IFNA(VLOOKUP($AI459,Programma!$F$3:$O$1107,10,0),"")</f>
        <v>5w</v>
      </c>
      <c r="AS459" s="300" t="str">
        <f>_xlfn.IFNA(VLOOKUP($AI459,Programma!$F$3:$P$1107,11,0),"")</f>
        <v>5w</v>
      </c>
      <c r="AT459" s="300" t="str">
        <f>_xlfn.IFNA(VLOOKUP($AI459,Programma!$F$3:$Q$1107,12,0),"")</f>
        <v>1w</v>
      </c>
      <c r="AU459" s="300" t="str">
        <f>_xlfn.IFNA(VLOOKUP($AI459,Programma!$F$3:$R$1107,13,0),"")</f>
        <v>1w</v>
      </c>
      <c r="AV459" s="300" t="str">
        <f>_xlfn.IFNA(VLOOKUP($AI459,Programma!$F$3:$S$1107,14,0),"")</f>
        <v>1m</v>
      </c>
      <c r="AW459" s="300" t="str">
        <f>_xlfn.IFNA(VLOOKUP($AI459,Programma!$F$3:$T$1107,15,0),"")</f>
        <v>2j</v>
      </c>
      <c r="AX459" s="300" t="str">
        <f>_xlfn.IFNA(VLOOKUP($AI459,Programma!$F$3:$U$1107,16,0),"")</f>
        <v>1j</v>
      </c>
      <c r="AY459" s="300" t="str">
        <f>_xlfn.IFNA(VLOOKUP($AI459,Programma!$F$3:$V$1107,17,0),"")</f>
        <v>_</v>
      </c>
      <c r="AZ459" s="300" t="str">
        <f>_xlfn.IFNA(VLOOKUP($AI459,Programma!$F$3:$W$1107,18,0),"")</f>
        <v>_</v>
      </c>
      <c r="BA459" s="300" t="str">
        <f>_xlfn.IFNA(VLOOKUP($AI459,Programma!$F$3:$X$1107,19,0),"")</f>
        <v>_</v>
      </c>
      <c r="BB459" s="300" t="str">
        <f>_xlfn.IFNA(VLOOKUP($AI459,Programma!$F$3:$Y$1107,20,0),"")</f>
        <v>_</v>
      </c>
      <c r="BC459" s="257"/>
      <c r="BD459" s="256" t="str">
        <f>IF(Ruimtestaat[[#This Row],[Frequentie weekend]]="","",_xlfn.CONCAT(Ruimtestaat[[#This Row],[Ruimte code]],"-",Ruimtestaat[[#This Row],[Frequentie weekend]]," ",Ruimtestaat[[#This Row],[Vloer code]]))</f>
        <v/>
      </c>
      <c r="BE459" s="300" t="str">
        <f>_xlfn.IFNA(VLOOKUP($BD459,Programma!$F$3:$G$1107,2,0),"")</f>
        <v/>
      </c>
      <c r="BF459" s="300" t="str">
        <f>_xlfn.IFNA(VLOOKUP($BD459,Programma!$F$3:$H$1107,3,0),"")</f>
        <v/>
      </c>
      <c r="BG459" s="300" t="str">
        <f>_xlfn.IFNA(VLOOKUP($BD459,Programma!$F$3:$I$1107,4,0),"")</f>
        <v/>
      </c>
      <c r="BH459" s="300" t="str">
        <f>_xlfn.IFNA(VLOOKUP($BD459,Programma!$F$3:$J$1107,5,0),"")</f>
        <v/>
      </c>
      <c r="BI459" s="300" t="str">
        <f>_xlfn.IFNA(VLOOKUP($BD459,Programma!$F$3:$K$1107,6,0),"")</f>
        <v/>
      </c>
      <c r="BJ459" s="300" t="str">
        <f>_xlfn.IFNA(VLOOKUP($BD459,Programma!$F$3:$L$1107,7,0),"")</f>
        <v/>
      </c>
      <c r="BK459" s="300" t="str">
        <f>_xlfn.IFNA(VLOOKUP($BD459,Programma!$F$3:$M$1107,8,0),"")</f>
        <v/>
      </c>
      <c r="BL459" s="300" t="str">
        <f>_xlfn.IFNA(VLOOKUP($BD459,Programma!$F$3:$N$1107,9,0),"")</f>
        <v/>
      </c>
      <c r="BM459" s="300" t="str">
        <f>_xlfn.IFNA(VLOOKUP($BD459,Programma!$F$3:$O$1107,10,0),"")</f>
        <v/>
      </c>
      <c r="BN459" s="300" t="str">
        <f>_xlfn.IFNA(VLOOKUP($BD459,Programma!$F$3:$P$1107,11,0),"")</f>
        <v/>
      </c>
      <c r="BO459" s="300" t="str">
        <f>_xlfn.IFNA(VLOOKUP($BD459,Programma!$F$3:$Q$1107,12,0),"")</f>
        <v/>
      </c>
      <c r="BP459" s="300" t="str">
        <f>_xlfn.IFNA(VLOOKUP($BD459,Programma!$F$3:$R$1107,13,0),"")</f>
        <v/>
      </c>
      <c r="BQ459" s="300" t="str">
        <f>_xlfn.IFNA(VLOOKUP($BD459,Programma!$F$3:$S$1107,14,0),"")</f>
        <v/>
      </c>
      <c r="BR459" s="300" t="str">
        <f>_xlfn.IFNA(VLOOKUP($BD459,Programma!$F$3:$T$1107,15,0),"")</f>
        <v/>
      </c>
      <c r="BS459" s="300" t="str">
        <f>_xlfn.IFNA(VLOOKUP($BD459,Programma!$F$3:$U$1107,16,0),"")</f>
        <v/>
      </c>
      <c r="BT459" s="300" t="str">
        <f>_xlfn.IFNA(VLOOKUP($BD459,Programma!$F$3:$V$1107,17,0),"")</f>
        <v/>
      </c>
      <c r="BU459" s="300" t="str">
        <f>_xlfn.IFNA(VLOOKUP($BD459,Programma!$F$3:$W$1107,18,0),"")</f>
        <v/>
      </c>
      <c r="BV459" s="300" t="str">
        <f>_xlfn.IFNA(VLOOKUP($BD459,Programma!$F$3:$X$1107,19,0),"")</f>
        <v/>
      </c>
      <c r="BW459" s="300" t="str">
        <f>_xlfn.IFNA(VLOOKUP($BD459,Programma!$F$3:$Y$1107,20,0),"")</f>
        <v/>
      </c>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c r="GK459" s="4"/>
      <c r="GL459" s="4"/>
      <c r="GM459" s="4"/>
      <c r="GN459" s="4"/>
      <c r="GO459" s="4"/>
      <c r="GP459" s="4"/>
      <c r="GQ459" s="4"/>
      <c r="GR459" s="4"/>
      <c r="GS459" s="4"/>
      <c r="GT459" s="4"/>
      <c r="GU459" s="4"/>
      <c r="GV459" s="4"/>
      <c r="GW459" s="4"/>
      <c r="GX459" s="4"/>
      <c r="GY459" s="4"/>
      <c r="GZ459" s="4"/>
      <c r="HA459" s="4"/>
      <c r="HB459" s="4"/>
      <c r="HC459" s="4"/>
      <c r="HD459" s="4"/>
      <c r="HE459" s="4"/>
      <c r="HF459" s="4"/>
      <c r="HG459" s="4"/>
      <c r="HH459" s="4"/>
      <c r="HI459" s="4"/>
      <c r="HJ459" s="4"/>
      <c r="HK459" s="4"/>
      <c r="HL459" s="4"/>
    </row>
    <row r="460" spans="1:220" ht="15" customHeight="1">
      <c r="A460" s="21">
        <v>6</v>
      </c>
      <c r="B460" s="157" t="str">
        <f>VLOOKUP(Ruimtestaat[[#This Row],[Code]],Locaties[[Code]:[Locatie]],2,FALSE)</f>
        <v>Veurs Lyceum</v>
      </c>
      <c r="C460" s="157" t="str">
        <f>VLOOKUP(Ruimtestaat[[#This Row],[Code]],Locaties[[#All],[Code]:[Adres]],4,FALSE)</f>
        <v>Burg. Kolfschotenlaan 5</v>
      </c>
      <c r="D460" s="157" t="str">
        <f>VLOOKUP(Ruimtestaat[[#This Row],[Code]],Locaties[[#All],[Code]:[Postcode]],5,FALSE)</f>
        <v xml:space="preserve">2262 EZ </v>
      </c>
      <c r="E460" s="157" t="str">
        <f>VLOOKUP(Ruimtestaat[[#This Row],[Code]],Locaties[#All],6,FALSE)</f>
        <v>Leidschendam</v>
      </c>
      <c r="F460" s="62"/>
      <c r="G460" s="21" t="s">
        <v>1632</v>
      </c>
      <c r="H460" s="21">
        <v>35</v>
      </c>
      <c r="I460" s="62" t="s">
        <v>2095</v>
      </c>
      <c r="J460" s="21">
        <v>1</v>
      </c>
      <c r="K460" s="62" t="str">
        <f>VLOOKUP(Ruimtestaat[[#This Row],[Ruimte code]],Ruimtegroepen[[#All],[Code]:[Ruimte omschrijving]],2,FALSE)</f>
        <v>Magazijnen/bergingen</v>
      </c>
      <c r="L460" s="33" t="s">
        <v>101</v>
      </c>
      <c r="M460" s="367" t="s">
        <v>2495</v>
      </c>
      <c r="N460" s="140">
        <v>11</v>
      </c>
      <c r="O460" s="140"/>
      <c r="P460" s="125" t="str">
        <f>VLOOKUP(Ruimtestaat[[#This Row],[Ruimte code]],Ruimtegroepen[],4,FALSE)</f>
        <v>Ve</v>
      </c>
      <c r="R460" s="33">
        <v>40</v>
      </c>
      <c r="S460" s="33" t="s">
        <v>16</v>
      </c>
      <c r="T460" s="33">
        <f>IF(R460&gt;0,IF(RIGHT(Ruimtestaat[[#This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60" s="33">
        <f>IF(T460&gt;0,VLOOKUP($J460,Ruimtegroepen[],3,FALSE)*VLOOKUP($L460,Vloersoorten[],3,FALSE)*VLOOKUP($S460,Frequenties[],3,FALSE)*VLOOKUP($A460,Locaties[],3,FALSE),0)</f>
        <v>0</v>
      </c>
      <c r="V460" s="33">
        <f>Ruimtestaat[[#This Row],[Uitvoeringen werkdagen]]*Ruimtestaat[[#This Row],[Oppervlak (netto)]]</f>
        <v>132</v>
      </c>
      <c r="W460" s="154">
        <f>IF(U460&gt;0,Ruimtestaat[[#This Row],[Prest. (m2 /jaar) werkdagen]]/Ruimtestaat[[#This Row],[Norm (m2/uur) werkdagen]],0)</f>
        <v>0</v>
      </c>
      <c r="X460" s="155">
        <f>Ruimtestaat[[#This Row],[uren / jaar werkdagen]]*Tariefsopbouw!$E$35</f>
        <v>0</v>
      </c>
      <c r="Y460" s="33"/>
      <c r="Z460" s="33">
        <f>IF(Ruimtestaat[[#This Row],[Frequentie weekend]]&gt;0,VALUE(LEFT(Y460,1))*R460,0)</f>
        <v>0</v>
      </c>
      <c r="AA460" s="97">
        <f>IF($Z460&gt;0,VLOOKUP($J460,Ruimtegroepen[],3,FALSE)*VLOOKUP($L460,Vloersoorten[],3,FALSE)*VLOOKUP($Y460,Frequenties[],3,FALSE)*VLOOKUP(Ruimtestaat[[#This Row],[Code]],Locaties[],3,FALSE),0)</f>
        <v>0</v>
      </c>
      <c r="AB460" s="97">
        <f>Ruimtestaat[[#This Row],[Uitvoeringen weekend]]*Ruimtestaat[[#This Row],[Oppervlak (netto)]]</f>
        <v>0</v>
      </c>
      <c r="AC460" s="97">
        <f>IF(AA460&gt;0,Ruimtestaat[[#This Row],[Prest. (m2 /jaar) weekend]]/Ruimtestaat[[#This Row],[Norm (m2/uur) weekend]],0)</f>
        <v>0</v>
      </c>
      <c r="AD460" s="155">
        <f>Ruimtestaat[[#This Row],[uren / jaar weekend]]*Tariefsopbouw!$D$40</f>
        <v>0</v>
      </c>
      <c r="AE460" s="154">
        <f>Ruimtestaat[[#This Row],[Prest. (m2 /jaar) weekend]]+Ruimtestaat[[#This Row],[Prest. (m2 /jaar) werkdagen]]</f>
        <v>132</v>
      </c>
      <c r="AF460" s="154">
        <f>Ruimtestaat[[#This Row],[uren / jaar weekend]]+Ruimtestaat[[#This Row],[uren / jaar werkdagen]]</f>
        <v>0</v>
      </c>
      <c r="AG460" s="69">
        <f>Ruimtestaat[[#This Row],[kosten / jaar weekend]]+Ruimtestaat[[#This Row],[kosten / jaar werkdagen]]</f>
        <v>0</v>
      </c>
      <c r="AH460" s="69"/>
      <c r="AI460" s="256" t="str">
        <f>IF(Ruimtestaat[[#This Row],[Frequentie werkdagen]]="","",_xlfn.CONCAT(Ruimtestaat[[#This Row],[Ruimte code]],"-",Ruimtestaat[[#This Row],[Frequentie werkdagen]]," ",Ruimtestaat[[#This Row],[Vloer code]]))</f>
        <v>1-1m L</v>
      </c>
      <c r="AJ460" s="300" t="str">
        <f>_xlfn.IFNA(VLOOKUP($AI460,Programma!$F$3:$G$1107,2,0),"")</f>
        <v>_</v>
      </c>
      <c r="AK460" s="300" t="str">
        <f>_xlfn.IFNA(VLOOKUP($AI460,Programma!$F$3:$H$1107,3,0),"")</f>
        <v>_</v>
      </c>
      <c r="AL460" s="300" t="str">
        <f>_xlfn.IFNA(VLOOKUP($AI460,Programma!$F$3:$I$1107,4,0),"")</f>
        <v>1m</v>
      </c>
      <c r="AM460" s="300" t="str">
        <f>_xlfn.IFNA(VLOOKUP($AI460,Programma!$F$3:$J$1107,5,0),"")</f>
        <v>1m</v>
      </c>
      <c r="AN460" s="300" t="str">
        <f>_xlfn.IFNA(VLOOKUP($AI460,Programma!$F$3:$K$1107,6,0),"")</f>
        <v>_</v>
      </c>
      <c r="AO460" s="300" t="str">
        <f>_xlfn.IFNA(VLOOKUP($AI460,Programma!$F$3:$L$1107,7,0),"")</f>
        <v>_</v>
      </c>
      <c r="AP460" s="300" t="str">
        <f>_xlfn.IFNA(VLOOKUP($AI460,Programma!$F$3:$M$1107,8,0),"")</f>
        <v>_</v>
      </c>
      <c r="AQ460" s="300" t="str">
        <f>_xlfn.IFNA(VLOOKUP($AI460,Programma!$F$3:$N$1107,9,0),"")</f>
        <v>_</v>
      </c>
      <c r="AR460" s="300" t="str">
        <f>_xlfn.IFNA(VLOOKUP($AI460,Programma!$F$3:$O$1107,10,0),"")</f>
        <v>_</v>
      </c>
      <c r="AS460" s="300" t="str">
        <f>_xlfn.IFNA(VLOOKUP($AI460,Programma!$F$3:$P$1107,11,0),"")</f>
        <v>_</v>
      </c>
      <c r="AT460" s="300" t="str">
        <f>_xlfn.IFNA(VLOOKUP($AI460,Programma!$F$3:$Q$1107,12,0),"")</f>
        <v>_</v>
      </c>
      <c r="AU460" s="300" t="str">
        <f>_xlfn.IFNA(VLOOKUP($AI460,Programma!$F$3:$R$1107,13,0),"")</f>
        <v>_</v>
      </c>
      <c r="AV460" s="300" t="str">
        <f>_xlfn.IFNA(VLOOKUP($AI460,Programma!$F$3:$S$1107,14,0),"")</f>
        <v>1m</v>
      </c>
      <c r="AW460" s="300" t="str">
        <f>_xlfn.IFNA(VLOOKUP($AI460,Programma!$F$3:$T$1107,15,0),"")</f>
        <v>4j</v>
      </c>
      <c r="AX460" s="300" t="str">
        <f>_xlfn.IFNA(VLOOKUP($AI460,Programma!$F$3:$U$1107,16,0),"")</f>
        <v>4j</v>
      </c>
      <c r="AY460" s="300" t="str">
        <f>_xlfn.IFNA(VLOOKUP($AI460,Programma!$F$3:$V$1107,17,0),"")</f>
        <v>_</v>
      </c>
      <c r="AZ460" s="300" t="str">
        <f>_xlfn.IFNA(VLOOKUP($AI460,Programma!$F$3:$W$1107,18,0),"")</f>
        <v>_</v>
      </c>
      <c r="BA460" s="300" t="str">
        <f>_xlfn.IFNA(VLOOKUP($AI460,Programma!$F$3:$X$1107,19,0),"")</f>
        <v>_</v>
      </c>
      <c r="BB460" s="300" t="str">
        <f>_xlfn.IFNA(VLOOKUP($AI460,Programma!$F$3:$Y$1107,20,0),"")</f>
        <v>_</v>
      </c>
      <c r="BC460" s="257"/>
      <c r="BD460" s="256" t="str">
        <f>IF(Ruimtestaat[[#This Row],[Frequentie weekend]]="","",_xlfn.CONCAT(Ruimtestaat[[#This Row],[Ruimte code]],"-",Ruimtestaat[[#This Row],[Frequentie weekend]]," ",Ruimtestaat[[#This Row],[Vloer code]]))</f>
        <v/>
      </c>
      <c r="BE460" s="300" t="str">
        <f>_xlfn.IFNA(VLOOKUP($BD460,Programma!$F$3:$G$1107,2,0),"")</f>
        <v/>
      </c>
      <c r="BF460" s="300" t="str">
        <f>_xlfn.IFNA(VLOOKUP($BD460,Programma!$F$3:$H$1107,3,0),"")</f>
        <v/>
      </c>
      <c r="BG460" s="300" t="str">
        <f>_xlfn.IFNA(VLOOKUP($BD460,Programma!$F$3:$I$1107,4,0),"")</f>
        <v/>
      </c>
      <c r="BH460" s="300" t="str">
        <f>_xlfn.IFNA(VLOOKUP($BD460,Programma!$F$3:$J$1107,5,0),"")</f>
        <v/>
      </c>
      <c r="BI460" s="300" t="str">
        <f>_xlfn.IFNA(VLOOKUP($BD460,Programma!$F$3:$K$1107,6,0),"")</f>
        <v/>
      </c>
      <c r="BJ460" s="300" t="str">
        <f>_xlfn.IFNA(VLOOKUP($BD460,Programma!$F$3:$L$1107,7,0),"")</f>
        <v/>
      </c>
      <c r="BK460" s="300" t="str">
        <f>_xlfn.IFNA(VLOOKUP($BD460,Programma!$F$3:$M$1107,8,0),"")</f>
        <v/>
      </c>
      <c r="BL460" s="300" t="str">
        <f>_xlfn.IFNA(VLOOKUP($BD460,Programma!$F$3:$N$1107,9,0),"")</f>
        <v/>
      </c>
      <c r="BM460" s="300" t="str">
        <f>_xlfn.IFNA(VLOOKUP($BD460,Programma!$F$3:$O$1107,10,0),"")</f>
        <v/>
      </c>
      <c r="BN460" s="300" t="str">
        <f>_xlfn.IFNA(VLOOKUP($BD460,Programma!$F$3:$P$1107,11,0),"")</f>
        <v/>
      </c>
      <c r="BO460" s="300" t="str">
        <f>_xlfn.IFNA(VLOOKUP($BD460,Programma!$F$3:$Q$1107,12,0),"")</f>
        <v/>
      </c>
      <c r="BP460" s="300" t="str">
        <f>_xlfn.IFNA(VLOOKUP($BD460,Programma!$F$3:$R$1107,13,0),"")</f>
        <v/>
      </c>
      <c r="BQ460" s="300" t="str">
        <f>_xlfn.IFNA(VLOOKUP($BD460,Programma!$F$3:$S$1107,14,0),"")</f>
        <v/>
      </c>
      <c r="BR460" s="300" t="str">
        <f>_xlfn.IFNA(VLOOKUP($BD460,Programma!$F$3:$T$1107,15,0),"")</f>
        <v/>
      </c>
      <c r="BS460" s="300" t="str">
        <f>_xlfn.IFNA(VLOOKUP($BD460,Programma!$F$3:$U$1107,16,0),"")</f>
        <v/>
      </c>
      <c r="BT460" s="300" t="str">
        <f>_xlfn.IFNA(VLOOKUP($BD460,Programma!$F$3:$V$1107,17,0),"")</f>
        <v/>
      </c>
      <c r="BU460" s="300" t="str">
        <f>_xlfn.IFNA(VLOOKUP($BD460,Programma!$F$3:$W$1107,18,0),"")</f>
        <v/>
      </c>
      <c r="BV460" s="300" t="str">
        <f>_xlfn.IFNA(VLOOKUP($BD460,Programma!$F$3:$X$1107,19,0),"")</f>
        <v/>
      </c>
      <c r="BW460" s="300" t="str">
        <f>_xlfn.IFNA(VLOOKUP($BD460,Programma!$F$3:$Y$1107,20,0),"")</f>
        <v/>
      </c>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c r="GK460" s="4"/>
      <c r="GL460" s="4"/>
      <c r="GM460" s="4"/>
      <c r="GN460" s="4"/>
      <c r="GO460" s="4"/>
      <c r="GP460" s="4"/>
      <c r="GQ460" s="4"/>
      <c r="GR460" s="4"/>
      <c r="GS460" s="4"/>
      <c r="GT460" s="4"/>
      <c r="GU460" s="4"/>
      <c r="GV460" s="4"/>
      <c r="GW460" s="4"/>
      <c r="GX460" s="4"/>
      <c r="GY460" s="4"/>
      <c r="GZ460" s="4"/>
      <c r="HA460" s="4"/>
      <c r="HB460" s="4"/>
      <c r="HC460" s="4"/>
      <c r="HD460" s="4"/>
      <c r="HE460" s="4"/>
      <c r="HF460" s="4"/>
      <c r="HG460" s="4"/>
      <c r="HH460" s="4"/>
      <c r="HI460" s="4"/>
      <c r="HJ460" s="4"/>
      <c r="HK460" s="4"/>
      <c r="HL460" s="4"/>
    </row>
    <row r="461" spans="1:220" ht="15" customHeight="1">
      <c r="A461" s="21">
        <v>6</v>
      </c>
      <c r="B461" s="157" t="str">
        <f>VLOOKUP(Ruimtestaat[[#This Row],[Code]],Locaties[[Code]:[Locatie]],2,FALSE)</f>
        <v>Veurs Lyceum</v>
      </c>
      <c r="C461" s="157" t="str">
        <f>VLOOKUP(Ruimtestaat[[#This Row],[Code]],Locaties[[#All],[Code]:[Adres]],4,FALSE)</f>
        <v>Burg. Kolfschotenlaan 5</v>
      </c>
      <c r="D461" s="157" t="str">
        <f>VLOOKUP(Ruimtestaat[[#This Row],[Code]],Locaties[[#All],[Code]:[Postcode]],5,FALSE)</f>
        <v xml:space="preserve">2262 EZ </v>
      </c>
      <c r="E461" s="157" t="str">
        <f>VLOOKUP(Ruimtestaat[[#This Row],[Code]],Locaties[#All],6,FALSE)</f>
        <v>Leidschendam</v>
      </c>
      <c r="F461" s="62"/>
      <c r="G461" s="21" t="s">
        <v>1632</v>
      </c>
      <c r="H461" s="21">
        <v>36</v>
      </c>
      <c r="I461" s="62" t="s">
        <v>2096</v>
      </c>
      <c r="J461" s="21">
        <v>13</v>
      </c>
      <c r="K461" s="62" t="str">
        <f>VLOOKUP(Ruimtestaat[[#This Row],[Ruimte code]],Ruimtegroepen[[#All],[Code]:[Ruimte omschrijving]],2,FALSE)</f>
        <v>HV/Technieklokaal</v>
      </c>
      <c r="L461" s="33" t="s">
        <v>103</v>
      </c>
      <c r="M461" s="367" t="s">
        <v>121</v>
      </c>
      <c r="N461" s="140">
        <v>91</v>
      </c>
      <c r="O461" s="140"/>
      <c r="P461" s="125" t="str">
        <f>VLOOKUP(Ruimtestaat[[#This Row],[Ruimte code]],Ruimtegroepen[],4,FALSE)</f>
        <v>Le</v>
      </c>
      <c r="R461" s="33">
        <v>40</v>
      </c>
      <c r="S461" s="33" t="s">
        <v>2</v>
      </c>
      <c r="T461" s="33">
        <f>IF(R461&gt;0,IF(RIGHT(Ruimtestaat[[#This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1" s="33">
        <f>IF(T461&gt;0,VLOOKUP($J461,Ruimtegroepen[],3,FALSE)*VLOOKUP($L461,Vloersoorten[],3,FALSE)*VLOOKUP($S461,Frequenties[],3,FALSE)*VLOOKUP($A461,Locaties[],3,FALSE),0)</f>
        <v>0</v>
      </c>
      <c r="V461" s="33">
        <f>Ruimtestaat[[#This Row],[Uitvoeringen werkdagen]]*Ruimtestaat[[#This Row],[Oppervlak (netto)]]</f>
        <v>18200</v>
      </c>
      <c r="W461" s="154">
        <f>IF(U461&gt;0,Ruimtestaat[[#This Row],[Prest. (m2 /jaar) werkdagen]]/Ruimtestaat[[#This Row],[Norm (m2/uur) werkdagen]],0)</f>
        <v>0</v>
      </c>
      <c r="X461" s="155">
        <f>Ruimtestaat[[#This Row],[uren / jaar werkdagen]]*Tariefsopbouw!$E$35</f>
        <v>0</v>
      </c>
      <c r="Y461" s="33"/>
      <c r="Z461" s="33">
        <f>IF(Ruimtestaat[[#This Row],[Frequentie weekend]]&gt;0,VALUE(LEFT(Y461,1))*R461,0)</f>
        <v>0</v>
      </c>
      <c r="AA461" s="97">
        <f>IF($Z461&gt;0,VLOOKUP($J461,Ruimtegroepen[],3,FALSE)*VLOOKUP($L461,Vloersoorten[],3,FALSE)*VLOOKUP($Y461,Frequenties[],3,FALSE)*VLOOKUP(Ruimtestaat[[#This Row],[Code]],Locaties[],3,FALSE),0)</f>
        <v>0</v>
      </c>
      <c r="AB461" s="97">
        <f>Ruimtestaat[[#This Row],[Uitvoeringen weekend]]*Ruimtestaat[[#This Row],[Oppervlak (netto)]]</f>
        <v>0</v>
      </c>
      <c r="AC461" s="97">
        <f>IF(AA461&gt;0,Ruimtestaat[[#This Row],[Prest. (m2 /jaar) weekend]]/Ruimtestaat[[#This Row],[Norm (m2/uur) weekend]],0)</f>
        <v>0</v>
      </c>
      <c r="AD461" s="155">
        <f>Ruimtestaat[[#This Row],[uren / jaar weekend]]*Tariefsopbouw!$D$40</f>
        <v>0</v>
      </c>
      <c r="AE461" s="154">
        <f>Ruimtestaat[[#This Row],[Prest. (m2 /jaar) weekend]]+Ruimtestaat[[#This Row],[Prest. (m2 /jaar) werkdagen]]</f>
        <v>18200</v>
      </c>
      <c r="AF461" s="154">
        <f>Ruimtestaat[[#This Row],[uren / jaar weekend]]+Ruimtestaat[[#This Row],[uren / jaar werkdagen]]</f>
        <v>0</v>
      </c>
      <c r="AG461" s="69">
        <f>Ruimtestaat[[#This Row],[kosten / jaar weekend]]+Ruimtestaat[[#This Row],[kosten / jaar werkdagen]]</f>
        <v>0</v>
      </c>
      <c r="AH461" s="69"/>
      <c r="AI461" s="256" t="str">
        <f>IF(Ruimtestaat[[#This Row],[Frequentie werkdagen]]="","",_xlfn.CONCAT(Ruimtestaat[[#This Row],[Ruimte code]],"-",Ruimtestaat[[#This Row],[Frequentie werkdagen]]," ",Ruimtestaat[[#This Row],[Vloer code]]))</f>
        <v>13-5w P</v>
      </c>
      <c r="AJ461" s="300" t="str">
        <f>_xlfn.IFNA(VLOOKUP($AI461,Programma!$F$3:$G$1107,2,0),"")</f>
        <v>_</v>
      </c>
      <c r="AK461" s="300" t="str">
        <f>_xlfn.IFNA(VLOOKUP($AI461,Programma!$F$3:$H$1107,3,0),"")</f>
        <v>_</v>
      </c>
      <c r="AL461" s="300" t="str">
        <f>_xlfn.IFNA(VLOOKUP($AI461,Programma!$F$3:$I$1107,4,0),"")</f>
        <v>4w</v>
      </c>
      <c r="AM461" s="300" t="str">
        <f>_xlfn.IFNA(VLOOKUP($AI461,Programma!$F$3:$J$1107,5,0),"")</f>
        <v>1w</v>
      </c>
      <c r="AN461" s="300" t="str">
        <f>_xlfn.IFNA(VLOOKUP($AI461,Programma!$F$3:$K$1107,6,0),"")</f>
        <v>1j</v>
      </c>
      <c r="AO461" s="300" t="str">
        <f>_xlfn.IFNA(VLOOKUP($AI461,Programma!$F$3:$L$1107,7,0),"")</f>
        <v>_</v>
      </c>
      <c r="AP461" s="300" t="str">
        <f>_xlfn.IFNA(VLOOKUP($AI461,Programma!$F$3:$M$1107,8,0),"")</f>
        <v>_</v>
      </c>
      <c r="AQ461" s="300" t="str">
        <f>_xlfn.IFNA(VLOOKUP($AI461,Programma!$F$3:$N$1107,9,0),"")</f>
        <v>_</v>
      </c>
      <c r="AR461" s="300" t="str">
        <f>_xlfn.IFNA(VLOOKUP($AI461,Programma!$F$3:$O$1107,10,0),"")</f>
        <v>5w</v>
      </c>
      <c r="AS461" s="300" t="str">
        <f>_xlfn.IFNA(VLOOKUP($AI461,Programma!$F$3:$P$1107,11,0),"")</f>
        <v>5w</v>
      </c>
      <c r="AT461" s="300" t="str">
        <f>_xlfn.IFNA(VLOOKUP($AI461,Programma!$F$3:$Q$1107,12,0),"")</f>
        <v>1w</v>
      </c>
      <c r="AU461" s="300" t="str">
        <f>_xlfn.IFNA(VLOOKUP($AI461,Programma!$F$3:$R$1107,13,0),"")</f>
        <v>1w</v>
      </c>
      <c r="AV461" s="300" t="str">
        <f>_xlfn.IFNA(VLOOKUP($AI461,Programma!$F$3:$S$1107,14,0),"")</f>
        <v>1m</v>
      </c>
      <c r="AW461" s="300" t="str">
        <f>_xlfn.IFNA(VLOOKUP($AI461,Programma!$F$3:$T$1107,15,0),"")</f>
        <v>2j</v>
      </c>
      <c r="AX461" s="300" t="str">
        <f>_xlfn.IFNA(VLOOKUP($AI461,Programma!$F$3:$U$1107,16,0),"")</f>
        <v>1j</v>
      </c>
      <c r="AY461" s="300" t="str">
        <f>_xlfn.IFNA(VLOOKUP($AI461,Programma!$F$3:$V$1107,17,0),"")</f>
        <v>_</v>
      </c>
      <c r="AZ461" s="300" t="str">
        <f>_xlfn.IFNA(VLOOKUP($AI461,Programma!$F$3:$W$1107,18,0),"")</f>
        <v>_</v>
      </c>
      <c r="BA461" s="300" t="str">
        <f>_xlfn.IFNA(VLOOKUP($AI461,Programma!$F$3:$X$1107,19,0),"")</f>
        <v>_</v>
      </c>
      <c r="BB461" s="300" t="str">
        <f>_xlfn.IFNA(VLOOKUP($AI461,Programma!$F$3:$Y$1107,20,0),"")</f>
        <v>_</v>
      </c>
      <c r="BC461" s="257"/>
      <c r="BD461" s="256" t="str">
        <f>IF(Ruimtestaat[[#This Row],[Frequentie weekend]]="","",_xlfn.CONCAT(Ruimtestaat[[#This Row],[Ruimte code]],"-",Ruimtestaat[[#This Row],[Frequentie weekend]]," ",Ruimtestaat[[#This Row],[Vloer code]]))</f>
        <v/>
      </c>
      <c r="BE461" s="300" t="str">
        <f>_xlfn.IFNA(VLOOKUP($BD461,Programma!$F$3:$G$1107,2,0),"")</f>
        <v/>
      </c>
      <c r="BF461" s="300" t="str">
        <f>_xlfn.IFNA(VLOOKUP($BD461,Programma!$F$3:$H$1107,3,0),"")</f>
        <v/>
      </c>
      <c r="BG461" s="300" t="str">
        <f>_xlfn.IFNA(VLOOKUP($BD461,Programma!$F$3:$I$1107,4,0),"")</f>
        <v/>
      </c>
      <c r="BH461" s="300" t="str">
        <f>_xlfn.IFNA(VLOOKUP($BD461,Programma!$F$3:$J$1107,5,0),"")</f>
        <v/>
      </c>
      <c r="BI461" s="300" t="str">
        <f>_xlfn.IFNA(VLOOKUP($BD461,Programma!$F$3:$K$1107,6,0),"")</f>
        <v/>
      </c>
      <c r="BJ461" s="300" t="str">
        <f>_xlfn.IFNA(VLOOKUP($BD461,Programma!$F$3:$L$1107,7,0),"")</f>
        <v/>
      </c>
      <c r="BK461" s="300" t="str">
        <f>_xlfn.IFNA(VLOOKUP($BD461,Programma!$F$3:$M$1107,8,0),"")</f>
        <v/>
      </c>
      <c r="BL461" s="300" t="str">
        <f>_xlfn.IFNA(VLOOKUP($BD461,Programma!$F$3:$N$1107,9,0),"")</f>
        <v/>
      </c>
      <c r="BM461" s="300" t="str">
        <f>_xlfn.IFNA(VLOOKUP($BD461,Programma!$F$3:$O$1107,10,0),"")</f>
        <v/>
      </c>
      <c r="BN461" s="300" t="str">
        <f>_xlfn.IFNA(VLOOKUP($BD461,Programma!$F$3:$P$1107,11,0),"")</f>
        <v/>
      </c>
      <c r="BO461" s="300" t="str">
        <f>_xlfn.IFNA(VLOOKUP($BD461,Programma!$F$3:$Q$1107,12,0),"")</f>
        <v/>
      </c>
      <c r="BP461" s="300" t="str">
        <f>_xlfn.IFNA(VLOOKUP($BD461,Programma!$F$3:$R$1107,13,0),"")</f>
        <v/>
      </c>
      <c r="BQ461" s="300" t="str">
        <f>_xlfn.IFNA(VLOOKUP($BD461,Programma!$F$3:$S$1107,14,0),"")</f>
        <v/>
      </c>
      <c r="BR461" s="300" t="str">
        <f>_xlfn.IFNA(VLOOKUP($BD461,Programma!$F$3:$T$1107,15,0),"")</f>
        <v/>
      </c>
      <c r="BS461" s="300" t="str">
        <f>_xlfn.IFNA(VLOOKUP($BD461,Programma!$F$3:$U$1107,16,0),"")</f>
        <v/>
      </c>
      <c r="BT461" s="300" t="str">
        <f>_xlfn.IFNA(VLOOKUP($BD461,Programma!$F$3:$V$1107,17,0),"")</f>
        <v/>
      </c>
      <c r="BU461" s="300" t="str">
        <f>_xlfn.IFNA(VLOOKUP($BD461,Programma!$F$3:$W$1107,18,0),"")</f>
        <v/>
      </c>
      <c r="BV461" s="300" t="str">
        <f>_xlfn.IFNA(VLOOKUP($BD461,Programma!$F$3:$X$1107,19,0),"")</f>
        <v/>
      </c>
      <c r="BW461" s="300" t="str">
        <f>_xlfn.IFNA(VLOOKUP($BD461,Programma!$F$3:$Y$1107,20,0),"")</f>
        <v/>
      </c>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c r="GK461" s="4"/>
      <c r="GL461" s="4"/>
      <c r="GM461" s="4"/>
      <c r="GN461" s="4"/>
      <c r="GO461" s="4"/>
      <c r="GP461" s="4"/>
      <c r="GQ461" s="4"/>
      <c r="GR461" s="4"/>
      <c r="GS461" s="4"/>
      <c r="GT461" s="4"/>
      <c r="GU461" s="4"/>
      <c r="GV461" s="4"/>
      <c r="GW461" s="4"/>
      <c r="GX461" s="4"/>
      <c r="GY461" s="4"/>
      <c r="GZ461" s="4"/>
      <c r="HA461" s="4"/>
      <c r="HB461" s="4"/>
      <c r="HC461" s="4"/>
      <c r="HD461" s="4"/>
      <c r="HE461" s="4"/>
      <c r="HF461" s="4"/>
      <c r="HG461" s="4"/>
      <c r="HH461" s="4"/>
      <c r="HI461" s="4"/>
      <c r="HJ461" s="4"/>
      <c r="HK461" s="4"/>
      <c r="HL461" s="4"/>
    </row>
    <row r="462" spans="1:220" ht="15" customHeight="1">
      <c r="A462" s="21">
        <v>6</v>
      </c>
      <c r="B462" s="157" t="str">
        <f>VLOOKUP(Ruimtestaat[[#This Row],[Code]],Locaties[[Code]:[Locatie]],2,FALSE)</f>
        <v>Veurs Lyceum</v>
      </c>
      <c r="C462" s="157" t="str">
        <f>VLOOKUP(Ruimtestaat[[#This Row],[Code]],Locaties[[#All],[Code]:[Adres]],4,FALSE)</f>
        <v>Burg. Kolfschotenlaan 5</v>
      </c>
      <c r="D462" s="157" t="str">
        <f>VLOOKUP(Ruimtestaat[[#This Row],[Code]],Locaties[[#All],[Code]:[Postcode]],5,FALSE)</f>
        <v xml:space="preserve">2262 EZ </v>
      </c>
      <c r="E462" s="157" t="str">
        <f>VLOOKUP(Ruimtestaat[[#This Row],[Code]],Locaties[#All],6,FALSE)</f>
        <v>Leidschendam</v>
      </c>
      <c r="F462" s="62"/>
      <c r="G462" s="21" t="s">
        <v>1632</v>
      </c>
      <c r="H462" s="21">
        <v>37</v>
      </c>
      <c r="I462" s="62" t="s">
        <v>2096</v>
      </c>
      <c r="J462" s="21">
        <v>13</v>
      </c>
      <c r="K462" s="62" t="str">
        <f>VLOOKUP(Ruimtestaat[[#This Row],[Ruimte code]],Ruimtegroepen[[#All],[Code]:[Ruimte omschrijving]],2,FALSE)</f>
        <v>HV/Technieklokaal</v>
      </c>
      <c r="L462" s="33" t="s">
        <v>103</v>
      </c>
      <c r="M462" s="367" t="s">
        <v>121</v>
      </c>
      <c r="N462" s="140">
        <v>17</v>
      </c>
      <c r="O462" s="140"/>
      <c r="P462" s="125" t="str">
        <f>VLOOKUP(Ruimtestaat[[#This Row],[Ruimte code]],Ruimtegroepen[],4,FALSE)</f>
        <v>Le</v>
      </c>
      <c r="R462" s="33">
        <v>40</v>
      </c>
      <c r="S462" s="33" t="s">
        <v>2</v>
      </c>
      <c r="T462" s="33">
        <f>IF(R462&gt;0,IF(RIGHT(Ruimtestaat[[#This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2" s="33">
        <f>IF(T462&gt;0,VLOOKUP($J462,Ruimtegroepen[],3,FALSE)*VLOOKUP($L462,Vloersoorten[],3,FALSE)*VLOOKUP($S462,Frequenties[],3,FALSE)*VLOOKUP($A462,Locaties[],3,FALSE),0)</f>
        <v>0</v>
      </c>
      <c r="V462" s="33">
        <f>Ruimtestaat[[#This Row],[Uitvoeringen werkdagen]]*Ruimtestaat[[#This Row],[Oppervlak (netto)]]</f>
        <v>3400</v>
      </c>
      <c r="W462" s="154">
        <f>IF(U462&gt;0,Ruimtestaat[[#This Row],[Prest. (m2 /jaar) werkdagen]]/Ruimtestaat[[#This Row],[Norm (m2/uur) werkdagen]],0)</f>
        <v>0</v>
      </c>
      <c r="X462" s="155">
        <f>Ruimtestaat[[#This Row],[uren / jaar werkdagen]]*Tariefsopbouw!$E$35</f>
        <v>0</v>
      </c>
      <c r="Y462" s="33"/>
      <c r="Z462" s="33">
        <f>IF(Ruimtestaat[[#This Row],[Frequentie weekend]]&gt;0,VALUE(LEFT(Y462,1))*R462,0)</f>
        <v>0</v>
      </c>
      <c r="AA462" s="97">
        <f>IF($Z462&gt;0,VLOOKUP($J462,Ruimtegroepen[],3,FALSE)*VLOOKUP($L462,Vloersoorten[],3,FALSE)*VLOOKUP($Y462,Frequenties[],3,FALSE)*VLOOKUP(Ruimtestaat[[#This Row],[Code]],Locaties[],3,FALSE),0)</f>
        <v>0</v>
      </c>
      <c r="AB462" s="97">
        <f>Ruimtestaat[[#This Row],[Uitvoeringen weekend]]*Ruimtestaat[[#This Row],[Oppervlak (netto)]]</f>
        <v>0</v>
      </c>
      <c r="AC462" s="97">
        <f>IF(AA462&gt;0,Ruimtestaat[[#This Row],[Prest. (m2 /jaar) weekend]]/Ruimtestaat[[#This Row],[Norm (m2/uur) weekend]],0)</f>
        <v>0</v>
      </c>
      <c r="AD462" s="155">
        <f>Ruimtestaat[[#This Row],[uren / jaar weekend]]*Tariefsopbouw!$D$40</f>
        <v>0</v>
      </c>
      <c r="AE462" s="154">
        <f>Ruimtestaat[[#This Row],[Prest. (m2 /jaar) weekend]]+Ruimtestaat[[#This Row],[Prest. (m2 /jaar) werkdagen]]</f>
        <v>3400</v>
      </c>
      <c r="AF462" s="154">
        <f>Ruimtestaat[[#This Row],[uren / jaar weekend]]+Ruimtestaat[[#This Row],[uren / jaar werkdagen]]</f>
        <v>0</v>
      </c>
      <c r="AG462" s="69">
        <f>Ruimtestaat[[#This Row],[kosten / jaar weekend]]+Ruimtestaat[[#This Row],[kosten / jaar werkdagen]]</f>
        <v>0</v>
      </c>
      <c r="AH462" s="69"/>
      <c r="AI462" s="256" t="str">
        <f>IF(Ruimtestaat[[#This Row],[Frequentie werkdagen]]="","",_xlfn.CONCAT(Ruimtestaat[[#This Row],[Ruimte code]],"-",Ruimtestaat[[#This Row],[Frequentie werkdagen]]," ",Ruimtestaat[[#This Row],[Vloer code]]))</f>
        <v>13-5w P</v>
      </c>
      <c r="AJ462" s="300" t="str">
        <f>_xlfn.IFNA(VLOOKUP($AI462,Programma!$F$3:$G$1107,2,0),"")</f>
        <v>_</v>
      </c>
      <c r="AK462" s="300" t="str">
        <f>_xlfn.IFNA(VLOOKUP($AI462,Programma!$F$3:$H$1107,3,0),"")</f>
        <v>_</v>
      </c>
      <c r="AL462" s="300" t="str">
        <f>_xlfn.IFNA(VLOOKUP($AI462,Programma!$F$3:$I$1107,4,0),"")</f>
        <v>4w</v>
      </c>
      <c r="AM462" s="300" t="str">
        <f>_xlfn.IFNA(VLOOKUP($AI462,Programma!$F$3:$J$1107,5,0),"")</f>
        <v>1w</v>
      </c>
      <c r="AN462" s="300" t="str">
        <f>_xlfn.IFNA(VLOOKUP($AI462,Programma!$F$3:$K$1107,6,0),"")</f>
        <v>1j</v>
      </c>
      <c r="AO462" s="300" t="str">
        <f>_xlfn.IFNA(VLOOKUP($AI462,Programma!$F$3:$L$1107,7,0),"")</f>
        <v>_</v>
      </c>
      <c r="AP462" s="300" t="str">
        <f>_xlfn.IFNA(VLOOKUP($AI462,Programma!$F$3:$M$1107,8,0),"")</f>
        <v>_</v>
      </c>
      <c r="AQ462" s="300" t="str">
        <f>_xlfn.IFNA(VLOOKUP($AI462,Programma!$F$3:$N$1107,9,0),"")</f>
        <v>_</v>
      </c>
      <c r="AR462" s="300" t="str">
        <f>_xlfn.IFNA(VLOOKUP($AI462,Programma!$F$3:$O$1107,10,0),"")</f>
        <v>5w</v>
      </c>
      <c r="AS462" s="300" t="str">
        <f>_xlfn.IFNA(VLOOKUP($AI462,Programma!$F$3:$P$1107,11,0),"")</f>
        <v>5w</v>
      </c>
      <c r="AT462" s="300" t="str">
        <f>_xlfn.IFNA(VLOOKUP($AI462,Programma!$F$3:$Q$1107,12,0),"")</f>
        <v>1w</v>
      </c>
      <c r="AU462" s="300" t="str">
        <f>_xlfn.IFNA(VLOOKUP($AI462,Programma!$F$3:$R$1107,13,0),"")</f>
        <v>1w</v>
      </c>
      <c r="AV462" s="300" t="str">
        <f>_xlfn.IFNA(VLOOKUP($AI462,Programma!$F$3:$S$1107,14,0),"")</f>
        <v>1m</v>
      </c>
      <c r="AW462" s="300" t="str">
        <f>_xlfn.IFNA(VLOOKUP($AI462,Programma!$F$3:$T$1107,15,0),"")</f>
        <v>2j</v>
      </c>
      <c r="AX462" s="300" t="str">
        <f>_xlfn.IFNA(VLOOKUP($AI462,Programma!$F$3:$U$1107,16,0),"")</f>
        <v>1j</v>
      </c>
      <c r="AY462" s="300" t="str">
        <f>_xlfn.IFNA(VLOOKUP($AI462,Programma!$F$3:$V$1107,17,0),"")</f>
        <v>_</v>
      </c>
      <c r="AZ462" s="300" t="str">
        <f>_xlfn.IFNA(VLOOKUP($AI462,Programma!$F$3:$W$1107,18,0),"")</f>
        <v>_</v>
      </c>
      <c r="BA462" s="300" t="str">
        <f>_xlfn.IFNA(VLOOKUP($AI462,Programma!$F$3:$X$1107,19,0),"")</f>
        <v>_</v>
      </c>
      <c r="BB462" s="300" t="str">
        <f>_xlfn.IFNA(VLOOKUP($AI462,Programma!$F$3:$Y$1107,20,0),"")</f>
        <v>_</v>
      </c>
      <c r="BC462" s="257"/>
      <c r="BD462" s="256" t="str">
        <f>IF(Ruimtestaat[[#This Row],[Frequentie weekend]]="","",_xlfn.CONCAT(Ruimtestaat[[#This Row],[Ruimte code]],"-",Ruimtestaat[[#This Row],[Frequentie weekend]]," ",Ruimtestaat[[#This Row],[Vloer code]]))</f>
        <v/>
      </c>
      <c r="BE462" s="300" t="str">
        <f>_xlfn.IFNA(VLOOKUP($BD462,Programma!$F$3:$G$1107,2,0),"")</f>
        <v/>
      </c>
      <c r="BF462" s="300" t="str">
        <f>_xlfn.IFNA(VLOOKUP($BD462,Programma!$F$3:$H$1107,3,0),"")</f>
        <v/>
      </c>
      <c r="BG462" s="300" t="str">
        <f>_xlfn.IFNA(VLOOKUP($BD462,Programma!$F$3:$I$1107,4,0),"")</f>
        <v/>
      </c>
      <c r="BH462" s="300" t="str">
        <f>_xlfn.IFNA(VLOOKUP($BD462,Programma!$F$3:$J$1107,5,0),"")</f>
        <v/>
      </c>
      <c r="BI462" s="300" t="str">
        <f>_xlfn.IFNA(VLOOKUP($BD462,Programma!$F$3:$K$1107,6,0),"")</f>
        <v/>
      </c>
      <c r="BJ462" s="300" t="str">
        <f>_xlfn.IFNA(VLOOKUP($BD462,Programma!$F$3:$L$1107,7,0),"")</f>
        <v/>
      </c>
      <c r="BK462" s="300" t="str">
        <f>_xlfn.IFNA(VLOOKUP($BD462,Programma!$F$3:$M$1107,8,0),"")</f>
        <v/>
      </c>
      <c r="BL462" s="300" t="str">
        <f>_xlfn.IFNA(VLOOKUP($BD462,Programma!$F$3:$N$1107,9,0),"")</f>
        <v/>
      </c>
      <c r="BM462" s="300" t="str">
        <f>_xlfn.IFNA(VLOOKUP($BD462,Programma!$F$3:$O$1107,10,0),"")</f>
        <v/>
      </c>
      <c r="BN462" s="300" t="str">
        <f>_xlfn.IFNA(VLOOKUP($BD462,Programma!$F$3:$P$1107,11,0),"")</f>
        <v/>
      </c>
      <c r="BO462" s="300" t="str">
        <f>_xlfn.IFNA(VLOOKUP($BD462,Programma!$F$3:$Q$1107,12,0),"")</f>
        <v/>
      </c>
      <c r="BP462" s="300" t="str">
        <f>_xlfn.IFNA(VLOOKUP($BD462,Programma!$F$3:$R$1107,13,0),"")</f>
        <v/>
      </c>
      <c r="BQ462" s="300" t="str">
        <f>_xlfn.IFNA(VLOOKUP($BD462,Programma!$F$3:$S$1107,14,0),"")</f>
        <v/>
      </c>
      <c r="BR462" s="300" t="str">
        <f>_xlfn.IFNA(VLOOKUP($BD462,Programma!$F$3:$T$1107,15,0),"")</f>
        <v/>
      </c>
      <c r="BS462" s="300" t="str">
        <f>_xlfn.IFNA(VLOOKUP($BD462,Programma!$F$3:$U$1107,16,0),"")</f>
        <v/>
      </c>
      <c r="BT462" s="300" t="str">
        <f>_xlfn.IFNA(VLOOKUP($BD462,Programma!$F$3:$V$1107,17,0),"")</f>
        <v/>
      </c>
      <c r="BU462" s="300" t="str">
        <f>_xlfn.IFNA(VLOOKUP($BD462,Programma!$F$3:$W$1107,18,0),"")</f>
        <v/>
      </c>
      <c r="BV462" s="300" t="str">
        <f>_xlfn.IFNA(VLOOKUP($BD462,Programma!$F$3:$X$1107,19,0),"")</f>
        <v/>
      </c>
      <c r="BW462" s="300" t="str">
        <f>_xlfn.IFNA(VLOOKUP($BD462,Programma!$F$3:$Y$1107,20,0),"")</f>
        <v/>
      </c>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c r="GK462" s="4"/>
      <c r="GL462" s="4"/>
      <c r="GM462" s="4"/>
      <c r="GN462" s="4"/>
      <c r="GO462" s="4"/>
      <c r="GP462" s="4"/>
      <c r="GQ462" s="4"/>
      <c r="GR462" s="4"/>
      <c r="GS462" s="4"/>
      <c r="GT462" s="4"/>
      <c r="GU462" s="4"/>
      <c r="GV462" s="4"/>
      <c r="GW462" s="4"/>
      <c r="GX462" s="4"/>
      <c r="GY462" s="4"/>
      <c r="GZ462" s="4"/>
      <c r="HA462" s="4"/>
      <c r="HB462" s="4"/>
      <c r="HC462" s="4"/>
      <c r="HD462" s="4"/>
      <c r="HE462" s="4"/>
      <c r="HF462" s="4"/>
      <c r="HG462" s="4"/>
      <c r="HH462" s="4"/>
      <c r="HI462" s="4"/>
      <c r="HJ462" s="4"/>
      <c r="HK462" s="4"/>
      <c r="HL462" s="4"/>
    </row>
    <row r="463" spans="1:220" ht="15" customHeight="1">
      <c r="A463" s="21">
        <v>6</v>
      </c>
      <c r="B463" s="157" t="str">
        <f>VLOOKUP(Ruimtestaat[[#This Row],[Code]],Locaties[[Code]:[Locatie]],2,FALSE)</f>
        <v>Veurs Lyceum</v>
      </c>
      <c r="C463" s="157" t="str">
        <f>VLOOKUP(Ruimtestaat[[#This Row],[Code]],Locaties[[#All],[Code]:[Adres]],4,FALSE)</f>
        <v>Burg. Kolfschotenlaan 5</v>
      </c>
      <c r="D463" s="157" t="str">
        <f>VLOOKUP(Ruimtestaat[[#This Row],[Code]],Locaties[[#All],[Code]:[Postcode]],5,FALSE)</f>
        <v xml:space="preserve">2262 EZ </v>
      </c>
      <c r="E463" s="157" t="str">
        <f>VLOOKUP(Ruimtestaat[[#This Row],[Code]],Locaties[#All],6,FALSE)</f>
        <v>Leidschendam</v>
      </c>
      <c r="F463" s="62"/>
      <c r="G463" s="21" t="s">
        <v>1632</v>
      </c>
      <c r="H463" s="21">
        <v>38</v>
      </c>
      <c r="I463" s="62" t="s">
        <v>1702</v>
      </c>
      <c r="J463" s="21">
        <v>16</v>
      </c>
      <c r="K463" s="62" t="str">
        <f>VLOOKUP(Ruimtestaat[[#This Row],[Ruimte code]],Ruimtegroepen[[#All],[Code]:[Ruimte omschrijving]],2,FALSE)</f>
        <v>Leslokalen theorie</v>
      </c>
      <c r="L463" s="33" t="s">
        <v>103</v>
      </c>
      <c r="M463" s="367" t="s">
        <v>121</v>
      </c>
      <c r="N463" s="140">
        <v>54</v>
      </c>
      <c r="O463" s="140"/>
      <c r="P463" s="125" t="str">
        <f>VLOOKUP(Ruimtestaat[[#This Row],[Ruimte code]],Ruimtegroepen[],4,FALSE)</f>
        <v>Le</v>
      </c>
      <c r="R463" s="33">
        <v>40</v>
      </c>
      <c r="S463" s="33" t="s">
        <v>2</v>
      </c>
      <c r="T463" s="33">
        <f>IF(R463&gt;0,IF(RIGHT(Ruimtestaat[[#This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3" s="33">
        <f>IF(T463&gt;0,VLOOKUP($J463,Ruimtegroepen[],3,FALSE)*VLOOKUP($L463,Vloersoorten[],3,FALSE)*VLOOKUP($S463,Frequenties[],3,FALSE)*VLOOKUP($A463,Locaties[],3,FALSE),0)</f>
        <v>0</v>
      </c>
      <c r="V463" s="33">
        <f>Ruimtestaat[[#This Row],[Uitvoeringen werkdagen]]*Ruimtestaat[[#This Row],[Oppervlak (netto)]]</f>
        <v>10800</v>
      </c>
      <c r="W463" s="154">
        <f>IF(U463&gt;0,Ruimtestaat[[#This Row],[Prest. (m2 /jaar) werkdagen]]/Ruimtestaat[[#This Row],[Norm (m2/uur) werkdagen]],0)</f>
        <v>0</v>
      </c>
      <c r="X463" s="155">
        <f>Ruimtestaat[[#This Row],[uren / jaar werkdagen]]*Tariefsopbouw!$E$35</f>
        <v>0</v>
      </c>
      <c r="Y463" s="33"/>
      <c r="Z463" s="33">
        <f>IF(Ruimtestaat[[#This Row],[Frequentie weekend]]&gt;0,VALUE(LEFT(Y463,1))*R463,0)</f>
        <v>0</v>
      </c>
      <c r="AA463" s="97">
        <f>IF($Z463&gt;0,VLOOKUP($J463,Ruimtegroepen[],3,FALSE)*VLOOKUP($L463,Vloersoorten[],3,FALSE)*VLOOKUP($Y463,Frequenties[],3,FALSE)*VLOOKUP(Ruimtestaat[[#This Row],[Code]],Locaties[],3,FALSE),0)</f>
        <v>0</v>
      </c>
      <c r="AB463" s="97">
        <f>Ruimtestaat[[#This Row],[Uitvoeringen weekend]]*Ruimtestaat[[#This Row],[Oppervlak (netto)]]</f>
        <v>0</v>
      </c>
      <c r="AC463" s="97">
        <f>IF(AA463&gt;0,Ruimtestaat[[#This Row],[Prest. (m2 /jaar) weekend]]/Ruimtestaat[[#This Row],[Norm (m2/uur) weekend]],0)</f>
        <v>0</v>
      </c>
      <c r="AD463" s="155">
        <f>Ruimtestaat[[#This Row],[uren / jaar weekend]]*Tariefsopbouw!$D$40</f>
        <v>0</v>
      </c>
      <c r="AE463" s="154">
        <f>Ruimtestaat[[#This Row],[Prest. (m2 /jaar) weekend]]+Ruimtestaat[[#This Row],[Prest. (m2 /jaar) werkdagen]]</f>
        <v>10800</v>
      </c>
      <c r="AF463" s="154">
        <f>Ruimtestaat[[#This Row],[uren / jaar weekend]]+Ruimtestaat[[#This Row],[uren / jaar werkdagen]]</f>
        <v>0</v>
      </c>
      <c r="AG463" s="69">
        <f>Ruimtestaat[[#This Row],[kosten / jaar weekend]]+Ruimtestaat[[#This Row],[kosten / jaar werkdagen]]</f>
        <v>0</v>
      </c>
      <c r="AH463" s="69"/>
      <c r="AI463" s="256" t="str">
        <f>IF(Ruimtestaat[[#This Row],[Frequentie werkdagen]]="","",_xlfn.CONCAT(Ruimtestaat[[#This Row],[Ruimte code]],"-",Ruimtestaat[[#This Row],[Frequentie werkdagen]]," ",Ruimtestaat[[#This Row],[Vloer code]]))</f>
        <v>16-5w P</v>
      </c>
      <c r="AJ463" s="300" t="str">
        <f>_xlfn.IFNA(VLOOKUP($AI463,Programma!$F$3:$G$1107,2,0),"")</f>
        <v>_</v>
      </c>
      <c r="AK463" s="300" t="str">
        <f>_xlfn.IFNA(VLOOKUP($AI463,Programma!$F$3:$H$1107,3,0),"")</f>
        <v>_</v>
      </c>
      <c r="AL463" s="300" t="str">
        <f>_xlfn.IFNA(VLOOKUP($AI463,Programma!$F$3:$I$1107,4,0),"")</f>
        <v>4w</v>
      </c>
      <c r="AM463" s="300" t="str">
        <f>_xlfn.IFNA(VLOOKUP($AI463,Programma!$F$3:$J$1107,5,0),"")</f>
        <v>1w</v>
      </c>
      <c r="AN463" s="300" t="str">
        <f>_xlfn.IFNA(VLOOKUP($AI463,Programma!$F$3:$K$1107,6,0),"")</f>
        <v>1m</v>
      </c>
      <c r="AO463" s="300" t="str">
        <f>_xlfn.IFNA(VLOOKUP($AI463,Programma!$F$3:$L$1107,7,0),"")</f>
        <v>_</v>
      </c>
      <c r="AP463" s="300" t="str">
        <f>_xlfn.IFNA(VLOOKUP($AI463,Programma!$F$3:$M$1107,8,0),"")</f>
        <v>_</v>
      </c>
      <c r="AQ463" s="300" t="str">
        <f>_xlfn.IFNA(VLOOKUP($AI463,Programma!$F$3:$N$1107,9,0),"")</f>
        <v>_</v>
      </c>
      <c r="AR463" s="300" t="str">
        <f>_xlfn.IFNA(VLOOKUP($AI463,Programma!$F$3:$O$1107,10,0),"")</f>
        <v>5w</v>
      </c>
      <c r="AS463" s="300" t="str">
        <f>_xlfn.IFNA(VLOOKUP($AI463,Programma!$F$3:$P$1107,11,0),"")</f>
        <v>5w</v>
      </c>
      <c r="AT463" s="300" t="str">
        <f>_xlfn.IFNA(VLOOKUP($AI463,Programma!$F$3:$Q$1107,12,0),"")</f>
        <v>1w</v>
      </c>
      <c r="AU463" s="300" t="str">
        <f>_xlfn.IFNA(VLOOKUP($AI463,Programma!$F$3:$R$1107,13,0),"")</f>
        <v>1w</v>
      </c>
      <c r="AV463" s="300" t="str">
        <f>_xlfn.IFNA(VLOOKUP($AI463,Programma!$F$3:$S$1107,14,0),"")</f>
        <v>1m</v>
      </c>
      <c r="AW463" s="300" t="str">
        <f>_xlfn.IFNA(VLOOKUP($AI463,Programma!$F$3:$T$1107,15,0),"")</f>
        <v>2j</v>
      </c>
      <c r="AX463" s="300" t="str">
        <f>_xlfn.IFNA(VLOOKUP($AI463,Programma!$F$3:$U$1107,16,0),"")</f>
        <v>1j</v>
      </c>
      <c r="AY463" s="300" t="str">
        <f>_xlfn.IFNA(VLOOKUP($AI463,Programma!$F$3:$V$1107,17,0),"")</f>
        <v>_</v>
      </c>
      <c r="AZ463" s="300" t="str">
        <f>_xlfn.IFNA(VLOOKUP($AI463,Programma!$F$3:$W$1107,18,0),"")</f>
        <v>_</v>
      </c>
      <c r="BA463" s="300" t="str">
        <f>_xlfn.IFNA(VLOOKUP($AI463,Programma!$F$3:$X$1107,19,0),"")</f>
        <v>_</v>
      </c>
      <c r="BB463" s="300" t="str">
        <f>_xlfn.IFNA(VLOOKUP($AI463,Programma!$F$3:$Y$1107,20,0),"")</f>
        <v>_</v>
      </c>
      <c r="BC463" s="257"/>
      <c r="BD463" s="256" t="str">
        <f>IF(Ruimtestaat[[#This Row],[Frequentie weekend]]="","",_xlfn.CONCAT(Ruimtestaat[[#This Row],[Ruimte code]],"-",Ruimtestaat[[#This Row],[Frequentie weekend]]," ",Ruimtestaat[[#This Row],[Vloer code]]))</f>
        <v/>
      </c>
      <c r="BE463" s="300" t="str">
        <f>_xlfn.IFNA(VLOOKUP($BD463,Programma!$F$3:$G$1107,2,0),"")</f>
        <v/>
      </c>
      <c r="BF463" s="300" t="str">
        <f>_xlfn.IFNA(VLOOKUP($BD463,Programma!$F$3:$H$1107,3,0),"")</f>
        <v/>
      </c>
      <c r="BG463" s="300" t="str">
        <f>_xlfn.IFNA(VLOOKUP($BD463,Programma!$F$3:$I$1107,4,0),"")</f>
        <v/>
      </c>
      <c r="BH463" s="300" t="str">
        <f>_xlfn.IFNA(VLOOKUP($BD463,Programma!$F$3:$J$1107,5,0),"")</f>
        <v/>
      </c>
      <c r="BI463" s="300" t="str">
        <f>_xlfn.IFNA(VLOOKUP($BD463,Programma!$F$3:$K$1107,6,0),"")</f>
        <v/>
      </c>
      <c r="BJ463" s="300" t="str">
        <f>_xlfn.IFNA(VLOOKUP($BD463,Programma!$F$3:$L$1107,7,0),"")</f>
        <v/>
      </c>
      <c r="BK463" s="300" t="str">
        <f>_xlfn.IFNA(VLOOKUP($BD463,Programma!$F$3:$M$1107,8,0),"")</f>
        <v/>
      </c>
      <c r="BL463" s="300" t="str">
        <f>_xlfn.IFNA(VLOOKUP($BD463,Programma!$F$3:$N$1107,9,0),"")</f>
        <v/>
      </c>
      <c r="BM463" s="300" t="str">
        <f>_xlfn.IFNA(VLOOKUP($BD463,Programma!$F$3:$O$1107,10,0),"")</f>
        <v/>
      </c>
      <c r="BN463" s="300" t="str">
        <f>_xlfn.IFNA(VLOOKUP($BD463,Programma!$F$3:$P$1107,11,0),"")</f>
        <v/>
      </c>
      <c r="BO463" s="300" t="str">
        <f>_xlfn.IFNA(VLOOKUP($BD463,Programma!$F$3:$Q$1107,12,0),"")</f>
        <v/>
      </c>
      <c r="BP463" s="300" t="str">
        <f>_xlfn.IFNA(VLOOKUP($BD463,Programma!$F$3:$R$1107,13,0),"")</f>
        <v/>
      </c>
      <c r="BQ463" s="300" t="str">
        <f>_xlfn.IFNA(VLOOKUP($BD463,Programma!$F$3:$S$1107,14,0),"")</f>
        <v/>
      </c>
      <c r="BR463" s="300" t="str">
        <f>_xlfn.IFNA(VLOOKUP($BD463,Programma!$F$3:$T$1107,15,0),"")</f>
        <v/>
      </c>
      <c r="BS463" s="300" t="str">
        <f>_xlfn.IFNA(VLOOKUP($BD463,Programma!$F$3:$U$1107,16,0),"")</f>
        <v/>
      </c>
      <c r="BT463" s="300" t="str">
        <f>_xlfn.IFNA(VLOOKUP($BD463,Programma!$F$3:$V$1107,17,0),"")</f>
        <v/>
      </c>
      <c r="BU463" s="300" t="str">
        <f>_xlfn.IFNA(VLOOKUP($BD463,Programma!$F$3:$W$1107,18,0),"")</f>
        <v/>
      </c>
      <c r="BV463" s="300" t="str">
        <f>_xlfn.IFNA(VLOOKUP($BD463,Programma!$F$3:$X$1107,19,0),"")</f>
        <v/>
      </c>
      <c r="BW463" s="300" t="str">
        <f>_xlfn.IFNA(VLOOKUP($BD463,Programma!$F$3:$Y$1107,20,0),"")</f>
        <v/>
      </c>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c r="GK463" s="4"/>
      <c r="GL463" s="4"/>
      <c r="GM463" s="4"/>
      <c r="GN463" s="4"/>
      <c r="GO463" s="4"/>
      <c r="GP463" s="4"/>
      <c r="GQ463" s="4"/>
      <c r="GR463" s="4"/>
      <c r="GS463" s="4"/>
      <c r="GT463" s="4"/>
      <c r="GU463" s="4"/>
      <c r="GV463" s="4"/>
      <c r="GW463" s="4"/>
      <c r="GX463" s="4"/>
      <c r="GY463" s="4"/>
      <c r="GZ463" s="4"/>
      <c r="HA463" s="4"/>
      <c r="HB463" s="4"/>
      <c r="HC463" s="4"/>
      <c r="HD463" s="4"/>
      <c r="HE463" s="4"/>
      <c r="HF463" s="4"/>
      <c r="HG463" s="4"/>
      <c r="HH463" s="4"/>
      <c r="HI463" s="4"/>
      <c r="HJ463" s="4"/>
      <c r="HK463" s="4"/>
      <c r="HL463" s="4"/>
    </row>
    <row r="464" spans="1:220" ht="15" customHeight="1">
      <c r="A464" s="21">
        <v>6</v>
      </c>
      <c r="B464" s="157" t="str">
        <f>VLOOKUP(Ruimtestaat[[#This Row],[Code]],Locaties[[Code]:[Locatie]],2,FALSE)</f>
        <v>Veurs Lyceum</v>
      </c>
      <c r="C464" s="157" t="str">
        <f>VLOOKUP(Ruimtestaat[[#This Row],[Code]],Locaties[[#All],[Code]:[Adres]],4,FALSE)</f>
        <v>Burg. Kolfschotenlaan 5</v>
      </c>
      <c r="D464" s="157" t="str">
        <f>VLOOKUP(Ruimtestaat[[#This Row],[Code]],Locaties[[#All],[Code]:[Postcode]],5,FALSE)</f>
        <v xml:space="preserve">2262 EZ </v>
      </c>
      <c r="E464" s="157" t="str">
        <f>VLOOKUP(Ruimtestaat[[#This Row],[Code]],Locaties[#All],6,FALSE)</f>
        <v>Leidschendam</v>
      </c>
      <c r="F464" s="62"/>
      <c r="G464" s="21" t="s">
        <v>1632</v>
      </c>
      <c r="H464" s="21">
        <v>39</v>
      </c>
      <c r="I464" s="62" t="s">
        <v>2097</v>
      </c>
      <c r="J464" s="21">
        <v>2</v>
      </c>
      <c r="K464" s="62" t="str">
        <f>VLOOKUP(Ruimtestaat[[#This Row],[Ruimte code]],Ruimtegroepen[[#All],[Code]:[Ruimte omschrijving]],2,FALSE)</f>
        <v>Kantoren</v>
      </c>
      <c r="L464" s="33" t="s">
        <v>100</v>
      </c>
      <c r="M464" s="367" t="s">
        <v>2493</v>
      </c>
      <c r="N464" s="140">
        <v>50</v>
      </c>
      <c r="O464" s="140"/>
      <c r="P464" s="125" t="str">
        <f>VLOOKUP(Ruimtestaat[[#This Row],[Ruimte code]],Ruimtegroepen[],4,FALSE)</f>
        <v>Bu</v>
      </c>
      <c r="R464" s="33">
        <v>42</v>
      </c>
      <c r="S464" s="33" t="s">
        <v>18</v>
      </c>
      <c r="T464" s="33">
        <f>IF(R464&gt;0,IF(RIGHT(Ruimtestaat[[#This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64" s="33">
        <f>IF(T464&gt;0,VLOOKUP($J464,Ruimtegroepen[],3,FALSE)*VLOOKUP($L464,Vloersoorten[],3,FALSE)*VLOOKUP($S464,Frequenties[],3,FALSE)*VLOOKUP($A464,Locaties[],3,FALSE),0)</f>
        <v>0</v>
      </c>
      <c r="V464" s="33">
        <f>Ruimtestaat[[#This Row],[Uitvoeringen werkdagen]]*Ruimtestaat[[#This Row],[Oppervlak (netto)]]</f>
        <v>6300</v>
      </c>
      <c r="W464" s="154">
        <f>IF(U464&gt;0,Ruimtestaat[[#This Row],[Prest. (m2 /jaar) werkdagen]]/Ruimtestaat[[#This Row],[Norm (m2/uur) werkdagen]],0)</f>
        <v>0</v>
      </c>
      <c r="X464" s="155">
        <f>Ruimtestaat[[#This Row],[uren / jaar werkdagen]]*Tariefsopbouw!$E$35</f>
        <v>0</v>
      </c>
      <c r="Y464" s="33"/>
      <c r="Z464" s="33">
        <f>IF(Ruimtestaat[[#This Row],[Frequentie weekend]]&gt;0,VALUE(LEFT(Y464,1))*R464,0)</f>
        <v>0</v>
      </c>
      <c r="AA464" s="97">
        <f>IF($Z464&gt;0,VLOOKUP($J464,Ruimtegroepen[],3,FALSE)*VLOOKUP($L464,Vloersoorten[],3,FALSE)*VLOOKUP($Y464,Frequenties[],3,FALSE)*VLOOKUP(Ruimtestaat[[#This Row],[Code]],Locaties[],3,FALSE),0)</f>
        <v>0</v>
      </c>
      <c r="AB464" s="97">
        <f>Ruimtestaat[[#This Row],[Uitvoeringen weekend]]*Ruimtestaat[[#This Row],[Oppervlak (netto)]]</f>
        <v>0</v>
      </c>
      <c r="AC464" s="97">
        <f>IF(AA464&gt;0,Ruimtestaat[[#This Row],[Prest. (m2 /jaar) weekend]]/Ruimtestaat[[#This Row],[Norm (m2/uur) weekend]],0)</f>
        <v>0</v>
      </c>
      <c r="AD464" s="155">
        <f>Ruimtestaat[[#This Row],[uren / jaar weekend]]*Tariefsopbouw!$D$40</f>
        <v>0</v>
      </c>
      <c r="AE464" s="154">
        <f>Ruimtestaat[[#This Row],[Prest. (m2 /jaar) weekend]]+Ruimtestaat[[#This Row],[Prest. (m2 /jaar) werkdagen]]</f>
        <v>6300</v>
      </c>
      <c r="AF464" s="154">
        <f>Ruimtestaat[[#This Row],[uren / jaar weekend]]+Ruimtestaat[[#This Row],[uren / jaar werkdagen]]</f>
        <v>0</v>
      </c>
      <c r="AG464" s="69">
        <f>Ruimtestaat[[#This Row],[kosten / jaar weekend]]+Ruimtestaat[[#This Row],[kosten / jaar werkdagen]]</f>
        <v>0</v>
      </c>
      <c r="AH464" s="69"/>
      <c r="AI464" s="256" t="str">
        <f>IF(Ruimtestaat[[#This Row],[Frequentie werkdagen]]="","",_xlfn.CONCAT(Ruimtestaat[[#This Row],[Ruimte code]],"-",Ruimtestaat[[#This Row],[Frequentie werkdagen]]," ",Ruimtestaat[[#This Row],[Vloer code]]))</f>
        <v>2-3w T</v>
      </c>
      <c r="AJ464" s="300" t="str">
        <f>_xlfn.IFNA(VLOOKUP($AI464,Programma!$F$3:$G$1107,2,0),"")</f>
        <v>2w</v>
      </c>
      <c r="AK464" s="300" t="str">
        <f>_xlfn.IFNA(VLOOKUP($AI464,Programma!$F$3:$H$1107,3,0),"")</f>
        <v>1w</v>
      </c>
      <c r="AL464" s="300" t="str">
        <f>_xlfn.IFNA(VLOOKUP($AI464,Programma!$F$3:$I$1107,4,0),"")</f>
        <v>_</v>
      </c>
      <c r="AM464" s="300" t="str">
        <f>_xlfn.IFNA(VLOOKUP($AI464,Programma!$F$3:$J$1107,5,0),"")</f>
        <v>_</v>
      </c>
      <c r="AN464" s="300" t="str">
        <f>_xlfn.IFNA(VLOOKUP($AI464,Programma!$F$3:$K$1107,6,0),"")</f>
        <v>_</v>
      </c>
      <c r="AO464" s="300" t="str">
        <f>_xlfn.IFNA(VLOOKUP($AI464,Programma!$F$3:$L$1107,7,0),"")</f>
        <v>_</v>
      </c>
      <c r="AP464" s="300" t="str">
        <f>_xlfn.IFNA(VLOOKUP($AI464,Programma!$F$3:$M$1107,8,0),"")</f>
        <v>_</v>
      </c>
      <c r="AQ464" s="300" t="str">
        <f>_xlfn.IFNA(VLOOKUP($AI464,Programma!$F$3:$N$1107,9,0),"")</f>
        <v>_</v>
      </c>
      <c r="AR464" s="300" t="str">
        <f>_xlfn.IFNA(VLOOKUP($AI464,Programma!$F$3:$O$1107,10,0),"")</f>
        <v>3w</v>
      </c>
      <c r="AS464" s="300" t="str">
        <f>_xlfn.IFNA(VLOOKUP($AI464,Programma!$F$3:$P$1107,11,0),"")</f>
        <v>3w</v>
      </c>
      <c r="AT464" s="300" t="str">
        <f>_xlfn.IFNA(VLOOKUP($AI464,Programma!$F$3:$Q$1107,12,0),"")</f>
        <v>1w</v>
      </c>
      <c r="AU464" s="300" t="str">
        <f>_xlfn.IFNA(VLOOKUP($AI464,Programma!$F$3:$R$1107,13,0),"")</f>
        <v>1w</v>
      </c>
      <c r="AV464" s="300" t="str">
        <f>_xlfn.IFNA(VLOOKUP($AI464,Programma!$F$3:$S$1107,14,0),"")</f>
        <v>1m</v>
      </c>
      <c r="AW464" s="300" t="str">
        <f>_xlfn.IFNA(VLOOKUP($AI464,Programma!$F$3:$T$1107,15,0),"")</f>
        <v>2j</v>
      </c>
      <c r="AX464" s="300" t="str">
        <f>_xlfn.IFNA(VLOOKUP($AI464,Programma!$F$3:$U$1107,16,0),"")</f>
        <v>1j</v>
      </c>
      <c r="AY464" s="300" t="str">
        <f>_xlfn.IFNA(VLOOKUP($AI464,Programma!$F$3:$V$1107,17,0),"")</f>
        <v>_</v>
      </c>
      <c r="AZ464" s="300" t="str">
        <f>_xlfn.IFNA(VLOOKUP($AI464,Programma!$F$3:$W$1107,18,0),"")</f>
        <v>_</v>
      </c>
      <c r="BA464" s="300" t="str">
        <f>_xlfn.IFNA(VLOOKUP($AI464,Programma!$F$3:$X$1107,19,0),"")</f>
        <v>_</v>
      </c>
      <c r="BB464" s="300" t="str">
        <f>_xlfn.IFNA(VLOOKUP($AI464,Programma!$F$3:$Y$1107,20,0),"")</f>
        <v>_</v>
      </c>
      <c r="BC464" s="257"/>
      <c r="BD464" s="256" t="str">
        <f>IF(Ruimtestaat[[#This Row],[Frequentie weekend]]="","",_xlfn.CONCAT(Ruimtestaat[[#This Row],[Ruimte code]],"-",Ruimtestaat[[#This Row],[Frequentie weekend]]," ",Ruimtestaat[[#This Row],[Vloer code]]))</f>
        <v/>
      </c>
      <c r="BE464" s="300" t="str">
        <f>_xlfn.IFNA(VLOOKUP($BD464,Programma!$F$3:$G$1107,2,0),"")</f>
        <v/>
      </c>
      <c r="BF464" s="300" t="str">
        <f>_xlfn.IFNA(VLOOKUP($BD464,Programma!$F$3:$H$1107,3,0),"")</f>
        <v/>
      </c>
      <c r="BG464" s="300" t="str">
        <f>_xlfn.IFNA(VLOOKUP($BD464,Programma!$F$3:$I$1107,4,0),"")</f>
        <v/>
      </c>
      <c r="BH464" s="300" t="str">
        <f>_xlfn.IFNA(VLOOKUP($BD464,Programma!$F$3:$J$1107,5,0),"")</f>
        <v/>
      </c>
      <c r="BI464" s="300" t="str">
        <f>_xlfn.IFNA(VLOOKUP($BD464,Programma!$F$3:$K$1107,6,0),"")</f>
        <v/>
      </c>
      <c r="BJ464" s="300" t="str">
        <f>_xlfn.IFNA(VLOOKUP($BD464,Programma!$F$3:$L$1107,7,0),"")</f>
        <v/>
      </c>
      <c r="BK464" s="300" t="str">
        <f>_xlfn.IFNA(VLOOKUP($BD464,Programma!$F$3:$M$1107,8,0),"")</f>
        <v/>
      </c>
      <c r="BL464" s="300" t="str">
        <f>_xlfn.IFNA(VLOOKUP($BD464,Programma!$F$3:$N$1107,9,0),"")</f>
        <v/>
      </c>
      <c r="BM464" s="300" t="str">
        <f>_xlfn.IFNA(VLOOKUP($BD464,Programma!$F$3:$O$1107,10,0),"")</f>
        <v/>
      </c>
      <c r="BN464" s="300" t="str">
        <f>_xlfn.IFNA(VLOOKUP($BD464,Programma!$F$3:$P$1107,11,0),"")</f>
        <v/>
      </c>
      <c r="BO464" s="300" t="str">
        <f>_xlfn.IFNA(VLOOKUP($BD464,Programma!$F$3:$Q$1107,12,0),"")</f>
        <v/>
      </c>
      <c r="BP464" s="300" t="str">
        <f>_xlfn.IFNA(VLOOKUP($BD464,Programma!$F$3:$R$1107,13,0),"")</f>
        <v/>
      </c>
      <c r="BQ464" s="300" t="str">
        <f>_xlfn.IFNA(VLOOKUP($BD464,Programma!$F$3:$S$1107,14,0),"")</f>
        <v/>
      </c>
      <c r="BR464" s="300" t="str">
        <f>_xlfn.IFNA(VLOOKUP($BD464,Programma!$F$3:$T$1107,15,0),"")</f>
        <v/>
      </c>
      <c r="BS464" s="300" t="str">
        <f>_xlfn.IFNA(VLOOKUP($BD464,Programma!$F$3:$U$1107,16,0),"")</f>
        <v/>
      </c>
      <c r="BT464" s="300" t="str">
        <f>_xlfn.IFNA(VLOOKUP($BD464,Programma!$F$3:$V$1107,17,0),"")</f>
        <v/>
      </c>
      <c r="BU464" s="300" t="str">
        <f>_xlfn.IFNA(VLOOKUP($BD464,Programma!$F$3:$W$1107,18,0),"")</f>
        <v/>
      </c>
      <c r="BV464" s="300" t="str">
        <f>_xlfn.IFNA(VLOOKUP($BD464,Programma!$F$3:$X$1107,19,0),"")</f>
        <v/>
      </c>
      <c r="BW464" s="300" t="str">
        <f>_xlfn.IFNA(VLOOKUP($BD464,Programma!$F$3:$Y$1107,20,0),"")</f>
        <v/>
      </c>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c r="GK464" s="4"/>
      <c r="GL464" s="4"/>
      <c r="GM464" s="4"/>
      <c r="GN464" s="4"/>
      <c r="GO464" s="4"/>
      <c r="GP464" s="4"/>
      <c r="GQ464" s="4"/>
      <c r="GR464" s="4"/>
      <c r="GS464" s="4"/>
      <c r="GT464" s="4"/>
      <c r="GU464" s="4"/>
      <c r="GV464" s="4"/>
      <c r="GW464" s="4"/>
      <c r="GX464" s="4"/>
      <c r="GY464" s="4"/>
      <c r="GZ464" s="4"/>
      <c r="HA464" s="4"/>
      <c r="HB464" s="4"/>
      <c r="HC464" s="4"/>
      <c r="HD464" s="4"/>
      <c r="HE464" s="4"/>
      <c r="HF464" s="4"/>
      <c r="HG464" s="4"/>
      <c r="HH464" s="4"/>
      <c r="HI464" s="4"/>
      <c r="HJ464" s="4"/>
      <c r="HK464" s="4"/>
      <c r="HL464" s="4"/>
    </row>
    <row r="465" spans="1:220" ht="15" customHeight="1">
      <c r="A465" s="21">
        <v>6</v>
      </c>
      <c r="B465" s="157" t="str">
        <f>VLOOKUP(Ruimtestaat[[#This Row],[Code]],Locaties[[Code]:[Locatie]],2,FALSE)</f>
        <v>Veurs Lyceum</v>
      </c>
      <c r="C465" s="157" t="str">
        <f>VLOOKUP(Ruimtestaat[[#This Row],[Code]],Locaties[[#All],[Code]:[Adres]],4,FALSE)</f>
        <v>Burg. Kolfschotenlaan 5</v>
      </c>
      <c r="D465" s="157" t="str">
        <f>VLOOKUP(Ruimtestaat[[#This Row],[Code]],Locaties[[#All],[Code]:[Postcode]],5,FALSE)</f>
        <v xml:space="preserve">2262 EZ </v>
      </c>
      <c r="E465" s="157" t="str">
        <f>VLOOKUP(Ruimtestaat[[#This Row],[Code]],Locaties[#All],6,FALSE)</f>
        <v>Leidschendam</v>
      </c>
      <c r="F465" s="62"/>
      <c r="G465" s="21" t="s">
        <v>1632</v>
      </c>
      <c r="I465" s="62" t="s">
        <v>1702</v>
      </c>
      <c r="J465" s="21">
        <v>16</v>
      </c>
      <c r="K465" s="62" t="str">
        <f>VLOOKUP(Ruimtestaat[[#This Row],[Ruimte code]],Ruimtegroepen[[#All],[Code]:[Ruimte omschrijving]],2,FALSE)</f>
        <v>Leslokalen theorie</v>
      </c>
      <c r="L465" s="33" t="s">
        <v>100</v>
      </c>
      <c r="M465" s="367" t="s">
        <v>2493</v>
      </c>
      <c r="N465" s="140">
        <v>50</v>
      </c>
      <c r="O465" s="140"/>
      <c r="P465" s="125" t="str">
        <f>VLOOKUP(Ruimtestaat[[#This Row],[Ruimte code]],Ruimtegroepen[],4,FALSE)</f>
        <v>Le</v>
      </c>
      <c r="R465" s="33">
        <v>40</v>
      </c>
      <c r="S465" s="33" t="s">
        <v>2</v>
      </c>
      <c r="T465" s="33">
        <f>IF(R465&gt;0,IF(RIGHT(Ruimtestaat[[#This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5" s="33">
        <f>IF(T465&gt;0,VLOOKUP($J465,Ruimtegroepen[],3,FALSE)*VLOOKUP($L465,Vloersoorten[],3,FALSE)*VLOOKUP($S465,Frequenties[],3,FALSE)*VLOOKUP($A465,Locaties[],3,FALSE),0)</f>
        <v>0</v>
      </c>
      <c r="V465" s="33">
        <f>Ruimtestaat[[#This Row],[Uitvoeringen werkdagen]]*Ruimtestaat[[#This Row],[Oppervlak (netto)]]</f>
        <v>10000</v>
      </c>
      <c r="W465" s="154">
        <f>IF(U465&gt;0,Ruimtestaat[[#This Row],[Prest. (m2 /jaar) werkdagen]]/Ruimtestaat[[#This Row],[Norm (m2/uur) werkdagen]],0)</f>
        <v>0</v>
      </c>
      <c r="X465" s="155">
        <f>Ruimtestaat[[#This Row],[uren / jaar werkdagen]]*Tariefsopbouw!$E$35</f>
        <v>0</v>
      </c>
      <c r="Y465" s="33"/>
      <c r="Z465" s="33">
        <f>IF(Ruimtestaat[[#This Row],[Frequentie weekend]]&gt;0,VALUE(LEFT(Y465,1))*R465,0)</f>
        <v>0</v>
      </c>
      <c r="AA465" s="97">
        <f>IF($Z465&gt;0,VLOOKUP($J465,Ruimtegroepen[],3,FALSE)*VLOOKUP($L465,Vloersoorten[],3,FALSE)*VLOOKUP($Y465,Frequenties[],3,FALSE)*VLOOKUP(Ruimtestaat[[#This Row],[Code]],Locaties[],3,FALSE),0)</f>
        <v>0</v>
      </c>
      <c r="AB465" s="97">
        <f>Ruimtestaat[[#This Row],[Uitvoeringen weekend]]*Ruimtestaat[[#This Row],[Oppervlak (netto)]]</f>
        <v>0</v>
      </c>
      <c r="AC465" s="97">
        <f>IF(AA465&gt;0,Ruimtestaat[[#This Row],[Prest. (m2 /jaar) weekend]]/Ruimtestaat[[#This Row],[Norm (m2/uur) weekend]],0)</f>
        <v>0</v>
      </c>
      <c r="AD465" s="155">
        <f>Ruimtestaat[[#This Row],[uren / jaar weekend]]*Tariefsopbouw!$D$40</f>
        <v>0</v>
      </c>
      <c r="AE465" s="154">
        <f>Ruimtestaat[[#This Row],[Prest. (m2 /jaar) weekend]]+Ruimtestaat[[#This Row],[Prest. (m2 /jaar) werkdagen]]</f>
        <v>10000</v>
      </c>
      <c r="AF465" s="154">
        <f>Ruimtestaat[[#This Row],[uren / jaar weekend]]+Ruimtestaat[[#This Row],[uren / jaar werkdagen]]</f>
        <v>0</v>
      </c>
      <c r="AG465" s="69">
        <f>Ruimtestaat[[#This Row],[kosten / jaar weekend]]+Ruimtestaat[[#This Row],[kosten / jaar werkdagen]]</f>
        <v>0</v>
      </c>
      <c r="AH465" s="69"/>
      <c r="AI465" s="256" t="str">
        <f>IF(Ruimtestaat[[#This Row],[Frequentie werkdagen]]="","",_xlfn.CONCAT(Ruimtestaat[[#This Row],[Ruimte code]],"-",Ruimtestaat[[#This Row],[Frequentie werkdagen]]," ",Ruimtestaat[[#This Row],[Vloer code]]))</f>
        <v>16-5w T</v>
      </c>
      <c r="AJ465" s="300" t="str">
        <f>_xlfn.IFNA(VLOOKUP($AI465,Programma!$F$3:$G$1107,2,0),"")</f>
        <v>3w</v>
      </c>
      <c r="AK465" s="300" t="str">
        <f>_xlfn.IFNA(VLOOKUP($AI465,Programma!$F$3:$H$1107,3,0),"")</f>
        <v>2w</v>
      </c>
      <c r="AL465" s="300" t="str">
        <f>_xlfn.IFNA(VLOOKUP($AI465,Programma!$F$3:$I$1107,4,0),"")</f>
        <v>_</v>
      </c>
      <c r="AM465" s="300" t="str">
        <f>_xlfn.IFNA(VLOOKUP($AI465,Programma!$F$3:$J$1107,5,0),"")</f>
        <v>_</v>
      </c>
      <c r="AN465" s="300" t="str">
        <f>_xlfn.IFNA(VLOOKUP($AI465,Programma!$F$3:$K$1107,6,0),"")</f>
        <v>_</v>
      </c>
      <c r="AO465" s="300" t="str">
        <f>_xlfn.IFNA(VLOOKUP($AI465,Programma!$F$3:$L$1107,7,0),"")</f>
        <v>_</v>
      </c>
      <c r="AP465" s="300" t="str">
        <f>_xlfn.IFNA(VLOOKUP($AI465,Programma!$F$3:$M$1107,8,0),"")</f>
        <v>_</v>
      </c>
      <c r="AQ465" s="300" t="str">
        <f>_xlfn.IFNA(VLOOKUP($AI465,Programma!$F$3:$N$1107,9,0),"")</f>
        <v>_</v>
      </c>
      <c r="AR465" s="300" t="str">
        <f>_xlfn.IFNA(VLOOKUP($AI465,Programma!$F$3:$O$1107,10,0),"")</f>
        <v>5w</v>
      </c>
      <c r="AS465" s="300" t="str">
        <f>_xlfn.IFNA(VLOOKUP($AI465,Programma!$F$3:$P$1107,11,0),"")</f>
        <v>5w</v>
      </c>
      <c r="AT465" s="300" t="str">
        <f>_xlfn.IFNA(VLOOKUP($AI465,Programma!$F$3:$Q$1107,12,0),"")</f>
        <v>1w</v>
      </c>
      <c r="AU465" s="300" t="str">
        <f>_xlfn.IFNA(VLOOKUP($AI465,Programma!$F$3:$R$1107,13,0),"")</f>
        <v>1w</v>
      </c>
      <c r="AV465" s="300" t="str">
        <f>_xlfn.IFNA(VLOOKUP($AI465,Programma!$F$3:$S$1107,14,0),"")</f>
        <v>1m</v>
      </c>
      <c r="AW465" s="300" t="str">
        <f>_xlfn.IFNA(VLOOKUP($AI465,Programma!$F$3:$T$1107,15,0),"")</f>
        <v>2j</v>
      </c>
      <c r="AX465" s="300" t="str">
        <f>_xlfn.IFNA(VLOOKUP($AI465,Programma!$F$3:$U$1107,16,0),"")</f>
        <v>1j</v>
      </c>
      <c r="AY465" s="300" t="str">
        <f>_xlfn.IFNA(VLOOKUP($AI465,Programma!$F$3:$V$1107,17,0),"")</f>
        <v>_</v>
      </c>
      <c r="AZ465" s="300" t="str">
        <f>_xlfn.IFNA(VLOOKUP($AI465,Programma!$F$3:$W$1107,18,0),"")</f>
        <v>_</v>
      </c>
      <c r="BA465" s="300" t="str">
        <f>_xlfn.IFNA(VLOOKUP($AI465,Programma!$F$3:$X$1107,19,0),"")</f>
        <v>_</v>
      </c>
      <c r="BB465" s="300" t="str">
        <f>_xlfn.IFNA(VLOOKUP($AI465,Programma!$F$3:$Y$1107,20,0),"")</f>
        <v>_</v>
      </c>
      <c r="BC465" s="257"/>
      <c r="BD465" s="256" t="str">
        <f>IF(Ruimtestaat[[#This Row],[Frequentie weekend]]="","",_xlfn.CONCAT(Ruimtestaat[[#This Row],[Ruimte code]],"-",Ruimtestaat[[#This Row],[Frequentie weekend]]," ",Ruimtestaat[[#This Row],[Vloer code]]))</f>
        <v/>
      </c>
      <c r="BE465" s="300" t="str">
        <f>_xlfn.IFNA(VLOOKUP($BD465,Programma!$F$3:$G$1107,2,0),"")</f>
        <v/>
      </c>
      <c r="BF465" s="300" t="str">
        <f>_xlfn.IFNA(VLOOKUP($BD465,Programma!$F$3:$H$1107,3,0),"")</f>
        <v/>
      </c>
      <c r="BG465" s="300" t="str">
        <f>_xlfn.IFNA(VLOOKUP($BD465,Programma!$F$3:$I$1107,4,0),"")</f>
        <v/>
      </c>
      <c r="BH465" s="300" t="str">
        <f>_xlfn.IFNA(VLOOKUP($BD465,Programma!$F$3:$J$1107,5,0),"")</f>
        <v/>
      </c>
      <c r="BI465" s="300" t="str">
        <f>_xlfn.IFNA(VLOOKUP($BD465,Programma!$F$3:$K$1107,6,0),"")</f>
        <v/>
      </c>
      <c r="BJ465" s="300" t="str">
        <f>_xlfn.IFNA(VLOOKUP($BD465,Programma!$F$3:$L$1107,7,0),"")</f>
        <v/>
      </c>
      <c r="BK465" s="300" t="str">
        <f>_xlfn.IFNA(VLOOKUP($BD465,Programma!$F$3:$M$1107,8,0),"")</f>
        <v/>
      </c>
      <c r="BL465" s="300" t="str">
        <f>_xlfn.IFNA(VLOOKUP($BD465,Programma!$F$3:$N$1107,9,0),"")</f>
        <v/>
      </c>
      <c r="BM465" s="300" t="str">
        <f>_xlfn.IFNA(VLOOKUP($BD465,Programma!$F$3:$O$1107,10,0),"")</f>
        <v/>
      </c>
      <c r="BN465" s="300" t="str">
        <f>_xlfn.IFNA(VLOOKUP($BD465,Programma!$F$3:$P$1107,11,0),"")</f>
        <v/>
      </c>
      <c r="BO465" s="300" t="str">
        <f>_xlfn.IFNA(VLOOKUP($BD465,Programma!$F$3:$Q$1107,12,0),"")</f>
        <v/>
      </c>
      <c r="BP465" s="300" t="str">
        <f>_xlfn.IFNA(VLOOKUP($BD465,Programma!$F$3:$R$1107,13,0),"")</f>
        <v/>
      </c>
      <c r="BQ465" s="300" t="str">
        <f>_xlfn.IFNA(VLOOKUP($BD465,Programma!$F$3:$S$1107,14,0),"")</f>
        <v/>
      </c>
      <c r="BR465" s="300" t="str">
        <f>_xlfn.IFNA(VLOOKUP($BD465,Programma!$F$3:$T$1107,15,0),"")</f>
        <v/>
      </c>
      <c r="BS465" s="300" t="str">
        <f>_xlfn.IFNA(VLOOKUP($BD465,Programma!$F$3:$U$1107,16,0),"")</f>
        <v/>
      </c>
      <c r="BT465" s="300" t="str">
        <f>_xlfn.IFNA(VLOOKUP($BD465,Programma!$F$3:$V$1107,17,0),"")</f>
        <v/>
      </c>
      <c r="BU465" s="300" t="str">
        <f>_xlfn.IFNA(VLOOKUP($BD465,Programma!$F$3:$W$1107,18,0),"")</f>
        <v/>
      </c>
      <c r="BV465" s="300" t="str">
        <f>_xlfn.IFNA(VLOOKUP($BD465,Programma!$F$3:$X$1107,19,0),"")</f>
        <v/>
      </c>
      <c r="BW465" s="300" t="str">
        <f>_xlfn.IFNA(VLOOKUP($BD465,Programma!$F$3:$Y$1107,20,0),"")</f>
        <v/>
      </c>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c r="GK465" s="4"/>
      <c r="GL465" s="4"/>
      <c r="GM465" s="4"/>
      <c r="GN465" s="4"/>
      <c r="GO465" s="4"/>
      <c r="GP465" s="4"/>
      <c r="GQ465" s="4"/>
      <c r="GR465" s="4"/>
      <c r="GS465" s="4"/>
      <c r="GT465" s="4"/>
      <c r="GU465" s="4"/>
      <c r="GV465" s="4"/>
      <c r="GW465" s="4"/>
      <c r="GX465" s="4"/>
      <c r="GY465" s="4"/>
      <c r="GZ465" s="4"/>
      <c r="HA465" s="4"/>
      <c r="HB465" s="4"/>
      <c r="HC465" s="4"/>
      <c r="HD465" s="4"/>
      <c r="HE465" s="4"/>
      <c r="HF465" s="4"/>
      <c r="HG465" s="4"/>
      <c r="HH465" s="4"/>
      <c r="HI465" s="4"/>
      <c r="HJ465" s="4"/>
      <c r="HK465" s="4"/>
      <c r="HL465" s="4"/>
    </row>
    <row r="466" spans="1:220" ht="15" customHeight="1">
      <c r="A466" s="21">
        <v>6</v>
      </c>
      <c r="B466" s="157" t="str">
        <f>VLOOKUP(Ruimtestaat[[#This Row],[Code]],Locaties[[Code]:[Locatie]],2,FALSE)</f>
        <v>Veurs Lyceum</v>
      </c>
      <c r="C466" s="157" t="str">
        <f>VLOOKUP(Ruimtestaat[[#This Row],[Code]],Locaties[[#All],[Code]:[Adres]],4,FALSE)</f>
        <v>Burg. Kolfschotenlaan 5</v>
      </c>
      <c r="D466" s="157" t="str">
        <f>VLOOKUP(Ruimtestaat[[#This Row],[Code]],Locaties[[#All],[Code]:[Postcode]],5,FALSE)</f>
        <v xml:space="preserve">2262 EZ </v>
      </c>
      <c r="E466" s="157" t="str">
        <f>VLOOKUP(Ruimtestaat[[#This Row],[Code]],Locaties[#All],6,FALSE)</f>
        <v>Leidschendam</v>
      </c>
      <c r="F466" s="62"/>
      <c r="G466" s="21" t="s">
        <v>1632</v>
      </c>
      <c r="H466" s="21">
        <v>40</v>
      </c>
      <c r="I466" s="62" t="s">
        <v>2098</v>
      </c>
      <c r="J466" s="21">
        <v>13</v>
      </c>
      <c r="K466" s="62" t="str">
        <f>VLOOKUP(Ruimtestaat[[#This Row],[Ruimte code]],Ruimtegroepen[[#All],[Code]:[Ruimte omschrijving]],2,FALSE)</f>
        <v>HV/Technieklokaal</v>
      </c>
      <c r="L466" s="33" t="s">
        <v>101</v>
      </c>
      <c r="M466" s="367" t="s">
        <v>2495</v>
      </c>
      <c r="N466" s="140">
        <v>89</v>
      </c>
      <c r="O466" s="140"/>
      <c r="P466" s="125" t="str">
        <f>VLOOKUP(Ruimtestaat[[#This Row],[Ruimte code]],Ruimtegroepen[],4,FALSE)</f>
        <v>Le</v>
      </c>
      <c r="R466" s="33">
        <v>40</v>
      </c>
      <c r="S466" s="33" t="s">
        <v>2</v>
      </c>
      <c r="T466" s="33">
        <f>IF(R466&gt;0,IF(RIGHT(Ruimtestaat[[#This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6" s="33">
        <f>IF(T466&gt;0,VLOOKUP($J466,Ruimtegroepen[],3,FALSE)*VLOOKUP($L466,Vloersoorten[],3,FALSE)*VLOOKUP($S466,Frequenties[],3,FALSE)*VLOOKUP($A466,Locaties[],3,FALSE),0)</f>
        <v>0</v>
      </c>
      <c r="V466" s="33">
        <f>Ruimtestaat[[#This Row],[Uitvoeringen werkdagen]]*Ruimtestaat[[#This Row],[Oppervlak (netto)]]</f>
        <v>17800</v>
      </c>
      <c r="W466" s="154">
        <f>IF(U466&gt;0,Ruimtestaat[[#This Row],[Prest. (m2 /jaar) werkdagen]]/Ruimtestaat[[#This Row],[Norm (m2/uur) werkdagen]],0)</f>
        <v>0</v>
      </c>
      <c r="X466" s="155">
        <f>Ruimtestaat[[#This Row],[uren / jaar werkdagen]]*Tariefsopbouw!$E$35</f>
        <v>0</v>
      </c>
      <c r="Y466" s="33"/>
      <c r="Z466" s="33">
        <f>IF(Ruimtestaat[[#This Row],[Frequentie weekend]]&gt;0,VALUE(LEFT(Y466,1))*R466,0)</f>
        <v>0</v>
      </c>
      <c r="AA466" s="97">
        <f>IF($Z466&gt;0,VLOOKUP($J466,Ruimtegroepen[],3,FALSE)*VLOOKUP($L466,Vloersoorten[],3,FALSE)*VLOOKUP($Y466,Frequenties[],3,FALSE)*VLOOKUP(Ruimtestaat[[#This Row],[Code]],Locaties[],3,FALSE),0)</f>
        <v>0</v>
      </c>
      <c r="AB466" s="97">
        <f>Ruimtestaat[[#This Row],[Uitvoeringen weekend]]*Ruimtestaat[[#This Row],[Oppervlak (netto)]]</f>
        <v>0</v>
      </c>
      <c r="AC466" s="97">
        <f>IF(AA466&gt;0,Ruimtestaat[[#This Row],[Prest. (m2 /jaar) weekend]]/Ruimtestaat[[#This Row],[Norm (m2/uur) weekend]],0)</f>
        <v>0</v>
      </c>
      <c r="AD466" s="155">
        <f>Ruimtestaat[[#This Row],[uren / jaar weekend]]*Tariefsopbouw!$D$40</f>
        <v>0</v>
      </c>
      <c r="AE466" s="154">
        <f>Ruimtestaat[[#This Row],[Prest. (m2 /jaar) weekend]]+Ruimtestaat[[#This Row],[Prest. (m2 /jaar) werkdagen]]</f>
        <v>17800</v>
      </c>
      <c r="AF466" s="154">
        <f>Ruimtestaat[[#This Row],[uren / jaar weekend]]+Ruimtestaat[[#This Row],[uren / jaar werkdagen]]</f>
        <v>0</v>
      </c>
      <c r="AG466" s="69">
        <f>Ruimtestaat[[#This Row],[kosten / jaar weekend]]+Ruimtestaat[[#This Row],[kosten / jaar werkdagen]]</f>
        <v>0</v>
      </c>
      <c r="AH466" s="69"/>
      <c r="AI466" s="256" t="str">
        <f>IF(Ruimtestaat[[#This Row],[Frequentie werkdagen]]="","",_xlfn.CONCAT(Ruimtestaat[[#This Row],[Ruimte code]],"-",Ruimtestaat[[#This Row],[Frequentie werkdagen]]," ",Ruimtestaat[[#This Row],[Vloer code]]))</f>
        <v>13-5w L</v>
      </c>
      <c r="AJ466" s="300" t="str">
        <f>_xlfn.IFNA(VLOOKUP($AI466,Programma!$F$3:$G$1107,2,0),"")</f>
        <v>_</v>
      </c>
      <c r="AK466" s="300" t="str">
        <f>_xlfn.IFNA(VLOOKUP($AI466,Programma!$F$3:$H$1107,3,0),"")</f>
        <v>_</v>
      </c>
      <c r="AL466" s="300" t="str">
        <f>_xlfn.IFNA(VLOOKUP($AI466,Programma!$F$3:$I$1107,4,0),"")</f>
        <v>4w</v>
      </c>
      <c r="AM466" s="300" t="str">
        <f>_xlfn.IFNA(VLOOKUP($AI466,Programma!$F$3:$J$1107,5,0),"")</f>
        <v>1w</v>
      </c>
      <c r="AN466" s="300" t="str">
        <f>_xlfn.IFNA(VLOOKUP($AI466,Programma!$F$3:$K$1107,6,0),"")</f>
        <v>_</v>
      </c>
      <c r="AO466" s="300" t="str">
        <f>_xlfn.IFNA(VLOOKUP($AI466,Programma!$F$3:$L$1107,7,0),"")</f>
        <v>_</v>
      </c>
      <c r="AP466" s="300" t="str">
        <f>_xlfn.IFNA(VLOOKUP($AI466,Programma!$F$3:$M$1107,8,0),"")</f>
        <v>_</v>
      </c>
      <c r="AQ466" s="300" t="str">
        <f>_xlfn.IFNA(VLOOKUP($AI466,Programma!$F$3:$N$1107,9,0),"")</f>
        <v>_</v>
      </c>
      <c r="AR466" s="300" t="str">
        <f>_xlfn.IFNA(VLOOKUP($AI466,Programma!$F$3:$O$1107,10,0),"")</f>
        <v>5w</v>
      </c>
      <c r="AS466" s="300" t="str">
        <f>_xlfn.IFNA(VLOOKUP($AI466,Programma!$F$3:$P$1107,11,0),"")</f>
        <v>5w</v>
      </c>
      <c r="AT466" s="300" t="str">
        <f>_xlfn.IFNA(VLOOKUP($AI466,Programma!$F$3:$Q$1107,12,0),"")</f>
        <v>1w</v>
      </c>
      <c r="AU466" s="300" t="str">
        <f>_xlfn.IFNA(VLOOKUP($AI466,Programma!$F$3:$R$1107,13,0),"")</f>
        <v>1w</v>
      </c>
      <c r="AV466" s="300" t="str">
        <f>_xlfn.IFNA(VLOOKUP($AI466,Programma!$F$3:$S$1107,14,0),"")</f>
        <v>1m</v>
      </c>
      <c r="AW466" s="300" t="str">
        <f>_xlfn.IFNA(VLOOKUP($AI466,Programma!$F$3:$T$1107,15,0),"")</f>
        <v>2j</v>
      </c>
      <c r="AX466" s="300" t="str">
        <f>_xlfn.IFNA(VLOOKUP($AI466,Programma!$F$3:$U$1107,16,0),"")</f>
        <v>1j</v>
      </c>
      <c r="AY466" s="300" t="str">
        <f>_xlfn.IFNA(VLOOKUP($AI466,Programma!$F$3:$V$1107,17,0),"")</f>
        <v>_</v>
      </c>
      <c r="AZ466" s="300" t="str">
        <f>_xlfn.IFNA(VLOOKUP($AI466,Programma!$F$3:$W$1107,18,0),"")</f>
        <v>_</v>
      </c>
      <c r="BA466" s="300" t="str">
        <f>_xlfn.IFNA(VLOOKUP($AI466,Programma!$F$3:$X$1107,19,0),"")</f>
        <v>_</v>
      </c>
      <c r="BB466" s="300" t="str">
        <f>_xlfn.IFNA(VLOOKUP($AI466,Programma!$F$3:$Y$1107,20,0),"")</f>
        <v>_</v>
      </c>
      <c r="BC466" s="257"/>
      <c r="BD466" s="256" t="str">
        <f>IF(Ruimtestaat[[#This Row],[Frequentie weekend]]="","",_xlfn.CONCAT(Ruimtestaat[[#This Row],[Ruimte code]],"-",Ruimtestaat[[#This Row],[Frequentie weekend]]," ",Ruimtestaat[[#This Row],[Vloer code]]))</f>
        <v/>
      </c>
      <c r="BE466" s="300" t="str">
        <f>_xlfn.IFNA(VLOOKUP($BD466,Programma!$F$3:$G$1107,2,0),"")</f>
        <v/>
      </c>
      <c r="BF466" s="300" t="str">
        <f>_xlfn.IFNA(VLOOKUP($BD466,Programma!$F$3:$H$1107,3,0),"")</f>
        <v/>
      </c>
      <c r="BG466" s="300" t="str">
        <f>_xlfn.IFNA(VLOOKUP($BD466,Programma!$F$3:$I$1107,4,0),"")</f>
        <v/>
      </c>
      <c r="BH466" s="300" t="str">
        <f>_xlfn.IFNA(VLOOKUP($BD466,Programma!$F$3:$J$1107,5,0),"")</f>
        <v/>
      </c>
      <c r="BI466" s="300" t="str">
        <f>_xlfn.IFNA(VLOOKUP($BD466,Programma!$F$3:$K$1107,6,0),"")</f>
        <v/>
      </c>
      <c r="BJ466" s="300" t="str">
        <f>_xlfn.IFNA(VLOOKUP($BD466,Programma!$F$3:$L$1107,7,0),"")</f>
        <v/>
      </c>
      <c r="BK466" s="300" t="str">
        <f>_xlfn.IFNA(VLOOKUP($BD466,Programma!$F$3:$M$1107,8,0),"")</f>
        <v/>
      </c>
      <c r="BL466" s="300" t="str">
        <f>_xlfn.IFNA(VLOOKUP($BD466,Programma!$F$3:$N$1107,9,0),"")</f>
        <v/>
      </c>
      <c r="BM466" s="300" t="str">
        <f>_xlfn.IFNA(VLOOKUP($BD466,Programma!$F$3:$O$1107,10,0),"")</f>
        <v/>
      </c>
      <c r="BN466" s="300" t="str">
        <f>_xlfn.IFNA(VLOOKUP($BD466,Programma!$F$3:$P$1107,11,0),"")</f>
        <v/>
      </c>
      <c r="BO466" s="300" t="str">
        <f>_xlfn.IFNA(VLOOKUP($BD466,Programma!$F$3:$Q$1107,12,0),"")</f>
        <v/>
      </c>
      <c r="BP466" s="300" t="str">
        <f>_xlfn.IFNA(VLOOKUP($BD466,Programma!$F$3:$R$1107,13,0),"")</f>
        <v/>
      </c>
      <c r="BQ466" s="300" t="str">
        <f>_xlfn.IFNA(VLOOKUP($BD466,Programma!$F$3:$S$1107,14,0),"")</f>
        <v/>
      </c>
      <c r="BR466" s="300" t="str">
        <f>_xlfn.IFNA(VLOOKUP($BD466,Programma!$F$3:$T$1107,15,0),"")</f>
        <v/>
      </c>
      <c r="BS466" s="300" t="str">
        <f>_xlfn.IFNA(VLOOKUP($BD466,Programma!$F$3:$U$1107,16,0),"")</f>
        <v/>
      </c>
      <c r="BT466" s="300" t="str">
        <f>_xlfn.IFNA(VLOOKUP($BD466,Programma!$F$3:$V$1107,17,0),"")</f>
        <v/>
      </c>
      <c r="BU466" s="300" t="str">
        <f>_xlfn.IFNA(VLOOKUP($BD466,Programma!$F$3:$W$1107,18,0),"")</f>
        <v/>
      </c>
      <c r="BV466" s="300" t="str">
        <f>_xlfn.IFNA(VLOOKUP($BD466,Programma!$F$3:$X$1107,19,0),"")</f>
        <v/>
      </c>
      <c r="BW466" s="300" t="str">
        <f>_xlfn.IFNA(VLOOKUP($BD466,Programma!$F$3:$Y$1107,20,0),"")</f>
        <v/>
      </c>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c r="GK466" s="4"/>
      <c r="GL466" s="4"/>
      <c r="GM466" s="4"/>
      <c r="GN466" s="4"/>
      <c r="GO466" s="4"/>
      <c r="GP466" s="4"/>
      <c r="GQ466" s="4"/>
      <c r="GR466" s="4"/>
      <c r="GS466" s="4"/>
      <c r="GT466" s="4"/>
      <c r="GU466" s="4"/>
      <c r="GV466" s="4"/>
      <c r="GW466" s="4"/>
      <c r="GX466" s="4"/>
      <c r="GY466" s="4"/>
      <c r="GZ466" s="4"/>
      <c r="HA466" s="4"/>
      <c r="HB466" s="4"/>
      <c r="HC466" s="4"/>
      <c r="HD466" s="4"/>
      <c r="HE466" s="4"/>
      <c r="HF466" s="4"/>
      <c r="HG466" s="4"/>
      <c r="HH466" s="4"/>
      <c r="HI466" s="4"/>
      <c r="HJ466" s="4"/>
      <c r="HK466" s="4"/>
      <c r="HL466" s="4"/>
    </row>
    <row r="467" spans="1:220" ht="15" customHeight="1">
      <c r="A467" s="21">
        <v>6</v>
      </c>
      <c r="B467" s="157" t="str">
        <f>VLOOKUP(Ruimtestaat[[#This Row],[Code]],Locaties[[Code]:[Locatie]],2,FALSE)</f>
        <v>Veurs Lyceum</v>
      </c>
      <c r="C467" s="157" t="str">
        <f>VLOOKUP(Ruimtestaat[[#This Row],[Code]],Locaties[[#All],[Code]:[Adres]],4,FALSE)</f>
        <v>Burg. Kolfschotenlaan 5</v>
      </c>
      <c r="D467" s="157" t="str">
        <f>VLOOKUP(Ruimtestaat[[#This Row],[Code]],Locaties[[#All],[Code]:[Postcode]],5,FALSE)</f>
        <v xml:space="preserve">2262 EZ </v>
      </c>
      <c r="E467" s="157" t="str">
        <f>VLOOKUP(Ruimtestaat[[#This Row],[Code]],Locaties[#All],6,FALSE)</f>
        <v>Leidschendam</v>
      </c>
      <c r="F467" s="62"/>
      <c r="G467" s="21" t="s">
        <v>1632</v>
      </c>
      <c r="H467" s="21">
        <v>41</v>
      </c>
      <c r="I467" s="62" t="s">
        <v>2099</v>
      </c>
      <c r="J467" s="21">
        <v>1</v>
      </c>
      <c r="K467" s="62" t="str">
        <f>VLOOKUP(Ruimtestaat[[#This Row],[Ruimte code]],Ruimtegroepen[[#All],[Code]:[Ruimte omschrijving]],2,FALSE)</f>
        <v>Magazijnen/bergingen</v>
      </c>
      <c r="L467" s="33" t="s">
        <v>101</v>
      </c>
      <c r="M467" s="367" t="s">
        <v>2495</v>
      </c>
      <c r="N467" s="140">
        <v>13</v>
      </c>
      <c r="O467" s="140"/>
      <c r="P467" s="125" t="str">
        <f>VLOOKUP(Ruimtestaat[[#This Row],[Ruimte code]],Ruimtegroepen[],4,FALSE)</f>
        <v>Ve</v>
      </c>
      <c r="R467" s="33">
        <v>40</v>
      </c>
      <c r="S467" s="33" t="s">
        <v>16</v>
      </c>
      <c r="T467" s="33">
        <f>IF(R467&gt;0,IF(RIGHT(Ruimtestaat[[#This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67" s="33">
        <f>IF(T467&gt;0,VLOOKUP($J467,Ruimtegroepen[],3,FALSE)*VLOOKUP($L467,Vloersoorten[],3,FALSE)*VLOOKUP($S467,Frequenties[],3,FALSE)*VLOOKUP($A467,Locaties[],3,FALSE),0)</f>
        <v>0</v>
      </c>
      <c r="V467" s="33">
        <f>Ruimtestaat[[#This Row],[Uitvoeringen werkdagen]]*Ruimtestaat[[#This Row],[Oppervlak (netto)]]</f>
        <v>156</v>
      </c>
      <c r="W467" s="154">
        <f>IF(U467&gt;0,Ruimtestaat[[#This Row],[Prest. (m2 /jaar) werkdagen]]/Ruimtestaat[[#This Row],[Norm (m2/uur) werkdagen]],0)</f>
        <v>0</v>
      </c>
      <c r="X467" s="155">
        <f>Ruimtestaat[[#This Row],[uren / jaar werkdagen]]*Tariefsopbouw!$E$35</f>
        <v>0</v>
      </c>
      <c r="Y467" s="33"/>
      <c r="Z467" s="33">
        <f>IF(Ruimtestaat[[#This Row],[Frequentie weekend]]&gt;0,VALUE(LEFT(Y467,1))*R467,0)</f>
        <v>0</v>
      </c>
      <c r="AA467" s="97">
        <f>IF($Z467&gt;0,VLOOKUP($J467,Ruimtegroepen[],3,FALSE)*VLOOKUP($L467,Vloersoorten[],3,FALSE)*VLOOKUP($Y467,Frequenties[],3,FALSE)*VLOOKUP(Ruimtestaat[[#This Row],[Code]],Locaties[],3,FALSE),0)</f>
        <v>0</v>
      </c>
      <c r="AB467" s="97">
        <f>Ruimtestaat[[#This Row],[Uitvoeringen weekend]]*Ruimtestaat[[#This Row],[Oppervlak (netto)]]</f>
        <v>0</v>
      </c>
      <c r="AC467" s="97">
        <f>IF(AA467&gt;0,Ruimtestaat[[#This Row],[Prest. (m2 /jaar) weekend]]/Ruimtestaat[[#This Row],[Norm (m2/uur) weekend]],0)</f>
        <v>0</v>
      </c>
      <c r="AD467" s="155">
        <f>Ruimtestaat[[#This Row],[uren / jaar weekend]]*Tariefsopbouw!$D$40</f>
        <v>0</v>
      </c>
      <c r="AE467" s="154">
        <f>Ruimtestaat[[#This Row],[Prest. (m2 /jaar) weekend]]+Ruimtestaat[[#This Row],[Prest. (m2 /jaar) werkdagen]]</f>
        <v>156</v>
      </c>
      <c r="AF467" s="154">
        <f>Ruimtestaat[[#This Row],[uren / jaar weekend]]+Ruimtestaat[[#This Row],[uren / jaar werkdagen]]</f>
        <v>0</v>
      </c>
      <c r="AG467" s="69">
        <f>Ruimtestaat[[#This Row],[kosten / jaar weekend]]+Ruimtestaat[[#This Row],[kosten / jaar werkdagen]]</f>
        <v>0</v>
      </c>
      <c r="AH467" s="69"/>
      <c r="AI467" s="256" t="str">
        <f>IF(Ruimtestaat[[#This Row],[Frequentie werkdagen]]="","",_xlfn.CONCAT(Ruimtestaat[[#This Row],[Ruimte code]],"-",Ruimtestaat[[#This Row],[Frequentie werkdagen]]," ",Ruimtestaat[[#This Row],[Vloer code]]))</f>
        <v>1-1m L</v>
      </c>
      <c r="AJ467" s="300" t="str">
        <f>_xlfn.IFNA(VLOOKUP($AI467,Programma!$F$3:$G$1107,2,0),"")</f>
        <v>_</v>
      </c>
      <c r="AK467" s="300" t="str">
        <f>_xlfn.IFNA(VLOOKUP($AI467,Programma!$F$3:$H$1107,3,0),"")</f>
        <v>_</v>
      </c>
      <c r="AL467" s="300" t="str">
        <f>_xlfn.IFNA(VLOOKUP($AI467,Programma!$F$3:$I$1107,4,0),"")</f>
        <v>1m</v>
      </c>
      <c r="AM467" s="300" t="str">
        <f>_xlfn.IFNA(VLOOKUP($AI467,Programma!$F$3:$J$1107,5,0),"")</f>
        <v>1m</v>
      </c>
      <c r="AN467" s="300" t="str">
        <f>_xlfn.IFNA(VLOOKUP($AI467,Programma!$F$3:$K$1107,6,0),"")</f>
        <v>_</v>
      </c>
      <c r="AO467" s="300" t="str">
        <f>_xlfn.IFNA(VLOOKUP($AI467,Programma!$F$3:$L$1107,7,0),"")</f>
        <v>_</v>
      </c>
      <c r="AP467" s="300" t="str">
        <f>_xlfn.IFNA(VLOOKUP($AI467,Programma!$F$3:$M$1107,8,0),"")</f>
        <v>_</v>
      </c>
      <c r="AQ467" s="300" t="str">
        <f>_xlfn.IFNA(VLOOKUP($AI467,Programma!$F$3:$N$1107,9,0),"")</f>
        <v>_</v>
      </c>
      <c r="AR467" s="300" t="str">
        <f>_xlfn.IFNA(VLOOKUP($AI467,Programma!$F$3:$O$1107,10,0),"")</f>
        <v>_</v>
      </c>
      <c r="AS467" s="300" t="str">
        <f>_xlfn.IFNA(VLOOKUP($AI467,Programma!$F$3:$P$1107,11,0),"")</f>
        <v>_</v>
      </c>
      <c r="AT467" s="300" t="str">
        <f>_xlfn.IFNA(VLOOKUP($AI467,Programma!$F$3:$Q$1107,12,0),"")</f>
        <v>_</v>
      </c>
      <c r="AU467" s="300" t="str">
        <f>_xlfn.IFNA(VLOOKUP($AI467,Programma!$F$3:$R$1107,13,0),"")</f>
        <v>_</v>
      </c>
      <c r="AV467" s="300" t="str">
        <f>_xlfn.IFNA(VLOOKUP($AI467,Programma!$F$3:$S$1107,14,0),"")</f>
        <v>1m</v>
      </c>
      <c r="AW467" s="300" t="str">
        <f>_xlfn.IFNA(VLOOKUP($AI467,Programma!$F$3:$T$1107,15,0),"")</f>
        <v>4j</v>
      </c>
      <c r="AX467" s="300" t="str">
        <f>_xlfn.IFNA(VLOOKUP($AI467,Programma!$F$3:$U$1107,16,0),"")</f>
        <v>4j</v>
      </c>
      <c r="AY467" s="300" t="str">
        <f>_xlfn.IFNA(VLOOKUP($AI467,Programma!$F$3:$V$1107,17,0),"")</f>
        <v>_</v>
      </c>
      <c r="AZ467" s="300" t="str">
        <f>_xlfn.IFNA(VLOOKUP($AI467,Programma!$F$3:$W$1107,18,0),"")</f>
        <v>_</v>
      </c>
      <c r="BA467" s="300" t="str">
        <f>_xlfn.IFNA(VLOOKUP($AI467,Programma!$F$3:$X$1107,19,0),"")</f>
        <v>_</v>
      </c>
      <c r="BB467" s="300" t="str">
        <f>_xlfn.IFNA(VLOOKUP($AI467,Programma!$F$3:$Y$1107,20,0),"")</f>
        <v>_</v>
      </c>
      <c r="BC467" s="257"/>
      <c r="BD467" s="256" t="str">
        <f>IF(Ruimtestaat[[#This Row],[Frequentie weekend]]="","",_xlfn.CONCAT(Ruimtestaat[[#This Row],[Ruimte code]],"-",Ruimtestaat[[#This Row],[Frequentie weekend]]," ",Ruimtestaat[[#This Row],[Vloer code]]))</f>
        <v/>
      </c>
      <c r="BE467" s="300" t="str">
        <f>_xlfn.IFNA(VLOOKUP($BD467,Programma!$F$3:$G$1107,2,0),"")</f>
        <v/>
      </c>
      <c r="BF467" s="300" t="str">
        <f>_xlfn.IFNA(VLOOKUP($BD467,Programma!$F$3:$H$1107,3,0),"")</f>
        <v/>
      </c>
      <c r="BG467" s="300" t="str">
        <f>_xlfn.IFNA(VLOOKUP($BD467,Programma!$F$3:$I$1107,4,0),"")</f>
        <v/>
      </c>
      <c r="BH467" s="300" t="str">
        <f>_xlfn.IFNA(VLOOKUP($BD467,Programma!$F$3:$J$1107,5,0),"")</f>
        <v/>
      </c>
      <c r="BI467" s="300" t="str">
        <f>_xlfn.IFNA(VLOOKUP($BD467,Programma!$F$3:$K$1107,6,0),"")</f>
        <v/>
      </c>
      <c r="BJ467" s="300" t="str">
        <f>_xlfn.IFNA(VLOOKUP($BD467,Programma!$F$3:$L$1107,7,0),"")</f>
        <v/>
      </c>
      <c r="BK467" s="300" t="str">
        <f>_xlfn.IFNA(VLOOKUP($BD467,Programma!$F$3:$M$1107,8,0),"")</f>
        <v/>
      </c>
      <c r="BL467" s="300" t="str">
        <f>_xlfn.IFNA(VLOOKUP($BD467,Programma!$F$3:$N$1107,9,0),"")</f>
        <v/>
      </c>
      <c r="BM467" s="300" t="str">
        <f>_xlfn.IFNA(VLOOKUP($BD467,Programma!$F$3:$O$1107,10,0),"")</f>
        <v/>
      </c>
      <c r="BN467" s="300" t="str">
        <f>_xlfn.IFNA(VLOOKUP($BD467,Programma!$F$3:$P$1107,11,0),"")</f>
        <v/>
      </c>
      <c r="BO467" s="300" t="str">
        <f>_xlfn.IFNA(VLOOKUP($BD467,Programma!$F$3:$Q$1107,12,0),"")</f>
        <v/>
      </c>
      <c r="BP467" s="300" t="str">
        <f>_xlfn.IFNA(VLOOKUP($BD467,Programma!$F$3:$R$1107,13,0),"")</f>
        <v/>
      </c>
      <c r="BQ467" s="300" t="str">
        <f>_xlfn.IFNA(VLOOKUP($BD467,Programma!$F$3:$S$1107,14,0),"")</f>
        <v/>
      </c>
      <c r="BR467" s="300" t="str">
        <f>_xlfn.IFNA(VLOOKUP($BD467,Programma!$F$3:$T$1107,15,0),"")</f>
        <v/>
      </c>
      <c r="BS467" s="300" t="str">
        <f>_xlfn.IFNA(VLOOKUP($BD467,Programma!$F$3:$U$1107,16,0),"")</f>
        <v/>
      </c>
      <c r="BT467" s="300" t="str">
        <f>_xlfn.IFNA(VLOOKUP($BD467,Programma!$F$3:$V$1107,17,0),"")</f>
        <v/>
      </c>
      <c r="BU467" s="300" t="str">
        <f>_xlfn.IFNA(VLOOKUP($BD467,Programma!$F$3:$W$1107,18,0),"")</f>
        <v/>
      </c>
      <c r="BV467" s="300" t="str">
        <f>_xlfn.IFNA(VLOOKUP($BD467,Programma!$F$3:$X$1107,19,0),"")</f>
        <v/>
      </c>
      <c r="BW467" s="300" t="str">
        <f>_xlfn.IFNA(VLOOKUP($BD467,Programma!$F$3:$Y$1107,20,0),"")</f>
        <v/>
      </c>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c r="GK467" s="4"/>
      <c r="GL467" s="4"/>
      <c r="GM467" s="4"/>
      <c r="GN467" s="4"/>
      <c r="GO467" s="4"/>
      <c r="GP467" s="4"/>
      <c r="GQ467" s="4"/>
      <c r="GR467" s="4"/>
      <c r="GS467" s="4"/>
      <c r="GT467" s="4"/>
      <c r="GU467" s="4"/>
      <c r="GV467" s="4"/>
      <c r="GW467" s="4"/>
      <c r="GX467" s="4"/>
      <c r="GY467" s="4"/>
      <c r="GZ467" s="4"/>
      <c r="HA467" s="4"/>
      <c r="HB467" s="4"/>
      <c r="HC467" s="4"/>
      <c r="HD467" s="4"/>
      <c r="HE467" s="4"/>
      <c r="HF467" s="4"/>
      <c r="HG467" s="4"/>
      <c r="HH467" s="4"/>
      <c r="HI467" s="4"/>
      <c r="HJ467" s="4"/>
      <c r="HK467" s="4"/>
      <c r="HL467" s="4"/>
    </row>
    <row r="468" spans="1:220" ht="15" customHeight="1">
      <c r="A468" s="21">
        <v>6</v>
      </c>
      <c r="B468" s="157" t="str">
        <f>VLOOKUP(Ruimtestaat[[#This Row],[Code]],Locaties[[Code]:[Locatie]],2,FALSE)</f>
        <v>Veurs Lyceum</v>
      </c>
      <c r="C468" s="157" t="str">
        <f>VLOOKUP(Ruimtestaat[[#This Row],[Code]],Locaties[[#All],[Code]:[Adres]],4,FALSE)</f>
        <v>Burg. Kolfschotenlaan 5</v>
      </c>
      <c r="D468" s="157" t="str">
        <f>VLOOKUP(Ruimtestaat[[#This Row],[Code]],Locaties[[#All],[Code]:[Postcode]],5,FALSE)</f>
        <v xml:space="preserve">2262 EZ </v>
      </c>
      <c r="E468" s="157" t="str">
        <f>VLOOKUP(Ruimtestaat[[#This Row],[Code]],Locaties[#All],6,FALSE)</f>
        <v>Leidschendam</v>
      </c>
      <c r="F468" s="62"/>
      <c r="G468" s="21" t="s">
        <v>1632</v>
      </c>
      <c r="H468" s="21">
        <v>42</v>
      </c>
      <c r="I468" s="62" t="s">
        <v>2100</v>
      </c>
      <c r="J468" s="21">
        <v>12</v>
      </c>
      <c r="K468" s="62" t="str">
        <f>VLOOKUP(Ruimtestaat[[#This Row],[Ruimte code]],Ruimtegroepen[[#All],[Code]:[Ruimte omschrijving]],2,FALSE)</f>
        <v>Kantine</v>
      </c>
      <c r="L468" s="33" t="s">
        <v>103</v>
      </c>
      <c r="M468" s="367" t="s">
        <v>121</v>
      </c>
      <c r="N468" s="140">
        <v>19</v>
      </c>
      <c r="O468" s="140"/>
      <c r="P468" s="125" t="str">
        <f>VLOOKUP(Ruimtestaat[[#This Row],[Ruimte code]],Ruimtegroepen[],4,FALSE)</f>
        <v>Ve</v>
      </c>
      <c r="R468" s="33">
        <v>40</v>
      </c>
      <c r="S468" s="33" t="s">
        <v>2</v>
      </c>
      <c r="T468" s="33">
        <f>IF(R468&gt;0,IF(RIGHT(Ruimtestaat[[#This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8" s="33">
        <f>IF(T468&gt;0,VLOOKUP($J468,Ruimtegroepen[],3,FALSE)*VLOOKUP($L468,Vloersoorten[],3,FALSE)*VLOOKUP($S468,Frequenties[],3,FALSE)*VLOOKUP($A468,Locaties[],3,FALSE),0)</f>
        <v>0</v>
      </c>
      <c r="V468" s="33">
        <f>Ruimtestaat[[#This Row],[Uitvoeringen werkdagen]]*Ruimtestaat[[#This Row],[Oppervlak (netto)]]</f>
        <v>3800</v>
      </c>
      <c r="W468" s="154">
        <f>IF(U468&gt;0,Ruimtestaat[[#This Row],[Prest. (m2 /jaar) werkdagen]]/Ruimtestaat[[#This Row],[Norm (m2/uur) werkdagen]],0)</f>
        <v>0</v>
      </c>
      <c r="X468" s="155">
        <f>Ruimtestaat[[#This Row],[uren / jaar werkdagen]]*Tariefsopbouw!$E$35</f>
        <v>0</v>
      </c>
      <c r="Y468" s="33"/>
      <c r="Z468" s="33">
        <f>IF(Ruimtestaat[[#This Row],[Frequentie weekend]]&gt;0,VALUE(LEFT(Y468,1))*R468,0)</f>
        <v>0</v>
      </c>
      <c r="AA468" s="97">
        <f>IF($Z468&gt;0,VLOOKUP($J468,Ruimtegroepen[],3,FALSE)*VLOOKUP($L468,Vloersoorten[],3,FALSE)*VLOOKUP($Y468,Frequenties[],3,FALSE)*VLOOKUP(Ruimtestaat[[#This Row],[Code]],Locaties[],3,FALSE),0)</f>
        <v>0</v>
      </c>
      <c r="AB468" s="97">
        <f>Ruimtestaat[[#This Row],[Uitvoeringen weekend]]*Ruimtestaat[[#This Row],[Oppervlak (netto)]]</f>
        <v>0</v>
      </c>
      <c r="AC468" s="97">
        <f>IF(AA468&gt;0,Ruimtestaat[[#This Row],[Prest. (m2 /jaar) weekend]]/Ruimtestaat[[#This Row],[Norm (m2/uur) weekend]],0)</f>
        <v>0</v>
      </c>
      <c r="AD468" s="155">
        <f>Ruimtestaat[[#This Row],[uren / jaar weekend]]*Tariefsopbouw!$D$40</f>
        <v>0</v>
      </c>
      <c r="AE468" s="154">
        <f>Ruimtestaat[[#This Row],[Prest. (m2 /jaar) weekend]]+Ruimtestaat[[#This Row],[Prest. (m2 /jaar) werkdagen]]</f>
        <v>3800</v>
      </c>
      <c r="AF468" s="154">
        <f>Ruimtestaat[[#This Row],[uren / jaar weekend]]+Ruimtestaat[[#This Row],[uren / jaar werkdagen]]</f>
        <v>0</v>
      </c>
      <c r="AG468" s="69">
        <f>Ruimtestaat[[#This Row],[kosten / jaar weekend]]+Ruimtestaat[[#This Row],[kosten / jaar werkdagen]]</f>
        <v>0</v>
      </c>
      <c r="AH468" s="69"/>
      <c r="AI468" s="256" t="str">
        <f>IF(Ruimtestaat[[#This Row],[Frequentie werkdagen]]="","",_xlfn.CONCAT(Ruimtestaat[[#This Row],[Ruimte code]],"-",Ruimtestaat[[#This Row],[Frequentie werkdagen]]," ",Ruimtestaat[[#This Row],[Vloer code]]))</f>
        <v>12-5w P</v>
      </c>
      <c r="AJ468" s="300" t="str">
        <f>_xlfn.IFNA(VLOOKUP($AI468,Programma!$F$3:$G$1107,2,0),"")</f>
        <v>_</v>
      </c>
      <c r="AK468" s="300" t="str">
        <f>_xlfn.IFNA(VLOOKUP($AI468,Programma!$F$3:$H$1107,3,0),"")</f>
        <v>_</v>
      </c>
      <c r="AL468" s="300" t="str">
        <f>_xlfn.IFNA(VLOOKUP($AI468,Programma!$F$3:$I$1107,4,0),"")</f>
        <v>5w</v>
      </c>
      <c r="AM468" s="300" t="str">
        <f>_xlfn.IFNA(VLOOKUP($AI468,Programma!$F$3:$J$1107,5,0),"")</f>
        <v>_</v>
      </c>
      <c r="AN468" s="300" t="str">
        <f>_xlfn.IFNA(VLOOKUP($AI468,Programma!$F$3:$K$1107,6,0),"")</f>
        <v>5w</v>
      </c>
      <c r="AO468" s="300" t="str">
        <f>_xlfn.IFNA(VLOOKUP($AI468,Programma!$F$3:$L$1107,7,0),"")</f>
        <v>_</v>
      </c>
      <c r="AP468" s="300" t="str">
        <f>_xlfn.IFNA(VLOOKUP($AI468,Programma!$F$3:$M$1107,8,0),"")</f>
        <v>_</v>
      </c>
      <c r="AQ468" s="300" t="str">
        <f>_xlfn.IFNA(VLOOKUP($AI468,Programma!$F$3:$N$1107,9,0),"")</f>
        <v>_</v>
      </c>
      <c r="AR468" s="300" t="str">
        <f>_xlfn.IFNA(VLOOKUP($AI468,Programma!$F$3:$O$1107,10,0),"")</f>
        <v>5w</v>
      </c>
      <c r="AS468" s="300" t="str">
        <f>_xlfn.IFNA(VLOOKUP($AI468,Programma!$F$3:$P$1107,11,0),"")</f>
        <v>5w</v>
      </c>
      <c r="AT468" s="300" t="str">
        <f>_xlfn.IFNA(VLOOKUP($AI468,Programma!$F$3:$Q$1107,12,0),"")</f>
        <v>1w</v>
      </c>
      <c r="AU468" s="300" t="str">
        <f>_xlfn.IFNA(VLOOKUP($AI468,Programma!$F$3:$R$1107,13,0),"")</f>
        <v>1w</v>
      </c>
      <c r="AV468" s="300" t="str">
        <f>_xlfn.IFNA(VLOOKUP($AI468,Programma!$F$3:$S$1107,14,0),"")</f>
        <v>1m</v>
      </c>
      <c r="AW468" s="300" t="str">
        <f>_xlfn.IFNA(VLOOKUP($AI468,Programma!$F$3:$T$1107,15,0),"")</f>
        <v>2j</v>
      </c>
      <c r="AX468" s="300" t="str">
        <f>_xlfn.IFNA(VLOOKUP($AI468,Programma!$F$3:$U$1107,16,0),"")</f>
        <v>1j</v>
      </c>
      <c r="AY468" s="300" t="str">
        <f>_xlfn.IFNA(VLOOKUP($AI468,Programma!$F$3:$V$1107,17,0),"")</f>
        <v>_</v>
      </c>
      <c r="AZ468" s="300" t="str">
        <f>_xlfn.IFNA(VLOOKUP($AI468,Programma!$F$3:$W$1107,18,0),"")</f>
        <v>_</v>
      </c>
      <c r="BA468" s="300" t="str">
        <f>_xlfn.IFNA(VLOOKUP($AI468,Programma!$F$3:$X$1107,19,0),"")</f>
        <v>_</v>
      </c>
      <c r="BB468" s="300" t="str">
        <f>_xlfn.IFNA(VLOOKUP($AI468,Programma!$F$3:$Y$1107,20,0),"")</f>
        <v>_</v>
      </c>
      <c r="BC468" s="257"/>
      <c r="BD468" s="256" t="str">
        <f>IF(Ruimtestaat[[#This Row],[Frequentie weekend]]="","",_xlfn.CONCAT(Ruimtestaat[[#This Row],[Ruimte code]],"-",Ruimtestaat[[#This Row],[Frequentie weekend]]," ",Ruimtestaat[[#This Row],[Vloer code]]))</f>
        <v/>
      </c>
      <c r="BE468" s="300" t="str">
        <f>_xlfn.IFNA(VLOOKUP($BD468,Programma!$F$3:$G$1107,2,0),"")</f>
        <v/>
      </c>
      <c r="BF468" s="300" t="str">
        <f>_xlfn.IFNA(VLOOKUP($BD468,Programma!$F$3:$H$1107,3,0),"")</f>
        <v/>
      </c>
      <c r="BG468" s="300" t="str">
        <f>_xlfn.IFNA(VLOOKUP($BD468,Programma!$F$3:$I$1107,4,0),"")</f>
        <v/>
      </c>
      <c r="BH468" s="300" t="str">
        <f>_xlfn.IFNA(VLOOKUP($BD468,Programma!$F$3:$J$1107,5,0),"")</f>
        <v/>
      </c>
      <c r="BI468" s="300" t="str">
        <f>_xlfn.IFNA(VLOOKUP($BD468,Programma!$F$3:$K$1107,6,0),"")</f>
        <v/>
      </c>
      <c r="BJ468" s="300" t="str">
        <f>_xlfn.IFNA(VLOOKUP($BD468,Programma!$F$3:$L$1107,7,0),"")</f>
        <v/>
      </c>
      <c r="BK468" s="300" t="str">
        <f>_xlfn.IFNA(VLOOKUP($BD468,Programma!$F$3:$M$1107,8,0),"")</f>
        <v/>
      </c>
      <c r="BL468" s="300" t="str">
        <f>_xlfn.IFNA(VLOOKUP($BD468,Programma!$F$3:$N$1107,9,0),"")</f>
        <v/>
      </c>
      <c r="BM468" s="300" t="str">
        <f>_xlfn.IFNA(VLOOKUP($BD468,Programma!$F$3:$O$1107,10,0),"")</f>
        <v/>
      </c>
      <c r="BN468" s="300" t="str">
        <f>_xlfn.IFNA(VLOOKUP($BD468,Programma!$F$3:$P$1107,11,0),"")</f>
        <v/>
      </c>
      <c r="BO468" s="300" t="str">
        <f>_xlfn.IFNA(VLOOKUP($BD468,Programma!$F$3:$Q$1107,12,0),"")</f>
        <v/>
      </c>
      <c r="BP468" s="300" t="str">
        <f>_xlfn.IFNA(VLOOKUP($BD468,Programma!$F$3:$R$1107,13,0),"")</f>
        <v/>
      </c>
      <c r="BQ468" s="300" t="str">
        <f>_xlfn.IFNA(VLOOKUP($BD468,Programma!$F$3:$S$1107,14,0),"")</f>
        <v/>
      </c>
      <c r="BR468" s="300" t="str">
        <f>_xlfn.IFNA(VLOOKUP($BD468,Programma!$F$3:$T$1107,15,0),"")</f>
        <v/>
      </c>
      <c r="BS468" s="300" t="str">
        <f>_xlfn.IFNA(VLOOKUP($BD468,Programma!$F$3:$U$1107,16,0),"")</f>
        <v/>
      </c>
      <c r="BT468" s="300" t="str">
        <f>_xlfn.IFNA(VLOOKUP($BD468,Programma!$F$3:$V$1107,17,0),"")</f>
        <v/>
      </c>
      <c r="BU468" s="300" t="str">
        <f>_xlfn.IFNA(VLOOKUP($BD468,Programma!$F$3:$W$1107,18,0),"")</f>
        <v/>
      </c>
      <c r="BV468" s="300" t="str">
        <f>_xlfn.IFNA(VLOOKUP($BD468,Programma!$F$3:$X$1107,19,0),"")</f>
        <v/>
      </c>
      <c r="BW468" s="300" t="str">
        <f>_xlfn.IFNA(VLOOKUP($BD468,Programma!$F$3:$Y$1107,20,0),"")</f>
        <v/>
      </c>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c r="GK468" s="4"/>
      <c r="GL468" s="4"/>
      <c r="GM468" s="4"/>
      <c r="GN468" s="4"/>
      <c r="GO468" s="4"/>
      <c r="GP468" s="4"/>
      <c r="GQ468" s="4"/>
      <c r="GR468" s="4"/>
      <c r="GS468" s="4"/>
      <c r="GT468" s="4"/>
      <c r="GU468" s="4"/>
      <c r="GV468" s="4"/>
      <c r="GW468" s="4"/>
      <c r="GX468" s="4"/>
      <c r="GY468" s="4"/>
      <c r="GZ468" s="4"/>
      <c r="HA468" s="4"/>
      <c r="HB468" s="4"/>
      <c r="HC468" s="4"/>
      <c r="HD468" s="4"/>
      <c r="HE468" s="4"/>
      <c r="HF468" s="4"/>
      <c r="HG468" s="4"/>
      <c r="HH468" s="4"/>
      <c r="HI468" s="4"/>
      <c r="HJ468" s="4"/>
      <c r="HK468" s="4"/>
      <c r="HL468" s="4"/>
    </row>
    <row r="469" spans="1:220" ht="15" customHeight="1">
      <c r="A469" s="21">
        <v>6</v>
      </c>
      <c r="B469" s="157" t="str">
        <f>VLOOKUP(Ruimtestaat[[#This Row],[Code]],Locaties[[Code]:[Locatie]],2,FALSE)</f>
        <v>Veurs Lyceum</v>
      </c>
      <c r="C469" s="157" t="str">
        <f>VLOOKUP(Ruimtestaat[[#This Row],[Code]],Locaties[[#All],[Code]:[Adres]],4,FALSE)</f>
        <v>Burg. Kolfschotenlaan 5</v>
      </c>
      <c r="D469" s="157" t="str">
        <f>VLOOKUP(Ruimtestaat[[#This Row],[Code]],Locaties[[#All],[Code]:[Postcode]],5,FALSE)</f>
        <v xml:space="preserve">2262 EZ </v>
      </c>
      <c r="E469" s="157" t="str">
        <f>VLOOKUP(Ruimtestaat[[#This Row],[Code]],Locaties[#All],6,FALSE)</f>
        <v>Leidschendam</v>
      </c>
      <c r="F469" s="62"/>
      <c r="G469" s="21" t="s">
        <v>1632</v>
      </c>
      <c r="H469" s="21">
        <v>43</v>
      </c>
      <c r="I469" s="62" t="s">
        <v>1635</v>
      </c>
      <c r="J469" s="21">
        <v>2</v>
      </c>
      <c r="K469" s="62" t="str">
        <f>VLOOKUP(Ruimtestaat[[#This Row],[Ruimte code]],Ruimtegroepen[[#All],[Code]:[Ruimte omschrijving]],2,FALSE)</f>
        <v>Kantoren</v>
      </c>
      <c r="L469" s="33" t="s">
        <v>101</v>
      </c>
      <c r="M469" s="367" t="s">
        <v>124</v>
      </c>
      <c r="N469" s="140">
        <v>18</v>
      </c>
      <c r="O469" s="140"/>
      <c r="P469" s="125" t="str">
        <f>VLOOKUP(Ruimtestaat[[#This Row],[Ruimte code]],Ruimtegroepen[],4,FALSE)</f>
        <v>Bu</v>
      </c>
      <c r="R469" s="33">
        <v>42</v>
      </c>
      <c r="S469" s="33" t="s">
        <v>18</v>
      </c>
      <c r="T469" s="33">
        <f>IF(R469&gt;0,IF(RIGHT(Ruimtestaat[[#This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69" s="33">
        <f>IF(T469&gt;0,VLOOKUP($J469,Ruimtegroepen[],3,FALSE)*VLOOKUP($L469,Vloersoorten[],3,FALSE)*VLOOKUP($S469,Frequenties[],3,FALSE)*VLOOKUP($A469,Locaties[],3,FALSE),0)</f>
        <v>0</v>
      </c>
      <c r="V469" s="33">
        <f>Ruimtestaat[[#This Row],[Uitvoeringen werkdagen]]*Ruimtestaat[[#This Row],[Oppervlak (netto)]]</f>
        <v>2268</v>
      </c>
      <c r="W469" s="154">
        <f>IF(U469&gt;0,Ruimtestaat[[#This Row],[Prest. (m2 /jaar) werkdagen]]/Ruimtestaat[[#This Row],[Norm (m2/uur) werkdagen]],0)</f>
        <v>0</v>
      </c>
      <c r="X469" s="155">
        <f>Ruimtestaat[[#This Row],[uren / jaar werkdagen]]*Tariefsopbouw!$E$35</f>
        <v>0</v>
      </c>
      <c r="Y469" s="33"/>
      <c r="Z469" s="33">
        <f>IF(Ruimtestaat[[#This Row],[Frequentie weekend]]&gt;0,VALUE(LEFT(Y469,1))*R469,0)</f>
        <v>0</v>
      </c>
      <c r="AA469" s="97">
        <f>IF($Z469&gt;0,VLOOKUP($J469,Ruimtegroepen[],3,FALSE)*VLOOKUP($L469,Vloersoorten[],3,FALSE)*VLOOKUP($Y469,Frequenties[],3,FALSE)*VLOOKUP(Ruimtestaat[[#This Row],[Code]],Locaties[],3,FALSE),0)</f>
        <v>0</v>
      </c>
      <c r="AB469" s="97">
        <f>Ruimtestaat[[#This Row],[Uitvoeringen weekend]]*Ruimtestaat[[#This Row],[Oppervlak (netto)]]</f>
        <v>0</v>
      </c>
      <c r="AC469" s="97">
        <f>IF(AA469&gt;0,Ruimtestaat[[#This Row],[Prest. (m2 /jaar) weekend]]/Ruimtestaat[[#This Row],[Norm (m2/uur) weekend]],0)</f>
        <v>0</v>
      </c>
      <c r="AD469" s="155">
        <f>Ruimtestaat[[#This Row],[uren / jaar weekend]]*Tariefsopbouw!$D$40</f>
        <v>0</v>
      </c>
      <c r="AE469" s="154">
        <f>Ruimtestaat[[#This Row],[Prest. (m2 /jaar) weekend]]+Ruimtestaat[[#This Row],[Prest. (m2 /jaar) werkdagen]]</f>
        <v>2268</v>
      </c>
      <c r="AF469" s="154">
        <f>Ruimtestaat[[#This Row],[uren / jaar weekend]]+Ruimtestaat[[#This Row],[uren / jaar werkdagen]]</f>
        <v>0</v>
      </c>
      <c r="AG469" s="69">
        <f>Ruimtestaat[[#This Row],[kosten / jaar weekend]]+Ruimtestaat[[#This Row],[kosten / jaar werkdagen]]</f>
        <v>0</v>
      </c>
      <c r="AH469" s="69"/>
      <c r="AI469" s="256" t="str">
        <f>IF(Ruimtestaat[[#This Row],[Frequentie werkdagen]]="","",_xlfn.CONCAT(Ruimtestaat[[#This Row],[Ruimte code]],"-",Ruimtestaat[[#This Row],[Frequentie werkdagen]]," ",Ruimtestaat[[#This Row],[Vloer code]]))</f>
        <v>2-3w L</v>
      </c>
      <c r="AJ469" s="300" t="str">
        <f>_xlfn.IFNA(VLOOKUP($AI469,Programma!$F$3:$G$1107,2,0),"")</f>
        <v>_</v>
      </c>
      <c r="AK469" s="300" t="str">
        <f>_xlfn.IFNA(VLOOKUP($AI469,Programma!$F$3:$H$1107,3,0),"")</f>
        <v>_</v>
      </c>
      <c r="AL469" s="300" t="str">
        <f>_xlfn.IFNA(VLOOKUP($AI469,Programma!$F$3:$I$1107,4,0),"")</f>
        <v>2w</v>
      </c>
      <c r="AM469" s="300" t="str">
        <f>_xlfn.IFNA(VLOOKUP($AI469,Programma!$F$3:$J$1107,5,0),"")</f>
        <v>1w</v>
      </c>
      <c r="AN469" s="300" t="str">
        <f>_xlfn.IFNA(VLOOKUP($AI469,Programma!$F$3:$K$1107,6,0),"")</f>
        <v>_</v>
      </c>
      <c r="AO469" s="300" t="str">
        <f>_xlfn.IFNA(VLOOKUP($AI469,Programma!$F$3:$L$1107,7,0),"")</f>
        <v>_</v>
      </c>
      <c r="AP469" s="300" t="str">
        <f>_xlfn.IFNA(VLOOKUP($AI469,Programma!$F$3:$M$1107,8,0),"")</f>
        <v>_</v>
      </c>
      <c r="AQ469" s="300" t="str">
        <f>_xlfn.IFNA(VLOOKUP($AI469,Programma!$F$3:$N$1107,9,0),"")</f>
        <v>_</v>
      </c>
      <c r="AR469" s="300" t="str">
        <f>_xlfn.IFNA(VLOOKUP($AI469,Programma!$F$3:$O$1107,10,0),"")</f>
        <v>3w</v>
      </c>
      <c r="AS469" s="300" t="str">
        <f>_xlfn.IFNA(VLOOKUP($AI469,Programma!$F$3:$P$1107,11,0),"")</f>
        <v>3w</v>
      </c>
      <c r="AT469" s="300" t="str">
        <f>_xlfn.IFNA(VLOOKUP($AI469,Programma!$F$3:$Q$1107,12,0),"")</f>
        <v>1w</v>
      </c>
      <c r="AU469" s="300" t="str">
        <f>_xlfn.IFNA(VLOOKUP($AI469,Programma!$F$3:$R$1107,13,0),"")</f>
        <v>1w</v>
      </c>
      <c r="AV469" s="300" t="str">
        <f>_xlfn.IFNA(VLOOKUP($AI469,Programma!$F$3:$S$1107,14,0),"")</f>
        <v>1m</v>
      </c>
      <c r="AW469" s="300" t="str">
        <f>_xlfn.IFNA(VLOOKUP($AI469,Programma!$F$3:$T$1107,15,0),"")</f>
        <v>2j</v>
      </c>
      <c r="AX469" s="300" t="str">
        <f>_xlfn.IFNA(VLOOKUP($AI469,Programma!$F$3:$U$1107,16,0),"")</f>
        <v>1j</v>
      </c>
      <c r="AY469" s="300" t="str">
        <f>_xlfn.IFNA(VLOOKUP($AI469,Programma!$F$3:$V$1107,17,0),"")</f>
        <v>_</v>
      </c>
      <c r="AZ469" s="300" t="str">
        <f>_xlfn.IFNA(VLOOKUP($AI469,Programma!$F$3:$W$1107,18,0),"")</f>
        <v>_</v>
      </c>
      <c r="BA469" s="300" t="str">
        <f>_xlfn.IFNA(VLOOKUP($AI469,Programma!$F$3:$X$1107,19,0),"")</f>
        <v>_</v>
      </c>
      <c r="BB469" s="300" t="str">
        <f>_xlfn.IFNA(VLOOKUP($AI469,Programma!$F$3:$Y$1107,20,0),"")</f>
        <v>_</v>
      </c>
      <c r="BC469" s="257"/>
      <c r="BD469" s="256" t="str">
        <f>IF(Ruimtestaat[[#This Row],[Frequentie weekend]]="","",_xlfn.CONCAT(Ruimtestaat[[#This Row],[Ruimte code]],"-",Ruimtestaat[[#This Row],[Frequentie weekend]]," ",Ruimtestaat[[#This Row],[Vloer code]]))</f>
        <v/>
      </c>
      <c r="BE469" s="300" t="str">
        <f>_xlfn.IFNA(VLOOKUP($BD469,Programma!$F$3:$G$1107,2,0),"")</f>
        <v/>
      </c>
      <c r="BF469" s="300" t="str">
        <f>_xlfn.IFNA(VLOOKUP($BD469,Programma!$F$3:$H$1107,3,0),"")</f>
        <v/>
      </c>
      <c r="BG469" s="300" t="str">
        <f>_xlfn.IFNA(VLOOKUP($BD469,Programma!$F$3:$I$1107,4,0),"")</f>
        <v/>
      </c>
      <c r="BH469" s="300" t="str">
        <f>_xlfn.IFNA(VLOOKUP($BD469,Programma!$F$3:$J$1107,5,0),"")</f>
        <v/>
      </c>
      <c r="BI469" s="300" t="str">
        <f>_xlfn.IFNA(VLOOKUP($BD469,Programma!$F$3:$K$1107,6,0),"")</f>
        <v/>
      </c>
      <c r="BJ469" s="300" t="str">
        <f>_xlfn.IFNA(VLOOKUP($BD469,Programma!$F$3:$L$1107,7,0),"")</f>
        <v/>
      </c>
      <c r="BK469" s="300" t="str">
        <f>_xlfn.IFNA(VLOOKUP($BD469,Programma!$F$3:$M$1107,8,0),"")</f>
        <v/>
      </c>
      <c r="BL469" s="300" t="str">
        <f>_xlfn.IFNA(VLOOKUP($BD469,Programma!$F$3:$N$1107,9,0),"")</f>
        <v/>
      </c>
      <c r="BM469" s="300" t="str">
        <f>_xlfn.IFNA(VLOOKUP($BD469,Programma!$F$3:$O$1107,10,0),"")</f>
        <v/>
      </c>
      <c r="BN469" s="300" t="str">
        <f>_xlfn.IFNA(VLOOKUP($BD469,Programma!$F$3:$P$1107,11,0),"")</f>
        <v/>
      </c>
      <c r="BO469" s="300" t="str">
        <f>_xlfn.IFNA(VLOOKUP($BD469,Programma!$F$3:$Q$1107,12,0),"")</f>
        <v/>
      </c>
      <c r="BP469" s="300" t="str">
        <f>_xlfn.IFNA(VLOOKUP($BD469,Programma!$F$3:$R$1107,13,0),"")</f>
        <v/>
      </c>
      <c r="BQ469" s="300" t="str">
        <f>_xlfn.IFNA(VLOOKUP($BD469,Programma!$F$3:$S$1107,14,0),"")</f>
        <v/>
      </c>
      <c r="BR469" s="300" t="str">
        <f>_xlfn.IFNA(VLOOKUP($BD469,Programma!$F$3:$T$1107,15,0),"")</f>
        <v/>
      </c>
      <c r="BS469" s="300" t="str">
        <f>_xlfn.IFNA(VLOOKUP($BD469,Programma!$F$3:$U$1107,16,0),"")</f>
        <v/>
      </c>
      <c r="BT469" s="300" t="str">
        <f>_xlfn.IFNA(VLOOKUP($BD469,Programma!$F$3:$V$1107,17,0),"")</f>
        <v/>
      </c>
      <c r="BU469" s="300" t="str">
        <f>_xlfn.IFNA(VLOOKUP($BD469,Programma!$F$3:$W$1107,18,0),"")</f>
        <v/>
      </c>
      <c r="BV469" s="300" t="str">
        <f>_xlfn.IFNA(VLOOKUP($BD469,Programma!$F$3:$X$1107,19,0),"")</f>
        <v/>
      </c>
      <c r="BW469" s="300" t="str">
        <f>_xlfn.IFNA(VLOOKUP($BD469,Programma!$F$3:$Y$1107,20,0),"")</f>
        <v/>
      </c>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c r="GK469" s="4"/>
      <c r="GL469" s="4"/>
      <c r="GM469" s="4"/>
      <c r="GN469" s="4"/>
      <c r="GO469" s="4"/>
      <c r="GP469" s="4"/>
      <c r="GQ469" s="4"/>
      <c r="GR469" s="4"/>
      <c r="GS469" s="4"/>
      <c r="GT469" s="4"/>
      <c r="GU469" s="4"/>
      <c r="GV469" s="4"/>
      <c r="GW469" s="4"/>
      <c r="GX469" s="4"/>
      <c r="GY469" s="4"/>
      <c r="GZ469" s="4"/>
      <c r="HA469" s="4"/>
      <c r="HB469" s="4"/>
      <c r="HC469" s="4"/>
      <c r="HD469" s="4"/>
      <c r="HE469" s="4"/>
      <c r="HF469" s="4"/>
      <c r="HG469" s="4"/>
      <c r="HH469" s="4"/>
      <c r="HI469" s="4"/>
      <c r="HJ469" s="4"/>
      <c r="HK469" s="4"/>
      <c r="HL469" s="4"/>
    </row>
    <row r="470" spans="1:220" ht="15" customHeight="1">
      <c r="A470" s="21">
        <v>6</v>
      </c>
      <c r="B470" s="157" t="str">
        <f>VLOOKUP(Ruimtestaat[[#This Row],[Code]],Locaties[[Code]:[Locatie]],2,FALSE)</f>
        <v>Veurs Lyceum</v>
      </c>
      <c r="C470" s="157" t="str">
        <f>VLOOKUP(Ruimtestaat[[#This Row],[Code]],Locaties[[#All],[Code]:[Adres]],4,FALSE)</f>
        <v>Burg. Kolfschotenlaan 5</v>
      </c>
      <c r="D470" s="157" t="str">
        <f>VLOOKUP(Ruimtestaat[[#This Row],[Code]],Locaties[[#All],[Code]:[Postcode]],5,FALSE)</f>
        <v xml:space="preserve">2262 EZ </v>
      </c>
      <c r="E470" s="157" t="str">
        <f>VLOOKUP(Ruimtestaat[[#This Row],[Code]],Locaties[#All],6,FALSE)</f>
        <v>Leidschendam</v>
      </c>
      <c r="F470" s="62"/>
      <c r="G470" s="21" t="s">
        <v>1632</v>
      </c>
      <c r="H470" s="21">
        <v>44</v>
      </c>
      <c r="I470" s="62" t="s">
        <v>2101</v>
      </c>
      <c r="J470" s="21">
        <v>1</v>
      </c>
      <c r="K470" s="62" t="str">
        <f>VLOOKUP(Ruimtestaat[[#This Row],[Ruimte code]],Ruimtegroepen[[#All],[Code]:[Ruimte omschrijving]],2,FALSE)</f>
        <v>Magazijnen/bergingen</v>
      </c>
      <c r="L470" s="33" t="s">
        <v>102</v>
      </c>
      <c r="M470" s="367" t="s">
        <v>2509</v>
      </c>
      <c r="N470" s="140">
        <v>7</v>
      </c>
      <c r="O470" s="140"/>
      <c r="P470" s="125" t="str">
        <f>VLOOKUP(Ruimtestaat[[#This Row],[Ruimte code]],Ruimtegroepen[],4,FALSE)</f>
        <v>Ve</v>
      </c>
      <c r="R470" s="33">
        <v>40</v>
      </c>
      <c r="S470" s="33" t="s">
        <v>16</v>
      </c>
      <c r="T470" s="33">
        <f>IF(R470&gt;0,IF(RIGHT(Ruimtestaat[[#This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70" s="33">
        <f>IF(T470&gt;0,VLOOKUP($J470,Ruimtegroepen[],3,FALSE)*VLOOKUP($L470,Vloersoorten[],3,FALSE)*VLOOKUP($S470,Frequenties[],3,FALSE)*VLOOKUP($A470,Locaties[],3,FALSE),0)</f>
        <v>0</v>
      </c>
      <c r="V470" s="33">
        <f>Ruimtestaat[[#This Row],[Uitvoeringen werkdagen]]*Ruimtestaat[[#This Row],[Oppervlak (netto)]]</f>
        <v>84</v>
      </c>
      <c r="W470" s="154">
        <f>IF(U470&gt;0,Ruimtestaat[[#This Row],[Prest. (m2 /jaar) werkdagen]]/Ruimtestaat[[#This Row],[Norm (m2/uur) werkdagen]],0)</f>
        <v>0</v>
      </c>
      <c r="X470" s="155">
        <f>Ruimtestaat[[#This Row],[uren / jaar werkdagen]]*Tariefsopbouw!$E$35</f>
        <v>0</v>
      </c>
      <c r="Y470" s="33"/>
      <c r="Z470" s="33">
        <f>IF(Ruimtestaat[[#This Row],[Frequentie weekend]]&gt;0,VALUE(LEFT(Y470,1))*R470,0)</f>
        <v>0</v>
      </c>
      <c r="AA470" s="97">
        <f>IF($Z470&gt;0,VLOOKUP($J470,Ruimtegroepen[],3,FALSE)*VLOOKUP($L470,Vloersoorten[],3,FALSE)*VLOOKUP($Y470,Frequenties[],3,FALSE)*VLOOKUP(Ruimtestaat[[#This Row],[Code]],Locaties[],3,FALSE),0)</f>
        <v>0</v>
      </c>
      <c r="AB470" s="97">
        <f>Ruimtestaat[[#This Row],[Uitvoeringen weekend]]*Ruimtestaat[[#This Row],[Oppervlak (netto)]]</f>
        <v>0</v>
      </c>
      <c r="AC470" s="97">
        <f>IF(AA470&gt;0,Ruimtestaat[[#This Row],[Prest. (m2 /jaar) weekend]]/Ruimtestaat[[#This Row],[Norm (m2/uur) weekend]],0)</f>
        <v>0</v>
      </c>
      <c r="AD470" s="155">
        <f>Ruimtestaat[[#This Row],[uren / jaar weekend]]*Tariefsopbouw!$D$40</f>
        <v>0</v>
      </c>
      <c r="AE470" s="154">
        <f>Ruimtestaat[[#This Row],[Prest. (m2 /jaar) weekend]]+Ruimtestaat[[#This Row],[Prest. (m2 /jaar) werkdagen]]</f>
        <v>84</v>
      </c>
      <c r="AF470" s="154">
        <f>Ruimtestaat[[#This Row],[uren / jaar weekend]]+Ruimtestaat[[#This Row],[uren / jaar werkdagen]]</f>
        <v>0</v>
      </c>
      <c r="AG470" s="69">
        <f>Ruimtestaat[[#This Row],[kosten / jaar weekend]]+Ruimtestaat[[#This Row],[kosten / jaar werkdagen]]</f>
        <v>0</v>
      </c>
      <c r="AH470" s="69"/>
      <c r="AI470" s="256" t="str">
        <f>IF(Ruimtestaat[[#This Row],[Frequentie werkdagen]]="","",_xlfn.CONCAT(Ruimtestaat[[#This Row],[Ruimte code]],"-",Ruimtestaat[[#This Row],[Frequentie werkdagen]]," ",Ruimtestaat[[#This Row],[Vloer code]]))</f>
        <v>1-1m S</v>
      </c>
      <c r="AJ470" s="300" t="str">
        <f>_xlfn.IFNA(VLOOKUP($AI470,Programma!$F$3:$G$1107,2,0),"")</f>
        <v>_</v>
      </c>
      <c r="AK470" s="300" t="str">
        <f>_xlfn.IFNA(VLOOKUP($AI470,Programma!$F$3:$H$1107,3,0),"")</f>
        <v>_</v>
      </c>
      <c r="AL470" s="300" t="str">
        <f>_xlfn.IFNA(VLOOKUP($AI470,Programma!$F$3:$I$1107,4,0),"")</f>
        <v>_</v>
      </c>
      <c r="AM470" s="300" t="str">
        <f>_xlfn.IFNA(VLOOKUP($AI470,Programma!$F$3:$J$1107,5,0),"")</f>
        <v>1m</v>
      </c>
      <c r="AN470" s="300" t="str">
        <f>_xlfn.IFNA(VLOOKUP($AI470,Programma!$F$3:$K$1107,6,0),"")</f>
        <v>1j</v>
      </c>
      <c r="AO470" s="300" t="str">
        <f>_xlfn.IFNA(VLOOKUP($AI470,Programma!$F$3:$L$1107,7,0),"")</f>
        <v>_</v>
      </c>
      <c r="AP470" s="300" t="str">
        <f>_xlfn.IFNA(VLOOKUP($AI470,Programma!$F$3:$M$1107,8,0),"")</f>
        <v>_</v>
      </c>
      <c r="AQ470" s="300" t="str">
        <f>_xlfn.IFNA(VLOOKUP($AI470,Programma!$F$3:$N$1107,9,0),"")</f>
        <v>_</v>
      </c>
      <c r="AR470" s="300" t="str">
        <f>_xlfn.IFNA(VLOOKUP($AI470,Programma!$F$3:$O$1107,10,0),"")</f>
        <v>_</v>
      </c>
      <c r="AS470" s="300" t="str">
        <f>_xlfn.IFNA(VLOOKUP($AI470,Programma!$F$3:$P$1107,11,0),"")</f>
        <v>_</v>
      </c>
      <c r="AT470" s="300" t="str">
        <f>_xlfn.IFNA(VLOOKUP($AI470,Programma!$F$3:$Q$1107,12,0),"")</f>
        <v>_</v>
      </c>
      <c r="AU470" s="300" t="str">
        <f>_xlfn.IFNA(VLOOKUP($AI470,Programma!$F$3:$R$1107,13,0),"")</f>
        <v>_</v>
      </c>
      <c r="AV470" s="300" t="str">
        <f>_xlfn.IFNA(VLOOKUP($AI470,Programma!$F$3:$S$1107,14,0),"")</f>
        <v>1m</v>
      </c>
      <c r="AW470" s="300" t="str">
        <f>_xlfn.IFNA(VLOOKUP($AI470,Programma!$F$3:$T$1107,15,0),"")</f>
        <v>4j</v>
      </c>
      <c r="AX470" s="300" t="str">
        <f>_xlfn.IFNA(VLOOKUP($AI470,Programma!$F$3:$U$1107,16,0),"")</f>
        <v>4j</v>
      </c>
      <c r="AY470" s="300" t="str">
        <f>_xlfn.IFNA(VLOOKUP($AI470,Programma!$F$3:$V$1107,17,0),"")</f>
        <v>_</v>
      </c>
      <c r="AZ470" s="300" t="str">
        <f>_xlfn.IFNA(VLOOKUP($AI470,Programma!$F$3:$W$1107,18,0),"")</f>
        <v>_</v>
      </c>
      <c r="BA470" s="300" t="str">
        <f>_xlfn.IFNA(VLOOKUP($AI470,Programma!$F$3:$X$1107,19,0),"")</f>
        <v>_</v>
      </c>
      <c r="BB470" s="300" t="str">
        <f>_xlfn.IFNA(VLOOKUP($AI470,Programma!$F$3:$Y$1107,20,0),"")</f>
        <v>_</v>
      </c>
      <c r="BC470" s="257"/>
      <c r="BD470" s="256" t="str">
        <f>IF(Ruimtestaat[[#This Row],[Frequentie weekend]]="","",_xlfn.CONCAT(Ruimtestaat[[#This Row],[Ruimte code]],"-",Ruimtestaat[[#This Row],[Frequentie weekend]]," ",Ruimtestaat[[#This Row],[Vloer code]]))</f>
        <v/>
      </c>
      <c r="BE470" s="300" t="str">
        <f>_xlfn.IFNA(VLOOKUP($BD470,Programma!$F$3:$G$1107,2,0),"")</f>
        <v/>
      </c>
      <c r="BF470" s="300" t="str">
        <f>_xlfn.IFNA(VLOOKUP($BD470,Programma!$F$3:$H$1107,3,0),"")</f>
        <v/>
      </c>
      <c r="BG470" s="300" t="str">
        <f>_xlfn.IFNA(VLOOKUP($BD470,Programma!$F$3:$I$1107,4,0),"")</f>
        <v/>
      </c>
      <c r="BH470" s="300" t="str">
        <f>_xlfn.IFNA(VLOOKUP($BD470,Programma!$F$3:$J$1107,5,0),"")</f>
        <v/>
      </c>
      <c r="BI470" s="300" t="str">
        <f>_xlfn.IFNA(VLOOKUP($BD470,Programma!$F$3:$K$1107,6,0),"")</f>
        <v/>
      </c>
      <c r="BJ470" s="300" t="str">
        <f>_xlfn.IFNA(VLOOKUP($BD470,Programma!$F$3:$L$1107,7,0),"")</f>
        <v/>
      </c>
      <c r="BK470" s="300" t="str">
        <f>_xlfn.IFNA(VLOOKUP($BD470,Programma!$F$3:$M$1107,8,0),"")</f>
        <v/>
      </c>
      <c r="BL470" s="300" t="str">
        <f>_xlfn.IFNA(VLOOKUP($BD470,Programma!$F$3:$N$1107,9,0),"")</f>
        <v/>
      </c>
      <c r="BM470" s="300" t="str">
        <f>_xlfn.IFNA(VLOOKUP($BD470,Programma!$F$3:$O$1107,10,0),"")</f>
        <v/>
      </c>
      <c r="BN470" s="300" t="str">
        <f>_xlfn.IFNA(VLOOKUP($BD470,Programma!$F$3:$P$1107,11,0),"")</f>
        <v/>
      </c>
      <c r="BO470" s="300" t="str">
        <f>_xlfn.IFNA(VLOOKUP($BD470,Programma!$F$3:$Q$1107,12,0),"")</f>
        <v/>
      </c>
      <c r="BP470" s="300" t="str">
        <f>_xlfn.IFNA(VLOOKUP($BD470,Programma!$F$3:$R$1107,13,0),"")</f>
        <v/>
      </c>
      <c r="BQ470" s="300" t="str">
        <f>_xlfn.IFNA(VLOOKUP($BD470,Programma!$F$3:$S$1107,14,0),"")</f>
        <v/>
      </c>
      <c r="BR470" s="300" t="str">
        <f>_xlfn.IFNA(VLOOKUP($BD470,Programma!$F$3:$T$1107,15,0),"")</f>
        <v/>
      </c>
      <c r="BS470" s="300" t="str">
        <f>_xlfn.IFNA(VLOOKUP($BD470,Programma!$F$3:$U$1107,16,0),"")</f>
        <v/>
      </c>
      <c r="BT470" s="300" t="str">
        <f>_xlfn.IFNA(VLOOKUP($BD470,Programma!$F$3:$V$1107,17,0),"")</f>
        <v/>
      </c>
      <c r="BU470" s="300" t="str">
        <f>_xlfn.IFNA(VLOOKUP($BD470,Programma!$F$3:$W$1107,18,0),"")</f>
        <v/>
      </c>
      <c r="BV470" s="300" t="str">
        <f>_xlfn.IFNA(VLOOKUP($BD470,Programma!$F$3:$X$1107,19,0),"")</f>
        <v/>
      </c>
      <c r="BW470" s="300" t="str">
        <f>_xlfn.IFNA(VLOOKUP($BD470,Programma!$F$3:$Y$1107,20,0),"")</f>
        <v/>
      </c>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c r="GK470" s="4"/>
      <c r="GL470" s="4"/>
      <c r="GM470" s="4"/>
      <c r="GN470" s="4"/>
      <c r="GO470" s="4"/>
      <c r="GP470" s="4"/>
      <c r="GQ470" s="4"/>
      <c r="GR470" s="4"/>
      <c r="GS470" s="4"/>
      <c r="GT470" s="4"/>
      <c r="GU470" s="4"/>
      <c r="GV470" s="4"/>
      <c r="GW470" s="4"/>
      <c r="GX470" s="4"/>
      <c r="GY470" s="4"/>
      <c r="GZ470" s="4"/>
      <c r="HA470" s="4"/>
      <c r="HB470" s="4"/>
      <c r="HC470" s="4"/>
      <c r="HD470" s="4"/>
      <c r="HE470" s="4"/>
      <c r="HF470" s="4"/>
      <c r="HG470" s="4"/>
      <c r="HH470" s="4"/>
      <c r="HI470" s="4"/>
      <c r="HJ470" s="4"/>
      <c r="HK470" s="4"/>
      <c r="HL470" s="4"/>
    </row>
    <row r="471" spans="1:220" ht="15" customHeight="1">
      <c r="A471" s="21">
        <v>6</v>
      </c>
      <c r="B471" s="157" t="str">
        <f>VLOOKUP(Ruimtestaat[[#This Row],[Code]],Locaties[[Code]:[Locatie]],2,FALSE)</f>
        <v>Veurs Lyceum</v>
      </c>
      <c r="C471" s="157" t="str">
        <f>VLOOKUP(Ruimtestaat[[#This Row],[Code]],Locaties[[#All],[Code]:[Adres]],4,FALSE)</f>
        <v>Burg. Kolfschotenlaan 5</v>
      </c>
      <c r="D471" s="157" t="str">
        <f>VLOOKUP(Ruimtestaat[[#This Row],[Code]],Locaties[[#All],[Code]:[Postcode]],5,FALSE)</f>
        <v xml:space="preserve">2262 EZ </v>
      </c>
      <c r="E471" s="157" t="str">
        <f>VLOOKUP(Ruimtestaat[[#This Row],[Code]],Locaties[#All],6,FALSE)</f>
        <v>Leidschendam</v>
      </c>
      <c r="F471" s="62"/>
      <c r="G471" s="21" t="s">
        <v>1632</v>
      </c>
      <c r="H471" s="21">
        <v>45</v>
      </c>
      <c r="I471" s="62" t="s">
        <v>1636</v>
      </c>
      <c r="J471" s="21">
        <v>12</v>
      </c>
      <c r="K471" s="62" t="str">
        <f>VLOOKUP(Ruimtestaat[[#This Row],[Ruimte code]],Ruimtegroepen[[#All],[Code]:[Ruimte omschrijving]],2,FALSE)</f>
        <v>Kantine</v>
      </c>
      <c r="L471" s="33" t="s">
        <v>102</v>
      </c>
      <c r="M471" s="367" t="s">
        <v>2520</v>
      </c>
      <c r="N471" s="140">
        <v>92</v>
      </c>
      <c r="O471" s="140"/>
      <c r="P471" s="125" t="str">
        <f>VLOOKUP(Ruimtestaat[[#This Row],[Ruimte code]],Ruimtegroepen[],4,FALSE)</f>
        <v>Ve</v>
      </c>
      <c r="R471" s="33">
        <v>40</v>
      </c>
      <c r="S471" s="33" t="s">
        <v>2</v>
      </c>
      <c r="T471" s="33">
        <f>IF(R471&gt;0,IF(RIGHT(Ruimtestaat[[#This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1" s="33">
        <f>IF(T471&gt;0,VLOOKUP($J471,Ruimtegroepen[],3,FALSE)*VLOOKUP($L471,Vloersoorten[],3,FALSE)*VLOOKUP($S471,Frequenties[],3,FALSE)*VLOOKUP($A471,Locaties[],3,FALSE),0)</f>
        <v>0</v>
      </c>
      <c r="V471" s="33">
        <f>Ruimtestaat[[#This Row],[Uitvoeringen werkdagen]]*Ruimtestaat[[#This Row],[Oppervlak (netto)]]</f>
        <v>18400</v>
      </c>
      <c r="W471" s="154">
        <f>IF(U471&gt;0,Ruimtestaat[[#This Row],[Prest. (m2 /jaar) werkdagen]]/Ruimtestaat[[#This Row],[Norm (m2/uur) werkdagen]],0)</f>
        <v>0</v>
      </c>
      <c r="X471" s="155">
        <f>Ruimtestaat[[#This Row],[uren / jaar werkdagen]]*Tariefsopbouw!$E$35</f>
        <v>0</v>
      </c>
      <c r="Y471" s="33"/>
      <c r="Z471" s="33">
        <f>IF(Ruimtestaat[[#This Row],[Frequentie weekend]]&gt;0,VALUE(LEFT(Y471,1))*R471,0)</f>
        <v>0</v>
      </c>
      <c r="AA471" s="97">
        <f>IF($Z471&gt;0,VLOOKUP($J471,Ruimtegroepen[],3,FALSE)*VLOOKUP($L471,Vloersoorten[],3,FALSE)*VLOOKUP($Y471,Frequenties[],3,FALSE)*VLOOKUP(Ruimtestaat[[#This Row],[Code]],Locaties[],3,FALSE),0)</f>
        <v>0</v>
      </c>
      <c r="AB471" s="97">
        <f>Ruimtestaat[[#This Row],[Uitvoeringen weekend]]*Ruimtestaat[[#This Row],[Oppervlak (netto)]]</f>
        <v>0</v>
      </c>
      <c r="AC471" s="97">
        <f>IF(AA471&gt;0,Ruimtestaat[[#This Row],[Prest. (m2 /jaar) weekend]]/Ruimtestaat[[#This Row],[Norm (m2/uur) weekend]],0)</f>
        <v>0</v>
      </c>
      <c r="AD471" s="155">
        <f>Ruimtestaat[[#This Row],[uren / jaar weekend]]*Tariefsopbouw!$D$40</f>
        <v>0</v>
      </c>
      <c r="AE471" s="154">
        <f>Ruimtestaat[[#This Row],[Prest. (m2 /jaar) weekend]]+Ruimtestaat[[#This Row],[Prest. (m2 /jaar) werkdagen]]</f>
        <v>18400</v>
      </c>
      <c r="AF471" s="154">
        <f>Ruimtestaat[[#This Row],[uren / jaar weekend]]+Ruimtestaat[[#This Row],[uren / jaar werkdagen]]</f>
        <v>0</v>
      </c>
      <c r="AG471" s="69">
        <f>Ruimtestaat[[#This Row],[kosten / jaar weekend]]+Ruimtestaat[[#This Row],[kosten / jaar werkdagen]]</f>
        <v>0</v>
      </c>
      <c r="AH471" s="69"/>
      <c r="AI471" s="256" t="str">
        <f>IF(Ruimtestaat[[#This Row],[Frequentie werkdagen]]="","",_xlfn.CONCAT(Ruimtestaat[[#This Row],[Ruimte code]],"-",Ruimtestaat[[#This Row],[Frequentie werkdagen]]," ",Ruimtestaat[[#This Row],[Vloer code]]))</f>
        <v>12-5w S</v>
      </c>
      <c r="AJ471" s="300" t="str">
        <f>_xlfn.IFNA(VLOOKUP($AI471,Programma!$F$3:$G$1107,2,0),"")</f>
        <v>_</v>
      </c>
      <c r="AK471" s="300" t="str">
        <f>_xlfn.IFNA(VLOOKUP($AI471,Programma!$F$3:$H$1107,3,0),"")</f>
        <v>_</v>
      </c>
      <c r="AL471" s="300" t="str">
        <f>_xlfn.IFNA(VLOOKUP($AI471,Programma!$F$3:$I$1107,4,0),"")</f>
        <v>5w</v>
      </c>
      <c r="AM471" s="300" t="str">
        <f>_xlfn.IFNA(VLOOKUP($AI471,Programma!$F$3:$J$1107,5,0),"")</f>
        <v>_</v>
      </c>
      <c r="AN471" s="300" t="str">
        <f>_xlfn.IFNA(VLOOKUP($AI471,Programma!$F$3:$K$1107,6,0),"")</f>
        <v>5w</v>
      </c>
      <c r="AO471" s="300" t="str">
        <f>_xlfn.IFNA(VLOOKUP($AI471,Programma!$F$3:$L$1107,7,0),"")</f>
        <v>_</v>
      </c>
      <c r="AP471" s="300" t="str">
        <f>_xlfn.IFNA(VLOOKUP($AI471,Programma!$F$3:$M$1107,8,0),"")</f>
        <v>_</v>
      </c>
      <c r="AQ471" s="300" t="str">
        <f>_xlfn.IFNA(VLOOKUP($AI471,Programma!$F$3:$N$1107,9,0),"")</f>
        <v>_</v>
      </c>
      <c r="AR471" s="300" t="str">
        <f>_xlfn.IFNA(VLOOKUP($AI471,Programma!$F$3:$O$1107,10,0),"")</f>
        <v>5w</v>
      </c>
      <c r="AS471" s="300" t="str">
        <f>_xlfn.IFNA(VLOOKUP($AI471,Programma!$F$3:$P$1107,11,0),"")</f>
        <v>5w</v>
      </c>
      <c r="AT471" s="300" t="str">
        <f>_xlfn.IFNA(VLOOKUP($AI471,Programma!$F$3:$Q$1107,12,0),"")</f>
        <v>1w</v>
      </c>
      <c r="AU471" s="300" t="str">
        <f>_xlfn.IFNA(VLOOKUP($AI471,Programma!$F$3:$R$1107,13,0),"")</f>
        <v>1w</v>
      </c>
      <c r="AV471" s="300" t="str">
        <f>_xlfn.IFNA(VLOOKUP($AI471,Programma!$F$3:$S$1107,14,0),"")</f>
        <v>1m</v>
      </c>
      <c r="AW471" s="300" t="str">
        <f>_xlfn.IFNA(VLOOKUP($AI471,Programma!$F$3:$T$1107,15,0),"")</f>
        <v>2j</v>
      </c>
      <c r="AX471" s="300" t="str">
        <f>_xlfn.IFNA(VLOOKUP($AI471,Programma!$F$3:$U$1107,16,0),"")</f>
        <v>1j</v>
      </c>
      <c r="AY471" s="300" t="str">
        <f>_xlfn.IFNA(VLOOKUP($AI471,Programma!$F$3:$V$1107,17,0),"")</f>
        <v>_</v>
      </c>
      <c r="AZ471" s="300" t="str">
        <f>_xlfn.IFNA(VLOOKUP($AI471,Programma!$F$3:$W$1107,18,0),"")</f>
        <v>_</v>
      </c>
      <c r="BA471" s="300" t="str">
        <f>_xlfn.IFNA(VLOOKUP($AI471,Programma!$F$3:$X$1107,19,0),"")</f>
        <v>_</v>
      </c>
      <c r="BB471" s="300" t="str">
        <f>_xlfn.IFNA(VLOOKUP($AI471,Programma!$F$3:$Y$1107,20,0),"")</f>
        <v>_</v>
      </c>
      <c r="BC471" s="257"/>
      <c r="BD471" s="256" t="str">
        <f>IF(Ruimtestaat[[#This Row],[Frequentie weekend]]="","",_xlfn.CONCAT(Ruimtestaat[[#This Row],[Ruimte code]],"-",Ruimtestaat[[#This Row],[Frequentie weekend]]," ",Ruimtestaat[[#This Row],[Vloer code]]))</f>
        <v/>
      </c>
      <c r="BE471" s="300" t="str">
        <f>_xlfn.IFNA(VLOOKUP($BD471,Programma!$F$3:$G$1107,2,0),"")</f>
        <v/>
      </c>
      <c r="BF471" s="300" t="str">
        <f>_xlfn.IFNA(VLOOKUP($BD471,Programma!$F$3:$H$1107,3,0),"")</f>
        <v/>
      </c>
      <c r="BG471" s="300" t="str">
        <f>_xlfn.IFNA(VLOOKUP($BD471,Programma!$F$3:$I$1107,4,0),"")</f>
        <v/>
      </c>
      <c r="BH471" s="300" t="str">
        <f>_xlfn.IFNA(VLOOKUP($BD471,Programma!$F$3:$J$1107,5,0),"")</f>
        <v/>
      </c>
      <c r="BI471" s="300" t="str">
        <f>_xlfn.IFNA(VLOOKUP($BD471,Programma!$F$3:$K$1107,6,0),"")</f>
        <v/>
      </c>
      <c r="BJ471" s="300" t="str">
        <f>_xlfn.IFNA(VLOOKUP($BD471,Programma!$F$3:$L$1107,7,0),"")</f>
        <v/>
      </c>
      <c r="BK471" s="300" t="str">
        <f>_xlfn.IFNA(VLOOKUP($BD471,Programma!$F$3:$M$1107,8,0),"")</f>
        <v/>
      </c>
      <c r="BL471" s="300" t="str">
        <f>_xlfn.IFNA(VLOOKUP($BD471,Programma!$F$3:$N$1107,9,0),"")</f>
        <v/>
      </c>
      <c r="BM471" s="300" t="str">
        <f>_xlfn.IFNA(VLOOKUP($BD471,Programma!$F$3:$O$1107,10,0),"")</f>
        <v/>
      </c>
      <c r="BN471" s="300" t="str">
        <f>_xlfn.IFNA(VLOOKUP($BD471,Programma!$F$3:$P$1107,11,0),"")</f>
        <v/>
      </c>
      <c r="BO471" s="300" t="str">
        <f>_xlfn.IFNA(VLOOKUP($BD471,Programma!$F$3:$Q$1107,12,0),"")</f>
        <v/>
      </c>
      <c r="BP471" s="300" t="str">
        <f>_xlfn.IFNA(VLOOKUP($BD471,Programma!$F$3:$R$1107,13,0),"")</f>
        <v/>
      </c>
      <c r="BQ471" s="300" t="str">
        <f>_xlfn.IFNA(VLOOKUP($BD471,Programma!$F$3:$S$1107,14,0),"")</f>
        <v/>
      </c>
      <c r="BR471" s="300" t="str">
        <f>_xlfn.IFNA(VLOOKUP($BD471,Programma!$F$3:$T$1107,15,0),"")</f>
        <v/>
      </c>
      <c r="BS471" s="300" t="str">
        <f>_xlfn.IFNA(VLOOKUP($BD471,Programma!$F$3:$U$1107,16,0),"")</f>
        <v/>
      </c>
      <c r="BT471" s="300" t="str">
        <f>_xlfn.IFNA(VLOOKUP($BD471,Programma!$F$3:$V$1107,17,0),"")</f>
        <v/>
      </c>
      <c r="BU471" s="300" t="str">
        <f>_xlfn.IFNA(VLOOKUP($BD471,Programma!$F$3:$W$1107,18,0),"")</f>
        <v/>
      </c>
      <c r="BV471" s="300" t="str">
        <f>_xlfn.IFNA(VLOOKUP($BD471,Programma!$F$3:$X$1107,19,0),"")</f>
        <v/>
      </c>
      <c r="BW471" s="300" t="str">
        <f>_xlfn.IFNA(VLOOKUP($BD471,Programma!$F$3:$Y$1107,20,0),"")</f>
        <v/>
      </c>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c r="GK471" s="4"/>
      <c r="GL471" s="4"/>
      <c r="GM471" s="4"/>
      <c r="GN471" s="4"/>
      <c r="GO471" s="4"/>
      <c r="GP471" s="4"/>
      <c r="GQ471" s="4"/>
      <c r="GR471" s="4"/>
      <c r="GS471" s="4"/>
      <c r="GT471" s="4"/>
      <c r="GU471" s="4"/>
      <c r="GV471" s="4"/>
      <c r="GW471" s="4"/>
      <c r="GX471" s="4"/>
      <c r="GY471" s="4"/>
      <c r="GZ471" s="4"/>
      <c r="HA471" s="4"/>
      <c r="HB471" s="4"/>
      <c r="HC471" s="4"/>
      <c r="HD471" s="4"/>
      <c r="HE471" s="4"/>
      <c r="HF471" s="4"/>
      <c r="HG471" s="4"/>
      <c r="HH471" s="4"/>
      <c r="HI471" s="4"/>
      <c r="HJ471" s="4"/>
      <c r="HK471" s="4"/>
      <c r="HL471" s="4"/>
    </row>
    <row r="472" spans="1:220" ht="15" customHeight="1">
      <c r="A472" s="21">
        <v>6</v>
      </c>
      <c r="B472" s="157" t="str">
        <f>VLOOKUP(Ruimtestaat[[#This Row],[Code]],Locaties[[Code]:[Locatie]],2,FALSE)</f>
        <v>Veurs Lyceum</v>
      </c>
      <c r="C472" s="157" t="str">
        <f>VLOOKUP(Ruimtestaat[[#This Row],[Code]],Locaties[[#All],[Code]:[Adres]],4,FALSE)</f>
        <v>Burg. Kolfschotenlaan 5</v>
      </c>
      <c r="D472" s="157" t="str">
        <f>VLOOKUP(Ruimtestaat[[#This Row],[Code]],Locaties[[#All],[Code]:[Postcode]],5,FALSE)</f>
        <v xml:space="preserve">2262 EZ </v>
      </c>
      <c r="E472" s="157" t="str">
        <f>VLOOKUP(Ruimtestaat[[#This Row],[Code]],Locaties[#All],6,FALSE)</f>
        <v>Leidschendam</v>
      </c>
      <c r="F472" s="62"/>
      <c r="G472" s="21" t="s">
        <v>1632</v>
      </c>
      <c r="H472" s="21">
        <v>46</v>
      </c>
      <c r="I472" s="62" t="s">
        <v>2102</v>
      </c>
      <c r="J472" s="21">
        <v>6</v>
      </c>
      <c r="K472" s="62" t="str">
        <f>VLOOKUP(Ruimtestaat[[#This Row],[Ruimte code]],Ruimtegroepen[[#All],[Code]:[Ruimte omschrijving]],2,FALSE)</f>
        <v>Gangen/hallen</v>
      </c>
      <c r="L472" s="33" t="s">
        <v>101</v>
      </c>
      <c r="M472" s="367" t="s">
        <v>2495</v>
      </c>
      <c r="N472" s="140">
        <v>71</v>
      </c>
      <c r="O472" s="140"/>
      <c r="P472" s="125" t="str">
        <f>VLOOKUP(Ruimtestaat[[#This Row],[Ruimte code]],Ruimtegroepen[],4,FALSE)</f>
        <v>Ve</v>
      </c>
      <c r="R472" s="33">
        <v>40</v>
      </c>
      <c r="S472" s="33" t="s">
        <v>2</v>
      </c>
      <c r="T472" s="33">
        <f>IF(R472&gt;0,IF(RIGHT(Ruimtestaat[[#This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2" s="33">
        <f>IF(T472&gt;0,VLOOKUP($J472,Ruimtegroepen[],3,FALSE)*VLOOKUP($L472,Vloersoorten[],3,FALSE)*VLOOKUP($S472,Frequenties[],3,FALSE)*VLOOKUP($A472,Locaties[],3,FALSE),0)</f>
        <v>0</v>
      </c>
      <c r="V472" s="33">
        <f>Ruimtestaat[[#This Row],[Uitvoeringen werkdagen]]*Ruimtestaat[[#This Row],[Oppervlak (netto)]]</f>
        <v>14200</v>
      </c>
      <c r="W472" s="154">
        <f>IF(U472&gt;0,Ruimtestaat[[#This Row],[Prest. (m2 /jaar) werkdagen]]/Ruimtestaat[[#This Row],[Norm (m2/uur) werkdagen]],0)</f>
        <v>0</v>
      </c>
      <c r="X472" s="155">
        <f>Ruimtestaat[[#This Row],[uren / jaar werkdagen]]*Tariefsopbouw!$E$35</f>
        <v>0</v>
      </c>
      <c r="Y472" s="33"/>
      <c r="Z472" s="33">
        <f>IF(Ruimtestaat[[#This Row],[Frequentie weekend]]&gt;0,VALUE(LEFT(Y472,1))*R472,0)</f>
        <v>0</v>
      </c>
      <c r="AA472" s="97">
        <f>IF($Z472&gt;0,VLOOKUP($J472,Ruimtegroepen[],3,FALSE)*VLOOKUP($L472,Vloersoorten[],3,FALSE)*VLOOKUP($Y472,Frequenties[],3,FALSE)*VLOOKUP(Ruimtestaat[[#This Row],[Code]],Locaties[],3,FALSE),0)</f>
        <v>0</v>
      </c>
      <c r="AB472" s="97">
        <f>Ruimtestaat[[#This Row],[Uitvoeringen weekend]]*Ruimtestaat[[#This Row],[Oppervlak (netto)]]</f>
        <v>0</v>
      </c>
      <c r="AC472" s="97">
        <f>IF(AA472&gt;0,Ruimtestaat[[#This Row],[Prest. (m2 /jaar) weekend]]/Ruimtestaat[[#This Row],[Norm (m2/uur) weekend]],0)</f>
        <v>0</v>
      </c>
      <c r="AD472" s="155">
        <f>Ruimtestaat[[#This Row],[uren / jaar weekend]]*Tariefsopbouw!$D$40</f>
        <v>0</v>
      </c>
      <c r="AE472" s="154">
        <f>Ruimtestaat[[#This Row],[Prest. (m2 /jaar) weekend]]+Ruimtestaat[[#This Row],[Prest. (m2 /jaar) werkdagen]]</f>
        <v>14200</v>
      </c>
      <c r="AF472" s="154">
        <f>Ruimtestaat[[#This Row],[uren / jaar weekend]]+Ruimtestaat[[#This Row],[uren / jaar werkdagen]]</f>
        <v>0</v>
      </c>
      <c r="AG472" s="69">
        <f>Ruimtestaat[[#This Row],[kosten / jaar weekend]]+Ruimtestaat[[#This Row],[kosten / jaar werkdagen]]</f>
        <v>0</v>
      </c>
      <c r="AH472" s="69"/>
      <c r="AI472" s="256" t="str">
        <f>IF(Ruimtestaat[[#This Row],[Frequentie werkdagen]]="","",_xlfn.CONCAT(Ruimtestaat[[#This Row],[Ruimte code]],"-",Ruimtestaat[[#This Row],[Frequentie werkdagen]]," ",Ruimtestaat[[#This Row],[Vloer code]]))</f>
        <v>6-5w L</v>
      </c>
      <c r="AJ472" s="300" t="str">
        <f>_xlfn.IFNA(VLOOKUP($AI472,Programma!$F$3:$G$1107,2,0),"")</f>
        <v>_</v>
      </c>
      <c r="AK472" s="300" t="str">
        <f>_xlfn.IFNA(VLOOKUP($AI472,Programma!$F$3:$H$1107,3,0),"")</f>
        <v>_</v>
      </c>
      <c r="AL472" s="300" t="str">
        <f>_xlfn.IFNA(VLOOKUP($AI472,Programma!$F$3:$I$1107,4,0),"")</f>
        <v>_</v>
      </c>
      <c r="AM472" s="300" t="str">
        <f>_xlfn.IFNA(VLOOKUP($AI472,Programma!$F$3:$J$1107,5,0),"")</f>
        <v>5w</v>
      </c>
      <c r="AN472" s="300" t="str">
        <f>_xlfn.IFNA(VLOOKUP($AI472,Programma!$F$3:$K$1107,6,0),"")</f>
        <v>_</v>
      </c>
      <c r="AO472" s="300" t="str">
        <f>_xlfn.IFNA(VLOOKUP($AI472,Programma!$F$3:$L$1107,7,0),"")</f>
        <v>_</v>
      </c>
      <c r="AP472" s="300" t="str">
        <f>_xlfn.IFNA(VLOOKUP($AI472,Programma!$F$3:$M$1107,8,0),"")</f>
        <v>_</v>
      </c>
      <c r="AQ472" s="300" t="str">
        <f>_xlfn.IFNA(VLOOKUP($AI472,Programma!$F$3:$N$1107,9,0),"")</f>
        <v>_</v>
      </c>
      <c r="AR472" s="300" t="str">
        <f>_xlfn.IFNA(VLOOKUP($AI472,Programma!$F$3:$O$1107,10,0),"")</f>
        <v>5w</v>
      </c>
      <c r="AS472" s="300" t="str">
        <f>_xlfn.IFNA(VLOOKUP($AI472,Programma!$F$3:$P$1107,11,0),"")</f>
        <v>5w</v>
      </c>
      <c r="AT472" s="300" t="str">
        <f>_xlfn.IFNA(VLOOKUP($AI472,Programma!$F$3:$Q$1107,12,0),"")</f>
        <v>1w</v>
      </c>
      <c r="AU472" s="300" t="str">
        <f>_xlfn.IFNA(VLOOKUP($AI472,Programma!$F$3:$R$1107,13,0),"")</f>
        <v>1w</v>
      </c>
      <c r="AV472" s="300" t="str">
        <f>_xlfn.IFNA(VLOOKUP($AI472,Programma!$F$3:$S$1107,14,0),"")</f>
        <v>1m</v>
      </c>
      <c r="AW472" s="300" t="str">
        <f>_xlfn.IFNA(VLOOKUP($AI472,Programma!$F$3:$T$1107,15,0),"")</f>
        <v>2j</v>
      </c>
      <c r="AX472" s="300" t="str">
        <f>_xlfn.IFNA(VLOOKUP($AI472,Programma!$F$3:$U$1107,16,0),"")</f>
        <v>1j</v>
      </c>
      <c r="AY472" s="300" t="str">
        <f>_xlfn.IFNA(VLOOKUP($AI472,Programma!$F$3:$V$1107,17,0),"")</f>
        <v>_</v>
      </c>
      <c r="AZ472" s="300" t="str">
        <f>_xlfn.IFNA(VLOOKUP($AI472,Programma!$F$3:$W$1107,18,0),"")</f>
        <v>_</v>
      </c>
      <c r="BA472" s="300" t="str">
        <f>_xlfn.IFNA(VLOOKUP($AI472,Programma!$F$3:$X$1107,19,0),"")</f>
        <v>_</v>
      </c>
      <c r="BB472" s="300" t="str">
        <f>_xlfn.IFNA(VLOOKUP($AI472,Programma!$F$3:$Y$1107,20,0),"")</f>
        <v>_</v>
      </c>
      <c r="BC472" s="257"/>
      <c r="BD472" s="256" t="str">
        <f>IF(Ruimtestaat[[#This Row],[Frequentie weekend]]="","",_xlfn.CONCAT(Ruimtestaat[[#This Row],[Ruimte code]],"-",Ruimtestaat[[#This Row],[Frequentie weekend]]," ",Ruimtestaat[[#This Row],[Vloer code]]))</f>
        <v/>
      </c>
      <c r="BE472" s="300" t="str">
        <f>_xlfn.IFNA(VLOOKUP($BD472,Programma!$F$3:$G$1107,2,0),"")</f>
        <v/>
      </c>
      <c r="BF472" s="300" t="str">
        <f>_xlfn.IFNA(VLOOKUP($BD472,Programma!$F$3:$H$1107,3,0),"")</f>
        <v/>
      </c>
      <c r="BG472" s="300" t="str">
        <f>_xlfn.IFNA(VLOOKUP($BD472,Programma!$F$3:$I$1107,4,0),"")</f>
        <v/>
      </c>
      <c r="BH472" s="300" t="str">
        <f>_xlfn.IFNA(VLOOKUP($BD472,Programma!$F$3:$J$1107,5,0),"")</f>
        <v/>
      </c>
      <c r="BI472" s="300" t="str">
        <f>_xlfn.IFNA(VLOOKUP($BD472,Programma!$F$3:$K$1107,6,0),"")</f>
        <v/>
      </c>
      <c r="BJ472" s="300" t="str">
        <f>_xlfn.IFNA(VLOOKUP($BD472,Programma!$F$3:$L$1107,7,0),"")</f>
        <v/>
      </c>
      <c r="BK472" s="300" t="str">
        <f>_xlfn.IFNA(VLOOKUP($BD472,Programma!$F$3:$M$1107,8,0),"")</f>
        <v/>
      </c>
      <c r="BL472" s="300" t="str">
        <f>_xlfn.IFNA(VLOOKUP($BD472,Programma!$F$3:$N$1107,9,0),"")</f>
        <v/>
      </c>
      <c r="BM472" s="300" t="str">
        <f>_xlfn.IFNA(VLOOKUP($BD472,Programma!$F$3:$O$1107,10,0),"")</f>
        <v/>
      </c>
      <c r="BN472" s="300" t="str">
        <f>_xlfn.IFNA(VLOOKUP($BD472,Programma!$F$3:$P$1107,11,0),"")</f>
        <v/>
      </c>
      <c r="BO472" s="300" t="str">
        <f>_xlfn.IFNA(VLOOKUP($BD472,Programma!$F$3:$Q$1107,12,0),"")</f>
        <v/>
      </c>
      <c r="BP472" s="300" t="str">
        <f>_xlfn.IFNA(VLOOKUP($BD472,Programma!$F$3:$R$1107,13,0),"")</f>
        <v/>
      </c>
      <c r="BQ472" s="300" t="str">
        <f>_xlfn.IFNA(VLOOKUP($BD472,Programma!$F$3:$S$1107,14,0),"")</f>
        <v/>
      </c>
      <c r="BR472" s="300" t="str">
        <f>_xlfn.IFNA(VLOOKUP($BD472,Programma!$F$3:$T$1107,15,0),"")</f>
        <v/>
      </c>
      <c r="BS472" s="300" t="str">
        <f>_xlfn.IFNA(VLOOKUP($BD472,Programma!$F$3:$U$1107,16,0),"")</f>
        <v/>
      </c>
      <c r="BT472" s="300" t="str">
        <f>_xlfn.IFNA(VLOOKUP($BD472,Programma!$F$3:$V$1107,17,0),"")</f>
        <v/>
      </c>
      <c r="BU472" s="300" t="str">
        <f>_xlfn.IFNA(VLOOKUP($BD472,Programma!$F$3:$W$1107,18,0),"")</f>
        <v/>
      </c>
      <c r="BV472" s="300" t="str">
        <f>_xlfn.IFNA(VLOOKUP($BD472,Programma!$F$3:$X$1107,19,0),"")</f>
        <v/>
      </c>
      <c r="BW472" s="300" t="str">
        <f>_xlfn.IFNA(VLOOKUP($BD472,Programma!$F$3:$Y$1107,20,0),"")</f>
        <v/>
      </c>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c r="GK472" s="4"/>
      <c r="GL472" s="4"/>
      <c r="GM472" s="4"/>
      <c r="GN472" s="4"/>
      <c r="GO472" s="4"/>
      <c r="GP472" s="4"/>
      <c r="GQ472" s="4"/>
      <c r="GR472" s="4"/>
      <c r="GS472" s="4"/>
      <c r="GT472" s="4"/>
      <c r="GU472" s="4"/>
      <c r="GV472" s="4"/>
      <c r="GW472" s="4"/>
      <c r="GX472" s="4"/>
      <c r="GY472" s="4"/>
      <c r="GZ472" s="4"/>
      <c r="HA472" s="4"/>
      <c r="HB472" s="4"/>
      <c r="HC472" s="4"/>
      <c r="HD472" s="4"/>
      <c r="HE472" s="4"/>
      <c r="HF472" s="4"/>
      <c r="HG472" s="4"/>
      <c r="HH472" s="4"/>
      <c r="HI472" s="4"/>
      <c r="HJ472" s="4"/>
      <c r="HK472" s="4"/>
      <c r="HL472" s="4"/>
    </row>
    <row r="473" spans="1:220" ht="15" customHeight="1">
      <c r="A473" s="21">
        <v>6</v>
      </c>
      <c r="B473" s="157" t="str">
        <f>VLOOKUP(Ruimtestaat[[#This Row],[Code]],Locaties[[Code]:[Locatie]],2,FALSE)</f>
        <v>Veurs Lyceum</v>
      </c>
      <c r="C473" s="157" t="str">
        <f>VLOOKUP(Ruimtestaat[[#This Row],[Code]],Locaties[[#All],[Code]:[Adres]],4,FALSE)</f>
        <v>Burg. Kolfschotenlaan 5</v>
      </c>
      <c r="D473" s="157" t="str">
        <f>VLOOKUP(Ruimtestaat[[#This Row],[Code]],Locaties[[#All],[Code]:[Postcode]],5,FALSE)</f>
        <v xml:space="preserve">2262 EZ </v>
      </c>
      <c r="E473" s="157" t="str">
        <f>VLOOKUP(Ruimtestaat[[#This Row],[Code]],Locaties[#All],6,FALSE)</f>
        <v>Leidschendam</v>
      </c>
      <c r="F473" s="62"/>
      <c r="G473" s="21" t="s">
        <v>1632</v>
      </c>
      <c r="H473" s="21">
        <v>47</v>
      </c>
      <c r="I473" s="62" t="s">
        <v>1636</v>
      </c>
      <c r="J473" s="21">
        <v>12</v>
      </c>
      <c r="K473" s="62" t="str">
        <f>VLOOKUP(Ruimtestaat[[#This Row],[Ruimte code]],Ruimtegroepen[[#All],[Code]:[Ruimte omschrijving]],2,FALSE)</f>
        <v>Kantine</v>
      </c>
      <c r="L473" s="33" t="s">
        <v>102</v>
      </c>
      <c r="M473" s="367" t="s">
        <v>2509</v>
      </c>
      <c r="N473" s="140">
        <v>274</v>
      </c>
      <c r="O473" s="140"/>
      <c r="P473" s="125" t="str">
        <f>VLOOKUP(Ruimtestaat[[#This Row],[Ruimte code]],Ruimtegroepen[],4,FALSE)</f>
        <v>Ve</v>
      </c>
      <c r="R473" s="33">
        <v>40</v>
      </c>
      <c r="S473" s="33" t="s">
        <v>2</v>
      </c>
      <c r="T473" s="33">
        <f>IF(R473&gt;0,IF(RIGHT(Ruimtestaat[[#This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3" s="33">
        <f>IF(T473&gt;0,VLOOKUP($J473,Ruimtegroepen[],3,FALSE)*VLOOKUP($L473,Vloersoorten[],3,FALSE)*VLOOKUP($S473,Frequenties[],3,FALSE)*VLOOKUP($A473,Locaties[],3,FALSE),0)</f>
        <v>0</v>
      </c>
      <c r="V473" s="33">
        <f>Ruimtestaat[[#This Row],[Uitvoeringen werkdagen]]*Ruimtestaat[[#This Row],[Oppervlak (netto)]]</f>
        <v>54800</v>
      </c>
      <c r="W473" s="154">
        <f>IF(U473&gt;0,Ruimtestaat[[#This Row],[Prest. (m2 /jaar) werkdagen]]/Ruimtestaat[[#This Row],[Norm (m2/uur) werkdagen]],0)</f>
        <v>0</v>
      </c>
      <c r="X473" s="155">
        <f>Ruimtestaat[[#This Row],[uren / jaar werkdagen]]*Tariefsopbouw!$E$35</f>
        <v>0</v>
      </c>
      <c r="Y473" s="33"/>
      <c r="Z473" s="33">
        <f>IF(Ruimtestaat[[#This Row],[Frequentie weekend]]&gt;0,VALUE(LEFT(Y473,1))*R473,0)</f>
        <v>0</v>
      </c>
      <c r="AA473" s="97">
        <f>IF($Z473&gt;0,VLOOKUP($J473,Ruimtegroepen[],3,FALSE)*VLOOKUP($L473,Vloersoorten[],3,FALSE)*VLOOKUP($Y473,Frequenties[],3,FALSE)*VLOOKUP(Ruimtestaat[[#This Row],[Code]],Locaties[],3,FALSE),0)</f>
        <v>0</v>
      </c>
      <c r="AB473" s="97">
        <f>Ruimtestaat[[#This Row],[Uitvoeringen weekend]]*Ruimtestaat[[#This Row],[Oppervlak (netto)]]</f>
        <v>0</v>
      </c>
      <c r="AC473" s="97">
        <f>IF(AA473&gt;0,Ruimtestaat[[#This Row],[Prest. (m2 /jaar) weekend]]/Ruimtestaat[[#This Row],[Norm (m2/uur) weekend]],0)</f>
        <v>0</v>
      </c>
      <c r="AD473" s="155">
        <f>Ruimtestaat[[#This Row],[uren / jaar weekend]]*Tariefsopbouw!$D$40</f>
        <v>0</v>
      </c>
      <c r="AE473" s="154">
        <f>Ruimtestaat[[#This Row],[Prest. (m2 /jaar) weekend]]+Ruimtestaat[[#This Row],[Prest. (m2 /jaar) werkdagen]]</f>
        <v>54800</v>
      </c>
      <c r="AF473" s="154">
        <f>Ruimtestaat[[#This Row],[uren / jaar weekend]]+Ruimtestaat[[#This Row],[uren / jaar werkdagen]]</f>
        <v>0</v>
      </c>
      <c r="AG473" s="69">
        <f>Ruimtestaat[[#This Row],[kosten / jaar weekend]]+Ruimtestaat[[#This Row],[kosten / jaar werkdagen]]</f>
        <v>0</v>
      </c>
      <c r="AH473" s="69"/>
      <c r="AI473" s="256" t="str">
        <f>IF(Ruimtestaat[[#This Row],[Frequentie werkdagen]]="","",_xlfn.CONCAT(Ruimtestaat[[#This Row],[Ruimte code]],"-",Ruimtestaat[[#This Row],[Frequentie werkdagen]]," ",Ruimtestaat[[#This Row],[Vloer code]]))</f>
        <v>12-5w S</v>
      </c>
      <c r="AJ473" s="300" t="str">
        <f>_xlfn.IFNA(VLOOKUP($AI473,Programma!$F$3:$G$1107,2,0),"")</f>
        <v>_</v>
      </c>
      <c r="AK473" s="300" t="str">
        <f>_xlfn.IFNA(VLOOKUP($AI473,Programma!$F$3:$H$1107,3,0),"")</f>
        <v>_</v>
      </c>
      <c r="AL473" s="300" t="str">
        <f>_xlfn.IFNA(VLOOKUP($AI473,Programma!$F$3:$I$1107,4,0),"")</f>
        <v>5w</v>
      </c>
      <c r="AM473" s="300" t="str">
        <f>_xlfn.IFNA(VLOOKUP($AI473,Programma!$F$3:$J$1107,5,0),"")</f>
        <v>_</v>
      </c>
      <c r="AN473" s="300" t="str">
        <f>_xlfn.IFNA(VLOOKUP($AI473,Programma!$F$3:$K$1107,6,0),"")</f>
        <v>5w</v>
      </c>
      <c r="AO473" s="300" t="str">
        <f>_xlfn.IFNA(VLOOKUP($AI473,Programma!$F$3:$L$1107,7,0),"")</f>
        <v>_</v>
      </c>
      <c r="AP473" s="300" t="str">
        <f>_xlfn.IFNA(VLOOKUP($AI473,Programma!$F$3:$M$1107,8,0),"")</f>
        <v>_</v>
      </c>
      <c r="AQ473" s="300" t="str">
        <f>_xlfn.IFNA(VLOOKUP($AI473,Programma!$F$3:$N$1107,9,0),"")</f>
        <v>_</v>
      </c>
      <c r="AR473" s="300" t="str">
        <f>_xlfn.IFNA(VLOOKUP($AI473,Programma!$F$3:$O$1107,10,0),"")</f>
        <v>5w</v>
      </c>
      <c r="AS473" s="300" t="str">
        <f>_xlfn.IFNA(VLOOKUP($AI473,Programma!$F$3:$P$1107,11,0),"")</f>
        <v>5w</v>
      </c>
      <c r="AT473" s="300" t="str">
        <f>_xlfn.IFNA(VLOOKUP($AI473,Programma!$F$3:$Q$1107,12,0),"")</f>
        <v>1w</v>
      </c>
      <c r="AU473" s="300" t="str">
        <f>_xlfn.IFNA(VLOOKUP($AI473,Programma!$F$3:$R$1107,13,0),"")</f>
        <v>1w</v>
      </c>
      <c r="AV473" s="300" t="str">
        <f>_xlfn.IFNA(VLOOKUP($AI473,Programma!$F$3:$S$1107,14,0),"")</f>
        <v>1m</v>
      </c>
      <c r="AW473" s="300" t="str">
        <f>_xlfn.IFNA(VLOOKUP($AI473,Programma!$F$3:$T$1107,15,0),"")</f>
        <v>2j</v>
      </c>
      <c r="AX473" s="300" t="str">
        <f>_xlfn.IFNA(VLOOKUP($AI473,Programma!$F$3:$U$1107,16,0),"")</f>
        <v>1j</v>
      </c>
      <c r="AY473" s="300" t="str">
        <f>_xlfn.IFNA(VLOOKUP($AI473,Programma!$F$3:$V$1107,17,0),"")</f>
        <v>_</v>
      </c>
      <c r="AZ473" s="300" t="str">
        <f>_xlfn.IFNA(VLOOKUP($AI473,Programma!$F$3:$W$1107,18,0),"")</f>
        <v>_</v>
      </c>
      <c r="BA473" s="300" t="str">
        <f>_xlfn.IFNA(VLOOKUP($AI473,Programma!$F$3:$X$1107,19,0),"")</f>
        <v>_</v>
      </c>
      <c r="BB473" s="300" t="str">
        <f>_xlfn.IFNA(VLOOKUP($AI473,Programma!$F$3:$Y$1107,20,0),"")</f>
        <v>_</v>
      </c>
      <c r="BC473" s="257"/>
      <c r="BD473" s="256" t="str">
        <f>IF(Ruimtestaat[[#This Row],[Frequentie weekend]]="","",_xlfn.CONCAT(Ruimtestaat[[#This Row],[Ruimte code]],"-",Ruimtestaat[[#This Row],[Frequentie weekend]]," ",Ruimtestaat[[#This Row],[Vloer code]]))</f>
        <v/>
      </c>
      <c r="BE473" s="300" t="str">
        <f>_xlfn.IFNA(VLOOKUP($BD473,Programma!$F$3:$G$1107,2,0),"")</f>
        <v/>
      </c>
      <c r="BF473" s="300" t="str">
        <f>_xlfn.IFNA(VLOOKUP($BD473,Programma!$F$3:$H$1107,3,0),"")</f>
        <v/>
      </c>
      <c r="BG473" s="300" t="str">
        <f>_xlfn.IFNA(VLOOKUP($BD473,Programma!$F$3:$I$1107,4,0),"")</f>
        <v/>
      </c>
      <c r="BH473" s="300" t="str">
        <f>_xlfn.IFNA(VLOOKUP($BD473,Programma!$F$3:$J$1107,5,0),"")</f>
        <v/>
      </c>
      <c r="BI473" s="300" t="str">
        <f>_xlfn.IFNA(VLOOKUP($BD473,Programma!$F$3:$K$1107,6,0),"")</f>
        <v/>
      </c>
      <c r="BJ473" s="300" t="str">
        <f>_xlfn.IFNA(VLOOKUP($BD473,Programma!$F$3:$L$1107,7,0),"")</f>
        <v/>
      </c>
      <c r="BK473" s="300" t="str">
        <f>_xlfn.IFNA(VLOOKUP($BD473,Programma!$F$3:$M$1107,8,0),"")</f>
        <v/>
      </c>
      <c r="BL473" s="300" t="str">
        <f>_xlfn.IFNA(VLOOKUP($BD473,Programma!$F$3:$N$1107,9,0),"")</f>
        <v/>
      </c>
      <c r="BM473" s="300" t="str">
        <f>_xlfn.IFNA(VLOOKUP($BD473,Programma!$F$3:$O$1107,10,0),"")</f>
        <v/>
      </c>
      <c r="BN473" s="300" t="str">
        <f>_xlfn.IFNA(VLOOKUP($BD473,Programma!$F$3:$P$1107,11,0),"")</f>
        <v/>
      </c>
      <c r="BO473" s="300" t="str">
        <f>_xlfn.IFNA(VLOOKUP($BD473,Programma!$F$3:$Q$1107,12,0),"")</f>
        <v/>
      </c>
      <c r="BP473" s="300" t="str">
        <f>_xlfn.IFNA(VLOOKUP($BD473,Programma!$F$3:$R$1107,13,0),"")</f>
        <v/>
      </c>
      <c r="BQ473" s="300" t="str">
        <f>_xlfn.IFNA(VLOOKUP($BD473,Programma!$F$3:$S$1107,14,0),"")</f>
        <v/>
      </c>
      <c r="BR473" s="300" t="str">
        <f>_xlfn.IFNA(VLOOKUP($BD473,Programma!$F$3:$T$1107,15,0),"")</f>
        <v/>
      </c>
      <c r="BS473" s="300" t="str">
        <f>_xlfn.IFNA(VLOOKUP($BD473,Programma!$F$3:$U$1107,16,0),"")</f>
        <v/>
      </c>
      <c r="BT473" s="300" t="str">
        <f>_xlfn.IFNA(VLOOKUP($BD473,Programma!$F$3:$V$1107,17,0),"")</f>
        <v/>
      </c>
      <c r="BU473" s="300" t="str">
        <f>_xlfn.IFNA(VLOOKUP($BD473,Programma!$F$3:$W$1107,18,0),"")</f>
        <v/>
      </c>
      <c r="BV473" s="300" t="str">
        <f>_xlfn.IFNA(VLOOKUP($BD473,Programma!$F$3:$X$1107,19,0),"")</f>
        <v/>
      </c>
      <c r="BW473" s="300" t="str">
        <f>_xlfn.IFNA(VLOOKUP($BD473,Programma!$F$3:$Y$1107,20,0),"")</f>
        <v/>
      </c>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c r="GK473" s="4"/>
      <c r="GL473" s="4"/>
      <c r="GM473" s="4"/>
      <c r="GN473" s="4"/>
      <c r="GO473" s="4"/>
      <c r="GP473" s="4"/>
      <c r="GQ473" s="4"/>
      <c r="GR473" s="4"/>
      <c r="GS473" s="4"/>
      <c r="GT473" s="4"/>
      <c r="GU473" s="4"/>
      <c r="GV473" s="4"/>
      <c r="GW473" s="4"/>
      <c r="GX473" s="4"/>
      <c r="GY473" s="4"/>
      <c r="GZ473" s="4"/>
      <c r="HA473" s="4"/>
      <c r="HB473" s="4"/>
      <c r="HC473" s="4"/>
      <c r="HD473" s="4"/>
      <c r="HE473" s="4"/>
      <c r="HF473" s="4"/>
      <c r="HG473" s="4"/>
      <c r="HH473" s="4"/>
      <c r="HI473" s="4"/>
      <c r="HJ473" s="4"/>
      <c r="HK473" s="4"/>
      <c r="HL473" s="4"/>
    </row>
    <row r="474" spans="1:220" ht="15" customHeight="1">
      <c r="A474" s="21">
        <v>6</v>
      </c>
      <c r="B474" s="157" t="str">
        <f>VLOOKUP(Ruimtestaat[[#This Row],[Code]],Locaties[[Code]:[Locatie]],2,FALSE)</f>
        <v>Veurs Lyceum</v>
      </c>
      <c r="C474" s="157" t="str">
        <f>VLOOKUP(Ruimtestaat[[#This Row],[Code]],Locaties[[#All],[Code]:[Adres]],4,FALSE)</f>
        <v>Burg. Kolfschotenlaan 5</v>
      </c>
      <c r="D474" s="157" t="str">
        <f>VLOOKUP(Ruimtestaat[[#This Row],[Code]],Locaties[[#All],[Code]:[Postcode]],5,FALSE)</f>
        <v xml:space="preserve">2262 EZ </v>
      </c>
      <c r="E474" s="157" t="str">
        <f>VLOOKUP(Ruimtestaat[[#This Row],[Code]],Locaties[#All],6,FALSE)</f>
        <v>Leidschendam</v>
      </c>
      <c r="F474" s="62"/>
      <c r="G474" s="21" t="s">
        <v>1632</v>
      </c>
      <c r="H474" s="21">
        <v>48</v>
      </c>
      <c r="I474" s="62" t="s">
        <v>2103</v>
      </c>
      <c r="J474" s="21">
        <v>3</v>
      </c>
      <c r="K474" s="62" t="str">
        <f>VLOOKUP(Ruimtestaat[[#This Row],[Ruimte code]],Ruimtegroepen[[#All],[Code]:[Ruimte omschrijving]],2,FALSE)</f>
        <v>Reproruimte</v>
      </c>
      <c r="L474" s="33" t="s">
        <v>100</v>
      </c>
      <c r="M474" s="367" t="s">
        <v>2493</v>
      </c>
      <c r="N474" s="140"/>
      <c r="O474" s="140">
        <v>4</v>
      </c>
      <c r="P474" s="125" t="str">
        <f>VLOOKUP(Ruimtestaat[[#This Row],[Ruimte code]],Ruimtegroepen[],4,FALSE)</f>
        <v>Ve</v>
      </c>
      <c r="Q474" s="125" t="s">
        <v>2532</v>
      </c>
      <c r="R474" s="33"/>
      <c r="S474" s="33"/>
      <c r="T474" s="33">
        <f>IF(R474&gt;0,IF(RIGHT(Ruimtestaat[[#This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74" s="33">
        <f>IF(T474&gt;0,VLOOKUP($J474,Ruimtegroepen[],3,FALSE)*VLOOKUP($L474,Vloersoorten[],3,FALSE)*VLOOKUP($S474,Frequenties[],3,FALSE)*VLOOKUP($A474,Locaties[],3,FALSE),0)</f>
        <v>0</v>
      </c>
      <c r="V474" s="33">
        <f>Ruimtestaat[[#This Row],[Uitvoeringen werkdagen]]*Ruimtestaat[[#This Row],[Oppervlak (netto)]]</f>
        <v>0</v>
      </c>
      <c r="W474" s="154">
        <f>IF(U474&gt;0,Ruimtestaat[[#This Row],[Prest. (m2 /jaar) werkdagen]]/Ruimtestaat[[#This Row],[Norm (m2/uur) werkdagen]],0)</f>
        <v>0</v>
      </c>
      <c r="X474" s="155">
        <f>Ruimtestaat[[#This Row],[uren / jaar werkdagen]]*Tariefsopbouw!$E$35</f>
        <v>0</v>
      </c>
      <c r="Y474" s="33"/>
      <c r="Z474" s="33">
        <f>IF(Ruimtestaat[[#This Row],[Frequentie weekend]]&gt;0,VALUE(LEFT(Y474,1))*R474,0)</f>
        <v>0</v>
      </c>
      <c r="AA474" s="97">
        <f>IF($Z474&gt;0,VLOOKUP($J474,Ruimtegroepen[],3,FALSE)*VLOOKUP($L474,Vloersoorten[],3,FALSE)*VLOOKUP($Y474,Frequenties[],3,FALSE)*VLOOKUP(Ruimtestaat[[#This Row],[Code]],Locaties[],3,FALSE),0)</f>
        <v>0</v>
      </c>
      <c r="AB474" s="97">
        <f>Ruimtestaat[[#This Row],[Uitvoeringen weekend]]*Ruimtestaat[[#This Row],[Oppervlak (netto)]]</f>
        <v>0</v>
      </c>
      <c r="AC474" s="97">
        <f>IF(AA474&gt;0,Ruimtestaat[[#This Row],[Prest. (m2 /jaar) weekend]]/Ruimtestaat[[#This Row],[Norm (m2/uur) weekend]],0)</f>
        <v>0</v>
      </c>
      <c r="AD474" s="155">
        <f>Ruimtestaat[[#This Row],[uren / jaar weekend]]*Tariefsopbouw!$D$40</f>
        <v>0</v>
      </c>
      <c r="AE474" s="154">
        <f>Ruimtestaat[[#This Row],[Prest. (m2 /jaar) weekend]]+Ruimtestaat[[#This Row],[Prest. (m2 /jaar) werkdagen]]</f>
        <v>0</v>
      </c>
      <c r="AF474" s="154">
        <f>Ruimtestaat[[#This Row],[uren / jaar weekend]]+Ruimtestaat[[#This Row],[uren / jaar werkdagen]]</f>
        <v>0</v>
      </c>
      <c r="AG474" s="69">
        <f>Ruimtestaat[[#This Row],[kosten / jaar weekend]]+Ruimtestaat[[#This Row],[kosten / jaar werkdagen]]</f>
        <v>0</v>
      </c>
      <c r="AH474" s="69"/>
      <c r="AI474" s="256" t="str">
        <f>IF(Ruimtestaat[[#This Row],[Frequentie werkdagen]]="","",_xlfn.CONCAT(Ruimtestaat[[#This Row],[Ruimte code]],"-",Ruimtestaat[[#This Row],[Frequentie werkdagen]]," ",Ruimtestaat[[#This Row],[Vloer code]]))</f>
        <v/>
      </c>
      <c r="AJ474" s="300" t="str">
        <f>_xlfn.IFNA(VLOOKUP($AI474,Programma!$F$3:$G$1107,2,0),"")</f>
        <v/>
      </c>
      <c r="AK474" s="300" t="str">
        <f>_xlfn.IFNA(VLOOKUP($AI474,Programma!$F$3:$H$1107,3,0),"")</f>
        <v/>
      </c>
      <c r="AL474" s="300" t="str">
        <f>_xlfn.IFNA(VLOOKUP($AI474,Programma!$F$3:$I$1107,4,0),"")</f>
        <v/>
      </c>
      <c r="AM474" s="300" t="str">
        <f>_xlfn.IFNA(VLOOKUP($AI474,Programma!$F$3:$J$1107,5,0),"")</f>
        <v/>
      </c>
      <c r="AN474" s="300" t="str">
        <f>_xlfn.IFNA(VLOOKUP($AI474,Programma!$F$3:$K$1107,6,0),"")</f>
        <v/>
      </c>
      <c r="AO474" s="300" t="str">
        <f>_xlfn.IFNA(VLOOKUP($AI474,Programma!$F$3:$L$1107,7,0),"")</f>
        <v/>
      </c>
      <c r="AP474" s="300" t="str">
        <f>_xlfn.IFNA(VLOOKUP($AI474,Programma!$F$3:$M$1107,8,0),"")</f>
        <v/>
      </c>
      <c r="AQ474" s="300" t="str">
        <f>_xlfn.IFNA(VLOOKUP($AI474,Programma!$F$3:$N$1107,9,0),"")</f>
        <v/>
      </c>
      <c r="AR474" s="300" t="str">
        <f>_xlfn.IFNA(VLOOKUP($AI474,Programma!$F$3:$O$1107,10,0),"")</f>
        <v/>
      </c>
      <c r="AS474" s="300" t="str">
        <f>_xlfn.IFNA(VLOOKUP($AI474,Programma!$F$3:$P$1107,11,0),"")</f>
        <v/>
      </c>
      <c r="AT474" s="300" t="str">
        <f>_xlfn.IFNA(VLOOKUP($AI474,Programma!$F$3:$Q$1107,12,0),"")</f>
        <v/>
      </c>
      <c r="AU474" s="300" t="str">
        <f>_xlfn.IFNA(VLOOKUP($AI474,Programma!$F$3:$R$1107,13,0),"")</f>
        <v/>
      </c>
      <c r="AV474" s="300" t="str">
        <f>_xlfn.IFNA(VLOOKUP($AI474,Programma!$F$3:$S$1107,14,0),"")</f>
        <v/>
      </c>
      <c r="AW474" s="300" t="str">
        <f>_xlfn.IFNA(VLOOKUP($AI474,Programma!$F$3:$T$1107,15,0),"")</f>
        <v/>
      </c>
      <c r="AX474" s="300" t="str">
        <f>_xlfn.IFNA(VLOOKUP($AI474,Programma!$F$3:$U$1107,16,0),"")</f>
        <v/>
      </c>
      <c r="AY474" s="300" t="str">
        <f>_xlfn.IFNA(VLOOKUP($AI474,Programma!$F$3:$V$1107,17,0),"")</f>
        <v/>
      </c>
      <c r="AZ474" s="300" t="str">
        <f>_xlfn.IFNA(VLOOKUP($AI474,Programma!$F$3:$W$1107,18,0),"")</f>
        <v/>
      </c>
      <c r="BA474" s="300" t="str">
        <f>_xlfn.IFNA(VLOOKUP($AI474,Programma!$F$3:$X$1107,19,0),"")</f>
        <v/>
      </c>
      <c r="BB474" s="300" t="str">
        <f>_xlfn.IFNA(VLOOKUP($AI474,Programma!$F$3:$Y$1107,20,0),"")</f>
        <v/>
      </c>
      <c r="BC474" s="257"/>
      <c r="BD474" s="256" t="str">
        <f>IF(Ruimtestaat[[#This Row],[Frequentie weekend]]="","",_xlfn.CONCAT(Ruimtestaat[[#This Row],[Ruimte code]],"-",Ruimtestaat[[#This Row],[Frequentie weekend]]," ",Ruimtestaat[[#This Row],[Vloer code]]))</f>
        <v/>
      </c>
      <c r="BE474" s="300" t="str">
        <f>_xlfn.IFNA(VLOOKUP($BD474,Programma!$F$3:$G$1107,2,0),"")</f>
        <v/>
      </c>
      <c r="BF474" s="300" t="str">
        <f>_xlfn.IFNA(VLOOKUP($BD474,Programma!$F$3:$H$1107,3,0),"")</f>
        <v/>
      </c>
      <c r="BG474" s="300" t="str">
        <f>_xlfn.IFNA(VLOOKUP($BD474,Programma!$F$3:$I$1107,4,0),"")</f>
        <v/>
      </c>
      <c r="BH474" s="300" t="str">
        <f>_xlfn.IFNA(VLOOKUP($BD474,Programma!$F$3:$J$1107,5,0),"")</f>
        <v/>
      </c>
      <c r="BI474" s="300" t="str">
        <f>_xlfn.IFNA(VLOOKUP($BD474,Programma!$F$3:$K$1107,6,0),"")</f>
        <v/>
      </c>
      <c r="BJ474" s="300" t="str">
        <f>_xlfn.IFNA(VLOOKUP($BD474,Programma!$F$3:$L$1107,7,0),"")</f>
        <v/>
      </c>
      <c r="BK474" s="300" t="str">
        <f>_xlfn.IFNA(VLOOKUP($BD474,Programma!$F$3:$M$1107,8,0),"")</f>
        <v/>
      </c>
      <c r="BL474" s="300" t="str">
        <f>_xlfn.IFNA(VLOOKUP($BD474,Programma!$F$3:$N$1107,9,0),"")</f>
        <v/>
      </c>
      <c r="BM474" s="300" t="str">
        <f>_xlfn.IFNA(VLOOKUP($BD474,Programma!$F$3:$O$1107,10,0),"")</f>
        <v/>
      </c>
      <c r="BN474" s="300" t="str">
        <f>_xlfn.IFNA(VLOOKUP($BD474,Programma!$F$3:$P$1107,11,0),"")</f>
        <v/>
      </c>
      <c r="BO474" s="300" t="str">
        <f>_xlfn.IFNA(VLOOKUP($BD474,Programma!$F$3:$Q$1107,12,0),"")</f>
        <v/>
      </c>
      <c r="BP474" s="300" t="str">
        <f>_xlfn.IFNA(VLOOKUP($BD474,Programma!$F$3:$R$1107,13,0),"")</f>
        <v/>
      </c>
      <c r="BQ474" s="300" t="str">
        <f>_xlfn.IFNA(VLOOKUP($BD474,Programma!$F$3:$S$1107,14,0),"")</f>
        <v/>
      </c>
      <c r="BR474" s="300" t="str">
        <f>_xlfn.IFNA(VLOOKUP($BD474,Programma!$F$3:$T$1107,15,0),"")</f>
        <v/>
      </c>
      <c r="BS474" s="300" t="str">
        <f>_xlfn.IFNA(VLOOKUP($BD474,Programma!$F$3:$U$1107,16,0),"")</f>
        <v/>
      </c>
      <c r="BT474" s="300" t="str">
        <f>_xlfn.IFNA(VLOOKUP($BD474,Programma!$F$3:$V$1107,17,0),"")</f>
        <v/>
      </c>
      <c r="BU474" s="300" t="str">
        <f>_xlfn.IFNA(VLOOKUP($BD474,Programma!$F$3:$W$1107,18,0),"")</f>
        <v/>
      </c>
      <c r="BV474" s="300" t="str">
        <f>_xlfn.IFNA(VLOOKUP($BD474,Programma!$F$3:$X$1107,19,0),"")</f>
        <v/>
      </c>
      <c r="BW474" s="300" t="str">
        <f>_xlfn.IFNA(VLOOKUP($BD474,Programma!$F$3:$Y$1107,20,0),"")</f>
        <v/>
      </c>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c r="GK474" s="4"/>
      <c r="GL474" s="4"/>
      <c r="GM474" s="4"/>
      <c r="GN474" s="4"/>
      <c r="GO474" s="4"/>
      <c r="GP474" s="4"/>
      <c r="GQ474" s="4"/>
      <c r="GR474" s="4"/>
      <c r="GS474" s="4"/>
      <c r="GT474" s="4"/>
      <c r="GU474" s="4"/>
      <c r="GV474" s="4"/>
      <c r="GW474" s="4"/>
      <c r="GX474" s="4"/>
      <c r="GY474" s="4"/>
      <c r="GZ474" s="4"/>
      <c r="HA474" s="4"/>
      <c r="HB474" s="4"/>
      <c r="HC474" s="4"/>
      <c r="HD474" s="4"/>
      <c r="HE474" s="4"/>
      <c r="HF474" s="4"/>
      <c r="HG474" s="4"/>
      <c r="HH474" s="4"/>
      <c r="HI474" s="4"/>
      <c r="HJ474" s="4"/>
      <c r="HK474" s="4"/>
      <c r="HL474" s="4"/>
    </row>
    <row r="475" spans="1:220" ht="15" customHeight="1">
      <c r="A475" s="21">
        <v>6</v>
      </c>
      <c r="B475" s="157" t="str">
        <f>VLOOKUP(Ruimtestaat[[#This Row],[Code]],Locaties[[Code]:[Locatie]],2,FALSE)</f>
        <v>Veurs Lyceum</v>
      </c>
      <c r="C475" s="157" t="str">
        <f>VLOOKUP(Ruimtestaat[[#This Row],[Code]],Locaties[[#All],[Code]:[Adres]],4,FALSE)</f>
        <v>Burg. Kolfschotenlaan 5</v>
      </c>
      <c r="D475" s="157" t="str">
        <f>VLOOKUP(Ruimtestaat[[#This Row],[Code]],Locaties[[#All],[Code]:[Postcode]],5,FALSE)</f>
        <v xml:space="preserve">2262 EZ </v>
      </c>
      <c r="E475" s="157" t="str">
        <f>VLOOKUP(Ruimtestaat[[#This Row],[Code]],Locaties[#All],6,FALSE)</f>
        <v>Leidschendam</v>
      </c>
      <c r="F475" s="62"/>
      <c r="G475" s="21" t="s">
        <v>1632</v>
      </c>
      <c r="H475" s="21">
        <v>49</v>
      </c>
      <c r="I475" s="62" t="s">
        <v>2104</v>
      </c>
      <c r="J475" s="21">
        <v>1</v>
      </c>
      <c r="K475" s="62" t="str">
        <f>VLOOKUP(Ruimtestaat[[#This Row],[Ruimte code]],Ruimtegroepen[[#All],[Code]:[Ruimte omschrijving]],2,FALSE)</f>
        <v>Magazijnen/bergingen</v>
      </c>
      <c r="L475" s="33" t="s">
        <v>101</v>
      </c>
      <c r="M475" s="367" t="s">
        <v>2506</v>
      </c>
      <c r="N475" s="140"/>
      <c r="O475" s="140">
        <v>27</v>
      </c>
      <c r="P475" s="125" t="str">
        <f>VLOOKUP(Ruimtestaat[[#This Row],[Ruimte code]],Ruimtegroepen[],4,FALSE)</f>
        <v>Ve</v>
      </c>
      <c r="Q475" s="125" t="s">
        <v>2532</v>
      </c>
      <c r="R475" s="33">
        <v>40</v>
      </c>
      <c r="S475" s="33" t="s">
        <v>16</v>
      </c>
      <c r="T475" s="33">
        <f>IF(R475&gt;0,IF(RIGHT(Ruimtestaat[[#This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75" s="33">
        <f>IF(T475&gt;0,VLOOKUP($J475,Ruimtegroepen[],3,FALSE)*VLOOKUP($L475,Vloersoorten[],3,FALSE)*VLOOKUP($S475,Frequenties[],3,FALSE)*VLOOKUP($A475,Locaties[],3,FALSE),0)</f>
        <v>0</v>
      </c>
      <c r="V475" s="33">
        <f>Ruimtestaat[[#This Row],[Uitvoeringen werkdagen]]*Ruimtestaat[[#This Row],[Oppervlak (netto)]]</f>
        <v>0</v>
      </c>
      <c r="W475" s="154">
        <f>IF(U475&gt;0,Ruimtestaat[[#This Row],[Prest. (m2 /jaar) werkdagen]]/Ruimtestaat[[#This Row],[Norm (m2/uur) werkdagen]],0)</f>
        <v>0</v>
      </c>
      <c r="X475" s="155">
        <f>Ruimtestaat[[#This Row],[uren / jaar werkdagen]]*Tariefsopbouw!$E$35</f>
        <v>0</v>
      </c>
      <c r="Y475" s="33"/>
      <c r="Z475" s="33">
        <f>IF(Ruimtestaat[[#This Row],[Frequentie weekend]]&gt;0,VALUE(LEFT(Y475,1))*R475,0)</f>
        <v>0</v>
      </c>
      <c r="AA475" s="97">
        <f>IF($Z475&gt;0,VLOOKUP($J475,Ruimtegroepen[],3,FALSE)*VLOOKUP($L475,Vloersoorten[],3,FALSE)*VLOOKUP($Y475,Frequenties[],3,FALSE)*VLOOKUP(Ruimtestaat[[#This Row],[Code]],Locaties[],3,FALSE),0)</f>
        <v>0</v>
      </c>
      <c r="AB475" s="97">
        <f>Ruimtestaat[[#This Row],[Uitvoeringen weekend]]*Ruimtestaat[[#This Row],[Oppervlak (netto)]]</f>
        <v>0</v>
      </c>
      <c r="AC475" s="97">
        <f>IF(AA475&gt;0,Ruimtestaat[[#This Row],[Prest. (m2 /jaar) weekend]]/Ruimtestaat[[#This Row],[Norm (m2/uur) weekend]],0)</f>
        <v>0</v>
      </c>
      <c r="AD475" s="155">
        <f>Ruimtestaat[[#This Row],[uren / jaar weekend]]*Tariefsopbouw!$D$40</f>
        <v>0</v>
      </c>
      <c r="AE475" s="154">
        <f>Ruimtestaat[[#This Row],[Prest. (m2 /jaar) weekend]]+Ruimtestaat[[#This Row],[Prest. (m2 /jaar) werkdagen]]</f>
        <v>0</v>
      </c>
      <c r="AF475" s="154">
        <f>Ruimtestaat[[#This Row],[uren / jaar weekend]]+Ruimtestaat[[#This Row],[uren / jaar werkdagen]]</f>
        <v>0</v>
      </c>
      <c r="AG475" s="69">
        <f>Ruimtestaat[[#This Row],[kosten / jaar weekend]]+Ruimtestaat[[#This Row],[kosten / jaar werkdagen]]</f>
        <v>0</v>
      </c>
      <c r="AH475" s="69"/>
      <c r="AI475" s="256" t="str">
        <f>IF(Ruimtestaat[[#This Row],[Frequentie werkdagen]]="","",_xlfn.CONCAT(Ruimtestaat[[#This Row],[Ruimte code]],"-",Ruimtestaat[[#This Row],[Frequentie werkdagen]]," ",Ruimtestaat[[#This Row],[Vloer code]]))</f>
        <v>1-1m L</v>
      </c>
      <c r="AJ475" s="300" t="str">
        <f>_xlfn.IFNA(VLOOKUP($AI475,Programma!$F$3:$G$1107,2,0),"")</f>
        <v>_</v>
      </c>
      <c r="AK475" s="300" t="str">
        <f>_xlfn.IFNA(VLOOKUP($AI475,Programma!$F$3:$H$1107,3,0),"")</f>
        <v>_</v>
      </c>
      <c r="AL475" s="300" t="str">
        <f>_xlfn.IFNA(VLOOKUP($AI475,Programma!$F$3:$I$1107,4,0),"")</f>
        <v>1m</v>
      </c>
      <c r="AM475" s="300" t="str">
        <f>_xlfn.IFNA(VLOOKUP($AI475,Programma!$F$3:$J$1107,5,0),"")</f>
        <v>1m</v>
      </c>
      <c r="AN475" s="300" t="str">
        <f>_xlfn.IFNA(VLOOKUP($AI475,Programma!$F$3:$K$1107,6,0),"")</f>
        <v>_</v>
      </c>
      <c r="AO475" s="300" t="str">
        <f>_xlfn.IFNA(VLOOKUP($AI475,Programma!$F$3:$L$1107,7,0),"")</f>
        <v>_</v>
      </c>
      <c r="AP475" s="300" t="str">
        <f>_xlfn.IFNA(VLOOKUP($AI475,Programma!$F$3:$M$1107,8,0),"")</f>
        <v>_</v>
      </c>
      <c r="AQ475" s="300" t="str">
        <f>_xlfn.IFNA(VLOOKUP($AI475,Programma!$F$3:$N$1107,9,0),"")</f>
        <v>_</v>
      </c>
      <c r="AR475" s="300" t="str">
        <f>_xlfn.IFNA(VLOOKUP($AI475,Programma!$F$3:$O$1107,10,0),"")</f>
        <v>_</v>
      </c>
      <c r="AS475" s="300" t="str">
        <f>_xlfn.IFNA(VLOOKUP($AI475,Programma!$F$3:$P$1107,11,0),"")</f>
        <v>_</v>
      </c>
      <c r="AT475" s="300" t="str">
        <f>_xlfn.IFNA(VLOOKUP($AI475,Programma!$F$3:$Q$1107,12,0),"")</f>
        <v>_</v>
      </c>
      <c r="AU475" s="300" t="str">
        <f>_xlfn.IFNA(VLOOKUP($AI475,Programma!$F$3:$R$1107,13,0),"")</f>
        <v>_</v>
      </c>
      <c r="AV475" s="300" t="str">
        <f>_xlfn.IFNA(VLOOKUP($AI475,Programma!$F$3:$S$1107,14,0),"")</f>
        <v>1m</v>
      </c>
      <c r="AW475" s="300" t="str">
        <f>_xlfn.IFNA(VLOOKUP($AI475,Programma!$F$3:$T$1107,15,0),"")</f>
        <v>4j</v>
      </c>
      <c r="AX475" s="300" t="str">
        <f>_xlfn.IFNA(VLOOKUP($AI475,Programma!$F$3:$U$1107,16,0),"")</f>
        <v>4j</v>
      </c>
      <c r="AY475" s="300" t="str">
        <f>_xlfn.IFNA(VLOOKUP($AI475,Programma!$F$3:$V$1107,17,0),"")</f>
        <v>_</v>
      </c>
      <c r="AZ475" s="300" t="str">
        <f>_xlfn.IFNA(VLOOKUP($AI475,Programma!$F$3:$W$1107,18,0),"")</f>
        <v>_</v>
      </c>
      <c r="BA475" s="300" t="str">
        <f>_xlfn.IFNA(VLOOKUP($AI475,Programma!$F$3:$X$1107,19,0),"")</f>
        <v>_</v>
      </c>
      <c r="BB475" s="300" t="str">
        <f>_xlfn.IFNA(VLOOKUP($AI475,Programma!$F$3:$Y$1107,20,0),"")</f>
        <v>_</v>
      </c>
      <c r="BC475" s="257"/>
      <c r="BD475" s="256" t="str">
        <f>IF(Ruimtestaat[[#This Row],[Frequentie weekend]]="","",_xlfn.CONCAT(Ruimtestaat[[#This Row],[Ruimte code]],"-",Ruimtestaat[[#This Row],[Frequentie weekend]]," ",Ruimtestaat[[#This Row],[Vloer code]]))</f>
        <v/>
      </c>
      <c r="BE475" s="300" t="str">
        <f>_xlfn.IFNA(VLOOKUP($BD475,Programma!$F$3:$G$1107,2,0),"")</f>
        <v/>
      </c>
      <c r="BF475" s="300" t="str">
        <f>_xlfn.IFNA(VLOOKUP($BD475,Programma!$F$3:$H$1107,3,0),"")</f>
        <v/>
      </c>
      <c r="BG475" s="300" t="str">
        <f>_xlfn.IFNA(VLOOKUP($BD475,Programma!$F$3:$I$1107,4,0),"")</f>
        <v/>
      </c>
      <c r="BH475" s="300" t="str">
        <f>_xlfn.IFNA(VLOOKUP($BD475,Programma!$F$3:$J$1107,5,0),"")</f>
        <v/>
      </c>
      <c r="BI475" s="300" t="str">
        <f>_xlfn.IFNA(VLOOKUP($BD475,Programma!$F$3:$K$1107,6,0),"")</f>
        <v/>
      </c>
      <c r="BJ475" s="300" t="str">
        <f>_xlfn.IFNA(VLOOKUP($BD475,Programma!$F$3:$L$1107,7,0),"")</f>
        <v/>
      </c>
      <c r="BK475" s="300" t="str">
        <f>_xlfn.IFNA(VLOOKUP($BD475,Programma!$F$3:$M$1107,8,0),"")</f>
        <v/>
      </c>
      <c r="BL475" s="300" t="str">
        <f>_xlfn.IFNA(VLOOKUP($BD475,Programma!$F$3:$N$1107,9,0),"")</f>
        <v/>
      </c>
      <c r="BM475" s="300" t="str">
        <f>_xlfn.IFNA(VLOOKUP($BD475,Programma!$F$3:$O$1107,10,0),"")</f>
        <v/>
      </c>
      <c r="BN475" s="300" t="str">
        <f>_xlfn.IFNA(VLOOKUP($BD475,Programma!$F$3:$P$1107,11,0),"")</f>
        <v/>
      </c>
      <c r="BO475" s="300" t="str">
        <f>_xlfn.IFNA(VLOOKUP($BD475,Programma!$F$3:$Q$1107,12,0),"")</f>
        <v/>
      </c>
      <c r="BP475" s="300" t="str">
        <f>_xlfn.IFNA(VLOOKUP($BD475,Programma!$F$3:$R$1107,13,0),"")</f>
        <v/>
      </c>
      <c r="BQ475" s="300" t="str">
        <f>_xlfn.IFNA(VLOOKUP($BD475,Programma!$F$3:$S$1107,14,0),"")</f>
        <v/>
      </c>
      <c r="BR475" s="300" t="str">
        <f>_xlfn.IFNA(VLOOKUP($BD475,Programma!$F$3:$T$1107,15,0),"")</f>
        <v/>
      </c>
      <c r="BS475" s="300" t="str">
        <f>_xlfn.IFNA(VLOOKUP($BD475,Programma!$F$3:$U$1107,16,0),"")</f>
        <v/>
      </c>
      <c r="BT475" s="300" t="str">
        <f>_xlfn.IFNA(VLOOKUP($BD475,Programma!$F$3:$V$1107,17,0),"")</f>
        <v/>
      </c>
      <c r="BU475" s="300" t="str">
        <f>_xlfn.IFNA(VLOOKUP($BD475,Programma!$F$3:$W$1107,18,0),"")</f>
        <v/>
      </c>
      <c r="BV475" s="300" t="str">
        <f>_xlfn.IFNA(VLOOKUP($BD475,Programma!$F$3:$X$1107,19,0),"")</f>
        <v/>
      </c>
      <c r="BW475" s="300" t="str">
        <f>_xlfn.IFNA(VLOOKUP($BD475,Programma!$F$3:$Y$1107,20,0),"")</f>
        <v/>
      </c>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c r="GK475" s="4"/>
      <c r="GL475" s="4"/>
      <c r="GM475" s="4"/>
      <c r="GN475" s="4"/>
      <c r="GO475" s="4"/>
      <c r="GP475" s="4"/>
      <c r="GQ475" s="4"/>
      <c r="GR475" s="4"/>
      <c r="GS475" s="4"/>
      <c r="GT475" s="4"/>
      <c r="GU475" s="4"/>
      <c r="GV475" s="4"/>
      <c r="GW475" s="4"/>
      <c r="GX475" s="4"/>
      <c r="GY475" s="4"/>
      <c r="GZ475" s="4"/>
      <c r="HA475" s="4"/>
      <c r="HB475" s="4"/>
      <c r="HC475" s="4"/>
      <c r="HD475" s="4"/>
      <c r="HE475" s="4"/>
      <c r="HF475" s="4"/>
      <c r="HG475" s="4"/>
      <c r="HH475" s="4"/>
      <c r="HI475" s="4"/>
      <c r="HJ475" s="4"/>
      <c r="HK475" s="4"/>
      <c r="HL475" s="4"/>
    </row>
    <row r="476" spans="1:220" ht="15" customHeight="1">
      <c r="A476" s="21">
        <v>6</v>
      </c>
      <c r="B476" s="157" t="str">
        <f>VLOOKUP(Ruimtestaat[[#This Row],[Code]],Locaties[[Code]:[Locatie]],2,FALSE)</f>
        <v>Veurs Lyceum</v>
      </c>
      <c r="C476" s="157" t="str">
        <f>VLOOKUP(Ruimtestaat[[#This Row],[Code]],Locaties[[#All],[Code]:[Adres]],4,FALSE)</f>
        <v>Burg. Kolfschotenlaan 5</v>
      </c>
      <c r="D476" s="157" t="str">
        <f>VLOOKUP(Ruimtestaat[[#This Row],[Code]],Locaties[[#All],[Code]:[Postcode]],5,FALSE)</f>
        <v xml:space="preserve">2262 EZ </v>
      </c>
      <c r="E476" s="157" t="str">
        <f>VLOOKUP(Ruimtestaat[[#This Row],[Code]],Locaties[#All],6,FALSE)</f>
        <v>Leidschendam</v>
      </c>
      <c r="F476" s="62"/>
      <c r="G476" s="21" t="s">
        <v>1632</v>
      </c>
      <c r="H476" s="21">
        <v>50</v>
      </c>
      <c r="I476" s="62" t="s">
        <v>2105</v>
      </c>
      <c r="J476" s="21">
        <v>19</v>
      </c>
      <c r="K476" s="62" t="str">
        <f>VLOOKUP(Ruimtestaat[[#This Row],[Ruimte code]],Ruimtegroepen[[#All],[Code]:[Ruimte omschrijving]],2,FALSE)</f>
        <v>kleedruimten</v>
      </c>
      <c r="L476" s="33" t="s">
        <v>101</v>
      </c>
      <c r="M476" s="367" t="s">
        <v>2495</v>
      </c>
      <c r="N476" s="140">
        <v>8</v>
      </c>
      <c r="O476" s="140"/>
      <c r="P476" s="125" t="str">
        <f>VLOOKUP(Ruimtestaat[[#This Row],[Ruimte code]],Ruimtegroepen[],4,FALSE)</f>
        <v>Ve</v>
      </c>
      <c r="R476" s="33">
        <v>40</v>
      </c>
      <c r="S476" s="33" t="s">
        <v>2</v>
      </c>
      <c r="T476" s="33">
        <f>IF(R476&gt;0,IF(RIGHT(Ruimtestaat[[#This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6" s="33">
        <f>IF(T476&gt;0,VLOOKUP($J476,Ruimtegroepen[],3,FALSE)*VLOOKUP($L476,Vloersoorten[],3,FALSE)*VLOOKUP($S476,Frequenties[],3,FALSE)*VLOOKUP($A476,Locaties[],3,FALSE),0)</f>
        <v>0</v>
      </c>
      <c r="V476" s="33">
        <f>Ruimtestaat[[#This Row],[Uitvoeringen werkdagen]]*Ruimtestaat[[#This Row],[Oppervlak (netto)]]</f>
        <v>1600</v>
      </c>
      <c r="W476" s="154">
        <f>IF(U476&gt;0,Ruimtestaat[[#This Row],[Prest. (m2 /jaar) werkdagen]]/Ruimtestaat[[#This Row],[Norm (m2/uur) werkdagen]],0)</f>
        <v>0</v>
      </c>
      <c r="X476" s="155">
        <f>Ruimtestaat[[#This Row],[uren / jaar werkdagen]]*Tariefsopbouw!$E$35</f>
        <v>0</v>
      </c>
      <c r="Y476" s="33"/>
      <c r="Z476" s="33">
        <f>IF(Ruimtestaat[[#This Row],[Frequentie weekend]]&gt;0,VALUE(LEFT(Y476,1))*R476,0)</f>
        <v>0</v>
      </c>
      <c r="AA476" s="97">
        <f>IF($Z476&gt;0,VLOOKUP($J476,Ruimtegroepen[],3,FALSE)*VLOOKUP($L476,Vloersoorten[],3,FALSE)*VLOOKUP($Y476,Frequenties[],3,FALSE)*VLOOKUP(Ruimtestaat[[#This Row],[Code]],Locaties[],3,FALSE),0)</f>
        <v>0</v>
      </c>
      <c r="AB476" s="97">
        <f>Ruimtestaat[[#This Row],[Uitvoeringen weekend]]*Ruimtestaat[[#This Row],[Oppervlak (netto)]]</f>
        <v>0</v>
      </c>
      <c r="AC476" s="97">
        <f>IF(AA476&gt;0,Ruimtestaat[[#This Row],[Prest. (m2 /jaar) weekend]]/Ruimtestaat[[#This Row],[Norm (m2/uur) weekend]],0)</f>
        <v>0</v>
      </c>
      <c r="AD476" s="155">
        <f>Ruimtestaat[[#This Row],[uren / jaar weekend]]*Tariefsopbouw!$D$40</f>
        <v>0</v>
      </c>
      <c r="AE476" s="154">
        <f>Ruimtestaat[[#This Row],[Prest. (m2 /jaar) weekend]]+Ruimtestaat[[#This Row],[Prest. (m2 /jaar) werkdagen]]</f>
        <v>1600</v>
      </c>
      <c r="AF476" s="154">
        <f>Ruimtestaat[[#This Row],[uren / jaar weekend]]+Ruimtestaat[[#This Row],[uren / jaar werkdagen]]</f>
        <v>0</v>
      </c>
      <c r="AG476" s="69">
        <f>Ruimtestaat[[#This Row],[kosten / jaar weekend]]+Ruimtestaat[[#This Row],[kosten / jaar werkdagen]]</f>
        <v>0</v>
      </c>
      <c r="AH476" s="69"/>
      <c r="AI476" s="256" t="str">
        <f>IF(Ruimtestaat[[#This Row],[Frequentie werkdagen]]="","",_xlfn.CONCAT(Ruimtestaat[[#This Row],[Ruimte code]],"-",Ruimtestaat[[#This Row],[Frequentie werkdagen]]," ",Ruimtestaat[[#This Row],[Vloer code]]))</f>
        <v>19-5w L</v>
      </c>
      <c r="AJ476" s="300" t="str">
        <f>_xlfn.IFNA(VLOOKUP($AI476,Programma!$F$3:$G$1107,2,0),"")</f>
        <v>_</v>
      </c>
      <c r="AK476" s="300" t="str">
        <f>_xlfn.IFNA(VLOOKUP($AI476,Programma!$F$3:$H$1107,3,0),"")</f>
        <v>_</v>
      </c>
      <c r="AL476" s="300" t="str">
        <f>_xlfn.IFNA(VLOOKUP($AI476,Programma!$F$3:$I$1107,4,0),"")</f>
        <v>5w</v>
      </c>
      <c r="AM476" s="300" t="str">
        <f>_xlfn.IFNA(VLOOKUP($AI476,Programma!$F$3:$J$1107,5,0),"")</f>
        <v>_</v>
      </c>
      <c r="AN476" s="300" t="str">
        <f>_xlfn.IFNA(VLOOKUP($AI476,Programma!$F$3:$K$1107,6,0),"")</f>
        <v>5w</v>
      </c>
      <c r="AO476" s="300" t="str">
        <f>_xlfn.IFNA(VLOOKUP($AI476,Programma!$F$3:$L$1107,7,0),"")</f>
        <v>_</v>
      </c>
      <c r="AP476" s="300" t="str">
        <f>_xlfn.IFNA(VLOOKUP($AI476,Programma!$F$3:$M$1107,8,0),"")</f>
        <v>_</v>
      </c>
      <c r="AQ476" s="300" t="str">
        <f>_xlfn.IFNA(VLOOKUP($AI476,Programma!$F$3:$N$1107,9,0),"")</f>
        <v>_</v>
      </c>
      <c r="AR476" s="300" t="str">
        <f>_xlfn.IFNA(VLOOKUP($AI476,Programma!$F$3:$O$1107,10,0),"")</f>
        <v>5w</v>
      </c>
      <c r="AS476" s="300" t="str">
        <f>_xlfn.IFNA(VLOOKUP($AI476,Programma!$F$3:$P$1107,11,0),"")</f>
        <v>5w</v>
      </c>
      <c r="AT476" s="300" t="str">
        <f>_xlfn.IFNA(VLOOKUP($AI476,Programma!$F$3:$Q$1107,12,0),"")</f>
        <v>1w</v>
      </c>
      <c r="AU476" s="300" t="str">
        <f>_xlfn.IFNA(VLOOKUP($AI476,Programma!$F$3:$R$1107,13,0),"")</f>
        <v>1w</v>
      </c>
      <c r="AV476" s="300" t="str">
        <f>_xlfn.IFNA(VLOOKUP($AI476,Programma!$F$3:$S$1107,14,0),"")</f>
        <v>1m</v>
      </c>
      <c r="AW476" s="300" t="str">
        <f>_xlfn.IFNA(VLOOKUP($AI476,Programma!$F$3:$T$1107,15,0),"")</f>
        <v>2j</v>
      </c>
      <c r="AX476" s="300" t="str">
        <f>_xlfn.IFNA(VLOOKUP($AI476,Programma!$F$3:$U$1107,16,0),"")</f>
        <v>1j</v>
      </c>
      <c r="AY476" s="300" t="str">
        <f>_xlfn.IFNA(VLOOKUP($AI476,Programma!$F$3:$V$1107,17,0),"")</f>
        <v>_</v>
      </c>
      <c r="AZ476" s="300" t="str">
        <f>_xlfn.IFNA(VLOOKUP($AI476,Programma!$F$3:$W$1107,18,0),"")</f>
        <v>_</v>
      </c>
      <c r="BA476" s="300" t="str">
        <f>_xlfn.IFNA(VLOOKUP($AI476,Programma!$F$3:$X$1107,19,0),"")</f>
        <v>_</v>
      </c>
      <c r="BB476" s="300" t="str">
        <f>_xlfn.IFNA(VLOOKUP($AI476,Programma!$F$3:$Y$1107,20,0),"")</f>
        <v>_</v>
      </c>
      <c r="BC476" s="257"/>
      <c r="BD476" s="256" t="str">
        <f>IF(Ruimtestaat[[#This Row],[Frequentie weekend]]="","",_xlfn.CONCAT(Ruimtestaat[[#This Row],[Ruimte code]],"-",Ruimtestaat[[#This Row],[Frequentie weekend]]," ",Ruimtestaat[[#This Row],[Vloer code]]))</f>
        <v/>
      </c>
      <c r="BE476" s="300" t="str">
        <f>_xlfn.IFNA(VLOOKUP($BD476,Programma!$F$3:$G$1107,2,0),"")</f>
        <v/>
      </c>
      <c r="BF476" s="300" t="str">
        <f>_xlfn.IFNA(VLOOKUP($BD476,Programma!$F$3:$H$1107,3,0),"")</f>
        <v/>
      </c>
      <c r="BG476" s="300" t="str">
        <f>_xlfn.IFNA(VLOOKUP($BD476,Programma!$F$3:$I$1107,4,0),"")</f>
        <v/>
      </c>
      <c r="BH476" s="300" t="str">
        <f>_xlfn.IFNA(VLOOKUP($BD476,Programma!$F$3:$J$1107,5,0),"")</f>
        <v/>
      </c>
      <c r="BI476" s="300" t="str">
        <f>_xlfn.IFNA(VLOOKUP($BD476,Programma!$F$3:$K$1107,6,0),"")</f>
        <v/>
      </c>
      <c r="BJ476" s="300" t="str">
        <f>_xlfn.IFNA(VLOOKUP($BD476,Programma!$F$3:$L$1107,7,0),"")</f>
        <v/>
      </c>
      <c r="BK476" s="300" t="str">
        <f>_xlfn.IFNA(VLOOKUP($BD476,Programma!$F$3:$M$1107,8,0),"")</f>
        <v/>
      </c>
      <c r="BL476" s="300" t="str">
        <f>_xlfn.IFNA(VLOOKUP($BD476,Programma!$F$3:$N$1107,9,0),"")</f>
        <v/>
      </c>
      <c r="BM476" s="300" t="str">
        <f>_xlfn.IFNA(VLOOKUP($BD476,Programma!$F$3:$O$1107,10,0),"")</f>
        <v/>
      </c>
      <c r="BN476" s="300" t="str">
        <f>_xlfn.IFNA(VLOOKUP($BD476,Programma!$F$3:$P$1107,11,0),"")</f>
        <v/>
      </c>
      <c r="BO476" s="300" t="str">
        <f>_xlfn.IFNA(VLOOKUP($BD476,Programma!$F$3:$Q$1107,12,0),"")</f>
        <v/>
      </c>
      <c r="BP476" s="300" t="str">
        <f>_xlfn.IFNA(VLOOKUP($BD476,Programma!$F$3:$R$1107,13,0),"")</f>
        <v/>
      </c>
      <c r="BQ476" s="300" t="str">
        <f>_xlfn.IFNA(VLOOKUP($BD476,Programma!$F$3:$S$1107,14,0),"")</f>
        <v/>
      </c>
      <c r="BR476" s="300" t="str">
        <f>_xlfn.IFNA(VLOOKUP($BD476,Programma!$F$3:$T$1107,15,0),"")</f>
        <v/>
      </c>
      <c r="BS476" s="300" t="str">
        <f>_xlfn.IFNA(VLOOKUP($BD476,Programma!$F$3:$U$1107,16,0),"")</f>
        <v/>
      </c>
      <c r="BT476" s="300" t="str">
        <f>_xlfn.IFNA(VLOOKUP($BD476,Programma!$F$3:$V$1107,17,0),"")</f>
        <v/>
      </c>
      <c r="BU476" s="300" t="str">
        <f>_xlfn.IFNA(VLOOKUP($BD476,Programma!$F$3:$W$1107,18,0),"")</f>
        <v/>
      </c>
      <c r="BV476" s="300" t="str">
        <f>_xlfn.IFNA(VLOOKUP($BD476,Programma!$F$3:$X$1107,19,0),"")</f>
        <v/>
      </c>
      <c r="BW476" s="300" t="str">
        <f>_xlfn.IFNA(VLOOKUP($BD476,Programma!$F$3:$Y$1107,20,0),"")</f>
        <v/>
      </c>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c r="GK476" s="4"/>
      <c r="GL476" s="4"/>
      <c r="GM476" s="4"/>
      <c r="GN476" s="4"/>
      <c r="GO476" s="4"/>
      <c r="GP476" s="4"/>
      <c r="GQ476" s="4"/>
      <c r="GR476" s="4"/>
      <c r="GS476" s="4"/>
      <c r="GT476" s="4"/>
      <c r="GU476" s="4"/>
      <c r="GV476" s="4"/>
      <c r="GW476" s="4"/>
      <c r="GX476" s="4"/>
      <c r="GY476" s="4"/>
      <c r="GZ476" s="4"/>
      <c r="HA476" s="4"/>
      <c r="HB476" s="4"/>
      <c r="HC476" s="4"/>
      <c r="HD476" s="4"/>
      <c r="HE476" s="4"/>
      <c r="HF476" s="4"/>
      <c r="HG476" s="4"/>
      <c r="HH476" s="4"/>
      <c r="HI476" s="4"/>
      <c r="HJ476" s="4"/>
      <c r="HK476" s="4"/>
      <c r="HL476" s="4"/>
    </row>
    <row r="477" spans="1:220" ht="15" customHeight="1">
      <c r="A477" s="21">
        <v>6</v>
      </c>
      <c r="B477" s="157" t="str">
        <f>VLOOKUP(Ruimtestaat[[#This Row],[Code]],Locaties[[Code]:[Locatie]],2,FALSE)</f>
        <v>Veurs Lyceum</v>
      </c>
      <c r="C477" s="157" t="str">
        <f>VLOOKUP(Ruimtestaat[[#This Row],[Code]],Locaties[[#All],[Code]:[Adres]],4,FALSE)</f>
        <v>Burg. Kolfschotenlaan 5</v>
      </c>
      <c r="D477" s="157" t="str">
        <f>VLOOKUP(Ruimtestaat[[#This Row],[Code]],Locaties[[#All],[Code]:[Postcode]],5,FALSE)</f>
        <v xml:space="preserve">2262 EZ </v>
      </c>
      <c r="E477" s="157" t="str">
        <f>VLOOKUP(Ruimtestaat[[#This Row],[Code]],Locaties[#All],6,FALSE)</f>
        <v>Leidschendam</v>
      </c>
      <c r="F477" s="62"/>
      <c r="G477" s="21" t="s">
        <v>1632</v>
      </c>
      <c r="H477" s="21">
        <v>51</v>
      </c>
      <c r="I477" s="62" t="s">
        <v>2106</v>
      </c>
      <c r="J477" s="21">
        <v>5</v>
      </c>
      <c r="K477" s="62" t="str">
        <f>VLOOKUP(Ruimtestaat[[#This Row],[Ruimte code]],Ruimtegroepen[[#All],[Code]:[Ruimte omschrijving]],2,FALSE)</f>
        <v>Sanitair</v>
      </c>
      <c r="L477" s="33" t="s">
        <v>102</v>
      </c>
      <c r="M477" s="367" t="s">
        <v>2509</v>
      </c>
      <c r="N477" s="140">
        <v>2</v>
      </c>
      <c r="O477" s="140"/>
      <c r="P477" s="125" t="str">
        <f>VLOOKUP(Ruimtestaat[[#This Row],[Ruimte code]],Ruimtegroepen[],4,FALSE)</f>
        <v>Sa</v>
      </c>
      <c r="R477" s="33">
        <v>40</v>
      </c>
      <c r="S477" s="33" t="s">
        <v>2</v>
      </c>
      <c r="T477" s="33">
        <f>IF(R477&gt;0,IF(RIGHT(Ruimtestaat[[#This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7" s="33">
        <f>IF(T477&gt;0,VLOOKUP($J477,Ruimtegroepen[],3,FALSE)*VLOOKUP($L477,Vloersoorten[],3,FALSE)*VLOOKUP($S477,Frequenties[],3,FALSE)*VLOOKUP($A477,Locaties[],3,FALSE),0)</f>
        <v>0</v>
      </c>
      <c r="V477" s="33">
        <f>Ruimtestaat[[#This Row],[Uitvoeringen werkdagen]]*Ruimtestaat[[#This Row],[Oppervlak (netto)]]</f>
        <v>400</v>
      </c>
      <c r="W477" s="154">
        <f>IF(U477&gt;0,Ruimtestaat[[#This Row],[Prest. (m2 /jaar) werkdagen]]/Ruimtestaat[[#This Row],[Norm (m2/uur) werkdagen]],0)</f>
        <v>0</v>
      </c>
      <c r="X477" s="155">
        <f>Ruimtestaat[[#This Row],[uren / jaar werkdagen]]*Tariefsopbouw!$E$35</f>
        <v>0</v>
      </c>
      <c r="Y477" s="33"/>
      <c r="Z477" s="33">
        <f>IF(Ruimtestaat[[#This Row],[Frequentie weekend]]&gt;0,VALUE(LEFT(Y477,1))*R477,0)</f>
        <v>0</v>
      </c>
      <c r="AA477" s="97">
        <f>IF($Z477&gt;0,VLOOKUP($J477,Ruimtegroepen[],3,FALSE)*VLOOKUP($L477,Vloersoorten[],3,FALSE)*VLOOKUP($Y477,Frequenties[],3,FALSE)*VLOOKUP(Ruimtestaat[[#This Row],[Code]],Locaties[],3,FALSE),0)</f>
        <v>0</v>
      </c>
      <c r="AB477" s="97">
        <f>Ruimtestaat[[#This Row],[Uitvoeringen weekend]]*Ruimtestaat[[#This Row],[Oppervlak (netto)]]</f>
        <v>0</v>
      </c>
      <c r="AC477" s="97">
        <f>IF(AA477&gt;0,Ruimtestaat[[#This Row],[Prest. (m2 /jaar) weekend]]/Ruimtestaat[[#This Row],[Norm (m2/uur) weekend]],0)</f>
        <v>0</v>
      </c>
      <c r="AD477" s="155">
        <f>Ruimtestaat[[#This Row],[uren / jaar weekend]]*Tariefsopbouw!$D$40</f>
        <v>0</v>
      </c>
      <c r="AE477" s="154">
        <f>Ruimtestaat[[#This Row],[Prest. (m2 /jaar) weekend]]+Ruimtestaat[[#This Row],[Prest. (m2 /jaar) werkdagen]]</f>
        <v>400</v>
      </c>
      <c r="AF477" s="154">
        <f>Ruimtestaat[[#This Row],[uren / jaar weekend]]+Ruimtestaat[[#This Row],[uren / jaar werkdagen]]</f>
        <v>0</v>
      </c>
      <c r="AG477" s="69">
        <f>Ruimtestaat[[#This Row],[kosten / jaar weekend]]+Ruimtestaat[[#This Row],[kosten / jaar werkdagen]]</f>
        <v>0</v>
      </c>
      <c r="AH477" s="69"/>
      <c r="AI477" s="256" t="str">
        <f>IF(Ruimtestaat[[#This Row],[Frequentie werkdagen]]="","",_xlfn.CONCAT(Ruimtestaat[[#This Row],[Ruimte code]],"-",Ruimtestaat[[#This Row],[Frequentie werkdagen]]," ",Ruimtestaat[[#This Row],[Vloer code]]))</f>
        <v>5-5w S</v>
      </c>
      <c r="AJ477" s="300" t="str">
        <f>_xlfn.IFNA(VLOOKUP($AI477,Programma!$F$3:$G$1107,2,0),"")</f>
        <v>_</v>
      </c>
      <c r="AK477" s="300" t="str">
        <f>_xlfn.IFNA(VLOOKUP($AI477,Programma!$F$3:$H$1107,3,0),"")</f>
        <v>_</v>
      </c>
      <c r="AL477" s="300" t="str">
        <f>_xlfn.IFNA(VLOOKUP($AI477,Programma!$F$3:$I$1107,4,0),"")</f>
        <v>_</v>
      </c>
      <c r="AM477" s="300" t="str">
        <f>_xlfn.IFNA(VLOOKUP($AI477,Programma!$F$3:$J$1107,5,0),"")</f>
        <v>4w</v>
      </c>
      <c r="AN477" s="300" t="str">
        <f>_xlfn.IFNA(VLOOKUP($AI477,Programma!$F$3:$K$1107,6,0),"")</f>
        <v>1w</v>
      </c>
      <c r="AO477" s="300" t="str">
        <f>_xlfn.IFNA(VLOOKUP($AI477,Programma!$F$3:$L$1107,7,0),"")</f>
        <v>_</v>
      </c>
      <c r="AP477" s="300" t="str">
        <f>_xlfn.IFNA(VLOOKUP($AI477,Programma!$F$3:$M$1107,8,0),"")</f>
        <v>_</v>
      </c>
      <c r="AQ477" s="300" t="str">
        <f>_xlfn.IFNA(VLOOKUP($AI477,Programma!$F$3:$N$1107,9,0),"")</f>
        <v>_</v>
      </c>
      <c r="AR477" s="300" t="str">
        <f>_xlfn.IFNA(VLOOKUP($AI477,Programma!$F$3:$O$1107,10,0),"")</f>
        <v>_</v>
      </c>
      <c r="AS477" s="300" t="str">
        <f>_xlfn.IFNA(VLOOKUP($AI477,Programma!$F$3:$P$1107,11,0),"")</f>
        <v>_</v>
      </c>
      <c r="AT477" s="300" t="str">
        <f>_xlfn.IFNA(VLOOKUP($AI477,Programma!$F$3:$Q$1107,12,0),"")</f>
        <v>_</v>
      </c>
      <c r="AU477" s="300" t="str">
        <f>_xlfn.IFNA(VLOOKUP($AI477,Programma!$F$3:$R$1107,13,0),"")</f>
        <v>_</v>
      </c>
      <c r="AV477" s="300" t="str">
        <f>_xlfn.IFNA(VLOOKUP($AI477,Programma!$F$3:$S$1107,14,0),"")</f>
        <v>_</v>
      </c>
      <c r="AW477" s="300" t="str">
        <f>_xlfn.IFNA(VLOOKUP($AI477,Programma!$F$3:$T$1107,15,0),"")</f>
        <v>_</v>
      </c>
      <c r="AX477" s="300" t="str">
        <f>_xlfn.IFNA(VLOOKUP($AI477,Programma!$F$3:$U$1107,16,0),"")</f>
        <v>_</v>
      </c>
      <c r="AY477" s="300" t="str">
        <f>_xlfn.IFNA(VLOOKUP($AI477,Programma!$F$3:$V$1107,17,0),"")</f>
        <v>_</v>
      </c>
      <c r="AZ477" s="300" t="str">
        <f>_xlfn.IFNA(VLOOKUP($AI477,Programma!$F$3:$W$1107,18,0),"")</f>
        <v>4w</v>
      </c>
      <c r="BA477" s="300" t="str">
        <f>_xlfn.IFNA(VLOOKUP($AI477,Programma!$F$3:$X$1107,19,0),"")</f>
        <v>1w</v>
      </c>
      <c r="BB477" s="300" t="str">
        <f>_xlfn.IFNA(VLOOKUP($AI477,Programma!$F$3:$Y$1107,20,0),"")</f>
        <v>_</v>
      </c>
      <c r="BC477" s="257"/>
      <c r="BD477" s="256" t="str">
        <f>IF(Ruimtestaat[[#This Row],[Frequentie weekend]]="","",_xlfn.CONCAT(Ruimtestaat[[#This Row],[Ruimte code]],"-",Ruimtestaat[[#This Row],[Frequentie weekend]]," ",Ruimtestaat[[#This Row],[Vloer code]]))</f>
        <v/>
      </c>
      <c r="BE477" s="300" t="str">
        <f>_xlfn.IFNA(VLOOKUP($BD477,Programma!$F$3:$G$1107,2,0),"")</f>
        <v/>
      </c>
      <c r="BF477" s="300" t="str">
        <f>_xlfn.IFNA(VLOOKUP($BD477,Programma!$F$3:$H$1107,3,0),"")</f>
        <v/>
      </c>
      <c r="BG477" s="300" t="str">
        <f>_xlfn.IFNA(VLOOKUP($BD477,Programma!$F$3:$I$1107,4,0),"")</f>
        <v/>
      </c>
      <c r="BH477" s="300" t="str">
        <f>_xlfn.IFNA(VLOOKUP($BD477,Programma!$F$3:$J$1107,5,0),"")</f>
        <v/>
      </c>
      <c r="BI477" s="300" t="str">
        <f>_xlfn.IFNA(VLOOKUP($BD477,Programma!$F$3:$K$1107,6,0),"")</f>
        <v/>
      </c>
      <c r="BJ477" s="300" t="str">
        <f>_xlfn.IFNA(VLOOKUP($BD477,Programma!$F$3:$L$1107,7,0),"")</f>
        <v/>
      </c>
      <c r="BK477" s="300" t="str">
        <f>_xlfn.IFNA(VLOOKUP($BD477,Programma!$F$3:$M$1107,8,0),"")</f>
        <v/>
      </c>
      <c r="BL477" s="300" t="str">
        <f>_xlfn.IFNA(VLOOKUP($BD477,Programma!$F$3:$N$1107,9,0),"")</f>
        <v/>
      </c>
      <c r="BM477" s="300" t="str">
        <f>_xlfn.IFNA(VLOOKUP($BD477,Programma!$F$3:$O$1107,10,0),"")</f>
        <v/>
      </c>
      <c r="BN477" s="300" t="str">
        <f>_xlfn.IFNA(VLOOKUP($BD477,Programma!$F$3:$P$1107,11,0),"")</f>
        <v/>
      </c>
      <c r="BO477" s="300" t="str">
        <f>_xlfn.IFNA(VLOOKUP($BD477,Programma!$F$3:$Q$1107,12,0),"")</f>
        <v/>
      </c>
      <c r="BP477" s="300" t="str">
        <f>_xlfn.IFNA(VLOOKUP($BD477,Programma!$F$3:$R$1107,13,0),"")</f>
        <v/>
      </c>
      <c r="BQ477" s="300" t="str">
        <f>_xlfn.IFNA(VLOOKUP($BD477,Programma!$F$3:$S$1107,14,0),"")</f>
        <v/>
      </c>
      <c r="BR477" s="300" t="str">
        <f>_xlfn.IFNA(VLOOKUP($BD477,Programma!$F$3:$T$1107,15,0),"")</f>
        <v/>
      </c>
      <c r="BS477" s="300" t="str">
        <f>_xlfn.IFNA(VLOOKUP($BD477,Programma!$F$3:$U$1107,16,0),"")</f>
        <v/>
      </c>
      <c r="BT477" s="300" t="str">
        <f>_xlfn.IFNA(VLOOKUP($BD477,Programma!$F$3:$V$1107,17,0),"")</f>
        <v/>
      </c>
      <c r="BU477" s="300" t="str">
        <f>_xlfn.IFNA(VLOOKUP($BD477,Programma!$F$3:$W$1107,18,0),"")</f>
        <v/>
      </c>
      <c r="BV477" s="300" t="str">
        <f>_xlfn.IFNA(VLOOKUP($BD477,Programma!$F$3:$X$1107,19,0),"")</f>
        <v/>
      </c>
      <c r="BW477" s="300" t="str">
        <f>_xlfn.IFNA(VLOOKUP($BD477,Programma!$F$3:$Y$1107,20,0),"")</f>
        <v/>
      </c>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c r="GK477" s="4"/>
      <c r="GL477" s="4"/>
      <c r="GM477" s="4"/>
      <c r="GN477" s="4"/>
      <c r="GO477" s="4"/>
      <c r="GP477" s="4"/>
      <c r="GQ477" s="4"/>
      <c r="GR477" s="4"/>
      <c r="GS477" s="4"/>
      <c r="GT477" s="4"/>
      <c r="GU477" s="4"/>
      <c r="GV477" s="4"/>
      <c r="GW477" s="4"/>
      <c r="GX477" s="4"/>
      <c r="GY477" s="4"/>
      <c r="GZ477" s="4"/>
      <c r="HA477" s="4"/>
      <c r="HB477" s="4"/>
      <c r="HC477" s="4"/>
      <c r="HD477" s="4"/>
      <c r="HE477" s="4"/>
      <c r="HF477" s="4"/>
      <c r="HG477" s="4"/>
      <c r="HH477" s="4"/>
      <c r="HI477" s="4"/>
      <c r="HJ477" s="4"/>
      <c r="HK477" s="4"/>
      <c r="HL477" s="4"/>
    </row>
    <row r="478" spans="1:220" ht="15" customHeight="1">
      <c r="A478" s="21">
        <v>6</v>
      </c>
      <c r="B478" s="157" t="str">
        <f>VLOOKUP(Ruimtestaat[[#This Row],[Code]],Locaties[[Code]:[Locatie]],2,FALSE)</f>
        <v>Veurs Lyceum</v>
      </c>
      <c r="C478" s="157" t="str">
        <f>VLOOKUP(Ruimtestaat[[#This Row],[Code]],Locaties[[#All],[Code]:[Adres]],4,FALSE)</f>
        <v>Burg. Kolfschotenlaan 5</v>
      </c>
      <c r="D478" s="157" t="str">
        <f>VLOOKUP(Ruimtestaat[[#This Row],[Code]],Locaties[[#All],[Code]:[Postcode]],5,FALSE)</f>
        <v xml:space="preserve">2262 EZ </v>
      </c>
      <c r="E478" s="157" t="str">
        <f>VLOOKUP(Ruimtestaat[[#This Row],[Code]],Locaties[#All],6,FALSE)</f>
        <v>Leidschendam</v>
      </c>
      <c r="F478" s="62"/>
      <c r="G478" s="21" t="s">
        <v>1632</v>
      </c>
      <c r="H478" s="21">
        <v>52</v>
      </c>
      <c r="I478" s="62" t="s">
        <v>1639</v>
      </c>
      <c r="J478" s="21">
        <v>5</v>
      </c>
      <c r="K478" s="62" t="str">
        <f>VLOOKUP(Ruimtestaat[[#This Row],[Ruimte code]],Ruimtegroepen[[#All],[Code]:[Ruimte omschrijving]],2,FALSE)</f>
        <v>Sanitair</v>
      </c>
      <c r="L478" s="33" t="s">
        <v>102</v>
      </c>
      <c r="M478" s="367" t="s">
        <v>2509</v>
      </c>
      <c r="N478" s="140">
        <v>6</v>
      </c>
      <c r="O478" s="140"/>
      <c r="P478" s="125" t="str">
        <f>VLOOKUP(Ruimtestaat[[#This Row],[Ruimte code]],Ruimtegroepen[],4,FALSE)</f>
        <v>Sa</v>
      </c>
      <c r="R478" s="33">
        <v>40</v>
      </c>
      <c r="S478" s="33" t="s">
        <v>2</v>
      </c>
      <c r="T478" s="33">
        <f>IF(R478&gt;0,IF(RIGHT(Ruimtestaat[[#This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8" s="33">
        <f>IF(T478&gt;0,VLOOKUP($J478,Ruimtegroepen[],3,FALSE)*VLOOKUP($L478,Vloersoorten[],3,FALSE)*VLOOKUP($S478,Frequenties[],3,FALSE)*VLOOKUP($A478,Locaties[],3,FALSE),0)</f>
        <v>0</v>
      </c>
      <c r="V478" s="33">
        <f>Ruimtestaat[[#This Row],[Uitvoeringen werkdagen]]*Ruimtestaat[[#This Row],[Oppervlak (netto)]]</f>
        <v>1200</v>
      </c>
      <c r="W478" s="154">
        <f>IF(U478&gt;0,Ruimtestaat[[#This Row],[Prest. (m2 /jaar) werkdagen]]/Ruimtestaat[[#This Row],[Norm (m2/uur) werkdagen]],0)</f>
        <v>0</v>
      </c>
      <c r="X478" s="155">
        <f>Ruimtestaat[[#This Row],[uren / jaar werkdagen]]*Tariefsopbouw!$E$35</f>
        <v>0</v>
      </c>
      <c r="Y478" s="33"/>
      <c r="Z478" s="33">
        <f>IF(Ruimtestaat[[#This Row],[Frequentie weekend]]&gt;0,VALUE(LEFT(Y478,1))*R478,0)</f>
        <v>0</v>
      </c>
      <c r="AA478" s="97">
        <f>IF($Z478&gt;0,VLOOKUP($J478,Ruimtegroepen[],3,FALSE)*VLOOKUP($L478,Vloersoorten[],3,FALSE)*VLOOKUP($Y478,Frequenties[],3,FALSE)*VLOOKUP(Ruimtestaat[[#This Row],[Code]],Locaties[],3,FALSE),0)</f>
        <v>0</v>
      </c>
      <c r="AB478" s="97">
        <f>Ruimtestaat[[#This Row],[Uitvoeringen weekend]]*Ruimtestaat[[#This Row],[Oppervlak (netto)]]</f>
        <v>0</v>
      </c>
      <c r="AC478" s="97">
        <f>IF(AA478&gt;0,Ruimtestaat[[#This Row],[Prest. (m2 /jaar) weekend]]/Ruimtestaat[[#This Row],[Norm (m2/uur) weekend]],0)</f>
        <v>0</v>
      </c>
      <c r="AD478" s="155">
        <f>Ruimtestaat[[#This Row],[uren / jaar weekend]]*Tariefsopbouw!$D$40</f>
        <v>0</v>
      </c>
      <c r="AE478" s="154">
        <f>Ruimtestaat[[#This Row],[Prest. (m2 /jaar) weekend]]+Ruimtestaat[[#This Row],[Prest. (m2 /jaar) werkdagen]]</f>
        <v>1200</v>
      </c>
      <c r="AF478" s="154">
        <f>Ruimtestaat[[#This Row],[uren / jaar weekend]]+Ruimtestaat[[#This Row],[uren / jaar werkdagen]]</f>
        <v>0</v>
      </c>
      <c r="AG478" s="69">
        <f>Ruimtestaat[[#This Row],[kosten / jaar weekend]]+Ruimtestaat[[#This Row],[kosten / jaar werkdagen]]</f>
        <v>0</v>
      </c>
      <c r="AH478" s="69"/>
      <c r="AI478" s="256" t="str">
        <f>IF(Ruimtestaat[[#This Row],[Frequentie werkdagen]]="","",_xlfn.CONCAT(Ruimtestaat[[#This Row],[Ruimte code]],"-",Ruimtestaat[[#This Row],[Frequentie werkdagen]]," ",Ruimtestaat[[#This Row],[Vloer code]]))</f>
        <v>5-5w S</v>
      </c>
      <c r="AJ478" s="300" t="str">
        <f>_xlfn.IFNA(VLOOKUP($AI478,Programma!$F$3:$G$1107,2,0),"")</f>
        <v>_</v>
      </c>
      <c r="AK478" s="300" t="str">
        <f>_xlfn.IFNA(VLOOKUP($AI478,Programma!$F$3:$H$1107,3,0),"")</f>
        <v>_</v>
      </c>
      <c r="AL478" s="300" t="str">
        <f>_xlfn.IFNA(VLOOKUP($AI478,Programma!$F$3:$I$1107,4,0),"")</f>
        <v>_</v>
      </c>
      <c r="AM478" s="300" t="str">
        <f>_xlfn.IFNA(VLOOKUP($AI478,Programma!$F$3:$J$1107,5,0),"")</f>
        <v>4w</v>
      </c>
      <c r="AN478" s="300" t="str">
        <f>_xlfn.IFNA(VLOOKUP($AI478,Programma!$F$3:$K$1107,6,0),"")</f>
        <v>1w</v>
      </c>
      <c r="AO478" s="300" t="str">
        <f>_xlfn.IFNA(VLOOKUP($AI478,Programma!$F$3:$L$1107,7,0),"")</f>
        <v>_</v>
      </c>
      <c r="AP478" s="300" t="str">
        <f>_xlfn.IFNA(VLOOKUP($AI478,Programma!$F$3:$M$1107,8,0),"")</f>
        <v>_</v>
      </c>
      <c r="AQ478" s="300" t="str">
        <f>_xlfn.IFNA(VLOOKUP($AI478,Programma!$F$3:$N$1107,9,0),"")</f>
        <v>_</v>
      </c>
      <c r="AR478" s="300" t="str">
        <f>_xlfn.IFNA(VLOOKUP($AI478,Programma!$F$3:$O$1107,10,0),"")</f>
        <v>_</v>
      </c>
      <c r="AS478" s="300" t="str">
        <f>_xlfn.IFNA(VLOOKUP($AI478,Programma!$F$3:$P$1107,11,0),"")</f>
        <v>_</v>
      </c>
      <c r="AT478" s="300" t="str">
        <f>_xlfn.IFNA(VLOOKUP($AI478,Programma!$F$3:$Q$1107,12,0),"")</f>
        <v>_</v>
      </c>
      <c r="AU478" s="300" t="str">
        <f>_xlfn.IFNA(VLOOKUP($AI478,Programma!$F$3:$R$1107,13,0),"")</f>
        <v>_</v>
      </c>
      <c r="AV478" s="300" t="str">
        <f>_xlfn.IFNA(VLOOKUP($AI478,Programma!$F$3:$S$1107,14,0),"")</f>
        <v>_</v>
      </c>
      <c r="AW478" s="300" t="str">
        <f>_xlfn.IFNA(VLOOKUP($AI478,Programma!$F$3:$T$1107,15,0),"")</f>
        <v>_</v>
      </c>
      <c r="AX478" s="300" t="str">
        <f>_xlfn.IFNA(VLOOKUP($AI478,Programma!$F$3:$U$1107,16,0),"")</f>
        <v>_</v>
      </c>
      <c r="AY478" s="300" t="str">
        <f>_xlfn.IFNA(VLOOKUP($AI478,Programma!$F$3:$V$1107,17,0),"")</f>
        <v>_</v>
      </c>
      <c r="AZ478" s="300" t="str">
        <f>_xlfn.IFNA(VLOOKUP($AI478,Programma!$F$3:$W$1107,18,0),"")</f>
        <v>4w</v>
      </c>
      <c r="BA478" s="300" t="str">
        <f>_xlfn.IFNA(VLOOKUP($AI478,Programma!$F$3:$X$1107,19,0),"")</f>
        <v>1w</v>
      </c>
      <c r="BB478" s="300" t="str">
        <f>_xlfn.IFNA(VLOOKUP($AI478,Programma!$F$3:$Y$1107,20,0),"")</f>
        <v>_</v>
      </c>
      <c r="BC478" s="257"/>
      <c r="BD478" s="256" t="str">
        <f>IF(Ruimtestaat[[#This Row],[Frequentie weekend]]="","",_xlfn.CONCAT(Ruimtestaat[[#This Row],[Ruimte code]],"-",Ruimtestaat[[#This Row],[Frequentie weekend]]," ",Ruimtestaat[[#This Row],[Vloer code]]))</f>
        <v/>
      </c>
      <c r="BE478" s="300" t="str">
        <f>_xlfn.IFNA(VLOOKUP($BD478,Programma!$F$3:$G$1107,2,0),"")</f>
        <v/>
      </c>
      <c r="BF478" s="300" t="str">
        <f>_xlfn.IFNA(VLOOKUP($BD478,Programma!$F$3:$H$1107,3,0),"")</f>
        <v/>
      </c>
      <c r="BG478" s="300" t="str">
        <f>_xlfn.IFNA(VLOOKUP($BD478,Programma!$F$3:$I$1107,4,0),"")</f>
        <v/>
      </c>
      <c r="BH478" s="300" t="str">
        <f>_xlfn.IFNA(VLOOKUP($BD478,Programma!$F$3:$J$1107,5,0),"")</f>
        <v/>
      </c>
      <c r="BI478" s="300" t="str">
        <f>_xlfn.IFNA(VLOOKUP($BD478,Programma!$F$3:$K$1107,6,0),"")</f>
        <v/>
      </c>
      <c r="BJ478" s="300" t="str">
        <f>_xlfn.IFNA(VLOOKUP($BD478,Programma!$F$3:$L$1107,7,0),"")</f>
        <v/>
      </c>
      <c r="BK478" s="300" t="str">
        <f>_xlfn.IFNA(VLOOKUP($BD478,Programma!$F$3:$M$1107,8,0),"")</f>
        <v/>
      </c>
      <c r="BL478" s="300" t="str">
        <f>_xlfn.IFNA(VLOOKUP($BD478,Programma!$F$3:$N$1107,9,0),"")</f>
        <v/>
      </c>
      <c r="BM478" s="300" t="str">
        <f>_xlfn.IFNA(VLOOKUP($BD478,Programma!$F$3:$O$1107,10,0),"")</f>
        <v/>
      </c>
      <c r="BN478" s="300" t="str">
        <f>_xlfn.IFNA(VLOOKUP($BD478,Programma!$F$3:$P$1107,11,0),"")</f>
        <v/>
      </c>
      <c r="BO478" s="300" t="str">
        <f>_xlfn.IFNA(VLOOKUP($BD478,Programma!$F$3:$Q$1107,12,0),"")</f>
        <v/>
      </c>
      <c r="BP478" s="300" t="str">
        <f>_xlfn.IFNA(VLOOKUP($BD478,Programma!$F$3:$R$1107,13,0),"")</f>
        <v/>
      </c>
      <c r="BQ478" s="300" t="str">
        <f>_xlfn.IFNA(VLOOKUP($BD478,Programma!$F$3:$S$1107,14,0),"")</f>
        <v/>
      </c>
      <c r="BR478" s="300" t="str">
        <f>_xlfn.IFNA(VLOOKUP($BD478,Programma!$F$3:$T$1107,15,0),"")</f>
        <v/>
      </c>
      <c r="BS478" s="300" t="str">
        <f>_xlfn.IFNA(VLOOKUP($BD478,Programma!$F$3:$U$1107,16,0),"")</f>
        <v/>
      </c>
      <c r="BT478" s="300" t="str">
        <f>_xlfn.IFNA(VLOOKUP($BD478,Programma!$F$3:$V$1107,17,0),"")</f>
        <v/>
      </c>
      <c r="BU478" s="300" t="str">
        <f>_xlfn.IFNA(VLOOKUP($BD478,Programma!$F$3:$W$1107,18,0),"")</f>
        <v/>
      </c>
      <c r="BV478" s="300" t="str">
        <f>_xlfn.IFNA(VLOOKUP($BD478,Programma!$F$3:$X$1107,19,0),"")</f>
        <v/>
      </c>
      <c r="BW478" s="300" t="str">
        <f>_xlfn.IFNA(VLOOKUP($BD478,Programma!$F$3:$Y$1107,20,0),"")</f>
        <v/>
      </c>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c r="GK478" s="4"/>
      <c r="GL478" s="4"/>
      <c r="GM478" s="4"/>
      <c r="GN478" s="4"/>
      <c r="GO478" s="4"/>
      <c r="GP478" s="4"/>
      <c r="GQ478" s="4"/>
      <c r="GR478" s="4"/>
      <c r="GS478" s="4"/>
      <c r="GT478" s="4"/>
      <c r="GU478" s="4"/>
      <c r="GV478" s="4"/>
      <c r="GW478" s="4"/>
      <c r="GX478" s="4"/>
      <c r="GY478" s="4"/>
      <c r="GZ478" s="4"/>
      <c r="HA478" s="4"/>
      <c r="HB478" s="4"/>
      <c r="HC478" s="4"/>
      <c r="HD478" s="4"/>
      <c r="HE478" s="4"/>
      <c r="HF478" s="4"/>
      <c r="HG478" s="4"/>
      <c r="HH478" s="4"/>
      <c r="HI478" s="4"/>
      <c r="HJ478" s="4"/>
      <c r="HK478" s="4"/>
      <c r="HL478" s="4"/>
    </row>
    <row r="479" spans="1:220" ht="15" customHeight="1">
      <c r="A479" s="21">
        <v>6</v>
      </c>
      <c r="B479" s="157" t="str">
        <f>VLOOKUP(Ruimtestaat[[#This Row],[Code]],Locaties[[Code]:[Locatie]],2,FALSE)</f>
        <v>Veurs Lyceum</v>
      </c>
      <c r="C479" s="157" t="str">
        <f>VLOOKUP(Ruimtestaat[[#This Row],[Code]],Locaties[[#All],[Code]:[Adres]],4,FALSE)</f>
        <v>Burg. Kolfschotenlaan 5</v>
      </c>
      <c r="D479" s="157" t="str">
        <f>VLOOKUP(Ruimtestaat[[#This Row],[Code]],Locaties[[#All],[Code]:[Postcode]],5,FALSE)</f>
        <v xml:space="preserve">2262 EZ </v>
      </c>
      <c r="E479" s="157" t="str">
        <f>VLOOKUP(Ruimtestaat[[#This Row],[Code]],Locaties[#All],6,FALSE)</f>
        <v>Leidschendam</v>
      </c>
      <c r="F479" s="62"/>
      <c r="G479" s="21" t="s">
        <v>1632</v>
      </c>
      <c r="H479" s="21">
        <v>53</v>
      </c>
      <c r="I479" s="62" t="s">
        <v>1640</v>
      </c>
      <c r="J479" s="21">
        <v>5</v>
      </c>
      <c r="K479" s="62" t="str">
        <f>VLOOKUP(Ruimtestaat[[#This Row],[Ruimte code]],Ruimtegroepen[[#All],[Code]:[Ruimte omschrijving]],2,FALSE)</f>
        <v>Sanitair</v>
      </c>
      <c r="L479" s="33" t="s">
        <v>102</v>
      </c>
      <c r="M479" s="367" t="s">
        <v>2509</v>
      </c>
      <c r="N479" s="140">
        <v>7</v>
      </c>
      <c r="O479" s="140"/>
      <c r="P479" s="125" t="str">
        <f>VLOOKUP(Ruimtestaat[[#This Row],[Ruimte code]],Ruimtegroepen[],4,FALSE)</f>
        <v>Sa</v>
      </c>
      <c r="R479" s="33">
        <v>40</v>
      </c>
      <c r="S479" s="33" t="s">
        <v>2</v>
      </c>
      <c r="T479" s="33">
        <f>IF(R479&gt;0,IF(RIGHT(Ruimtestaat[[#This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9" s="33">
        <f>IF(T479&gt;0,VLOOKUP($J479,Ruimtegroepen[],3,FALSE)*VLOOKUP($L479,Vloersoorten[],3,FALSE)*VLOOKUP($S479,Frequenties[],3,FALSE)*VLOOKUP($A479,Locaties[],3,FALSE),0)</f>
        <v>0</v>
      </c>
      <c r="V479" s="33">
        <f>Ruimtestaat[[#This Row],[Uitvoeringen werkdagen]]*Ruimtestaat[[#This Row],[Oppervlak (netto)]]</f>
        <v>1400</v>
      </c>
      <c r="W479" s="154">
        <f>IF(U479&gt;0,Ruimtestaat[[#This Row],[Prest. (m2 /jaar) werkdagen]]/Ruimtestaat[[#This Row],[Norm (m2/uur) werkdagen]],0)</f>
        <v>0</v>
      </c>
      <c r="X479" s="155">
        <f>Ruimtestaat[[#This Row],[uren / jaar werkdagen]]*Tariefsopbouw!$E$35</f>
        <v>0</v>
      </c>
      <c r="Y479" s="33"/>
      <c r="Z479" s="33">
        <f>IF(Ruimtestaat[[#This Row],[Frequentie weekend]]&gt;0,VALUE(LEFT(Y479,1))*R479,0)</f>
        <v>0</v>
      </c>
      <c r="AA479" s="97">
        <f>IF($Z479&gt;0,VLOOKUP($J479,Ruimtegroepen[],3,FALSE)*VLOOKUP($L479,Vloersoorten[],3,FALSE)*VLOOKUP($Y479,Frequenties[],3,FALSE)*VLOOKUP(Ruimtestaat[[#This Row],[Code]],Locaties[],3,FALSE),0)</f>
        <v>0</v>
      </c>
      <c r="AB479" s="97">
        <f>Ruimtestaat[[#This Row],[Uitvoeringen weekend]]*Ruimtestaat[[#This Row],[Oppervlak (netto)]]</f>
        <v>0</v>
      </c>
      <c r="AC479" s="97">
        <f>IF(AA479&gt;0,Ruimtestaat[[#This Row],[Prest. (m2 /jaar) weekend]]/Ruimtestaat[[#This Row],[Norm (m2/uur) weekend]],0)</f>
        <v>0</v>
      </c>
      <c r="AD479" s="155">
        <f>Ruimtestaat[[#This Row],[uren / jaar weekend]]*Tariefsopbouw!$D$40</f>
        <v>0</v>
      </c>
      <c r="AE479" s="154">
        <f>Ruimtestaat[[#This Row],[Prest. (m2 /jaar) weekend]]+Ruimtestaat[[#This Row],[Prest. (m2 /jaar) werkdagen]]</f>
        <v>1400</v>
      </c>
      <c r="AF479" s="154">
        <f>Ruimtestaat[[#This Row],[uren / jaar weekend]]+Ruimtestaat[[#This Row],[uren / jaar werkdagen]]</f>
        <v>0</v>
      </c>
      <c r="AG479" s="69">
        <f>Ruimtestaat[[#This Row],[kosten / jaar weekend]]+Ruimtestaat[[#This Row],[kosten / jaar werkdagen]]</f>
        <v>0</v>
      </c>
      <c r="AH479" s="69"/>
      <c r="AI479" s="256" t="str">
        <f>IF(Ruimtestaat[[#This Row],[Frequentie werkdagen]]="","",_xlfn.CONCAT(Ruimtestaat[[#This Row],[Ruimte code]],"-",Ruimtestaat[[#This Row],[Frequentie werkdagen]]," ",Ruimtestaat[[#This Row],[Vloer code]]))</f>
        <v>5-5w S</v>
      </c>
      <c r="AJ479" s="300" t="str">
        <f>_xlfn.IFNA(VLOOKUP($AI479,Programma!$F$3:$G$1107,2,0),"")</f>
        <v>_</v>
      </c>
      <c r="AK479" s="300" t="str">
        <f>_xlfn.IFNA(VLOOKUP($AI479,Programma!$F$3:$H$1107,3,0),"")</f>
        <v>_</v>
      </c>
      <c r="AL479" s="300" t="str">
        <f>_xlfn.IFNA(VLOOKUP($AI479,Programma!$F$3:$I$1107,4,0),"")</f>
        <v>_</v>
      </c>
      <c r="AM479" s="300" t="str">
        <f>_xlfn.IFNA(VLOOKUP($AI479,Programma!$F$3:$J$1107,5,0),"")</f>
        <v>4w</v>
      </c>
      <c r="AN479" s="300" t="str">
        <f>_xlfn.IFNA(VLOOKUP($AI479,Programma!$F$3:$K$1107,6,0),"")</f>
        <v>1w</v>
      </c>
      <c r="AO479" s="300" t="str">
        <f>_xlfn.IFNA(VLOOKUP($AI479,Programma!$F$3:$L$1107,7,0),"")</f>
        <v>_</v>
      </c>
      <c r="AP479" s="300" t="str">
        <f>_xlfn.IFNA(VLOOKUP($AI479,Programma!$F$3:$M$1107,8,0),"")</f>
        <v>_</v>
      </c>
      <c r="AQ479" s="300" t="str">
        <f>_xlfn.IFNA(VLOOKUP($AI479,Programma!$F$3:$N$1107,9,0),"")</f>
        <v>_</v>
      </c>
      <c r="AR479" s="300" t="str">
        <f>_xlfn.IFNA(VLOOKUP($AI479,Programma!$F$3:$O$1107,10,0),"")</f>
        <v>_</v>
      </c>
      <c r="AS479" s="300" t="str">
        <f>_xlfn.IFNA(VLOOKUP($AI479,Programma!$F$3:$P$1107,11,0),"")</f>
        <v>_</v>
      </c>
      <c r="AT479" s="300" t="str">
        <f>_xlfn.IFNA(VLOOKUP($AI479,Programma!$F$3:$Q$1107,12,0),"")</f>
        <v>_</v>
      </c>
      <c r="AU479" s="300" t="str">
        <f>_xlfn.IFNA(VLOOKUP($AI479,Programma!$F$3:$R$1107,13,0),"")</f>
        <v>_</v>
      </c>
      <c r="AV479" s="300" t="str">
        <f>_xlfn.IFNA(VLOOKUP($AI479,Programma!$F$3:$S$1107,14,0),"")</f>
        <v>_</v>
      </c>
      <c r="AW479" s="300" t="str">
        <f>_xlfn.IFNA(VLOOKUP($AI479,Programma!$F$3:$T$1107,15,0),"")</f>
        <v>_</v>
      </c>
      <c r="AX479" s="300" t="str">
        <f>_xlfn.IFNA(VLOOKUP($AI479,Programma!$F$3:$U$1107,16,0),"")</f>
        <v>_</v>
      </c>
      <c r="AY479" s="300" t="str">
        <f>_xlfn.IFNA(VLOOKUP($AI479,Programma!$F$3:$V$1107,17,0),"")</f>
        <v>_</v>
      </c>
      <c r="AZ479" s="300" t="str">
        <f>_xlfn.IFNA(VLOOKUP($AI479,Programma!$F$3:$W$1107,18,0),"")</f>
        <v>4w</v>
      </c>
      <c r="BA479" s="300" t="str">
        <f>_xlfn.IFNA(VLOOKUP($AI479,Programma!$F$3:$X$1107,19,0),"")</f>
        <v>1w</v>
      </c>
      <c r="BB479" s="300" t="str">
        <f>_xlfn.IFNA(VLOOKUP($AI479,Programma!$F$3:$Y$1107,20,0),"")</f>
        <v>_</v>
      </c>
      <c r="BC479" s="257"/>
      <c r="BD479" s="256" t="str">
        <f>IF(Ruimtestaat[[#This Row],[Frequentie weekend]]="","",_xlfn.CONCAT(Ruimtestaat[[#This Row],[Ruimte code]],"-",Ruimtestaat[[#This Row],[Frequentie weekend]]," ",Ruimtestaat[[#This Row],[Vloer code]]))</f>
        <v/>
      </c>
      <c r="BE479" s="300" t="str">
        <f>_xlfn.IFNA(VLOOKUP($BD479,Programma!$F$3:$G$1107,2,0),"")</f>
        <v/>
      </c>
      <c r="BF479" s="300" t="str">
        <f>_xlfn.IFNA(VLOOKUP($BD479,Programma!$F$3:$H$1107,3,0),"")</f>
        <v/>
      </c>
      <c r="BG479" s="300" t="str">
        <f>_xlfn.IFNA(VLOOKUP($BD479,Programma!$F$3:$I$1107,4,0),"")</f>
        <v/>
      </c>
      <c r="BH479" s="300" t="str">
        <f>_xlfn.IFNA(VLOOKUP($BD479,Programma!$F$3:$J$1107,5,0),"")</f>
        <v/>
      </c>
      <c r="BI479" s="300" t="str">
        <f>_xlfn.IFNA(VLOOKUP($BD479,Programma!$F$3:$K$1107,6,0),"")</f>
        <v/>
      </c>
      <c r="BJ479" s="300" t="str">
        <f>_xlfn.IFNA(VLOOKUP($BD479,Programma!$F$3:$L$1107,7,0),"")</f>
        <v/>
      </c>
      <c r="BK479" s="300" t="str">
        <f>_xlfn.IFNA(VLOOKUP($BD479,Programma!$F$3:$M$1107,8,0),"")</f>
        <v/>
      </c>
      <c r="BL479" s="300" t="str">
        <f>_xlfn.IFNA(VLOOKUP($BD479,Programma!$F$3:$N$1107,9,0),"")</f>
        <v/>
      </c>
      <c r="BM479" s="300" t="str">
        <f>_xlfn.IFNA(VLOOKUP($BD479,Programma!$F$3:$O$1107,10,0),"")</f>
        <v/>
      </c>
      <c r="BN479" s="300" t="str">
        <f>_xlfn.IFNA(VLOOKUP($BD479,Programma!$F$3:$P$1107,11,0),"")</f>
        <v/>
      </c>
      <c r="BO479" s="300" t="str">
        <f>_xlfn.IFNA(VLOOKUP($BD479,Programma!$F$3:$Q$1107,12,0),"")</f>
        <v/>
      </c>
      <c r="BP479" s="300" t="str">
        <f>_xlfn.IFNA(VLOOKUP($BD479,Programma!$F$3:$R$1107,13,0),"")</f>
        <v/>
      </c>
      <c r="BQ479" s="300" t="str">
        <f>_xlfn.IFNA(VLOOKUP($BD479,Programma!$F$3:$S$1107,14,0),"")</f>
        <v/>
      </c>
      <c r="BR479" s="300" t="str">
        <f>_xlfn.IFNA(VLOOKUP($BD479,Programma!$F$3:$T$1107,15,0),"")</f>
        <v/>
      </c>
      <c r="BS479" s="300" t="str">
        <f>_xlfn.IFNA(VLOOKUP($BD479,Programma!$F$3:$U$1107,16,0),"")</f>
        <v/>
      </c>
      <c r="BT479" s="300" t="str">
        <f>_xlfn.IFNA(VLOOKUP($BD479,Programma!$F$3:$V$1107,17,0),"")</f>
        <v/>
      </c>
      <c r="BU479" s="300" t="str">
        <f>_xlfn.IFNA(VLOOKUP($BD479,Programma!$F$3:$W$1107,18,0),"")</f>
        <v/>
      </c>
      <c r="BV479" s="300" t="str">
        <f>_xlfn.IFNA(VLOOKUP($BD479,Programma!$F$3:$X$1107,19,0),"")</f>
        <v/>
      </c>
      <c r="BW479" s="300" t="str">
        <f>_xlfn.IFNA(VLOOKUP($BD479,Programma!$F$3:$Y$1107,20,0),"")</f>
        <v/>
      </c>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c r="GK479" s="4"/>
      <c r="GL479" s="4"/>
      <c r="GM479" s="4"/>
      <c r="GN479" s="4"/>
      <c r="GO479" s="4"/>
      <c r="GP479" s="4"/>
      <c r="GQ479" s="4"/>
      <c r="GR479" s="4"/>
      <c r="GS479" s="4"/>
      <c r="GT479" s="4"/>
      <c r="GU479" s="4"/>
      <c r="GV479" s="4"/>
      <c r="GW479" s="4"/>
      <c r="GX479" s="4"/>
      <c r="GY479" s="4"/>
      <c r="GZ479" s="4"/>
      <c r="HA479" s="4"/>
      <c r="HB479" s="4"/>
      <c r="HC479" s="4"/>
      <c r="HD479" s="4"/>
      <c r="HE479" s="4"/>
      <c r="HF479" s="4"/>
      <c r="HG479" s="4"/>
      <c r="HH479" s="4"/>
      <c r="HI479" s="4"/>
      <c r="HJ479" s="4"/>
      <c r="HK479" s="4"/>
      <c r="HL479" s="4"/>
    </row>
    <row r="480" spans="1:220" ht="15" customHeight="1">
      <c r="A480" s="21">
        <v>6</v>
      </c>
      <c r="B480" s="157" t="str">
        <f>VLOOKUP(Ruimtestaat[[#This Row],[Code]],Locaties[[Code]:[Locatie]],2,FALSE)</f>
        <v>Veurs Lyceum</v>
      </c>
      <c r="C480" s="157" t="str">
        <f>VLOOKUP(Ruimtestaat[[#This Row],[Code]],Locaties[[#All],[Code]:[Adres]],4,FALSE)</f>
        <v>Burg. Kolfschotenlaan 5</v>
      </c>
      <c r="D480" s="157" t="str">
        <f>VLOOKUP(Ruimtestaat[[#This Row],[Code]],Locaties[[#All],[Code]:[Postcode]],5,FALSE)</f>
        <v xml:space="preserve">2262 EZ </v>
      </c>
      <c r="E480" s="157" t="str">
        <f>VLOOKUP(Ruimtestaat[[#This Row],[Code]],Locaties[#All],6,FALSE)</f>
        <v>Leidschendam</v>
      </c>
      <c r="F480" s="62"/>
      <c r="G480" s="21" t="s">
        <v>1632</v>
      </c>
      <c r="H480" s="21">
        <v>54</v>
      </c>
      <c r="I480" s="62" t="s">
        <v>2107</v>
      </c>
      <c r="J480" s="21">
        <v>15</v>
      </c>
      <c r="K480" s="62" t="str">
        <f>VLOOKUP(Ruimtestaat[[#This Row],[Ruimte code]],Ruimtegroepen[[#All],[Code]:[Ruimte omschrijving]],2,FALSE)</f>
        <v>Keuken/pantry</v>
      </c>
      <c r="L480" s="33" t="s">
        <v>102</v>
      </c>
      <c r="M480" s="367" t="s">
        <v>2509</v>
      </c>
      <c r="N480" s="140">
        <v>21</v>
      </c>
      <c r="O480" s="140"/>
      <c r="P480" s="125" t="str">
        <f>VLOOKUP(Ruimtestaat[[#This Row],[Ruimte code]],Ruimtegroepen[],4,FALSE)</f>
        <v>Ve</v>
      </c>
      <c r="R480" s="33">
        <v>40</v>
      </c>
      <c r="S480" s="33" t="s">
        <v>2</v>
      </c>
      <c r="T480" s="33">
        <f>IF(R480&gt;0,IF(RIGHT(Ruimtestaat[[#This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0" s="33">
        <f>IF(T480&gt;0,VLOOKUP($J480,Ruimtegroepen[],3,FALSE)*VLOOKUP($L480,Vloersoorten[],3,FALSE)*VLOOKUP($S480,Frequenties[],3,FALSE)*VLOOKUP($A480,Locaties[],3,FALSE),0)</f>
        <v>0</v>
      </c>
      <c r="V480" s="33">
        <f>Ruimtestaat[[#This Row],[Uitvoeringen werkdagen]]*Ruimtestaat[[#This Row],[Oppervlak (netto)]]</f>
        <v>4200</v>
      </c>
      <c r="W480" s="154">
        <f>IF(U480&gt;0,Ruimtestaat[[#This Row],[Prest. (m2 /jaar) werkdagen]]/Ruimtestaat[[#This Row],[Norm (m2/uur) werkdagen]],0)</f>
        <v>0</v>
      </c>
      <c r="X480" s="155">
        <f>Ruimtestaat[[#This Row],[uren / jaar werkdagen]]*Tariefsopbouw!$E$35</f>
        <v>0</v>
      </c>
      <c r="Y480" s="33"/>
      <c r="Z480" s="33">
        <f>IF(Ruimtestaat[[#This Row],[Frequentie weekend]]&gt;0,VALUE(LEFT(Y480,1))*R480,0)</f>
        <v>0</v>
      </c>
      <c r="AA480" s="97">
        <f>IF($Z480&gt;0,VLOOKUP($J480,Ruimtegroepen[],3,FALSE)*VLOOKUP($L480,Vloersoorten[],3,FALSE)*VLOOKUP($Y480,Frequenties[],3,FALSE)*VLOOKUP(Ruimtestaat[[#This Row],[Code]],Locaties[],3,FALSE),0)</f>
        <v>0</v>
      </c>
      <c r="AB480" s="97">
        <f>Ruimtestaat[[#This Row],[Uitvoeringen weekend]]*Ruimtestaat[[#This Row],[Oppervlak (netto)]]</f>
        <v>0</v>
      </c>
      <c r="AC480" s="97">
        <f>IF(AA480&gt;0,Ruimtestaat[[#This Row],[Prest. (m2 /jaar) weekend]]/Ruimtestaat[[#This Row],[Norm (m2/uur) weekend]],0)</f>
        <v>0</v>
      </c>
      <c r="AD480" s="155">
        <f>Ruimtestaat[[#This Row],[uren / jaar weekend]]*Tariefsopbouw!$D$40</f>
        <v>0</v>
      </c>
      <c r="AE480" s="154">
        <f>Ruimtestaat[[#This Row],[Prest. (m2 /jaar) weekend]]+Ruimtestaat[[#This Row],[Prest. (m2 /jaar) werkdagen]]</f>
        <v>4200</v>
      </c>
      <c r="AF480" s="154">
        <f>Ruimtestaat[[#This Row],[uren / jaar weekend]]+Ruimtestaat[[#This Row],[uren / jaar werkdagen]]</f>
        <v>0</v>
      </c>
      <c r="AG480" s="69">
        <f>Ruimtestaat[[#This Row],[kosten / jaar weekend]]+Ruimtestaat[[#This Row],[kosten / jaar werkdagen]]</f>
        <v>0</v>
      </c>
      <c r="AH480" s="69"/>
      <c r="AI480" s="256" t="str">
        <f>IF(Ruimtestaat[[#This Row],[Frequentie werkdagen]]="","",_xlfn.CONCAT(Ruimtestaat[[#This Row],[Ruimte code]],"-",Ruimtestaat[[#This Row],[Frequentie werkdagen]]," ",Ruimtestaat[[#This Row],[Vloer code]]))</f>
        <v>15-5w S</v>
      </c>
      <c r="AJ480" s="300" t="str">
        <f>_xlfn.IFNA(VLOOKUP($AI480,Programma!$F$3:$G$1107,2,0),"")</f>
        <v>_</v>
      </c>
      <c r="AK480" s="300" t="str">
        <f>_xlfn.IFNA(VLOOKUP($AI480,Programma!$F$3:$H$1107,3,0),"")</f>
        <v>_</v>
      </c>
      <c r="AL480" s="300" t="str">
        <f>_xlfn.IFNA(VLOOKUP($AI480,Programma!$F$3:$I$1107,4,0),"")</f>
        <v>5w</v>
      </c>
      <c r="AM480" s="300" t="str">
        <f>_xlfn.IFNA(VLOOKUP($AI480,Programma!$F$3:$J$1107,5,0),"")</f>
        <v>_</v>
      </c>
      <c r="AN480" s="300" t="str">
        <f>_xlfn.IFNA(VLOOKUP($AI480,Programma!$F$3:$K$1107,6,0),"")</f>
        <v>5w</v>
      </c>
      <c r="AO480" s="300" t="str">
        <f>_xlfn.IFNA(VLOOKUP($AI480,Programma!$F$3:$L$1107,7,0),"")</f>
        <v>_</v>
      </c>
      <c r="AP480" s="300" t="str">
        <f>_xlfn.IFNA(VLOOKUP($AI480,Programma!$F$3:$M$1107,8,0),"")</f>
        <v>_</v>
      </c>
      <c r="AQ480" s="300" t="str">
        <f>_xlfn.IFNA(VLOOKUP($AI480,Programma!$F$3:$N$1107,9,0),"")</f>
        <v>_</v>
      </c>
      <c r="AR480" s="300" t="str">
        <f>_xlfn.IFNA(VLOOKUP($AI480,Programma!$F$3:$O$1107,10,0),"")</f>
        <v>5w</v>
      </c>
      <c r="AS480" s="300" t="str">
        <f>_xlfn.IFNA(VLOOKUP($AI480,Programma!$F$3:$P$1107,11,0),"")</f>
        <v>5w</v>
      </c>
      <c r="AT480" s="300" t="str">
        <f>_xlfn.IFNA(VLOOKUP($AI480,Programma!$F$3:$Q$1107,12,0),"")</f>
        <v>1w</v>
      </c>
      <c r="AU480" s="300" t="str">
        <f>_xlfn.IFNA(VLOOKUP($AI480,Programma!$F$3:$R$1107,13,0),"")</f>
        <v>1w</v>
      </c>
      <c r="AV480" s="300" t="str">
        <f>_xlfn.IFNA(VLOOKUP($AI480,Programma!$F$3:$S$1107,14,0),"")</f>
        <v>1m</v>
      </c>
      <c r="AW480" s="300" t="str">
        <f>_xlfn.IFNA(VLOOKUP($AI480,Programma!$F$3:$T$1107,15,0),"")</f>
        <v>2j</v>
      </c>
      <c r="AX480" s="300" t="str">
        <f>_xlfn.IFNA(VLOOKUP($AI480,Programma!$F$3:$U$1107,16,0),"")</f>
        <v>1j</v>
      </c>
      <c r="AY480" s="300" t="str">
        <f>_xlfn.IFNA(VLOOKUP($AI480,Programma!$F$3:$V$1107,17,0),"")</f>
        <v>_</v>
      </c>
      <c r="AZ480" s="300" t="str">
        <f>_xlfn.IFNA(VLOOKUP($AI480,Programma!$F$3:$W$1107,18,0),"")</f>
        <v>_</v>
      </c>
      <c r="BA480" s="300" t="str">
        <f>_xlfn.IFNA(VLOOKUP($AI480,Programma!$F$3:$X$1107,19,0),"")</f>
        <v>_</v>
      </c>
      <c r="BB480" s="300" t="str">
        <f>_xlfn.IFNA(VLOOKUP($AI480,Programma!$F$3:$Y$1107,20,0),"")</f>
        <v>_</v>
      </c>
      <c r="BC480" s="257"/>
      <c r="BD480" s="256" t="str">
        <f>IF(Ruimtestaat[[#This Row],[Frequentie weekend]]="","",_xlfn.CONCAT(Ruimtestaat[[#This Row],[Ruimte code]],"-",Ruimtestaat[[#This Row],[Frequentie weekend]]," ",Ruimtestaat[[#This Row],[Vloer code]]))</f>
        <v/>
      </c>
      <c r="BE480" s="300" t="str">
        <f>_xlfn.IFNA(VLOOKUP($BD480,Programma!$F$3:$G$1107,2,0),"")</f>
        <v/>
      </c>
      <c r="BF480" s="300" t="str">
        <f>_xlfn.IFNA(VLOOKUP($BD480,Programma!$F$3:$H$1107,3,0),"")</f>
        <v/>
      </c>
      <c r="BG480" s="300" t="str">
        <f>_xlfn.IFNA(VLOOKUP($BD480,Programma!$F$3:$I$1107,4,0),"")</f>
        <v/>
      </c>
      <c r="BH480" s="300" t="str">
        <f>_xlfn.IFNA(VLOOKUP($BD480,Programma!$F$3:$J$1107,5,0),"")</f>
        <v/>
      </c>
      <c r="BI480" s="300" t="str">
        <f>_xlfn.IFNA(VLOOKUP($BD480,Programma!$F$3:$K$1107,6,0),"")</f>
        <v/>
      </c>
      <c r="BJ480" s="300" t="str">
        <f>_xlfn.IFNA(VLOOKUP($BD480,Programma!$F$3:$L$1107,7,0),"")</f>
        <v/>
      </c>
      <c r="BK480" s="300" t="str">
        <f>_xlfn.IFNA(VLOOKUP($BD480,Programma!$F$3:$M$1107,8,0),"")</f>
        <v/>
      </c>
      <c r="BL480" s="300" t="str">
        <f>_xlfn.IFNA(VLOOKUP($BD480,Programma!$F$3:$N$1107,9,0),"")</f>
        <v/>
      </c>
      <c r="BM480" s="300" t="str">
        <f>_xlfn.IFNA(VLOOKUP($BD480,Programma!$F$3:$O$1107,10,0),"")</f>
        <v/>
      </c>
      <c r="BN480" s="300" t="str">
        <f>_xlfn.IFNA(VLOOKUP($BD480,Programma!$F$3:$P$1107,11,0),"")</f>
        <v/>
      </c>
      <c r="BO480" s="300" t="str">
        <f>_xlfn.IFNA(VLOOKUP($BD480,Programma!$F$3:$Q$1107,12,0),"")</f>
        <v/>
      </c>
      <c r="BP480" s="300" t="str">
        <f>_xlfn.IFNA(VLOOKUP($BD480,Programma!$F$3:$R$1107,13,0),"")</f>
        <v/>
      </c>
      <c r="BQ480" s="300" t="str">
        <f>_xlfn.IFNA(VLOOKUP($BD480,Programma!$F$3:$S$1107,14,0),"")</f>
        <v/>
      </c>
      <c r="BR480" s="300" t="str">
        <f>_xlfn.IFNA(VLOOKUP($BD480,Programma!$F$3:$T$1107,15,0),"")</f>
        <v/>
      </c>
      <c r="BS480" s="300" t="str">
        <f>_xlfn.IFNA(VLOOKUP($BD480,Programma!$F$3:$U$1107,16,0),"")</f>
        <v/>
      </c>
      <c r="BT480" s="300" t="str">
        <f>_xlfn.IFNA(VLOOKUP($BD480,Programma!$F$3:$V$1107,17,0),"")</f>
        <v/>
      </c>
      <c r="BU480" s="300" t="str">
        <f>_xlfn.IFNA(VLOOKUP($BD480,Programma!$F$3:$W$1107,18,0),"")</f>
        <v/>
      </c>
      <c r="BV480" s="300" t="str">
        <f>_xlfn.IFNA(VLOOKUP($BD480,Programma!$F$3:$X$1107,19,0),"")</f>
        <v/>
      </c>
      <c r="BW480" s="300" t="str">
        <f>_xlfn.IFNA(VLOOKUP($BD480,Programma!$F$3:$Y$1107,20,0),"")</f>
        <v/>
      </c>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c r="GK480" s="4"/>
      <c r="GL480" s="4"/>
      <c r="GM480" s="4"/>
      <c r="GN480" s="4"/>
      <c r="GO480" s="4"/>
      <c r="GP480" s="4"/>
      <c r="GQ480" s="4"/>
      <c r="GR480" s="4"/>
      <c r="GS480" s="4"/>
      <c r="GT480" s="4"/>
      <c r="GU480" s="4"/>
      <c r="GV480" s="4"/>
      <c r="GW480" s="4"/>
      <c r="GX480" s="4"/>
      <c r="GY480" s="4"/>
      <c r="GZ480" s="4"/>
      <c r="HA480" s="4"/>
      <c r="HB480" s="4"/>
      <c r="HC480" s="4"/>
      <c r="HD480" s="4"/>
      <c r="HE480" s="4"/>
      <c r="HF480" s="4"/>
      <c r="HG480" s="4"/>
      <c r="HH480" s="4"/>
      <c r="HI480" s="4"/>
      <c r="HJ480" s="4"/>
      <c r="HK480" s="4"/>
      <c r="HL480" s="4"/>
    </row>
    <row r="481" spans="1:220" ht="15" customHeight="1">
      <c r="A481" s="21">
        <v>6</v>
      </c>
      <c r="B481" s="157" t="str">
        <f>VLOOKUP(Ruimtestaat[[#This Row],[Code]],Locaties[[Code]:[Locatie]],2,FALSE)</f>
        <v>Veurs Lyceum</v>
      </c>
      <c r="C481" s="157" t="str">
        <f>VLOOKUP(Ruimtestaat[[#This Row],[Code]],Locaties[[#All],[Code]:[Adres]],4,FALSE)</f>
        <v>Burg. Kolfschotenlaan 5</v>
      </c>
      <c r="D481" s="157" t="str">
        <f>VLOOKUP(Ruimtestaat[[#This Row],[Code]],Locaties[[#All],[Code]:[Postcode]],5,FALSE)</f>
        <v xml:space="preserve">2262 EZ </v>
      </c>
      <c r="E481" s="157" t="str">
        <f>VLOOKUP(Ruimtestaat[[#This Row],[Code]],Locaties[#All],6,FALSE)</f>
        <v>Leidschendam</v>
      </c>
      <c r="F481" s="62"/>
      <c r="G481" s="21" t="s">
        <v>1632</v>
      </c>
      <c r="H481" s="21">
        <v>55</v>
      </c>
      <c r="I481" s="62" t="s">
        <v>2108</v>
      </c>
      <c r="J481" s="21">
        <v>1</v>
      </c>
      <c r="K481" s="62" t="str">
        <f>VLOOKUP(Ruimtestaat[[#This Row],[Ruimte code]],Ruimtegroepen[[#All],[Code]:[Ruimte omschrijving]],2,FALSE)</f>
        <v>Magazijnen/bergingen</v>
      </c>
      <c r="L481" s="33" t="s">
        <v>101</v>
      </c>
      <c r="M481" s="367" t="s">
        <v>2495</v>
      </c>
      <c r="N481" s="140">
        <v>4</v>
      </c>
      <c r="O481" s="140"/>
      <c r="P481" s="125" t="str">
        <f>VLOOKUP(Ruimtestaat[[#This Row],[Ruimte code]],Ruimtegroepen[],4,FALSE)</f>
        <v>Ve</v>
      </c>
      <c r="R481" s="33">
        <v>40</v>
      </c>
      <c r="S481" s="33" t="s">
        <v>16</v>
      </c>
      <c r="T481" s="33">
        <f>IF(R481&gt;0,IF(RIGHT(Ruimtestaat[[#This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81" s="33">
        <f>IF(T481&gt;0,VLOOKUP($J481,Ruimtegroepen[],3,FALSE)*VLOOKUP($L481,Vloersoorten[],3,FALSE)*VLOOKUP($S481,Frequenties[],3,FALSE)*VLOOKUP($A481,Locaties[],3,FALSE),0)</f>
        <v>0</v>
      </c>
      <c r="V481" s="33">
        <f>Ruimtestaat[[#This Row],[Uitvoeringen werkdagen]]*Ruimtestaat[[#This Row],[Oppervlak (netto)]]</f>
        <v>48</v>
      </c>
      <c r="W481" s="154">
        <f>IF(U481&gt;0,Ruimtestaat[[#This Row],[Prest. (m2 /jaar) werkdagen]]/Ruimtestaat[[#This Row],[Norm (m2/uur) werkdagen]],0)</f>
        <v>0</v>
      </c>
      <c r="X481" s="155">
        <f>Ruimtestaat[[#This Row],[uren / jaar werkdagen]]*Tariefsopbouw!$E$35</f>
        <v>0</v>
      </c>
      <c r="Y481" s="33"/>
      <c r="Z481" s="33">
        <f>IF(Ruimtestaat[[#This Row],[Frequentie weekend]]&gt;0,VALUE(LEFT(Y481,1))*R481,0)</f>
        <v>0</v>
      </c>
      <c r="AA481" s="97">
        <f>IF($Z481&gt;0,VLOOKUP($J481,Ruimtegroepen[],3,FALSE)*VLOOKUP($L481,Vloersoorten[],3,FALSE)*VLOOKUP($Y481,Frequenties[],3,FALSE)*VLOOKUP(Ruimtestaat[[#This Row],[Code]],Locaties[],3,FALSE),0)</f>
        <v>0</v>
      </c>
      <c r="AB481" s="97">
        <f>Ruimtestaat[[#This Row],[Uitvoeringen weekend]]*Ruimtestaat[[#This Row],[Oppervlak (netto)]]</f>
        <v>0</v>
      </c>
      <c r="AC481" s="97">
        <f>IF(AA481&gt;0,Ruimtestaat[[#This Row],[Prest. (m2 /jaar) weekend]]/Ruimtestaat[[#This Row],[Norm (m2/uur) weekend]],0)</f>
        <v>0</v>
      </c>
      <c r="AD481" s="155">
        <f>Ruimtestaat[[#This Row],[uren / jaar weekend]]*Tariefsopbouw!$D$40</f>
        <v>0</v>
      </c>
      <c r="AE481" s="154">
        <f>Ruimtestaat[[#This Row],[Prest. (m2 /jaar) weekend]]+Ruimtestaat[[#This Row],[Prest. (m2 /jaar) werkdagen]]</f>
        <v>48</v>
      </c>
      <c r="AF481" s="154">
        <f>Ruimtestaat[[#This Row],[uren / jaar weekend]]+Ruimtestaat[[#This Row],[uren / jaar werkdagen]]</f>
        <v>0</v>
      </c>
      <c r="AG481" s="69">
        <f>Ruimtestaat[[#This Row],[kosten / jaar weekend]]+Ruimtestaat[[#This Row],[kosten / jaar werkdagen]]</f>
        <v>0</v>
      </c>
      <c r="AH481" s="69"/>
      <c r="AI481" s="256" t="str">
        <f>IF(Ruimtestaat[[#This Row],[Frequentie werkdagen]]="","",_xlfn.CONCAT(Ruimtestaat[[#This Row],[Ruimte code]],"-",Ruimtestaat[[#This Row],[Frequentie werkdagen]]," ",Ruimtestaat[[#This Row],[Vloer code]]))</f>
        <v>1-1m L</v>
      </c>
      <c r="AJ481" s="300" t="str">
        <f>_xlfn.IFNA(VLOOKUP($AI481,Programma!$F$3:$G$1107,2,0),"")</f>
        <v>_</v>
      </c>
      <c r="AK481" s="300" t="str">
        <f>_xlfn.IFNA(VLOOKUP($AI481,Programma!$F$3:$H$1107,3,0),"")</f>
        <v>_</v>
      </c>
      <c r="AL481" s="300" t="str">
        <f>_xlfn.IFNA(VLOOKUP($AI481,Programma!$F$3:$I$1107,4,0),"")</f>
        <v>1m</v>
      </c>
      <c r="AM481" s="300" t="str">
        <f>_xlfn.IFNA(VLOOKUP($AI481,Programma!$F$3:$J$1107,5,0),"")</f>
        <v>1m</v>
      </c>
      <c r="AN481" s="300" t="str">
        <f>_xlfn.IFNA(VLOOKUP($AI481,Programma!$F$3:$K$1107,6,0),"")</f>
        <v>_</v>
      </c>
      <c r="AO481" s="300" t="str">
        <f>_xlfn.IFNA(VLOOKUP($AI481,Programma!$F$3:$L$1107,7,0),"")</f>
        <v>_</v>
      </c>
      <c r="AP481" s="300" t="str">
        <f>_xlfn.IFNA(VLOOKUP($AI481,Programma!$F$3:$M$1107,8,0),"")</f>
        <v>_</v>
      </c>
      <c r="AQ481" s="300" t="str">
        <f>_xlfn.IFNA(VLOOKUP($AI481,Programma!$F$3:$N$1107,9,0),"")</f>
        <v>_</v>
      </c>
      <c r="AR481" s="300" t="str">
        <f>_xlfn.IFNA(VLOOKUP($AI481,Programma!$F$3:$O$1107,10,0),"")</f>
        <v>_</v>
      </c>
      <c r="AS481" s="300" t="str">
        <f>_xlfn.IFNA(VLOOKUP($AI481,Programma!$F$3:$P$1107,11,0),"")</f>
        <v>_</v>
      </c>
      <c r="AT481" s="300" t="str">
        <f>_xlfn.IFNA(VLOOKUP($AI481,Programma!$F$3:$Q$1107,12,0),"")</f>
        <v>_</v>
      </c>
      <c r="AU481" s="300" t="str">
        <f>_xlfn.IFNA(VLOOKUP($AI481,Programma!$F$3:$R$1107,13,0),"")</f>
        <v>_</v>
      </c>
      <c r="AV481" s="300" t="str">
        <f>_xlfn.IFNA(VLOOKUP($AI481,Programma!$F$3:$S$1107,14,0),"")</f>
        <v>1m</v>
      </c>
      <c r="AW481" s="300" t="str">
        <f>_xlfn.IFNA(VLOOKUP($AI481,Programma!$F$3:$T$1107,15,0),"")</f>
        <v>4j</v>
      </c>
      <c r="AX481" s="300" t="str">
        <f>_xlfn.IFNA(VLOOKUP($AI481,Programma!$F$3:$U$1107,16,0),"")</f>
        <v>4j</v>
      </c>
      <c r="AY481" s="300" t="str">
        <f>_xlfn.IFNA(VLOOKUP($AI481,Programma!$F$3:$V$1107,17,0),"")</f>
        <v>_</v>
      </c>
      <c r="AZ481" s="300" t="str">
        <f>_xlfn.IFNA(VLOOKUP($AI481,Programma!$F$3:$W$1107,18,0),"")</f>
        <v>_</v>
      </c>
      <c r="BA481" s="300" t="str">
        <f>_xlfn.IFNA(VLOOKUP($AI481,Programma!$F$3:$X$1107,19,0),"")</f>
        <v>_</v>
      </c>
      <c r="BB481" s="300" t="str">
        <f>_xlfn.IFNA(VLOOKUP($AI481,Programma!$F$3:$Y$1107,20,0),"")</f>
        <v>_</v>
      </c>
      <c r="BC481" s="257"/>
      <c r="BD481" s="256" t="str">
        <f>IF(Ruimtestaat[[#This Row],[Frequentie weekend]]="","",_xlfn.CONCAT(Ruimtestaat[[#This Row],[Ruimte code]],"-",Ruimtestaat[[#This Row],[Frequentie weekend]]," ",Ruimtestaat[[#This Row],[Vloer code]]))</f>
        <v/>
      </c>
      <c r="BE481" s="300" t="str">
        <f>_xlfn.IFNA(VLOOKUP($BD481,Programma!$F$3:$G$1107,2,0),"")</f>
        <v/>
      </c>
      <c r="BF481" s="300" t="str">
        <f>_xlfn.IFNA(VLOOKUP($BD481,Programma!$F$3:$H$1107,3,0),"")</f>
        <v/>
      </c>
      <c r="BG481" s="300" t="str">
        <f>_xlfn.IFNA(VLOOKUP($BD481,Programma!$F$3:$I$1107,4,0),"")</f>
        <v/>
      </c>
      <c r="BH481" s="300" t="str">
        <f>_xlfn.IFNA(VLOOKUP($BD481,Programma!$F$3:$J$1107,5,0),"")</f>
        <v/>
      </c>
      <c r="BI481" s="300" t="str">
        <f>_xlfn.IFNA(VLOOKUP($BD481,Programma!$F$3:$K$1107,6,0),"")</f>
        <v/>
      </c>
      <c r="BJ481" s="300" t="str">
        <f>_xlfn.IFNA(VLOOKUP($BD481,Programma!$F$3:$L$1107,7,0),"")</f>
        <v/>
      </c>
      <c r="BK481" s="300" t="str">
        <f>_xlfn.IFNA(VLOOKUP($BD481,Programma!$F$3:$M$1107,8,0),"")</f>
        <v/>
      </c>
      <c r="BL481" s="300" t="str">
        <f>_xlfn.IFNA(VLOOKUP($BD481,Programma!$F$3:$N$1107,9,0),"")</f>
        <v/>
      </c>
      <c r="BM481" s="300" t="str">
        <f>_xlfn.IFNA(VLOOKUP($BD481,Programma!$F$3:$O$1107,10,0),"")</f>
        <v/>
      </c>
      <c r="BN481" s="300" t="str">
        <f>_xlfn.IFNA(VLOOKUP($BD481,Programma!$F$3:$P$1107,11,0),"")</f>
        <v/>
      </c>
      <c r="BO481" s="300" t="str">
        <f>_xlfn.IFNA(VLOOKUP($BD481,Programma!$F$3:$Q$1107,12,0),"")</f>
        <v/>
      </c>
      <c r="BP481" s="300" t="str">
        <f>_xlfn.IFNA(VLOOKUP($BD481,Programma!$F$3:$R$1107,13,0),"")</f>
        <v/>
      </c>
      <c r="BQ481" s="300" t="str">
        <f>_xlfn.IFNA(VLOOKUP($BD481,Programma!$F$3:$S$1107,14,0),"")</f>
        <v/>
      </c>
      <c r="BR481" s="300" t="str">
        <f>_xlfn.IFNA(VLOOKUP($BD481,Programma!$F$3:$T$1107,15,0),"")</f>
        <v/>
      </c>
      <c r="BS481" s="300" t="str">
        <f>_xlfn.IFNA(VLOOKUP($BD481,Programma!$F$3:$U$1107,16,0),"")</f>
        <v/>
      </c>
      <c r="BT481" s="300" t="str">
        <f>_xlfn.IFNA(VLOOKUP($BD481,Programma!$F$3:$V$1107,17,0),"")</f>
        <v/>
      </c>
      <c r="BU481" s="300" t="str">
        <f>_xlfn.IFNA(VLOOKUP($BD481,Programma!$F$3:$W$1107,18,0),"")</f>
        <v/>
      </c>
      <c r="BV481" s="300" t="str">
        <f>_xlfn.IFNA(VLOOKUP($BD481,Programma!$F$3:$X$1107,19,0),"")</f>
        <v/>
      </c>
      <c r="BW481" s="300" t="str">
        <f>_xlfn.IFNA(VLOOKUP($BD481,Programma!$F$3:$Y$1107,20,0),"")</f>
        <v/>
      </c>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c r="GK481" s="4"/>
      <c r="GL481" s="4"/>
      <c r="GM481" s="4"/>
      <c r="GN481" s="4"/>
      <c r="GO481" s="4"/>
      <c r="GP481" s="4"/>
      <c r="GQ481" s="4"/>
      <c r="GR481" s="4"/>
      <c r="GS481" s="4"/>
      <c r="GT481" s="4"/>
      <c r="GU481" s="4"/>
      <c r="GV481" s="4"/>
      <c r="GW481" s="4"/>
      <c r="GX481" s="4"/>
      <c r="GY481" s="4"/>
      <c r="GZ481" s="4"/>
      <c r="HA481" s="4"/>
      <c r="HB481" s="4"/>
      <c r="HC481" s="4"/>
      <c r="HD481" s="4"/>
      <c r="HE481" s="4"/>
      <c r="HF481" s="4"/>
      <c r="HG481" s="4"/>
      <c r="HH481" s="4"/>
      <c r="HI481" s="4"/>
      <c r="HJ481" s="4"/>
      <c r="HK481" s="4"/>
      <c r="HL481" s="4"/>
    </row>
    <row r="482" spans="1:220" ht="15" customHeight="1">
      <c r="A482" s="21">
        <v>6</v>
      </c>
      <c r="B482" s="157" t="str">
        <f>VLOOKUP(Ruimtestaat[[#This Row],[Code]],Locaties[[Code]:[Locatie]],2,FALSE)</f>
        <v>Veurs Lyceum</v>
      </c>
      <c r="C482" s="157" t="str">
        <f>VLOOKUP(Ruimtestaat[[#This Row],[Code]],Locaties[[#All],[Code]:[Adres]],4,FALSE)</f>
        <v>Burg. Kolfschotenlaan 5</v>
      </c>
      <c r="D482" s="157" t="str">
        <f>VLOOKUP(Ruimtestaat[[#This Row],[Code]],Locaties[[#All],[Code]:[Postcode]],5,FALSE)</f>
        <v xml:space="preserve">2262 EZ </v>
      </c>
      <c r="E482" s="157" t="str">
        <f>VLOOKUP(Ruimtestaat[[#This Row],[Code]],Locaties[#All],6,FALSE)</f>
        <v>Leidschendam</v>
      </c>
      <c r="F482" s="62"/>
      <c r="G482" s="21" t="s">
        <v>1632</v>
      </c>
      <c r="H482" s="21">
        <v>56</v>
      </c>
      <c r="I482" s="62" t="s">
        <v>2109</v>
      </c>
      <c r="J482" s="21">
        <v>1</v>
      </c>
      <c r="K482" s="62" t="str">
        <f>VLOOKUP(Ruimtestaat[[#This Row],[Ruimte code]],Ruimtegroepen[[#All],[Code]:[Ruimte omschrijving]],2,FALSE)</f>
        <v>Magazijnen/bergingen</v>
      </c>
      <c r="L482" s="33" t="s">
        <v>101</v>
      </c>
      <c r="M482" s="367" t="s">
        <v>2495</v>
      </c>
      <c r="N482" s="140">
        <v>8</v>
      </c>
      <c r="O482" s="140"/>
      <c r="P482" s="125" t="str">
        <f>VLOOKUP(Ruimtestaat[[#This Row],[Ruimte code]],Ruimtegroepen[],4,FALSE)</f>
        <v>Ve</v>
      </c>
      <c r="R482" s="33">
        <v>40</v>
      </c>
      <c r="S482" s="33" t="s">
        <v>16</v>
      </c>
      <c r="T482" s="33">
        <f>IF(R482&gt;0,IF(RIGHT(Ruimtestaat[[#This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82" s="33">
        <f>IF(T482&gt;0,VLOOKUP($J482,Ruimtegroepen[],3,FALSE)*VLOOKUP($L482,Vloersoorten[],3,FALSE)*VLOOKUP($S482,Frequenties[],3,FALSE)*VLOOKUP($A482,Locaties[],3,FALSE),0)</f>
        <v>0</v>
      </c>
      <c r="V482" s="33">
        <f>Ruimtestaat[[#This Row],[Uitvoeringen werkdagen]]*Ruimtestaat[[#This Row],[Oppervlak (netto)]]</f>
        <v>96</v>
      </c>
      <c r="W482" s="154">
        <f>IF(U482&gt;0,Ruimtestaat[[#This Row],[Prest. (m2 /jaar) werkdagen]]/Ruimtestaat[[#This Row],[Norm (m2/uur) werkdagen]],0)</f>
        <v>0</v>
      </c>
      <c r="X482" s="155">
        <f>Ruimtestaat[[#This Row],[uren / jaar werkdagen]]*Tariefsopbouw!$E$35</f>
        <v>0</v>
      </c>
      <c r="Y482" s="33"/>
      <c r="Z482" s="33">
        <f>IF(Ruimtestaat[[#This Row],[Frequentie weekend]]&gt;0,VALUE(LEFT(Y482,1))*R482,0)</f>
        <v>0</v>
      </c>
      <c r="AA482" s="97">
        <f>IF($Z482&gt;0,VLOOKUP($J482,Ruimtegroepen[],3,FALSE)*VLOOKUP($L482,Vloersoorten[],3,FALSE)*VLOOKUP($Y482,Frequenties[],3,FALSE)*VLOOKUP(Ruimtestaat[[#This Row],[Code]],Locaties[],3,FALSE),0)</f>
        <v>0</v>
      </c>
      <c r="AB482" s="97">
        <f>Ruimtestaat[[#This Row],[Uitvoeringen weekend]]*Ruimtestaat[[#This Row],[Oppervlak (netto)]]</f>
        <v>0</v>
      </c>
      <c r="AC482" s="97">
        <f>IF(AA482&gt;0,Ruimtestaat[[#This Row],[Prest. (m2 /jaar) weekend]]/Ruimtestaat[[#This Row],[Norm (m2/uur) weekend]],0)</f>
        <v>0</v>
      </c>
      <c r="AD482" s="155">
        <f>Ruimtestaat[[#This Row],[uren / jaar weekend]]*Tariefsopbouw!$D$40</f>
        <v>0</v>
      </c>
      <c r="AE482" s="154">
        <f>Ruimtestaat[[#This Row],[Prest. (m2 /jaar) weekend]]+Ruimtestaat[[#This Row],[Prest. (m2 /jaar) werkdagen]]</f>
        <v>96</v>
      </c>
      <c r="AF482" s="154">
        <f>Ruimtestaat[[#This Row],[uren / jaar weekend]]+Ruimtestaat[[#This Row],[uren / jaar werkdagen]]</f>
        <v>0</v>
      </c>
      <c r="AG482" s="69">
        <f>Ruimtestaat[[#This Row],[kosten / jaar weekend]]+Ruimtestaat[[#This Row],[kosten / jaar werkdagen]]</f>
        <v>0</v>
      </c>
      <c r="AH482" s="69"/>
      <c r="AI482" s="256" t="str">
        <f>IF(Ruimtestaat[[#This Row],[Frequentie werkdagen]]="","",_xlfn.CONCAT(Ruimtestaat[[#This Row],[Ruimte code]],"-",Ruimtestaat[[#This Row],[Frequentie werkdagen]]," ",Ruimtestaat[[#This Row],[Vloer code]]))</f>
        <v>1-1m L</v>
      </c>
      <c r="AJ482" s="300" t="str">
        <f>_xlfn.IFNA(VLOOKUP($AI482,Programma!$F$3:$G$1107,2,0),"")</f>
        <v>_</v>
      </c>
      <c r="AK482" s="300" t="str">
        <f>_xlfn.IFNA(VLOOKUP($AI482,Programma!$F$3:$H$1107,3,0),"")</f>
        <v>_</v>
      </c>
      <c r="AL482" s="300" t="str">
        <f>_xlfn.IFNA(VLOOKUP($AI482,Programma!$F$3:$I$1107,4,0),"")</f>
        <v>1m</v>
      </c>
      <c r="AM482" s="300" t="str">
        <f>_xlfn.IFNA(VLOOKUP($AI482,Programma!$F$3:$J$1107,5,0),"")</f>
        <v>1m</v>
      </c>
      <c r="AN482" s="300" t="str">
        <f>_xlfn.IFNA(VLOOKUP($AI482,Programma!$F$3:$K$1107,6,0),"")</f>
        <v>_</v>
      </c>
      <c r="AO482" s="300" t="str">
        <f>_xlfn.IFNA(VLOOKUP($AI482,Programma!$F$3:$L$1107,7,0),"")</f>
        <v>_</v>
      </c>
      <c r="AP482" s="300" t="str">
        <f>_xlfn.IFNA(VLOOKUP($AI482,Programma!$F$3:$M$1107,8,0),"")</f>
        <v>_</v>
      </c>
      <c r="AQ482" s="300" t="str">
        <f>_xlfn.IFNA(VLOOKUP($AI482,Programma!$F$3:$N$1107,9,0),"")</f>
        <v>_</v>
      </c>
      <c r="AR482" s="300" t="str">
        <f>_xlfn.IFNA(VLOOKUP($AI482,Programma!$F$3:$O$1107,10,0),"")</f>
        <v>_</v>
      </c>
      <c r="AS482" s="300" t="str">
        <f>_xlfn.IFNA(VLOOKUP($AI482,Programma!$F$3:$P$1107,11,0),"")</f>
        <v>_</v>
      </c>
      <c r="AT482" s="300" t="str">
        <f>_xlfn.IFNA(VLOOKUP($AI482,Programma!$F$3:$Q$1107,12,0),"")</f>
        <v>_</v>
      </c>
      <c r="AU482" s="300" t="str">
        <f>_xlfn.IFNA(VLOOKUP($AI482,Programma!$F$3:$R$1107,13,0),"")</f>
        <v>_</v>
      </c>
      <c r="AV482" s="300" t="str">
        <f>_xlfn.IFNA(VLOOKUP($AI482,Programma!$F$3:$S$1107,14,0),"")</f>
        <v>1m</v>
      </c>
      <c r="AW482" s="300" t="str">
        <f>_xlfn.IFNA(VLOOKUP($AI482,Programma!$F$3:$T$1107,15,0),"")</f>
        <v>4j</v>
      </c>
      <c r="AX482" s="300" t="str">
        <f>_xlfn.IFNA(VLOOKUP($AI482,Programma!$F$3:$U$1107,16,0),"")</f>
        <v>4j</v>
      </c>
      <c r="AY482" s="300" t="str">
        <f>_xlfn.IFNA(VLOOKUP($AI482,Programma!$F$3:$V$1107,17,0),"")</f>
        <v>_</v>
      </c>
      <c r="AZ482" s="300" t="str">
        <f>_xlfn.IFNA(VLOOKUP($AI482,Programma!$F$3:$W$1107,18,0),"")</f>
        <v>_</v>
      </c>
      <c r="BA482" s="300" t="str">
        <f>_xlfn.IFNA(VLOOKUP($AI482,Programma!$F$3:$X$1107,19,0),"")</f>
        <v>_</v>
      </c>
      <c r="BB482" s="300" t="str">
        <f>_xlfn.IFNA(VLOOKUP($AI482,Programma!$F$3:$Y$1107,20,0),"")</f>
        <v>_</v>
      </c>
      <c r="BC482" s="257"/>
      <c r="BD482" s="256" t="str">
        <f>IF(Ruimtestaat[[#This Row],[Frequentie weekend]]="","",_xlfn.CONCAT(Ruimtestaat[[#This Row],[Ruimte code]],"-",Ruimtestaat[[#This Row],[Frequentie weekend]]," ",Ruimtestaat[[#This Row],[Vloer code]]))</f>
        <v/>
      </c>
      <c r="BE482" s="300" t="str">
        <f>_xlfn.IFNA(VLOOKUP($BD482,Programma!$F$3:$G$1107,2,0),"")</f>
        <v/>
      </c>
      <c r="BF482" s="300" t="str">
        <f>_xlfn.IFNA(VLOOKUP($BD482,Programma!$F$3:$H$1107,3,0),"")</f>
        <v/>
      </c>
      <c r="BG482" s="300" t="str">
        <f>_xlfn.IFNA(VLOOKUP($BD482,Programma!$F$3:$I$1107,4,0),"")</f>
        <v/>
      </c>
      <c r="BH482" s="300" t="str">
        <f>_xlfn.IFNA(VLOOKUP($BD482,Programma!$F$3:$J$1107,5,0),"")</f>
        <v/>
      </c>
      <c r="BI482" s="300" t="str">
        <f>_xlfn.IFNA(VLOOKUP($BD482,Programma!$F$3:$K$1107,6,0),"")</f>
        <v/>
      </c>
      <c r="BJ482" s="300" t="str">
        <f>_xlfn.IFNA(VLOOKUP($BD482,Programma!$F$3:$L$1107,7,0),"")</f>
        <v/>
      </c>
      <c r="BK482" s="300" t="str">
        <f>_xlfn.IFNA(VLOOKUP($BD482,Programma!$F$3:$M$1107,8,0),"")</f>
        <v/>
      </c>
      <c r="BL482" s="300" t="str">
        <f>_xlfn.IFNA(VLOOKUP($BD482,Programma!$F$3:$N$1107,9,0),"")</f>
        <v/>
      </c>
      <c r="BM482" s="300" t="str">
        <f>_xlfn.IFNA(VLOOKUP($BD482,Programma!$F$3:$O$1107,10,0),"")</f>
        <v/>
      </c>
      <c r="BN482" s="300" t="str">
        <f>_xlfn.IFNA(VLOOKUP($BD482,Programma!$F$3:$P$1107,11,0),"")</f>
        <v/>
      </c>
      <c r="BO482" s="300" t="str">
        <f>_xlfn.IFNA(VLOOKUP($BD482,Programma!$F$3:$Q$1107,12,0),"")</f>
        <v/>
      </c>
      <c r="BP482" s="300" t="str">
        <f>_xlfn.IFNA(VLOOKUP($BD482,Programma!$F$3:$R$1107,13,0),"")</f>
        <v/>
      </c>
      <c r="BQ482" s="300" t="str">
        <f>_xlfn.IFNA(VLOOKUP($BD482,Programma!$F$3:$S$1107,14,0),"")</f>
        <v/>
      </c>
      <c r="BR482" s="300" t="str">
        <f>_xlfn.IFNA(VLOOKUP($BD482,Programma!$F$3:$T$1107,15,0),"")</f>
        <v/>
      </c>
      <c r="BS482" s="300" t="str">
        <f>_xlfn.IFNA(VLOOKUP($BD482,Programma!$F$3:$U$1107,16,0),"")</f>
        <v/>
      </c>
      <c r="BT482" s="300" t="str">
        <f>_xlfn.IFNA(VLOOKUP($BD482,Programma!$F$3:$V$1107,17,0),"")</f>
        <v/>
      </c>
      <c r="BU482" s="300" t="str">
        <f>_xlfn.IFNA(VLOOKUP($BD482,Programma!$F$3:$W$1107,18,0),"")</f>
        <v/>
      </c>
      <c r="BV482" s="300" t="str">
        <f>_xlfn.IFNA(VLOOKUP($BD482,Programma!$F$3:$X$1107,19,0),"")</f>
        <v/>
      </c>
      <c r="BW482" s="300" t="str">
        <f>_xlfn.IFNA(VLOOKUP($BD482,Programma!$F$3:$Y$1107,20,0),"")</f>
        <v/>
      </c>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c r="GK482" s="4"/>
      <c r="GL482" s="4"/>
      <c r="GM482" s="4"/>
      <c r="GN482" s="4"/>
      <c r="GO482" s="4"/>
      <c r="GP482" s="4"/>
      <c r="GQ482" s="4"/>
      <c r="GR482" s="4"/>
      <c r="GS482" s="4"/>
      <c r="GT482" s="4"/>
      <c r="GU482" s="4"/>
      <c r="GV482" s="4"/>
      <c r="GW482" s="4"/>
      <c r="GX482" s="4"/>
      <c r="GY482" s="4"/>
      <c r="GZ482" s="4"/>
      <c r="HA482" s="4"/>
      <c r="HB482" s="4"/>
      <c r="HC482" s="4"/>
      <c r="HD482" s="4"/>
      <c r="HE482" s="4"/>
      <c r="HF482" s="4"/>
      <c r="HG482" s="4"/>
      <c r="HH482" s="4"/>
      <c r="HI482" s="4"/>
      <c r="HJ482" s="4"/>
      <c r="HK482" s="4"/>
      <c r="HL482" s="4"/>
    </row>
    <row r="483" spans="1:220" ht="15" customHeight="1">
      <c r="A483" s="21">
        <v>6</v>
      </c>
      <c r="B483" s="157" t="str">
        <f>VLOOKUP(Ruimtestaat[[#This Row],[Code]],Locaties[[Code]:[Locatie]],2,FALSE)</f>
        <v>Veurs Lyceum</v>
      </c>
      <c r="C483" s="157" t="str">
        <f>VLOOKUP(Ruimtestaat[[#This Row],[Code]],Locaties[[#All],[Code]:[Adres]],4,FALSE)</f>
        <v>Burg. Kolfschotenlaan 5</v>
      </c>
      <c r="D483" s="157" t="str">
        <f>VLOOKUP(Ruimtestaat[[#This Row],[Code]],Locaties[[#All],[Code]:[Postcode]],5,FALSE)</f>
        <v xml:space="preserve">2262 EZ </v>
      </c>
      <c r="E483" s="157" t="str">
        <f>VLOOKUP(Ruimtestaat[[#This Row],[Code]],Locaties[#All],6,FALSE)</f>
        <v>Leidschendam</v>
      </c>
      <c r="F483" s="62"/>
      <c r="G483" s="21" t="s">
        <v>1632</v>
      </c>
      <c r="H483" s="21">
        <v>57</v>
      </c>
      <c r="I483" s="62" t="s">
        <v>2110</v>
      </c>
      <c r="J483" s="21">
        <v>1</v>
      </c>
      <c r="K483" s="62" t="str">
        <f>VLOOKUP(Ruimtestaat[[#This Row],[Ruimte code]],Ruimtegroepen[[#All],[Code]:[Ruimte omschrijving]],2,FALSE)</f>
        <v>Magazijnen/bergingen</v>
      </c>
      <c r="L483" s="33" t="s">
        <v>101</v>
      </c>
      <c r="M483" s="367" t="s">
        <v>2495</v>
      </c>
      <c r="N483" s="140">
        <v>8</v>
      </c>
      <c r="O483" s="140"/>
      <c r="P483" s="125" t="str">
        <f>VLOOKUP(Ruimtestaat[[#This Row],[Ruimte code]],Ruimtegroepen[],4,FALSE)</f>
        <v>Ve</v>
      </c>
      <c r="R483" s="33">
        <v>40</v>
      </c>
      <c r="S483" s="33" t="s">
        <v>16</v>
      </c>
      <c r="T483" s="33">
        <f>IF(R483&gt;0,IF(RIGHT(Ruimtestaat[[#This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83" s="33">
        <f>IF(T483&gt;0,VLOOKUP($J483,Ruimtegroepen[],3,FALSE)*VLOOKUP($L483,Vloersoorten[],3,FALSE)*VLOOKUP($S483,Frequenties[],3,FALSE)*VLOOKUP($A483,Locaties[],3,FALSE),0)</f>
        <v>0</v>
      </c>
      <c r="V483" s="33">
        <f>Ruimtestaat[[#This Row],[Uitvoeringen werkdagen]]*Ruimtestaat[[#This Row],[Oppervlak (netto)]]</f>
        <v>96</v>
      </c>
      <c r="W483" s="154">
        <f>IF(U483&gt;0,Ruimtestaat[[#This Row],[Prest. (m2 /jaar) werkdagen]]/Ruimtestaat[[#This Row],[Norm (m2/uur) werkdagen]],0)</f>
        <v>0</v>
      </c>
      <c r="X483" s="155">
        <f>Ruimtestaat[[#This Row],[uren / jaar werkdagen]]*Tariefsopbouw!$E$35</f>
        <v>0</v>
      </c>
      <c r="Y483" s="33"/>
      <c r="Z483" s="33">
        <f>IF(Ruimtestaat[[#This Row],[Frequentie weekend]]&gt;0,VALUE(LEFT(Y483,1))*R483,0)</f>
        <v>0</v>
      </c>
      <c r="AA483" s="97">
        <f>IF($Z483&gt;0,VLOOKUP($J483,Ruimtegroepen[],3,FALSE)*VLOOKUP($L483,Vloersoorten[],3,FALSE)*VLOOKUP($Y483,Frequenties[],3,FALSE)*VLOOKUP(Ruimtestaat[[#This Row],[Code]],Locaties[],3,FALSE),0)</f>
        <v>0</v>
      </c>
      <c r="AB483" s="97">
        <f>Ruimtestaat[[#This Row],[Uitvoeringen weekend]]*Ruimtestaat[[#This Row],[Oppervlak (netto)]]</f>
        <v>0</v>
      </c>
      <c r="AC483" s="97">
        <f>IF(AA483&gt;0,Ruimtestaat[[#This Row],[Prest. (m2 /jaar) weekend]]/Ruimtestaat[[#This Row],[Norm (m2/uur) weekend]],0)</f>
        <v>0</v>
      </c>
      <c r="AD483" s="155">
        <f>Ruimtestaat[[#This Row],[uren / jaar weekend]]*Tariefsopbouw!$D$40</f>
        <v>0</v>
      </c>
      <c r="AE483" s="154">
        <f>Ruimtestaat[[#This Row],[Prest. (m2 /jaar) weekend]]+Ruimtestaat[[#This Row],[Prest. (m2 /jaar) werkdagen]]</f>
        <v>96</v>
      </c>
      <c r="AF483" s="154">
        <f>Ruimtestaat[[#This Row],[uren / jaar weekend]]+Ruimtestaat[[#This Row],[uren / jaar werkdagen]]</f>
        <v>0</v>
      </c>
      <c r="AG483" s="69">
        <f>Ruimtestaat[[#This Row],[kosten / jaar weekend]]+Ruimtestaat[[#This Row],[kosten / jaar werkdagen]]</f>
        <v>0</v>
      </c>
      <c r="AH483" s="69"/>
      <c r="AI483" s="256" t="str">
        <f>IF(Ruimtestaat[[#This Row],[Frequentie werkdagen]]="","",_xlfn.CONCAT(Ruimtestaat[[#This Row],[Ruimte code]],"-",Ruimtestaat[[#This Row],[Frequentie werkdagen]]," ",Ruimtestaat[[#This Row],[Vloer code]]))</f>
        <v>1-1m L</v>
      </c>
      <c r="AJ483" s="300" t="str">
        <f>_xlfn.IFNA(VLOOKUP($AI483,Programma!$F$3:$G$1107,2,0),"")</f>
        <v>_</v>
      </c>
      <c r="AK483" s="300" t="str">
        <f>_xlfn.IFNA(VLOOKUP($AI483,Programma!$F$3:$H$1107,3,0),"")</f>
        <v>_</v>
      </c>
      <c r="AL483" s="300" t="str">
        <f>_xlfn.IFNA(VLOOKUP($AI483,Programma!$F$3:$I$1107,4,0),"")</f>
        <v>1m</v>
      </c>
      <c r="AM483" s="300" t="str">
        <f>_xlfn.IFNA(VLOOKUP($AI483,Programma!$F$3:$J$1107,5,0),"")</f>
        <v>1m</v>
      </c>
      <c r="AN483" s="300" t="str">
        <f>_xlfn.IFNA(VLOOKUP($AI483,Programma!$F$3:$K$1107,6,0),"")</f>
        <v>_</v>
      </c>
      <c r="AO483" s="300" t="str">
        <f>_xlfn.IFNA(VLOOKUP($AI483,Programma!$F$3:$L$1107,7,0),"")</f>
        <v>_</v>
      </c>
      <c r="AP483" s="300" t="str">
        <f>_xlfn.IFNA(VLOOKUP($AI483,Programma!$F$3:$M$1107,8,0),"")</f>
        <v>_</v>
      </c>
      <c r="AQ483" s="300" t="str">
        <f>_xlfn.IFNA(VLOOKUP($AI483,Programma!$F$3:$N$1107,9,0),"")</f>
        <v>_</v>
      </c>
      <c r="AR483" s="300" t="str">
        <f>_xlfn.IFNA(VLOOKUP($AI483,Programma!$F$3:$O$1107,10,0),"")</f>
        <v>_</v>
      </c>
      <c r="AS483" s="300" t="str">
        <f>_xlfn.IFNA(VLOOKUP($AI483,Programma!$F$3:$P$1107,11,0),"")</f>
        <v>_</v>
      </c>
      <c r="AT483" s="300" t="str">
        <f>_xlfn.IFNA(VLOOKUP($AI483,Programma!$F$3:$Q$1107,12,0),"")</f>
        <v>_</v>
      </c>
      <c r="AU483" s="300" t="str">
        <f>_xlfn.IFNA(VLOOKUP($AI483,Programma!$F$3:$R$1107,13,0),"")</f>
        <v>_</v>
      </c>
      <c r="AV483" s="300" t="str">
        <f>_xlfn.IFNA(VLOOKUP($AI483,Programma!$F$3:$S$1107,14,0),"")</f>
        <v>1m</v>
      </c>
      <c r="AW483" s="300" t="str">
        <f>_xlfn.IFNA(VLOOKUP($AI483,Programma!$F$3:$T$1107,15,0),"")</f>
        <v>4j</v>
      </c>
      <c r="AX483" s="300" t="str">
        <f>_xlfn.IFNA(VLOOKUP($AI483,Programma!$F$3:$U$1107,16,0),"")</f>
        <v>4j</v>
      </c>
      <c r="AY483" s="300" t="str">
        <f>_xlfn.IFNA(VLOOKUP($AI483,Programma!$F$3:$V$1107,17,0),"")</f>
        <v>_</v>
      </c>
      <c r="AZ483" s="300" t="str">
        <f>_xlfn.IFNA(VLOOKUP($AI483,Programma!$F$3:$W$1107,18,0),"")</f>
        <v>_</v>
      </c>
      <c r="BA483" s="300" t="str">
        <f>_xlfn.IFNA(VLOOKUP($AI483,Programma!$F$3:$X$1107,19,0),"")</f>
        <v>_</v>
      </c>
      <c r="BB483" s="300" t="str">
        <f>_xlfn.IFNA(VLOOKUP($AI483,Programma!$F$3:$Y$1107,20,0),"")</f>
        <v>_</v>
      </c>
      <c r="BC483" s="257"/>
      <c r="BD483" s="256" t="str">
        <f>IF(Ruimtestaat[[#This Row],[Frequentie weekend]]="","",_xlfn.CONCAT(Ruimtestaat[[#This Row],[Ruimte code]],"-",Ruimtestaat[[#This Row],[Frequentie weekend]]," ",Ruimtestaat[[#This Row],[Vloer code]]))</f>
        <v/>
      </c>
      <c r="BE483" s="300" t="str">
        <f>_xlfn.IFNA(VLOOKUP($BD483,Programma!$F$3:$G$1107,2,0),"")</f>
        <v/>
      </c>
      <c r="BF483" s="300" t="str">
        <f>_xlfn.IFNA(VLOOKUP($BD483,Programma!$F$3:$H$1107,3,0),"")</f>
        <v/>
      </c>
      <c r="BG483" s="300" t="str">
        <f>_xlfn.IFNA(VLOOKUP($BD483,Programma!$F$3:$I$1107,4,0),"")</f>
        <v/>
      </c>
      <c r="BH483" s="300" t="str">
        <f>_xlfn.IFNA(VLOOKUP($BD483,Programma!$F$3:$J$1107,5,0),"")</f>
        <v/>
      </c>
      <c r="BI483" s="300" t="str">
        <f>_xlfn.IFNA(VLOOKUP($BD483,Programma!$F$3:$K$1107,6,0),"")</f>
        <v/>
      </c>
      <c r="BJ483" s="300" t="str">
        <f>_xlfn.IFNA(VLOOKUP($BD483,Programma!$F$3:$L$1107,7,0),"")</f>
        <v/>
      </c>
      <c r="BK483" s="300" t="str">
        <f>_xlfn.IFNA(VLOOKUP($BD483,Programma!$F$3:$M$1107,8,0),"")</f>
        <v/>
      </c>
      <c r="BL483" s="300" t="str">
        <f>_xlfn.IFNA(VLOOKUP($BD483,Programma!$F$3:$N$1107,9,0),"")</f>
        <v/>
      </c>
      <c r="BM483" s="300" t="str">
        <f>_xlfn.IFNA(VLOOKUP($BD483,Programma!$F$3:$O$1107,10,0),"")</f>
        <v/>
      </c>
      <c r="BN483" s="300" t="str">
        <f>_xlfn.IFNA(VLOOKUP($BD483,Programma!$F$3:$P$1107,11,0),"")</f>
        <v/>
      </c>
      <c r="BO483" s="300" t="str">
        <f>_xlfn.IFNA(VLOOKUP($BD483,Programma!$F$3:$Q$1107,12,0),"")</f>
        <v/>
      </c>
      <c r="BP483" s="300" t="str">
        <f>_xlfn.IFNA(VLOOKUP($BD483,Programma!$F$3:$R$1107,13,0),"")</f>
        <v/>
      </c>
      <c r="BQ483" s="300" t="str">
        <f>_xlfn.IFNA(VLOOKUP($BD483,Programma!$F$3:$S$1107,14,0),"")</f>
        <v/>
      </c>
      <c r="BR483" s="300" t="str">
        <f>_xlfn.IFNA(VLOOKUP($BD483,Programma!$F$3:$T$1107,15,0),"")</f>
        <v/>
      </c>
      <c r="BS483" s="300" t="str">
        <f>_xlfn.IFNA(VLOOKUP($BD483,Programma!$F$3:$U$1107,16,0),"")</f>
        <v/>
      </c>
      <c r="BT483" s="300" t="str">
        <f>_xlfn.IFNA(VLOOKUP($BD483,Programma!$F$3:$V$1107,17,0),"")</f>
        <v/>
      </c>
      <c r="BU483" s="300" t="str">
        <f>_xlfn.IFNA(VLOOKUP($BD483,Programma!$F$3:$W$1107,18,0),"")</f>
        <v/>
      </c>
      <c r="BV483" s="300" t="str">
        <f>_xlfn.IFNA(VLOOKUP($BD483,Programma!$F$3:$X$1107,19,0),"")</f>
        <v/>
      </c>
      <c r="BW483" s="300" t="str">
        <f>_xlfn.IFNA(VLOOKUP($BD483,Programma!$F$3:$Y$1107,20,0),"")</f>
        <v/>
      </c>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c r="GK483" s="4"/>
      <c r="GL483" s="4"/>
      <c r="GM483" s="4"/>
      <c r="GN483" s="4"/>
      <c r="GO483" s="4"/>
      <c r="GP483" s="4"/>
      <c r="GQ483" s="4"/>
      <c r="GR483" s="4"/>
      <c r="GS483" s="4"/>
      <c r="GT483" s="4"/>
      <c r="GU483" s="4"/>
      <c r="GV483" s="4"/>
      <c r="GW483" s="4"/>
      <c r="GX483" s="4"/>
      <c r="GY483" s="4"/>
      <c r="GZ483" s="4"/>
      <c r="HA483" s="4"/>
      <c r="HB483" s="4"/>
      <c r="HC483" s="4"/>
      <c r="HD483" s="4"/>
      <c r="HE483" s="4"/>
      <c r="HF483" s="4"/>
      <c r="HG483" s="4"/>
      <c r="HH483" s="4"/>
      <c r="HI483" s="4"/>
      <c r="HJ483" s="4"/>
      <c r="HK483" s="4"/>
      <c r="HL483" s="4"/>
    </row>
    <row r="484" spans="1:220" ht="15" customHeight="1">
      <c r="A484" s="21">
        <v>6</v>
      </c>
      <c r="B484" s="157" t="str">
        <f>VLOOKUP(Ruimtestaat[[#This Row],[Code]],Locaties[[Code]:[Locatie]],2,FALSE)</f>
        <v>Veurs Lyceum</v>
      </c>
      <c r="C484" s="157" t="str">
        <f>VLOOKUP(Ruimtestaat[[#This Row],[Code]],Locaties[[#All],[Code]:[Adres]],4,FALSE)</f>
        <v>Burg. Kolfschotenlaan 5</v>
      </c>
      <c r="D484" s="157" t="str">
        <f>VLOOKUP(Ruimtestaat[[#This Row],[Code]],Locaties[[#All],[Code]:[Postcode]],5,FALSE)</f>
        <v xml:space="preserve">2262 EZ </v>
      </c>
      <c r="E484" s="157" t="str">
        <f>VLOOKUP(Ruimtestaat[[#This Row],[Code]],Locaties[#All],6,FALSE)</f>
        <v>Leidschendam</v>
      </c>
      <c r="F484" s="62"/>
      <c r="G484" s="21" t="s">
        <v>1624</v>
      </c>
      <c r="H484" s="21" t="s">
        <v>1654</v>
      </c>
      <c r="I484" s="62" t="s">
        <v>1657</v>
      </c>
      <c r="J484" s="21">
        <v>10</v>
      </c>
      <c r="K484" s="62" t="str">
        <f>VLOOKUP(Ruimtestaat[[#This Row],[Ruimte code]],Ruimtegroepen[[#All],[Code]:[Ruimte omschrijving]],2,FALSE)</f>
        <v>Trappenhuizen/lift</v>
      </c>
      <c r="L484" s="33" t="s">
        <v>102</v>
      </c>
      <c r="M484" s="367" t="s">
        <v>2509</v>
      </c>
      <c r="N484" s="140">
        <v>26</v>
      </c>
      <c r="O484" s="140"/>
      <c r="P484" s="125" t="str">
        <f>VLOOKUP(Ruimtestaat[[#This Row],[Ruimte code]],Ruimtegroepen[],4,FALSE)</f>
        <v>Ve</v>
      </c>
      <c r="R484" s="33">
        <v>40</v>
      </c>
      <c r="S484" s="33" t="s">
        <v>2</v>
      </c>
      <c r="T484" s="33">
        <f>IF(R484&gt;0,IF(RIGHT(Ruimtestaat[[#This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4" s="33">
        <f>IF(T484&gt;0,VLOOKUP($J484,Ruimtegroepen[],3,FALSE)*VLOOKUP($L484,Vloersoorten[],3,FALSE)*VLOOKUP($S484,Frequenties[],3,FALSE)*VLOOKUP($A484,Locaties[],3,FALSE),0)</f>
        <v>0</v>
      </c>
      <c r="V484" s="33">
        <f>Ruimtestaat[[#This Row],[Uitvoeringen werkdagen]]*Ruimtestaat[[#This Row],[Oppervlak (netto)]]</f>
        <v>5200</v>
      </c>
      <c r="W484" s="154">
        <f>IF(U484&gt;0,Ruimtestaat[[#This Row],[Prest. (m2 /jaar) werkdagen]]/Ruimtestaat[[#This Row],[Norm (m2/uur) werkdagen]],0)</f>
        <v>0</v>
      </c>
      <c r="X484" s="155">
        <f>Ruimtestaat[[#This Row],[uren / jaar werkdagen]]*Tariefsopbouw!$E$35</f>
        <v>0</v>
      </c>
      <c r="Y484" s="33"/>
      <c r="Z484" s="33">
        <f>IF(Ruimtestaat[[#This Row],[Frequentie weekend]]&gt;0,VALUE(LEFT(Y484,1))*R484,0)</f>
        <v>0</v>
      </c>
      <c r="AA484" s="97">
        <f>IF($Z484&gt;0,VLOOKUP($J484,Ruimtegroepen[],3,FALSE)*VLOOKUP($L484,Vloersoorten[],3,FALSE)*VLOOKUP($Y484,Frequenties[],3,FALSE)*VLOOKUP(Ruimtestaat[[#This Row],[Code]],Locaties[],3,FALSE),0)</f>
        <v>0</v>
      </c>
      <c r="AB484" s="97">
        <f>Ruimtestaat[[#This Row],[Uitvoeringen weekend]]*Ruimtestaat[[#This Row],[Oppervlak (netto)]]</f>
        <v>0</v>
      </c>
      <c r="AC484" s="97">
        <f>IF(AA484&gt;0,Ruimtestaat[[#This Row],[Prest. (m2 /jaar) weekend]]/Ruimtestaat[[#This Row],[Norm (m2/uur) weekend]],0)</f>
        <v>0</v>
      </c>
      <c r="AD484" s="155">
        <f>Ruimtestaat[[#This Row],[uren / jaar weekend]]*Tariefsopbouw!$D$40</f>
        <v>0</v>
      </c>
      <c r="AE484" s="154">
        <f>Ruimtestaat[[#This Row],[Prest. (m2 /jaar) weekend]]+Ruimtestaat[[#This Row],[Prest. (m2 /jaar) werkdagen]]</f>
        <v>5200</v>
      </c>
      <c r="AF484" s="154">
        <f>Ruimtestaat[[#This Row],[uren / jaar weekend]]+Ruimtestaat[[#This Row],[uren / jaar werkdagen]]</f>
        <v>0</v>
      </c>
      <c r="AG484" s="69">
        <f>Ruimtestaat[[#This Row],[kosten / jaar weekend]]+Ruimtestaat[[#This Row],[kosten / jaar werkdagen]]</f>
        <v>0</v>
      </c>
      <c r="AH484" s="69"/>
      <c r="AI484" s="256" t="str">
        <f>IF(Ruimtestaat[[#This Row],[Frequentie werkdagen]]="","",_xlfn.CONCAT(Ruimtestaat[[#This Row],[Ruimte code]],"-",Ruimtestaat[[#This Row],[Frequentie werkdagen]]," ",Ruimtestaat[[#This Row],[Vloer code]]))</f>
        <v>10-5w S</v>
      </c>
      <c r="AJ484" s="300" t="str">
        <f>_xlfn.IFNA(VLOOKUP($AI484,Programma!$F$3:$G$1107,2,0),"")</f>
        <v>_</v>
      </c>
      <c r="AK484" s="300" t="str">
        <f>_xlfn.IFNA(VLOOKUP($AI484,Programma!$F$3:$H$1107,3,0),"")</f>
        <v>_</v>
      </c>
      <c r="AL484" s="300" t="str">
        <f>_xlfn.IFNA(VLOOKUP($AI484,Programma!$F$3:$I$1107,4,0),"")</f>
        <v>4w</v>
      </c>
      <c r="AM484" s="300" t="str">
        <f>_xlfn.IFNA(VLOOKUP($AI484,Programma!$F$3:$J$1107,5,0),"")</f>
        <v>1w</v>
      </c>
      <c r="AN484" s="300" t="str">
        <f>_xlfn.IFNA(VLOOKUP($AI484,Programma!$F$3:$K$1107,6,0),"")</f>
        <v>4j</v>
      </c>
      <c r="AO484" s="300" t="str">
        <f>_xlfn.IFNA(VLOOKUP($AI484,Programma!$F$3:$L$1107,7,0),"")</f>
        <v>_</v>
      </c>
      <c r="AP484" s="300" t="str">
        <f>_xlfn.IFNA(VLOOKUP($AI484,Programma!$F$3:$M$1107,8,0),"")</f>
        <v>_</v>
      </c>
      <c r="AQ484" s="300" t="str">
        <f>_xlfn.IFNA(VLOOKUP($AI484,Programma!$F$3:$N$1107,9,0),"")</f>
        <v>_</v>
      </c>
      <c r="AR484" s="300" t="str">
        <f>_xlfn.IFNA(VLOOKUP($AI484,Programma!$F$3:$O$1107,10,0),"")</f>
        <v>5w</v>
      </c>
      <c r="AS484" s="300" t="str">
        <f>_xlfn.IFNA(VLOOKUP($AI484,Programma!$F$3:$P$1107,11,0),"")</f>
        <v>5w</v>
      </c>
      <c r="AT484" s="300" t="str">
        <f>_xlfn.IFNA(VLOOKUP($AI484,Programma!$F$3:$Q$1107,12,0),"")</f>
        <v>1w</v>
      </c>
      <c r="AU484" s="300" t="str">
        <f>_xlfn.IFNA(VLOOKUP($AI484,Programma!$F$3:$R$1107,13,0),"")</f>
        <v>1w</v>
      </c>
      <c r="AV484" s="300" t="str">
        <f>_xlfn.IFNA(VLOOKUP($AI484,Programma!$F$3:$S$1107,14,0),"")</f>
        <v>1m</v>
      </c>
      <c r="AW484" s="300" t="str">
        <f>_xlfn.IFNA(VLOOKUP($AI484,Programma!$F$3:$T$1107,15,0),"")</f>
        <v>2j</v>
      </c>
      <c r="AX484" s="300" t="str">
        <f>_xlfn.IFNA(VLOOKUP($AI484,Programma!$F$3:$U$1107,16,0),"")</f>
        <v>1j</v>
      </c>
      <c r="AY484" s="300" t="str">
        <f>_xlfn.IFNA(VLOOKUP($AI484,Programma!$F$3:$V$1107,17,0),"")</f>
        <v>_</v>
      </c>
      <c r="AZ484" s="300" t="str">
        <f>_xlfn.IFNA(VLOOKUP($AI484,Programma!$F$3:$W$1107,18,0),"")</f>
        <v>_</v>
      </c>
      <c r="BA484" s="300" t="str">
        <f>_xlfn.IFNA(VLOOKUP($AI484,Programma!$F$3:$X$1107,19,0),"")</f>
        <v>_</v>
      </c>
      <c r="BB484" s="300" t="str">
        <f>_xlfn.IFNA(VLOOKUP($AI484,Programma!$F$3:$Y$1107,20,0),"")</f>
        <v>_</v>
      </c>
      <c r="BC484" s="257"/>
      <c r="BD484" s="256" t="str">
        <f>IF(Ruimtestaat[[#This Row],[Frequentie weekend]]="","",_xlfn.CONCAT(Ruimtestaat[[#This Row],[Ruimte code]],"-",Ruimtestaat[[#This Row],[Frequentie weekend]]," ",Ruimtestaat[[#This Row],[Vloer code]]))</f>
        <v/>
      </c>
      <c r="BE484" s="300" t="str">
        <f>_xlfn.IFNA(VLOOKUP($BD484,Programma!$F$3:$G$1107,2,0),"")</f>
        <v/>
      </c>
      <c r="BF484" s="300" t="str">
        <f>_xlfn.IFNA(VLOOKUP($BD484,Programma!$F$3:$H$1107,3,0),"")</f>
        <v/>
      </c>
      <c r="BG484" s="300" t="str">
        <f>_xlfn.IFNA(VLOOKUP($BD484,Programma!$F$3:$I$1107,4,0),"")</f>
        <v/>
      </c>
      <c r="BH484" s="300" t="str">
        <f>_xlfn.IFNA(VLOOKUP($BD484,Programma!$F$3:$J$1107,5,0),"")</f>
        <v/>
      </c>
      <c r="BI484" s="300" t="str">
        <f>_xlfn.IFNA(VLOOKUP($BD484,Programma!$F$3:$K$1107,6,0),"")</f>
        <v/>
      </c>
      <c r="BJ484" s="300" t="str">
        <f>_xlfn.IFNA(VLOOKUP($BD484,Programma!$F$3:$L$1107,7,0),"")</f>
        <v/>
      </c>
      <c r="BK484" s="300" t="str">
        <f>_xlfn.IFNA(VLOOKUP($BD484,Programma!$F$3:$M$1107,8,0),"")</f>
        <v/>
      </c>
      <c r="BL484" s="300" t="str">
        <f>_xlfn.IFNA(VLOOKUP($BD484,Programma!$F$3:$N$1107,9,0),"")</f>
        <v/>
      </c>
      <c r="BM484" s="300" t="str">
        <f>_xlfn.IFNA(VLOOKUP($BD484,Programma!$F$3:$O$1107,10,0),"")</f>
        <v/>
      </c>
      <c r="BN484" s="300" t="str">
        <f>_xlfn.IFNA(VLOOKUP($BD484,Programma!$F$3:$P$1107,11,0),"")</f>
        <v/>
      </c>
      <c r="BO484" s="300" t="str">
        <f>_xlfn.IFNA(VLOOKUP($BD484,Programma!$F$3:$Q$1107,12,0),"")</f>
        <v/>
      </c>
      <c r="BP484" s="300" t="str">
        <f>_xlfn.IFNA(VLOOKUP($BD484,Programma!$F$3:$R$1107,13,0),"")</f>
        <v/>
      </c>
      <c r="BQ484" s="300" t="str">
        <f>_xlfn.IFNA(VLOOKUP($BD484,Programma!$F$3:$S$1107,14,0),"")</f>
        <v/>
      </c>
      <c r="BR484" s="300" t="str">
        <f>_xlfn.IFNA(VLOOKUP($BD484,Programma!$F$3:$T$1107,15,0),"")</f>
        <v/>
      </c>
      <c r="BS484" s="300" t="str">
        <f>_xlfn.IFNA(VLOOKUP($BD484,Programma!$F$3:$U$1107,16,0),"")</f>
        <v/>
      </c>
      <c r="BT484" s="300" t="str">
        <f>_xlfn.IFNA(VLOOKUP($BD484,Programma!$F$3:$V$1107,17,0),"")</f>
        <v/>
      </c>
      <c r="BU484" s="300" t="str">
        <f>_xlfn.IFNA(VLOOKUP($BD484,Programma!$F$3:$W$1107,18,0),"")</f>
        <v/>
      </c>
      <c r="BV484" s="300" t="str">
        <f>_xlfn.IFNA(VLOOKUP($BD484,Programma!$F$3:$X$1107,19,0),"")</f>
        <v/>
      </c>
      <c r="BW484" s="300" t="str">
        <f>_xlfn.IFNA(VLOOKUP($BD484,Programma!$F$3:$Y$1107,20,0),"")</f>
        <v/>
      </c>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c r="GK484" s="4"/>
      <c r="GL484" s="4"/>
      <c r="GM484" s="4"/>
      <c r="GN484" s="4"/>
      <c r="GO484" s="4"/>
      <c r="GP484" s="4"/>
      <c r="GQ484" s="4"/>
      <c r="GR484" s="4"/>
      <c r="GS484" s="4"/>
      <c r="GT484" s="4"/>
      <c r="GU484" s="4"/>
      <c r="GV484" s="4"/>
      <c r="GW484" s="4"/>
      <c r="GX484" s="4"/>
      <c r="GY484" s="4"/>
      <c r="GZ484" s="4"/>
      <c r="HA484" s="4"/>
      <c r="HB484" s="4"/>
      <c r="HC484" s="4"/>
      <c r="HD484" s="4"/>
      <c r="HE484" s="4"/>
      <c r="HF484" s="4"/>
      <c r="HG484" s="4"/>
      <c r="HH484" s="4"/>
      <c r="HI484" s="4"/>
      <c r="HJ484" s="4"/>
      <c r="HK484" s="4"/>
      <c r="HL484" s="4"/>
    </row>
    <row r="485" spans="1:220" ht="15" customHeight="1">
      <c r="A485" s="21">
        <v>6</v>
      </c>
      <c r="B485" s="157" t="str">
        <f>VLOOKUP(Ruimtestaat[[#This Row],[Code]],Locaties[[Code]:[Locatie]],2,FALSE)</f>
        <v>Veurs Lyceum</v>
      </c>
      <c r="C485" s="157" t="str">
        <f>VLOOKUP(Ruimtestaat[[#This Row],[Code]],Locaties[[#All],[Code]:[Adres]],4,FALSE)</f>
        <v>Burg. Kolfschotenlaan 5</v>
      </c>
      <c r="D485" s="157" t="str">
        <f>VLOOKUP(Ruimtestaat[[#This Row],[Code]],Locaties[[#All],[Code]:[Postcode]],5,FALSE)</f>
        <v xml:space="preserve">2262 EZ </v>
      </c>
      <c r="E485" s="157" t="str">
        <f>VLOOKUP(Ruimtestaat[[#This Row],[Code]],Locaties[#All],6,FALSE)</f>
        <v>Leidschendam</v>
      </c>
      <c r="F485" s="62"/>
      <c r="G485" s="21" t="s">
        <v>1624</v>
      </c>
      <c r="H485" s="21" t="s">
        <v>1656</v>
      </c>
      <c r="I485" s="62" t="s">
        <v>1657</v>
      </c>
      <c r="J485" s="21">
        <v>10</v>
      </c>
      <c r="K485" s="62" t="str">
        <f>VLOOKUP(Ruimtestaat[[#This Row],[Ruimte code]],Ruimtegroepen[[#All],[Code]:[Ruimte omschrijving]],2,FALSE)</f>
        <v>Trappenhuizen/lift</v>
      </c>
      <c r="L485" s="33" t="s">
        <v>102</v>
      </c>
      <c r="M485" s="367" t="s">
        <v>2509</v>
      </c>
      <c r="N485" s="140">
        <v>6</v>
      </c>
      <c r="O485" s="140"/>
      <c r="P485" s="125" t="str">
        <f>VLOOKUP(Ruimtestaat[[#This Row],[Ruimte code]],Ruimtegroepen[],4,FALSE)</f>
        <v>Ve</v>
      </c>
      <c r="R485" s="33">
        <v>40</v>
      </c>
      <c r="S485" s="33" t="s">
        <v>2</v>
      </c>
      <c r="T485" s="33">
        <f>IF(R485&gt;0,IF(RIGHT(Ruimtestaat[[#This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5" s="33">
        <f>IF(T485&gt;0,VLOOKUP($J485,Ruimtegroepen[],3,FALSE)*VLOOKUP($L485,Vloersoorten[],3,FALSE)*VLOOKUP($S485,Frequenties[],3,FALSE)*VLOOKUP($A485,Locaties[],3,FALSE),0)</f>
        <v>0</v>
      </c>
      <c r="V485" s="33">
        <f>Ruimtestaat[[#This Row],[Uitvoeringen werkdagen]]*Ruimtestaat[[#This Row],[Oppervlak (netto)]]</f>
        <v>1200</v>
      </c>
      <c r="W485" s="154">
        <f>IF(U485&gt;0,Ruimtestaat[[#This Row],[Prest. (m2 /jaar) werkdagen]]/Ruimtestaat[[#This Row],[Norm (m2/uur) werkdagen]],0)</f>
        <v>0</v>
      </c>
      <c r="X485" s="155">
        <f>Ruimtestaat[[#This Row],[uren / jaar werkdagen]]*Tariefsopbouw!$E$35</f>
        <v>0</v>
      </c>
      <c r="Y485" s="33"/>
      <c r="Z485" s="33">
        <f>IF(Ruimtestaat[[#This Row],[Frequentie weekend]]&gt;0,VALUE(LEFT(Y485,1))*R485,0)</f>
        <v>0</v>
      </c>
      <c r="AA485" s="97">
        <f>IF($Z485&gt;0,VLOOKUP($J485,Ruimtegroepen[],3,FALSE)*VLOOKUP($L485,Vloersoorten[],3,FALSE)*VLOOKUP($Y485,Frequenties[],3,FALSE)*VLOOKUP(Ruimtestaat[[#This Row],[Code]],Locaties[],3,FALSE),0)</f>
        <v>0</v>
      </c>
      <c r="AB485" s="97">
        <f>Ruimtestaat[[#This Row],[Uitvoeringen weekend]]*Ruimtestaat[[#This Row],[Oppervlak (netto)]]</f>
        <v>0</v>
      </c>
      <c r="AC485" s="97">
        <f>IF(AA485&gt;0,Ruimtestaat[[#This Row],[Prest. (m2 /jaar) weekend]]/Ruimtestaat[[#This Row],[Norm (m2/uur) weekend]],0)</f>
        <v>0</v>
      </c>
      <c r="AD485" s="155">
        <f>Ruimtestaat[[#This Row],[uren / jaar weekend]]*Tariefsopbouw!$D$40</f>
        <v>0</v>
      </c>
      <c r="AE485" s="154">
        <f>Ruimtestaat[[#This Row],[Prest. (m2 /jaar) weekend]]+Ruimtestaat[[#This Row],[Prest. (m2 /jaar) werkdagen]]</f>
        <v>1200</v>
      </c>
      <c r="AF485" s="154">
        <f>Ruimtestaat[[#This Row],[uren / jaar weekend]]+Ruimtestaat[[#This Row],[uren / jaar werkdagen]]</f>
        <v>0</v>
      </c>
      <c r="AG485" s="69">
        <f>Ruimtestaat[[#This Row],[kosten / jaar weekend]]+Ruimtestaat[[#This Row],[kosten / jaar werkdagen]]</f>
        <v>0</v>
      </c>
      <c r="AH485" s="69"/>
      <c r="AI485" s="256" t="str">
        <f>IF(Ruimtestaat[[#This Row],[Frequentie werkdagen]]="","",_xlfn.CONCAT(Ruimtestaat[[#This Row],[Ruimte code]],"-",Ruimtestaat[[#This Row],[Frequentie werkdagen]]," ",Ruimtestaat[[#This Row],[Vloer code]]))</f>
        <v>10-5w S</v>
      </c>
      <c r="AJ485" s="300" t="str">
        <f>_xlfn.IFNA(VLOOKUP($AI485,Programma!$F$3:$G$1107,2,0),"")</f>
        <v>_</v>
      </c>
      <c r="AK485" s="300" t="str">
        <f>_xlfn.IFNA(VLOOKUP($AI485,Programma!$F$3:$H$1107,3,0),"")</f>
        <v>_</v>
      </c>
      <c r="AL485" s="300" t="str">
        <f>_xlfn.IFNA(VLOOKUP($AI485,Programma!$F$3:$I$1107,4,0),"")</f>
        <v>4w</v>
      </c>
      <c r="AM485" s="300" t="str">
        <f>_xlfn.IFNA(VLOOKUP($AI485,Programma!$F$3:$J$1107,5,0),"")</f>
        <v>1w</v>
      </c>
      <c r="AN485" s="300" t="str">
        <f>_xlfn.IFNA(VLOOKUP($AI485,Programma!$F$3:$K$1107,6,0),"")</f>
        <v>4j</v>
      </c>
      <c r="AO485" s="300" t="str">
        <f>_xlfn.IFNA(VLOOKUP($AI485,Programma!$F$3:$L$1107,7,0),"")</f>
        <v>_</v>
      </c>
      <c r="AP485" s="300" t="str">
        <f>_xlfn.IFNA(VLOOKUP($AI485,Programma!$F$3:$M$1107,8,0),"")</f>
        <v>_</v>
      </c>
      <c r="AQ485" s="300" t="str">
        <f>_xlfn.IFNA(VLOOKUP($AI485,Programma!$F$3:$N$1107,9,0),"")</f>
        <v>_</v>
      </c>
      <c r="AR485" s="300" t="str">
        <f>_xlfn.IFNA(VLOOKUP($AI485,Programma!$F$3:$O$1107,10,0),"")</f>
        <v>5w</v>
      </c>
      <c r="AS485" s="300" t="str">
        <f>_xlfn.IFNA(VLOOKUP($AI485,Programma!$F$3:$P$1107,11,0),"")</f>
        <v>5w</v>
      </c>
      <c r="AT485" s="300" t="str">
        <f>_xlfn.IFNA(VLOOKUP($AI485,Programma!$F$3:$Q$1107,12,0),"")</f>
        <v>1w</v>
      </c>
      <c r="AU485" s="300" t="str">
        <f>_xlfn.IFNA(VLOOKUP($AI485,Programma!$F$3:$R$1107,13,0),"")</f>
        <v>1w</v>
      </c>
      <c r="AV485" s="300" t="str">
        <f>_xlfn.IFNA(VLOOKUP($AI485,Programma!$F$3:$S$1107,14,0),"")</f>
        <v>1m</v>
      </c>
      <c r="AW485" s="300" t="str">
        <f>_xlfn.IFNA(VLOOKUP($AI485,Programma!$F$3:$T$1107,15,0),"")</f>
        <v>2j</v>
      </c>
      <c r="AX485" s="300" t="str">
        <f>_xlfn.IFNA(VLOOKUP($AI485,Programma!$F$3:$U$1107,16,0),"")</f>
        <v>1j</v>
      </c>
      <c r="AY485" s="300" t="str">
        <f>_xlfn.IFNA(VLOOKUP($AI485,Programma!$F$3:$V$1107,17,0),"")</f>
        <v>_</v>
      </c>
      <c r="AZ485" s="300" t="str">
        <f>_xlfn.IFNA(VLOOKUP($AI485,Programma!$F$3:$W$1107,18,0),"")</f>
        <v>_</v>
      </c>
      <c r="BA485" s="300" t="str">
        <f>_xlfn.IFNA(VLOOKUP($AI485,Programma!$F$3:$X$1107,19,0),"")</f>
        <v>_</v>
      </c>
      <c r="BB485" s="300" t="str">
        <f>_xlfn.IFNA(VLOOKUP($AI485,Programma!$F$3:$Y$1107,20,0),"")</f>
        <v>_</v>
      </c>
      <c r="BC485" s="257"/>
      <c r="BD485" s="256" t="str">
        <f>IF(Ruimtestaat[[#This Row],[Frequentie weekend]]="","",_xlfn.CONCAT(Ruimtestaat[[#This Row],[Ruimte code]],"-",Ruimtestaat[[#This Row],[Frequentie weekend]]," ",Ruimtestaat[[#This Row],[Vloer code]]))</f>
        <v/>
      </c>
      <c r="BE485" s="300" t="str">
        <f>_xlfn.IFNA(VLOOKUP($BD485,Programma!$F$3:$G$1107,2,0),"")</f>
        <v/>
      </c>
      <c r="BF485" s="300" t="str">
        <f>_xlfn.IFNA(VLOOKUP($BD485,Programma!$F$3:$H$1107,3,0),"")</f>
        <v/>
      </c>
      <c r="BG485" s="300" t="str">
        <f>_xlfn.IFNA(VLOOKUP($BD485,Programma!$F$3:$I$1107,4,0),"")</f>
        <v/>
      </c>
      <c r="BH485" s="300" t="str">
        <f>_xlfn.IFNA(VLOOKUP($BD485,Programma!$F$3:$J$1107,5,0),"")</f>
        <v/>
      </c>
      <c r="BI485" s="300" t="str">
        <f>_xlfn.IFNA(VLOOKUP($BD485,Programma!$F$3:$K$1107,6,0),"")</f>
        <v/>
      </c>
      <c r="BJ485" s="300" t="str">
        <f>_xlfn.IFNA(VLOOKUP($BD485,Programma!$F$3:$L$1107,7,0),"")</f>
        <v/>
      </c>
      <c r="BK485" s="300" t="str">
        <f>_xlfn.IFNA(VLOOKUP($BD485,Programma!$F$3:$M$1107,8,0),"")</f>
        <v/>
      </c>
      <c r="BL485" s="300" t="str">
        <f>_xlfn.IFNA(VLOOKUP($BD485,Programma!$F$3:$N$1107,9,0),"")</f>
        <v/>
      </c>
      <c r="BM485" s="300" t="str">
        <f>_xlfn.IFNA(VLOOKUP($BD485,Programma!$F$3:$O$1107,10,0),"")</f>
        <v/>
      </c>
      <c r="BN485" s="300" t="str">
        <f>_xlfn.IFNA(VLOOKUP($BD485,Programma!$F$3:$P$1107,11,0),"")</f>
        <v/>
      </c>
      <c r="BO485" s="300" t="str">
        <f>_xlfn.IFNA(VLOOKUP($BD485,Programma!$F$3:$Q$1107,12,0),"")</f>
        <v/>
      </c>
      <c r="BP485" s="300" t="str">
        <f>_xlfn.IFNA(VLOOKUP($BD485,Programma!$F$3:$R$1107,13,0),"")</f>
        <v/>
      </c>
      <c r="BQ485" s="300" t="str">
        <f>_xlfn.IFNA(VLOOKUP($BD485,Programma!$F$3:$S$1107,14,0),"")</f>
        <v/>
      </c>
      <c r="BR485" s="300" t="str">
        <f>_xlfn.IFNA(VLOOKUP($BD485,Programma!$F$3:$T$1107,15,0),"")</f>
        <v/>
      </c>
      <c r="BS485" s="300" t="str">
        <f>_xlfn.IFNA(VLOOKUP($BD485,Programma!$F$3:$U$1107,16,0),"")</f>
        <v/>
      </c>
      <c r="BT485" s="300" t="str">
        <f>_xlfn.IFNA(VLOOKUP($BD485,Programma!$F$3:$V$1107,17,0),"")</f>
        <v/>
      </c>
      <c r="BU485" s="300" t="str">
        <f>_xlfn.IFNA(VLOOKUP($BD485,Programma!$F$3:$W$1107,18,0),"")</f>
        <v/>
      </c>
      <c r="BV485" s="300" t="str">
        <f>_xlfn.IFNA(VLOOKUP($BD485,Programma!$F$3:$X$1107,19,0),"")</f>
        <v/>
      </c>
      <c r="BW485" s="300" t="str">
        <f>_xlfn.IFNA(VLOOKUP($BD485,Programma!$F$3:$Y$1107,20,0),"")</f>
        <v/>
      </c>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c r="GK485" s="4"/>
      <c r="GL485" s="4"/>
      <c r="GM485" s="4"/>
      <c r="GN485" s="4"/>
      <c r="GO485" s="4"/>
      <c r="GP485" s="4"/>
      <c r="GQ485" s="4"/>
      <c r="GR485" s="4"/>
      <c r="GS485" s="4"/>
      <c r="GT485" s="4"/>
      <c r="GU485" s="4"/>
      <c r="GV485" s="4"/>
      <c r="GW485" s="4"/>
      <c r="GX485" s="4"/>
      <c r="GY485" s="4"/>
      <c r="GZ485" s="4"/>
      <c r="HA485" s="4"/>
      <c r="HB485" s="4"/>
      <c r="HC485" s="4"/>
      <c r="HD485" s="4"/>
      <c r="HE485" s="4"/>
      <c r="HF485" s="4"/>
      <c r="HG485" s="4"/>
      <c r="HH485" s="4"/>
      <c r="HI485" s="4"/>
      <c r="HJ485" s="4"/>
      <c r="HK485" s="4"/>
      <c r="HL485" s="4"/>
    </row>
    <row r="486" spans="1:220" ht="15" customHeight="1">
      <c r="A486" s="21">
        <v>6</v>
      </c>
      <c r="B486" s="157" t="str">
        <f>VLOOKUP(Ruimtestaat[[#This Row],[Code]],Locaties[[Code]:[Locatie]],2,FALSE)</f>
        <v>Veurs Lyceum</v>
      </c>
      <c r="C486" s="157" t="str">
        <f>VLOOKUP(Ruimtestaat[[#This Row],[Code]],Locaties[[#All],[Code]:[Adres]],4,FALSE)</f>
        <v>Burg. Kolfschotenlaan 5</v>
      </c>
      <c r="D486" s="157" t="str">
        <f>VLOOKUP(Ruimtestaat[[#This Row],[Code]],Locaties[[#All],[Code]:[Postcode]],5,FALSE)</f>
        <v xml:space="preserve">2262 EZ </v>
      </c>
      <c r="E486" s="157" t="str">
        <f>VLOOKUP(Ruimtestaat[[#This Row],[Code]],Locaties[#All],6,FALSE)</f>
        <v>Leidschendam</v>
      </c>
      <c r="F486" s="62"/>
      <c r="G486" s="21" t="s">
        <v>1624</v>
      </c>
      <c r="H486" s="21" t="s">
        <v>1658</v>
      </c>
      <c r="I486" s="62" t="s">
        <v>2111</v>
      </c>
      <c r="J486" s="21">
        <v>16</v>
      </c>
      <c r="K486" s="62" t="str">
        <f>VLOOKUP(Ruimtestaat[[#This Row],[Ruimte code]],Ruimtegroepen[[#All],[Code]:[Ruimte omschrijving]],2,FALSE)</f>
        <v>Leslokalen theorie</v>
      </c>
      <c r="L486" s="33" t="s">
        <v>100</v>
      </c>
      <c r="M486" s="367" t="s">
        <v>36</v>
      </c>
      <c r="N486" s="140">
        <v>83</v>
      </c>
      <c r="O486" s="140"/>
      <c r="P486" s="125" t="str">
        <f>VLOOKUP(Ruimtestaat[[#This Row],[Ruimte code]],Ruimtegroepen[],4,FALSE)</f>
        <v>Le</v>
      </c>
      <c r="R486" s="33">
        <v>40</v>
      </c>
      <c r="S486" s="33" t="s">
        <v>2</v>
      </c>
      <c r="T486" s="33">
        <f>IF(R486&gt;0,IF(RIGHT(Ruimtestaat[[#This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6" s="33">
        <f>IF(T486&gt;0,VLOOKUP($J486,Ruimtegroepen[],3,FALSE)*VLOOKUP($L486,Vloersoorten[],3,FALSE)*VLOOKUP($S486,Frequenties[],3,FALSE)*VLOOKUP($A486,Locaties[],3,FALSE),0)</f>
        <v>0</v>
      </c>
      <c r="V486" s="33">
        <f>Ruimtestaat[[#This Row],[Uitvoeringen werkdagen]]*Ruimtestaat[[#This Row],[Oppervlak (netto)]]</f>
        <v>16600</v>
      </c>
      <c r="W486" s="154">
        <f>IF(U486&gt;0,Ruimtestaat[[#This Row],[Prest. (m2 /jaar) werkdagen]]/Ruimtestaat[[#This Row],[Norm (m2/uur) werkdagen]],0)</f>
        <v>0</v>
      </c>
      <c r="X486" s="155">
        <f>Ruimtestaat[[#This Row],[uren / jaar werkdagen]]*Tariefsopbouw!$E$35</f>
        <v>0</v>
      </c>
      <c r="Y486" s="33"/>
      <c r="Z486" s="33">
        <f>IF(Ruimtestaat[[#This Row],[Frequentie weekend]]&gt;0,VALUE(LEFT(Y486,1))*R486,0)</f>
        <v>0</v>
      </c>
      <c r="AA486" s="97">
        <f>IF($Z486&gt;0,VLOOKUP($J486,Ruimtegroepen[],3,FALSE)*VLOOKUP($L486,Vloersoorten[],3,FALSE)*VLOOKUP($Y486,Frequenties[],3,FALSE)*VLOOKUP(Ruimtestaat[[#This Row],[Code]],Locaties[],3,FALSE),0)</f>
        <v>0</v>
      </c>
      <c r="AB486" s="97">
        <f>Ruimtestaat[[#This Row],[Uitvoeringen weekend]]*Ruimtestaat[[#This Row],[Oppervlak (netto)]]</f>
        <v>0</v>
      </c>
      <c r="AC486" s="97">
        <f>IF(AA486&gt;0,Ruimtestaat[[#This Row],[Prest. (m2 /jaar) weekend]]/Ruimtestaat[[#This Row],[Norm (m2/uur) weekend]],0)</f>
        <v>0</v>
      </c>
      <c r="AD486" s="155">
        <f>Ruimtestaat[[#This Row],[uren / jaar weekend]]*Tariefsopbouw!$D$40</f>
        <v>0</v>
      </c>
      <c r="AE486" s="154">
        <f>Ruimtestaat[[#This Row],[Prest. (m2 /jaar) weekend]]+Ruimtestaat[[#This Row],[Prest. (m2 /jaar) werkdagen]]</f>
        <v>16600</v>
      </c>
      <c r="AF486" s="154">
        <f>Ruimtestaat[[#This Row],[uren / jaar weekend]]+Ruimtestaat[[#This Row],[uren / jaar werkdagen]]</f>
        <v>0</v>
      </c>
      <c r="AG486" s="69">
        <f>Ruimtestaat[[#This Row],[kosten / jaar weekend]]+Ruimtestaat[[#This Row],[kosten / jaar werkdagen]]</f>
        <v>0</v>
      </c>
      <c r="AH486" s="69"/>
      <c r="AI486" s="256" t="str">
        <f>IF(Ruimtestaat[[#This Row],[Frequentie werkdagen]]="","",_xlfn.CONCAT(Ruimtestaat[[#This Row],[Ruimte code]],"-",Ruimtestaat[[#This Row],[Frequentie werkdagen]]," ",Ruimtestaat[[#This Row],[Vloer code]]))</f>
        <v>16-5w T</v>
      </c>
      <c r="AJ486" s="300" t="str">
        <f>_xlfn.IFNA(VLOOKUP($AI486,Programma!$F$3:$G$1107,2,0),"")</f>
        <v>3w</v>
      </c>
      <c r="AK486" s="300" t="str">
        <f>_xlfn.IFNA(VLOOKUP($AI486,Programma!$F$3:$H$1107,3,0),"")</f>
        <v>2w</v>
      </c>
      <c r="AL486" s="300" t="str">
        <f>_xlfn.IFNA(VLOOKUP($AI486,Programma!$F$3:$I$1107,4,0),"")</f>
        <v>_</v>
      </c>
      <c r="AM486" s="300" t="str">
        <f>_xlfn.IFNA(VLOOKUP($AI486,Programma!$F$3:$J$1107,5,0),"")</f>
        <v>_</v>
      </c>
      <c r="AN486" s="300" t="str">
        <f>_xlfn.IFNA(VLOOKUP($AI486,Programma!$F$3:$K$1107,6,0),"")</f>
        <v>_</v>
      </c>
      <c r="AO486" s="300" t="str">
        <f>_xlfn.IFNA(VLOOKUP($AI486,Programma!$F$3:$L$1107,7,0),"")</f>
        <v>_</v>
      </c>
      <c r="AP486" s="300" t="str">
        <f>_xlfn.IFNA(VLOOKUP($AI486,Programma!$F$3:$M$1107,8,0),"")</f>
        <v>_</v>
      </c>
      <c r="AQ486" s="300" t="str">
        <f>_xlfn.IFNA(VLOOKUP($AI486,Programma!$F$3:$N$1107,9,0),"")</f>
        <v>_</v>
      </c>
      <c r="AR486" s="300" t="str">
        <f>_xlfn.IFNA(VLOOKUP($AI486,Programma!$F$3:$O$1107,10,0),"")</f>
        <v>5w</v>
      </c>
      <c r="AS486" s="300" t="str">
        <f>_xlfn.IFNA(VLOOKUP($AI486,Programma!$F$3:$P$1107,11,0),"")</f>
        <v>5w</v>
      </c>
      <c r="AT486" s="300" t="str">
        <f>_xlfn.IFNA(VLOOKUP($AI486,Programma!$F$3:$Q$1107,12,0),"")</f>
        <v>1w</v>
      </c>
      <c r="AU486" s="300" t="str">
        <f>_xlfn.IFNA(VLOOKUP($AI486,Programma!$F$3:$R$1107,13,0),"")</f>
        <v>1w</v>
      </c>
      <c r="AV486" s="300" t="str">
        <f>_xlfn.IFNA(VLOOKUP($AI486,Programma!$F$3:$S$1107,14,0),"")</f>
        <v>1m</v>
      </c>
      <c r="AW486" s="300" t="str">
        <f>_xlfn.IFNA(VLOOKUP($AI486,Programma!$F$3:$T$1107,15,0),"")</f>
        <v>2j</v>
      </c>
      <c r="AX486" s="300" t="str">
        <f>_xlfn.IFNA(VLOOKUP($AI486,Programma!$F$3:$U$1107,16,0),"")</f>
        <v>1j</v>
      </c>
      <c r="AY486" s="300" t="str">
        <f>_xlfn.IFNA(VLOOKUP($AI486,Programma!$F$3:$V$1107,17,0),"")</f>
        <v>_</v>
      </c>
      <c r="AZ486" s="300" t="str">
        <f>_xlfn.IFNA(VLOOKUP($AI486,Programma!$F$3:$W$1107,18,0),"")</f>
        <v>_</v>
      </c>
      <c r="BA486" s="300" t="str">
        <f>_xlfn.IFNA(VLOOKUP($AI486,Programma!$F$3:$X$1107,19,0),"")</f>
        <v>_</v>
      </c>
      <c r="BB486" s="300" t="str">
        <f>_xlfn.IFNA(VLOOKUP($AI486,Programma!$F$3:$Y$1107,20,0),"")</f>
        <v>_</v>
      </c>
      <c r="BC486" s="257"/>
      <c r="BD486" s="256" t="str">
        <f>IF(Ruimtestaat[[#This Row],[Frequentie weekend]]="","",_xlfn.CONCAT(Ruimtestaat[[#This Row],[Ruimte code]],"-",Ruimtestaat[[#This Row],[Frequentie weekend]]," ",Ruimtestaat[[#This Row],[Vloer code]]))</f>
        <v/>
      </c>
      <c r="BE486" s="300" t="str">
        <f>_xlfn.IFNA(VLOOKUP($BD486,Programma!$F$3:$G$1107,2,0),"")</f>
        <v/>
      </c>
      <c r="BF486" s="300" t="str">
        <f>_xlfn.IFNA(VLOOKUP($BD486,Programma!$F$3:$H$1107,3,0),"")</f>
        <v/>
      </c>
      <c r="BG486" s="300" t="str">
        <f>_xlfn.IFNA(VLOOKUP($BD486,Programma!$F$3:$I$1107,4,0),"")</f>
        <v/>
      </c>
      <c r="BH486" s="300" t="str">
        <f>_xlfn.IFNA(VLOOKUP($BD486,Programma!$F$3:$J$1107,5,0),"")</f>
        <v/>
      </c>
      <c r="BI486" s="300" t="str">
        <f>_xlfn.IFNA(VLOOKUP($BD486,Programma!$F$3:$K$1107,6,0),"")</f>
        <v/>
      </c>
      <c r="BJ486" s="300" t="str">
        <f>_xlfn.IFNA(VLOOKUP($BD486,Programma!$F$3:$L$1107,7,0),"")</f>
        <v/>
      </c>
      <c r="BK486" s="300" t="str">
        <f>_xlfn.IFNA(VLOOKUP($BD486,Programma!$F$3:$M$1107,8,0),"")</f>
        <v/>
      </c>
      <c r="BL486" s="300" t="str">
        <f>_xlfn.IFNA(VLOOKUP($BD486,Programma!$F$3:$N$1107,9,0),"")</f>
        <v/>
      </c>
      <c r="BM486" s="300" t="str">
        <f>_xlfn.IFNA(VLOOKUP($BD486,Programma!$F$3:$O$1107,10,0),"")</f>
        <v/>
      </c>
      <c r="BN486" s="300" t="str">
        <f>_xlfn.IFNA(VLOOKUP($BD486,Programma!$F$3:$P$1107,11,0),"")</f>
        <v/>
      </c>
      <c r="BO486" s="300" t="str">
        <f>_xlfn.IFNA(VLOOKUP($BD486,Programma!$F$3:$Q$1107,12,0),"")</f>
        <v/>
      </c>
      <c r="BP486" s="300" t="str">
        <f>_xlfn.IFNA(VLOOKUP($BD486,Programma!$F$3:$R$1107,13,0),"")</f>
        <v/>
      </c>
      <c r="BQ486" s="300" t="str">
        <f>_xlfn.IFNA(VLOOKUP($BD486,Programma!$F$3:$S$1107,14,0),"")</f>
        <v/>
      </c>
      <c r="BR486" s="300" t="str">
        <f>_xlfn.IFNA(VLOOKUP($BD486,Programma!$F$3:$T$1107,15,0),"")</f>
        <v/>
      </c>
      <c r="BS486" s="300" t="str">
        <f>_xlfn.IFNA(VLOOKUP($BD486,Programma!$F$3:$U$1107,16,0),"")</f>
        <v/>
      </c>
      <c r="BT486" s="300" t="str">
        <f>_xlfn.IFNA(VLOOKUP($BD486,Programma!$F$3:$V$1107,17,0),"")</f>
        <v/>
      </c>
      <c r="BU486" s="300" t="str">
        <f>_xlfn.IFNA(VLOOKUP($BD486,Programma!$F$3:$W$1107,18,0),"")</f>
        <v/>
      </c>
      <c r="BV486" s="300" t="str">
        <f>_xlfn.IFNA(VLOOKUP($BD486,Programma!$F$3:$X$1107,19,0),"")</f>
        <v/>
      </c>
      <c r="BW486" s="300" t="str">
        <f>_xlfn.IFNA(VLOOKUP($BD486,Programma!$F$3:$Y$1107,20,0),"")</f>
        <v/>
      </c>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c r="GK486" s="4"/>
      <c r="GL486" s="4"/>
      <c r="GM486" s="4"/>
      <c r="GN486" s="4"/>
      <c r="GO486" s="4"/>
      <c r="GP486" s="4"/>
      <c r="GQ486" s="4"/>
      <c r="GR486" s="4"/>
      <c r="GS486" s="4"/>
      <c r="GT486" s="4"/>
      <c r="GU486" s="4"/>
      <c r="GV486" s="4"/>
      <c r="GW486" s="4"/>
      <c r="GX486" s="4"/>
      <c r="GY486" s="4"/>
      <c r="GZ486" s="4"/>
      <c r="HA486" s="4"/>
      <c r="HB486" s="4"/>
      <c r="HC486" s="4"/>
      <c r="HD486" s="4"/>
      <c r="HE486" s="4"/>
      <c r="HF486" s="4"/>
      <c r="HG486" s="4"/>
      <c r="HH486" s="4"/>
      <c r="HI486" s="4"/>
      <c r="HJ486" s="4"/>
      <c r="HK486" s="4"/>
      <c r="HL486" s="4"/>
    </row>
    <row r="487" spans="1:220" ht="15" customHeight="1">
      <c r="A487" s="21">
        <v>6</v>
      </c>
      <c r="B487" s="157" t="str">
        <f>VLOOKUP(Ruimtestaat[[#This Row],[Code]],Locaties[[Code]:[Locatie]],2,FALSE)</f>
        <v>Veurs Lyceum</v>
      </c>
      <c r="C487" s="157" t="str">
        <f>VLOOKUP(Ruimtestaat[[#This Row],[Code]],Locaties[[#All],[Code]:[Adres]],4,FALSE)</f>
        <v>Burg. Kolfschotenlaan 5</v>
      </c>
      <c r="D487" s="157" t="str">
        <f>VLOOKUP(Ruimtestaat[[#This Row],[Code]],Locaties[[#All],[Code]:[Postcode]],5,FALSE)</f>
        <v xml:space="preserve">2262 EZ </v>
      </c>
      <c r="E487" s="157" t="str">
        <f>VLOOKUP(Ruimtestaat[[#This Row],[Code]],Locaties[#All],6,FALSE)</f>
        <v>Leidschendam</v>
      </c>
      <c r="F487" s="62"/>
      <c r="G487" s="21" t="s">
        <v>1624</v>
      </c>
      <c r="H487" s="21" t="s">
        <v>1659</v>
      </c>
      <c r="I487" s="62" t="s">
        <v>2112</v>
      </c>
      <c r="J487" s="21">
        <v>16</v>
      </c>
      <c r="K487" s="62" t="str">
        <f>VLOOKUP(Ruimtestaat[[#This Row],[Ruimte code]],Ruimtegroepen[[#All],[Code]:[Ruimte omschrijving]],2,FALSE)</f>
        <v>Leslokalen theorie</v>
      </c>
      <c r="L487" s="33" t="s">
        <v>100</v>
      </c>
      <c r="M487" s="367" t="s">
        <v>36</v>
      </c>
      <c r="N487" s="140">
        <v>83</v>
      </c>
      <c r="O487" s="140"/>
      <c r="P487" s="125" t="str">
        <f>VLOOKUP(Ruimtestaat[[#This Row],[Ruimte code]],Ruimtegroepen[],4,FALSE)</f>
        <v>Le</v>
      </c>
      <c r="R487" s="33">
        <v>40</v>
      </c>
      <c r="S487" s="33" t="s">
        <v>2</v>
      </c>
      <c r="T487" s="33">
        <f>IF(R487&gt;0,IF(RIGHT(Ruimtestaat[[#This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7" s="33">
        <f>IF(T487&gt;0,VLOOKUP($J487,Ruimtegroepen[],3,FALSE)*VLOOKUP($L487,Vloersoorten[],3,FALSE)*VLOOKUP($S487,Frequenties[],3,FALSE)*VLOOKUP($A487,Locaties[],3,FALSE),0)</f>
        <v>0</v>
      </c>
      <c r="V487" s="33">
        <f>Ruimtestaat[[#This Row],[Uitvoeringen werkdagen]]*Ruimtestaat[[#This Row],[Oppervlak (netto)]]</f>
        <v>16600</v>
      </c>
      <c r="W487" s="154">
        <f>IF(U487&gt;0,Ruimtestaat[[#This Row],[Prest. (m2 /jaar) werkdagen]]/Ruimtestaat[[#This Row],[Norm (m2/uur) werkdagen]],0)</f>
        <v>0</v>
      </c>
      <c r="X487" s="155">
        <f>Ruimtestaat[[#This Row],[uren / jaar werkdagen]]*Tariefsopbouw!$E$35</f>
        <v>0</v>
      </c>
      <c r="Y487" s="33"/>
      <c r="Z487" s="33">
        <f>IF(Ruimtestaat[[#This Row],[Frequentie weekend]]&gt;0,VALUE(LEFT(Y487,1))*R487,0)</f>
        <v>0</v>
      </c>
      <c r="AA487" s="97">
        <f>IF($Z487&gt;0,VLOOKUP($J487,Ruimtegroepen[],3,FALSE)*VLOOKUP($L487,Vloersoorten[],3,FALSE)*VLOOKUP($Y487,Frequenties[],3,FALSE)*VLOOKUP(Ruimtestaat[[#This Row],[Code]],Locaties[],3,FALSE),0)</f>
        <v>0</v>
      </c>
      <c r="AB487" s="97">
        <f>Ruimtestaat[[#This Row],[Uitvoeringen weekend]]*Ruimtestaat[[#This Row],[Oppervlak (netto)]]</f>
        <v>0</v>
      </c>
      <c r="AC487" s="97">
        <f>IF(AA487&gt;0,Ruimtestaat[[#This Row],[Prest. (m2 /jaar) weekend]]/Ruimtestaat[[#This Row],[Norm (m2/uur) weekend]],0)</f>
        <v>0</v>
      </c>
      <c r="AD487" s="155">
        <f>Ruimtestaat[[#This Row],[uren / jaar weekend]]*Tariefsopbouw!$D$40</f>
        <v>0</v>
      </c>
      <c r="AE487" s="154">
        <f>Ruimtestaat[[#This Row],[Prest. (m2 /jaar) weekend]]+Ruimtestaat[[#This Row],[Prest. (m2 /jaar) werkdagen]]</f>
        <v>16600</v>
      </c>
      <c r="AF487" s="154">
        <f>Ruimtestaat[[#This Row],[uren / jaar weekend]]+Ruimtestaat[[#This Row],[uren / jaar werkdagen]]</f>
        <v>0</v>
      </c>
      <c r="AG487" s="69">
        <f>Ruimtestaat[[#This Row],[kosten / jaar weekend]]+Ruimtestaat[[#This Row],[kosten / jaar werkdagen]]</f>
        <v>0</v>
      </c>
      <c r="AH487" s="69"/>
      <c r="AI487" s="256" t="str">
        <f>IF(Ruimtestaat[[#This Row],[Frequentie werkdagen]]="","",_xlfn.CONCAT(Ruimtestaat[[#This Row],[Ruimte code]],"-",Ruimtestaat[[#This Row],[Frequentie werkdagen]]," ",Ruimtestaat[[#This Row],[Vloer code]]))</f>
        <v>16-5w T</v>
      </c>
      <c r="AJ487" s="300" t="str">
        <f>_xlfn.IFNA(VLOOKUP($AI487,Programma!$F$3:$G$1107,2,0),"")</f>
        <v>3w</v>
      </c>
      <c r="AK487" s="300" t="str">
        <f>_xlfn.IFNA(VLOOKUP($AI487,Programma!$F$3:$H$1107,3,0),"")</f>
        <v>2w</v>
      </c>
      <c r="AL487" s="300" t="str">
        <f>_xlfn.IFNA(VLOOKUP($AI487,Programma!$F$3:$I$1107,4,0),"")</f>
        <v>_</v>
      </c>
      <c r="AM487" s="300" t="str">
        <f>_xlfn.IFNA(VLOOKUP($AI487,Programma!$F$3:$J$1107,5,0),"")</f>
        <v>_</v>
      </c>
      <c r="AN487" s="300" t="str">
        <f>_xlfn.IFNA(VLOOKUP($AI487,Programma!$F$3:$K$1107,6,0),"")</f>
        <v>_</v>
      </c>
      <c r="AO487" s="300" t="str">
        <f>_xlfn.IFNA(VLOOKUP($AI487,Programma!$F$3:$L$1107,7,0),"")</f>
        <v>_</v>
      </c>
      <c r="AP487" s="300" t="str">
        <f>_xlfn.IFNA(VLOOKUP($AI487,Programma!$F$3:$M$1107,8,0),"")</f>
        <v>_</v>
      </c>
      <c r="AQ487" s="300" t="str">
        <f>_xlfn.IFNA(VLOOKUP($AI487,Programma!$F$3:$N$1107,9,0),"")</f>
        <v>_</v>
      </c>
      <c r="AR487" s="300" t="str">
        <f>_xlfn.IFNA(VLOOKUP($AI487,Programma!$F$3:$O$1107,10,0),"")</f>
        <v>5w</v>
      </c>
      <c r="AS487" s="300" t="str">
        <f>_xlfn.IFNA(VLOOKUP($AI487,Programma!$F$3:$P$1107,11,0),"")</f>
        <v>5w</v>
      </c>
      <c r="AT487" s="300" t="str">
        <f>_xlfn.IFNA(VLOOKUP($AI487,Programma!$F$3:$Q$1107,12,0),"")</f>
        <v>1w</v>
      </c>
      <c r="AU487" s="300" t="str">
        <f>_xlfn.IFNA(VLOOKUP($AI487,Programma!$F$3:$R$1107,13,0),"")</f>
        <v>1w</v>
      </c>
      <c r="AV487" s="300" t="str">
        <f>_xlfn.IFNA(VLOOKUP($AI487,Programma!$F$3:$S$1107,14,0),"")</f>
        <v>1m</v>
      </c>
      <c r="AW487" s="300" t="str">
        <f>_xlfn.IFNA(VLOOKUP($AI487,Programma!$F$3:$T$1107,15,0),"")</f>
        <v>2j</v>
      </c>
      <c r="AX487" s="300" t="str">
        <f>_xlfn.IFNA(VLOOKUP($AI487,Programma!$F$3:$U$1107,16,0),"")</f>
        <v>1j</v>
      </c>
      <c r="AY487" s="300" t="str">
        <f>_xlfn.IFNA(VLOOKUP($AI487,Programma!$F$3:$V$1107,17,0),"")</f>
        <v>_</v>
      </c>
      <c r="AZ487" s="300" t="str">
        <f>_xlfn.IFNA(VLOOKUP($AI487,Programma!$F$3:$W$1107,18,0),"")</f>
        <v>_</v>
      </c>
      <c r="BA487" s="300" t="str">
        <f>_xlfn.IFNA(VLOOKUP($AI487,Programma!$F$3:$X$1107,19,0),"")</f>
        <v>_</v>
      </c>
      <c r="BB487" s="300" t="str">
        <f>_xlfn.IFNA(VLOOKUP($AI487,Programma!$F$3:$Y$1107,20,0),"")</f>
        <v>_</v>
      </c>
      <c r="BC487" s="257"/>
      <c r="BD487" s="256" t="str">
        <f>IF(Ruimtestaat[[#This Row],[Frequentie weekend]]="","",_xlfn.CONCAT(Ruimtestaat[[#This Row],[Ruimte code]],"-",Ruimtestaat[[#This Row],[Frequentie weekend]]," ",Ruimtestaat[[#This Row],[Vloer code]]))</f>
        <v/>
      </c>
      <c r="BE487" s="300" t="str">
        <f>_xlfn.IFNA(VLOOKUP($BD487,Programma!$F$3:$G$1107,2,0),"")</f>
        <v/>
      </c>
      <c r="BF487" s="300" t="str">
        <f>_xlfn.IFNA(VLOOKUP($BD487,Programma!$F$3:$H$1107,3,0),"")</f>
        <v/>
      </c>
      <c r="BG487" s="300" t="str">
        <f>_xlfn.IFNA(VLOOKUP($BD487,Programma!$F$3:$I$1107,4,0),"")</f>
        <v/>
      </c>
      <c r="BH487" s="300" t="str">
        <f>_xlfn.IFNA(VLOOKUP($BD487,Programma!$F$3:$J$1107,5,0),"")</f>
        <v/>
      </c>
      <c r="BI487" s="300" t="str">
        <f>_xlfn.IFNA(VLOOKUP($BD487,Programma!$F$3:$K$1107,6,0),"")</f>
        <v/>
      </c>
      <c r="BJ487" s="300" t="str">
        <f>_xlfn.IFNA(VLOOKUP($BD487,Programma!$F$3:$L$1107,7,0),"")</f>
        <v/>
      </c>
      <c r="BK487" s="300" t="str">
        <f>_xlfn.IFNA(VLOOKUP($BD487,Programma!$F$3:$M$1107,8,0),"")</f>
        <v/>
      </c>
      <c r="BL487" s="300" t="str">
        <f>_xlfn.IFNA(VLOOKUP($BD487,Programma!$F$3:$N$1107,9,0),"")</f>
        <v/>
      </c>
      <c r="BM487" s="300" t="str">
        <f>_xlfn.IFNA(VLOOKUP($BD487,Programma!$F$3:$O$1107,10,0),"")</f>
        <v/>
      </c>
      <c r="BN487" s="300" t="str">
        <f>_xlfn.IFNA(VLOOKUP($BD487,Programma!$F$3:$P$1107,11,0),"")</f>
        <v/>
      </c>
      <c r="BO487" s="300" t="str">
        <f>_xlfn.IFNA(VLOOKUP($BD487,Programma!$F$3:$Q$1107,12,0),"")</f>
        <v/>
      </c>
      <c r="BP487" s="300" t="str">
        <f>_xlfn.IFNA(VLOOKUP($BD487,Programma!$F$3:$R$1107,13,0),"")</f>
        <v/>
      </c>
      <c r="BQ487" s="300" t="str">
        <f>_xlfn.IFNA(VLOOKUP($BD487,Programma!$F$3:$S$1107,14,0),"")</f>
        <v/>
      </c>
      <c r="BR487" s="300" t="str">
        <f>_xlfn.IFNA(VLOOKUP($BD487,Programma!$F$3:$T$1107,15,0),"")</f>
        <v/>
      </c>
      <c r="BS487" s="300" t="str">
        <f>_xlfn.IFNA(VLOOKUP($BD487,Programma!$F$3:$U$1107,16,0),"")</f>
        <v/>
      </c>
      <c r="BT487" s="300" t="str">
        <f>_xlfn.IFNA(VLOOKUP($BD487,Programma!$F$3:$V$1107,17,0),"")</f>
        <v/>
      </c>
      <c r="BU487" s="300" t="str">
        <f>_xlfn.IFNA(VLOOKUP($BD487,Programma!$F$3:$W$1107,18,0),"")</f>
        <v/>
      </c>
      <c r="BV487" s="300" t="str">
        <f>_xlfn.IFNA(VLOOKUP($BD487,Programma!$F$3:$X$1107,19,0),"")</f>
        <v/>
      </c>
      <c r="BW487" s="300" t="str">
        <f>_xlfn.IFNA(VLOOKUP($BD487,Programma!$F$3:$Y$1107,20,0),"")</f>
        <v/>
      </c>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c r="FS487" s="4"/>
      <c r="FT487" s="4"/>
      <c r="FU487" s="4"/>
      <c r="FV487" s="4"/>
      <c r="FW487" s="4"/>
      <c r="FX487" s="4"/>
      <c r="FY487" s="4"/>
      <c r="FZ487" s="4"/>
      <c r="GA487" s="4"/>
      <c r="GB487" s="4"/>
      <c r="GC487" s="4"/>
      <c r="GD487" s="4"/>
      <c r="GE487" s="4"/>
      <c r="GF487" s="4"/>
      <c r="GG487" s="4"/>
      <c r="GH487" s="4"/>
      <c r="GI487" s="4"/>
      <c r="GJ487" s="4"/>
      <c r="GK487" s="4"/>
      <c r="GL487" s="4"/>
      <c r="GM487" s="4"/>
      <c r="GN487" s="4"/>
      <c r="GO487" s="4"/>
      <c r="GP487" s="4"/>
      <c r="GQ487" s="4"/>
      <c r="GR487" s="4"/>
      <c r="GS487" s="4"/>
      <c r="GT487" s="4"/>
      <c r="GU487" s="4"/>
      <c r="GV487" s="4"/>
      <c r="GW487" s="4"/>
      <c r="GX487" s="4"/>
      <c r="GY487" s="4"/>
      <c r="GZ487" s="4"/>
      <c r="HA487" s="4"/>
      <c r="HB487" s="4"/>
      <c r="HC487" s="4"/>
      <c r="HD487" s="4"/>
      <c r="HE487" s="4"/>
      <c r="HF487" s="4"/>
      <c r="HG487" s="4"/>
      <c r="HH487" s="4"/>
      <c r="HI487" s="4"/>
      <c r="HJ487" s="4"/>
      <c r="HK487" s="4"/>
      <c r="HL487" s="4"/>
    </row>
    <row r="488" spans="1:220" ht="15" customHeight="1">
      <c r="A488" s="21">
        <v>6</v>
      </c>
      <c r="B488" s="157" t="str">
        <f>VLOOKUP(Ruimtestaat[[#This Row],[Code]],Locaties[[Code]:[Locatie]],2,FALSE)</f>
        <v>Veurs Lyceum</v>
      </c>
      <c r="C488" s="157" t="str">
        <f>VLOOKUP(Ruimtestaat[[#This Row],[Code]],Locaties[[#All],[Code]:[Adres]],4,FALSE)</f>
        <v>Burg. Kolfschotenlaan 5</v>
      </c>
      <c r="D488" s="157" t="str">
        <f>VLOOKUP(Ruimtestaat[[#This Row],[Code]],Locaties[[#All],[Code]:[Postcode]],5,FALSE)</f>
        <v xml:space="preserve">2262 EZ </v>
      </c>
      <c r="E488" s="157" t="str">
        <f>VLOOKUP(Ruimtestaat[[#This Row],[Code]],Locaties[#All],6,FALSE)</f>
        <v>Leidschendam</v>
      </c>
      <c r="F488" s="62"/>
      <c r="G488" s="21" t="s">
        <v>1624</v>
      </c>
      <c r="H488" s="21" t="s">
        <v>1661</v>
      </c>
      <c r="I488" s="62" t="s">
        <v>1625</v>
      </c>
      <c r="J488" s="21">
        <v>6</v>
      </c>
      <c r="K488" s="62" t="str">
        <f>VLOOKUP(Ruimtestaat[[#This Row],[Ruimte code]],Ruimtegroepen[[#All],[Code]:[Ruimte omschrijving]],2,FALSE)</f>
        <v>Gangen/hallen</v>
      </c>
      <c r="L488" s="33" t="s">
        <v>100</v>
      </c>
      <c r="M488" s="367" t="s">
        <v>36</v>
      </c>
      <c r="N488" s="140">
        <v>11</v>
      </c>
      <c r="O488" s="140"/>
      <c r="P488" s="125" t="str">
        <f>VLOOKUP(Ruimtestaat[[#This Row],[Ruimte code]],Ruimtegroepen[],4,FALSE)</f>
        <v>Ve</v>
      </c>
      <c r="R488" s="33">
        <v>40</v>
      </c>
      <c r="S488" s="33" t="s">
        <v>2</v>
      </c>
      <c r="T488" s="33">
        <f>IF(R488&gt;0,IF(RIGHT(Ruimtestaat[[#This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8" s="33">
        <f>IF(T488&gt;0,VLOOKUP($J488,Ruimtegroepen[],3,FALSE)*VLOOKUP($L488,Vloersoorten[],3,FALSE)*VLOOKUP($S488,Frequenties[],3,FALSE)*VLOOKUP($A488,Locaties[],3,FALSE),0)</f>
        <v>0</v>
      </c>
      <c r="V488" s="33">
        <f>Ruimtestaat[[#This Row],[Uitvoeringen werkdagen]]*Ruimtestaat[[#This Row],[Oppervlak (netto)]]</f>
        <v>2200</v>
      </c>
      <c r="W488" s="154">
        <f>IF(U488&gt;0,Ruimtestaat[[#This Row],[Prest. (m2 /jaar) werkdagen]]/Ruimtestaat[[#This Row],[Norm (m2/uur) werkdagen]],0)</f>
        <v>0</v>
      </c>
      <c r="X488" s="155">
        <f>Ruimtestaat[[#This Row],[uren / jaar werkdagen]]*Tariefsopbouw!$E$35</f>
        <v>0</v>
      </c>
      <c r="Y488" s="33"/>
      <c r="Z488" s="33">
        <f>IF(Ruimtestaat[[#This Row],[Frequentie weekend]]&gt;0,VALUE(LEFT(Y488,1))*R488,0)</f>
        <v>0</v>
      </c>
      <c r="AA488" s="97">
        <f>IF($Z488&gt;0,VLOOKUP($J488,Ruimtegroepen[],3,FALSE)*VLOOKUP($L488,Vloersoorten[],3,FALSE)*VLOOKUP($Y488,Frequenties[],3,FALSE)*VLOOKUP(Ruimtestaat[[#This Row],[Code]],Locaties[],3,FALSE),0)</f>
        <v>0</v>
      </c>
      <c r="AB488" s="97">
        <f>Ruimtestaat[[#This Row],[Uitvoeringen weekend]]*Ruimtestaat[[#This Row],[Oppervlak (netto)]]</f>
        <v>0</v>
      </c>
      <c r="AC488" s="97">
        <f>IF(AA488&gt;0,Ruimtestaat[[#This Row],[Prest. (m2 /jaar) weekend]]/Ruimtestaat[[#This Row],[Norm (m2/uur) weekend]],0)</f>
        <v>0</v>
      </c>
      <c r="AD488" s="155">
        <f>Ruimtestaat[[#This Row],[uren / jaar weekend]]*Tariefsopbouw!$D$40</f>
        <v>0</v>
      </c>
      <c r="AE488" s="154">
        <f>Ruimtestaat[[#This Row],[Prest. (m2 /jaar) weekend]]+Ruimtestaat[[#This Row],[Prest. (m2 /jaar) werkdagen]]</f>
        <v>2200</v>
      </c>
      <c r="AF488" s="154">
        <f>Ruimtestaat[[#This Row],[uren / jaar weekend]]+Ruimtestaat[[#This Row],[uren / jaar werkdagen]]</f>
        <v>0</v>
      </c>
      <c r="AG488" s="69">
        <f>Ruimtestaat[[#This Row],[kosten / jaar weekend]]+Ruimtestaat[[#This Row],[kosten / jaar werkdagen]]</f>
        <v>0</v>
      </c>
      <c r="AH488" s="69"/>
      <c r="AI488" s="256" t="str">
        <f>IF(Ruimtestaat[[#This Row],[Frequentie werkdagen]]="","",_xlfn.CONCAT(Ruimtestaat[[#This Row],[Ruimte code]],"-",Ruimtestaat[[#This Row],[Frequentie werkdagen]]," ",Ruimtestaat[[#This Row],[Vloer code]]))</f>
        <v>6-5w T</v>
      </c>
      <c r="AJ488" s="300" t="str">
        <f>_xlfn.IFNA(VLOOKUP($AI488,Programma!$F$3:$G$1107,2,0),"")</f>
        <v>_</v>
      </c>
      <c r="AK488" s="300" t="str">
        <f>_xlfn.IFNA(VLOOKUP($AI488,Programma!$F$3:$H$1107,3,0),"")</f>
        <v>5w</v>
      </c>
      <c r="AL488" s="300" t="str">
        <f>_xlfn.IFNA(VLOOKUP($AI488,Programma!$F$3:$I$1107,4,0),"")</f>
        <v>_</v>
      </c>
      <c r="AM488" s="300" t="str">
        <f>_xlfn.IFNA(VLOOKUP($AI488,Programma!$F$3:$J$1107,5,0),"")</f>
        <v>_</v>
      </c>
      <c r="AN488" s="300" t="str">
        <f>_xlfn.IFNA(VLOOKUP($AI488,Programma!$F$3:$K$1107,6,0),"")</f>
        <v>_</v>
      </c>
      <c r="AO488" s="300" t="str">
        <f>_xlfn.IFNA(VLOOKUP($AI488,Programma!$F$3:$L$1107,7,0),"")</f>
        <v>_</v>
      </c>
      <c r="AP488" s="300" t="str">
        <f>_xlfn.IFNA(VLOOKUP($AI488,Programma!$F$3:$M$1107,8,0),"")</f>
        <v>_</v>
      </c>
      <c r="AQ488" s="300" t="str">
        <f>_xlfn.IFNA(VLOOKUP($AI488,Programma!$F$3:$N$1107,9,0),"")</f>
        <v>_</v>
      </c>
      <c r="AR488" s="300" t="str">
        <f>_xlfn.IFNA(VLOOKUP($AI488,Programma!$F$3:$O$1107,10,0),"")</f>
        <v>5w</v>
      </c>
      <c r="AS488" s="300" t="str">
        <f>_xlfn.IFNA(VLOOKUP($AI488,Programma!$F$3:$P$1107,11,0),"")</f>
        <v>5w</v>
      </c>
      <c r="AT488" s="300" t="str">
        <f>_xlfn.IFNA(VLOOKUP($AI488,Programma!$F$3:$Q$1107,12,0),"")</f>
        <v>1w</v>
      </c>
      <c r="AU488" s="300" t="str">
        <f>_xlfn.IFNA(VLOOKUP($AI488,Programma!$F$3:$R$1107,13,0),"")</f>
        <v>1w</v>
      </c>
      <c r="AV488" s="300" t="str">
        <f>_xlfn.IFNA(VLOOKUP($AI488,Programma!$F$3:$S$1107,14,0),"")</f>
        <v>1m</v>
      </c>
      <c r="AW488" s="300" t="str">
        <f>_xlfn.IFNA(VLOOKUP($AI488,Programma!$F$3:$T$1107,15,0),"")</f>
        <v>2j</v>
      </c>
      <c r="AX488" s="300" t="str">
        <f>_xlfn.IFNA(VLOOKUP($AI488,Programma!$F$3:$U$1107,16,0),"")</f>
        <v>1j</v>
      </c>
      <c r="AY488" s="300" t="str">
        <f>_xlfn.IFNA(VLOOKUP($AI488,Programma!$F$3:$V$1107,17,0),"")</f>
        <v>_</v>
      </c>
      <c r="AZ488" s="300" t="str">
        <f>_xlfn.IFNA(VLOOKUP($AI488,Programma!$F$3:$W$1107,18,0),"")</f>
        <v>_</v>
      </c>
      <c r="BA488" s="300" t="str">
        <f>_xlfn.IFNA(VLOOKUP($AI488,Programma!$F$3:$X$1107,19,0),"")</f>
        <v>_</v>
      </c>
      <c r="BB488" s="300" t="str">
        <f>_xlfn.IFNA(VLOOKUP($AI488,Programma!$F$3:$Y$1107,20,0),"")</f>
        <v>_</v>
      </c>
      <c r="BC488" s="257"/>
      <c r="BD488" s="256" t="str">
        <f>IF(Ruimtestaat[[#This Row],[Frequentie weekend]]="","",_xlfn.CONCAT(Ruimtestaat[[#This Row],[Ruimte code]],"-",Ruimtestaat[[#This Row],[Frequentie weekend]]," ",Ruimtestaat[[#This Row],[Vloer code]]))</f>
        <v/>
      </c>
      <c r="BE488" s="300" t="str">
        <f>_xlfn.IFNA(VLOOKUP($BD488,Programma!$F$3:$G$1107,2,0),"")</f>
        <v/>
      </c>
      <c r="BF488" s="300" t="str">
        <f>_xlfn.IFNA(VLOOKUP($BD488,Programma!$F$3:$H$1107,3,0),"")</f>
        <v/>
      </c>
      <c r="BG488" s="300" t="str">
        <f>_xlfn.IFNA(VLOOKUP($BD488,Programma!$F$3:$I$1107,4,0),"")</f>
        <v/>
      </c>
      <c r="BH488" s="300" t="str">
        <f>_xlfn.IFNA(VLOOKUP($BD488,Programma!$F$3:$J$1107,5,0),"")</f>
        <v/>
      </c>
      <c r="BI488" s="300" t="str">
        <f>_xlfn.IFNA(VLOOKUP($BD488,Programma!$F$3:$K$1107,6,0),"")</f>
        <v/>
      </c>
      <c r="BJ488" s="300" t="str">
        <f>_xlfn.IFNA(VLOOKUP($BD488,Programma!$F$3:$L$1107,7,0),"")</f>
        <v/>
      </c>
      <c r="BK488" s="300" t="str">
        <f>_xlfn.IFNA(VLOOKUP($BD488,Programma!$F$3:$M$1107,8,0),"")</f>
        <v/>
      </c>
      <c r="BL488" s="300" t="str">
        <f>_xlfn.IFNA(VLOOKUP($BD488,Programma!$F$3:$N$1107,9,0),"")</f>
        <v/>
      </c>
      <c r="BM488" s="300" t="str">
        <f>_xlfn.IFNA(VLOOKUP($BD488,Programma!$F$3:$O$1107,10,0),"")</f>
        <v/>
      </c>
      <c r="BN488" s="300" t="str">
        <f>_xlfn.IFNA(VLOOKUP($BD488,Programma!$F$3:$P$1107,11,0),"")</f>
        <v/>
      </c>
      <c r="BO488" s="300" t="str">
        <f>_xlfn.IFNA(VLOOKUP($BD488,Programma!$F$3:$Q$1107,12,0),"")</f>
        <v/>
      </c>
      <c r="BP488" s="300" t="str">
        <f>_xlfn.IFNA(VLOOKUP($BD488,Programma!$F$3:$R$1107,13,0),"")</f>
        <v/>
      </c>
      <c r="BQ488" s="300" t="str">
        <f>_xlfn.IFNA(VLOOKUP($BD488,Programma!$F$3:$S$1107,14,0),"")</f>
        <v/>
      </c>
      <c r="BR488" s="300" t="str">
        <f>_xlfn.IFNA(VLOOKUP($BD488,Programma!$F$3:$T$1107,15,0),"")</f>
        <v/>
      </c>
      <c r="BS488" s="300" t="str">
        <f>_xlfn.IFNA(VLOOKUP($BD488,Programma!$F$3:$U$1107,16,0),"")</f>
        <v/>
      </c>
      <c r="BT488" s="300" t="str">
        <f>_xlfn.IFNA(VLOOKUP($BD488,Programma!$F$3:$V$1107,17,0),"")</f>
        <v/>
      </c>
      <c r="BU488" s="300" t="str">
        <f>_xlfn.IFNA(VLOOKUP($BD488,Programma!$F$3:$W$1107,18,0),"")</f>
        <v/>
      </c>
      <c r="BV488" s="300" t="str">
        <f>_xlfn.IFNA(VLOOKUP($BD488,Programma!$F$3:$X$1107,19,0),"")</f>
        <v/>
      </c>
      <c r="BW488" s="300" t="str">
        <f>_xlfn.IFNA(VLOOKUP($BD488,Programma!$F$3:$Y$1107,20,0),"")</f>
        <v/>
      </c>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c r="GK488" s="4"/>
      <c r="GL488" s="4"/>
      <c r="GM488" s="4"/>
      <c r="GN488" s="4"/>
      <c r="GO488" s="4"/>
      <c r="GP488" s="4"/>
      <c r="GQ488" s="4"/>
      <c r="GR488" s="4"/>
      <c r="GS488" s="4"/>
      <c r="GT488" s="4"/>
      <c r="GU488" s="4"/>
      <c r="GV488" s="4"/>
      <c r="GW488" s="4"/>
      <c r="GX488" s="4"/>
      <c r="GY488" s="4"/>
      <c r="GZ488" s="4"/>
      <c r="HA488" s="4"/>
      <c r="HB488" s="4"/>
      <c r="HC488" s="4"/>
      <c r="HD488" s="4"/>
      <c r="HE488" s="4"/>
      <c r="HF488" s="4"/>
      <c r="HG488" s="4"/>
      <c r="HH488" s="4"/>
      <c r="HI488" s="4"/>
      <c r="HJ488" s="4"/>
      <c r="HK488" s="4"/>
      <c r="HL488" s="4"/>
    </row>
    <row r="489" spans="1:220" ht="15" customHeight="1">
      <c r="A489" s="21">
        <v>6</v>
      </c>
      <c r="B489" s="157" t="str">
        <f>VLOOKUP(Ruimtestaat[[#This Row],[Code]],Locaties[[Code]:[Locatie]],2,FALSE)</f>
        <v>Veurs Lyceum</v>
      </c>
      <c r="C489" s="157" t="str">
        <f>VLOOKUP(Ruimtestaat[[#This Row],[Code]],Locaties[[#All],[Code]:[Adres]],4,FALSE)</f>
        <v>Burg. Kolfschotenlaan 5</v>
      </c>
      <c r="D489" s="157" t="str">
        <f>VLOOKUP(Ruimtestaat[[#This Row],[Code]],Locaties[[#All],[Code]:[Postcode]],5,FALSE)</f>
        <v xml:space="preserve">2262 EZ </v>
      </c>
      <c r="E489" s="157" t="str">
        <f>VLOOKUP(Ruimtestaat[[#This Row],[Code]],Locaties[#All],6,FALSE)</f>
        <v>Leidschendam</v>
      </c>
      <c r="F489" s="62"/>
      <c r="G489" s="21" t="s">
        <v>1624</v>
      </c>
      <c r="H489" s="21" t="s">
        <v>1663</v>
      </c>
      <c r="I489" s="62" t="s">
        <v>2113</v>
      </c>
      <c r="J489" s="21">
        <v>16</v>
      </c>
      <c r="K489" s="62" t="str">
        <f>VLOOKUP(Ruimtestaat[[#This Row],[Ruimte code]],Ruimtegroepen[[#All],[Code]:[Ruimte omschrijving]],2,FALSE)</f>
        <v>Leslokalen theorie</v>
      </c>
      <c r="L489" s="33" t="s">
        <v>103</v>
      </c>
      <c r="M489" s="367" t="s">
        <v>121</v>
      </c>
      <c r="N489" s="140">
        <v>54</v>
      </c>
      <c r="O489" s="140"/>
      <c r="P489" s="125" t="str">
        <f>VLOOKUP(Ruimtestaat[[#This Row],[Ruimte code]],Ruimtegroepen[],4,FALSE)</f>
        <v>Le</v>
      </c>
      <c r="R489" s="33">
        <v>40</v>
      </c>
      <c r="S489" s="33" t="s">
        <v>2</v>
      </c>
      <c r="T489" s="33">
        <f>IF(R489&gt;0,IF(RIGHT(Ruimtestaat[[#This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9" s="33">
        <f>IF(T489&gt;0,VLOOKUP($J489,Ruimtegroepen[],3,FALSE)*VLOOKUP($L489,Vloersoorten[],3,FALSE)*VLOOKUP($S489,Frequenties[],3,FALSE)*VLOOKUP($A489,Locaties[],3,FALSE),0)</f>
        <v>0</v>
      </c>
      <c r="V489" s="33">
        <f>Ruimtestaat[[#This Row],[Uitvoeringen werkdagen]]*Ruimtestaat[[#This Row],[Oppervlak (netto)]]</f>
        <v>10800</v>
      </c>
      <c r="W489" s="154">
        <f>IF(U489&gt;0,Ruimtestaat[[#This Row],[Prest. (m2 /jaar) werkdagen]]/Ruimtestaat[[#This Row],[Norm (m2/uur) werkdagen]],0)</f>
        <v>0</v>
      </c>
      <c r="X489" s="155">
        <f>Ruimtestaat[[#This Row],[uren / jaar werkdagen]]*Tariefsopbouw!$E$35</f>
        <v>0</v>
      </c>
      <c r="Y489" s="33"/>
      <c r="Z489" s="33">
        <f>IF(Ruimtestaat[[#This Row],[Frequentie weekend]]&gt;0,VALUE(LEFT(Y489,1))*R489,0)</f>
        <v>0</v>
      </c>
      <c r="AA489" s="97">
        <f>IF($Z489&gt;0,VLOOKUP($J489,Ruimtegroepen[],3,FALSE)*VLOOKUP($L489,Vloersoorten[],3,FALSE)*VLOOKUP($Y489,Frequenties[],3,FALSE)*VLOOKUP(Ruimtestaat[[#This Row],[Code]],Locaties[],3,FALSE),0)</f>
        <v>0</v>
      </c>
      <c r="AB489" s="97">
        <f>Ruimtestaat[[#This Row],[Uitvoeringen weekend]]*Ruimtestaat[[#This Row],[Oppervlak (netto)]]</f>
        <v>0</v>
      </c>
      <c r="AC489" s="97">
        <f>IF(AA489&gt;0,Ruimtestaat[[#This Row],[Prest. (m2 /jaar) weekend]]/Ruimtestaat[[#This Row],[Norm (m2/uur) weekend]],0)</f>
        <v>0</v>
      </c>
      <c r="AD489" s="155">
        <f>Ruimtestaat[[#This Row],[uren / jaar weekend]]*Tariefsopbouw!$D$40</f>
        <v>0</v>
      </c>
      <c r="AE489" s="154">
        <f>Ruimtestaat[[#This Row],[Prest. (m2 /jaar) weekend]]+Ruimtestaat[[#This Row],[Prest. (m2 /jaar) werkdagen]]</f>
        <v>10800</v>
      </c>
      <c r="AF489" s="154">
        <f>Ruimtestaat[[#This Row],[uren / jaar weekend]]+Ruimtestaat[[#This Row],[uren / jaar werkdagen]]</f>
        <v>0</v>
      </c>
      <c r="AG489" s="69">
        <f>Ruimtestaat[[#This Row],[kosten / jaar weekend]]+Ruimtestaat[[#This Row],[kosten / jaar werkdagen]]</f>
        <v>0</v>
      </c>
      <c r="AH489" s="69"/>
      <c r="AI489" s="256" t="str">
        <f>IF(Ruimtestaat[[#This Row],[Frequentie werkdagen]]="","",_xlfn.CONCAT(Ruimtestaat[[#This Row],[Ruimte code]],"-",Ruimtestaat[[#This Row],[Frequentie werkdagen]]," ",Ruimtestaat[[#This Row],[Vloer code]]))</f>
        <v>16-5w P</v>
      </c>
      <c r="AJ489" s="300" t="str">
        <f>_xlfn.IFNA(VLOOKUP($AI489,Programma!$F$3:$G$1107,2,0),"")</f>
        <v>_</v>
      </c>
      <c r="AK489" s="300" t="str">
        <f>_xlfn.IFNA(VLOOKUP($AI489,Programma!$F$3:$H$1107,3,0),"")</f>
        <v>_</v>
      </c>
      <c r="AL489" s="300" t="str">
        <f>_xlfn.IFNA(VLOOKUP($AI489,Programma!$F$3:$I$1107,4,0),"")</f>
        <v>4w</v>
      </c>
      <c r="AM489" s="300" t="str">
        <f>_xlfn.IFNA(VLOOKUP($AI489,Programma!$F$3:$J$1107,5,0),"")</f>
        <v>1w</v>
      </c>
      <c r="AN489" s="300" t="str">
        <f>_xlfn.IFNA(VLOOKUP($AI489,Programma!$F$3:$K$1107,6,0),"")</f>
        <v>1m</v>
      </c>
      <c r="AO489" s="300" t="str">
        <f>_xlfn.IFNA(VLOOKUP($AI489,Programma!$F$3:$L$1107,7,0),"")</f>
        <v>_</v>
      </c>
      <c r="AP489" s="300" t="str">
        <f>_xlfn.IFNA(VLOOKUP($AI489,Programma!$F$3:$M$1107,8,0),"")</f>
        <v>_</v>
      </c>
      <c r="AQ489" s="300" t="str">
        <f>_xlfn.IFNA(VLOOKUP($AI489,Programma!$F$3:$N$1107,9,0),"")</f>
        <v>_</v>
      </c>
      <c r="AR489" s="300" t="str">
        <f>_xlfn.IFNA(VLOOKUP($AI489,Programma!$F$3:$O$1107,10,0),"")</f>
        <v>5w</v>
      </c>
      <c r="AS489" s="300" t="str">
        <f>_xlfn.IFNA(VLOOKUP($AI489,Programma!$F$3:$P$1107,11,0),"")</f>
        <v>5w</v>
      </c>
      <c r="AT489" s="300" t="str">
        <f>_xlfn.IFNA(VLOOKUP($AI489,Programma!$F$3:$Q$1107,12,0),"")</f>
        <v>1w</v>
      </c>
      <c r="AU489" s="300" t="str">
        <f>_xlfn.IFNA(VLOOKUP($AI489,Programma!$F$3:$R$1107,13,0),"")</f>
        <v>1w</v>
      </c>
      <c r="AV489" s="300" t="str">
        <f>_xlfn.IFNA(VLOOKUP($AI489,Programma!$F$3:$S$1107,14,0),"")</f>
        <v>1m</v>
      </c>
      <c r="AW489" s="300" t="str">
        <f>_xlfn.IFNA(VLOOKUP($AI489,Programma!$F$3:$T$1107,15,0),"")</f>
        <v>2j</v>
      </c>
      <c r="AX489" s="300" t="str">
        <f>_xlfn.IFNA(VLOOKUP($AI489,Programma!$F$3:$U$1107,16,0),"")</f>
        <v>1j</v>
      </c>
      <c r="AY489" s="300" t="str">
        <f>_xlfn.IFNA(VLOOKUP($AI489,Programma!$F$3:$V$1107,17,0),"")</f>
        <v>_</v>
      </c>
      <c r="AZ489" s="300" t="str">
        <f>_xlfn.IFNA(VLOOKUP($AI489,Programma!$F$3:$W$1107,18,0),"")</f>
        <v>_</v>
      </c>
      <c r="BA489" s="300" t="str">
        <f>_xlfn.IFNA(VLOOKUP($AI489,Programma!$F$3:$X$1107,19,0),"")</f>
        <v>_</v>
      </c>
      <c r="BB489" s="300" t="str">
        <f>_xlfn.IFNA(VLOOKUP($AI489,Programma!$F$3:$Y$1107,20,0),"")</f>
        <v>_</v>
      </c>
      <c r="BC489" s="257"/>
      <c r="BD489" s="256" t="str">
        <f>IF(Ruimtestaat[[#This Row],[Frequentie weekend]]="","",_xlfn.CONCAT(Ruimtestaat[[#This Row],[Ruimte code]],"-",Ruimtestaat[[#This Row],[Frequentie weekend]]," ",Ruimtestaat[[#This Row],[Vloer code]]))</f>
        <v/>
      </c>
      <c r="BE489" s="300" t="str">
        <f>_xlfn.IFNA(VLOOKUP($BD489,Programma!$F$3:$G$1107,2,0),"")</f>
        <v/>
      </c>
      <c r="BF489" s="300" t="str">
        <f>_xlfn.IFNA(VLOOKUP($BD489,Programma!$F$3:$H$1107,3,0),"")</f>
        <v/>
      </c>
      <c r="BG489" s="300" t="str">
        <f>_xlfn.IFNA(VLOOKUP($BD489,Programma!$F$3:$I$1107,4,0),"")</f>
        <v/>
      </c>
      <c r="BH489" s="300" t="str">
        <f>_xlfn.IFNA(VLOOKUP($BD489,Programma!$F$3:$J$1107,5,0),"")</f>
        <v/>
      </c>
      <c r="BI489" s="300" t="str">
        <f>_xlfn.IFNA(VLOOKUP($BD489,Programma!$F$3:$K$1107,6,0),"")</f>
        <v/>
      </c>
      <c r="BJ489" s="300" t="str">
        <f>_xlfn.IFNA(VLOOKUP($BD489,Programma!$F$3:$L$1107,7,0),"")</f>
        <v/>
      </c>
      <c r="BK489" s="300" t="str">
        <f>_xlfn.IFNA(VLOOKUP($BD489,Programma!$F$3:$M$1107,8,0),"")</f>
        <v/>
      </c>
      <c r="BL489" s="300" t="str">
        <f>_xlfn.IFNA(VLOOKUP($BD489,Programma!$F$3:$N$1107,9,0),"")</f>
        <v/>
      </c>
      <c r="BM489" s="300" t="str">
        <f>_xlfn.IFNA(VLOOKUP($BD489,Programma!$F$3:$O$1107,10,0),"")</f>
        <v/>
      </c>
      <c r="BN489" s="300" t="str">
        <f>_xlfn.IFNA(VLOOKUP($BD489,Programma!$F$3:$P$1107,11,0),"")</f>
        <v/>
      </c>
      <c r="BO489" s="300" t="str">
        <f>_xlfn.IFNA(VLOOKUP($BD489,Programma!$F$3:$Q$1107,12,0),"")</f>
        <v/>
      </c>
      <c r="BP489" s="300" t="str">
        <f>_xlfn.IFNA(VLOOKUP($BD489,Programma!$F$3:$R$1107,13,0),"")</f>
        <v/>
      </c>
      <c r="BQ489" s="300" t="str">
        <f>_xlfn.IFNA(VLOOKUP($BD489,Programma!$F$3:$S$1107,14,0),"")</f>
        <v/>
      </c>
      <c r="BR489" s="300" t="str">
        <f>_xlfn.IFNA(VLOOKUP($BD489,Programma!$F$3:$T$1107,15,0),"")</f>
        <v/>
      </c>
      <c r="BS489" s="300" t="str">
        <f>_xlfn.IFNA(VLOOKUP($BD489,Programma!$F$3:$U$1107,16,0),"")</f>
        <v/>
      </c>
      <c r="BT489" s="300" t="str">
        <f>_xlfn.IFNA(VLOOKUP($BD489,Programma!$F$3:$V$1107,17,0),"")</f>
        <v/>
      </c>
      <c r="BU489" s="300" t="str">
        <f>_xlfn.IFNA(VLOOKUP($BD489,Programma!$F$3:$W$1107,18,0),"")</f>
        <v/>
      </c>
      <c r="BV489" s="300" t="str">
        <f>_xlfn.IFNA(VLOOKUP($BD489,Programma!$F$3:$X$1107,19,0),"")</f>
        <v/>
      </c>
      <c r="BW489" s="300" t="str">
        <f>_xlfn.IFNA(VLOOKUP($BD489,Programma!$F$3:$Y$1107,20,0),"")</f>
        <v/>
      </c>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c r="GK489" s="4"/>
      <c r="GL489" s="4"/>
      <c r="GM489" s="4"/>
      <c r="GN489" s="4"/>
      <c r="GO489" s="4"/>
      <c r="GP489" s="4"/>
      <c r="GQ489" s="4"/>
      <c r="GR489" s="4"/>
      <c r="GS489" s="4"/>
      <c r="GT489" s="4"/>
      <c r="GU489" s="4"/>
      <c r="GV489" s="4"/>
      <c r="GW489" s="4"/>
      <c r="GX489" s="4"/>
      <c r="GY489" s="4"/>
      <c r="GZ489" s="4"/>
      <c r="HA489" s="4"/>
      <c r="HB489" s="4"/>
      <c r="HC489" s="4"/>
      <c r="HD489" s="4"/>
      <c r="HE489" s="4"/>
      <c r="HF489" s="4"/>
      <c r="HG489" s="4"/>
      <c r="HH489" s="4"/>
      <c r="HI489" s="4"/>
      <c r="HJ489" s="4"/>
      <c r="HK489" s="4"/>
      <c r="HL489" s="4"/>
    </row>
    <row r="490" spans="1:220" ht="15" customHeight="1">
      <c r="A490" s="21">
        <v>6</v>
      </c>
      <c r="B490" s="157" t="str">
        <f>VLOOKUP(Ruimtestaat[[#This Row],[Code]],Locaties[[Code]:[Locatie]],2,FALSE)</f>
        <v>Veurs Lyceum</v>
      </c>
      <c r="C490" s="157" t="str">
        <f>VLOOKUP(Ruimtestaat[[#This Row],[Code]],Locaties[[#All],[Code]:[Adres]],4,FALSE)</f>
        <v>Burg. Kolfschotenlaan 5</v>
      </c>
      <c r="D490" s="157" t="str">
        <f>VLOOKUP(Ruimtestaat[[#This Row],[Code]],Locaties[[#All],[Code]:[Postcode]],5,FALSE)</f>
        <v xml:space="preserve">2262 EZ </v>
      </c>
      <c r="E490" s="157" t="str">
        <f>VLOOKUP(Ruimtestaat[[#This Row],[Code]],Locaties[#All],6,FALSE)</f>
        <v>Leidschendam</v>
      </c>
      <c r="F490" s="62"/>
      <c r="G490" s="21" t="s">
        <v>1624</v>
      </c>
      <c r="H490" s="21" t="s">
        <v>1664</v>
      </c>
      <c r="I490" s="62" t="s">
        <v>2114</v>
      </c>
      <c r="J490" s="21">
        <v>16</v>
      </c>
      <c r="K490" s="62" t="str">
        <f>VLOOKUP(Ruimtestaat[[#This Row],[Ruimte code]],Ruimtegroepen[[#All],[Code]:[Ruimte omschrijving]],2,FALSE)</f>
        <v>Leslokalen theorie</v>
      </c>
      <c r="L490" s="33" t="s">
        <v>103</v>
      </c>
      <c r="M490" s="367" t="s">
        <v>121</v>
      </c>
      <c r="N490" s="140">
        <v>54</v>
      </c>
      <c r="O490" s="140"/>
      <c r="P490" s="125" t="str">
        <f>VLOOKUP(Ruimtestaat[[#This Row],[Ruimte code]],Ruimtegroepen[],4,FALSE)</f>
        <v>Le</v>
      </c>
      <c r="R490" s="33">
        <v>40</v>
      </c>
      <c r="S490" s="33" t="s">
        <v>2</v>
      </c>
      <c r="T490" s="33">
        <f>IF(R490&gt;0,IF(RIGHT(Ruimtestaat[[#This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0" s="33">
        <f>IF(T490&gt;0,VLOOKUP($J490,Ruimtegroepen[],3,FALSE)*VLOOKUP($L490,Vloersoorten[],3,FALSE)*VLOOKUP($S490,Frequenties[],3,FALSE)*VLOOKUP($A490,Locaties[],3,FALSE),0)</f>
        <v>0</v>
      </c>
      <c r="V490" s="33">
        <f>Ruimtestaat[[#This Row],[Uitvoeringen werkdagen]]*Ruimtestaat[[#This Row],[Oppervlak (netto)]]</f>
        <v>10800</v>
      </c>
      <c r="W490" s="154">
        <f>IF(U490&gt;0,Ruimtestaat[[#This Row],[Prest. (m2 /jaar) werkdagen]]/Ruimtestaat[[#This Row],[Norm (m2/uur) werkdagen]],0)</f>
        <v>0</v>
      </c>
      <c r="X490" s="155">
        <f>Ruimtestaat[[#This Row],[uren / jaar werkdagen]]*Tariefsopbouw!$E$35</f>
        <v>0</v>
      </c>
      <c r="Y490" s="33"/>
      <c r="Z490" s="33">
        <f>IF(Ruimtestaat[[#This Row],[Frequentie weekend]]&gt;0,VALUE(LEFT(Y490,1))*R490,0)</f>
        <v>0</v>
      </c>
      <c r="AA490" s="97">
        <f>IF($Z490&gt;0,VLOOKUP($J490,Ruimtegroepen[],3,FALSE)*VLOOKUP($L490,Vloersoorten[],3,FALSE)*VLOOKUP($Y490,Frequenties[],3,FALSE)*VLOOKUP(Ruimtestaat[[#This Row],[Code]],Locaties[],3,FALSE),0)</f>
        <v>0</v>
      </c>
      <c r="AB490" s="97">
        <f>Ruimtestaat[[#This Row],[Uitvoeringen weekend]]*Ruimtestaat[[#This Row],[Oppervlak (netto)]]</f>
        <v>0</v>
      </c>
      <c r="AC490" s="97">
        <f>IF(AA490&gt;0,Ruimtestaat[[#This Row],[Prest. (m2 /jaar) weekend]]/Ruimtestaat[[#This Row],[Norm (m2/uur) weekend]],0)</f>
        <v>0</v>
      </c>
      <c r="AD490" s="155">
        <f>Ruimtestaat[[#This Row],[uren / jaar weekend]]*Tariefsopbouw!$D$40</f>
        <v>0</v>
      </c>
      <c r="AE490" s="154">
        <f>Ruimtestaat[[#This Row],[Prest. (m2 /jaar) weekend]]+Ruimtestaat[[#This Row],[Prest. (m2 /jaar) werkdagen]]</f>
        <v>10800</v>
      </c>
      <c r="AF490" s="154">
        <f>Ruimtestaat[[#This Row],[uren / jaar weekend]]+Ruimtestaat[[#This Row],[uren / jaar werkdagen]]</f>
        <v>0</v>
      </c>
      <c r="AG490" s="69">
        <f>Ruimtestaat[[#This Row],[kosten / jaar weekend]]+Ruimtestaat[[#This Row],[kosten / jaar werkdagen]]</f>
        <v>0</v>
      </c>
      <c r="AH490" s="69"/>
      <c r="AI490" s="256" t="str">
        <f>IF(Ruimtestaat[[#This Row],[Frequentie werkdagen]]="","",_xlfn.CONCAT(Ruimtestaat[[#This Row],[Ruimte code]],"-",Ruimtestaat[[#This Row],[Frequentie werkdagen]]," ",Ruimtestaat[[#This Row],[Vloer code]]))</f>
        <v>16-5w P</v>
      </c>
      <c r="AJ490" s="300" t="str">
        <f>_xlfn.IFNA(VLOOKUP($AI490,Programma!$F$3:$G$1107,2,0),"")</f>
        <v>_</v>
      </c>
      <c r="AK490" s="300" t="str">
        <f>_xlfn.IFNA(VLOOKUP($AI490,Programma!$F$3:$H$1107,3,0),"")</f>
        <v>_</v>
      </c>
      <c r="AL490" s="300" t="str">
        <f>_xlfn.IFNA(VLOOKUP($AI490,Programma!$F$3:$I$1107,4,0),"")</f>
        <v>4w</v>
      </c>
      <c r="AM490" s="300" t="str">
        <f>_xlfn.IFNA(VLOOKUP($AI490,Programma!$F$3:$J$1107,5,0),"")</f>
        <v>1w</v>
      </c>
      <c r="AN490" s="300" t="str">
        <f>_xlfn.IFNA(VLOOKUP($AI490,Programma!$F$3:$K$1107,6,0),"")</f>
        <v>1m</v>
      </c>
      <c r="AO490" s="300" t="str">
        <f>_xlfn.IFNA(VLOOKUP($AI490,Programma!$F$3:$L$1107,7,0),"")</f>
        <v>_</v>
      </c>
      <c r="AP490" s="300" t="str">
        <f>_xlfn.IFNA(VLOOKUP($AI490,Programma!$F$3:$M$1107,8,0),"")</f>
        <v>_</v>
      </c>
      <c r="AQ490" s="300" t="str">
        <f>_xlfn.IFNA(VLOOKUP($AI490,Programma!$F$3:$N$1107,9,0),"")</f>
        <v>_</v>
      </c>
      <c r="AR490" s="300" t="str">
        <f>_xlfn.IFNA(VLOOKUP($AI490,Programma!$F$3:$O$1107,10,0),"")</f>
        <v>5w</v>
      </c>
      <c r="AS490" s="300" t="str">
        <f>_xlfn.IFNA(VLOOKUP($AI490,Programma!$F$3:$P$1107,11,0),"")</f>
        <v>5w</v>
      </c>
      <c r="AT490" s="300" t="str">
        <f>_xlfn.IFNA(VLOOKUP($AI490,Programma!$F$3:$Q$1107,12,0),"")</f>
        <v>1w</v>
      </c>
      <c r="AU490" s="300" t="str">
        <f>_xlfn.IFNA(VLOOKUP($AI490,Programma!$F$3:$R$1107,13,0),"")</f>
        <v>1w</v>
      </c>
      <c r="AV490" s="300" t="str">
        <f>_xlfn.IFNA(VLOOKUP($AI490,Programma!$F$3:$S$1107,14,0),"")</f>
        <v>1m</v>
      </c>
      <c r="AW490" s="300" t="str">
        <f>_xlfn.IFNA(VLOOKUP($AI490,Programma!$F$3:$T$1107,15,0),"")</f>
        <v>2j</v>
      </c>
      <c r="AX490" s="300" t="str">
        <f>_xlfn.IFNA(VLOOKUP($AI490,Programma!$F$3:$U$1107,16,0),"")</f>
        <v>1j</v>
      </c>
      <c r="AY490" s="300" t="str">
        <f>_xlfn.IFNA(VLOOKUP($AI490,Programma!$F$3:$V$1107,17,0),"")</f>
        <v>_</v>
      </c>
      <c r="AZ490" s="300" t="str">
        <f>_xlfn.IFNA(VLOOKUP($AI490,Programma!$F$3:$W$1107,18,0),"")</f>
        <v>_</v>
      </c>
      <c r="BA490" s="300" t="str">
        <f>_xlfn.IFNA(VLOOKUP($AI490,Programma!$F$3:$X$1107,19,0),"")</f>
        <v>_</v>
      </c>
      <c r="BB490" s="300" t="str">
        <f>_xlfn.IFNA(VLOOKUP($AI490,Programma!$F$3:$Y$1107,20,0),"")</f>
        <v>_</v>
      </c>
      <c r="BC490" s="257"/>
      <c r="BD490" s="256" t="str">
        <f>IF(Ruimtestaat[[#This Row],[Frequentie weekend]]="","",_xlfn.CONCAT(Ruimtestaat[[#This Row],[Ruimte code]],"-",Ruimtestaat[[#This Row],[Frequentie weekend]]," ",Ruimtestaat[[#This Row],[Vloer code]]))</f>
        <v/>
      </c>
      <c r="BE490" s="300" t="str">
        <f>_xlfn.IFNA(VLOOKUP($BD490,Programma!$F$3:$G$1107,2,0),"")</f>
        <v/>
      </c>
      <c r="BF490" s="300" t="str">
        <f>_xlfn.IFNA(VLOOKUP($BD490,Programma!$F$3:$H$1107,3,0),"")</f>
        <v/>
      </c>
      <c r="BG490" s="300" t="str">
        <f>_xlfn.IFNA(VLOOKUP($BD490,Programma!$F$3:$I$1107,4,0),"")</f>
        <v/>
      </c>
      <c r="BH490" s="300" t="str">
        <f>_xlfn.IFNA(VLOOKUP($BD490,Programma!$F$3:$J$1107,5,0),"")</f>
        <v/>
      </c>
      <c r="BI490" s="300" t="str">
        <f>_xlfn.IFNA(VLOOKUP($BD490,Programma!$F$3:$K$1107,6,0),"")</f>
        <v/>
      </c>
      <c r="BJ490" s="300" t="str">
        <f>_xlfn.IFNA(VLOOKUP($BD490,Programma!$F$3:$L$1107,7,0),"")</f>
        <v/>
      </c>
      <c r="BK490" s="300" t="str">
        <f>_xlfn.IFNA(VLOOKUP($BD490,Programma!$F$3:$M$1107,8,0),"")</f>
        <v/>
      </c>
      <c r="BL490" s="300" t="str">
        <f>_xlfn.IFNA(VLOOKUP($BD490,Programma!$F$3:$N$1107,9,0),"")</f>
        <v/>
      </c>
      <c r="BM490" s="300" t="str">
        <f>_xlfn.IFNA(VLOOKUP($BD490,Programma!$F$3:$O$1107,10,0),"")</f>
        <v/>
      </c>
      <c r="BN490" s="300" t="str">
        <f>_xlfn.IFNA(VLOOKUP($BD490,Programma!$F$3:$P$1107,11,0),"")</f>
        <v/>
      </c>
      <c r="BO490" s="300" t="str">
        <f>_xlfn.IFNA(VLOOKUP($BD490,Programma!$F$3:$Q$1107,12,0),"")</f>
        <v/>
      </c>
      <c r="BP490" s="300" t="str">
        <f>_xlfn.IFNA(VLOOKUP($BD490,Programma!$F$3:$R$1107,13,0),"")</f>
        <v/>
      </c>
      <c r="BQ490" s="300" t="str">
        <f>_xlfn.IFNA(VLOOKUP($BD490,Programma!$F$3:$S$1107,14,0),"")</f>
        <v/>
      </c>
      <c r="BR490" s="300" t="str">
        <f>_xlfn.IFNA(VLOOKUP($BD490,Programma!$F$3:$T$1107,15,0),"")</f>
        <v/>
      </c>
      <c r="BS490" s="300" t="str">
        <f>_xlfn.IFNA(VLOOKUP($BD490,Programma!$F$3:$U$1107,16,0),"")</f>
        <v/>
      </c>
      <c r="BT490" s="300" t="str">
        <f>_xlfn.IFNA(VLOOKUP($BD490,Programma!$F$3:$V$1107,17,0),"")</f>
        <v/>
      </c>
      <c r="BU490" s="300" t="str">
        <f>_xlfn.IFNA(VLOOKUP($BD490,Programma!$F$3:$W$1107,18,0),"")</f>
        <v/>
      </c>
      <c r="BV490" s="300" t="str">
        <f>_xlfn.IFNA(VLOOKUP($BD490,Programma!$F$3:$X$1107,19,0),"")</f>
        <v/>
      </c>
      <c r="BW490" s="300" t="str">
        <f>_xlfn.IFNA(VLOOKUP($BD490,Programma!$F$3:$Y$1107,20,0),"")</f>
        <v/>
      </c>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c r="GK490" s="4"/>
      <c r="GL490" s="4"/>
      <c r="GM490" s="4"/>
      <c r="GN490" s="4"/>
      <c r="GO490" s="4"/>
      <c r="GP490" s="4"/>
      <c r="GQ490" s="4"/>
      <c r="GR490" s="4"/>
      <c r="GS490" s="4"/>
      <c r="GT490" s="4"/>
      <c r="GU490" s="4"/>
      <c r="GV490" s="4"/>
      <c r="GW490" s="4"/>
      <c r="GX490" s="4"/>
      <c r="GY490" s="4"/>
      <c r="GZ490" s="4"/>
      <c r="HA490" s="4"/>
      <c r="HB490" s="4"/>
      <c r="HC490" s="4"/>
      <c r="HD490" s="4"/>
      <c r="HE490" s="4"/>
      <c r="HF490" s="4"/>
      <c r="HG490" s="4"/>
      <c r="HH490" s="4"/>
      <c r="HI490" s="4"/>
      <c r="HJ490" s="4"/>
      <c r="HK490" s="4"/>
      <c r="HL490" s="4"/>
    </row>
    <row r="491" spans="1:220" ht="15" customHeight="1">
      <c r="A491" s="21">
        <v>6</v>
      </c>
      <c r="B491" s="157" t="str">
        <f>VLOOKUP(Ruimtestaat[[#This Row],[Code]],Locaties[[Code]:[Locatie]],2,FALSE)</f>
        <v>Veurs Lyceum</v>
      </c>
      <c r="C491" s="157" t="str">
        <f>VLOOKUP(Ruimtestaat[[#This Row],[Code]],Locaties[[#All],[Code]:[Adres]],4,FALSE)</f>
        <v>Burg. Kolfschotenlaan 5</v>
      </c>
      <c r="D491" s="157" t="str">
        <f>VLOOKUP(Ruimtestaat[[#This Row],[Code]],Locaties[[#All],[Code]:[Postcode]],5,FALSE)</f>
        <v xml:space="preserve">2262 EZ </v>
      </c>
      <c r="E491" s="157" t="str">
        <f>VLOOKUP(Ruimtestaat[[#This Row],[Code]],Locaties[#All],6,FALSE)</f>
        <v>Leidschendam</v>
      </c>
      <c r="F491" s="62"/>
      <c r="G491" s="21" t="s">
        <v>1624</v>
      </c>
      <c r="H491" s="21" t="s">
        <v>1665</v>
      </c>
      <c r="I491" s="62" t="s">
        <v>2115</v>
      </c>
      <c r="J491" s="21">
        <v>16</v>
      </c>
      <c r="K491" s="62" t="str">
        <f>VLOOKUP(Ruimtestaat[[#This Row],[Ruimte code]],Ruimtegroepen[[#All],[Code]:[Ruimte omschrijving]],2,FALSE)</f>
        <v>Leslokalen theorie</v>
      </c>
      <c r="L491" s="33" t="s">
        <v>103</v>
      </c>
      <c r="M491" s="367" t="s">
        <v>121</v>
      </c>
      <c r="N491" s="140">
        <v>54</v>
      </c>
      <c r="O491" s="140"/>
      <c r="P491" s="125" t="str">
        <f>VLOOKUP(Ruimtestaat[[#This Row],[Ruimte code]],Ruimtegroepen[],4,FALSE)</f>
        <v>Le</v>
      </c>
      <c r="R491" s="33">
        <v>40</v>
      </c>
      <c r="S491" s="33" t="s">
        <v>2</v>
      </c>
      <c r="T491" s="33">
        <f>IF(R491&gt;0,IF(RIGHT(Ruimtestaat[[#This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1" s="33">
        <f>IF(T491&gt;0,VLOOKUP($J491,Ruimtegroepen[],3,FALSE)*VLOOKUP($L491,Vloersoorten[],3,FALSE)*VLOOKUP($S491,Frequenties[],3,FALSE)*VLOOKUP($A491,Locaties[],3,FALSE),0)</f>
        <v>0</v>
      </c>
      <c r="V491" s="33">
        <f>Ruimtestaat[[#This Row],[Uitvoeringen werkdagen]]*Ruimtestaat[[#This Row],[Oppervlak (netto)]]</f>
        <v>10800</v>
      </c>
      <c r="W491" s="154">
        <f>IF(U491&gt;0,Ruimtestaat[[#This Row],[Prest. (m2 /jaar) werkdagen]]/Ruimtestaat[[#This Row],[Norm (m2/uur) werkdagen]],0)</f>
        <v>0</v>
      </c>
      <c r="X491" s="155">
        <f>Ruimtestaat[[#This Row],[uren / jaar werkdagen]]*Tariefsopbouw!$E$35</f>
        <v>0</v>
      </c>
      <c r="Y491" s="33"/>
      <c r="Z491" s="33">
        <f>IF(Ruimtestaat[[#This Row],[Frequentie weekend]]&gt;0,VALUE(LEFT(Y491,1))*R491,0)</f>
        <v>0</v>
      </c>
      <c r="AA491" s="97">
        <f>IF($Z491&gt;0,VLOOKUP($J491,Ruimtegroepen[],3,FALSE)*VLOOKUP($L491,Vloersoorten[],3,FALSE)*VLOOKUP($Y491,Frequenties[],3,FALSE)*VLOOKUP(Ruimtestaat[[#This Row],[Code]],Locaties[],3,FALSE),0)</f>
        <v>0</v>
      </c>
      <c r="AB491" s="97">
        <f>Ruimtestaat[[#This Row],[Uitvoeringen weekend]]*Ruimtestaat[[#This Row],[Oppervlak (netto)]]</f>
        <v>0</v>
      </c>
      <c r="AC491" s="97">
        <f>IF(AA491&gt;0,Ruimtestaat[[#This Row],[Prest. (m2 /jaar) weekend]]/Ruimtestaat[[#This Row],[Norm (m2/uur) weekend]],0)</f>
        <v>0</v>
      </c>
      <c r="AD491" s="155">
        <f>Ruimtestaat[[#This Row],[uren / jaar weekend]]*Tariefsopbouw!$D$40</f>
        <v>0</v>
      </c>
      <c r="AE491" s="154">
        <f>Ruimtestaat[[#This Row],[Prest. (m2 /jaar) weekend]]+Ruimtestaat[[#This Row],[Prest. (m2 /jaar) werkdagen]]</f>
        <v>10800</v>
      </c>
      <c r="AF491" s="154">
        <f>Ruimtestaat[[#This Row],[uren / jaar weekend]]+Ruimtestaat[[#This Row],[uren / jaar werkdagen]]</f>
        <v>0</v>
      </c>
      <c r="AG491" s="69">
        <f>Ruimtestaat[[#This Row],[kosten / jaar weekend]]+Ruimtestaat[[#This Row],[kosten / jaar werkdagen]]</f>
        <v>0</v>
      </c>
      <c r="AH491" s="69"/>
      <c r="AI491" s="256" t="str">
        <f>IF(Ruimtestaat[[#This Row],[Frequentie werkdagen]]="","",_xlfn.CONCAT(Ruimtestaat[[#This Row],[Ruimte code]],"-",Ruimtestaat[[#This Row],[Frequentie werkdagen]]," ",Ruimtestaat[[#This Row],[Vloer code]]))</f>
        <v>16-5w P</v>
      </c>
      <c r="AJ491" s="300" t="str">
        <f>_xlfn.IFNA(VLOOKUP($AI491,Programma!$F$3:$G$1107,2,0),"")</f>
        <v>_</v>
      </c>
      <c r="AK491" s="300" t="str">
        <f>_xlfn.IFNA(VLOOKUP($AI491,Programma!$F$3:$H$1107,3,0),"")</f>
        <v>_</v>
      </c>
      <c r="AL491" s="300" t="str">
        <f>_xlfn.IFNA(VLOOKUP($AI491,Programma!$F$3:$I$1107,4,0),"")</f>
        <v>4w</v>
      </c>
      <c r="AM491" s="300" t="str">
        <f>_xlfn.IFNA(VLOOKUP($AI491,Programma!$F$3:$J$1107,5,0),"")</f>
        <v>1w</v>
      </c>
      <c r="AN491" s="300" t="str">
        <f>_xlfn.IFNA(VLOOKUP($AI491,Programma!$F$3:$K$1107,6,0),"")</f>
        <v>1m</v>
      </c>
      <c r="AO491" s="300" t="str">
        <f>_xlfn.IFNA(VLOOKUP($AI491,Programma!$F$3:$L$1107,7,0),"")</f>
        <v>_</v>
      </c>
      <c r="AP491" s="300" t="str">
        <f>_xlfn.IFNA(VLOOKUP($AI491,Programma!$F$3:$M$1107,8,0),"")</f>
        <v>_</v>
      </c>
      <c r="AQ491" s="300" t="str">
        <f>_xlfn.IFNA(VLOOKUP($AI491,Programma!$F$3:$N$1107,9,0),"")</f>
        <v>_</v>
      </c>
      <c r="AR491" s="300" t="str">
        <f>_xlfn.IFNA(VLOOKUP($AI491,Programma!$F$3:$O$1107,10,0),"")</f>
        <v>5w</v>
      </c>
      <c r="AS491" s="300" t="str">
        <f>_xlfn.IFNA(VLOOKUP($AI491,Programma!$F$3:$P$1107,11,0),"")</f>
        <v>5w</v>
      </c>
      <c r="AT491" s="300" t="str">
        <f>_xlfn.IFNA(VLOOKUP($AI491,Programma!$F$3:$Q$1107,12,0),"")</f>
        <v>1w</v>
      </c>
      <c r="AU491" s="300" t="str">
        <f>_xlfn.IFNA(VLOOKUP($AI491,Programma!$F$3:$R$1107,13,0),"")</f>
        <v>1w</v>
      </c>
      <c r="AV491" s="300" t="str">
        <f>_xlfn.IFNA(VLOOKUP($AI491,Programma!$F$3:$S$1107,14,0),"")</f>
        <v>1m</v>
      </c>
      <c r="AW491" s="300" t="str">
        <f>_xlfn.IFNA(VLOOKUP($AI491,Programma!$F$3:$T$1107,15,0),"")</f>
        <v>2j</v>
      </c>
      <c r="AX491" s="300" t="str">
        <f>_xlfn.IFNA(VLOOKUP($AI491,Programma!$F$3:$U$1107,16,0),"")</f>
        <v>1j</v>
      </c>
      <c r="AY491" s="300" t="str">
        <f>_xlfn.IFNA(VLOOKUP($AI491,Programma!$F$3:$V$1107,17,0),"")</f>
        <v>_</v>
      </c>
      <c r="AZ491" s="300" t="str">
        <f>_xlfn.IFNA(VLOOKUP($AI491,Programma!$F$3:$W$1107,18,0),"")</f>
        <v>_</v>
      </c>
      <c r="BA491" s="300" t="str">
        <f>_xlfn.IFNA(VLOOKUP($AI491,Programma!$F$3:$X$1107,19,0),"")</f>
        <v>_</v>
      </c>
      <c r="BB491" s="300" t="str">
        <f>_xlfn.IFNA(VLOOKUP($AI491,Programma!$F$3:$Y$1107,20,0),"")</f>
        <v>_</v>
      </c>
      <c r="BC491" s="257"/>
      <c r="BD491" s="256" t="str">
        <f>IF(Ruimtestaat[[#This Row],[Frequentie weekend]]="","",_xlfn.CONCAT(Ruimtestaat[[#This Row],[Ruimte code]],"-",Ruimtestaat[[#This Row],[Frequentie weekend]]," ",Ruimtestaat[[#This Row],[Vloer code]]))</f>
        <v/>
      </c>
      <c r="BE491" s="300" t="str">
        <f>_xlfn.IFNA(VLOOKUP($BD491,Programma!$F$3:$G$1107,2,0),"")</f>
        <v/>
      </c>
      <c r="BF491" s="300" t="str">
        <f>_xlfn.IFNA(VLOOKUP($BD491,Programma!$F$3:$H$1107,3,0),"")</f>
        <v/>
      </c>
      <c r="BG491" s="300" t="str">
        <f>_xlfn.IFNA(VLOOKUP($BD491,Programma!$F$3:$I$1107,4,0),"")</f>
        <v/>
      </c>
      <c r="BH491" s="300" t="str">
        <f>_xlfn.IFNA(VLOOKUP($BD491,Programma!$F$3:$J$1107,5,0),"")</f>
        <v/>
      </c>
      <c r="BI491" s="300" t="str">
        <f>_xlfn.IFNA(VLOOKUP($BD491,Programma!$F$3:$K$1107,6,0),"")</f>
        <v/>
      </c>
      <c r="BJ491" s="300" t="str">
        <f>_xlfn.IFNA(VLOOKUP($BD491,Programma!$F$3:$L$1107,7,0),"")</f>
        <v/>
      </c>
      <c r="BK491" s="300" t="str">
        <f>_xlfn.IFNA(VLOOKUP($BD491,Programma!$F$3:$M$1107,8,0),"")</f>
        <v/>
      </c>
      <c r="BL491" s="300" t="str">
        <f>_xlfn.IFNA(VLOOKUP($BD491,Programma!$F$3:$N$1107,9,0),"")</f>
        <v/>
      </c>
      <c r="BM491" s="300" t="str">
        <f>_xlfn.IFNA(VLOOKUP($BD491,Programma!$F$3:$O$1107,10,0),"")</f>
        <v/>
      </c>
      <c r="BN491" s="300" t="str">
        <f>_xlfn.IFNA(VLOOKUP($BD491,Programma!$F$3:$P$1107,11,0),"")</f>
        <v/>
      </c>
      <c r="BO491" s="300" t="str">
        <f>_xlfn.IFNA(VLOOKUP($BD491,Programma!$F$3:$Q$1107,12,0),"")</f>
        <v/>
      </c>
      <c r="BP491" s="300" t="str">
        <f>_xlfn.IFNA(VLOOKUP($BD491,Programma!$F$3:$R$1107,13,0),"")</f>
        <v/>
      </c>
      <c r="BQ491" s="300" t="str">
        <f>_xlfn.IFNA(VLOOKUP($BD491,Programma!$F$3:$S$1107,14,0),"")</f>
        <v/>
      </c>
      <c r="BR491" s="300" t="str">
        <f>_xlfn.IFNA(VLOOKUP($BD491,Programma!$F$3:$T$1107,15,0),"")</f>
        <v/>
      </c>
      <c r="BS491" s="300" t="str">
        <f>_xlfn.IFNA(VLOOKUP($BD491,Programma!$F$3:$U$1107,16,0),"")</f>
        <v/>
      </c>
      <c r="BT491" s="300" t="str">
        <f>_xlfn.IFNA(VLOOKUP($BD491,Programma!$F$3:$V$1107,17,0),"")</f>
        <v/>
      </c>
      <c r="BU491" s="300" t="str">
        <f>_xlfn.IFNA(VLOOKUP($BD491,Programma!$F$3:$W$1107,18,0),"")</f>
        <v/>
      </c>
      <c r="BV491" s="300" t="str">
        <f>_xlfn.IFNA(VLOOKUP($BD491,Programma!$F$3:$X$1107,19,0),"")</f>
        <v/>
      </c>
      <c r="BW491" s="300" t="str">
        <f>_xlfn.IFNA(VLOOKUP($BD491,Programma!$F$3:$Y$1107,20,0),"")</f>
        <v/>
      </c>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c r="GK491" s="4"/>
      <c r="GL491" s="4"/>
      <c r="GM491" s="4"/>
      <c r="GN491" s="4"/>
      <c r="GO491" s="4"/>
      <c r="GP491" s="4"/>
      <c r="GQ491" s="4"/>
      <c r="GR491" s="4"/>
      <c r="GS491" s="4"/>
      <c r="GT491" s="4"/>
      <c r="GU491" s="4"/>
      <c r="GV491" s="4"/>
      <c r="GW491" s="4"/>
      <c r="GX491" s="4"/>
      <c r="GY491" s="4"/>
      <c r="GZ491" s="4"/>
      <c r="HA491" s="4"/>
      <c r="HB491" s="4"/>
      <c r="HC491" s="4"/>
      <c r="HD491" s="4"/>
      <c r="HE491" s="4"/>
      <c r="HF491" s="4"/>
      <c r="HG491" s="4"/>
      <c r="HH491" s="4"/>
      <c r="HI491" s="4"/>
      <c r="HJ491" s="4"/>
      <c r="HK491" s="4"/>
      <c r="HL491" s="4"/>
    </row>
    <row r="492" spans="1:220" ht="15" customHeight="1">
      <c r="A492" s="21">
        <v>6</v>
      </c>
      <c r="B492" s="157" t="str">
        <f>VLOOKUP(Ruimtestaat[[#This Row],[Code]],Locaties[[Code]:[Locatie]],2,FALSE)</f>
        <v>Veurs Lyceum</v>
      </c>
      <c r="C492" s="157" t="str">
        <f>VLOOKUP(Ruimtestaat[[#This Row],[Code]],Locaties[[#All],[Code]:[Adres]],4,FALSE)</f>
        <v>Burg. Kolfschotenlaan 5</v>
      </c>
      <c r="D492" s="157" t="str">
        <f>VLOOKUP(Ruimtestaat[[#This Row],[Code]],Locaties[[#All],[Code]:[Postcode]],5,FALSE)</f>
        <v xml:space="preserve">2262 EZ </v>
      </c>
      <c r="E492" s="157" t="str">
        <f>VLOOKUP(Ruimtestaat[[#This Row],[Code]],Locaties[#All],6,FALSE)</f>
        <v>Leidschendam</v>
      </c>
      <c r="F492" s="62"/>
      <c r="G492" s="21" t="s">
        <v>1624</v>
      </c>
      <c r="H492" s="21" t="s">
        <v>1666</v>
      </c>
      <c r="I492" s="62" t="s">
        <v>2116</v>
      </c>
      <c r="J492" s="21">
        <v>16</v>
      </c>
      <c r="K492" s="62" t="str">
        <f>VLOOKUP(Ruimtestaat[[#This Row],[Ruimte code]],Ruimtegroepen[[#All],[Code]:[Ruimte omschrijving]],2,FALSE)</f>
        <v>Leslokalen theorie</v>
      </c>
      <c r="L492" s="33" t="s">
        <v>103</v>
      </c>
      <c r="M492" s="367" t="s">
        <v>121</v>
      </c>
      <c r="N492" s="140">
        <v>54</v>
      </c>
      <c r="O492" s="140"/>
      <c r="P492" s="125" t="str">
        <f>VLOOKUP(Ruimtestaat[[#This Row],[Ruimte code]],Ruimtegroepen[],4,FALSE)</f>
        <v>Le</v>
      </c>
      <c r="R492" s="33">
        <v>40</v>
      </c>
      <c r="S492" s="33" t="s">
        <v>2</v>
      </c>
      <c r="T492" s="33">
        <f>IF(R492&gt;0,IF(RIGHT(Ruimtestaat[[#This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2" s="33">
        <f>IF(T492&gt;0,VLOOKUP($J492,Ruimtegroepen[],3,FALSE)*VLOOKUP($L492,Vloersoorten[],3,FALSE)*VLOOKUP($S492,Frequenties[],3,FALSE)*VLOOKUP($A492,Locaties[],3,FALSE),0)</f>
        <v>0</v>
      </c>
      <c r="V492" s="33">
        <f>Ruimtestaat[[#This Row],[Uitvoeringen werkdagen]]*Ruimtestaat[[#This Row],[Oppervlak (netto)]]</f>
        <v>10800</v>
      </c>
      <c r="W492" s="154">
        <f>IF(U492&gt;0,Ruimtestaat[[#This Row],[Prest. (m2 /jaar) werkdagen]]/Ruimtestaat[[#This Row],[Norm (m2/uur) werkdagen]],0)</f>
        <v>0</v>
      </c>
      <c r="X492" s="155">
        <f>Ruimtestaat[[#This Row],[uren / jaar werkdagen]]*Tariefsopbouw!$E$35</f>
        <v>0</v>
      </c>
      <c r="Y492" s="33"/>
      <c r="Z492" s="33">
        <f>IF(Ruimtestaat[[#This Row],[Frequentie weekend]]&gt;0,VALUE(LEFT(Y492,1))*R492,0)</f>
        <v>0</v>
      </c>
      <c r="AA492" s="97">
        <f>IF($Z492&gt;0,VLOOKUP($J492,Ruimtegroepen[],3,FALSE)*VLOOKUP($L492,Vloersoorten[],3,FALSE)*VLOOKUP($Y492,Frequenties[],3,FALSE)*VLOOKUP(Ruimtestaat[[#This Row],[Code]],Locaties[],3,FALSE),0)</f>
        <v>0</v>
      </c>
      <c r="AB492" s="97">
        <f>Ruimtestaat[[#This Row],[Uitvoeringen weekend]]*Ruimtestaat[[#This Row],[Oppervlak (netto)]]</f>
        <v>0</v>
      </c>
      <c r="AC492" s="97">
        <f>IF(AA492&gt;0,Ruimtestaat[[#This Row],[Prest. (m2 /jaar) weekend]]/Ruimtestaat[[#This Row],[Norm (m2/uur) weekend]],0)</f>
        <v>0</v>
      </c>
      <c r="AD492" s="155">
        <f>Ruimtestaat[[#This Row],[uren / jaar weekend]]*Tariefsopbouw!$D$40</f>
        <v>0</v>
      </c>
      <c r="AE492" s="154">
        <f>Ruimtestaat[[#This Row],[Prest. (m2 /jaar) weekend]]+Ruimtestaat[[#This Row],[Prest. (m2 /jaar) werkdagen]]</f>
        <v>10800</v>
      </c>
      <c r="AF492" s="154">
        <f>Ruimtestaat[[#This Row],[uren / jaar weekend]]+Ruimtestaat[[#This Row],[uren / jaar werkdagen]]</f>
        <v>0</v>
      </c>
      <c r="AG492" s="69">
        <f>Ruimtestaat[[#This Row],[kosten / jaar weekend]]+Ruimtestaat[[#This Row],[kosten / jaar werkdagen]]</f>
        <v>0</v>
      </c>
      <c r="AH492" s="69"/>
      <c r="AI492" s="256" t="str">
        <f>IF(Ruimtestaat[[#This Row],[Frequentie werkdagen]]="","",_xlfn.CONCAT(Ruimtestaat[[#This Row],[Ruimte code]],"-",Ruimtestaat[[#This Row],[Frequentie werkdagen]]," ",Ruimtestaat[[#This Row],[Vloer code]]))</f>
        <v>16-5w P</v>
      </c>
      <c r="AJ492" s="300" t="str">
        <f>_xlfn.IFNA(VLOOKUP($AI492,Programma!$F$3:$G$1107,2,0),"")</f>
        <v>_</v>
      </c>
      <c r="AK492" s="300" t="str">
        <f>_xlfn.IFNA(VLOOKUP($AI492,Programma!$F$3:$H$1107,3,0),"")</f>
        <v>_</v>
      </c>
      <c r="AL492" s="300" t="str">
        <f>_xlfn.IFNA(VLOOKUP($AI492,Programma!$F$3:$I$1107,4,0),"")</f>
        <v>4w</v>
      </c>
      <c r="AM492" s="300" t="str">
        <f>_xlfn.IFNA(VLOOKUP($AI492,Programma!$F$3:$J$1107,5,0),"")</f>
        <v>1w</v>
      </c>
      <c r="AN492" s="300" t="str">
        <f>_xlfn.IFNA(VLOOKUP($AI492,Programma!$F$3:$K$1107,6,0),"")</f>
        <v>1m</v>
      </c>
      <c r="AO492" s="300" t="str">
        <f>_xlfn.IFNA(VLOOKUP($AI492,Programma!$F$3:$L$1107,7,0),"")</f>
        <v>_</v>
      </c>
      <c r="AP492" s="300" t="str">
        <f>_xlfn.IFNA(VLOOKUP($AI492,Programma!$F$3:$M$1107,8,0),"")</f>
        <v>_</v>
      </c>
      <c r="AQ492" s="300" t="str">
        <f>_xlfn.IFNA(VLOOKUP($AI492,Programma!$F$3:$N$1107,9,0),"")</f>
        <v>_</v>
      </c>
      <c r="AR492" s="300" t="str">
        <f>_xlfn.IFNA(VLOOKUP($AI492,Programma!$F$3:$O$1107,10,0),"")</f>
        <v>5w</v>
      </c>
      <c r="AS492" s="300" t="str">
        <f>_xlfn.IFNA(VLOOKUP($AI492,Programma!$F$3:$P$1107,11,0),"")</f>
        <v>5w</v>
      </c>
      <c r="AT492" s="300" t="str">
        <f>_xlfn.IFNA(VLOOKUP($AI492,Programma!$F$3:$Q$1107,12,0),"")</f>
        <v>1w</v>
      </c>
      <c r="AU492" s="300" t="str">
        <f>_xlfn.IFNA(VLOOKUP($AI492,Programma!$F$3:$R$1107,13,0),"")</f>
        <v>1w</v>
      </c>
      <c r="AV492" s="300" t="str">
        <f>_xlfn.IFNA(VLOOKUP($AI492,Programma!$F$3:$S$1107,14,0),"")</f>
        <v>1m</v>
      </c>
      <c r="AW492" s="300" t="str">
        <f>_xlfn.IFNA(VLOOKUP($AI492,Programma!$F$3:$T$1107,15,0),"")</f>
        <v>2j</v>
      </c>
      <c r="AX492" s="300" t="str">
        <f>_xlfn.IFNA(VLOOKUP($AI492,Programma!$F$3:$U$1107,16,0),"")</f>
        <v>1j</v>
      </c>
      <c r="AY492" s="300" t="str">
        <f>_xlfn.IFNA(VLOOKUP($AI492,Programma!$F$3:$V$1107,17,0),"")</f>
        <v>_</v>
      </c>
      <c r="AZ492" s="300" t="str">
        <f>_xlfn.IFNA(VLOOKUP($AI492,Programma!$F$3:$W$1107,18,0),"")</f>
        <v>_</v>
      </c>
      <c r="BA492" s="300" t="str">
        <f>_xlfn.IFNA(VLOOKUP($AI492,Programma!$F$3:$X$1107,19,0),"")</f>
        <v>_</v>
      </c>
      <c r="BB492" s="300" t="str">
        <f>_xlfn.IFNA(VLOOKUP($AI492,Programma!$F$3:$Y$1107,20,0),"")</f>
        <v>_</v>
      </c>
      <c r="BC492" s="257"/>
      <c r="BD492" s="256" t="str">
        <f>IF(Ruimtestaat[[#This Row],[Frequentie weekend]]="","",_xlfn.CONCAT(Ruimtestaat[[#This Row],[Ruimte code]],"-",Ruimtestaat[[#This Row],[Frequentie weekend]]," ",Ruimtestaat[[#This Row],[Vloer code]]))</f>
        <v/>
      </c>
      <c r="BE492" s="300" t="str">
        <f>_xlfn.IFNA(VLOOKUP($BD492,Programma!$F$3:$G$1107,2,0),"")</f>
        <v/>
      </c>
      <c r="BF492" s="300" t="str">
        <f>_xlfn.IFNA(VLOOKUP($BD492,Programma!$F$3:$H$1107,3,0),"")</f>
        <v/>
      </c>
      <c r="BG492" s="300" t="str">
        <f>_xlfn.IFNA(VLOOKUP($BD492,Programma!$F$3:$I$1107,4,0),"")</f>
        <v/>
      </c>
      <c r="BH492" s="300" t="str">
        <f>_xlfn.IFNA(VLOOKUP($BD492,Programma!$F$3:$J$1107,5,0),"")</f>
        <v/>
      </c>
      <c r="BI492" s="300" t="str">
        <f>_xlfn.IFNA(VLOOKUP($BD492,Programma!$F$3:$K$1107,6,0),"")</f>
        <v/>
      </c>
      <c r="BJ492" s="300" t="str">
        <f>_xlfn.IFNA(VLOOKUP($BD492,Programma!$F$3:$L$1107,7,0),"")</f>
        <v/>
      </c>
      <c r="BK492" s="300" t="str">
        <f>_xlfn.IFNA(VLOOKUP($BD492,Programma!$F$3:$M$1107,8,0),"")</f>
        <v/>
      </c>
      <c r="BL492" s="300" t="str">
        <f>_xlfn.IFNA(VLOOKUP($BD492,Programma!$F$3:$N$1107,9,0),"")</f>
        <v/>
      </c>
      <c r="BM492" s="300" t="str">
        <f>_xlfn.IFNA(VLOOKUP($BD492,Programma!$F$3:$O$1107,10,0),"")</f>
        <v/>
      </c>
      <c r="BN492" s="300" t="str">
        <f>_xlfn.IFNA(VLOOKUP($BD492,Programma!$F$3:$P$1107,11,0),"")</f>
        <v/>
      </c>
      <c r="BO492" s="300" t="str">
        <f>_xlfn.IFNA(VLOOKUP($BD492,Programma!$F$3:$Q$1107,12,0),"")</f>
        <v/>
      </c>
      <c r="BP492" s="300" t="str">
        <f>_xlfn.IFNA(VLOOKUP($BD492,Programma!$F$3:$R$1107,13,0),"")</f>
        <v/>
      </c>
      <c r="BQ492" s="300" t="str">
        <f>_xlfn.IFNA(VLOOKUP($BD492,Programma!$F$3:$S$1107,14,0),"")</f>
        <v/>
      </c>
      <c r="BR492" s="300" t="str">
        <f>_xlfn.IFNA(VLOOKUP($BD492,Programma!$F$3:$T$1107,15,0),"")</f>
        <v/>
      </c>
      <c r="BS492" s="300" t="str">
        <f>_xlfn.IFNA(VLOOKUP($BD492,Programma!$F$3:$U$1107,16,0),"")</f>
        <v/>
      </c>
      <c r="BT492" s="300" t="str">
        <f>_xlfn.IFNA(VLOOKUP($BD492,Programma!$F$3:$V$1107,17,0),"")</f>
        <v/>
      </c>
      <c r="BU492" s="300" t="str">
        <f>_xlfn.IFNA(VLOOKUP($BD492,Programma!$F$3:$W$1107,18,0),"")</f>
        <v/>
      </c>
      <c r="BV492" s="300" t="str">
        <f>_xlfn.IFNA(VLOOKUP($BD492,Programma!$F$3:$X$1107,19,0),"")</f>
        <v/>
      </c>
      <c r="BW492" s="300" t="str">
        <f>_xlfn.IFNA(VLOOKUP($BD492,Programma!$F$3:$Y$1107,20,0),"")</f>
        <v/>
      </c>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c r="GK492" s="4"/>
      <c r="GL492" s="4"/>
      <c r="GM492" s="4"/>
      <c r="GN492" s="4"/>
      <c r="GO492" s="4"/>
      <c r="GP492" s="4"/>
      <c r="GQ492" s="4"/>
      <c r="GR492" s="4"/>
      <c r="GS492" s="4"/>
      <c r="GT492" s="4"/>
      <c r="GU492" s="4"/>
      <c r="GV492" s="4"/>
      <c r="GW492" s="4"/>
      <c r="GX492" s="4"/>
      <c r="GY492" s="4"/>
      <c r="GZ492" s="4"/>
      <c r="HA492" s="4"/>
      <c r="HB492" s="4"/>
      <c r="HC492" s="4"/>
      <c r="HD492" s="4"/>
      <c r="HE492" s="4"/>
      <c r="HF492" s="4"/>
      <c r="HG492" s="4"/>
      <c r="HH492" s="4"/>
      <c r="HI492" s="4"/>
      <c r="HJ492" s="4"/>
      <c r="HK492" s="4"/>
      <c r="HL492" s="4"/>
    </row>
    <row r="493" spans="1:220" ht="15" customHeight="1">
      <c r="A493" s="21">
        <v>6</v>
      </c>
      <c r="B493" s="157" t="str">
        <f>VLOOKUP(Ruimtestaat[[#This Row],[Code]],Locaties[[Code]:[Locatie]],2,FALSE)</f>
        <v>Veurs Lyceum</v>
      </c>
      <c r="C493" s="157" t="str">
        <f>VLOOKUP(Ruimtestaat[[#This Row],[Code]],Locaties[[#All],[Code]:[Adres]],4,FALSE)</f>
        <v>Burg. Kolfschotenlaan 5</v>
      </c>
      <c r="D493" s="157" t="str">
        <f>VLOOKUP(Ruimtestaat[[#This Row],[Code]],Locaties[[#All],[Code]:[Postcode]],5,FALSE)</f>
        <v xml:space="preserve">2262 EZ </v>
      </c>
      <c r="E493" s="157" t="str">
        <f>VLOOKUP(Ruimtestaat[[#This Row],[Code]],Locaties[#All],6,FALSE)</f>
        <v>Leidschendam</v>
      </c>
      <c r="F493" s="62"/>
      <c r="G493" s="21" t="s">
        <v>1624</v>
      </c>
      <c r="H493" s="21" t="s">
        <v>1667</v>
      </c>
      <c r="I493" s="62" t="s">
        <v>2117</v>
      </c>
      <c r="J493" s="21">
        <v>16</v>
      </c>
      <c r="K493" s="62" t="str">
        <f>VLOOKUP(Ruimtestaat[[#This Row],[Ruimte code]],Ruimtegroepen[[#All],[Code]:[Ruimte omschrijving]],2,FALSE)</f>
        <v>Leslokalen theorie</v>
      </c>
      <c r="L493" s="33" t="s">
        <v>103</v>
      </c>
      <c r="M493" s="367" t="s">
        <v>121</v>
      </c>
      <c r="N493" s="140">
        <v>54</v>
      </c>
      <c r="O493" s="140"/>
      <c r="P493" s="125" t="str">
        <f>VLOOKUP(Ruimtestaat[[#This Row],[Ruimte code]],Ruimtegroepen[],4,FALSE)</f>
        <v>Le</v>
      </c>
      <c r="R493" s="33">
        <v>40</v>
      </c>
      <c r="S493" s="33" t="s">
        <v>2</v>
      </c>
      <c r="T493" s="33">
        <f>IF(R493&gt;0,IF(RIGHT(Ruimtestaat[[#This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3" s="33">
        <f>IF(T493&gt;0,VLOOKUP($J493,Ruimtegroepen[],3,FALSE)*VLOOKUP($L493,Vloersoorten[],3,FALSE)*VLOOKUP($S493,Frequenties[],3,FALSE)*VLOOKUP($A493,Locaties[],3,FALSE),0)</f>
        <v>0</v>
      </c>
      <c r="V493" s="33">
        <f>Ruimtestaat[[#This Row],[Uitvoeringen werkdagen]]*Ruimtestaat[[#This Row],[Oppervlak (netto)]]</f>
        <v>10800</v>
      </c>
      <c r="W493" s="154">
        <f>IF(U493&gt;0,Ruimtestaat[[#This Row],[Prest. (m2 /jaar) werkdagen]]/Ruimtestaat[[#This Row],[Norm (m2/uur) werkdagen]],0)</f>
        <v>0</v>
      </c>
      <c r="X493" s="155">
        <f>Ruimtestaat[[#This Row],[uren / jaar werkdagen]]*Tariefsopbouw!$E$35</f>
        <v>0</v>
      </c>
      <c r="Y493" s="33"/>
      <c r="Z493" s="33">
        <f>IF(Ruimtestaat[[#This Row],[Frequentie weekend]]&gt;0,VALUE(LEFT(Y493,1))*R493,0)</f>
        <v>0</v>
      </c>
      <c r="AA493" s="97">
        <f>IF($Z493&gt;0,VLOOKUP($J493,Ruimtegroepen[],3,FALSE)*VLOOKUP($L493,Vloersoorten[],3,FALSE)*VLOOKUP($Y493,Frequenties[],3,FALSE)*VLOOKUP(Ruimtestaat[[#This Row],[Code]],Locaties[],3,FALSE),0)</f>
        <v>0</v>
      </c>
      <c r="AB493" s="97">
        <f>Ruimtestaat[[#This Row],[Uitvoeringen weekend]]*Ruimtestaat[[#This Row],[Oppervlak (netto)]]</f>
        <v>0</v>
      </c>
      <c r="AC493" s="97">
        <f>IF(AA493&gt;0,Ruimtestaat[[#This Row],[Prest. (m2 /jaar) weekend]]/Ruimtestaat[[#This Row],[Norm (m2/uur) weekend]],0)</f>
        <v>0</v>
      </c>
      <c r="AD493" s="155">
        <f>Ruimtestaat[[#This Row],[uren / jaar weekend]]*Tariefsopbouw!$D$40</f>
        <v>0</v>
      </c>
      <c r="AE493" s="154">
        <f>Ruimtestaat[[#This Row],[Prest. (m2 /jaar) weekend]]+Ruimtestaat[[#This Row],[Prest. (m2 /jaar) werkdagen]]</f>
        <v>10800</v>
      </c>
      <c r="AF493" s="154">
        <f>Ruimtestaat[[#This Row],[uren / jaar weekend]]+Ruimtestaat[[#This Row],[uren / jaar werkdagen]]</f>
        <v>0</v>
      </c>
      <c r="AG493" s="69">
        <f>Ruimtestaat[[#This Row],[kosten / jaar weekend]]+Ruimtestaat[[#This Row],[kosten / jaar werkdagen]]</f>
        <v>0</v>
      </c>
      <c r="AH493" s="69"/>
      <c r="AI493" s="256" t="str">
        <f>IF(Ruimtestaat[[#This Row],[Frequentie werkdagen]]="","",_xlfn.CONCAT(Ruimtestaat[[#This Row],[Ruimte code]],"-",Ruimtestaat[[#This Row],[Frequentie werkdagen]]," ",Ruimtestaat[[#This Row],[Vloer code]]))</f>
        <v>16-5w P</v>
      </c>
      <c r="AJ493" s="300" t="str">
        <f>_xlfn.IFNA(VLOOKUP($AI493,Programma!$F$3:$G$1107,2,0),"")</f>
        <v>_</v>
      </c>
      <c r="AK493" s="300" t="str">
        <f>_xlfn.IFNA(VLOOKUP($AI493,Programma!$F$3:$H$1107,3,0),"")</f>
        <v>_</v>
      </c>
      <c r="AL493" s="300" t="str">
        <f>_xlfn.IFNA(VLOOKUP($AI493,Programma!$F$3:$I$1107,4,0),"")</f>
        <v>4w</v>
      </c>
      <c r="AM493" s="300" t="str">
        <f>_xlfn.IFNA(VLOOKUP($AI493,Programma!$F$3:$J$1107,5,0),"")</f>
        <v>1w</v>
      </c>
      <c r="AN493" s="300" t="str">
        <f>_xlfn.IFNA(VLOOKUP($AI493,Programma!$F$3:$K$1107,6,0),"")</f>
        <v>1m</v>
      </c>
      <c r="AO493" s="300" t="str">
        <f>_xlfn.IFNA(VLOOKUP($AI493,Programma!$F$3:$L$1107,7,0),"")</f>
        <v>_</v>
      </c>
      <c r="AP493" s="300" t="str">
        <f>_xlfn.IFNA(VLOOKUP($AI493,Programma!$F$3:$M$1107,8,0),"")</f>
        <v>_</v>
      </c>
      <c r="AQ493" s="300" t="str">
        <f>_xlfn.IFNA(VLOOKUP($AI493,Programma!$F$3:$N$1107,9,0),"")</f>
        <v>_</v>
      </c>
      <c r="AR493" s="300" t="str">
        <f>_xlfn.IFNA(VLOOKUP($AI493,Programma!$F$3:$O$1107,10,0),"")</f>
        <v>5w</v>
      </c>
      <c r="AS493" s="300" t="str">
        <f>_xlfn.IFNA(VLOOKUP($AI493,Programma!$F$3:$P$1107,11,0),"")</f>
        <v>5w</v>
      </c>
      <c r="AT493" s="300" t="str">
        <f>_xlfn.IFNA(VLOOKUP($AI493,Programma!$F$3:$Q$1107,12,0),"")</f>
        <v>1w</v>
      </c>
      <c r="AU493" s="300" t="str">
        <f>_xlfn.IFNA(VLOOKUP($AI493,Programma!$F$3:$R$1107,13,0),"")</f>
        <v>1w</v>
      </c>
      <c r="AV493" s="300" t="str">
        <f>_xlfn.IFNA(VLOOKUP($AI493,Programma!$F$3:$S$1107,14,0),"")</f>
        <v>1m</v>
      </c>
      <c r="AW493" s="300" t="str">
        <f>_xlfn.IFNA(VLOOKUP($AI493,Programma!$F$3:$T$1107,15,0),"")</f>
        <v>2j</v>
      </c>
      <c r="AX493" s="300" t="str">
        <f>_xlfn.IFNA(VLOOKUP($AI493,Programma!$F$3:$U$1107,16,0),"")</f>
        <v>1j</v>
      </c>
      <c r="AY493" s="300" t="str">
        <f>_xlfn.IFNA(VLOOKUP($AI493,Programma!$F$3:$V$1107,17,0),"")</f>
        <v>_</v>
      </c>
      <c r="AZ493" s="300" t="str">
        <f>_xlfn.IFNA(VLOOKUP($AI493,Programma!$F$3:$W$1107,18,0),"")</f>
        <v>_</v>
      </c>
      <c r="BA493" s="300" t="str">
        <f>_xlfn.IFNA(VLOOKUP($AI493,Programma!$F$3:$X$1107,19,0),"")</f>
        <v>_</v>
      </c>
      <c r="BB493" s="300" t="str">
        <f>_xlfn.IFNA(VLOOKUP($AI493,Programma!$F$3:$Y$1107,20,0),"")</f>
        <v>_</v>
      </c>
      <c r="BC493" s="257"/>
      <c r="BD493" s="256" t="str">
        <f>IF(Ruimtestaat[[#This Row],[Frequentie weekend]]="","",_xlfn.CONCAT(Ruimtestaat[[#This Row],[Ruimte code]],"-",Ruimtestaat[[#This Row],[Frequentie weekend]]," ",Ruimtestaat[[#This Row],[Vloer code]]))</f>
        <v/>
      </c>
      <c r="BE493" s="300" t="str">
        <f>_xlfn.IFNA(VLOOKUP($BD493,Programma!$F$3:$G$1107,2,0),"")</f>
        <v/>
      </c>
      <c r="BF493" s="300" t="str">
        <f>_xlfn.IFNA(VLOOKUP($BD493,Programma!$F$3:$H$1107,3,0),"")</f>
        <v/>
      </c>
      <c r="BG493" s="300" t="str">
        <f>_xlfn.IFNA(VLOOKUP($BD493,Programma!$F$3:$I$1107,4,0),"")</f>
        <v/>
      </c>
      <c r="BH493" s="300" t="str">
        <f>_xlfn.IFNA(VLOOKUP($BD493,Programma!$F$3:$J$1107,5,0),"")</f>
        <v/>
      </c>
      <c r="BI493" s="300" t="str">
        <f>_xlfn.IFNA(VLOOKUP($BD493,Programma!$F$3:$K$1107,6,0),"")</f>
        <v/>
      </c>
      <c r="BJ493" s="300" t="str">
        <f>_xlfn.IFNA(VLOOKUP($BD493,Programma!$F$3:$L$1107,7,0),"")</f>
        <v/>
      </c>
      <c r="BK493" s="300" t="str">
        <f>_xlfn.IFNA(VLOOKUP($BD493,Programma!$F$3:$M$1107,8,0),"")</f>
        <v/>
      </c>
      <c r="BL493" s="300" t="str">
        <f>_xlfn.IFNA(VLOOKUP($BD493,Programma!$F$3:$N$1107,9,0),"")</f>
        <v/>
      </c>
      <c r="BM493" s="300" t="str">
        <f>_xlfn.IFNA(VLOOKUP($BD493,Programma!$F$3:$O$1107,10,0),"")</f>
        <v/>
      </c>
      <c r="BN493" s="300" t="str">
        <f>_xlfn.IFNA(VLOOKUP($BD493,Programma!$F$3:$P$1107,11,0),"")</f>
        <v/>
      </c>
      <c r="BO493" s="300" t="str">
        <f>_xlfn.IFNA(VLOOKUP($BD493,Programma!$F$3:$Q$1107,12,0),"")</f>
        <v/>
      </c>
      <c r="BP493" s="300" t="str">
        <f>_xlfn.IFNA(VLOOKUP($BD493,Programma!$F$3:$R$1107,13,0),"")</f>
        <v/>
      </c>
      <c r="BQ493" s="300" t="str">
        <f>_xlfn.IFNA(VLOOKUP($BD493,Programma!$F$3:$S$1107,14,0),"")</f>
        <v/>
      </c>
      <c r="BR493" s="300" t="str">
        <f>_xlfn.IFNA(VLOOKUP($BD493,Programma!$F$3:$T$1107,15,0),"")</f>
        <v/>
      </c>
      <c r="BS493" s="300" t="str">
        <f>_xlfn.IFNA(VLOOKUP($BD493,Programma!$F$3:$U$1107,16,0),"")</f>
        <v/>
      </c>
      <c r="BT493" s="300" t="str">
        <f>_xlfn.IFNA(VLOOKUP($BD493,Programma!$F$3:$V$1107,17,0),"")</f>
        <v/>
      </c>
      <c r="BU493" s="300" t="str">
        <f>_xlfn.IFNA(VLOOKUP($BD493,Programma!$F$3:$W$1107,18,0),"")</f>
        <v/>
      </c>
      <c r="BV493" s="300" t="str">
        <f>_xlfn.IFNA(VLOOKUP($BD493,Programma!$F$3:$X$1107,19,0),"")</f>
        <v/>
      </c>
      <c r="BW493" s="300" t="str">
        <f>_xlfn.IFNA(VLOOKUP($BD493,Programma!$F$3:$Y$1107,20,0),"")</f>
        <v/>
      </c>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c r="GK493" s="4"/>
      <c r="GL493" s="4"/>
      <c r="GM493" s="4"/>
      <c r="GN493" s="4"/>
      <c r="GO493" s="4"/>
      <c r="GP493" s="4"/>
      <c r="GQ493" s="4"/>
      <c r="GR493" s="4"/>
      <c r="GS493" s="4"/>
      <c r="GT493" s="4"/>
      <c r="GU493" s="4"/>
      <c r="GV493" s="4"/>
      <c r="GW493" s="4"/>
      <c r="GX493" s="4"/>
      <c r="GY493" s="4"/>
      <c r="GZ493" s="4"/>
      <c r="HA493" s="4"/>
      <c r="HB493" s="4"/>
      <c r="HC493" s="4"/>
      <c r="HD493" s="4"/>
      <c r="HE493" s="4"/>
      <c r="HF493" s="4"/>
      <c r="HG493" s="4"/>
      <c r="HH493" s="4"/>
      <c r="HI493" s="4"/>
      <c r="HJ493" s="4"/>
      <c r="HK493" s="4"/>
      <c r="HL493" s="4"/>
    </row>
    <row r="494" spans="1:220" ht="15" customHeight="1">
      <c r="A494" s="21">
        <v>6</v>
      </c>
      <c r="B494" s="157" t="str">
        <f>VLOOKUP(Ruimtestaat[[#This Row],[Code]],Locaties[[Code]:[Locatie]],2,FALSE)</f>
        <v>Veurs Lyceum</v>
      </c>
      <c r="C494" s="157" t="str">
        <f>VLOOKUP(Ruimtestaat[[#This Row],[Code]],Locaties[[#All],[Code]:[Adres]],4,FALSE)</f>
        <v>Burg. Kolfschotenlaan 5</v>
      </c>
      <c r="D494" s="157" t="str">
        <f>VLOOKUP(Ruimtestaat[[#This Row],[Code]],Locaties[[#All],[Code]:[Postcode]],5,FALSE)</f>
        <v xml:space="preserve">2262 EZ </v>
      </c>
      <c r="E494" s="157" t="str">
        <f>VLOOKUP(Ruimtestaat[[#This Row],[Code]],Locaties[#All],6,FALSE)</f>
        <v>Leidschendam</v>
      </c>
      <c r="F494" s="62"/>
      <c r="G494" s="21" t="s">
        <v>1624</v>
      </c>
      <c r="H494" s="21" t="s">
        <v>1668</v>
      </c>
      <c r="I494" s="62" t="s">
        <v>1639</v>
      </c>
      <c r="J494" s="21">
        <v>5</v>
      </c>
      <c r="K494" s="62" t="str">
        <f>VLOOKUP(Ruimtestaat[[#This Row],[Ruimte code]],Ruimtegroepen[[#All],[Code]:[Ruimte omschrijving]],2,FALSE)</f>
        <v>Sanitair</v>
      </c>
      <c r="L494" s="33" t="s">
        <v>102</v>
      </c>
      <c r="M494" s="367" t="s">
        <v>2518</v>
      </c>
      <c r="N494" s="140">
        <v>10</v>
      </c>
      <c r="O494" s="140"/>
      <c r="P494" s="125" t="str">
        <f>VLOOKUP(Ruimtestaat[[#This Row],[Ruimte code]],Ruimtegroepen[],4,FALSE)</f>
        <v>Sa</v>
      </c>
      <c r="R494" s="33">
        <v>40</v>
      </c>
      <c r="S494" s="33" t="s">
        <v>2</v>
      </c>
      <c r="T494" s="33">
        <f>IF(R494&gt;0,IF(RIGHT(Ruimtestaat[[#This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4" s="33">
        <f>IF(T494&gt;0,VLOOKUP($J494,Ruimtegroepen[],3,FALSE)*VLOOKUP($L494,Vloersoorten[],3,FALSE)*VLOOKUP($S494,Frequenties[],3,FALSE)*VLOOKUP($A494,Locaties[],3,FALSE),0)</f>
        <v>0</v>
      </c>
      <c r="V494" s="33">
        <f>Ruimtestaat[[#This Row],[Uitvoeringen werkdagen]]*Ruimtestaat[[#This Row],[Oppervlak (netto)]]</f>
        <v>2000</v>
      </c>
      <c r="W494" s="154">
        <f>IF(U494&gt;0,Ruimtestaat[[#This Row],[Prest. (m2 /jaar) werkdagen]]/Ruimtestaat[[#This Row],[Norm (m2/uur) werkdagen]],0)</f>
        <v>0</v>
      </c>
      <c r="X494" s="155">
        <f>Ruimtestaat[[#This Row],[uren / jaar werkdagen]]*Tariefsopbouw!$E$35</f>
        <v>0</v>
      </c>
      <c r="Y494" s="33"/>
      <c r="Z494" s="33">
        <f>IF(Ruimtestaat[[#This Row],[Frequentie weekend]]&gt;0,VALUE(LEFT(Y494,1))*R494,0)</f>
        <v>0</v>
      </c>
      <c r="AA494" s="97">
        <f>IF($Z494&gt;0,VLOOKUP($J494,Ruimtegroepen[],3,FALSE)*VLOOKUP($L494,Vloersoorten[],3,FALSE)*VLOOKUP($Y494,Frequenties[],3,FALSE)*VLOOKUP(Ruimtestaat[[#This Row],[Code]],Locaties[],3,FALSE),0)</f>
        <v>0</v>
      </c>
      <c r="AB494" s="97">
        <f>Ruimtestaat[[#This Row],[Uitvoeringen weekend]]*Ruimtestaat[[#This Row],[Oppervlak (netto)]]</f>
        <v>0</v>
      </c>
      <c r="AC494" s="97">
        <f>IF(AA494&gt;0,Ruimtestaat[[#This Row],[Prest. (m2 /jaar) weekend]]/Ruimtestaat[[#This Row],[Norm (m2/uur) weekend]],0)</f>
        <v>0</v>
      </c>
      <c r="AD494" s="155">
        <f>Ruimtestaat[[#This Row],[uren / jaar weekend]]*Tariefsopbouw!$D$40</f>
        <v>0</v>
      </c>
      <c r="AE494" s="154">
        <f>Ruimtestaat[[#This Row],[Prest. (m2 /jaar) weekend]]+Ruimtestaat[[#This Row],[Prest. (m2 /jaar) werkdagen]]</f>
        <v>2000</v>
      </c>
      <c r="AF494" s="154">
        <f>Ruimtestaat[[#This Row],[uren / jaar weekend]]+Ruimtestaat[[#This Row],[uren / jaar werkdagen]]</f>
        <v>0</v>
      </c>
      <c r="AG494" s="69">
        <f>Ruimtestaat[[#This Row],[kosten / jaar weekend]]+Ruimtestaat[[#This Row],[kosten / jaar werkdagen]]</f>
        <v>0</v>
      </c>
      <c r="AH494" s="69"/>
      <c r="AI494" s="256" t="str">
        <f>IF(Ruimtestaat[[#This Row],[Frequentie werkdagen]]="","",_xlfn.CONCAT(Ruimtestaat[[#This Row],[Ruimte code]],"-",Ruimtestaat[[#This Row],[Frequentie werkdagen]]," ",Ruimtestaat[[#This Row],[Vloer code]]))</f>
        <v>5-5w S</v>
      </c>
      <c r="AJ494" s="300" t="str">
        <f>_xlfn.IFNA(VLOOKUP($AI494,Programma!$F$3:$G$1107,2,0),"")</f>
        <v>_</v>
      </c>
      <c r="AK494" s="300" t="str">
        <f>_xlfn.IFNA(VLOOKUP($AI494,Programma!$F$3:$H$1107,3,0),"")</f>
        <v>_</v>
      </c>
      <c r="AL494" s="300" t="str">
        <f>_xlfn.IFNA(VLOOKUP($AI494,Programma!$F$3:$I$1107,4,0),"")</f>
        <v>_</v>
      </c>
      <c r="AM494" s="300" t="str">
        <f>_xlfn.IFNA(VLOOKUP($AI494,Programma!$F$3:$J$1107,5,0),"")</f>
        <v>4w</v>
      </c>
      <c r="AN494" s="300" t="str">
        <f>_xlfn.IFNA(VLOOKUP($AI494,Programma!$F$3:$K$1107,6,0),"")</f>
        <v>1w</v>
      </c>
      <c r="AO494" s="300" t="str">
        <f>_xlfn.IFNA(VLOOKUP($AI494,Programma!$F$3:$L$1107,7,0),"")</f>
        <v>_</v>
      </c>
      <c r="AP494" s="300" t="str">
        <f>_xlfn.IFNA(VLOOKUP($AI494,Programma!$F$3:$M$1107,8,0),"")</f>
        <v>_</v>
      </c>
      <c r="AQ494" s="300" t="str">
        <f>_xlfn.IFNA(VLOOKUP($AI494,Programma!$F$3:$N$1107,9,0),"")</f>
        <v>_</v>
      </c>
      <c r="AR494" s="300" t="str">
        <f>_xlfn.IFNA(VLOOKUP($AI494,Programma!$F$3:$O$1107,10,0),"")</f>
        <v>_</v>
      </c>
      <c r="AS494" s="300" t="str">
        <f>_xlfn.IFNA(VLOOKUP($AI494,Programma!$F$3:$P$1107,11,0),"")</f>
        <v>_</v>
      </c>
      <c r="AT494" s="300" t="str">
        <f>_xlfn.IFNA(VLOOKUP($AI494,Programma!$F$3:$Q$1107,12,0),"")</f>
        <v>_</v>
      </c>
      <c r="AU494" s="300" t="str">
        <f>_xlfn.IFNA(VLOOKUP($AI494,Programma!$F$3:$R$1107,13,0),"")</f>
        <v>_</v>
      </c>
      <c r="AV494" s="300" t="str">
        <f>_xlfn.IFNA(VLOOKUP($AI494,Programma!$F$3:$S$1107,14,0),"")</f>
        <v>_</v>
      </c>
      <c r="AW494" s="300" t="str">
        <f>_xlfn.IFNA(VLOOKUP($AI494,Programma!$F$3:$T$1107,15,0),"")</f>
        <v>_</v>
      </c>
      <c r="AX494" s="300" t="str">
        <f>_xlfn.IFNA(VLOOKUP($AI494,Programma!$F$3:$U$1107,16,0),"")</f>
        <v>_</v>
      </c>
      <c r="AY494" s="300" t="str">
        <f>_xlfn.IFNA(VLOOKUP($AI494,Programma!$F$3:$V$1107,17,0),"")</f>
        <v>_</v>
      </c>
      <c r="AZ494" s="300" t="str">
        <f>_xlfn.IFNA(VLOOKUP($AI494,Programma!$F$3:$W$1107,18,0),"")</f>
        <v>4w</v>
      </c>
      <c r="BA494" s="300" t="str">
        <f>_xlfn.IFNA(VLOOKUP($AI494,Programma!$F$3:$X$1107,19,0),"")</f>
        <v>1w</v>
      </c>
      <c r="BB494" s="300" t="str">
        <f>_xlfn.IFNA(VLOOKUP($AI494,Programma!$F$3:$Y$1107,20,0),"")</f>
        <v>_</v>
      </c>
      <c r="BC494" s="257"/>
      <c r="BD494" s="256" t="str">
        <f>IF(Ruimtestaat[[#This Row],[Frequentie weekend]]="","",_xlfn.CONCAT(Ruimtestaat[[#This Row],[Ruimte code]],"-",Ruimtestaat[[#This Row],[Frequentie weekend]]," ",Ruimtestaat[[#This Row],[Vloer code]]))</f>
        <v/>
      </c>
      <c r="BE494" s="300" t="str">
        <f>_xlfn.IFNA(VLOOKUP($BD494,Programma!$F$3:$G$1107,2,0),"")</f>
        <v/>
      </c>
      <c r="BF494" s="300" t="str">
        <f>_xlfn.IFNA(VLOOKUP($BD494,Programma!$F$3:$H$1107,3,0),"")</f>
        <v/>
      </c>
      <c r="BG494" s="300" t="str">
        <f>_xlfn.IFNA(VLOOKUP($BD494,Programma!$F$3:$I$1107,4,0),"")</f>
        <v/>
      </c>
      <c r="BH494" s="300" t="str">
        <f>_xlfn.IFNA(VLOOKUP($BD494,Programma!$F$3:$J$1107,5,0),"")</f>
        <v/>
      </c>
      <c r="BI494" s="300" t="str">
        <f>_xlfn.IFNA(VLOOKUP($BD494,Programma!$F$3:$K$1107,6,0),"")</f>
        <v/>
      </c>
      <c r="BJ494" s="300" t="str">
        <f>_xlfn.IFNA(VLOOKUP($BD494,Programma!$F$3:$L$1107,7,0),"")</f>
        <v/>
      </c>
      <c r="BK494" s="300" t="str">
        <f>_xlfn.IFNA(VLOOKUP($BD494,Programma!$F$3:$M$1107,8,0),"")</f>
        <v/>
      </c>
      <c r="BL494" s="300" t="str">
        <f>_xlfn.IFNA(VLOOKUP($BD494,Programma!$F$3:$N$1107,9,0),"")</f>
        <v/>
      </c>
      <c r="BM494" s="300" t="str">
        <f>_xlfn.IFNA(VLOOKUP($BD494,Programma!$F$3:$O$1107,10,0),"")</f>
        <v/>
      </c>
      <c r="BN494" s="300" t="str">
        <f>_xlfn.IFNA(VLOOKUP($BD494,Programma!$F$3:$P$1107,11,0),"")</f>
        <v/>
      </c>
      <c r="BO494" s="300" t="str">
        <f>_xlfn.IFNA(VLOOKUP($BD494,Programma!$F$3:$Q$1107,12,0),"")</f>
        <v/>
      </c>
      <c r="BP494" s="300" t="str">
        <f>_xlfn.IFNA(VLOOKUP($BD494,Programma!$F$3:$R$1107,13,0),"")</f>
        <v/>
      </c>
      <c r="BQ494" s="300" t="str">
        <f>_xlfn.IFNA(VLOOKUP($BD494,Programma!$F$3:$S$1107,14,0),"")</f>
        <v/>
      </c>
      <c r="BR494" s="300" t="str">
        <f>_xlfn.IFNA(VLOOKUP($BD494,Programma!$F$3:$T$1107,15,0),"")</f>
        <v/>
      </c>
      <c r="BS494" s="300" t="str">
        <f>_xlfn.IFNA(VLOOKUP($BD494,Programma!$F$3:$U$1107,16,0),"")</f>
        <v/>
      </c>
      <c r="BT494" s="300" t="str">
        <f>_xlfn.IFNA(VLOOKUP($BD494,Programma!$F$3:$V$1107,17,0),"")</f>
        <v/>
      </c>
      <c r="BU494" s="300" t="str">
        <f>_xlfn.IFNA(VLOOKUP($BD494,Programma!$F$3:$W$1107,18,0),"")</f>
        <v/>
      </c>
      <c r="BV494" s="300" t="str">
        <f>_xlfn.IFNA(VLOOKUP($BD494,Programma!$F$3:$X$1107,19,0),"")</f>
        <v/>
      </c>
      <c r="BW494" s="300" t="str">
        <f>_xlfn.IFNA(VLOOKUP($BD494,Programma!$F$3:$Y$1107,20,0),"")</f>
        <v/>
      </c>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c r="GK494" s="4"/>
      <c r="GL494" s="4"/>
      <c r="GM494" s="4"/>
      <c r="GN494" s="4"/>
      <c r="GO494" s="4"/>
      <c r="GP494" s="4"/>
      <c r="GQ494" s="4"/>
      <c r="GR494" s="4"/>
      <c r="GS494" s="4"/>
      <c r="GT494" s="4"/>
      <c r="GU494" s="4"/>
      <c r="GV494" s="4"/>
      <c r="GW494" s="4"/>
      <c r="GX494" s="4"/>
      <c r="GY494" s="4"/>
      <c r="GZ494" s="4"/>
      <c r="HA494" s="4"/>
      <c r="HB494" s="4"/>
      <c r="HC494" s="4"/>
      <c r="HD494" s="4"/>
      <c r="HE494" s="4"/>
      <c r="HF494" s="4"/>
      <c r="HG494" s="4"/>
      <c r="HH494" s="4"/>
      <c r="HI494" s="4"/>
      <c r="HJ494" s="4"/>
      <c r="HK494" s="4"/>
      <c r="HL494" s="4"/>
    </row>
    <row r="495" spans="1:220" ht="15" customHeight="1">
      <c r="A495" s="21">
        <v>6</v>
      </c>
      <c r="B495" s="157" t="str">
        <f>VLOOKUP(Ruimtestaat[[#This Row],[Code]],Locaties[[Code]:[Locatie]],2,FALSE)</f>
        <v>Veurs Lyceum</v>
      </c>
      <c r="C495" s="157" t="str">
        <f>VLOOKUP(Ruimtestaat[[#This Row],[Code]],Locaties[[#All],[Code]:[Adres]],4,FALSE)</f>
        <v>Burg. Kolfschotenlaan 5</v>
      </c>
      <c r="D495" s="157" t="str">
        <f>VLOOKUP(Ruimtestaat[[#This Row],[Code]],Locaties[[#All],[Code]:[Postcode]],5,FALSE)</f>
        <v xml:space="preserve">2262 EZ </v>
      </c>
      <c r="E495" s="157" t="str">
        <f>VLOOKUP(Ruimtestaat[[#This Row],[Code]],Locaties[#All],6,FALSE)</f>
        <v>Leidschendam</v>
      </c>
      <c r="F495" s="62"/>
      <c r="G495" s="21" t="s">
        <v>1624</v>
      </c>
      <c r="H495" s="21" t="s">
        <v>1670</v>
      </c>
      <c r="I495" s="62" t="s">
        <v>1640</v>
      </c>
      <c r="J495" s="21">
        <v>5</v>
      </c>
      <c r="K495" s="62" t="str">
        <f>VLOOKUP(Ruimtestaat[[#This Row],[Ruimte code]],Ruimtegroepen[[#All],[Code]:[Ruimte omschrijving]],2,FALSE)</f>
        <v>Sanitair</v>
      </c>
      <c r="L495" s="33" t="s">
        <v>102</v>
      </c>
      <c r="M495" s="367" t="s">
        <v>2518</v>
      </c>
      <c r="N495" s="140">
        <v>10</v>
      </c>
      <c r="O495" s="140"/>
      <c r="P495" s="125" t="str">
        <f>VLOOKUP(Ruimtestaat[[#This Row],[Ruimte code]],Ruimtegroepen[],4,FALSE)</f>
        <v>Sa</v>
      </c>
      <c r="R495" s="33">
        <v>40</v>
      </c>
      <c r="S495" s="33" t="s">
        <v>2</v>
      </c>
      <c r="T495" s="33">
        <f>IF(R495&gt;0,IF(RIGHT(Ruimtestaat[[#This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5" s="33">
        <f>IF(T495&gt;0,VLOOKUP($J495,Ruimtegroepen[],3,FALSE)*VLOOKUP($L495,Vloersoorten[],3,FALSE)*VLOOKUP($S495,Frequenties[],3,FALSE)*VLOOKUP($A495,Locaties[],3,FALSE),0)</f>
        <v>0</v>
      </c>
      <c r="V495" s="33">
        <f>Ruimtestaat[[#This Row],[Uitvoeringen werkdagen]]*Ruimtestaat[[#This Row],[Oppervlak (netto)]]</f>
        <v>2000</v>
      </c>
      <c r="W495" s="154">
        <f>IF(U495&gt;0,Ruimtestaat[[#This Row],[Prest. (m2 /jaar) werkdagen]]/Ruimtestaat[[#This Row],[Norm (m2/uur) werkdagen]],0)</f>
        <v>0</v>
      </c>
      <c r="X495" s="155">
        <f>Ruimtestaat[[#This Row],[uren / jaar werkdagen]]*Tariefsopbouw!$E$35</f>
        <v>0</v>
      </c>
      <c r="Y495" s="33"/>
      <c r="Z495" s="33">
        <f>IF(Ruimtestaat[[#This Row],[Frequentie weekend]]&gt;0,VALUE(LEFT(Y495,1))*R495,0)</f>
        <v>0</v>
      </c>
      <c r="AA495" s="97">
        <f>IF($Z495&gt;0,VLOOKUP($J495,Ruimtegroepen[],3,FALSE)*VLOOKUP($L495,Vloersoorten[],3,FALSE)*VLOOKUP($Y495,Frequenties[],3,FALSE)*VLOOKUP(Ruimtestaat[[#This Row],[Code]],Locaties[],3,FALSE),0)</f>
        <v>0</v>
      </c>
      <c r="AB495" s="97">
        <f>Ruimtestaat[[#This Row],[Uitvoeringen weekend]]*Ruimtestaat[[#This Row],[Oppervlak (netto)]]</f>
        <v>0</v>
      </c>
      <c r="AC495" s="97">
        <f>IF(AA495&gt;0,Ruimtestaat[[#This Row],[Prest. (m2 /jaar) weekend]]/Ruimtestaat[[#This Row],[Norm (m2/uur) weekend]],0)</f>
        <v>0</v>
      </c>
      <c r="AD495" s="155">
        <f>Ruimtestaat[[#This Row],[uren / jaar weekend]]*Tariefsopbouw!$D$40</f>
        <v>0</v>
      </c>
      <c r="AE495" s="154">
        <f>Ruimtestaat[[#This Row],[Prest. (m2 /jaar) weekend]]+Ruimtestaat[[#This Row],[Prest. (m2 /jaar) werkdagen]]</f>
        <v>2000</v>
      </c>
      <c r="AF495" s="154">
        <f>Ruimtestaat[[#This Row],[uren / jaar weekend]]+Ruimtestaat[[#This Row],[uren / jaar werkdagen]]</f>
        <v>0</v>
      </c>
      <c r="AG495" s="69">
        <f>Ruimtestaat[[#This Row],[kosten / jaar weekend]]+Ruimtestaat[[#This Row],[kosten / jaar werkdagen]]</f>
        <v>0</v>
      </c>
      <c r="AH495" s="69"/>
      <c r="AI495" s="256" t="str">
        <f>IF(Ruimtestaat[[#This Row],[Frequentie werkdagen]]="","",_xlfn.CONCAT(Ruimtestaat[[#This Row],[Ruimte code]],"-",Ruimtestaat[[#This Row],[Frequentie werkdagen]]," ",Ruimtestaat[[#This Row],[Vloer code]]))</f>
        <v>5-5w S</v>
      </c>
      <c r="AJ495" s="300" t="str">
        <f>_xlfn.IFNA(VLOOKUP($AI495,Programma!$F$3:$G$1107,2,0),"")</f>
        <v>_</v>
      </c>
      <c r="AK495" s="300" t="str">
        <f>_xlfn.IFNA(VLOOKUP($AI495,Programma!$F$3:$H$1107,3,0),"")</f>
        <v>_</v>
      </c>
      <c r="AL495" s="300" t="str">
        <f>_xlfn.IFNA(VLOOKUP($AI495,Programma!$F$3:$I$1107,4,0),"")</f>
        <v>_</v>
      </c>
      <c r="AM495" s="300" t="str">
        <f>_xlfn.IFNA(VLOOKUP($AI495,Programma!$F$3:$J$1107,5,0),"")</f>
        <v>4w</v>
      </c>
      <c r="AN495" s="300" t="str">
        <f>_xlfn.IFNA(VLOOKUP($AI495,Programma!$F$3:$K$1107,6,0),"")</f>
        <v>1w</v>
      </c>
      <c r="AO495" s="300" t="str">
        <f>_xlfn.IFNA(VLOOKUP($AI495,Programma!$F$3:$L$1107,7,0),"")</f>
        <v>_</v>
      </c>
      <c r="AP495" s="300" t="str">
        <f>_xlfn.IFNA(VLOOKUP($AI495,Programma!$F$3:$M$1107,8,0),"")</f>
        <v>_</v>
      </c>
      <c r="AQ495" s="300" t="str">
        <f>_xlfn.IFNA(VLOOKUP($AI495,Programma!$F$3:$N$1107,9,0),"")</f>
        <v>_</v>
      </c>
      <c r="AR495" s="300" t="str">
        <f>_xlfn.IFNA(VLOOKUP($AI495,Programma!$F$3:$O$1107,10,0),"")</f>
        <v>_</v>
      </c>
      <c r="AS495" s="300" t="str">
        <f>_xlfn.IFNA(VLOOKUP($AI495,Programma!$F$3:$P$1107,11,0),"")</f>
        <v>_</v>
      </c>
      <c r="AT495" s="300" t="str">
        <f>_xlfn.IFNA(VLOOKUP($AI495,Programma!$F$3:$Q$1107,12,0),"")</f>
        <v>_</v>
      </c>
      <c r="AU495" s="300" t="str">
        <f>_xlfn.IFNA(VLOOKUP($AI495,Programma!$F$3:$R$1107,13,0),"")</f>
        <v>_</v>
      </c>
      <c r="AV495" s="300" t="str">
        <f>_xlfn.IFNA(VLOOKUP($AI495,Programma!$F$3:$S$1107,14,0),"")</f>
        <v>_</v>
      </c>
      <c r="AW495" s="300" t="str">
        <f>_xlfn.IFNA(VLOOKUP($AI495,Programma!$F$3:$T$1107,15,0),"")</f>
        <v>_</v>
      </c>
      <c r="AX495" s="300" t="str">
        <f>_xlfn.IFNA(VLOOKUP($AI495,Programma!$F$3:$U$1107,16,0),"")</f>
        <v>_</v>
      </c>
      <c r="AY495" s="300" t="str">
        <f>_xlfn.IFNA(VLOOKUP($AI495,Programma!$F$3:$V$1107,17,0),"")</f>
        <v>_</v>
      </c>
      <c r="AZ495" s="300" t="str">
        <f>_xlfn.IFNA(VLOOKUP($AI495,Programma!$F$3:$W$1107,18,0),"")</f>
        <v>4w</v>
      </c>
      <c r="BA495" s="300" t="str">
        <f>_xlfn.IFNA(VLOOKUP($AI495,Programma!$F$3:$X$1107,19,0),"")</f>
        <v>1w</v>
      </c>
      <c r="BB495" s="300" t="str">
        <f>_xlfn.IFNA(VLOOKUP($AI495,Programma!$F$3:$Y$1107,20,0),"")</f>
        <v>_</v>
      </c>
      <c r="BC495" s="257"/>
      <c r="BD495" s="256" t="str">
        <f>IF(Ruimtestaat[[#This Row],[Frequentie weekend]]="","",_xlfn.CONCAT(Ruimtestaat[[#This Row],[Ruimte code]],"-",Ruimtestaat[[#This Row],[Frequentie weekend]]," ",Ruimtestaat[[#This Row],[Vloer code]]))</f>
        <v/>
      </c>
      <c r="BE495" s="300" t="str">
        <f>_xlfn.IFNA(VLOOKUP($BD495,Programma!$F$3:$G$1107,2,0),"")</f>
        <v/>
      </c>
      <c r="BF495" s="300" t="str">
        <f>_xlfn.IFNA(VLOOKUP($BD495,Programma!$F$3:$H$1107,3,0),"")</f>
        <v/>
      </c>
      <c r="BG495" s="300" t="str">
        <f>_xlfn.IFNA(VLOOKUP($BD495,Programma!$F$3:$I$1107,4,0),"")</f>
        <v/>
      </c>
      <c r="BH495" s="300" t="str">
        <f>_xlfn.IFNA(VLOOKUP($BD495,Programma!$F$3:$J$1107,5,0),"")</f>
        <v/>
      </c>
      <c r="BI495" s="300" t="str">
        <f>_xlfn.IFNA(VLOOKUP($BD495,Programma!$F$3:$K$1107,6,0),"")</f>
        <v/>
      </c>
      <c r="BJ495" s="300" t="str">
        <f>_xlfn.IFNA(VLOOKUP($BD495,Programma!$F$3:$L$1107,7,0),"")</f>
        <v/>
      </c>
      <c r="BK495" s="300" t="str">
        <f>_xlfn.IFNA(VLOOKUP($BD495,Programma!$F$3:$M$1107,8,0),"")</f>
        <v/>
      </c>
      <c r="BL495" s="300" t="str">
        <f>_xlfn.IFNA(VLOOKUP($BD495,Programma!$F$3:$N$1107,9,0),"")</f>
        <v/>
      </c>
      <c r="BM495" s="300" t="str">
        <f>_xlfn.IFNA(VLOOKUP($BD495,Programma!$F$3:$O$1107,10,0),"")</f>
        <v/>
      </c>
      <c r="BN495" s="300" t="str">
        <f>_xlfn.IFNA(VLOOKUP($BD495,Programma!$F$3:$P$1107,11,0),"")</f>
        <v/>
      </c>
      <c r="BO495" s="300" t="str">
        <f>_xlfn.IFNA(VLOOKUP($BD495,Programma!$F$3:$Q$1107,12,0),"")</f>
        <v/>
      </c>
      <c r="BP495" s="300" t="str">
        <f>_xlfn.IFNA(VLOOKUP($BD495,Programma!$F$3:$R$1107,13,0),"")</f>
        <v/>
      </c>
      <c r="BQ495" s="300" t="str">
        <f>_xlfn.IFNA(VLOOKUP($BD495,Programma!$F$3:$S$1107,14,0),"")</f>
        <v/>
      </c>
      <c r="BR495" s="300" t="str">
        <f>_xlfn.IFNA(VLOOKUP($BD495,Programma!$F$3:$T$1107,15,0),"")</f>
        <v/>
      </c>
      <c r="BS495" s="300" t="str">
        <f>_xlfn.IFNA(VLOOKUP($BD495,Programma!$F$3:$U$1107,16,0),"")</f>
        <v/>
      </c>
      <c r="BT495" s="300" t="str">
        <f>_xlfn.IFNA(VLOOKUP($BD495,Programma!$F$3:$V$1107,17,0),"")</f>
        <v/>
      </c>
      <c r="BU495" s="300" t="str">
        <f>_xlfn.IFNA(VLOOKUP($BD495,Programma!$F$3:$W$1107,18,0),"")</f>
        <v/>
      </c>
      <c r="BV495" s="300" t="str">
        <f>_xlfn.IFNA(VLOOKUP($BD495,Programma!$F$3:$X$1107,19,0),"")</f>
        <v/>
      </c>
      <c r="BW495" s="300" t="str">
        <f>_xlfn.IFNA(VLOOKUP($BD495,Programma!$F$3:$Y$1107,20,0),"")</f>
        <v/>
      </c>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c r="GK495" s="4"/>
      <c r="GL495" s="4"/>
      <c r="GM495" s="4"/>
      <c r="GN495" s="4"/>
      <c r="GO495" s="4"/>
      <c r="GP495" s="4"/>
      <c r="GQ495" s="4"/>
      <c r="GR495" s="4"/>
      <c r="GS495" s="4"/>
      <c r="GT495" s="4"/>
      <c r="GU495" s="4"/>
      <c r="GV495" s="4"/>
      <c r="GW495" s="4"/>
      <c r="GX495" s="4"/>
      <c r="GY495" s="4"/>
      <c r="GZ495" s="4"/>
      <c r="HA495" s="4"/>
      <c r="HB495" s="4"/>
      <c r="HC495" s="4"/>
      <c r="HD495" s="4"/>
      <c r="HE495" s="4"/>
      <c r="HF495" s="4"/>
      <c r="HG495" s="4"/>
      <c r="HH495" s="4"/>
      <c r="HI495" s="4"/>
      <c r="HJ495" s="4"/>
      <c r="HK495" s="4"/>
      <c r="HL495" s="4"/>
    </row>
    <row r="496" spans="1:220" ht="15" customHeight="1">
      <c r="A496" s="21">
        <v>6</v>
      </c>
      <c r="B496" s="157" t="str">
        <f>VLOOKUP(Ruimtestaat[[#This Row],[Code]],Locaties[[Code]:[Locatie]],2,FALSE)</f>
        <v>Veurs Lyceum</v>
      </c>
      <c r="C496" s="157" t="str">
        <f>VLOOKUP(Ruimtestaat[[#This Row],[Code]],Locaties[[#All],[Code]:[Adres]],4,FALSE)</f>
        <v>Burg. Kolfschotenlaan 5</v>
      </c>
      <c r="D496" s="157" t="str">
        <f>VLOOKUP(Ruimtestaat[[#This Row],[Code]],Locaties[[#All],[Code]:[Postcode]],5,FALSE)</f>
        <v xml:space="preserve">2262 EZ </v>
      </c>
      <c r="E496" s="157" t="str">
        <f>VLOOKUP(Ruimtestaat[[#This Row],[Code]],Locaties[#All],6,FALSE)</f>
        <v>Leidschendam</v>
      </c>
      <c r="F496" s="62"/>
      <c r="G496" s="21" t="s">
        <v>1624</v>
      </c>
      <c r="H496" s="21" t="s">
        <v>1672</v>
      </c>
      <c r="I496" s="62" t="s">
        <v>1831</v>
      </c>
      <c r="J496" s="21">
        <v>1</v>
      </c>
      <c r="K496" s="62" t="str">
        <f>VLOOKUP(Ruimtestaat[[#This Row],[Ruimte code]],Ruimtegroepen[[#All],[Code]:[Ruimte omschrijving]],2,FALSE)</f>
        <v>Magazijnen/bergingen</v>
      </c>
      <c r="L496" s="33" t="s">
        <v>101</v>
      </c>
      <c r="M496" s="367" t="s">
        <v>2495</v>
      </c>
      <c r="N496" s="140"/>
      <c r="O496" s="140">
        <v>2</v>
      </c>
      <c r="P496" s="125" t="str">
        <f>VLOOKUP(Ruimtestaat[[#This Row],[Ruimte code]],Ruimtegroepen[],4,FALSE)</f>
        <v>Ve</v>
      </c>
      <c r="Q496" s="125" t="s">
        <v>2532</v>
      </c>
      <c r="R496" s="33">
        <v>40</v>
      </c>
      <c r="S496" s="33" t="s">
        <v>16</v>
      </c>
      <c r="T496" s="33">
        <f>IF(R496&gt;0,IF(RIGHT(Ruimtestaat[[#This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96" s="33">
        <f>IF(T496&gt;0,VLOOKUP($J496,Ruimtegroepen[],3,FALSE)*VLOOKUP($L496,Vloersoorten[],3,FALSE)*VLOOKUP($S496,Frequenties[],3,FALSE)*VLOOKUP($A496,Locaties[],3,FALSE),0)</f>
        <v>0</v>
      </c>
      <c r="V496" s="33">
        <f>Ruimtestaat[[#This Row],[Uitvoeringen werkdagen]]*Ruimtestaat[[#This Row],[Oppervlak (netto)]]</f>
        <v>0</v>
      </c>
      <c r="W496" s="154">
        <f>IF(U496&gt;0,Ruimtestaat[[#This Row],[Prest. (m2 /jaar) werkdagen]]/Ruimtestaat[[#This Row],[Norm (m2/uur) werkdagen]],0)</f>
        <v>0</v>
      </c>
      <c r="X496" s="155">
        <f>Ruimtestaat[[#This Row],[uren / jaar werkdagen]]*Tariefsopbouw!$E$35</f>
        <v>0</v>
      </c>
      <c r="Y496" s="33"/>
      <c r="Z496" s="33">
        <f>IF(Ruimtestaat[[#This Row],[Frequentie weekend]]&gt;0,VALUE(LEFT(Y496,1))*R496,0)</f>
        <v>0</v>
      </c>
      <c r="AA496" s="97">
        <f>IF($Z496&gt;0,VLOOKUP($J496,Ruimtegroepen[],3,FALSE)*VLOOKUP($L496,Vloersoorten[],3,FALSE)*VLOOKUP($Y496,Frequenties[],3,FALSE)*VLOOKUP(Ruimtestaat[[#This Row],[Code]],Locaties[],3,FALSE),0)</f>
        <v>0</v>
      </c>
      <c r="AB496" s="97">
        <f>Ruimtestaat[[#This Row],[Uitvoeringen weekend]]*Ruimtestaat[[#This Row],[Oppervlak (netto)]]</f>
        <v>0</v>
      </c>
      <c r="AC496" s="97">
        <f>IF(AA496&gt;0,Ruimtestaat[[#This Row],[Prest. (m2 /jaar) weekend]]/Ruimtestaat[[#This Row],[Norm (m2/uur) weekend]],0)</f>
        <v>0</v>
      </c>
      <c r="AD496" s="155">
        <f>Ruimtestaat[[#This Row],[uren / jaar weekend]]*Tariefsopbouw!$D$40</f>
        <v>0</v>
      </c>
      <c r="AE496" s="154">
        <f>Ruimtestaat[[#This Row],[Prest. (m2 /jaar) weekend]]+Ruimtestaat[[#This Row],[Prest. (m2 /jaar) werkdagen]]</f>
        <v>0</v>
      </c>
      <c r="AF496" s="154">
        <f>Ruimtestaat[[#This Row],[uren / jaar weekend]]+Ruimtestaat[[#This Row],[uren / jaar werkdagen]]</f>
        <v>0</v>
      </c>
      <c r="AG496" s="69">
        <f>Ruimtestaat[[#This Row],[kosten / jaar weekend]]+Ruimtestaat[[#This Row],[kosten / jaar werkdagen]]</f>
        <v>0</v>
      </c>
      <c r="AH496" s="69"/>
      <c r="AI496" s="256" t="str">
        <f>IF(Ruimtestaat[[#This Row],[Frequentie werkdagen]]="","",_xlfn.CONCAT(Ruimtestaat[[#This Row],[Ruimte code]],"-",Ruimtestaat[[#This Row],[Frequentie werkdagen]]," ",Ruimtestaat[[#This Row],[Vloer code]]))</f>
        <v>1-1m L</v>
      </c>
      <c r="AJ496" s="300" t="str">
        <f>_xlfn.IFNA(VLOOKUP($AI496,Programma!$F$3:$G$1107,2,0),"")</f>
        <v>_</v>
      </c>
      <c r="AK496" s="300" t="str">
        <f>_xlfn.IFNA(VLOOKUP($AI496,Programma!$F$3:$H$1107,3,0),"")</f>
        <v>_</v>
      </c>
      <c r="AL496" s="300" t="str">
        <f>_xlfn.IFNA(VLOOKUP($AI496,Programma!$F$3:$I$1107,4,0),"")</f>
        <v>1m</v>
      </c>
      <c r="AM496" s="300" t="str">
        <f>_xlfn.IFNA(VLOOKUP($AI496,Programma!$F$3:$J$1107,5,0),"")</f>
        <v>1m</v>
      </c>
      <c r="AN496" s="300" t="str">
        <f>_xlfn.IFNA(VLOOKUP($AI496,Programma!$F$3:$K$1107,6,0),"")</f>
        <v>_</v>
      </c>
      <c r="AO496" s="300" t="str">
        <f>_xlfn.IFNA(VLOOKUP($AI496,Programma!$F$3:$L$1107,7,0),"")</f>
        <v>_</v>
      </c>
      <c r="AP496" s="300" t="str">
        <f>_xlfn.IFNA(VLOOKUP($AI496,Programma!$F$3:$M$1107,8,0),"")</f>
        <v>_</v>
      </c>
      <c r="AQ496" s="300" t="str">
        <f>_xlfn.IFNA(VLOOKUP($AI496,Programma!$F$3:$N$1107,9,0),"")</f>
        <v>_</v>
      </c>
      <c r="AR496" s="300" t="str">
        <f>_xlfn.IFNA(VLOOKUP($AI496,Programma!$F$3:$O$1107,10,0),"")</f>
        <v>_</v>
      </c>
      <c r="AS496" s="300" t="str">
        <f>_xlfn.IFNA(VLOOKUP($AI496,Programma!$F$3:$P$1107,11,0),"")</f>
        <v>_</v>
      </c>
      <c r="AT496" s="300" t="str">
        <f>_xlfn.IFNA(VLOOKUP($AI496,Programma!$F$3:$Q$1107,12,0),"")</f>
        <v>_</v>
      </c>
      <c r="AU496" s="300" t="str">
        <f>_xlfn.IFNA(VLOOKUP($AI496,Programma!$F$3:$R$1107,13,0),"")</f>
        <v>_</v>
      </c>
      <c r="AV496" s="300" t="str">
        <f>_xlfn.IFNA(VLOOKUP($AI496,Programma!$F$3:$S$1107,14,0),"")</f>
        <v>1m</v>
      </c>
      <c r="AW496" s="300" t="str">
        <f>_xlfn.IFNA(VLOOKUP($AI496,Programma!$F$3:$T$1107,15,0),"")</f>
        <v>4j</v>
      </c>
      <c r="AX496" s="300" t="str">
        <f>_xlfn.IFNA(VLOOKUP($AI496,Programma!$F$3:$U$1107,16,0),"")</f>
        <v>4j</v>
      </c>
      <c r="AY496" s="300" t="str">
        <f>_xlfn.IFNA(VLOOKUP($AI496,Programma!$F$3:$V$1107,17,0),"")</f>
        <v>_</v>
      </c>
      <c r="AZ496" s="300" t="str">
        <f>_xlfn.IFNA(VLOOKUP($AI496,Programma!$F$3:$W$1107,18,0),"")</f>
        <v>_</v>
      </c>
      <c r="BA496" s="300" t="str">
        <f>_xlfn.IFNA(VLOOKUP($AI496,Programma!$F$3:$X$1107,19,0),"")</f>
        <v>_</v>
      </c>
      <c r="BB496" s="300" t="str">
        <f>_xlfn.IFNA(VLOOKUP($AI496,Programma!$F$3:$Y$1107,20,0),"")</f>
        <v>_</v>
      </c>
      <c r="BC496" s="257"/>
      <c r="BD496" s="256" t="str">
        <f>IF(Ruimtestaat[[#This Row],[Frequentie weekend]]="","",_xlfn.CONCAT(Ruimtestaat[[#This Row],[Ruimte code]],"-",Ruimtestaat[[#This Row],[Frequentie weekend]]," ",Ruimtestaat[[#This Row],[Vloer code]]))</f>
        <v/>
      </c>
      <c r="BE496" s="300" t="str">
        <f>_xlfn.IFNA(VLOOKUP($BD496,Programma!$F$3:$G$1107,2,0),"")</f>
        <v/>
      </c>
      <c r="BF496" s="300" t="str">
        <f>_xlfn.IFNA(VLOOKUP($BD496,Programma!$F$3:$H$1107,3,0),"")</f>
        <v/>
      </c>
      <c r="BG496" s="300" t="str">
        <f>_xlfn.IFNA(VLOOKUP($BD496,Programma!$F$3:$I$1107,4,0),"")</f>
        <v/>
      </c>
      <c r="BH496" s="300" t="str">
        <f>_xlfn.IFNA(VLOOKUP($BD496,Programma!$F$3:$J$1107,5,0),"")</f>
        <v/>
      </c>
      <c r="BI496" s="300" t="str">
        <f>_xlfn.IFNA(VLOOKUP($BD496,Programma!$F$3:$K$1107,6,0),"")</f>
        <v/>
      </c>
      <c r="BJ496" s="300" t="str">
        <f>_xlfn.IFNA(VLOOKUP($BD496,Programma!$F$3:$L$1107,7,0),"")</f>
        <v/>
      </c>
      <c r="BK496" s="300" t="str">
        <f>_xlfn.IFNA(VLOOKUP($BD496,Programma!$F$3:$M$1107,8,0),"")</f>
        <v/>
      </c>
      <c r="BL496" s="300" t="str">
        <f>_xlfn.IFNA(VLOOKUP($BD496,Programma!$F$3:$N$1107,9,0),"")</f>
        <v/>
      </c>
      <c r="BM496" s="300" t="str">
        <f>_xlfn.IFNA(VLOOKUP($BD496,Programma!$F$3:$O$1107,10,0),"")</f>
        <v/>
      </c>
      <c r="BN496" s="300" t="str">
        <f>_xlfn.IFNA(VLOOKUP($BD496,Programma!$F$3:$P$1107,11,0),"")</f>
        <v/>
      </c>
      <c r="BO496" s="300" t="str">
        <f>_xlfn.IFNA(VLOOKUP($BD496,Programma!$F$3:$Q$1107,12,0),"")</f>
        <v/>
      </c>
      <c r="BP496" s="300" t="str">
        <f>_xlfn.IFNA(VLOOKUP($BD496,Programma!$F$3:$R$1107,13,0),"")</f>
        <v/>
      </c>
      <c r="BQ496" s="300" t="str">
        <f>_xlfn.IFNA(VLOOKUP($BD496,Programma!$F$3:$S$1107,14,0),"")</f>
        <v/>
      </c>
      <c r="BR496" s="300" t="str">
        <f>_xlfn.IFNA(VLOOKUP($BD496,Programma!$F$3:$T$1107,15,0),"")</f>
        <v/>
      </c>
      <c r="BS496" s="300" t="str">
        <f>_xlfn.IFNA(VLOOKUP($BD496,Programma!$F$3:$U$1107,16,0),"")</f>
        <v/>
      </c>
      <c r="BT496" s="300" t="str">
        <f>_xlfn.IFNA(VLOOKUP($BD496,Programma!$F$3:$V$1107,17,0),"")</f>
        <v/>
      </c>
      <c r="BU496" s="300" t="str">
        <f>_xlfn.IFNA(VLOOKUP($BD496,Programma!$F$3:$W$1107,18,0),"")</f>
        <v/>
      </c>
      <c r="BV496" s="300" t="str">
        <f>_xlfn.IFNA(VLOOKUP($BD496,Programma!$F$3:$X$1107,19,0),"")</f>
        <v/>
      </c>
      <c r="BW496" s="300" t="str">
        <f>_xlfn.IFNA(VLOOKUP($BD496,Programma!$F$3:$Y$1107,20,0),"")</f>
        <v/>
      </c>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c r="GK496" s="4"/>
      <c r="GL496" s="4"/>
      <c r="GM496" s="4"/>
      <c r="GN496" s="4"/>
      <c r="GO496" s="4"/>
      <c r="GP496" s="4"/>
      <c r="GQ496" s="4"/>
      <c r="GR496" s="4"/>
      <c r="GS496" s="4"/>
      <c r="GT496" s="4"/>
      <c r="GU496" s="4"/>
      <c r="GV496" s="4"/>
      <c r="GW496" s="4"/>
      <c r="GX496" s="4"/>
      <c r="GY496" s="4"/>
      <c r="GZ496" s="4"/>
      <c r="HA496" s="4"/>
      <c r="HB496" s="4"/>
      <c r="HC496" s="4"/>
      <c r="HD496" s="4"/>
      <c r="HE496" s="4"/>
      <c r="HF496" s="4"/>
      <c r="HG496" s="4"/>
      <c r="HH496" s="4"/>
      <c r="HI496" s="4"/>
      <c r="HJ496" s="4"/>
      <c r="HK496" s="4"/>
      <c r="HL496" s="4"/>
    </row>
    <row r="497" spans="1:220" ht="15" customHeight="1">
      <c r="A497" s="21">
        <v>6</v>
      </c>
      <c r="B497" s="157" t="str">
        <f>VLOOKUP(Ruimtestaat[[#This Row],[Code]],Locaties[[Code]:[Locatie]],2,FALSE)</f>
        <v>Veurs Lyceum</v>
      </c>
      <c r="C497" s="157" t="str">
        <f>VLOOKUP(Ruimtestaat[[#This Row],[Code]],Locaties[[#All],[Code]:[Adres]],4,FALSE)</f>
        <v>Burg. Kolfschotenlaan 5</v>
      </c>
      <c r="D497" s="157" t="str">
        <f>VLOOKUP(Ruimtestaat[[#This Row],[Code]],Locaties[[#All],[Code]:[Postcode]],5,FALSE)</f>
        <v xml:space="preserve">2262 EZ </v>
      </c>
      <c r="E497" s="157" t="str">
        <f>VLOOKUP(Ruimtestaat[[#This Row],[Code]],Locaties[#All],6,FALSE)</f>
        <v>Leidschendam</v>
      </c>
      <c r="F497" s="62"/>
      <c r="G497" s="21" t="s">
        <v>1624</v>
      </c>
      <c r="H497" s="21" t="s">
        <v>1674</v>
      </c>
      <c r="I497" s="62" t="s">
        <v>1763</v>
      </c>
      <c r="J497" s="21">
        <v>20</v>
      </c>
      <c r="K497" s="62" t="str">
        <f>VLOOKUP(Ruimtestaat[[#This Row],[Ruimte code]],Ruimtegroepen[[#All],[Code]:[Ruimte omschrijving]],2,FALSE)</f>
        <v>Niet in Onderhoud</v>
      </c>
      <c r="L497" s="33" t="s">
        <v>102</v>
      </c>
      <c r="M497" s="367" t="s">
        <v>2509</v>
      </c>
      <c r="N497" s="140"/>
      <c r="O497" s="140">
        <v>2</v>
      </c>
      <c r="P497" s="125">
        <f>VLOOKUP(Ruimtestaat[[#This Row],[Ruimte code]],Ruimtegroepen[],4,FALSE)</f>
        <v>0</v>
      </c>
      <c r="Q497" s="125" t="s">
        <v>2532</v>
      </c>
      <c r="R497" s="33"/>
      <c r="S497" s="33"/>
      <c r="T497" s="33">
        <f>IF(R497&gt;0,IF(RIGHT(Ruimtestaat[[#This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97" s="33">
        <f>IF(T497&gt;0,VLOOKUP($J497,Ruimtegroepen[],3,FALSE)*VLOOKUP($L497,Vloersoorten[],3,FALSE)*VLOOKUP($S497,Frequenties[],3,FALSE)*VLOOKUP($A497,Locaties[],3,FALSE),0)</f>
        <v>0</v>
      </c>
      <c r="V497" s="33">
        <f>Ruimtestaat[[#This Row],[Uitvoeringen werkdagen]]*Ruimtestaat[[#This Row],[Oppervlak (netto)]]</f>
        <v>0</v>
      </c>
      <c r="W497" s="154">
        <f>IF(U497&gt;0,Ruimtestaat[[#This Row],[Prest. (m2 /jaar) werkdagen]]/Ruimtestaat[[#This Row],[Norm (m2/uur) werkdagen]],0)</f>
        <v>0</v>
      </c>
      <c r="X497" s="155">
        <f>Ruimtestaat[[#This Row],[uren / jaar werkdagen]]*Tariefsopbouw!$E$35</f>
        <v>0</v>
      </c>
      <c r="Y497" s="33"/>
      <c r="Z497" s="33">
        <f>IF(Ruimtestaat[[#This Row],[Frequentie weekend]]&gt;0,VALUE(LEFT(Y497,1))*R497,0)</f>
        <v>0</v>
      </c>
      <c r="AA497" s="97">
        <f>IF($Z497&gt;0,VLOOKUP($J497,Ruimtegroepen[],3,FALSE)*VLOOKUP($L497,Vloersoorten[],3,FALSE)*VLOOKUP($Y497,Frequenties[],3,FALSE)*VLOOKUP(Ruimtestaat[[#This Row],[Code]],Locaties[],3,FALSE),0)</f>
        <v>0</v>
      </c>
      <c r="AB497" s="97">
        <f>Ruimtestaat[[#This Row],[Uitvoeringen weekend]]*Ruimtestaat[[#This Row],[Oppervlak (netto)]]</f>
        <v>0</v>
      </c>
      <c r="AC497" s="97">
        <f>IF(AA497&gt;0,Ruimtestaat[[#This Row],[Prest. (m2 /jaar) weekend]]/Ruimtestaat[[#This Row],[Norm (m2/uur) weekend]],0)</f>
        <v>0</v>
      </c>
      <c r="AD497" s="155">
        <f>Ruimtestaat[[#This Row],[uren / jaar weekend]]*Tariefsopbouw!$D$40</f>
        <v>0</v>
      </c>
      <c r="AE497" s="154">
        <f>Ruimtestaat[[#This Row],[Prest. (m2 /jaar) weekend]]+Ruimtestaat[[#This Row],[Prest. (m2 /jaar) werkdagen]]</f>
        <v>0</v>
      </c>
      <c r="AF497" s="154">
        <f>Ruimtestaat[[#This Row],[uren / jaar weekend]]+Ruimtestaat[[#This Row],[uren / jaar werkdagen]]</f>
        <v>0</v>
      </c>
      <c r="AG497" s="69">
        <f>Ruimtestaat[[#This Row],[kosten / jaar weekend]]+Ruimtestaat[[#This Row],[kosten / jaar werkdagen]]</f>
        <v>0</v>
      </c>
      <c r="AH497" s="69"/>
      <c r="AI497" s="256" t="str">
        <f>IF(Ruimtestaat[[#This Row],[Frequentie werkdagen]]="","",_xlfn.CONCAT(Ruimtestaat[[#This Row],[Ruimte code]],"-",Ruimtestaat[[#This Row],[Frequentie werkdagen]]," ",Ruimtestaat[[#This Row],[Vloer code]]))</f>
        <v/>
      </c>
      <c r="AJ497" s="300" t="str">
        <f>_xlfn.IFNA(VLOOKUP($AI497,Programma!$F$3:$G$1107,2,0),"")</f>
        <v/>
      </c>
      <c r="AK497" s="300" t="str">
        <f>_xlfn.IFNA(VLOOKUP($AI497,Programma!$F$3:$H$1107,3,0),"")</f>
        <v/>
      </c>
      <c r="AL497" s="300" t="str">
        <f>_xlfn.IFNA(VLOOKUP($AI497,Programma!$F$3:$I$1107,4,0),"")</f>
        <v/>
      </c>
      <c r="AM497" s="300" t="str">
        <f>_xlfn.IFNA(VLOOKUP($AI497,Programma!$F$3:$J$1107,5,0),"")</f>
        <v/>
      </c>
      <c r="AN497" s="300" t="str">
        <f>_xlfn.IFNA(VLOOKUP($AI497,Programma!$F$3:$K$1107,6,0),"")</f>
        <v/>
      </c>
      <c r="AO497" s="300" t="str">
        <f>_xlfn.IFNA(VLOOKUP($AI497,Programma!$F$3:$L$1107,7,0),"")</f>
        <v/>
      </c>
      <c r="AP497" s="300" t="str">
        <f>_xlfn.IFNA(VLOOKUP($AI497,Programma!$F$3:$M$1107,8,0),"")</f>
        <v/>
      </c>
      <c r="AQ497" s="300" t="str">
        <f>_xlfn.IFNA(VLOOKUP($AI497,Programma!$F$3:$N$1107,9,0),"")</f>
        <v/>
      </c>
      <c r="AR497" s="300" t="str">
        <f>_xlfn.IFNA(VLOOKUP($AI497,Programma!$F$3:$O$1107,10,0),"")</f>
        <v/>
      </c>
      <c r="AS497" s="300" t="str">
        <f>_xlfn.IFNA(VLOOKUP($AI497,Programma!$F$3:$P$1107,11,0),"")</f>
        <v/>
      </c>
      <c r="AT497" s="300" t="str">
        <f>_xlfn.IFNA(VLOOKUP($AI497,Programma!$F$3:$Q$1107,12,0),"")</f>
        <v/>
      </c>
      <c r="AU497" s="300" t="str">
        <f>_xlfn.IFNA(VLOOKUP($AI497,Programma!$F$3:$R$1107,13,0),"")</f>
        <v/>
      </c>
      <c r="AV497" s="300" t="str">
        <f>_xlfn.IFNA(VLOOKUP($AI497,Programma!$F$3:$S$1107,14,0),"")</f>
        <v/>
      </c>
      <c r="AW497" s="300" t="str">
        <f>_xlfn.IFNA(VLOOKUP($AI497,Programma!$F$3:$T$1107,15,0),"")</f>
        <v/>
      </c>
      <c r="AX497" s="300" t="str">
        <f>_xlfn.IFNA(VLOOKUP($AI497,Programma!$F$3:$U$1107,16,0),"")</f>
        <v/>
      </c>
      <c r="AY497" s="300" t="str">
        <f>_xlfn.IFNA(VLOOKUP($AI497,Programma!$F$3:$V$1107,17,0),"")</f>
        <v/>
      </c>
      <c r="AZ497" s="300" t="str">
        <f>_xlfn.IFNA(VLOOKUP($AI497,Programma!$F$3:$W$1107,18,0),"")</f>
        <v/>
      </c>
      <c r="BA497" s="300" t="str">
        <f>_xlfn.IFNA(VLOOKUP($AI497,Programma!$F$3:$X$1107,19,0),"")</f>
        <v/>
      </c>
      <c r="BB497" s="300" t="str">
        <f>_xlfn.IFNA(VLOOKUP($AI497,Programma!$F$3:$Y$1107,20,0),"")</f>
        <v/>
      </c>
      <c r="BC497" s="257"/>
      <c r="BD497" s="256" t="str">
        <f>IF(Ruimtestaat[[#This Row],[Frequentie weekend]]="","",_xlfn.CONCAT(Ruimtestaat[[#This Row],[Ruimte code]],"-",Ruimtestaat[[#This Row],[Frequentie weekend]]," ",Ruimtestaat[[#This Row],[Vloer code]]))</f>
        <v/>
      </c>
      <c r="BE497" s="300" t="str">
        <f>_xlfn.IFNA(VLOOKUP($BD497,Programma!$F$3:$G$1107,2,0),"")</f>
        <v/>
      </c>
      <c r="BF497" s="300" t="str">
        <f>_xlfn.IFNA(VLOOKUP($BD497,Programma!$F$3:$H$1107,3,0),"")</f>
        <v/>
      </c>
      <c r="BG497" s="300" t="str">
        <f>_xlfn.IFNA(VLOOKUP($BD497,Programma!$F$3:$I$1107,4,0),"")</f>
        <v/>
      </c>
      <c r="BH497" s="300" t="str">
        <f>_xlfn.IFNA(VLOOKUP($BD497,Programma!$F$3:$J$1107,5,0),"")</f>
        <v/>
      </c>
      <c r="BI497" s="300" t="str">
        <f>_xlfn.IFNA(VLOOKUP($BD497,Programma!$F$3:$K$1107,6,0),"")</f>
        <v/>
      </c>
      <c r="BJ497" s="300" t="str">
        <f>_xlfn.IFNA(VLOOKUP($BD497,Programma!$F$3:$L$1107,7,0),"")</f>
        <v/>
      </c>
      <c r="BK497" s="300" t="str">
        <f>_xlfn.IFNA(VLOOKUP($BD497,Programma!$F$3:$M$1107,8,0),"")</f>
        <v/>
      </c>
      <c r="BL497" s="300" t="str">
        <f>_xlfn.IFNA(VLOOKUP($BD497,Programma!$F$3:$N$1107,9,0),"")</f>
        <v/>
      </c>
      <c r="BM497" s="300" t="str">
        <f>_xlfn.IFNA(VLOOKUP($BD497,Programma!$F$3:$O$1107,10,0),"")</f>
        <v/>
      </c>
      <c r="BN497" s="300" t="str">
        <f>_xlfn.IFNA(VLOOKUP($BD497,Programma!$F$3:$P$1107,11,0),"")</f>
        <v/>
      </c>
      <c r="BO497" s="300" t="str">
        <f>_xlfn.IFNA(VLOOKUP($BD497,Programma!$F$3:$Q$1107,12,0),"")</f>
        <v/>
      </c>
      <c r="BP497" s="300" t="str">
        <f>_xlfn.IFNA(VLOOKUP($BD497,Programma!$F$3:$R$1107,13,0),"")</f>
        <v/>
      </c>
      <c r="BQ497" s="300" t="str">
        <f>_xlfn.IFNA(VLOOKUP($BD497,Programma!$F$3:$S$1107,14,0),"")</f>
        <v/>
      </c>
      <c r="BR497" s="300" t="str">
        <f>_xlfn.IFNA(VLOOKUP($BD497,Programma!$F$3:$T$1107,15,0),"")</f>
        <v/>
      </c>
      <c r="BS497" s="300" t="str">
        <f>_xlfn.IFNA(VLOOKUP($BD497,Programma!$F$3:$U$1107,16,0),"")</f>
        <v/>
      </c>
      <c r="BT497" s="300" t="str">
        <f>_xlfn.IFNA(VLOOKUP($BD497,Programma!$F$3:$V$1107,17,0),"")</f>
        <v/>
      </c>
      <c r="BU497" s="300" t="str">
        <f>_xlfn.IFNA(VLOOKUP($BD497,Programma!$F$3:$W$1107,18,0),"")</f>
        <v/>
      </c>
      <c r="BV497" s="300" t="str">
        <f>_xlfn.IFNA(VLOOKUP($BD497,Programma!$F$3:$X$1107,19,0),"")</f>
        <v/>
      </c>
      <c r="BW497" s="300" t="str">
        <f>_xlfn.IFNA(VLOOKUP($BD497,Programma!$F$3:$Y$1107,20,0),"")</f>
        <v/>
      </c>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c r="GK497" s="4"/>
      <c r="GL497" s="4"/>
      <c r="GM497" s="4"/>
      <c r="GN497" s="4"/>
      <c r="GO497" s="4"/>
      <c r="GP497" s="4"/>
      <c r="GQ497" s="4"/>
      <c r="GR497" s="4"/>
      <c r="GS497" s="4"/>
      <c r="GT497" s="4"/>
      <c r="GU497" s="4"/>
      <c r="GV497" s="4"/>
      <c r="GW497" s="4"/>
      <c r="GX497" s="4"/>
      <c r="GY497" s="4"/>
      <c r="GZ497" s="4"/>
      <c r="HA497" s="4"/>
      <c r="HB497" s="4"/>
      <c r="HC497" s="4"/>
      <c r="HD497" s="4"/>
      <c r="HE497" s="4"/>
      <c r="HF497" s="4"/>
      <c r="HG497" s="4"/>
      <c r="HH497" s="4"/>
      <c r="HI497" s="4"/>
      <c r="HJ497" s="4"/>
      <c r="HK497" s="4"/>
      <c r="HL497" s="4"/>
    </row>
    <row r="498" spans="1:220" ht="15" customHeight="1">
      <c r="A498" s="21">
        <v>6</v>
      </c>
      <c r="B498" s="157" t="str">
        <f>VLOOKUP(Ruimtestaat[[#This Row],[Code]],Locaties[[Code]:[Locatie]],2,FALSE)</f>
        <v>Veurs Lyceum</v>
      </c>
      <c r="C498" s="157" t="str">
        <f>VLOOKUP(Ruimtestaat[[#This Row],[Code]],Locaties[[#All],[Code]:[Adres]],4,FALSE)</f>
        <v>Burg. Kolfschotenlaan 5</v>
      </c>
      <c r="D498" s="157" t="str">
        <f>VLOOKUP(Ruimtestaat[[#This Row],[Code]],Locaties[[#All],[Code]:[Postcode]],5,FALSE)</f>
        <v xml:space="preserve">2262 EZ </v>
      </c>
      <c r="E498" s="157" t="str">
        <f>VLOOKUP(Ruimtestaat[[#This Row],[Code]],Locaties[#All],6,FALSE)</f>
        <v>Leidschendam</v>
      </c>
      <c r="F498" s="62"/>
      <c r="G498" s="21" t="s">
        <v>1624</v>
      </c>
      <c r="H498" s="21" t="s">
        <v>1676</v>
      </c>
      <c r="I498" s="62" t="s">
        <v>1925</v>
      </c>
      <c r="J498" s="21">
        <v>16</v>
      </c>
      <c r="K498" s="62" t="str">
        <f>VLOOKUP(Ruimtestaat[[#This Row],[Ruimte code]],Ruimtegroepen[[#All],[Code]:[Ruimte omschrijving]],2,FALSE)</f>
        <v>Leslokalen theorie</v>
      </c>
      <c r="L498" s="33" t="s">
        <v>103</v>
      </c>
      <c r="M498" s="367" t="s">
        <v>121</v>
      </c>
      <c r="N498" s="140">
        <v>54</v>
      </c>
      <c r="O498" s="140"/>
      <c r="P498" s="125" t="str">
        <f>VLOOKUP(Ruimtestaat[[#This Row],[Ruimte code]],Ruimtegroepen[],4,FALSE)</f>
        <v>Le</v>
      </c>
      <c r="R498" s="33">
        <v>40</v>
      </c>
      <c r="S498" s="33" t="s">
        <v>2</v>
      </c>
      <c r="T498" s="33">
        <f>IF(R498&gt;0,IF(RIGHT(Ruimtestaat[[#This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8" s="33">
        <f>IF(T498&gt;0,VLOOKUP($J498,Ruimtegroepen[],3,FALSE)*VLOOKUP($L498,Vloersoorten[],3,FALSE)*VLOOKUP($S498,Frequenties[],3,FALSE)*VLOOKUP($A498,Locaties[],3,FALSE),0)</f>
        <v>0</v>
      </c>
      <c r="V498" s="33">
        <f>Ruimtestaat[[#This Row],[Uitvoeringen werkdagen]]*Ruimtestaat[[#This Row],[Oppervlak (netto)]]</f>
        <v>10800</v>
      </c>
      <c r="W498" s="154">
        <f>IF(U498&gt;0,Ruimtestaat[[#This Row],[Prest. (m2 /jaar) werkdagen]]/Ruimtestaat[[#This Row],[Norm (m2/uur) werkdagen]],0)</f>
        <v>0</v>
      </c>
      <c r="X498" s="155">
        <f>Ruimtestaat[[#This Row],[uren / jaar werkdagen]]*Tariefsopbouw!$E$35</f>
        <v>0</v>
      </c>
      <c r="Y498" s="33"/>
      <c r="Z498" s="33">
        <f>IF(Ruimtestaat[[#This Row],[Frequentie weekend]]&gt;0,VALUE(LEFT(Y498,1))*R498,0)</f>
        <v>0</v>
      </c>
      <c r="AA498" s="97">
        <f>IF($Z498&gt;0,VLOOKUP($J498,Ruimtegroepen[],3,FALSE)*VLOOKUP($L498,Vloersoorten[],3,FALSE)*VLOOKUP($Y498,Frequenties[],3,FALSE)*VLOOKUP(Ruimtestaat[[#This Row],[Code]],Locaties[],3,FALSE),0)</f>
        <v>0</v>
      </c>
      <c r="AB498" s="97">
        <f>Ruimtestaat[[#This Row],[Uitvoeringen weekend]]*Ruimtestaat[[#This Row],[Oppervlak (netto)]]</f>
        <v>0</v>
      </c>
      <c r="AC498" s="97">
        <f>IF(AA498&gt;0,Ruimtestaat[[#This Row],[Prest. (m2 /jaar) weekend]]/Ruimtestaat[[#This Row],[Norm (m2/uur) weekend]],0)</f>
        <v>0</v>
      </c>
      <c r="AD498" s="155">
        <f>Ruimtestaat[[#This Row],[uren / jaar weekend]]*Tariefsopbouw!$D$40</f>
        <v>0</v>
      </c>
      <c r="AE498" s="154">
        <f>Ruimtestaat[[#This Row],[Prest. (m2 /jaar) weekend]]+Ruimtestaat[[#This Row],[Prest. (m2 /jaar) werkdagen]]</f>
        <v>10800</v>
      </c>
      <c r="AF498" s="154">
        <f>Ruimtestaat[[#This Row],[uren / jaar weekend]]+Ruimtestaat[[#This Row],[uren / jaar werkdagen]]</f>
        <v>0</v>
      </c>
      <c r="AG498" s="69">
        <f>Ruimtestaat[[#This Row],[kosten / jaar weekend]]+Ruimtestaat[[#This Row],[kosten / jaar werkdagen]]</f>
        <v>0</v>
      </c>
      <c r="AH498" s="69"/>
      <c r="AI498" s="256" t="str">
        <f>IF(Ruimtestaat[[#This Row],[Frequentie werkdagen]]="","",_xlfn.CONCAT(Ruimtestaat[[#This Row],[Ruimte code]],"-",Ruimtestaat[[#This Row],[Frequentie werkdagen]]," ",Ruimtestaat[[#This Row],[Vloer code]]))</f>
        <v>16-5w P</v>
      </c>
      <c r="AJ498" s="300" t="str">
        <f>_xlfn.IFNA(VLOOKUP($AI498,Programma!$F$3:$G$1107,2,0),"")</f>
        <v>_</v>
      </c>
      <c r="AK498" s="300" t="str">
        <f>_xlfn.IFNA(VLOOKUP($AI498,Programma!$F$3:$H$1107,3,0),"")</f>
        <v>_</v>
      </c>
      <c r="AL498" s="300" t="str">
        <f>_xlfn.IFNA(VLOOKUP($AI498,Programma!$F$3:$I$1107,4,0),"")</f>
        <v>4w</v>
      </c>
      <c r="AM498" s="300" t="str">
        <f>_xlfn.IFNA(VLOOKUP($AI498,Programma!$F$3:$J$1107,5,0),"")</f>
        <v>1w</v>
      </c>
      <c r="AN498" s="300" t="str">
        <f>_xlfn.IFNA(VLOOKUP($AI498,Programma!$F$3:$K$1107,6,0),"")</f>
        <v>1m</v>
      </c>
      <c r="AO498" s="300" t="str">
        <f>_xlfn.IFNA(VLOOKUP($AI498,Programma!$F$3:$L$1107,7,0),"")</f>
        <v>_</v>
      </c>
      <c r="AP498" s="300" t="str">
        <f>_xlfn.IFNA(VLOOKUP($AI498,Programma!$F$3:$M$1107,8,0),"")</f>
        <v>_</v>
      </c>
      <c r="AQ498" s="300" t="str">
        <f>_xlfn.IFNA(VLOOKUP($AI498,Programma!$F$3:$N$1107,9,0),"")</f>
        <v>_</v>
      </c>
      <c r="AR498" s="300" t="str">
        <f>_xlfn.IFNA(VLOOKUP($AI498,Programma!$F$3:$O$1107,10,0),"")</f>
        <v>5w</v>
      </c>
      <c r="AS498" s="300" t="str">
        <f>_xlfn.IFNA(VLOOKUP($AI498,Programma!$F$3:$P$1107,11,0),"")</f>
        <v>5w</v>
      </c>
      <c r="AT498" s="300" t="str">
        <f>_xlfn.IFNA(VLOOKUP($AI498,Programma!$F$3:$Q$1107,12,0),"")</f>
        <v>1w</v>
      </c>
      <c r="AU498" s="300" t="str">
        <f>_xlfn.IFNA(VLOOKUP($AI498,Programma!$F$3:$R$1107,13,0),"")</f>
        <v>1w</v>
      </c>
      <c r="AV498" s="300" t="str">
        <f>_xlfn.IFNA(VLOOKUP($AI498,Programma!$F$3:$S$1107,14,0),"")</f>
        <v>1m</v>
      </c>
      <c r="AW498" s="300" t="str">
        <f>_xlfn.IFNA(VLOOKUP($AI498,Programma!$F$3:$T$1107,15,0),"")</f>
        <v>2j</v>
      </c>
      <c r="AX498" s="300" t="str">
        <f>_xlfn.IFNA(VLOOKUP($AI498,Programma!$F$3:$U$1107,16,0),"")</f>
        <v>1j</v>
      </c>
      <c r="AY498" s="300" t="str">
        <f>_xlfn.IFNA(VLOOKUP($AI498,Programma!$F$3:$V$1107,17,0),"")</f>
        <v>_</v>
      </c>
      <c r="AZ498" s="300" t="str">
        <f>_xlfn.IFNA(VLOOKUP($AI498,Programma!$F$3:$W$1107,18,0),"")</f>
        <v>_</v>
      </c>
      <c r="BA498" s="300" t="str">
        <f>_xlfn.IFNA(VLOOKUP($AI498,Programma!$F$3:$X$1107,19,0),"")</f>
        <v>_</v>
      </c>
      <c r="BB498" s="300" t="str">
        <f>_xlfn.IFNA(VLOOKUP($AI498,Programma!$F$3:$Y$1107,20,0),"")</f>
        <v>_</v>
      </c>
      <c r="BC498" s="257"/>
      <c r="BD498" s="256" t="str">
        <f>IF(Ruimtestaat[[#This Row],[Frequentie weekend]]="","",_xlfn.CONCAT(Ruimtestaat[[#This Row],[Ruimte code]],"-",Ruimtestaat[[#This Row],[Frequentie weekend]]," ",Ruimtestaat[[#This Row],[Vloer code]]))</f>
        <v/>
      </c>
      <c r="BE498" s="300" t="str">
        <f>_xlfn.IFNA(VLOOKUP($BD498,Programma!$F$3:$G$1107,2,0),"")</f>
        <v/>
      </c>
      <c r="BF498" s="300" t="str">
        <f>_xlfn.IFNA(VLOOKUP($BD498,Programma!$F$3:$H$1107,3,0),"")</f>
        <v/>
      </c>
      <c r="BG498" s="300" t="str">
        <f>_xlfn.IFNA(VLOOKUP($BD498,Programma!$F$3:$I$1107,4,0),"")</f>
        <v/>
      </c>
      <c r="BH498" s="300" t="str">
        <f>_xlfn.IFNA(VLOOKUP($BD498,Programma!$F$3:$J$1107,5,0),"")</f>
        <v/>
      </c>
      <c r="BI498" s="300" t="str">
        <f>_xlfn.IFNA(VLOOKUP($BD498,Programma!$F$3:$K$1107,6,0),"")</f>
        <v/>
      </c>
      <c r="BJ498" s="300" t="str">
        <f>_xlfn.IFNA(VLOOKUP($BD498,Programma!$F$3:$L$1107,7,0),"")</f>
        <v/>
      </c>
      <c r="BK498" s="300" t="str">
        <f>_xlfn.IFNA(VLOOKUP($BD498,Programma!$F$3:$M$1107,8,0),"")</f>
        <v/>
      </c>
      <c r="BL498" s="300" t="str">
        <f>_xlfn.IFNA(VLOOKUP($BD498,Programma!$F$3:$N$1107,9,0),"")</f>
        <v/>
      </c>
      <c r="BM498" s="300" t="str">
        <f>_xlfn.IFNA(VLOOKUP($BD498,Programma!$F$3:$O$1107,10,0),"")</f>
        <v/>
      </c>
      <c r="BN498" s="300" t="str">
        <f>_xlfn.IFNA(VLOOKUP($BD498,Programma!$F$3:$P$1107,11,0),"")</f>
        <v/>
      </c>
      <c r="BO498" s="300" t="str">
        <f>_xlfn.IFNA(VLOOKUP($BD498,Programma!$F$3:$Q$1107,12,0),"")</f>
        <v/>
      </c>
      <c r="BP498" s="300" t="str">
        <f>_xlfn.IFNA(VLOOKUP($BD498,Programma!$F$3:$R$1107,13,0),"")</f>
        <v/>
      </c>
      <c r="BQ498" s="300" t="str">
        <f>_xlfn.IFNA(VLOOKUP($BD498,Programma!$F$3:$S$1107,14,0),"")</f>
        <v/>
      </c>
      <c r="BR498" s="300" t="str">
        <f>_xlfn.IFNA(VLOOKUP($BD498,Programma!$F$3:$T$1107,15,0),"")</f>
        <v/>
      </c>
      <c r="BS498" s="300" t="str">
        <f>_xlfn.IFNA(VLOOKUP($BD498,Programma!$F$3:$U$1107,16,0),"")</f>
        <v/>
      </c>
      <c r="BT498" s="300" t="str">
        <f>_xlfn.IFNA(VLOOKUP($BD498,Programma!$F$3:$V$1107,17,0),"")</f>
        <v/>
      </c>
      <c r="BU498" s="300" t="str">
        <f>_xlfn.IFNA(VLOOKUP($BD498,Programma!$F$3:$W$1107,18,0),"")</f>
        <v/>
      </c>
      <c r="BV498" s="300" t="str">
        <f>_xlfn.IFNA(VLOOKUP($BD498,Programma!$F$3:$X$1107,19,0),"")</f>
        <v/>
      </c>
      <c r="BW498" s="300" t="str">
        <f>_xlfn.IFNA(VLOOKUP($BD498,Programma!$F$3:$Y$1107,20,0),"")</f>
        <v/>
      </c>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c r="GK498" s="4"/>
      <c r="GL498" s="4"/>
      <c r="GM498" s="4"/>
      <c r="GN498" s="4"/>
      <c r="GO498" s="4"/>
      <c r="GP498" s="4"/>
      <c r="GQ498" s="4"/>
      <c r="GR498" s="4"/>
      <c r="GS498" s="4"/>
      <c r="GT498" s="4"/>
      <c r="GU498" s="4"/>
      <c r="GV498" s="4"/>
      <c r="GW498" s="4"/>
      <c r="GX498" s="4"/>
      <c r="GY498" s="4"/>
      <c r="GZ498" s="4"/>
      <c r="HA498" s="4"/>
      <c r="HB498" s="4"/>
      <c r="HC498" s="4"/>
      <c r="HD498" s="4"/>
      <c r="HE498" s="4"/>
      <c r="HF498" s="4"/>
      <c r="HG498" s="4"/>
      <c r="HH498" s="4"/>
      <c r="HI498" s="4"/>
      <c r="HJ498" s="4"/>
      <c r="HK498" s="4"/>
      <c r="HL498" s="4"/>
    </row>
    <row r="499" spans="1:220" ht="15" customHeight="1">
      <c r="A499" s="21">
        <v>6</v>
      </c>
      <c r="B499" s="157" t="str">
        <f>VLOOKUP(Ruimtestaat[[#This Row],[Code]],Locaties[[Code]:[Locatie]],2,FALSE)</f>
        <v>Veurs Lyceum</v>
      </c>
      <c r="C499" s="157" t="str">
        <f>VLOOKUP(Ruimtestaat[[#This Row],[Code]],Locaties[[#All],[Code]:[Adres]],4,FALSE)</f>
        <v>Burg. Kolfschotenlaan 5</v>
      </c>
      <c r="D499" s="157" t="str">
        <f>VLOOKUP(Ruimtestaat[[#This Row],[Code]],Locaties[[#All],[Code]:[Postcode]],5,FALSE)</f>
        <v xml:space="preserve">2262 EZ </v>
      </c>
      <c r="E499" s="157" t="str">
        <f>VLOOKUP(Ruimtestaat[[#This Row],[Code]],Locaties[#All],6,FALSE)</f>
        <v>Leidschendam</v>
      </c>
      <c r="F499" s="62"/>
      <c r="G499" s="21" t="s">
        <v>1624</v>
      </c>
      <c r="H499" s="21" t="s">
        <v>1678</v>
      </c>
      <c r="I499" s="62" t="s">
        <v>1927</v>
      </c>
      <c r="J499" s="21">
        <v>16</v>
      </c>
      <c r="K499" s="62" t="str">
        <f>VLOOKUP(Ruimtestaat[[#This Row],[Ruimte code]],Ruimtegroepen[[#All],[Code]:[Ruimte omschrijving]],2,FALSE)</f>
        <v>Leslokalen theorie</v>
      </c>
      <c r="L499" s="33" t="s">
        <v>103</v>
      </c>
      <c r="M499" s="367" t="s">
        <v>121</v>
      </c>
      <c r="N499" s="140">
        <v>54</v>
      </c>
      <c r="O499" s="140"/>
      <c r="P499" s="125" t="str">
        <f>VLOOKUP(Ruimtestaat[[#This Row],[Ruimte code]],Ruimtegroepen[],4,FALSE)</f>
        <v>Le</v>
      </c>
      <c r="R499" s="33">
        <v>40</v>
      </c>
      <c r="S499" s="33" t="s">
        <v>2</v>
      </c>
      <c r="T499" s="33">
        <f>IF(R499&gt;0,IF(RIGHT(Ruimtestaat[[#This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9" s="33">
        <f>IF(T499&gt;0,VLOOKUP($J499,Ruimtegroepen[],3,FALSE)*VLOOKUP($L499,Vloersoorten[],3,FALSE)*VLOOKUP($S499,Frequenties[],3,FALSE)*VLOOKUP($A499,Locaties[],3,FALSE),0)</f>
        <v>0</v>
      </c>
      <c r="V499" s="33">
        <f>Ruimtestaat[[#This Row],[Uitvoeringen werkdagen]]*Ruimtestaat[[#This Row],[Oppervlak (netto)]]</f>
        <v>10800</v>
      </c>
      <c r="W499" s="154">
        <f>IF(U499&gt;0,Ruimtestaat[[#This Row],[Prest. (m2 /jaar) werkdagen]]/Ruimtestaat[[#This Row],[Norm (m2/uur) werkdagen]],0)</f>
        <v>0</v>
      </c>
      <c r="X499" s="155">
        <f>Ruimtestaat[[#This Row],[uren / jaar werkdagen]]*Tariefsopbouw!$E$35</f>
        <v>0</v>
      </c>
      <c r="Y499" s="33"/>
      <c r="Z499" s="33">
        <f>IF(Ruimtestaat[[#This Row],[Frequentie weekend]]&gt;0,VALUE(LEFT(Y499,1))*R499,0)</f>
        <v>0</v>
      </c>
      <c r="AA499" s="97">
        <f>IF($Z499&gt;0,VLOOKUP($J499,Ruimtegroepen[],3,FALSE)*VLOOKUP($L499,Vloersoorten[],3,FALSE)*VLOOKUP($Y499,Frequenties[],3,FALSE)*VLOOKUP(Ruimtestaat[[#This Row],[Code]],Locaties[],3,FALSE),0)</f>
        <v>0</v>
      </c>
      <c r="AB499" s="97">
        <f>Ruimtestaat[[#This Row],[Uitvoeringen weekend]]*Ruimtestaat[[#This Row],[Oppervlak (netto)]]</f>
        <v>0</v>
      </c>
      <c r="AC499" s="97">
        <f>IF(AA499&gt;0,Ruimtestaat[[#This Row],[Prest. (m2 /jaar) weekend]]/Ruimtestaat[[#This Row],[Norm (m2/uur) weekend]],0)</f>
        <v>0</v>
      </c>
      <c r="AD499" s="155">
        <f>Ruimtestaat[[#This Row],[uren / jaar weekend]]*Tariefsopbouw!$D$40</f>
        <v>0</v>
      </c>
      <c r="AE499" s="154">
        <f>Ruimtestaat[[#This Row],[Prest. (m2 /jaar) weekend]]+Ruimtestaat[[#This Row],[Prest. (m2 /jaar) werkdagen]]</f>
        <v>10800</v>
      </c>
      <c r="AF499" s="154">
        <f>Ruimtestaat[[#This Row],[uren / jaar weekend]]+Ruimtestaat[[#This Row],[uren / jaar werkdagen]]</f>
        <v>0</v>
      </c>
      <c r="AG499" s="69">
        <f>Ruimtestaat[[#This Row],[kosten / jaar weekend]]+Ruimtestaat[[#This Row],[kosten / jaar werkdagen]]</f>
        <v>0</v>
      </c>
      <c r="AH499" s="69"/>
      <c r="AI499" s="256" t="str">
        <f>IF(Ruimtestaat[[#This Row],[Frequentie werkdagen]]="","",_xlfn.CONCAT(Ruimtestaat[[#This Row],[Ruimte code]],"-",Ruimtestaat[[#This Row],[Frequentie werkdagen]]," ",Ruimtestaat[[#This Row],[Vloer code]]))</f>
        <v>16-5w P</v>
      </c>
      <c r="AJ499" s="300" t="str">
        <f>_xlfn.IFNA(VLOOKUP($AI499,Programma!$F$3:$G$1107,2,0),"")</f>
        <v>_</v>
      </c>
      <c r="AK499" s="300" t="str">
        <f>_xlfn.IFNA(VLOOKUP($AI499,Programma!$F$3:$H$1107,3,0),"")</f>
        <v>_</v>
      </c>
      <c r="AL499" s="300" t="str">
        <f>_xlfn.IFNA(VLOOKUP($AI499,Programma!$F$3:$I$1107,4,0),"")</f>
        <v>4w</v>
      </c>
      <c r="AM499" s="300" t="str">
        <f>_xlfn.IFNA(VLOOKUP($AI499,Programma!$F$3:$J$1107,5,0),"")</f>
        <v>1w</v>
      </c>
      <c r="AN499" s="300" t="str">
        <f>_xlfn.IFNA(VLOOKUP($AI499,Programma!$F$3:$K$1107,6,0),"")</f>
        <v>1m</v>
      </c>
      <c r="AO499" s="300" t="str">
        <f>_xlfn.IFNA(VLOOKUP($AI499,Programma!$F$3:$L$1107,7,0),"")</f>
        <v>_</v>
      </c>
      <c r="AP499" s="300" t="str">
        <f>_xlfn.IFNA(VLOOKUP($AI499,Programma!$F$3:$M$1107,8,0),"")</f>
        <v>_</v>
      </c>
      <c r="AQ499" s="300" t="str">
        <f>_xlfn.IFNA(VLOOKUP($AI499,Programma!$F$3:$N$1107,9,0),"")</f>
        <v>_</v>
      </c>
      <c r="AR499" s="300" t="str">
        <f>_xlfn.IFNA(VLOOKUP($AI499,Programma!$F$3:$O$1107,10,0),"")</f>
        <v>5w</v>
      </c>
      <c r="AS499" s="300" t="str">
        <f>_xlfn.IFNA(VLOOKUP($AI499,Programma!$F$3:$P$1107,11,0),"")</f>
        <v>5w</v>
      </c>
      <c r="AT499" s="300" t="str">
        <f>_xlfn.IFNA(VLOOKUP($AI499,Programma!$F$3:$Q$1107,12,0),"")</f>
        <v>1w</v>
      </c>
      <c r="AU499" s="300" t="str">
        <f>_xlfn.IFNA(VLOOKUP($AI499,Programma!$F$3:$R$1107,13,0),"")</f>
        <v>1w</v>
      </c>
      <c r="AV499" s="300" t="str">
        <f>_xlfn.IFNA(VLOOKUP($AI499,Programma!$F$3:$S$1107,14,0),"")</f>
        <v>1m</v>
      </c>
      <c r="AW499" s="300" t="str">
        <f>_xlfn.IFNA(VLOOKUP($AI499,Programma!$F$3:$T$1107,15,0),"")</f>
        <v>2j</v>
      </c>
      <c r="AX499" s="300" t="str">
        <f>_xlfn.IFNA(VLOOKUP($AI499,Programma!$F$3:$U$1107,16,0),"")</f>
        <v>1j</v>
      </c>
      <c r="AY499" s="300" t="str">
        <f>_xlfn.IFNA(VLOOKUP($AI499,Programma!$F$3:$V$1107,17,0),"")</f>
        <v>_</v>
      </c>
      <c r="AZ499" s="300" t="str">
        <f>_xlfn.IFNA(VLOOKUP($AI499,Programma!$F$3:$W$1107,18,0),"")</f>
        <v>_</v>
      </c>
      <c r="BA499" s="300" t="str">
        <f>_xlfn.IFNA(VLOOKUP($AI499,Programma!$F$3:$X$1107,19,0),"")</f>
        <v>_</v>
      </c>
      <c r="BB499" s="300" t="str">
        <f>_xlfn.IFNA(VLOOKUP($AI499,Programma!$F$3:$Y$1107,20,0),"")</f>
        <v>_</v>
      </c>
      <c r="BC499" s="257"/>
      <c r="BD499" s="256" t="str">
        <f>IF(Ruimtestaat[[#This Row],[Frequentie weekend]]="","",_xlfn.CONCAT(Ruimtestaat[[#This Row],[Ruimte code]],"-",Ruimtestaat[[#This Row],[Frequentie weekend]]," ",Ruimtestaat[[#This Row],[Vloer code]]))</f>
        <v/>
      </c>
      <c r="BE499" s="300" t="str">
        <f>_xlfn.IFNA(VLOOKUP($BD499,Programma!$F$3:$G$1107,2,0),"")</f>
        <v/>
      </c>
      <c r="BF499" s="300" t="str">
        <f>_xlfn.IFNA(VLOOKUP($BD499,Programma!$F$3:$H$1107,3,0),"")</f>
        <v/>
      </c>
      <c r="BG499" s="300" t="str">
        <f>_xlfn.IFNA(VLOOKUP($BD499,Programma!$F$3:$I$1107,4,0),"")</f>
        <v/>
      </c>
      <c r="BH499" s="300" t="str">
        <f>_xlfn.IFNA(VLOOKUP($BD499,Programma!$F$3:$J$1107,5,0),"")</f>
        <v/>
      </c>
      <c r="BI499" s="300" t="str">
        <f>_xlfn.IFNA(VLOOKUP($BD499,Programma!$F$3:$K$1107,6,0),"")</f>
        <v/>
      </c>
      <c r="BJ499" s="300" t="str">
        <f>_xlfn.IFNA(VLOOKUP($BD499,Programma!$F$3:$L$1107,7,0),"")</f>
        <v/>
      </c>
      <c r="BK499" s="300" t="str">
        <f>_xlfn.IFNA(VLOOKUP($BD499,Programma!$F$3:$M$1107,8,0),"")</f>
        <v/>
      </c>
      <c r="BL499" s="300" t="str">
        <f>_xlfn.IFNA(VLOOKUP($BD499,Programma!$F$3:$N$1107,9,0),"")</f>
        <v/>
      </c>
      <c r="BM499" s="300" t="str">
        <f>_xlfn.IFNA(VLOOKUP($BD499,Programma!$F$3:$O$1107,10,0),"")</f>
        <v/>
      </c>
      <c r="BN499" s="300" t="str">
        <f>_xlfn.IFNA(VLOOKUP($BD499,Programma!$F$3:$P$1107,11,0),"")</f>
        <v/>
      </c>
      <c r="BO499" s="300" t="str">
        <f>_xlfn.IFNA(VLOOKUP($BD499,Programma!$F$3:$Q$1107,12,0),"")</f>
        <v/>
      </c>
      <c r="BP499" s="300" t="str">
        <f>_xlfn.IFNA(VLOOKUP($BD499,Programma!$F$3:$R$1107,13,0),"")</f>
        <v/>
      </c>
      <c r="BQ499" s="300" t="str">
        <f>_xlfn.IFNA(VLOOKUP($BD499,Programma!$F$3:$S$1107,14,0),"")</f>
        <v/>
      </c>
      <c r="BR499" s="300" t="str">
        <f>_xlfn.IFNA(VLOOKUP($BD499,Programma!$F$3:$T$1107,15,0),"")</f>
        <v/>
      </c>
      <c r="BS499" s="300" t="str">
        <f>_xlfn.IFNA(VLOOKUP($BD499,Programma!$F$3:$U$1107,16,0),"")</f>
        <v/>
      </c>
      <c r="BT499" s="300" t="str">
        <f>_xlfn.IFNA(VLOOKUP($BD499,Programma!$F$3:$V$1107,17,0),"")</f>
        <v/>
      </c>
      <c r="BU499" s="300" t="str">
        <f>_xlfn.IFNA(VLOOKUP($BD499,Programma!$F$3:$W$1107,18,0),"")</f>
        <v/>
      </c>
      <c r="BV499" s="300" t="str">
        <f>_xlfn.IFNA(VLOOKUP($BD499,Programma!$F$3:$X$1107,19,0),"")</f>
        <v/>
      </c>
      <c r="BW499" s="300" t="str">
        <f>_xlfn.IFNA(VLOOKUP($BD499,Programma!$F$3:$Y$1107,20,0),"")</f>
        <v/>
      </c>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c r="GK499" s="4"/>
      <c r="GL499" s="4"/>
      <c r="GM499" s="4"/>
      <c r="GN499" s="4"/>
      <c r="GO499" s="4"/>
      <c r="GP499" s="4"/>
      <c r="GQ499" s="4"/>
      <c r="GR499" s="4"/>
      <c r="GS499" s="4"/>
      <c r="GT499" s="4"/>
      <c r="GU499" s="4"/>
      <c r="GV499" s="4"/>
      <c r="GW499" s="4"/>
      <c r="GX499" s="4"/>
      <c r="GY499" s="4"/>
      <c r="GZ499" s="4"/>
      <c r="HA499" s="4"/>
      <c r="HB499" s="4"/>
      <c r="HC499" s="4"/>
      <c r="HD499" s="4"/>
      <c r="HE499" s="4"/>
      <c r="HF499" s="4"/>
      <c r="HG499" s="4"/>
      <c r="HH499" s="4"/>
      <c r="HI499" s="4"/>
      <c r="HJ499" s="4"/>
      <c r="HK499" s="4"/>
      <c r="HL499" s="4"/>
    </row>
    <row r="500" spans="1:220" ht="15" customHeight="1">
      <c r="A500" s="21">
        <v>6</v>
      </c>
      <c r="B500" s="157" t="str">
        <f>VLOOKUP(Ruimtestaat[[#This Row],[Code]],Locaties[[Code]:[Locatie]],2,FALSE)</f>
        <v>Veurs Lyceum</v>
      </c>
      <c r="C500" s="157" t="str">
        <f>VLOOKUP(Ruimtestaat[[#This Row],[Code]],Locaties[[#All],[Code]:[Adres]],4,FALSE)</f>
        <v>Burg. Kolfschotenlaan 5</v>
      </c>
      <c r="D500" s="157" t="str">
        <f>VLOOKUP(Ruimtestaat[[#This Row],[Code]],Locaties[[#All],[Code]:[Postcode]],5,FALSE)</f>
        <v xml:space="preserve">2262 EZ </v>
      </c>
      <c r="E500" s="157" t="str">
        <f>VLOOKUP(Ruimtestaat[[#This Row],[Code]],Locaties[#All],6,FALSE)</f>
        <v>Leidschendam</v>
      </c>
      <c r="F500" s="62"/>
      <c r="G500" s="21" t="s">
        <v>1624</v>
      </c>
      <c r="H500" s="21" t="s">
        <v>1680</v>
      </c>
      <c r="I500" s="62" t="s">
        <v>1929</v>
      </c>
      <c r="J500" s="21">
        <v>16</v>
      </c>
      <c r="K500" s="62" t="str">
        <f>VLOOKUP(Ruimtestaat[[#This Row],[Ruimte code]],Ruimtegroepen[[#All],[Code]:[Ruimte omschrijving]],2,FALSE)</f>
        <v>Leslokalen theorie</v>
      </c>
      <c r="L500" s="33" t="s">
        <v>103</v>
      </c>
      <c r="M500" s="367" t="s">
        <v>121</v>
      </c>
      <c r="N500" s="140">
        <v>56</v>
      </c>
      <c r="O500" s="140"/>
      <c r="P500" s="125" t="str">
        <f>VLOOKUP(Ruimtestaat[[#This Row],[Ruimte code]],Ruimtegroepen[],4,FALSE)</f>
        <v>Le</v>
      </c>
      <c r="R500" s="33">
        <v>40</v>
      </c>
      <c r="S500" s="33" t="s">
        <v>2</v>
      </c>
      <c r="T500" s="33">
        <f>IF(R500&gt;0,IF(RIGHT(Ruimtestaat[[#This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0" s="33">
        <f>IF(T500&gt;0,VLOOKUP($J500,Ruimtegroepen[],3,FALSE)*VLOOKUP($L500,Vloersoorten[],3,FALSE)*VLOOKUP($S500,Frequenties[],3,FALSE)*VLOOKUP($A500,Locaties[],3,FALSE),0)</f>
        <v>0</v>
      </c>
      <c r="V500" s="33">
        <f>Ruimtestaat[[#This Row],[Uitvoeringen werkdagen]]*Ruimtestaat[[#This Row],[Oppervlak (netto)]]</f>
        <v>11200</v>
      </c>
      <c r="W500" s="154">
        <f>IF(U500&gt;0,Ruimtestaat[[#This Row],[Prest. (m2 /jaar) werkdagen]]/Ruimtestaat[[#This Row],[Norm (m2/uur) werkdagen]],0)</f>
        <v>0</v>
      </c>
      <c r="X500" s="155">
        <f>Ruimtestaat[[#This Row],[uren / jaar werkdagen]]*Tariefsopbouw!$E$35</f>
        <v>0</v>
      </c>
      <c r="Y500" s="33"/>
      <c r="Z500" s="33">
        <f>IF(Ruimtestaat[[#This Row],[Frequentie weekend]]&gt;0,VALUE(LEFT(Y500,1))*R500,0)</f>
        <v>0</v>
      </c>
      <c r="AA500" s="97">
        <f>IF($Z500&gt;0,VLOOKUP($J500,Ruimtegroepen[],3,FALSE)*VLOOKUP($L500,Vloersoorten[],3,FALSE)*VLOOKUP($Y500,Frequenties[],3,FALSE)*VLOOKUP(Ruimtestaat[[#This Row],[Code]],Locaties[],3,FALSE),0)</f>
        <v>0</v>
      </c>
      <c r="AB500" s="97">
        <f>Ruimtestaat[[#This Row],[Uitvoeringen weekend]]*Ruimtestaat[[#This Row],[Oppervlak (netto)]]</f>
        <v>0</v>
      </c>
      <c r="AC500" s="97">
        <f>IF(AA500&gt;0,Ruimtestaat[[#This Row],[Prest. (m2 /jaar) weekend]]/Ruimtestaat[[#This Row],[Norm (m2/uur) weekend]],0)</f>
        <v>0</v>
      </c>
      <c r="AD500" s="155">
        <f>Ruimtestaat[[#This Row],[uren / jaar weekend]]*Tariefsopbouw!$D$40</f>
        <v>0</v>
      </c>
      <c r="AE500" s="154">
        <f>Ruimtestaat[[#This Row],[Prest. (m2 /jaar) weekend]]+Ruimtestaat[[#This Row],[Prest. (m2 /jaar) werkdagen]]</f>
        <v>11200</v>
      </c>
      <c r="AF500" s="154">
        <f>Ruimtestaat[[#This Row],[uren / jaar weekend]]+Ruimtestaat[[#This Row],[uren / jaar werkdagen]]</f>
        <v>0</v>
      </c>
      <c r="AG500" s="69">
        <f>Ruimtestaat[[#This Row],[kosten / jaar weekend]]+Ruimtestaat[[#This Row],[kosten / jaar werkdagen]]</f>
        <v>0</v>
      </c>
      <c r="AH500" s="69"/>
      <c r="AI500" s="256" t="str">
        <f>IF(Ruimtestaat[[#This Row],[Frequentie werkdagen]]="","",_xlfn.CONCAT(Ruimtestaat[[#This Row],[Ruimte code]],"-",Ruimtestaat[[#This Row],[Frequentie werkdagen]]," ",Ruimtestaat[[#This Row],[Vloer code]]))</f>
        <v>16-5w P</v>
      </c>
      <c r="AJ500" s="300" t="str">
        <f>_xlfn.IFNA(VLOOKUP($AI500,Programma!$F$3:$G$1107,2,0),"")</f>
        <v>_</v>
      </c>
      <c r="AK500" s="300" t="str">
        <f>_xlfn.IFNA(VLOOKUP($AI500,Programma!$F$3:$H$1107,3,0),"")</f>
        <v>_</v>
      </c>
      <c r="AL500" s="300" t="str">
        <f>_xlfn.IFNA(VLOOKUP($AI500,Programma!$F$3:$I$1107,4,0),"")</f>
        <v>4w</v>
      </c>
      <c r="AM500" s="300" t="str">
        <f>_xlfn.IFNA(VLOOKUP($AI500,Programma!$F$3:$J$1107,5,0),"")</f>
        <v>1w</v>
      </c>
      <c r="AN500" s="300" t="str">
        <f>_xlfn.IFNA(VLOOKUP($AI500,Programma!$F$3:$K$1107,6,0),"")</f>
        <v>1m</v>
      </c>
      <c r="AO500" s="300" t="str">
        <f>_xlfn.IFNA(VLOOKUP($AI500,Programma!$F$3:$L$1107,7,0),"")</f>
        <v>_</v>
      </c>
      <c r="AP500" s="300" t="str">
        <f>_xlfn.IFNA(VLOOKUP($AI500,Programma!$F$3:$M$1107,8,0),"")</f>
        <v>_</v>
      </c>
      <c r="AQ500" s="300" t="str">
        <f>_xlfn.IFNA(VLOOKUP($AI500,Programma!$F$3:$N$1107,9,0),"")</f>
        <v>_</v>
      </c>
      <c r="AR500" s="300" t="str">
        <f>_xlfn.IFNA(VLOOKUP($AI500,Programma!$F$3:$O$1107,10,0),"")</f>
        <v>5w</v>
      </c>
      <c r="AS500" s="300" t="str">
        <f>_xlfn.IFNA(VLOOKUP($AI500,Programma!$F$3:$P$1107,11,0),"")</f>
        <v>5w</v>
      </c>
      <c r="AT500" s="300" t="str">
        <f>_xlfn.IFNA(VLOOKUP($AI500,Programma!$F$3:$Q$1107,12,0),"")</f>
        <v>1w</v>
      </c>
      <c r="AU500" s="300" t="str">
        <f>_xlfn.IFNA(VLOOKUP($AI500,Programma!$F$3:$R$1107,13,0),"")</f>
        <v>1w</v>
      </c>
      <c r="AV500" s="300" t="str">
        <f>_xlfn.IFNA(VLOOKUP($AI500,Programma!$F$3:$S$1107,14,0),"")</f>
        <v>1m</v>
      </c>
      <c r="AW500" s="300" t="str">
        <f>_xlfn.IFNA(VLOOKUP($AI500,Programma!$F$3:$T$1107,15,0),"")</f>
        <v>2j</v>
      </c>
      <c r="AX500" s="300" t="str">
        <f>_xlfn.IFNA(VLOOKUP($AI500,Programma!$F$3:$U$1107,16,0),"")</f>
        <v>1j</v>
      </c>
      <c r="AY500" s="300" t="str">
        <f>_xlfn.IFNA(VLOOKUP($AI500,Programma!$F$3:$V$1107,17,0),"")</f>
        <v>_</v>
      </c>
      <c r="AZ500" s="300" t="str">
        <f>_xlfn.IFNA(VLOOKUP($AI500,Programma!$F$3:$W$1107,18,0),"")</f>
        <v>_</v>
      </c>
      <c r="BA500" s="300" t="str">
        <f>_xlfn.IFNA(VLOOKUP($AI500,Programma!$F$3:$X$1107,19,0),"")</f>
        <v>_</v>
      </c>
      <c r="BB500" s="300" t="str">
        <f>_xlfn.IFNA(VLOOKUP($AI500,Programma!$F$3:$Y$1107,20,0),"")</f>
        <v>_</v>
      </c>
      <c r="BC500" s="257"/>
      <c r="BD500" s="256" t="str">
        <f>IF(Ruimtestaat[[#This Row],[Frequentie weekend]]="","",_xlfn.CONCAT(Ruimtestaat[[#This Row],[Ruimte code]],"-",Ruimtestaat[[#This Row],[Frequentie weekend]]," ",Ruimtestaat[[#This Row],[Vloer code]]))</f>
        <v/>
      </c>
      <c r="BE500" s="300" t="str">
        <f>_xlfn.IFNA(VLOOKUP($BD500,Programma!$F$3:$G$1107,2,0),"")</f>
        <v/>
      </c>
      <c r="BF500" s="300" t="str">
        <f>_xlfn.IFNA(VLOOKUP($BD500,Programma!$F$3:$H$1107,3,0),"")</f>
        <v/>
      </c>
      <c r="BG500" s="300" t="str">
        <f>_xlfn.IFNA(VLOOKUP($BD500,Programma!$F$3:$I$1107,4,0),"")</f>
        <v/>
      </c>
      <c r="BH500" s="300" t="str">
        <f>_xlfn.IFNA(VLOOKUP($BD500,Programma!$F$3:$J$1107,5,0),"")</f>
        <v/>
      </c>
      <c r="BI500" s="300" t="str">
        <f>_xlfn.IFNA(VLOOKUP($BD500,Programma!$F$3:$K$1107,6,0),"")</f>
        <v/>
      </c>
      <c r="BJ500" s="300" t="str">
        <f>_xlfn.IFNA(VLOOKUP($BD500,Programma!$F$3:$L$1107,7,0),"")</f>
        <v/>
      </c>
      <c r="BK500" s="300" t="str">
        <f>_xlfn.IFNA(VLOOKUP($BD500,Programma!$F$3:$M$1107,8,0),"")</f>
        <v/>
      </c>
      <c r="BL500" s="300" t="str">
        <f>_xlfn.IFNA(VLOOKUP($BD500,Programma!$F$3:$N$1107,9,0),"")</f>
        <v/>
      </c>
      <c r="BM500" s="300" t="str">
        <f>_xlfn.IFNA(VLOOKUP($BD500,Programma!$F$3:$O$1107,10,0),"")</f>
        <v/>
      </c>
      <c r="BN500" s="300" t="str">
        <f>_xlfn.IFNA(VLOOKUP($BD500,Programma!$F$3:$P$1107,11,0),"")</f>
        <v/>
      </c>
      <c r="BO500" s="300" t="str">
        <f>_xlfn.IFNA(VLOOKUP($BD500,Programma!$F$3:$Q$1107,12,0),"")</f>
        <v/>
      </c>
      <c r="BP500" s="300" t="str">
        <f>_xlfn.IFNA(VLOOKUP($BD500,Programma!$F$3:$R$1107,13,0),"")</f>
        <v/>
      </c>
      <c r="BQ500" s="300" t="str">
        <f>_xlfn.IFNA(VLOOKUP($BD500,Programma!$F$3:$S$1107,14,0),"")</f>
        <v/>
      </c>
      <c r="BR500" s="300" t="str">
        <f>_xlfn.IFNA(VLOOKUP($BD500,Programma!$F$3:$T$1107,15,0),"")</f>
        <v/>
      </c>
      <c r="BS500" s="300" t="str">
        <f>_xlfn.IFNA(VLOOKUP($BD500,Programma!$F$3:$U$1107,16,0),"")</f>
        <v/>
      </c>
      <c r="BT500" s="300" t="str">
        <f>_xlfn.IFNA(VLOOKUP($BD500,Programma!$F$3:$V$1107,17,0),"")</f>
        <v/>
      </c>
      <c r="BU500" s="300" t="str">
        <f>_xlfn.IFNA(VLOOKUP($BD500,Programma!$F$3:$W$1107,18,0),"")</f>
        <v/>
      </c>
      <c r="BV500" s="300" t="str">
        <f>_xlfn.IFNA(VLOOKUP($BD500,Programma!$F$3:$X$1107,19,0),"")</f>
        <v/>
      </c>
      <c r="BW500" s="300" t="str">
        <f>_xlfn.IFNA(VLOOKUP($BD500,Programma!$F$3:$Y$1107,20,0),"")</f>
        <v/>
      </c>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c r="GK500" s="4"/>
      <c r="GL500" s="4"/>
      <c r="GM500" s="4"/>
      <c r="GN500" s="4"/>
      <c r="GO500" s="4"/>
      <c r="GP500" s="4"/>
      <c r="GQ500" s="4"/>
      <c r="GR500" s="4"/>
      <c r="GS500" s="4"/>
      <c r="GT500" s="4"/>
      <c r="GU500" s="4"/>
      <c r="GV500" s="4"/>
      <c r="GW500" s="4"/>
      <c r="GX500" s="4"/>
      <c r="GY500" s="4"/>
      <c r="GZ500" s="4"/>
      <c r="HA500" s="4"/>
      <c r="HB500" s="4"/>
      <c r="HC500" s="4"/>
      <c r="HD500" s="4"/>
      <c r="HE500" s="4"/>
      <c r="HF500" s="4"/>
      <c r="HG500" s="4"/>
      <c r="HH500" s="4"/>
      <c r="HI500" s="4"/>
      <c r="HJ500" s="4"/>
      <c r="HK500" s="4"/>
      <c r="HL500" s="4"/>
    </row>
    <row r="501" spans="1:220" ht="15" customHeight="1">
      <c r="A501" s="21">
        <v>6</v>
      </c>
      <c r="B501" s="157" t="str">
        <f>VLOOKUP(Ruimtestaat[[#This Row],[Code]],Locaties[[Code]:[Locatie]],2,FALSE)</f>
        <v>Veurs Lyceum</v>
      </c>
      <c r="C501" s="157" t="str">
        <f>VLOOKUP(Ruimtestaat[[#This Row],[Code]],Locaties[[#All],[Code]:[Adres]],4,FALSE)</f>
        <v>Burg. Kolfschotenlaan 5</v>
      </c>
      <c r="D501" s="157" t="str">
        <f>VLOOKUP(Ruimtestaat[[#This Row],[Code]],Locaties[[#All],[Code]:[Postcode]],5,FALSE)</f>
        <v xml:space="preserve">2262 EZ </v>
      </c>
      <c r="E501" s="157" t="str">
        <f>VLOOKUP(Ruimtestaat[[#This Row],[Code]],Locaties[#All],6,FALSE)</f>
        <v>Leidschendam</v>
      </c>
      <c r="F501" s="62"/>
      <c r="G501" s="21" t="s">
        <v>1624</v>
      </c>
      <c r="H501" s="21" t="s">
        <v>1681</v>
      </c>
      <c r="I501" s="62" t="s">
        <v>1931</v>
      </c>
      <c r="J501" s="21">
        <v>16</v>
      </c>
      <c r="K501" s="62" t="str">
        <f>VLOOKUP(Ruimtestaat[[#This Row],[Ruimte code]],Ruimtegroepen[[#All],[Code]:[Ruimte omschrijving]],2,FALSE)</f>
        <v>Leslokalen theorie</v>
      </c>
      <c r="L501" s="33" t="s">
        <v>103</v>
      </c>
      <c r="M501" s="367" t="s">
        <v>121</v>
      </c>
      <c r="N501" s="140">
        <v>55</v>
      </c>
      <c r="O501" s="140"/>
      <c r="P501" s="125" t="str">
        <f>VLOOKUP(Ruimtestaat[[#This Row],[Ruimte code]],Ruimtegroepen[],4,FALSE)</f>
        <v>Le</v>
      </c>
      <c r="R501" s="33">
        <v>40</v>
      </c>
      <c r="S501" s="33" t="s">
        <v>2</v>
      </c>
      <c r="T501" s="33">
        <f>IF(R501&gt;0,IF(RIGHT(Ruimtestaat[[#This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1" s="33">
        <f>IF(T501&gt;0,VLOOKUP($J501,Ruimtegroepen[],3,FALSE)*VLOOKUP($L501,Vloersoorten[],3,FALSE)*VLOOKUP($S501,Frequenties[],3,FALSE)*VLOOKUP($A501,Locaties[],3,FALSE),0)</f>
        <v>0</v>
      </c>
      <c r="V501" s="33">
        <f>Ruimtestaat[[#This Row],[Uitvoeringen werkdagen]]*Ruimtestaat[[#This Row],[Oppervlak (netto)]]</f>
        <v>11000</v>
      </c>
      <c r="W501" s="154">
        <f>IF(U501&gt;0,Ruimtestaat[[#This Row],[Prest. (m2 /jaar) werkdagen]]/Ruimtestaat[[#This Row],[Norm (m2/uur) werkdagen]],0)</f>
        <v>0</v>
      </c>
      <c r="X501" s="155">
        <f>Ruimtestaat[[#This Row],[uren / jaar werkdagen]]*Tariefsopbouw!$E$35</f>
        <v>0</v>
      </c>
      <c r="Y501" s="33"/>
      <c r="Z501" s="33">
        <f>IF(Ruimtestaat[[#This Row],[Frequentie weekend]]&gt;0,VALUE(LEFT(Y501,1))*R501,0)</f>
        <v>0</v>
      </c>
      <c r="AA501" s="97">
        <f>IF($Z501&gt;0,VLOOKUP($J501,Ruimtegroepen[],3,FALSE)*VLOOKUP($L501,Vloersoorten[],3,FALSE)*VLOOKUP($Y501,Frequenties[],3,FALSE)*VLOOKUP(Ruimtestaat[[#This Row],[Code]],Locaties[],3,FALSE),0)</f>
        <v>0</v>
      </c>
      <c r="AB501" s="97">
        <f>Ruimtestaat[[#This Row],[Uitvoeringen weekend]]*Ruimtestaat[[#This Row],[Oppervlak (netto)]]</f>
        <v>0</v>
      </c>
      <c r="AC501" s="97">
        <f>IF(AA501&gt;0,Ruimtestaat[[#This Row],[Prest. (m2 /jaar) weekend]]/Ruimtestaat[[#This Row],[Norm (m2/uur) weekend]],0)</f>
        <v>0</v>
      </c>
      <c r="AD501" s="155">
        <f>Ruimtestaat[[#This Row],[uren / jaar weekend]]*Tariefsopbouw!$D$40</f>
        <v>0</v>
      </c>
      <c r="AE501" s="154">
        <f>Ruimtestaat[[#This Row],[Prest. (m2 /jaar) weekend]]+Ruimtestaat[[#This Row],[Prest. (m2 /jaar) werkdagen]]</f>
        <v>11000</v>
      </c>
      <c r="AF501" s="154">
        <f>Ruimtestaat[[#This Row],[uren / jaar weekend]]+Ruimtestaat[[#This Row],[uren / jaar werkdagen]]</f>
        <v>0</v>
      </c>
      <c r="AG501" s="69">
        <f>Ruimtestaat[[#This Row],[kosten / jaar weekend]]+Ruimtestaat[[#This Row],[kosten / jaar werkdagen]]</f>
        <v>0</v>
      </c>
      <c r="AH501" s="69"/>
      <c r="AI501" s="256" t="str">
        <f>IF(Ruimtestaat[[#This Row],[Frequentie werkdagen]]="","",_xlfn.CONCAT(Ruimtestaat[[#This Row],[Ruimte code]],"-",Ruimtestaat[[#This Row],[Frequentie werkdagen]]," ",Ruimtestaat[[#This Row],[Vloer code]]))</f>
        <v>16-5w P</v>
      </c>
      <c r="AJ501" s="300" t="str">
        <f>_xlfn.IFNA(VLOOKUP($AI501,Programma!$F$3:$G$1107,2,0),"")</f>
        <v>_</v>
      </c>
      <c r="AK501" s="300" t="str">
        <f>_xlfn.IFNA(VLOOKUP($AI501,Programma!$F$3:$H$1107,3,0),"")</f>
        <v>_</v>
      </c>
      <c r="AL501" s="300" t="str">
        <f>_xlfn.IFNA(VLOOKUP($AI501,Programma!$F$3:$I$1107,4,0),"")</f>
        <v>4w</v>
      </c>
      <c r="AM501" s="300" t="str">
        <f>_xlfn.IFNA(VLOOKUP($AI501,Programma!$F$3:$J$1107,5,0),"")</f>
        <v>1w</v>
      </c>
      <c r="AN501" s="300" t="str">
        <f>_xlfn.IFNA(VLOOKUP($AI501,Programma!$F$3:$K$1107,6,0),"")</f>
        <v>1m</v>
      </c>
      <c r="AO501" s="300" t="str">
        <f>_xlfn.IFNA(VLOOKUP($AI501,Programma!$F$3:$L$1107,7,0),"")</f>
        <v>_</v>
      </c>
      <c r="AP501" s="300" t="str">
        <f>_xlfn.IFNA(VLOOKUP($AI501,Programma!$F$3:$M$1107,8,0),"")</f>
        <v>_</v>
      </c>
      <c r="AQ501" s="300" t="str">
        <f>_xlfn.IFNA(VLOOKUP($AI501,Programma!$F$3:$N$1107,9,0),"")</f>
        <v>_</v>
      </c>
      <c r="AR501" s="300" t="str">
        <f>_xlfn.IFNA(VLOOKUP($AI501,Programma!$F$3:$O$1107,10,0),"")</f>
        <v>5w</v>
      </c>
      <c r="AS501" s="300" t="str">
        <f>_xlfn.IFNA(VLOOKUP($AI501,Programma!$F$3:$P$1107,11,0),"")</f>
        <v>5w</v>
      </c>
      <c r="AT501" s="300" t="str">
        <f>_xlfn.IFNA(VLOOKUP($AI501,Programma!$F$3:$Q$1107,12,0),"")</f>
        <v>1w</v>
      </c>
      <c r="AU501" s="300" t="str">
        <f>_xlfn.IFNA(VLOOKUP($AI501,Programma!$F$3:$R$1107,13,0),"")</f>
        <v>1w</v>
      </c>
      <c r="AV501" s="300" t="str">
        <f>_xlfn.IFNA(VLOOKUP($AI501,Programma!$F$3:$S$1107,14,0),"")</f>
        <v>1m</v>
      </c>
      <c r="AW501" s="300" t="str">
        <f>_xlfn.IFNA(VLOOKUP($AI501,Programma!$F$3:$T$1107,15,0),"")</f>
        <v>2j</v>
      </c>
      <c r="AX501" s="300" t="str">
        <f>_xlfn.IFNA(VLOOKUP($AI501,Programma!$F$3:$U$1107,16,0),"")</f>
        <v>1j</v>
      </c>
      <c r="AY501" s="300" t="str">
        <f>_xlfn.IFNA(VLOOKUP($AI501,Programma!$F$3:$V$1107,17,0),"")</f>
        <v>_</v>
      </c>
      <c r="AZ501" s="300" t="str">
        <f>_xlfn.IFNA(VLOOKUP($AI501,Programma!$F$3:$W$1107,18,0),"")</f>
        <v>_</v>
      </c>
      <c r="BA501" s="300" t="str">
        <f>_xlfn.IFNA(VLOOKUP($AI501,Programma!$F$3:$X$1107,19,0),"")</f>
        <v>_</v>
      </c>
      <c r="BB501" s="300" t="str">
        <f>_xlfn.IFNA(VLOOKUP($AI501,Programma!$F$3:$Y$1107,20,0),"")</f>
        <v>_</v>
      </c>
      <c r="BC501" s="257"/>
      <c r="BD501" s="256" t="str">
        <f>IF(Ruimtestaat[[#This Row],[Frequentie weekend]]="","",_xlfn.CONCAT(Ruimtestaat[[#This Row],[Ruimte code]],"-",Ruimtestaat[[#This Row],[Frequentie weekend]]," ",Ruimtestaat[[#This Row],[Vloer code]]))</f>
        <v/>
      </c>
      <c r="BE501" s="300" t="str">
        <f>_xlfn.IFNA(VLOOKUP($BD501,Programma!$F$3:$G$1107,2,0),"")</f>
        <v/>
      </c>
      <c r="BF501" s="300" t="str">
        <f>_xlfn.IFNA(VLOOKUP($BD501,Programma!$F$3:$H$1107,3,0),"")</f>
        <v/>
      </c>
      <c r="BG501" s="300" t="str">
        <f>_xlfn.IFNA(VLOOKUP($BD501,Programma!$F$3:$I$1107,4,0),"")</f>
        <v/>
      </c>
      <c r="BH501" s="300" t="str">
        <f>_xlfn.IFNA(VLOOKUP($BD501,Programma!$F$3:$J$1107,5,0),"")</f>
        <v/>
      </c>
      <c r="BI501" s="300" t="str">
        <f>_xlfn.IFNA(VLOOKUP($BD501,Programma!$F$3:$K$1107,6,0),"")</f>
        <v/>
      </c>
      <c r="BJ501" s="300" t="str">
        <f>_xlfn.IFNA(VLOOKUP($BD501,Programma!$F$3:$L$1107,7,0),"")</f>
        <v/>
      </c>
      <c r="BK501" s="300" t="str">
        <f>_xlfn.IFNA(VLOOKUP($BD501,Programma!$F$3:$M$1107,8,0),"")</f>
        <v/>
      </c>
      <c r="BL501" s="300" t="str">
        <f>_xlfn.IFNA(VLOOKUP($BD501,Programma!$F$3:$N$1107,9,0),"")</f>
        <v/>
      </c>
      <c r="BM501" s="300" t="str">
        <f>_xlfn.IFNA(VLOOKUP($BD501,Programma!$F$3:$O$1107,10,0),"")</f>
        <v/>
      </c>
      <c r="BN501" s="300" t="str">
        <f>_xlfn.IFNA(VLOOKUP($BD501,Programma!$F$3:$P$1107,11,0),"")</f>
        <v/>
      </c>
      <c r="BO501" s="300" t="str">
        <f>_xlfn.IFNA(VLOOKUP($BD501,Programma!$F$3:$Q$1107,12,0),"")</f>
        <v/>
      </c>
      <c r="BP501" s="300" t="str">
        <f>_xlfn.IFNA(VLOOKUP($BD501,Programma!$F$3:$R$1107,13,0),"")</f>
        <v/>
      </c>
      <c r="BQ501" s="300" t="str">
        <f>_xlfn.IFNA(VLOOKUP($BD501,Programma!$F$3:$S$1107,14,0),"")</f>
        <v/>
      </c>
      <c r="BR501" s="300" t="str">
        <f>_xlfn.IFNA(VLOOKUP($BD501,Programma!$F$3:$T$1107,15,0),"")</f>
        <v/>
      </c>
      <c r="BS501" s="300" t="str">
        <f>_xlfn.IFNA(VLOOKUP($BD501,Programma!$F$3:$U$1107,16,0),"")</f>
        <v/>
      </c>
      <c r="BT501" s="300" t="str">
        <f>_xlfn.IFNA(VLOOKUP($BD501,Programma!$F$3:$V$1107,17,0),"")</f>
        <v/>
      </c>
      <c r="BU501" s="300" t="str">
        <f>_xlfn.IFNA(VLOOKUP($BD501,Programma!$F$3:$W$1107,18,0),"")</f>
        <v/>
      </c>
      <c r="BV501" s="300" t="str">
        <f>_xlfn.IFNA(VLOOKUP($BD501,Programma!$F$3:$X$1107,19,0),"")</f>
        <v/>
      </c>
      <c r="BW501" s="300" t="str">
        <f>_xlfn.IFNA(VLOOKUP($BD501,Programma!$F$3:$Y$1107,20,0),"")</f>
        <v/>
      </c>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c r="GK501" s="4"/>
      <c r="GL501" s="4"/>
      <c r="GM501" s="4"/>
      <c r="GN501" s="4"/>
      <c r="GO501" s="4"/>
      <c r="GP501" s="4"/>
      <c r="GQ501" s="4"/>
      <c r="GR501" s="4"/>
      <c r="GS501" s="4"/>
      <c r="GT501" s="4"/>
      <c r="GU501" s="4"/>
      <c r="GV501" s="4"/>
      <c r="GW501" s="4"/>
      <c r="GX501" s="4"/>
      <c r="GY501" s="4"/>
      <c r="GZ501" s="4"/>
      <c r="HA501" s="4"/>
      <c r="HB501" s="4"/>
      <c r="HC501" s="4"/>
      <c r="HD501" s="4"/>
      <c r="HE501" s="4"/>
      <c r="HF501" s="4"/>
      <c r="HG501" s="4"/>
      <c r="HH501" s="4"/>
      <c r="HI501" s="4"/>
      <c r="HJ501" s="4"/>
      <c r="HK501" s="4"/>
      <c r="HL501" s="4"/>
    </row>
    <row r="502" spans="1:220" ht="15" customHeight="1">
      <c r="A502" s="21">
        <v>6</v>
      </c>
      <c r="B502" s="157" t="str">
        <f>VLOOKUP(Ruimtestaat[[#This Row],[Code]],Locaties[[Code]:[Locatie]],2,FALSE)</f>
        <v>Veurs Lyceum</v>
      </c>
      <c r="C502" s="157" t="str">
        <f>VLOOKUP(Ruimtestaat[[#This Row],[Code]],Locaties[[#All],[Code]:[Adres]],4,FALSE)</f>
        <v>Burg. Kolfschotenlaan 5</v>
      </c>
      <c r="D502" s="157" t="str">
        <f>VLOOKUP(Ruimtestaat[[#This Row],[Code]],Locaties[[#All],[Code]:[Postcode]],5,FALSE)</f>
        <v xml:space="preserve">2262 EZ </v>
      </c>
      <c r="E502" s="157" t="str">
        <f>VLOOKUP(Ruimtestaat[[#This Row],[Code]],Locaties[#All],6,FALSE)</f>
        <v>Leidschendam</v>
      </c>
      <c r="F502" s="62"/>
      <c r="G502" s="21" t="s">
        <v>1624</v>
      </c>
      <c r="H502" s="21" t="s">
        <v>1683</v>
      </c>
      <c r="I502" s="62" t="s">
        <v>1933</v>
      </c>
      <c r="J502" s="21">
        <v>16</v>
      </c>
      <c r="K502" s="62" t="str">
        <f>VLOOKUP(Ruimtestaat[[#This Row],[Ruimte code]],Ruimtegroepen[[#All],[Code]:[Ruimte omschrijving]],2,FALSE)</f>
        <v>Leslokalen theorie</v>
      </c>
      <c r="L502" s="33" t="s">
        <v>103</v>
      </c>
      <c r="M502" s="367" t="s">
        <v>121</v>
      </c>
      <c r="N502" s="140">
        <v>60</v>
      </c>
      <c r="O502" s="140"/>
      <c r="P502" s="125" t="str">
        <f>VLOOKUP(Ruimtestaat[[#This Row],[Ruimte code]],Ruimtegroepen[],4,FALSE)</f>
        <v>Le</v>
      </c>
      <c r="R502" s="33">
        <v>40</v>
      </c>
      <c r="S502" s="33" t="s">
        <v>2</v>
      </c>
      <c r="T502" s="33">
        <f>IF(R502&gt;0,IF(RIGHT(Ruimtestaat[[#This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2" s="33">
        <f>IF(T502&gt;0,VLOOKUP($J502,Ruimtegroepen[],3,FALSE)*VLOOKUP($L502,Vloersoorten[],3,FALSE)*VLOOKUP($S502,Frequenties[],3,FALSE)*VLOOKUP($A502,Locaties[],3,FALSE),0)</f>
        <v>0</v>
      </c>
      <c r="V502" s="33">
        <f>Ruimtestaat[[#This Row],[Uitvoeringen werkdagen]]*Ruimtestaat[[#This Row],[Oppervlak (netto)]]</f>
        <v>12000</v>
      </c>
      <c r="W502" s="154">
        <f>IF(U502&gt;0,Ruimtestaat[[#This Row],[Prest. (m2 /jaar) werkdagen]]/Ruimtestaat[[#This Row],[Norm (m2/uur) werkdagen]],0)</f>
        <v>0</v>
      </c>
      <c r="X502" s="155">
        <f>Ruimtestaat[[#This Row],[uren / jaar werkdagen]]*Tariefsopbouw!$E$35</f>
        <v>0</v>
      </c>
      <c r="Y502" s="33"/>
      <c r="Z502" s="33">
        <f>IF(Ruimtestaat[[#This Row],[Frequentie weekend]]&gt;0,VALUE(LEFT(Y502,1))*R502,0)</f>
        <v>0</v>
      </c>
      <c r="AA502" s="97">
        <f>IF($Z502&gt;0,VLOOKUP($J502,Ruimtegroepen[],3,FALSE)*VLOOKUP($L502,Vloersoorten[],3,FALSE)*VLOOKUP($Y502,Frequenties[],3,FALSE)*VLOOKUP(Ruimtestaat[[#This Row],[Code]],Locaties[],3,FALSE),0)</f>
        <v>0</v>
      </c>
      <c r="AB502" s="97">
        <f>Ruimtestaat[[#This Row],[Uitvoeringen weekend]]*Ruimtestaat[[#This Row],[Oppervlak (netto)]]</f>
        <v>0</v>
      </c>
      <c r="AC502" s="97">
        <f>IF(AA502&gt;0,Ruimtestaat[[#This Row],[Prest. (m2 /jaar) weekend]]/Ruimtestaat[[#This Row],[Norm (m2/uur) weekend]],0)</f>
        <v>0</v>
      </c>
      <c r="AD502" s="155">
        <f>Ruimtestaat[[#This Row],[uren / jaar weekend]]*Tariefsopbouw!$D$40</f>
        <v>0</v>
      </c>
      <c r="AE502" s="154">
        <f>Ruimtestaat[[#This Row],[Prest. (m2 /jaar) weekend]]+Ruimtestaat[[#This Row],[Prest. (m2 /jaar) werkdagen]]</f>
        <v>12000</v>
      </c>
      <c r="AF502" s="154">
        <f>Ruimtestaat[[#This Row],[uren / jaar weekend]]+Ruimtestaat[[#This Row],[uren / jaar werkdagen]]</f>
        <v>0</v>
      </c>
      <c r="AG502" s="69">
        <f>Ruimtestaat[[#This Row],[kosten / jaar weekend]]+Ruimtestaat[[#This Row],[kosten / jaar werkdagen]]</f>
        <v>0</v>
      </c>
      <c r="AH502" s="69"/>
      <c r="AI502" s="256" t="str">
        <f>IF(Ruimtestaat[[#This Row],[Frequentie werkdagen]]="","",_xlfn.CONCAT(Ruimtestaat[[#This Row],[Ruimte code]],"-",Ruimtestaat[[#This Row],[Frequentie werkdagen]]," ",Ruimtestaat[[#This Row],[Vloer code]]))</f>
        <v>16-5w P</v>
      </c>
      <c r="AJ502" s="300" t="str">
        <f>_xlfn.IFNA(VLOOKUP($AI502,Programma!$F$3:$G$1107,2,0),"")</f>
        <v>_</v>
      </c>
      <c r="AK502" s="300" t="str">
        <f>_xlfn.IFNA(VLOOKUP($AI502,Programma!$F$3:$H$1107,3,0),"")</f>
        <v>_</v>
      </c>
      <c r="AL502" s="300" t="str">
        <f>_xlfn.IFNA(VLOOKUP($AI502,Programma!$F$3:$I$1107,4,0),"")</f>
        <v>4w</v>
      </c>
      <c r="AM502" s="300" t="str">
        <f>_xlfn.IFNA(VLOOKUP($AI502,Programma!$F$3:$J$1107,5,0),"")</f>
        <v>1w</v>
      </c>
      <c r="AN502" s="300" t="str">
        <f>_xlfn.IFNA(VLOOKUP($AI502,Programma!$F$3:$K$1107,6,0),"")</f>
        <v>1m</v>
      </c>
      <c r="AO502" s="300" t="str">
        <f>_xlfn.IFNA(VLOOKUP($AI502,Programma!$F$3:$L$1107,7,0),"")</f>
        <v>_</v>
      </c>
      <c r="AP502" s="300" t="str">
        <f>_xlfn.IFNA(VLOOKUP($AI502,Programma!$F$3:$M$1107,8,0),"")</f>
        <v>_</v>
      </c>
      <c r="AQ502" s="300" t="str">
        <f>_xlfn.IFNA(VLOOKUP($AI502,Programma!$F$3:$N$1107,9,0),"")</f>
        <v>_</v>
      </c>
      <c r="AR502" s="300" t="str">
        <f>_xlfn.IFNA(VLOOKUP($AI502,Programma!$F$3:$O$1107,10,0),"")</f>
        <v>5w</v>
      </c>
      <c r="AS502" s="300" t="str">
        <f>_xlfn.IFNA(VLOOKUP($AI502,Programma!$F$3:$P$1107,11,0),"")</f>
        <v>5w</v>
      </c>
      <c r="AT502" s="300" t="str">
        <f>_xlfn.IFNA(VLOOKUP($AI502,Programma!$F$3:$Q$1107,12,0),"")</f>
        <v>1w</v>
      </c>
      <c r="AU502" s="300" t="str">
        <f>_xlfn.IFNA(VLOOKUP($AI502,Programma!$F$3:$R$1107,13,0),"")</f>
        <v>1w</v>
      </c>
      <c r="AV502" s="300" t="str">
        <f>_xlfn.IFNA(VLOOKUP($AI502,Programma!$F$3:$S$1107,14,0),"")</f>
        <v>1m</v>
      </c>
      <c r="AW502" s="300" t="str">
        <f>_xlfn.IFNA(VLOOKUP($AI502,Programma!$F$3:$T$1107,15,0),"")</f>
        <v>2j</v>
      </c>
      <c r="AX502" s="300" t="str">
        <f>_xlfn.IFNA(VLOOKUP($AI502,Programma!$F$3:$U$1107,16,0),"")</f>
        <v>1j</v>
      </c>
      <c r="AY502" s="300" t="str">
        <f>_xlfn.IFNA(VLOOKUP($AI502,Programma!$F$3:$V$1107,17,0),"")</f>
        <v>_</v>
      </c>
      <c r="AZ502" s="300" t="str">
        <f>_xlfn.IFNA(VLOOKUP($AI502,Programma!$F$3:$W$1107,18,0),"")</f>
        <v>_</v>
      </c>
      <c r="BA502" s="300" t="str">
        <f>_xlfn.IFNA(VLOOKUP($AI502,Programma!$F$3:$X$1107,19,0),"")</f>
        <v>_</v>
      </c>
      <c r="BB502" s="300" t="str">
        <f>_xlfn.IFNA(VLOOKUP($AI502,Programma!$F$3:$Y$1107,20,0),"")</f>
        <v>_</v>
      </c>
      <c r="BC502" s="257"/>
      <c r="BD502" s="256" t="str">
        <f>IF(Ruimtestaat[[#This Row],[Frequentie weekend]]="","",_xlfn.CONCAT(Ruimtestaat[[#This Row],[Ruimte code]],"-",Ruimtestaat[[#This Row],[Frequentie weekend]]," ",Ruimtestaat[[#This Row],[Vloer code]]))</f>
        <v/>
      </c>
      <c r="BE502" s="300" t="str">
        <f>_xlfn.IFNA(VLOOKUP($BD502,Programma!$F$3:$G$1107,2,0),"")</f>
        <v/>
      </c>
      <c r="BF502" s="300" t="str">
        <f>_xlfn.IFNA(VLOOKUP($BD502,Programma!$F$3:$H$1107,3,0),"")</f>
        <v/>
      </c>
      <c r="BG502" s="300" t="str">
        <f>_xlfn.IFNA(VLOOKUP($BD502,Programma!$F$3:$I$1107,4,0),"")</f>
        <v/>
      </c>
      <c r="BH502" s="300" t="str">
        <f>_xlfn.IFNA(VLOOKUP($BD502,Programma!$F$3:$J$1107,5,0),"")</f>
        <v/>
      </c>
      <c r="BI502" s="300" t="str">
        <f>_xlfn.IFNA(VLOOKUP($BD502,Programma!$F$3:$K$1107,6,0),"")</f>
        <v/>
      </c>
      <c r="BJ502" s="300" t="str">
        <f>_xlfn.IFNA(VLOOKUP($BD502,Programma!$F$3:$L$1107,7,0),"")</f>
        <v/>
      </c>
      <c r="BK502" s="300" t="str">
        <f>_xlfn.IFNA(VLOOKUP($BD502,Programma!$F$3:$M$1107,8,0),"")</f>
        <v/>
      </c>
      <c r="BL502" s="300" t="str">
        <f>_xlfn.IFNA(VLOOKUP($BD502,Programma!$F$3:$N$1107,9,0),"")</f>
        <v/>
      </c>
      <c r="BM502" s="300" t="str">
        <f>_xlfn.IFNA(VLOOKUP($BD502,Programma!$F$3:$O$1107,10,0),"")</f>
        <v/>
      </c>
      <c r="BN502" s="300" t="str">
        <f>_xlfn.IFNA(VLOOKUP($BD502,Programma!$F$3:$P$1107,11,0),"")</f>
        <v/>
      </c>
      <c r="BO502" s="300" t="str">
        <f>_xlfn.IFNA(VLOOKUP($BD502,Programma!$F$3:$Q$1107,12,0),"")</f>
        <v/>
      </c>
      <c r="BP502" s="300" t="str">
        <f>_xlfn.IFNA(VLOOKUP($BD502,Programma!$F$3:$R$1107,13,0),"")</f>
        <v/>
      </c>
      <c r="BQ502" s="300" t="str">
        <f>_xlfn.IFNA(VLOOKUP($BD502,Programma!$F$3:$S$1107,14,0),"")</f>
        <v/>
      </c>
      <c r="BR502" s="300" t="str">
        <f>_xlfn.IFNA(VLOOKUP($BD502,Programma!$F$3:$T$1107,15,0),"")</f>
        <v/>
      </c>
      <c r="BS502" s="300" t="str">
        <f>_xlfn.IFNA(VLOOKUP($BD502,Programma!$F$3:$U$1107,16,0),"")</f>
        <v/>
      </c>
      <c r="BT502" s="300" t="str">
        <f>_xlfn.IFNA(VLOOKUP($BD502,Programma!$F$3:$V$1107,17,0),"")</f>
        <v/>
      </c>
      <c r="BU502" s="300" t="str">
        <f>_xlfn.IFNA(VLOOKUP($BD502,Programma!$F$3:$W$1107,18,0),"")</f>
        <v/>
      </c>
      <c r="BV502" s="300" t="str">
        <f>_xlfn.IFNA(VLOOKUP($BD502,Programma!$F$3:$X$1107,19,0),"")</f>
        <v/>
      </c>
      <c r="BW502" s="300" t="str">
        <f>_xlfn.IFNA(VLOOKUP($BD502,Programma!$F$3:$Y$1107,20,0),"")</f>
        <v/>
      </c>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c r="GK502" s="4"/>
      <c r="GL502" s="4"/>
      <c r="GM502" s="4"/>
      <c r="GN502" s="4"/>
      <c r="GO502" s="4"/>
      <c r="GP502" s="4"/>
      <c r="GQ502" s="4"/>
      <c r="GR502" s="4"/>
      <c r="GS502" s="4"/>
      <c r="GT502" s="4"/>
      <c r="GU502" s="4"/>
      <c r="GV502" s="4"/>
      <c r="GW502" s="4"/>
      <c r="GX502" s="4"/>
      <c r="GY502" s="4"/>
      <c r="GZ502" s="4"/>
      <c r="HA502" s="4"/>
      <c r="HB502" s="4"/>
      <c r="HC502" s="4"/>
      <c r="HD502" s="4"/>
      <c r="HE502" s="4"/>
      <c r="HF502" s="4"/>
      <c r="HG502" s="4"/>
      <c r="HH502" s="4"/>
      <c r="HI502" s="4"/>
      <c r="HJ502" s="4"/>
      <c r="HK502" s="4"/>
      <c r="HL502" s="4"/>
    </row>
    <row r="503" spans="1:220" ht="15" customHeight="1">
      <c r="A503" s="21">
        <v>6</v>
      </c>
      <c r="B503" s="157" t="str">
        <f>VLOOKUP(Ruimtestaat[[#This Row],[Code]],Locaties[[Code]:[Locatie]],2,FALSE)</f>
        <v>Veurs Lyceum</v>
      </c>
      <c r="C503" s="157" t="str">
        <f>VLOOKUP(Ruimtestaat[[#This Row],[Code]],Locaties[[#All],[Code]:[Adres]],4,FALSE)</f>
        <v>Burg. Kolfschotenlaan 5</v>
      </c>
      <c r="D503" s="157" t="str">
        <f>VLOOKUP(Ruimtestaat[[#This Row],[Code]],Locaties[[#All],[Code]:[Postcode]],5,FALSE)</f>
        <v xml:space="preserve">2262 EZ </v>
      </c>
      <c r="E503" s="157" t="str">
        <f>VLOOKUP(Ruimtestaat[[#This Row],[Code]],Locaties[#All],6,FALSE)</f>
        <v>Leidschendam</v>
      </c>
      <c r="F503" s="62"/>
      <c r="G503" s="21" t="s">
        <v>1624</v>
      </c>
      <c r="H503" s="21" t="s">
        <v>1685</v>
      </c>
      <c r="I503" s="62" t="s">
        <v>1935</v>
      </c>
      <c r="J503" s="21">
        <v>16</v>
      </c>
      <c r="K503" s="62" t="str">
        <f>VLOOKUP(Ruimtestaat[[#This Row],[Ruimte code]],Ruimtegroepen[[#All],[Code]:[Ruimte omschrijving]],2,FALSE)</f>
        <v>Leslokalen theorie</v>
      </c>
      <c r="L503" s="33" t="s">
        <v>103</v>
      </c>
      <c r="M503" s="367" t="s">
        <v>121</v>
      </c>
      <c r="N503" s="140">
        <v>57</v>
      </c>
      <c r="O503" s="140"/>
      <c r="P503" s="125" t="str">
        <f>VLOOKUP(Ruimtestaat[[#This Row],[Ruimte code]],Ruimtegroepen[],4,FALSE)</f>
        <v>Le</v>
      </c>
      <c r="R503" s="33">
        <v>40</v>
      </c>
      <c r="S503" s="33" t="s">
        <v>2</v>
      </c>
      <c r="T503" s="33">
        <f>IF(R503&gt;0,IF(RIGHT(Ruimtestaat[[#This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3" s="33">
        <f>IF(T503&gt;0,VLOOKUP($J503,Ruimtegroepen[],3,FALSE)*VLOOKUP($L503,Vloersoorten[],3,FALSE)*VLOOKUP($S503,Frequenties[],3,FALSE)*VLOOKUP($A503,Locaties[],3,FALSE),0)</f>
        <v>0</v>
      </c>
      <c r="V503" s="33">
        <f>Ruimtestaat[[#This Row],[Uitvoeringen werkdagen]]*Ruimtestaat[[#This Row],[Oppervlak (netto)]]</f>
        <v>11400</v>
      </c>
      <c r="W503" s="154">
        <f>IF(U503&gt;0,Ruimtestaat[[#This Row],[Prest. (m2 /jaar) werkdagen]]/Ruimtestaat[[#This Row],[Norm (m2/uur) werkdagen]],0)</f>
        <v>0</v>
      </c>
      <c r="X503" s="155">
        <f>Ruimtestaat[[#This Row],[uren / jaar werkdagen]]*Tariefsopbouw!$E$35</f>
        <v>0</v>
      </c>
      <c r="Y503" s="33"/>
      <c r="Z503" s="33">
        <f>IF(Ruimtestaat[[#This Row],[Frequentie weekend]]&gt;0,VALUE(LEFT(Y503,1))*R503,0)</f>
        <v>0</v>
      </c>
      <c r="AA503" s="97">
        <f>IF($Z503&gt;0,VLOOKUP($J503,Ruimtegroepen[],3,FALSE)*VLOOKUP($L503,Vloersoorten[],3,FALSE)*VLOOKUP($Y503,Frequenties[],3,FALSE)*VLOOKUP(Ruimtestaat[[#This Row],[Code]],Locaties[],3,FALSE),0)</f>
        <v>0</v>
      </c>
      <c r="AB503" s="97">
        <f>Ruimtestaat[[#This Row],[Uitvoeringen weekend]]*Ruimtestaat[[#This Row],[Oppervlak (netto)]]</f>
        <v>0</v>
      </c>
      <c r="AC503" s="97">
        <f>IF(AA503&gt;0,Ruimtestaat[[#This Row],[Prest. (m2 /jaar) weekend]]/Ruimtestaat[[#This Row],[Norm (m2/uur) weekend]],0)</f>
        <v>0</v>
      </c>
      <c r="AD503" s="155">
        <f>Ruimtestaat[[#This Row],[uren / jaar weekend]]*Tariefsopbouw!$D$40</f>
        <v>0</v>
      </c>
      <c r="AE503" s="154">
        <f>Ruimtestaat[[#This Row],[Prest. (m2 /jaar) weekend]]+Ruimtestaat[[#This Row],[Prest. (m2 /jaar) werkdagen]]</f>
        <v>11400</v>
      </c>
      <c r="AF503" s="154">
        <f>Ruimtestaat[[#This Row],[uren / jaar weekend]]+Ruimtestaat[[#This Row],[uren / jaar werkdagen]]</f>
        <v>0</v>
      </c>
      <c r="AG503" s="69">
        <f>Ruimtestaat[[#This Row],[kosten / jaar weekend]]+Ruimtestaat[[#This Row],[kosten / jaar werkdagen]]</f>
        <v>0</v>
      </c>
      <c r="AH503" s="69"/>
      <c r="AI503" s="256" t="str">
        <f>IF(Ruimtestaat[[#This Row],[Frequentie werkdagen]]="","",_xlfn.CONCAT(Ruimtestaat[[#This Row],[Ruimte code]],"-",Ruimtestaat[[#This Row],[Frequentie werkdagen]]," ",Ruimtestaat[[#This Row],[Vloer code]]))</f>
        <v>16-5w P</v>
      </c>
      <c r="AJ503" s="300" t="str">
        <f>_xlfn.IFNA(VLOOKUP($AI503,Programma!$F$3:$G$1107,2,0),"")</f>
        <v>_</v>
      </c>
      <c r="AK503" s="300" t="str">
        <f>_xlfn.IFNA(VLOOKUP($AI503,Programma!$F$3:$H$1107,3,0),"")</f>
        <v>_</v>
      </c>
      <c r="AL503" s="300" t="str">
        <f>_xlfn.IFNA(VLOOKUP($AI503,Programma!$F$3:$I$1107,4,0),"")</f>
        <v>4w</v>
      </c>
      <c r="AM503" s="300" t="str">
        <f>_xlfn.IFNA(VLOOKUP($AI503,Programma!$F$3:$J$1107,5,0),"")</f>
        <v>1w</v>
      </c>
      <c r="AN503" s="300" t="str">
        <f>_xlfn.IFNA(VLOOKUP($AI503,Programma!$F$3:$K$1107,6,0),"")</f>
        <v>1m</v>
      </c>
      <c r="AO503" s="300" t="str">
        <f>_xlfn.IFNA(VLOOKUP($AI503,Programma!$F$3:$L$1107,7,0),"")</f>
        <v>_</v>
      </c>
      <c r="AP503" s="300" t="str">
        <f>_xlfn.IFNA(VLOOKUP($AI503,Programma!$F$3:$M$1107,8,0),"")</f>
        <v>_</v>
      </c>
      <c r="AQ503" s="300" t="str">
        <f>_xlfn.IFNA(VLOOKUP($AI503,Programma!$F$3:$N$1107,9,0),"")</f>
        <v>_</v>
      </c>
      <c r="AR503" s="300" t="str">
        <f>_xlfn.IFNA(VLOOKUP($AI503,Programma!$F$3:$O$1107,10,0),"")</f>
        <v>5w</v>
      </c>
      <c r="AS503" s="300" t="str">
        <f>_xlfn.IFNA(VLOOKUP($AI503,Programma!$F$3:$P$1107,11,0),"")</f>
        <v>5w</v>
      </c>
      <c r="AT503" s="300" t="str">
        <f>_xlfn.IFNA(VLOOKUP($AI503,Programma!$F$3:$Q$1107,12,0),"")</f>
        <v>1w</v>
      </c>
      <c r="AU503" s="300" t="str">
        <f>_xlfn.IFNA(VLOOKUP($AI503,Programma!$F$3:$R$1107,13,0),"")</f>
        <v>1w</v>
      </c>
      <c r="AV503" s="300" t="str">
        <f>_xlfn.IFNA(VLOOKUP($AI503,Programma!$F$3:$S$1107,14,0),"")</f>
        <v>1m</v>
      </c>
      <c r="AW503" s="300" t="str">
        <f>_xlfn.IFNA(VLOOKUP($AI503,Programma!$F$3:$T$1107,15,0),"")</f>
        <v>2j</v>
      </c>
      <c r="AX503" s="300" t="str">
        <f>_xlfn.IFNA(VLOOKUP($AI503,Programma!$F$3:$U$1107,16,0),"")</f>
        <v>1j</v>
      </c>
      <c r="AY503" s="300" t="str">
        <f>_xlfn.IFNA(VLOOKUP($AI503,Programma!$F$3:$V$1107,17,0),"")</f>
        <v>_</v>
      </c>
      <c r="AZ503" s="300" t="str">
        <f>_xlfn.IFNA(VLOOKUP($AI503,Programma!$F$3:$W$1107,18,0),"")</f>
        <v>_</v>
      </c>
      <c r="BA503" s="300" t="str">
        <f>_xlfn.IFNA(VLOOKUP($AI503,Programma!$F$3:$X$1107,19,0),"")</f>
        <v>_</v>
      </c>
      <c r="BB503" s="300" t="str">
        <f>_xlfn.IFNA(VLOOKUP($AI503,Programma!$F$3:$Y$1107,20,0),"")</f>
        <v>_</v>
      </c>
      <c r="BC503" s="257"/>
      <c r="BD503" s="256" t="str">
        <f>IF(Ruimtestaat[[#This Row],[Frequentie weekend]]="","",_xlfn.CONCAT(Ruimtestaat[[#This Row],[Ruimte code]],"-",Ruimtestaat[[#This Row],[Frequentie weekend]]," ",Ruimtestaat[[#This Row],[Vloer code]]))</f>
        <v/>
      </c>
      <c r="BE503" s="300" t="str">
        <f>_xlfn.IFNA(VLOOKUP($BD503,Programma!$F$3:$G$1107,2,0),"")</f>
        <v/>
      </c>
      <c r="BF503" s="300" t="str">
        <f>_xlfn.IFNA(VLOOKUP($BD503,Programma!$F$3:$H$1107,3,0),"")</f>
        <v/>
      </c>
      <c r="BG503" s="300" t="str">
        <f>_xlfn.IFNA(VLOOKUP($BD503,Programma!$F$3:$I$1107,4,0),"")</f>
        <v/>
      </c>
      <c r="BH503" s="300" t="str">
        <f>_xlfn.IFNA(VLOOKUP($BD503,Programma!$F$3:$J$1107,5,0),"")</f>
        <v/>
      </c>
      <c r="BI503" s="300" t="str">
        <f>_xlfn.IFNA(VLOOKUP($BD503,Programma!$F$3:$K$1107,6,0),"")</f>
        <v/>
      </c>
      <c r="BJ503" s="300" t="str">
        <f>_xlfn.IFNA(VLOOKUP($BD503,Programma!$F$3:$L$1107,7,0),"")</f>
        <v/>
      </c>
      <c r="BK503" s="300" t="str">
        <f>_xlfn.IFNA(VLOOKUP($BD503,Programma!$F$3:$M$1107,8,0),"")</f>
        <v/>
      </c>
      <c r="BL503" s="300" t="str">
        <f>_xlfn.IFNA(VLOOKUP($BD503,Programma!$F$3:$N$1107,9,0),"")</f>
        <v/>
      </c>
      <c r="BM503" s="300" t="str">
        <f>_xlfn.IFNA(VLOOKUP($BD503,Programma!$F$3:$O$1107,10,0),"")</f>
        <v/>
      </c>
      <c r="BN503" s="300" t="str">
        <f>_xlfn.IFNA(VLOOKUP($BD503,Programma!$F$3:$P$1107,11,0),"")</f>
        <v/>
      </c>
      <c r="BO503" s="300" t="str">
        <f>_xlfn.IFNA(VLOOKUP($BD503,Programma!$F$3:$Q$1107,12,0),"")</f>
        <v/>
      </c>
      <c r="BP503" s="300" t="str">
        <f>_xlfn.IFNA(VLOOKUP($BD503,Programma!$F$3:$R$1107,13,0),"")</f>
        <v/>
      </c>
      <c r="BQ503" s="300" t="str">
        <f>_xlfn.IFNA(VLOOKUP($BD503,Programma!$F$3:$S$1107,14,0),"")</f>
        <v/>
      </c>
      <c r="BR503" s="300" t="str">
        <f>_xlfn.IFNA(VLOOKUP($BD503,Programma!$F$3:$T$1107,15,0),"")</f>
        <v/>
      </c>
      <c r="BS503" s="300" t="str">
        <f>_xlfn.IFNA(VLOOKUP($BD503,Programma!$F$3:$U$1107,16,0),"")</f>
        <v/>
      </c>
      <c r="BT503" s="300" t="str">
        <f>_xlfn.IFNA(VLOOKUP($BD503,Programma!$F$3:$V$1107,17,0),"")</f>
        <v/>
      </c>
      <c r="BU503" s="300" t="str">
        <f>_xlfn.IFNA(VLOOKUP($BD503,Programma!$F$3:$W$1107,18,0),"")</f>
        <v/>
      </c>
      <c r="BV503" s="300" t="str">
        <f>_xlfn.IFNA(VLOOKUP($BD503,Programma!$F$3:$X$1107,19,0),"")</f>
        <v/>
      </c>
      <c r="BW503" s="300" t="str">
        <f>_xlfn.IFNA(VLOOKUP($BD503,Programma!$F$3:$Y$1107,20,0),"")</f>
        <v/>
      </c>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c r="GK503" s="4"/>
      <c r="GL503" s="4"/>
      <c r="GM503" s="4"/>
      <c r="GN503" s="4"/>
      <c r="GO503" s="4"/>
      <c r="GP503" s="4"/>
      <c r="GQ503" s="4"/>
      <c r="GR503" s="4"/>
      <c r="GS503" s="4"/>
      <c r="GT503" s="4"/>
      <c r="GU503" s="4"/>
      <c r="GV503" s="4"/>
      <c r="GW503" s="4"/>
      <c r="GX503" s="4"/>
      <c r="GY503" s="4"/>
      <c r="GZ503" s="4"/>
      <c r="HA503" s="4"/>
      <c r="HB503" s="4"/>
      <c r="HC503" s="4"/>
      <c r="HD503" s="4"/>
      <c r="HE503" s="4"/>
      <c r="HF503" s="4"/>
      <c r="HG503" s="4"/>
      <c r="HH503" s="4"/>
      <c r="HI503" s="4"/>
      <c r="HJ503" s="4"/>
      <c r="HK503" s="4"/>
      <c r="HL503" s="4"/>
    </row>
    <row r="504" spans="1:220" ht="15" customHeight="1">
      <c r="A504" s="21">
        <v>6</v>
      </c>
      <c r="B504" s="157" t="str">
        <f>VLOOKUP(Ruimtestaat[[#This Row],[Code]],Locaties[[Code]:[Locatie]],2,FALSE)</f>
        <v>Veurs Lyceum</v>
      </c>
      <c r="C504" s="157" t="str">
        <f>VLOOKUP(Ruimtestaat[[#This Row],[Code]],Locaties[[#All],[Code]:[Adres]],4,FALSE)</f>
        <v>Burg. Kolfschotenlaan 5</v>
      </c>
      <c r="D504" s="157" t="str">
        <f>VLOOKUP(Ruimtestaat[[#This Row],[Code]],Locaties[[#All],[Code]:[Postcode]],5,FALSE)</f>
        <v xml:space="preserve">2262 EZ </v>
      </c>
      <c r="E504" s="157" t="str">
        <f>VLOOKUP(Ruimtestaat[[#This Row],[Code]],Locaties[#All],6,FALSE)</f>
        <v>Leidschendam</v>
      </c>
      <c r="F504" s="62"/>
      <c r="G504" s="21" t="s">
        <v>1624</v>
      </c>
      <c r="H504" s="21" t="s">
        <v>1687</v>
      </c>
      <c r="I504" s="62" t="s">
        <v>1937</v>
      </c>
      <c r="J504" s="21">
        <v>16</v>
      </c>
      <c r="K504" s="62" t="str">
        <f>VLOOKUP(Ruimtestaat[[#This Row],[Ruimte code]],Ruimtegroepen[[#All],[Code]:[Ruimte omschrijving]],2,FALSE)</f>
        <v>Leslokalen theorie</v>
      </c>
      <c r="L504" s="33" t="s">
        <v>103</v>
      </c>
      <c r="M504" s="367" t="s">
        <v>121</v>
      </c>
      <c r="N504" s="140">
        <v>56</v>
      </c>
      <c r="O504" s="140"/>
      <c r="P504" s="125" t="str">
        <f>VLOOKUP(Ruimtestaat[[#This Row],[Ruimte code]],Ruimtegroepen[],4,FALSE)</f>
        <v>Le</v>
      </c>
      <c r="R504" s="33">
        <v>40</v>
      </c>
      <c r="S504" s="33" t="s">
        <v>2</v>
      </c>
      <c r="T504" s="33">
        <f>IF(R504&gt;0,IF(RIGHT(Ruimtestaat[[#This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4" s="33">
        <f>IF(T504&gt;0,VLOOKUP($J504,Ruimtegroepen[],3,FALSE)*VLOOKUP($L504,Vloersoorten[],3,FALSE)*VLOOKUP($S504,Frequenties[],3,FALSE)*VLOOKUP($A504,Locaties[],3,FALSE),0)</f>
        <v>0</v>
      </c>
      <c r="V504" s="33">
        <f>Ruimtestaat[[#This Row],[Uitvoeringen werkdagen]]*Ruimtestaat[[#This Row],[Oppervlak (netto)]]</f>
        <v>11200</v>
      </c>
      <c r="W504" s="154">
        <f>IF(U504&gt;0,Ruimtestaat[[#This Row],[Prest. (m2 /jaar) werkdagen]]/Ruimtestaat[[#This Row],[Norm (m2/uur) werkdagen]],0)</f>
        <v>0</v>
      </c>
      <c r="X504" s="155">
        <f>Ruimtestaat[[#This Row],[uren / jaar werkdagen]]*Tariefsopbouw!$E$35</f>
        <v>0</v>
      </c>
      <c r="Y504" s="33"/>
      <c r="Z504" s="33">
        <f>IF(Ruimtestaat[[#This Row],[Frequentie weekend]]&gt;0,VALUE(LEFT(Y504,1))*R504,0)</f>
        <v>0</v>
      </c>
      <c r="AA504" s="97">
        <f>IF($Z504&gt;0,VLOOKUP($J504,Ruimtegroepen[],3,FALSE)*VLOOKUP($L504,Vloersoorten[],3,FALSE)*VLOOKUP($Y504,Frequenties[],3,FALSE)*VLOOKUP(Ruimtestaat[[#This Row],[Code]],Locaties[],3,FALSE),0)</f>
        <v>0</v>
      </c>
      <c r="AB504" s="97">
        <f>Ruimtestaat[[#This Row],[Uitvoeringen weekend]]*Ruimtestaat[[#This Row],[Oppervlak (netto)]]</f>
        <v>0</v>
      </c>
      <c r="AC504" s="97">
        <f>IF(AA504&gt;0,Ruimtestaat[[#This Row],[Prest. (m2 /jaar) weekend]]/Ruimtestaat[[#This Row],[Norm (m2/uur) weekend]],0)</f>
        <v>0</v>
      </c>
      <c r="AD504" s="155">
        <f>Ruimtestaat[[#This Row],[uren / jaar weekend]]*Tariefsopbouw!$D$40</f>
        <v>0</v>
      </c>
      <c r="AE504" s="154">
        <f>Ruimtestaat[[#This Row],[Prest. (m2 /jaar) weekend]]+Ruimtestaat[[#This Row],[Prest. (m2 /jaar) werkdagen]]</f>
        <v>11200</v>
      </c>
      <c r="AF504" s="154">
        <f>Ruimtestaat[[#This Row],[uren / jaar weekend]]+Ruimtestaat[[#This Row],[uren / jaar werkdagen]]</f>
        <v>0</v>
      </c>
      <c r="AG504" s="69">
        <f>Ruimtestaat[[#This Row],[kosten / jaar weekend]]+Ruimtestaat[[#This Row],[kosten / jaar werkdagen]]</f>
        <v>0</v>
      </c>
      <c r="AH504" s="69"/>
      <c r="AI504" s="256" t="str">
        <f>IF(Ruimtestaat[[#This Row],[Frequentie werkdagen]]="","",_xlfn.CONCAT(Ruimtestaat[[#This Row],[Ruimte code]],"-",Ruimtestaat[[#This Row],[Frequentie werkdagen]]," ",Ruimtestaat[[#This Row],[Vloer code]]))</f>
        <v>16-5w P</v>
      </c>
      <c r="AJ504" s="300" t="str">
        <f>_xlfn.IFNA(VLOOKUP($AI504,Programma!$F$3:$G$1107,2,0),"")</f>
        <v>_</v>
      </c>
      <c r="AK504" s="300" t="str">
        <f>_xlfn.IFNA(VLOOKUP($AI504,Programma!$F$3:$H$1107,3,0),"")</f>
        <v>_</v>
      </c>
      <c r="AL504" s="300" t="str">
        <f>_xlfn.IFNA(VLOOKUP($AI504,Programma!$F$3:$I$1107,4,0),"")</f>
        <v>4w</v>
      </c>
      <c r="AM504" s="300" t="str">
        <f>_xlfn.IFNA(VLOOKUP($AI504,Programma!$F$3:$J$1107,5,0),"")</f>
        <v>1w</v>
      </c>
      <c r="AN504" s="300" t="str">
        <f>_xlfn.IFNA(VLOOKUP($AI504,Programma!$F$3:$K$1107,6,0),"")</f>
        <v>1m</v>
      </c>
      <c r="AO504" s="300" t="str">
        <f>_xlfn.IFNA(VLOOKUP($AI504,Programma!$F$3:$L$1107,7,0),"")</f>
        <v>_</v>
      </c>
      <c r="AP504" s="300" t="str">
        <f>_xlfn.IFNA(VLOOKUP($AI504,Programma!$F$3:$M$1107,8,0),"")</f>
        <v>_</v>
      </c>
      <c r="AQ504" s="300" t="str">
        <f>_xlfn.IFNA(VLOOKUP($AI504,Programma!$F$3:$N$1107,9,0),"")</f>
        <v>_</v>
      </c>
      <c r="AR504" s="300" t="str">
        <f>_xlfn.IFNA(VLOOKUP($AI504,Programma!$F$3:$O$1107,10,0),"")</f>
        <v>5w</v>
      </c>
      <c r="AS504" s="300" t="str">
        <f>_xlfn.IFNA(VLOOKUP($AI504,Programma!$F$3:$P$1107,11,0),"")</f>
        <v>5w</v>
      </c>
      <c r="AT504" s="300" t="str">
        <f>_xlfn.IFNA(VLOOKUP($AI504,Programma!$F$3:$Q$1107,12,0),"")</f>
        <v>1w</v>
      </c>
      <c r="AU504" s="300" t="str">
        <f>_xlfn.IFNA(VLOOKUP($AI504,Programma!$F$3:$R$1107,13,0),"")</f>
        <v>1w</v>
      </c>
      <c r="AV504" s="300" t="str">
        <f>_xlfn.IFNA(VLOOKUP($AI504,Programma!$F$3:$S$1107,14,0),"")</f>
        <v>1m</v>
      </c>
      <c r="AW504" s="300" t="str">
        <f>_xlfn.IFNA(VLOOKUP($AI504,Programma!$F$3:$T$1107,15,0),"")</f>
        <v>2j</v>
      </c>
      <c r="AX504" s="300" t="str">
        <f>_xlfn.IFNA(VLOOKUP($AI504,Programma!$F$3:$U$1107,16,0),"")</f>
        <v>1j</v>
      </c>
      <c r="AY504" s="300" t="str">
        <f>_xlfn.IFNA(VLOOKUP($AI504,Programma!$F$3:$V$1107,17,0),"")</f>
        <v>_</v>
      </c>
      <c r="AZ504" s="300" t="str">
        <f>_xlfn.IFNA(VLOOKUP($AI504,Programma!$F$3:$W$1107,18,0),"")</f>
        <v>_</v>
      </c>
      <c r="BA504" s="300" t="str">
        <f>_xlfn.IFNA(VLOOKUP($AI504,Programma!$F$3:$X$1107,19,0),"")</f>
        <v>_</v>
      </c>
      <c r="BB504" s="300" t="str">
        <f>_xlfn.IFNA(VLOOKUP($AI504,Programma!$F$3:$Y$1107,20,0),"")</f>
        <v>_</v>
      </c>
      <c r="BC504" s="257"/>
      <c r="BD504" s="256" t="str">
        <f>IF(Ruimtestaat[[#This Row],[Frequentie weekend]]="","",_xlfn.CONCAT(Ruimtestaat[[#This Row],[Ruimte code]],"-",Ruimtestaat[[#This Row],[Frequentie weekend]]," ",Ruimtestaat[[#This Row],[Vloer code]]))</f>
        <v/>
      </c>
      <c r="BE504" s="300" t="str">
        <f>_xlfn.IFNA(VLOOKUP($BD504,Programma!$F$3:$G$1107,2,0),"")</f>
        <v/>
      </c>
      <c r="BF504" s="300" t="str">
        <f>_xlfn.IFNA(VLOOKUP($BD504,Programma!$F$3:$H$1107,3,0),"")</f>
        <v/>
      </c>
      <c r="BG504" s="300" t="str">
        <f>_xlfn.IFNA(VLOOKUP($BD504,Programma!$F$3:$I$1107,4,0),"")</f>
        <v/>
      </c>
      <c r="BH504" s="300" t="str">
        <f>_xlfn.IFNA(VLOOKUP($BD504,Programma!$F$3:$J$1107,5,0),"")</f>
        <v/>
      </c>
      <c r="BI504" s="300" t="str">
        <f>_xlfn.IFNA(VLOOKUP($BD504,Programma!$F$3:$K$1107,6,0),"")</f>
        <v/>
      </c>
      <c r="BJ504" s="300" t="str">
        <f>_xlfn.IFNA(VLOOKUP($BD504,Programma!$F$3:$L$1107,7,0),"")</f>
        <v/>
      </c>
      <c r="BK504" s="300" t="str">
        <f>_xlfn.IFNA(VLOOKUP($BD504,Programma!$F$3:$M$1107,8,0),"")</f>
        <v/>
      </c>
      <c r="BL504" s="300" t="str">
        <f>_xlfn.IFNA(VLOOKUP($BD504,Programma!$F$3:$N$1107,9,0),"")</f>
        <v/>
      </c>
      <c r="BM504" s="300" t="str">
        <f>_xlfn.IFNA(VLOOKUP($BD504,Programma!$F$3:$O$1107,10,0),"")</f>
        <v/>
      </c>
      <c r="BN504" s="300" t="str">
        <f>_xlfn.IFNA(VLOOKUP($BD504,Programma!$F$3:$P$1107,11,0),"")</f>
        <v/>
      </c>
      <c r="BO504" s="300" t="str">
        <f>_xlfn.IFNA(VLOOKUP($BD504,Programma!$F$3:$Q$1107,12,0),"")</f>
        <v/>
      </c>
      <c r="BP504" s="300" t="str">
        <f>_xlfn.IFNA(VLOOKUP($BD504,Programma!$F$3:$R$1107,13,0),"")</f>
        <v/>
      </c>
      <c r="BQ504" s="300" t="str">
        <f>_xlfn.IFNA(VLOOKUP($BD504,Programma!$F$3:$S$1107,14,0),"")</f>
        <v/>
      </c>
      <c r="BR504" s="300" t="str">
        <f>_xlfn.IFNA(VLOOKUP($BD504,Programma!$F$3:$T$1107,15,0),"")</f>
        <v/>
      </c>
      <c r="BS504" s="300" t="str">
        <f>_xlfn.IFNA(VLOOKUP($BD504,Programma!$F$3:$U$1107,16,0),"")</f>
        <v/>
      </c>
      <c r="BT504" s="300" t="str">
        <f>_xlfn.IFNA(VLOOKUP($BD504,Programma!$F$3:$V$1107,17,0),"")</f>
        <v/>
      </c>
      <c r="BU504" s="300" t="str">
        <f>_xlfn.IFNA(VLOOKUP($BD504,Programma!$F$3:$W$1107,18,0),"")</f>
        <v/>
      </c>
      <c r="BV504" s="300" t="str">
        <f>_xlfn.IFNA(VLOOKUP($BD504,Programma!$F$3:$X$1107,19,0),"")</f>
        <v/>
      </c>
      <c r="BW504" s="300" t="str">
        <f>_xlfn.IFNA(VLOOKUP($BD504,Programma!$F$3:$Y$1107,20,0),"")</f>
        <v/>
      </c>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c r="GK504" s="4"/>
      <c r="GL504" s="4"/>
      <c r="GM504" s="4"/>
      <c r="GN504" s="4"/>
      <c r="GO504" s="4"/>
      <c r="GP504" s="4"/>
      <c r="GQ504" s="4"/>
      <c r="GR504" s="4"/>
      <c r="GS504" s="4"/>
      <c r="GT504" s="4"/>
      <c r="GU504" s="4"/>
      <c r="GV504" s="4"/>
      <c r="GW504" s="4"/>
      <c r="GX504" s="4"/>
      <c r="GY504" s="4"/>
      <c r="GZ504" s="4"/>
      <c r="HA504" s="4"/>
      <c r="HB504" s="4"/>
      <c r="HC504" s="4"/>
      <c r="HD504" s="4"/>
      <c r="HE504" s="4"/>
      <c r="HF504" s="4"/>
      <c r="HG504" s="4"/>
      <c r="HH504" s="4"/>
      <c r="HI504" s="4"/>
      <c r="HJ504" s="4"/>
      <c r="HK504" s="4"/>
      <c r="HL504" s="4"/>
    </row>
    <row r="505" spans="1:220" ht="15" customHeight="1">
      <c r="A505" s="21">
        <v>6</v>
      </c>
      <c r="B505" s="157" t="str">
        <f>VLOOKUP(Ruimtestaat[[#This Row],[Code]],Locaties[[Code]:[Locatie]],2,FALSE)</f>
        <v>Veurs Lyceum</v>
      </c>
      <c r="C505" s="157" t="str">
        <f>VLOOKUP(Ruimtestaat[[#This Row],[Code]],Locaties[[#All],[Code]:[Adres]],4,FALSE)</f>
        <v>Burg. Kolfschotenlaan 5</v>
      </c>
      <c r="D505" s="157" t="str">
        <f>VLOOKUP(Ruimtestaat[[#This Row],[Code]],Locaties[[#All],[Code]:[Postcode]],5,FALSE)</f>
        <v xml:space="preserve">2262 EZ </v>
      </c>
      <c r="E505" s="157" t="str">
        <f>VLOOKUP(Ruimtestaat[[#This Row],[Code]],Locaties[#All],6,FALSE)</f>
        <v>Leidschendam</v>
      </c>
      <c r="F505" s="62"/>
      <c r="G505" s="21" t="s">
        <v>1624</v>
      </c>
      <c r="H505" s="21" t="s">
        <v>1689</v>
      </c>
      <c r="I505" s="62" t="s">
        <v>1939</v>
      </c>
      <c r="J505" s="21">
        <v>16</v>
      </c>
      <c r="K505" s="62" t="str">
        <f>VLOOKUP(Ruimtestaat[[#This Row],[Ruimte code]],Ruimtegroepen[[#All],[Code]:[Ruimte omschrijving]],2,FALSE)</f>
        <v>Leslokalen theorie</v>
      </c>
      <c r="L505" s="33" t="s">
        <v>103</v>
      </c>
      <c r="M505" s="367" t="s">
        <v>121</v>
      </c>
      <c r="N505" s="140">
        <v>56</v>
      </c>
      <c r="O505" s="140"/>
      <c r="P505" s="125" t="str">
        <f>VLOOKUP(Ruimtestaat[[#This Row],[Ruimte code]],Ruimtegroepen[],4,FALSE)</f>
        <v>Le</v>
      </c>
      <c r="R505" s="33">
        <v>40</v>
      </c>
      <c r="S505" s="33" t="s">
        <v>2</v>
      </c>
      <c r="T505" s="33">
        <f>IF(R505&gt;0,IF(RIGHT(Ruimtestaat[[#This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5" s="33">
        <f>IF(T505&gt;0,VLOOKUP($J505,Ruimtegroepen[],3,FALSE)*VLOOKUP($L505,Vloersoorten[],3,FALSE)*VLOOKUP($S505,Frequenties[],3,FALSE)*VLOOKUP($A505,Locaties[],3,FALSE),0)</f>
        <v>0</v>
      </c>
      <c r="V505" s="33">
        <f>Ruimtestaat[[#This Row],[Uitvoeringen werkdagen]]*Ruimtestaat[[#This Row],[Oppervlak (netto)]]</f>
        <v>11200</v>
      </c>
      <c r="W505" s="154">
        <f>IF(U505&gt;0,Ruimtestaat[[#This Row],[Prest. (m2 /jaar) werkdagen]]/Ruimtestaat[[#This Row],[Norm (m2/uur) werkdagen]],0)</f>
        <v>0</v>
      </c>
      <c r="X505" s="155">
        <f>Ruimtestaat[[#This Row],[uren / jaar werkdagen]]*Tariefsopbouw!$E$35</f>
        <v>0</v>
      </c>
      <c r="Y505" s="33"/>
      <c r="Z505" s="33">
        <f>IF(Ruimtestaat[[#This Row],[Frequentie weekend]]&gt;0,VALUE(LEFT(Y505,1))*R505,0)</f>
        <v>0</v>
      </c>
      <c r="AA505" s="97">
        <f>IF($Z505&gt;0,VLOOKUP($J505,Ruimtegroepen[],3,FALSE)*VLOOKUP($L505,Vloersoorten[],3,FALSE)*VLOOKUP($Y505,Frequenties[],3,FALSE)*VLOOKUP(Ruimtestaat[[#This Row],[Code]],Locaties[],3,FALSE),0)</f>
        <v>0</v>
      </c>
      <c r="AB505" s="97">
        <f>Ruimtestaat[[#This Row],[Uitvoeringen weekend]]*Ruimtestaat[[#This Row],[Oppervlak (netto)]]</f>
        <v>0</v>
      </c>
      <c r="AC505" s="97">
        <f>IF(AA505&gt;0,Ruimtestaat[[#This Row],[Prest. (m2 /jaar) weekend]]/Ruimtestaat[[#This Row],[Norm (m2/uur) weekend]],0)</f>
        <v>0</v>
      </c>
      <c r="AD505" s="155">
        <f>Ruimtestaat[[#This Row],[uren / jaar weekend]]*Tariefsopbouw!$D$40</f>
        <v>0</v>
      </c>
      <c r="AE505" s="154">
        <f>Ruimtestaat[[#This Row],[Prest. (m2 /jaar) weekend]]+Ruimtestaat[[#This Row],[Prest. (m2 /jaar) werkdagen]]</f>
        <v>11200</v>
      </c>
      <c r="AF505" s="154">
        <f>Ruimtestaat[[#This Row],[uren / jaar weekend]]+Ruimtestaat[[#This Row],[uren / jaar werkdagen]]</f>
        <v>0</v>
      </c>
      <c r="AG505" s="69">
        <f>Ruimtestaat[[#This Row],[kosten / jaar weekend]]+Ruimtestaat[[#This Row],[kosten / jaar werkdagen]]</f>
        <v>0</v>
      </c>
      <c r="AH505" s="69"/>
      <c r="AI505" s="256" t="str">
        <f>IF(Ruimtestaat[[#This Row],[Frequentie werkdagen]]="","",_xlfn.CONCAT(Ruimtestaat[[#This Row],[Ruimte code]],"-",Ruimtestaat[[#This Row],[Frequentie werkdagen]]," ",Ruimtestaat[[#This Row],[Vloer code]]))</f>
        <v>16-5w P</v>
      </c>
      <c r="AJ505" s="300" t="str">
        <f>_xlfn.IFNA(VLOOKUP($AI505,Programma!$F$3:$G$1107,2,0),"")</f>
        <v>_</v>
      </c>
      <c r="AK505" s="300" t="str">
        <f>_xlfn.IFNA(VLOOKUP($AI505,Programma!$F$3:$H$1107,3,0),"")</f>
        <v>_</v>
      </c>
      <c r="AL505" s="300" t="str">
        <f>_xlfn.IFNA(VLOOKUP($AI505,Programma!$F$3:$I$1107,4,0),"")</f>
        <v>4w</v>
      </c>
      <c r="AM505" s="300" t="str">
        <f>_xlfn.IFNA(VLOOKUP($AI505,Programma!$F$3:$J$1107,5,0),"")</f>
        <v>1w</v>
      </c>
      <c r="AN505" s="300" t="str">
        <f>_xlfn.IFNA(VLOOKUP($AI505,Programma!$F$3:$K$1107,6,0),"")</f>
        <v>1m</v>
      </c>
      <c r="AO505" s="300" t="str">
        <f>_xlfn.IFNA(VLOOKUP($AI505,Programma!$F$3:$L$1107,7,0),"")</f>
        <v>_</v>
      </c>
      <c r="AP505" s="300" t="str">
        <f>_xlfn.IFNA(VLOOKUP($AI505,Programma!$F$3:$M$1107,8,0),"")</f>
        <v>_</v>
      </c>
      <c r="AQ505" s="300" t="str">
        <f>_xlfn.IFNA(VLOOKUP($AI505,Programma!$F$3:$N$1107,9,0),"")</f>
        <v>_</v>
      </c>
      <c r="AR505" s="300" t="str">
        <f>_xlfn.IFNA(VLOOKUP($AI505,Programma!$F$3:$O$1107,10,0),"")</f>
        <v>5w</v>
      </c>
      <c r="AS505" s="300" t="str">
        <f>_xlfn.IFNA(VLOOKUP($AI505,Programma!$F$3:$P$1107,11,0),"")</f>
        <v>5w</v>
      </c>
      <c r="AT505" s="300" t="str">
        <f>_xlfn.IFNA(VLOOKUP($AI505,Programma!$F$3:$Q$1107,12,0),"")</f>
        <v>1w</v>
      </c>
      <c r="AU505" s="300" t="str">
        <f>_xlfn.IFNA(VLOOKUP($AI505,Programma!$F$3:$R$1107,13,0),"")</f>
        <v>1w</v>
      </c>
      <c r="AV505" s="300" t="str">
        <f>_xlfn.IFNA(VLOOKUP($AI505,Programma!$F$3:$S$1107,14,0),"")</f>
        <v>1m</v>
      </c>
      <c r="AW505" s="300" t="str">
        <f>_xlfn.IFNA(VLOOKUP($AI505,Programma!$F$3:$T$1107,15,0),"")</f>
        <v>2j</v>
      </c>
      <c r="AX505" s="300" t="str">
        <f>_xlfn.IFNA(VLOOKUP($AI505,Programma!$F$3:$U$1107,16,0),"")</f>
        <v>1j</v>
      </c>
      <c r="AY505" s="300" t="str">
        <f>_xlfn.IFNA(VLOOKUP($AI505,Programma!$F$3:$V$1107,17,0),"")</f>
        <v>_</v>
      </c>
      <c r="AZ505" s="300" t="str">
        <f>_xlfn.IFNA(VLOOKUP($AI505,Programma!$F$3:$W$1107,18,0),"")</f>
        <v>_</v>
      </c>
      <c r="BA505" s="300" t="str">
        <f>_xlfn.IFNA(VLOOKUP($AI505,Programma!$F$3:$X$1107,19,0),"")</f>
        <v>_</v>
      </c>
      <c r="BB505" s="300" t="str">
        <f>_xlfn.IFNA(VLOOKUP($AI505,Programma!$F$3:$Y$1107,20,0),"")</f>
        <v>_</v>
      </c>
      <c r="BC505" s="257"/>
      <c r="BD505" s="256" t="str">
        <f>IF(Ruimtestaat[[#This Row],[Frequentie weekend]]="","",_xlfn.CONCAT(Ruimtestaat[[#This Row],[Ruimte code]],"-",Ruimtestaat[[#This Row],[Frequentie weekend]]," ",Ruimtestaat[[#This Row],[Vloer code]]))</f>
        <v/>
      </c>
      <c r="BE505" s="300" t="str">
        <f>_xlfn.IFNA(VLOOKUP($BD505,Programma!$F$3:$G$1107,2,0),"")</f>
        <v/>
      </c>
      <c r="BF505" s="300" t="str">
        <f>_xlfn.IFNA(VLOOKUP($BD505,Programma!$F$3:$H$1107,3,0),"")</f>
        <v/>
      </c>
      <c r="BG505" s="300" t="str">
        <f>_xlfn.IFNA(VLOOKUP($BD505,Programma!$F$3:$I$1107,4,0),"")</f>
        <v/>
      </c>
      <c r="BH505" s="300" t="str">
        <f>_xlfn.IFNA(VLOOKUP($BD505,Programma!$F$3:$J$1107,5,0),"")</f>
        <v/>
      </c>
      <c r="BI505" s="300" t="str">
        <f>_xlfn.IFNA(VLOOKUP($BD505,Programma!$F$3:$K$1107,6,0),"")</f>
        <v/>
      </c>
      <c r="BJ505" s="300" t="str">
        <f>_xlfn.IFNA(VLOOKUP($BD505,Programma!$F$3:$L$1107,7,0),"")</f>
        <v/>
      </c>
      <c r="BK505" s="300" t="str">
        <f>_xlfn.IFNA(VLOOKUP($BD505,Programma!$F$3:$M$1107,8,0),"")</f>
        <v/>
      </c>
      <c r="BL505" s="300" t="str">
        <f>_xlfn.IFNA(VLOOKUP($BD505,Programma!$F$3:$N$1107,9,0),"")</f>
        <v/>
      </c>
      <c r="BM505" s="300" t="str">
        <f>_xlfn.IFNA(VLOOKUP($BD505,Programma!$F$3:$O$1107,10,0),"")</f>
        <v/>
      </c>
      <c r="BN505" s="300" t="str">
        <f>_xlfn.IFNA(VLOOKUP($BD505,Programma!$F$3:$P$1107,11,0),"")</f>
        <v/>
      </c>
      <c r="BO505" s="300" t="str">
        <f>_xlfn.IFNA(VLOOKUP($BD505,Programma!$F$3:$Q$1107,12,0),"")</f>
        <v/>
      </c>
      <c r="BP505" s="300" t="str">
        <f>_xlfn.IFNA(VLOOKUP($BD505,Programma!$F$3:$R$1107,13,0),"")</f>
        <v/>
      </c>
      <c r="BQ505" s="300" t="str">
        <f>_xlfn.IFNA(VLOOKUP($BD505,Programma!$F$3:$S$1107,14,0),"")</f>
        <v/>
      </c>
      <c r="BR505" s="300" t="str">
        <f>_xlfn.IFNA(VLOOKUP($BD505,Programma!$F$3:$T$1107,15,0),"")</f>
        <v/>
      </c>
      <c r="BS505" s="300" t="str">
        <f>_xlfn.IFNA(VLOOKUP($BD505,Programma!$F$3:$U$1107,16,0),"")</f>
        <v/>
      </c>
      <c r="BT505" s="300" t="str">
        <f>_xlfn.IFNA(VLOOKUP($BD505,Programma!$F$3:$V$1107,17,0),"")</f>
        <v/>
      </c>
      <c r="BU505" s="300" t="str">
        <f>_xlfn.IFNA(VLOOKUP($BD505,Programma!$F$3:$W$1107,18,0),"")</f>
        <v/>
      </c>
      <c r="BV505" s="300" t="str">
        <f>_xlfn.IFNA(VLOOKUP($BD505,Programma!$F$3:$X$1107,19,0),"")</f>
        <v/>
      </c>
      <c r="BW505" s="300" t="str">
        <f>_xlfn.IFNA(VLOOKUP($BD505,Programma!$F$3:$Y$1107,20,0),"")</f>
        <v/>
      </c>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c r="GK505" s="4"/>
      <c r="GL505" s="4"/>
      <c r="GM505" s="4"/>
      <c r="GN505" s="4"/>
      <c r="GO505" s="4"/>
      <c r="GP505" s="4"/>
      <c r="GQ505" s="4"/>
      <c r="GR505" s="4"/>
      <c r="GS505" s="4"/>
      <c r="GT505" s="4"/>
      <c r="GU505" s="4"/>
      <c r="GV505" s="4"/>
      <c r="GW505" s="4"/>
      <c r="GX505" s="4"/>
      <c r="GY505" s="4"/>
      <c r="GZ505" s="4"/>
      <c r="HA505" s="4"/>
      <c r="HB505" s="4"/>
      <c r="HC505" s="4"/>
      <c r="HD505" s="4"/>
      <c r="HE505" s="4"/>
      <c r="HF505" s="4"/>
      <c r="HG505" s="4"/>
      <c r="HH505" s="4"/>
      <c r="HI505" s="4"/>
      <c r="HJ505" s="4"/>
      <c r="HK505" s="4"/>
      <c r="HL505" s="4"/>
    </row>
    <row r="506" spans="1:220" ht="15" customHeight="1">
      <c r="A506" s="21">
        <v>6</v>
      </c>
      <c r="B506" s="157" t="str">
        <f>VLOOKUP(Ruimtestaat[[#This Row],[Code]],Locaties[[Code]:[Locatie]],2,FALSE)</f>
        <v>Veurs Lyceum</v>
      </c>
      <c r="C506" s="157" t="str">
        <f>VLOOKUP(Ruimtestaat[[#This Row],[Code]],Locaties[[#All],[Code]:[Adres]],4,FALSE)</f>
        <v>Burg. Kolfschotenlaan 5</v>
      </c>
      <c r="D506" s="157" t="str">
        <f>VLOOKUP(Ruimtestaat[[#This Row],[Code]],Locaties[[#All],[Code]:[Postcode]],5,FALSE)</f>
        <v xml:space="preserve">2262 EZ </v>
      </c>
      <c r="E506" s="157" t="str">
        <f>VLOOKUP(Ruimtestaat[[#This Row],[Code]],Locaties[#All],6,FALSE)</f>
        <v>Leidschendam</v>
      </c>
      <c r="F506" s="62"/>
      <c r="G506" s="21" t="s">
        <v>1624</v>
      </c>
      <c r="H506" s="21" t="s">
        <v>1691</v>
      </c>
      <c r="I506" s="62" t="s">
        <v>1941</v>
      </c>
      <c r="J506" s="21">
        <v>16</v>
      </c>
      <c r="K506" s="62" t="str">
        <f>VLOOKUP(Ruimtestaat[[#This Row],[Ruimte code]],Ruimtegroepen[[#All],[Code]:[Ruimte omschrijving]],2,FALSE)</f>
        <v>Leslokalen theorie</v>
      </c>
      <c r="L506" s="33" t="s">
        <v>103</v>
      </c>
      <c r="M506" s="367" t="s">
        <v>121</v>
      </c>
      <c r="N506" s="140">
        <v>41</v>
      </c>
      <c r="O506" s="140"/>
      <c r="P506" s="125" t="str">
        <f>VLOOKUP(Ruimtestaat[[#This Row],[Ruimte code]],Ruimtegroepen[],4,FALSE)</f>
        <v>Le</v>
      </c>
      <c r="R506" s="33">
        <v>40</v>
      </c>
      <c r="S506" s="33" t="s">
        <v>2</v>
      </c>
      <c r="T506" s="33">
        <f>IF(R506&gt;0,IF(RIGHT(Ruimtestaat[[#This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6" s="33">
        <f>IF(T506&gt;0,VLOOKUP($J506,Ruimtegroepen[],3,FALSE)*VLOOKUP($L506,Vloersoorten[],3,FALSE)*VLOOKUP($S506,Frequenties[],3,FALSE)*VLOOKUP($A506,Locaties[],3,FALSE),0)</f>
        <v>0</v>
      </c>
      <c r="V506" s="33">
        <f>Ruimtestaat[[#This Row],[Uitvoeringen werkdagen]]*Ruimtestaat[[#This Row],[Oppervlak (netto)]]</f>
        <v>8200</v>
      </c>
      <c r="W506" s="154">
        <f>IF(U506&gt;0,Ruimtestaat[[#This Row],[Prest. (m2 /jaar) werkdagen]]/Ruimtestaat[[#This Row],[Norm (m2/uur) werkdagen]],0)</f>
        <v>0</v>
      </c>
      <c r="X506" s="155">
        <f>Ruimtestaat[[#This Row],[uren / jaar werkdagen]]*Tariefsopbouw!$E$35</f>
        <v>0</v>
      </c>
      <c r="Y506" s="33"/>
      <c r="Z506" s="33">
        <f>IF(Ruimtestaat[[#This Row],[Frequentie weekend]]&gt;0,VALUE(LEFT(Y506,1))*R506,0)</f>
        <v>0</v>
      </c>
      <c r="AA506" s="97">
        <f>IF($Z506&gt;0,VLOOKUP($J506,Ruimtegroepen[],3,FALSE)*VLOOKUP($L506,Vloersoorten[],3,FALSE)*VLOOKUP($Y506,Frequenties[],3,FALSE)*VLOOKUP(Ruimtestaat[[#This Row],[Code]],Locaties[],3,FALSE),0)</f>
        <v>0</v>
      </c>
      <c r="AB506" s="97">
        <f>Ruimtestaat[[#This Row],[Uitvoeringen weekend]]*Ruimtestaat[[#This Row],[Oppervlak (netto)]]</f>
        <v>0</v>
      </c>
      <c r="AC506" s="97">
        <f>IF(AA506&gt;0,Ruimtestaat[[#This Row],[Prest. (m2 /jaar) weekend]]/Ruimtestaat[[#This Row],[Norm (m2/uur) weekend]],0)</f>
        <v>0</v>
      </c>
      <c r="AD506" s="155">
        <f>Ruimtestaat[[#This Row],[uren / jaar weekend]]*Tariefsopbouw!$D$40</f>
        <v>0</v>
      </c>
      <c r="AE506" s="154">
        <f>Ruimtestaat[[#This Row],[Prest. (m2 /jaar) weekend]]+Ruimtestaat[[#This Row],[Prest. (m2 /jaar) werkdagen]]</f>
        <v>8200</v>
      </c>
      <c r="AF506" s="154">
        <f>Ruimtestaat[[#This Row],[uren / jaar weekend]]+Ruimtestaat[[#This Row],[uren / jaar werkdagen]]</f>
        <v>0</v>
      </c>
      <c r="AG506" s="69">
        <f>Ruimtestaat[[#This Row],[kosten / jaar weekend]]+Ruimtestaat[[#This Row],[kosten / jaar werkdagen]]</f>
        <v>0</v>
      </c>
      <c r="AH506" s="69"/>
      <c r="AI506" s="256" t="str">
        <f>IF(Ruimtestaat[[#This Row],[Frequentie werkdagen]]="","",_xlfn.CONCAT(Ruimtestaat[[#This Row],[Ruimte code]],"-",Ruimtestaat[[#This Row],[Frequentie werkdagen]]," ",Ruimtestaat[[#This Row],[Vloer code]]))</f>
        <v>16-5w P</v>
      </c>
      <c r="AJ506" s="300" t="str">
        <f>_xlfn.IFNA(VLOOKUP($AI506,Programma!$F$3:$G$1107,2,0),"")</f>
        <v>_</v>
      </c>
      <c r="AK506" s="300" t="str">
        <f>_xlfn.IFNA(VLOOKUP($AI506,Programma!$F$3:$H$1107,3,0),"")</f>
        <v>_</v>
      </c>
      <c r="AL506" s="300" t="str">
        <f>_xlfn.IFNA(VLOOKUP($AI506,Programma!$F$3:$I$1107,4,0),"")</f>
        <v>4w</v>
      </c>
      <c r="AM506" s="300" t="str">
        <f>_xlfn.IFNA(VLOOKUP($AI506,Programma!$F$3:$J$1107,5,0),"")</f>
        <v>1w</v>
      </c>
      <c r="AN506" s="300" t="str">
        <f>_xlfn.IFNA(VLOOKUP($AI506,Programma!$F$3:$K$1107,6,0),"")</f>
        <v>1m</v>
      </c>
      <c r="AO506" s="300" t="str">
        <f>_xlfn.IFNA(VLOOKUP($AI506,Programma!$F$3:$L$1107,7,0),"")</f>
        <v>_</v>
      </c>
      <c r="AP506" s="300" t="str">
        <f>_xlfn.IFNA(VLOOKUP($AI506,Programma!$F$3:$M$1107,8,0),"")</f>
        <v>_</v>
      </c>
      <c r="AQ506" s="300" t="str">
        <f>_xlfn.IFNA(VLOOKUP($AI506,Programma!$F$3:$N$1107,9,0),"")</f>
        <v>_</v>
      </c>
      <c r="AR506" s="300" t="str">
        <f>_xlfn.IFNA(VLOOKUP($AI506,Programma!$F$3:$O$1107,10,0),"")</f>
        <v>5w</v>
      </c>
      <c r="AS506" s="300" t="str">
        <f>_xlfn.IFNA(VLOOKUP($AI506,Programma!$F$3:$P$1107,11,0),"")</f>
        <v>5w</v>
      </c>
      <c r="AT506" s="300" t="str">
        <f>_xlfn.IFNA(VLOOKUP($AI506,Programma!$F$3:$Q$1107,12,0),"")</f>
        <v>1w</v>
      </c>
      <c r="AU506" s="300" t="str">
        <f>_xlfn.IFNA(VLOOKUP($AI506,Programma!$F$3:$R$1107,13,0),"")</f>
        <v>1w</v>
      </c>
      <c r="AV506" s="300" t="str">
        <f>_xlfn.IFNA(VLOOKUP($AI506,Programma!$F$3:$S$1107,14,0),"")</f>
        <v>1m</v>
      </c>
      <c r="AW506" s="300" t="str">
        <f>_xlfn.IFNA(VLOOKUP($AI506,Programma!$F$3:$T$1107,15,0),"")</f>
        <v>2j</v>
      </c>
      <c r="AX506" s="300" t="str">
        <f>_xlfn.IFNA(VLOOKUP($AI506,Programma!$F$3:$U$1107,16,0),"")</f>
        <v>1j</v>
      </c>
      <c r="AY506" s="300" t="str">
        <f>_xlfn.IFNA(VLOOKUP($AI506,Programma!$F$3:$V$1107,17,0),"")</f>
        <v>_</v>
      </c>
      <c r="AZ506" s="300" t="str">
        <f>_xlfn.IFNA(VLOOKUP($AI506,Programma!$F$3:$W$1107,18,0),"")</f>
        <v>_</v>
      </c>
      <c r="BA506" s="300" t="str">
        <f>_xlfn.IFNA(VLOOKUP($AI506,Programma!$F$3:$X$1107,19,0),"")</f>
        <v>_</v>
      </c>
      <c r="BB506" s="300" t="str">
        <f>_xlfn.IFNA(VLOOKUP($AI506,Programma!$F$3:$Y$1107,20,0),"")</f>
        <v>_</v>
      </c>
      <c r="BC506" s="257"/>
      <c r="BD506" s="256" t="str">
        <f>IF(Ruimtestaat[[#This Row],[Frequentie weekend]]="","",_xlfn.CONCAT(Ruimtestaat[[#This Row],[Ruimte code]],"-",Ruimtestaat[[#This Row],[Frequentie weekend]]," ",Ruimtestaat[[#This Row],[Vloer code]]))</f>
        <v/>
      </c>
      <c r="BE506" s="300" t="str">
        <f>_xlfn.IFNA(VLOOKUP($BD506,Programma!$F$3:$G$1107,2,0),"")</f>
        <v/>
      </c>
      <c r="BF506" s="300" t="str">
        <f>_xlfn.IFNA(VLOOKUP($BD506,Programma!$F$3:$H$1107,3,0),"")</f>
        <v/>
      </c>
      <c r="BG506" s="300" t="str">
        <f>_xlfn.IFNA(VLOOKUP($BD506,Programma!$F$3:$I$1107,4,0),"")</f>
        <v/>
      </c>
      <c r="BH506" s="300" t="str">
        <f>_xlfn.IFNA(VLOOKUP($BD506,Programma!$F$3:$J$1107,5,0),"")</f>
        <v/>
      </c>
      <c r="BI506" s="300" t="str">
        <f>_xlfn.IFNA(VLOOKUP($BD506,Programma!$F$3:$K$1107,6,0),"")</f>
        <v/>
      </c>
      <c r="BJ506" s="300" t="str">
        <f>_xlfn.IFNA(VLOOKUP($BD506,Programma!$F$3:$L$1107,7,0),"")</f>
        <v/>
      </c>
      <c r="BK506" s="300" t="str">
        <f>_xlfn.IFNA(VLOOKUP($BD506,Programma!$F$3:$M$1107,8,0),"")</f>
        <v/>
      </c>
      <c r="BL506" s="300" t="str">
        <f>_xlfn.IFNA(VLOOKUP($BD506,Programma!$F$3:$N$1107,9,0),"")</f>
        <v/>
      </c>
      <c r="BM506" s="300" t="str">
        <f>_xlfn.IFNA(VLOOKUP($BD506,Programma!$F$3:$O$1107,10,0),"")</f>
        <v/>
      </c>
      <c r="BN506" s="300" t="str">
        <f>_xlfn.IFNA(VLOOKUP($BD506,Programma!$F$3:$P$1107,11,0),"")</f>
        <v/>
      </c>
      <c r="BO506" s="300" t="str">
        <f>_xlfn.IFNA(VLOOKUP($BD506,Programma!$F$3:$Q$1107,12,0),"")</f>
        <v/>
      </c>
      <c r="BP506" s="300" t="str">
        <f>_xlfn.IFNA(VLOOKUP($BD506,Programma!$F$3:$R$1107,13,0),"")</f>
        <v/>
      </c>
      <c r="BQ506" s="300" t="str">
        <f>_xlfn.IFNA(VLOOKUP($BD506,Programma!$F$3:$S$1107,14,0),"")</f>
        <v/>
      </c>
      <c r="BR506" s="300" t="str">
        <f>_xlfn.IFNA(VLOOKUP($BD506,Programma!$F$3:$T$1107,15,0),"")</f>
        <v/>
      </c>
      <c r="BS506" s="300" t="str">
        <f>_xlfn.IFNA(VLOOKUP($BD506,Programma!$F$3:$U$1107,16,0),"")</f>
        <v/>
      </c>
      <c r="BT506" s="300" t="str">
        <f>_xlfn.IFNA(VLOOKUP($BD506,Programma!$F$3:$V$1107,17,0),"")</f>
        <v/>
      </c>
      <c r="BU506" s="300" t="str">
        <f>_xlfn.IFNA(VLOOKUP($BD506,Programma!$F$3:$W$1107,18,0),"")</f>
        <v/>
      </c>
      <c r="BV506" s="300" t="str">
        <f>_xlfn.IFNA(VLOOKUP($BD506,Programma!$F$3:$X$1107,19,0),"")</f>
        <v/>
      </c>
      <c r="BW506" s="300" t="str">
        <f>_xlfn.IFNA(VLOOKUP($BD506,Programma!$F$3:$Y$1107,20,0),"")</f>
        <v/>
      </c>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c r="GK506" s="4"/>
      <c r="GL506" s="4"/>
      <c r="GM506" s="4"/>
      <c r="GN506" s="4"/>
      <c r="GO506" s="4"/>
      <c r="GP506" s="4"/>
      <c r="GQ506" s="4"/>
      <c r="GR506" s="4"/>
      <c r="GS506" s="4"/>
      <c r="GT506" s="4"/>
      <c r="GU506" s="4"/>
      <c r="GV506" s="4"/>
      <c r="GW506" s="4"/>
      <c r="GX506" s="4"/>
      <c r="GY506" s="4"/>
      <c r="GZ506" s="4"/>
      <c r="HA506" s="4"/>
      <c r="HB506" s="4"/>
      <c r="HC506" s="4"/>
      <c r="HD506" s="4"/>
      <c r="HE506" s="4"/>
      <c r="HF506" s="4"/>
      <c r="HG506" s="4"/>
      <c r="HH506" s="4"/>
      <c r="HI506" s="4"/>
      <c r="HJ506" s="4"/>
      <c r="HK506" s="4"/>
      <c r="HL506" s="4"/>
    </row>
    <row r="507" spans="1:220" ht="15" customHeight="1">
      <c r="A507" s="21">
        <v>6</v>
      </c>
      <c r="B507" s="157" t="str">
        <f>VLOOKUP(Ruimtestaat[[#This Row],[Code]],Locaties[[Code]:[Locatie]],2,FALSE)</f>
        <v>Veurs Lyceum</v>
      </c>
      <c r="C507" s="157" t="str">
        <f>VLOOKUP(Ruimtestaat[[#This Row],[Code]],Locaties[[#All],[Code]:[Adres]],4,FALSE)</f>
        <v>Burg. Kolfschotenlaan 5</v>
      </c>
      <c r="D507" s="157" t="str">
        <f>VLOOKUP(Ruimtestaat[[#This Row],[Code]],Locaties[[#All],[Code]:[Postcode]],5,FALSE)</f>
        <v xml:space="preserve">2262 EZ </v>
      </c>
      <c r="E507" s="157" t="str">
        <f>VLOOKUP(Ruimtestaat[[#This Row],[Code]],Locaties[#All],6,FALSE)</f>
        <v>Leidschendam</v>
      </c>
      <c r="F507" s="62"/>
      <c r="G507" s="21" t="s">
        <v>1624</v>
      </c>
      <c r="H507" s="21" t="s">
        <v>1693</v>
      </c>
      <c r="I507" s="62" t="s">
        <v>1943</v>
      </c>
      <c r="J507" s="21">
        <v>16</v>
      </c>
      <c r="K507" s="62" t="str">
        <f>VLOOKUP(Ruimtestaat[[#This Row],[Ruimte code]],Ruimtegroepen[[#All],[Code]:[Ruimte omschrijving]],2,FALSE)</f>
        <v>Leslokalen theorie</v>
      </c>
      <c r="L507" s="33" t="s">
        <v>103</v>
      </c>
      <c r="M507" s="367" t="s">
        <v>121</v>
      </c>
      <c r="N507" s="140">
        <v>69</v>
      </c>
      <c r="O507" s="140"/>
      <c r="P507" s="125" t="str">
        <f>VLOOKUP(Ruimtestaat[[#This Row],[Ruimte code]],Ruimtegroepen[],4,FALSE)</f>
        <v>Le</v>
      </c>
      <c r="R507" s="33">
        <v>40</v>
      </c>
      <c r="S507" s="33" t="s">
        <v>2</v>
      </c>
      <c r="T507" s="33">
        <f>IF(R507&gt;0,IF(RIGHT(Ruimtestaat[[#This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7" s="33">
        <f>IF(T507&gt;0,VLOOKUP($J507,Ruimtegroepen[],3,FALSE)*VLOOKUP($L507,Vloersoorten[],3,FALSE)*VLOOKUP($S507,Frequenties[],3,FALSE)*VLOOKUP($A507,Locaties[],3,FALSE),0)</f>
        <v>0</v>
      </c>
      <c r="V507" s="33">
        <f>Ruimtestaat[[#This Row],[Uitvoeringen werkdagen]]*Ruimtestaat[[#This Row],[Oppervlak (netto)]]</f>
        <v>13800</v>
      </c>
      <c r="W507" s="154">
        <f>IF(U507&gt;0,Ruimtestaat[[#This Row],[Prest. (m2 /jaar) werkdagen]]/Ruimtestaat[[#This Row],[Norm (m2/uur) werkdagen]],0)</f>
        <v>0</v>
      </c>
      <c r="X507" s="155">
        <f>Ruimtestaat[[#This Row],[uren / jaar werkdagen]]*Tariefsopbouw!$E$35</f>
        <v>0</v>
      </c>
      <c r="Y507" s="33"/>
      <c r="Z507" s="33">
        <f>IF(Ruimtestaat[[#This Row],[Frequentie weekend]]&gt;0,VALUE(LEFT(Y507,1))*R507,0)</f>
        <v>0</v>
      </c>
      <c r="AA507" s="97">
        <f>IF($Z507&gt;0,VLOOKUP($J507,Ruimtegroepen[],3,FALSE)*VLOOKUP($L507,Vloersoorten[],3,FALSE)*VLOOKUP($Y507,Frequenties[],3,FALSE)*VLOOKUP(Ruimtestaat[[#This Row],[Code]],Locaties[],3,FALSE),0)</f>
        <v>0</v>
      </c>
      <c r="AB507" s="97">
        <f>Ruimtestaat[[#This Row],[Uitvoeringen weekend]]*Ruimtestaat[[#This Row],[Oppervlak (netto)]]</f>
        <v>0</v>
      </c>
      <c r="AC507" s="97">
        <f>IF(AA507&gt;0,Ruimtestaat[[#This Row],[Prest. (m2 /jaar) weekend]]/Ruimtestaat[[#This Row],[Norm (m2/uur) weekend]],0)</f>
        <v>0</v>
      </c>
      <c r="AD507" s="155">
        <f>Ruimtestaat[[#This Row],[uren / jaar weekend]]*Tariefsopbouw!$D$40</f>
        <v>0</v>
      </c>
      <c r="AE507" s="154">
        <f>Ruimtestaat[[#This Row],[Prest. (m2 /jaar) weekend]]+Ruimtestaat[[#This Row],[Prest. (m2 /jaar) werkdagen]]</f>
        <v>13800</v>
      </c>
      <c r="AF507" s="154">
        <f>Ruimtestaat[[#This Row],[uren / jaar weekend]]+Ruimtestaat[[#This Row],[uren / jaar werkdagen]]</f>
        <v>0</v>
      </c>
      <c r="AG507" s="69">
        <f>Ruimtestaat[[#This Row],[kosten / jaar weekend]]+Ruimtestaat[[#This Row],[kosten / jaar werkdagen]]</f>
        <v>0</v>
      </c>
      <c r="AH507" s="69"/>
      <c r="AI507" s="256" t="str">
        <f>IF(Ruimtestaat[[#This Row],[Frequentie werkdagen]]="","",_xlfn.CONCAT(Ruimtestaat[[#This Row],[Ruimte code]],"-",Ruimtestaat[[#This Row],[Frequentie werkdagen]]," ",Ruimtestaat[[#This Row],[Vloer code]]))</f>
        <v>16-5w P</v>
      </c>
      <c r="AJ507" s="300" t="str">
        <f>_xlfn.IFNA(VLOOKUP($AI507,Programma!$F$3:$G$1107,2,0),"")</f>
        <v>_</v>
      </c>
      <c r="AK507" s="300" t="str">
        <f>_xlfn.IFNA(VLOOKUP($AI507,Programma!$F$3:$H$1107,3,0),"")</f>
        <v>_</v>
      </c>
      <c r="AL507" s="300" t="str">
        <f>_xlfn.IFNA(VLOOKUP($AI507,Programma!$F$3:$I$1107,4,0),"")</f>
        <v>4w</v>
      </c>
      <c r="AM507" s="300" t="str">
        <f>_xlfn.IFNA(VLOOKUP($AI507,Programma!$F$3:$J$1107,5,0),"")</f>
        <v>1w</v>
      </c>
      <c r="AN507" s="300" t="str">
        <f>_xlfn.IFNA(VLOOKUP($AI507,Programma!$F$3:$K$1107,6,0),"")</f>
        <v>1m</v>
      </c>
      <c r="AO507" s="300" t="str">
        <f>_xlfn.IFNA(VLOOKUP($AI507,Programma!$F$3:$L$1107,7,0),"")</f>
        <v>_</v>
      </c>
      <c r="AP507" s="300" t="str">
        <f>_xlfn.IFNA(VLOOKUP($AI507,Programma!$F$3:$M$1107,8,0),"")</f>
        <v>_</v>
      </c>
      <c r="AQ507" s="300" t="str">
        <f>_xlfn.IFNA(VLOOKUP($AI507,Programma!$F$3:$N$1107,9,0),"")</f>
        <v>_</v>
      </c>
      <c r="AR507" s="300" t="str">
        <f>_xlfn.IFNA(VLOOKUP($AI507,Programma!$F$3:$O$1107,10,0),"")</f>
        <v>5w</v>
      </c>
      <c r="AS507" s="300" t="str">
        <f>_xlfn.IFNA(VLOOKUP($AI507,Programma!$F$3:$P$1107,11,0),"")</f>
        <v>5w</v>
      </c>
      <c r="AT507" s="300" t="str">
        <f>_xlfn.IFNA(VLOOKUP($AI507,Programma!$F$3:$Q$1107,12,0),"")</f>
        <v>1w</v>
      </c>
      <c r="AU507" s="300" t="str">
        <f>_xlfn.IFNA(VLOOKUP($AI507,Programma!$F$3:$R$1107,13,0),"")</f>
        <v>1w</v>
      </c>
      <c r="AV507" s="300" t="str">
        <f>_xlfn.IFNA(VLOOKUP($AI507,Programma!$F$3:$S$1107,14,0),"")</f>
        <v>1m</v>
      </c>
      <c r="AW507" s="300" t="str">
        <f>_xlfn.IFNA(VLOOKUP($AI507,Programma!$F$3:$T$1107,15,0),"")</f>
        <v>2j</v>
      </c>
      <c r="AX507" s="300" t="str">
        <f>_xlfn.IFNA(VLOOKUP($AI507,Programma!$F$3:$U$1107,16,0),"")</f>
        <v>1j</v>
      </c>
      <c r="AY507" s="300" t="str">
        <f>_xlfn.IFNA(VLOOKUP($AI507,Programma!$F$3:$V$1107,17,0),"")</f>
        <v>_</v>
      </c>
      <c r="AZ507" s="300" t="str">
        <f>_xlfn.IFNA(VLOOKUP($AI507,Programma!$F$3:$W$1107,18,0),"")</f>
        <v>_</v>
      </c>
      <c r="BA507" s="300" t="str">
        <f>_xlfn.IFNA(VLOOKUP($AI507,Programma!$F$3:$X$1107,19,0),"")</f>
        <v>_</v>
      </c>
      <c r="BB507" s="300" t="str">
        <f>_xlfn.IFNA(VLOOKUP($AI507,Programma!$F$3:$Y$1107,20,0),"")</f>
        <v>_</v>
      </c>
      <c r="BC507" s="257"/>
      <c r="BD507" s="256" t="str">
        <f>IF(Ruimtestaat[[#This Row],[Frequentie weekend]]="","",_xlfn.CONCAT(Ruimtestaat[[#This Row],[Ruimte code]],"-",Ruimtestaat[[#This Row],[Frequentie weekend]]," ",Ruimtestaat[[#This Row],[Vloer code]]))</f>
        <v/>
      </c>
      <c r="BE507" s="300" t="str">
        <f>_xlfn.IFNA(VLOOKUP($BD507,Programma!$F$3:$G$1107,2,0),"")</f>
        <v/>
      </c>
      <c r="BF507" s="300" t="str">
        <f>_xlfn.IFNA(VLOOKUP($BD507,Programma!$F$3:$H$1107,3,0),"")</f>
        <v/>
      </c>
      <c r="BG507" s="300" t="str">
        <f>_xlfn.IFNA(VLOOKUP($BD507,Programma!$F$3:$I$1107,4,0),"")</f>
        <v/>
      </c>
      <c r="BH507" s="300" t="str">
        <f>_xlfn.IFNA(VLOOKUP($BD507,Programma!$F$3:$J$1107,5,0),"")</f>
        <v/>
      </c>
      <c r="BI507" s="300" t="str">
        <f>_xlfn.IFNA(VLOOKUP($BD507,Programma!$F$3:$K$1107,6,0),"")</f>
        <v/>
      </c>
      <c r="BJ507" s="300" t="str">
        <f>_xlfn.IFNA(VLOOKUP($BD507,Programma!$F$3:$L$1107,7,0),"")</f>
        <v/>
      </c>
      <c r="BK507" s="300" t="str">
        <f>_xlfn.IFNA(VLOOKUP($BD507,Programma!$F$3:$M$1107,8,0),"")</f>
        <v/>
      </c>
      <c r="BL507" s="300" t="str">
        <f>_xlfn.IFNA(VLOOKUP($BD507,Programma!$F$3:$N$1107,9,0),"")</f>
        <v/>
      </c>
      <c r="BM507" s="300" t="str">
        <f>_xlfn.IFNA(VLOOKUP($BD507,Programma!$F$3:$O$1107,10,0),"")</f>
        <v/>
      </c>
      <c r="BN507" s="300" t="str">
        <f>_xlfn.IFNA(VLOOKUP($BD507,Programma!$F$3:$P$1107,11,0),"")</f>
        <v/>
      </c>
      <c r="BO507" s="300" t="str">
        <f>_xlfn.IFNA(VLOOKUP($BD507,Programma!$F$3:$Q$1107,12,0),"")</f>
        <v/>
      </c>
      <c r="BP507" s="300" t="str">
        <f>_xlfn.IFNA(VLOOKUP($BD507,Programma!$F$3:$R$1107,13,0),"")</f>
        <v/>
      </c>
      <c r="BQ507" s="300" t="str">
        <f>_xlfn.IFNA(VLOOKUP($BD507,Programma!$F$3:$S$1107,14,0),"")</f>
        <v/>
      </c>
      <c r="BR507" s="300" t="str">
        <f>_xlfn.IFNA(VLOOKUP($BD507,Programma!$F$3:$T$1107,15,0),"")</f>
        <v/>
      </c>
      <c r="BS507" s="300" t="str">
        <f>_xlfn.IFNA(VLOOKUP($BD507,Programma!$F$3:$U$1107,16,0),"")</f>
        <v/>
      </c>
      <c r="BT507" s="300" t="str">
        <f>_xlfn.IFNA(VLOOKUP($BD507,Programma!$F$3:$V$1107,17,0),"")</f>
        <v/>
      </c>
      <c r="BU507" s="300" t="str">
        <f>_xlfn.IFNA(VLOOKUP($BD507,Programma!$F$3:$W$1107,18,0),"")</f>
        <v/>
      </c>
      <c r="BV507" s="300" t="str">
        <f>_xlfn.IFNA(VLOOKUP($BD507,Programma!$F$3:$X$1107,19,0),"")</f>
        <v/>
      </c>
      <c r="BW507" s="300" t="str">
        <f>_xlfn.IFNA(VLOOKUP($BD507,Programma!$F$3:$Y$1107,20,0),"")</f>
        <v/>
      </c>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c r="FS507" s="4"/>
      <c r="FT507" s="4"/>
      <c r="FU507" s="4"/>
      <c r="FV507" s="4"/>
      <c r="FW507" s="4"/>
      <c r="FX507" s="4"/>
      <c r="FY507" s="4"/>
      <c r="FZ507" s="4"/>
      <c r="GA507" s="4"/>
      <c r="GB507" s="4"/>
      <c r="GC507" s="4"/>
      <c r="GD507" s="4"/>
      <c r="GE507" s="4"/>
      <c r="GF507" s="4"/>
      <c r="GG507" s="4"/>
      <c r="GH507" s="4"/>
      <c r="GI507" s="4"/>
      <c r="GJ507" s="4"/>
      <c r="GK507" s="4"/>
      <c r="GL507" s="4"/>
      <c r="GM507" s="4"/>
      <c r="GN507" s="4"/>
      <c r="GO507" s="4"/>
      <c r="GP507" s="4"/>
      <c r="GQ507" s="4"/>
      <c r="GR507" s="4"/>
      <c r="GS507" s="4"/>
      <c r="GT507" s="4"/>
      <c r="GU507" s="4"/>
      <c r="GV507" s="4"/>
      <c r="GW507" s="4"/>
      <c r="GX507" s="4"/>
      <c r="GY507" s="4"/>
      <c r="GZ507" s="4"/>
      <c r="HA507" s="4"/>
      <c r="HB507" s="4"/>
      <c r="HC507" s="4"/>
      <c r="HD507" s="4"/>
      <c r="HE507" s="4"/>
      <c r="HF507" s="4"/>
      <c r="HG507" s="4"/>
      <c r="HH507" s="4"/>
      <c r="HI507" s="4"/>
      <c r="HJ507" s="4"/>
      <c r="HK507" s="4"/>
      <c r="HL507" s="4"/>
    </row>
    <row r="508" spans="1:220" ht="15" customHeight="1">
      <c r="A508" s="21">
        <v>6</v>
      </c>
      <c r="B508" s="157" t="str">
        <f>VLOOKUP(Ruimtestaat[[#This Row],[Code]],Locaties[[Code]:[Locatie]],2,FALSE)</f>
        <v>Veurs Lyceum</v>
      </c>
      <c r="C508" s="157" t="str">
        <f>VLOOKUP(Ruimtestaat[[#This Row],[Code]],Locaties[[#All],[Code]:[Adres]],4,FALSE)</f>
        <v>Burg. Kolfschotenlaan 5</v>
      </c>
      <c r="D508" s="157" t="str">
        <f>VLOOKUP(Ruimtestaat[[#This Row],[Code]],Locaties[[#All],[Code]:[Postcode]],5,FALSE)</f>
        <v xml:space="preserve">2262 EZ </v>
      </c>
      <c r="E508" s="157" t="str">
        <f>VLOOKUP(Ruimtestaat[[#This Row],[Code]],Locaties[#All],6,FALSE)</f>
        <v>Leidschendam</v>
      </c>
      <c r="F508" s="62"/>
      <c r="G508" s="21" t="s">
        <v>1624</v>
      </c>
      <c r="H508" s="21" t="s">
        <v>1695</v>
      </c>
      <c r="I508" s="62" t="s">
        <v>1831</v>
      </c>
      <c r="J508" s="21">
        <v>1</v>
      </c>
      <c r="K508" s="62" t="str">
        <f>VLOOKUP(Ruimtestaat[[#This Row],[Ruimte code]],Ruimtegroepen[[#All],[Code]:[Ruimte omschrijving]],2,FALSE)</f>
        <v>Magazijnen/bergingen</v>
      </c>
      <c r="L508" s="33" t="s">
        <v>101</v>
      </c>
      <c r="M508" s="367" t="s">
        <v>2495</v>
      </c>
      <c r="N508" s="140">
        <v>24</v>
      </c>
      <c r="O508" s="140"/>
      <c r="P508" s="125" t="str">
        <f>VLOOKUP(Ruimtestaat[[#This Row],[Ruimte code]],Ruimtegroepen[],4,FALSE)</f>
        <v>Ve</v>
      </c>
      <c r="R508" s="33">
        <v>40</v>
      </c>
      <c r="S508" s="33" t="s">
        <v>16</v>
      </c>
      <c r="T508" s="33">
        <f>IF(R508&gt;0,IF(RIGHT(Ruimtestaat[[#This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508" s="33">
        <f>IF(T508&gt;0,VLOOKUP($J508,Ruimtegroepen[],3,FALSE)*VLOOKUP($L508,Vloersoorten[],3,FALSE)*VLOOKUP($S508,Frequenties[],3,FALSE)*VLOOKUP($A508,Locaties[],3,FALSE),0)</f>
        <v>0</v>
      </c>
      <c r="V508" s="33">
        <f>Ruimtestaat[[#This Row],[Uitvoeringen werkdagen]]*Ruimtestaat[[#This Row],[Oppervlak (netto)]]</f>
        <v>288</v>
      </c>
      <c r="W508" s="154">
        <f>IF(U508&gt;0,Ruimtestaat[[#This Row],[Prest. (m2 /jaar) werkdagen]]/Ruimtestaat[[#This Row],[Norm (m2/uur) werkdagen]],0)</f>
        <v>0</v>
      </c>
      <c r="X508" s="155">
        <f>Ruimtestaat[[#This Row],[uren / jaar werkdagen]]*Tariefsopbouw!$E$35</f>
        <v>0</v>
      </c>
      <c r="Y508" s="33"/>
      <c r="Z508" s="33">
        <f>IF(Ruimtestaat[[#This Row],[Frequentie weekend]]&gt;0,VALUE(LEFT(Y508,1))*R508,0)</f>
        <v>0</v>
      </c>
      <c r="AA508" s="97">
        <f>IF($Z508&gt;0,VLOOKUP($J508,Ruimtegroepen[],3,FALSE)*VLOOKUP($L508,Vloersoorten[],3,FALSE)*VLOOKUP($Y508,Frequenties[],3,FALSE)*VLOOKUP(Ruimtestaat[[#This Row],[Code]],Locaties[],3,FALSE),0)</f>
        <v>0</v>
      </c>
      <c r="AB508" s="97">
        <f>Ruimtestaat[[#This Row],[Uitvoeringen weekend]]*Ruimtestaat[[#This Row],[Oppervlak (netto)]]</f>
        <v>0</v>
      </c>
      <c r="AC508" s="97">
        <f>IF(AA508&gt;0,Ruimtestaat[[#This Row],[Prest. (m2 /jaar) weekend]]/Ruimtestaat[[#This Row],[Norm (m2/uur) weekend]],0)</f>
        <v>0</v>
      </c>
      <c r="AD508" s="155">
        <f>Ruimtestaat[[#This Row],[uren / jaar weekend]]*Tariefsopbouw!$D$40</f>
        <v>0</v>
      </c>
      <c r="AE508" s="154">
        <f>Ruimtestaat[[#This Row],[Prest. (m2 /jaar) weekend]]+Ruimtestaat[[#This Row],[Prest. (m2 /jaar) werkdagen]]</f>
        <v>288</v>
      </c>
      <c r="AF508" s="154">
        <f>Ruimtestaat[[#This Row],[uren / jaar weekend]]+Ruimtestaat[[#This Row],[uren / jaar werkdagen]]</f>
        <v>0</v>
      </c>
      <c r="AG508" s="69">
        <f>Ruimtestaat[[#This Row],[kosten / jaar weekend]]+Ruimtestaat[[#This Row],[kosten / jaar werkdagen]]</f>
        <v>0</v>
      </c>
      <c r="AH508" s="69"/>
      <c r="AI508" s="256" t="str">
        <f>IF(Ruimtestaat[[#This Row],[Frequentie werkdagen]]="","",_xlfn.CONCAT(Ruimtestaat[[#This Row],[Ruimte code]],"-",Ruimtestaat[[#This Row],[Frequentie werkdagen]]," ",Ruimtestaat[[#This Row],[Vloer code]]))</f>
        <v>1-1m L</v>
      </c>
      <c r="AJ508" s="300" t="str">
        <f>_xlfn.IFNA(VLOOKUP($AI508,Programma!$F$3:$G$1107,2,0),"")</f>
        <v>_</v>
      </c>
      <c r="AK508" s="300" t="str">
        <f>_xlfn.IFNA(VLOOKUP($AI508,Programma!$F$3:$H$1107,3,0),"")</f>
        <v>_</v>
      </c>
      <c r="AL508" s="300" t="str">
        <f>_xlfn.IFNA(VLOOKUP($AI508,Programma!$F$3:$I$1107,4,0),"")</f>
        <v>1m</v>
      </c>
      <c r="AM508" s="300" t="str">
        <f>_xlfn.IFNA(VLOOKUP($AI508,Programma!$F$3:$J$1107,5,0),"")</f>
        <v>1m</v>
      </c>
      <c r="AN508" s="300" t="str">
        <f>_xlfn.IFNA(VLOOKUP($AI508,Programma!$F$3:$K$1107,6,0),"")</f>
        <v>_</v>
      </c>
      <c r="AO508" s="300" t="str">
        <f>_xlfn.IFNA(VLOOKUP($AI508,Programma!$F$3:$L$1107,7,0),"")</f>
        <v>_</v>
      </c>
      <c r="AP508" s="300" t="str">
        <f>_xlfn.IFNA(VLOOKUP($AI508,Programma!$F$3:$M$1107,8,0),"")</f>
        <v>_</v>
      </c>
      <c r="AQ508" s="300" t="str">
        <f>_xlfn.IFNA(VLOOKUP($AI508,Programma!$F$3:$N$1107,9,0),"")</f>
        <v>_</v>
      </c>
      <c r="AR508" s="300" t="str">
        <f>_xlfn.IFNA(VLOOKUP($AI508,Programma!$F$3:$O$1107,10,0),"")</f>
        <v>_</v>
      </c>
      <c r="AS508" s="300" t="str">
        <f>_xlfn.IFNA(VLOOKUP($AI508,Programma!$F$3:$P$1107,11,0),"")</f>
        <v>_</v>
      </c>
      <c r="AT508" s="300" t="str">
        <f>_xlfn.IFNA(VLOOKUP($AI508,Programma!$F$3:$Q$1107,12,0),"")</f>
        <v>_</v>
      </c>
      <c r="AU508" s="300" t="str">
        <f>_xlfn.IFNA(VLOOKUP($AI508,Programma!$F$3:$R$1107,13,0),"")</f>
        <v>_</v>
      </c>
      <c r="AV508" s="300" t="str">
        <f>_xlfn.IFNA(VLOOKUP($AI508,Programma!$F$3:$S$1107,14,0),"")</f>
        <v>1m</v>
      </c>
      <c r="AW508" s="300" t="str">
        <f>_xlfn.IFNA(VLOOKUP($AI508,Programma!$F$3:$T$1107,15,0),"")</f>
        <v>4j</v>
      </c>
      <c r="AX508" s="300" t="str">
        <f>_xlfn.IFNA(VLOOKUP($AI508,Programma!$F$3:$U$1107,16,0),"")</f>
        <v>4j</v>
      </c>
      <c r="AY508" s="300" t="str">
        <f>_xlfn.IFNA(VLOOKUP($AI508,Programma!$F$3:$V$1107,17,0),"")</f>
        <v>_</v>
      </c>
      <c r="AZ508" s="300" t="str">
        <f>_xlfn.IFNA(VLOOKUP($AI508,Programma!$F$3:$W$1107,18,0),"")</f>
        <v>_</v>
      </c>
      <c r="BA508" s="300" t="str">
        <f>_xlfn.IFNA(VLOOKUP($AI508,Programma!$F$3:$X$1107,19,0),"")</f>
        <v>_</v>
      </c>
      <c r="BB508" s="300" t="str">
        <f>_xlfn.IFNA(VLOOKUP($AI508,Programma!$F$3:$Y$1107,20,0),"")</f>
        <v>_</v>
      </c>
      <c r="BC508" s="257"/>
      <c r="BD508" s="256" t="str">
        <f>IF(Ruimtestaat[[#This Row],[Frequentie weekend]]="","",_xlfn.CONCAT(Ruimtestaat[[#This Row],[Ruimte code]],"-",Ruimtestaat[[#This Row],[Frequentie weekend]]," ",Ruimtestaat[[#This Row],[Vloer code]]))</f>
        <v/>
      </c>
      <c r="BE508" s="300" t="str">
        <f>_xlfn.IFNA(VLOOKUP($BD508,Programma!$F$3:$G$1107,2,0),"")</f>
        <v/>
      </c>
      <c r="BF508" s="300" t="str">
        <f>_xlfn.IFNA(VLOOKUP($BD508,Programma!$F$3:$H$1107,3,0),"")</f>
        <v/>
      </c>
      <c r="BG508" s="300" t="str">
        <f>_xlfn.IFNA(VLOOKUP($BD508,Programma!$F$3:$I$1107,4,0),"")</f>
        <v/>
      </c>
      <c r="BH508" s="300" t="str">
        <f>_xlfn.IFNA(VLOOKUP($BD508,Programma!$F$3:$J$1107,5,0),"")</f>
        <v/>
      </c>
      <c r="BI508" s="300" t="str">
        <f>_xlfn.IFNA(VLOOKUP($BD508,Programma!$F$3:$K$1107,6,0),"")</f>
        <v/>
      </c>
      <c r="BJ508" s="300" t="str">
        <f>_xlfn.IFNA(VLOOKUP($BD508,Programma!$F$3:$L$1107,7,0),"")</f>
        <v/>
      </c>
      <c r="BK508" s="300" t="str">
        <f>_xlfn.IFNA(VLOOKUP($BD508,Programma!$F$3:$M$1107,8,0),"")</f>
        <v/>
      </c>
      <c r="BL508" s="300" t="str">
        <f>_xlfn.IFNA(VLOOKUP($BD508,Programma!$F$3:$N$1107,9,0),"")</f>
        <v/>
      </c>
      <c r="BM508" s="300" t="str">
        <f>_xlfn.IFNA(VLOOKUP($BD508,Programma!$F$3:$O$1107,10,0),"")</f>
        <v/>
      </c>
      <c r="BN508" s="300" t="str">
        <f>_xlfn.IFNA(VLOOKUP($BD508,Programma!$F$3:$P$1107,11,0),"")</f>
        <v/>
      </c>
      <c r="BO508" s="300" t="str">
        <f>_xlfn.IFNA(VLOOKUP($BD508,Programma!$F$3:$Q$1107,12,0),"")</f>
        <v/>
      </c>
      <c r="BP508" s="300" t="str">
        <f>_xlfn.IFNA(VLOOKUP($BD508,Programma!$F$3:$R$1107,13,0),"")</f>
        <v/>
      </c>
      <c r="BQ508" s="300" t="str">
        <f>_xlfn.IFNA(VLOOKUP($BD508,Programma!$F$3:$S$1107,14,0),"")</f>
        <v/>
      </c>
      <c r="BR508" s="300" t="str">
        <f>_xlfn.IFNA(VLOOKUP($BD508,Programma!$F$3:$T$1107,15,0),"")</f>
        <v/>
      </c>
      <c r="BS508" s="300" t="str">
        <f>_xlfn.IFNA(VLOOKUP($BD508,Programma!$F$3:$U$1107,16,0),"")</f>
        <v/>
      </c>
      <c r="BT508" s="300" t="str">
        <f>_xlfn.IFNA(VLOOKUP($BD508,Programma!$F$3:$V$1107,17,0),"")</f>
        <v/>
      </c>
      <c r="BU508" s="300" t="str">
        <f>_xlfn.IFNA(VLOOKUP($BD508,Programma!$F$3:$W$1107,18,0),"")</f>
        <v/>
      </c>
      <c r="BV508" s="300" t="str">
        <f>_xlfn.IFNA(VLOOKUP($BD508,Programma!$F$3:$X$1107,19,0),"")</f>
        <v/>
      </c>
      <c r="BW508" s="300" t="str">
        <f>_xlfn.IFNA(VLOOKUP($BD508,Programma!$F$3:$Y$1107,20,0),"")</f>
        <v/>
      </c>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c r="GK508" s="4"/>
      <c r="GL508" s="4"/>
      <c r="GM508" s="4"/>
      <c r="GN508" s="4"/>
      <c r="GO508" s="4"/>
      <c r="GP508" s="4"/>
      <c r="GQ508" s="4"/>
      <c r="GR508" s="4"/>
      <c r="GS508" s="4"/>
      <c r="GT508" s="4"/>
      <c r="GU508" s="4"/>
      <c r="GV508" s="4"/>
      <c r="GW508" s="4"/>
      <c r="GX508" s="4"/>
      <c r="GY508" s="4"/>
      <c r="GZ508" s="4"/>
      <c r="HA508" s="4"/>
      <c r="HB508" s="4"/>
      <c r="HC508" s="4"/>
      <c r="HD508" s="4"/>
      <c r="HE508" s="4"/>
      <c r="HF508" s="4"/>
      <c r="HG508" s="4"/>
      <c r="HH508" s="4"/>
      <c r="HI508" s="4"/>
      <c r="HJ508" s="4"/>
      <c r="HK508" s="4"/>
      <c r="HL508" s="4"/>
    </row>
    <row r="509" spans="1:220" ht="15" customHeight="1">
      <c r="A509" s="21">
        <v>6</v>
      </c>
      <c r="B509" s="157" t="str">
        <f>VLOOKUP(Ruimtestaat[[#This Row],[Code]],Locaties[[Code]:[Locatie]],2,FALSE)</f>
        <v>Veurs Lyceum</v>
      </c>
      <c r="C509" s="157" t="str">
        <f>VLOOKUP(Ruimtestaat[[#This Row],[Code]],Locaties[[#All],[Code]:[Adres]],4,FALSE)</f>
        <v>Burg. Kolfschotenlaan 5</v>
      </c>
      <c r="D509" s="157" t="str">
        <f>VLOOKUP(Ruimtestaat[[#This Row],[Code]],Locaties[[#All],[Code]:[Postcode]],5,FALSE)</f>
        <v xml:space="preserve">2262 EZ </v>
      </c>
      <c r="E509" s="157" t="str">
        <f>VLOOKUP(Ruimtestaat[[#This Row],[Code]],Locaties[#All],6,FALSE)</f>
        <v>Leidschendam</v>
      </c>
      <c r="F509" s="62"/>
      <c r="G509" s="21" t="s">
        <v>1624</v>
      </c>
      <c r="H509" s="21" t="s">
        <v>1697</v>
      </c>
      <c r="I509" s="62" t="s">
        <v>1831</v>
      </c>
      <c r="J509" s="21">
        <v>1</v>
      </c>
      <c r="K509" s="62" t="str">
        <f>VLOOKUP(Ruimtestaat[[#This Row],[Ruimte code]],Ruimtegroepen[[#All],[Code]:[Ruimte omschrijving]],2,FALSE)</f>
        <v>Magazijnen/bergingen</v>
      </c>
      <c r="L509" s="33" t="s">
        <v>101</v>
      </c>
      <c r="M509" s="367" t="s">
        <v>2495</v>
      </c>
      <c r="N509" s="140">
        <v>15</v>
      </c>
      <c r="O509" s="140"/>
      <c r="P509" s="125" t="str">
        <f>VLOOKUP(Ruimtestaat[[#This Row],[Ruimte code]],Ruimtegroepen[],4,FALSE)</f>
        <v>Ve</v>
      </c>
      <c r="R509" s="33">
        <v>40</v>
      </c>
      <c r="S509" s="33" t="s">
        <v>16</v>
      </c>
      <c r="T509" s="33">
        <f>IF(R509&gt;0,IF(RIGHT(Ruimtestaat[[#This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509" s="33">
        <f>IF(T509&gt;0,VLOOKUP($J509,Ruimtegroepen[],3,FALSE)*VLOOKUP($L509,Vloersoorten[],3,FALSE)*VLOOKUP($S509,Frequenties[],3,FALSE)*VLOOKUP($A509,Locaties[],3,FALSE),0)</f>
        <v>0</v>
      </c>
      <c r="V509" s="33">
        <f>Ruimtestaat[[#This Row],[Uitvoeringen werkdagen]]*Ruimtestaat[[#This Row],[Oppervlak (netto)]]</f>
        <v>180</v>
      </c>
      <c r="W509" s="154">
        <f>IF(U509&gt;0,Ruimtestaat[[#This Row],[Prest. (m2 /jaar) werkdagen]]/Ruimtestaat[[#This Row],[Norm (m2/uur) werkdagen]],0)</f>
        <v>0</v>
      </c>
      <c r="X509" s="155">
        <f>Ruimtestaat[[#This Row],[uren / jaar werkdagen]]*Tariefsopbouw!$E$35</f>
        <v>0</v>
      </c>
      <c r="Y509" s="33"/>
      <c r="Z509" s="33">
        <f>IF(Ruimtestaat[[#This Row],[Frequentie weekend]]&gt;0,VALUE(LEFT(Y509,1))*R509,0)</f>
        <v>0</v>
      </c>
      <c r="AA509" s="97">
        <f>IF($Z509&gt;0,VLOOKUP($J509,Ruimtegroepen[],3,FALSE)*VLOOKUP($L509,Vloersoorten[],3,FALSE)*VLOOKUP($Y509,Frequenties[],3,FALSE)*VLOOKUP(Ruimtestaat[[#This Row],[Code]],Locaties[],3,FALSE),0)</f>
        <v>0</v>
      </c>
      <c r="AB509" s="97">
        <f>Ruimtestaat[[#This Row],[Uitvoeringen weekend]]*Ruimtestaat[[#This Row],[Oppervlak (netto)]]</f>
        <v>0</v>
      </c>
      <c r="AC509" s="97">
        <f>IF(AA509&gt;0,Ruimtestaat[[#This Row],[Prest. (m2 /jaar) weekend]]/Ruimtestaat[[#This Row],[Norm (m2/uur) weekend]],0)</f>
        <v>0</v>
      </c>
      <c r="AD509" s="155">
        <f>Ruimtestaat[[#This Row],[uren / jaar weekend]]*Tariefsopbouw!$D$40</f>
        <v>0</v>
      </c>
      <c r="AE509" s="154">
        <f>Ruimtestaat[[#This Row],[Prest. (m2 /jaar) weekend]]+Ruimtestaat[[#This Row],[Prest. (m2 /jaar) werkdagen]]</f>
        <v>180</v>
      </c>
      <c r="AF509" s="154">
        <f>Ruimtestaat[[#This Row],[uren / jaar weekend]]+Ruimtestaat[[#This Row],[uren / jaar werkdagen]]</f>
        <v>0</v>
      </c>
      <c r="AG509" s="69">
        <f>Ruimtestaat[[#This Row],[kosten / jaar weekend]]+Ruimtestaat[[#This Row],[kosten / jaar werkdagen]]</f>
        <v>0</v>
      </c>
      <c r="AH509" s="69"/>
      <c r="AI509" s="256" t="str">
        <f>IF(Ruimtestaat[[#This Row],[Frequentie werkdagen]]="","",_xlfn.CONCAT(Ruimtestaat[[#This Row],[Ruimte code]],"-",Ruimtestaat[[#This Row],[Frequentie werkdagen]]," ",Ruimtestaat[[#This Row],[Vloer code]]))</f>
        <v>1-1m L</v>
      </c>
      <c r="AJ509" s="300" t="str">
        <f>_xlfn.IFNA(VLOOKUP($AI509,Programma!$F$3:$G$1107,2,0),"")</f>
        <v>_</v>
      </c>
      <c r="AK509" s="300" t="str">
        <f>_xlfn.IFNA(VLOOKUP($AI509,Programma!$F$3:$H$1107,3,0),"")</f>
        <v>_</v>
      </c>
      <c r="AL509" s="300" t="str">
        <f>_xlfn.IFNA(VLOOKUP($AI509,Programma!$F$3:$I$1107,4,0),"")</f>
        <v>1m</v>
      </c>
      <c r="AM509" s="300" t="str">
        <f>_xlfn.IFNA(VLOOKUP($AI509,Programma!$F$3:$J$1107,5,0),"")</f>
        <v>1m</v>
      </c>
      <c r="AN509" s="300" t="str">
        <f>_xlfn.IFNA(VLOOKUP($AI509,Programma!$F$3:$K$1107,6,0),"")</f>
        <v>_</v>
      </c>
      <c r="AO509" s="300" t="str">
        <f>_xlfn.IFNA(VLOOKUP($AI509,Programma!$F$3:$L$1107,7,0),"")</f>
        <v>_</v>
      </c>
      <c r="AP509" s="300" t="str">
        <f>_xlfn.IFNA(VLOOKUP($AI509,Programma!$F$3:$M$1107,8,0),"")</f>
        <v>_</v>
      </c>
      <c r="AQ509" s="300" t="str">
        <f>_xlfn.IFNA(VLOOKUP($AI509,Programma!$F$3:$N$1107,9,0),"")</f>
        <v>_</v>
      </c>
      <c r="AR509" s="300" t="str">
        <f>_xlfn.IFNA(VLOOKUP($AI509,Programma!$F$3:$O$1107,10,0),"")</f>
        <v>_</v>
      </c>
      <c r="AS509" s="300" t="str">
        <f>_xlfn.IFNA(VLOOKUP($AI509,Programma!$F$3:$P$1107,11,0),"")</f>
        <v>_</v>
      </c>
      <c r="AT509" s="300" t="str">
        <f>_xlfn.IFNA(VLOOKUP($AI509,Programma!$F$3:$Q$1107,12,0),"")</f>
        <v>_</v>
      </c>
      <c r="AU509" s="300" t="str">
        <f>_xlfn.IFNA(VLOOKUP($AI509,Programma!$F$3:$R$1107,13,0),"")</f>
        <v>_</v>
      </c>
      <c r="AV509" s="300" t="str">
        <f>_xlfn.IFNA(VLOOKUP($AI509,Programma!$F$3:$S$1107,14,0),"")</f>
        <v>1m</v>
      </c>
      <c r="AW509" s="300" t="str">
        <f>_xlfn.IFNA(VLOOKUP($AI509,Programma!$F$3:$T$1107,15,0),"")</f>
        <v>4j</v>
      </c>
      <c r="AX509" s="300" t="str">
        <f>_xlfn.IFNA(VLOOKUP($AI509,Programma!$F$3:$U$1107,16,0),"")</f>
        <v>4j</v>
      </c>
      <c r="AY509" s="300" t="str">
        <f>_xlfn.IFNA(VLOOKUP($AI509,Programma!$F$3:$V$1107,17,0),"")</f>
        <v>_</v>
      </c>
      <c r="AZ509" s="300" t="str">
        <f>_xlfn.IFNA(VLOOKUP($AI509,Programma!$F$3:$W$1107,18,0),"")</f>
        <v>_</v>
      </c>
      <c r="BA509" s="300" t="str">
        <f>_xlfn.IFNA(VLOOKUP($AI509,Programma!$F$3:$X$1107,19,0),"")</f>
        <v>_</v>
      </c>
      <c r="BB509" s="300" t="str">
        <f>_xlfn.IFNA(VLOOKUP($AI509,Programma!$F$3:$Y$1107,20,0),"")</f>
        <v>_</v>
      </c>
      <c r="BC509" s="257"/>
      <c r="BD509" s="256" t="str">
        <f>IF(Ruimtestaat[[#This Row],[Frequentie weekend]]="","",_xlfn.CONCAT(Ruimtestaat[[#This Row],[Ruimte code]],"-",Ruimtestaat[[#This Row],[Frequentie weekend]]," ",Ruimtestaat[[#This Row],[Vloer code]]))</f>
        <v/>
      </c>
      <c r="BE509" s="300" t="str">
        <f>_xlfn.IFNA(VLOOKUP($BD509,Programma!$F$3:$G$1107,2,0),"")</f>
        <v/>
      </c>
      <c r="BF509" s="300" t="str">
        <f>_xlfn.IFNA(VLOOKUP($BD509,Programma!$F$3:$H$1107,3,0),"")</f>
        <v/>
      </c>
      <c r="BG509" s="300" t="str">
        <f>_xlfn.IFNA(VLOOKUP($BD509,Programma!$F$3:$I$1107,4,0),"")</f>
        <v/>
      </c>
      <c r="BH509" s="300" t="str">
        <f>_xlfn.IFNA(VLOOKUP($BD509,Programma!$F$3:$J$1107,5,0),"")</f>
        <v/>
      </c>
      <c r="BI509" s="300" t="str">
        <f>_xlfn.IFNA(VLOOKUP($BD509,Programma!$F$3:$K$1107,6,0),"")</f>
        <v/>
      </c>
      <c r="BJ509" s="300" t="str">
        <f>_xlfn.IFNA(VLOOKUP($BD509,Programma!$F$3:$L$1107,7,0),"")</f>
        <v/>
      </c>
      <c r="BK509" s="300" t="str">
        <f>_xlfn.IFNA(VLOOKUP($BD509,Programma!$F$3:$M$1107,8,0),"")</f>
        <v/>
      </c>
      <c r="BL509" s="300" t="str">
        <f>_xlfn.IFNA(VLOOKUP($BD509,Programma!$F$3:$N$1107,9,0),"")</f>
        <v/>
      </c>
      <c r="BM509" s="300" t="str">
        <f>_xlfn.IFNA(VLOOKUP($BD509,Programma!$F$3:$O$1107,10,0),"")</f>
        <v/>
      </c>
      <c r="BN509" s="300" t="str">
        <f>_xlfn.IFNA(VLOOKUP($BD509,Programma!$F$3:$P$1107,11,0),"")</f>
        <v/>
      </c>
      <c r="BO509" s="300" t="str">
        <f>_xlfn.IFNA(VLOOKUP($BD509,Programma!$F$3:$Q$1107,12,0),"")</f>
        <v/>
      </c>
      <c r="BP509" s="300" t="str">
        <f>_xlfn.IFNA(VLOOKUP($BD509,Programma!$F$3:$R$1107,13,0),"")</f>
        <v/>
      </c>
      <c r="BQ509" s="300" t="str">
        <f>_xlfn.IFNA(VLOOKUP($BD509,Programma!$F$3:$S$1107,14,0),"")</f>
        <v/>
      </c>
      <c r="BR509" s="300" t="str">
        <f>_xlfn.IFNA(VLOOKUP($BD509,Programma!$F$3:$T$1107,15,0),"")</f>
        <v/>
      </c>
      <c r="BS509" s="300" t="str">
        <f>_xlfn.IFNA(VLOOKUP($BD509,Programma!$F$3:$U$1107,16,0),"")</f>
        <v/>
      </c>
      <c r="BT509" s="300" t="str">
        <f>_xlfn.IFNA(VLOOKUP($BD509,Programma!$F$3:$V$1107,17,0),"")</f>
        <v/>
      </c>
      <c r="BU509" s="300" t="str">
        <f>_xlfn.IFNA(VLOOKUP($BD509,Programma!$F$3:$W$1107,18,0),"")</f>
        <v/>
      </c>
      <c r="BV509" s="300" t="str">
        <f>_xlfn.IFNA(VLOOKUP($BD509,Programma!$F$3:$X$1107,19,0),"")</f>
        <v/>
      </c>
      <c r="BW509" s="300" t="str">
        <f>_xlfn.IFNA(VLOOKUP($BD509,Programma!$F$3:$Y$1107,20,0),"")</f>
        <v/>
      </c>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c r="GK509" s="4"/>
      <c r="GL509" s="4"/>
      <c r="GM509" s="4"/>
      <c r="GN509" s="4"/>
      <c r="GO509" s="4"/>
      <c r="GP509" s="4"/>
      <c r="GQ509" s="4"/>
      <c r="GR509" s="4"/>
      <c r="GS509" s="4"/>
      <c r="GT509" s="4"/>
      <c r="GU509" s="4"/>
      <c r="GV509" s="4"/>
      <c r="GW509" s="4"/>
      <c r="GX509" s="4"/>
      <c r="GY509" s="4"/>
      <c r="GZ509" s="4"/>
      <c r="HA509" s="4"/>
      <c r="HB509" s="4"/>
      <c r="HC509" s="4"/>
      <c r="HD509" s="4"/>
      <c r="HE509" s="4"/>
      <c r="HF509" s="4"/>
      <c r="HG509" s="4"/>
      <c r="HH509" s="4"/>
      <c r="HI509" s="4"/>
      <c r="HJ509" s="4"/>
      <c r="HK509" s="4"/>
      <c r="HL509" s="4"/>
    </row>
    <row r="510" spans="1:220" ht="15" customHeight="1">
      <c r="A510" s="21">
        <v>6</v>
      </c>
      <c r="B510" s="157" t="str">
        <f>VLOOKUP(Ruimtestaat[[#This Row],[Code]],Locaties[[Code]:[Locatie]],2,FALSE)</f>
        <v>Veurs Lyceum</v>
      </c>
      <c r="C510" s="157" t="str">
        <f>VLOOKUP(Ruimtestaat[[#This Row],[Code]],Locaties[[#All],[Code]:[Adres]],4,FALSE)</f>
        <v>Burg. Kolfschotenlaan 5</v>
      </c>
      <c r="D510" s="157" t="str">
        <f>VLOOKUP(Ruimtestaat[[#This Row],[Code]],Locaties[[#All],[Code]:[Postcode]],5,FALSE)</f>
        <v xml:space="preserve">2262 EZ </v>
      </c>
      <c r="E510" s="157" t="str">
        <f>VLOOKUP(Ruimtestaat[[#This Row],[Code]],Locaties[#All],6,FALSE)</f>
        <v>Leidschendam</v>
      </c>
      <c r="F510" s="62"/>
      <c r="G510" s="21" t="s">
        <v>1624</v>
      </c>
      <c r="H510" s="21" t="s">
        <v>1699</v>
      </c>
      <c r="I510" s="62" t="s">
        <v>2118</v>
      </c>
      <c r="J510" s="21">
        <v>2</v>
      </c>
      <c r="K510" s="62" t="str">
        <f>VLOOKUP(Ruimtestaat[[#This Row],[Ruimte code]],Ruimtegroepen[[#All],[Code]:[Ruimte omschrijving]],2,FALSE)</f>
        <v>Kantoren</v>
      </c>
      <c r="L510" s="33" t="s">
        <v>100</v>
      </c>
      <c r="M510" s="367" t="s">
        <v>2493</v>
      </c>
      <c r="N510" s="140">
        <v>20</v>
      </c>
      <c r="O510" s="140"/>
      <c r="P510" s="125" t="str">
        <f>VLOOKUP(Ruimtestaat[[#This Row],[Ruimte code]],Ruimtegroepen[],4,FALSE)</f>
        <v>Bu</v>
      </c>
      <c r="R510" s="33">
        <v>42</v>
      </c>
      <c r="S510" s="33" t="s">
        <v>18</v>
      </c>
      <c r="T510" s="33">
        <f>IF(R510&gt;0,IF(RIGHT(Ruimtestaat[[#This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10" s="33">
        <f>IF(T510&gt;0,VLOOKUP($J510,Ruimtegroepen[],3,FALSE)*VLOOKUP($L510,Vloersoorten[],3,FALSE)*VLOOKUP($S510,Frequenties[],3,FALSE)*VLOOKUP($A510,Locaties[],3,FALSE),0)</f>
        <v>0</v>
      </c>
      <c r="V510" s="33">
        <f>Ruimtestaat[[#This Row],[Uitvoeringen werkdagen]]*Ruimtestaat[[#This Row],[Oppervlak (netto)]]</f>
        <v>2520</v>
      </c>
      <c r="W510" s="154">
        <f>IF(U510&gt;0,Ruimtestaat[[#This Row],[Prest. (m2 /jaar) werkdagen]]/Ruimtestaat[[#This Row],[Norm (m2/uur) werkdagen]],0)</f>
        <v>0</v>
      </c>
      <c r="X510" s="155">
        <f>Ruimtestaat[[#This Row],[uren / jaar werkdagen]]*Tariefsopbouw!$E$35</f>
        <v>0</v>
      </c>
      <c r="Y510" s="33"/>
      <c r="Z510" s="33">
        <f>IF(Ruimtestaat[[#This Row],[Frequentie weekend]]&gt;0,VALUE(LEFT(Y510,1))*R510,0)</f>
        <v>0</v>
      </c>
      <c r="AA510" s="97">
        <f>IF($Z510&gt;0,VLOOKUP($J510,Ruimtegroepen[],3,FALSE)*VLOOKUP($L510,Vloersoorten[],3,FALSE)*VLOOKUP($Y510,Frequenties[],3,FALSE)*VLOOKUP(Ruimtestaat[[#This Row],[Code]],Locaties[],3,FALSE),0)</f>
        <v>0</v>
      </c>
      <c r="AB510" s="97">
        <f>Ruimtestaat[[#This Row],[Uitvoeringen weekend]]*Ruimtestaat[[#This Row],[Oppervlak (netto)]]</f>
        <v>0</v>
      </c>
      <c r="AC510" s="97">
        <f>IF(AA510&gt;0,Ruimtestaat[[#This Row],[Prest. (m2 /jaar) weekend]]/Ruimtestaat[[#This Row],[Norm (m2/uur) weekend]],0)</f>
        <v>0</v>
      </c>
      <c r="AD510" s="155">
        <f>Ruimtestaat[[#This Row],[uren / jaar weekend]]*Tariefsopbouw!$D$40</f>
        <v>0</v>
      </c>
      <c r="AE510" s="154">
        <f>Ruimtestaat[[#This Row],[Prest. (m2 /jaar) weekend]]+Ruimtestaat[[#This Row],[Prest. (m2 /jaar) werkdagen]]</f>
        <v>2520</v>
      </c>
      <c r="AF510" s="154">
        <f>Ruimtestaat[[#This Row],[uren / jaar weekend]]+Ruimtestaat[[#This Row],[uren / jaar werkdagen]]</f>
        <v>0</v>
      </c>
      <c r="AG510" s="69">
        <f>Ruimtestaat[[#This Row],[kosten / jaar weekend]]+Ruimtestaat[[#This Row],[kosten / jaar werkdagen]]</f>
        <v>0</v>
      </c>
      <c r="AH510" s="69"/>
      <c r="AI510" s="256" t="str">
        <f>IF(Ruimtestaat[[#This Row],[Frequentie werkdagen]]="","",_xlfn.CONCAT(Ruimtestaat[[#This Row],[Ruimte code]],"-",Ruimtestaat[[#This Row],[Frequentie werkdagen]]," ",Ruimtestaat[[#This Row],[Vloer code]]))</f>
        <v>2-3w T</v>
      </c>
      <c r="AJ510" s="300" t="str">
        <f>_xlfn.IFNA(VLOOKUP($AI510,Programma!$F$3:$G$1107,2,0),"")</f>
        <v>2w</v>
      </c>
      <c r="AK510" s="300" t="str">
        <f>_xlfn.IFNA(VLOOKUP($AI510,Programma!$F$3:$H$1107,3,0),"")</f>
        <v>1w</v>
      </c>
      <c r="AL510" s="300" t="str">
        <f>_xlfn.IFNA(VLOOKUP($AI510,Programma!$F$3:$I$1107,4,0),"")</f>
        <v>_</v>
      </c>
      <c r="AM510" s="300" t="str">
        <f>_xlfn.IFNA(VLOOKUP($AI510,Programma!$F$3:$J$1107,5,0),"")</f>
        <v>_</v>
      </c>
      <c r="AN510" s="300" t="str">
        <f>_xlfn.IFNA(VLOOKUP($AI510,Programma!$F$3:$K$1107,6,0),"")</f>
        <v>_</v>
      </c>
      <c r="AO510" s="300" t="str">
        <f>_xlfn.IFNA(VLOOKUP($AI510,Programma!$F$3:$L$1107,7,0),"")</f>
        <v>_</v>
      </c>
      <c r="AP510" s="300" t="str">
        <f>_xlfn.IFNA(VLOOKUP($AI510,Programma!$F$3:$M$1107,8,0),"")</f>
        <v>_</v>
      </c>
      <c r="AQ510" s="300" t="str">
        <f>_xlfn.IFNA(VLOOKUP($AI510,Programma!$F$3:$N$1107,9,0),"")</f>
        <v>_</v>
      </c>
      <c r="AR510" s="300" t="str">
        <f>_xlfn.IFNA(VLOOKUP($AI510,Programma!$F$3:$O$1107,10,0),"")</f>
        <v>3w</v>
      </c>
      <c r="AS510" s="300" t="str">
        <f>_xlfn.IFNA(VLOOKUP($AI510,Programma!$F$3:$P$1107,11,0),"")</f>
        <v>3w</v>
      </c>
      <c r="AT510" s="300" t="str">
        <f>_xlfn.IFNA(VLOOKUP($AI510,Programma!$F$3:$Q$1107,12,0),"")</f>
        <v>1w</v>
      </c>
      <c r="AU510" s="300" t="str">
        <f>_xlfn.IFNA(VLOOKUP($AI510,Programma!$F$3:$R$1107,13,0),"")</f>
        <v>1w</v>
      </c>
      <c r="AV510" s="300" t="str">
        <f>_xlfn.IFNA(VLOOKUP($AI510,Programma!$F$3:$S$1107,14,0),"")</f>
        <v>1m</v>
      </c>
      <c r="AW510" s="300" t="str">
        <f>_xlfn.IFNA(VLOOKUP($AI510,Programma!$F$3:$T$1107,15,0),"")</f>
        <v>2j</v>
      </c>
      <c r="AX510" s="300" t="str">
        <f>_xlfn.IFNA(VLOOKUP($AI510,Programma!$F$3:$U$1107,16,0),"")</f>
        <v>1j</v>
      </c>
      <c r="AY510" s="300" t="str">
        <f>_xlfn.IFNA(VLOOKUP($AI510,Programma!$F$3:$V$1107,17,0),"")</f>
        <v>_</v>
      </c>
      <c r="AZ510" s="300" t="str">
        <f>_xlfn.IFNA(VLOOKUP($AI510,Programma!$F$3:$W$1107,18,0),"")</f>
        <v>_</v>
      </c>
      <c r="BA510" s="300" t="str">
        <f>_xlfn.IFNA(VLOOKUP($AI510,Programma!$F$3:$X$1107,19,0),"")</f>
        <v>_</v>
      </c>
      <c r="BB510" s="300" t="str">
        <f>_xlfn.IFNA(VLOOKUP($AI510,Programma!$F$3:$Y$1107,20,0),"")</f>
        <v>_</v>
      </c>
      <c r="BC510" s="257"/>
      <c r="BD510" s="256" t="str">
        <f>IF(Ruimtestaat[[#This Row],[Frequentie weekend]]="","",_xlfn.CONCAT(Ruimtestaat[[#This Row],[Ruimte code]],"-",Ruimtestaat[[#This Row],[Frequentie weekend]]," ",Ruimtestaat[[#This Row],[Vloer code]]))</f>
        <v/>
      </c>
      <c r="BE510" s="300" t="str">
        <f>_xlfn.IFNA(VLOOKUP($BD510,Programma!$F$3:$G$1107,2,0),"")</f>
        <v/>
      </c>
      <c r="BF510" s="300" t="str">
        <f>_xlfn.IFNA(VLOOKUP($BD510,Programma!$F$3:$H$1107,3,0),"")</f>
        <v/>
      </c>
      <c r="BG510" s="300" t="str">
        <f>_xlfn.IFNA(VLOOKUP($BD510,Programma!$F$3:$I$1107,4,0),"")</f>
        <v/>
      </c>
      <c r="BH510" s="300" t="str">
        <f>_xlfn.IFNA(VLOOKUP($BD510,Programma!$F$3:$J$1107,5,0),"")</f>
        <v/>
      </c>
      <c r="BI510" s="300" t="str">
        <f>_xlfn.IFNA(VLOOKUP($BD510,Programma!$F$3:$K$1107,6,0),"")</f>
        <v/>
      </c>
      <c r="BJ510" s="300" t="str">
        <f>_xlfn.IFNA(VLOOKUP($BD510,Programma!$F$3:$L$1107,7,0),"")</f>
        <v/>
      </c>
      <c r="BK510" s="300" t="str">
        <f>_xlfn.IFNA(VLOOKUP($BD510,Programma!$F$3:$M$1107,8,0),"")</f>
        <v/>
      </c>
      <c r="BL510" s="300" t="str">
        <f>_xlfn.IFNA(VLOOKUP($BD510,Programma!$F$3:$N$1107,9,0),"")</f>
        <v/>
      </c>
      <c r="BM510" s="300" t="str">
        <f>_xlfn.IFNA(VLOOKUP($BD510,Programma!$F$3:$O$1107,10,0),"")</f>
        <v/>
      </c>
      <c r="BN510" s="300" t="str">
        <f>_xlfn.IFNA(VLOOKUP($BD510,Programma!$F$3:$P$1107,11,0),"")</f>
        <v/>
      </c>
      <c r="BO510" s="300" t="str">
        <f>_xlfn.IFNA(VLOOKUP($BD510,Programma!$F$3:$Q$1107,12,0),"")</f>
        <v/>
      </c>
      <c r="BP510" s="300" t="str">
        <f>_xlfn.IFNA(VLOOKUP($BD510,Programma!$F$3:$R$1107,13,0),"")</f>
        <v/>
      </c>
      <c r="BQ510" s="300" t="str">
        <f>_xlfn.IFNA(VLOOKUP($BD510,Programma!$F$3:$S$1107,14,0),"")</f>
        <v/>
      </c>
      <c r="BR510" s="300" t="str">
        <f>_xlfn.IFNA(VLOOKUP($BD510,Programma!$F$3:$T$1107,15,0),"")</f>
        <v/>
      </c>
      <c r="BS510" s="300" t="str">
        <f>_xlfn.IFNA(VLOOKUP($BD510,Programma!$F$3:$U$1107,16,0),"")</f>
        <v/>
      </c>
      <c r="BT510" s="300" t="str">
        <f>_xlfn.IFNA(VLOOKUP($BD510,Programma!$F$3:$V$1107,17,0),"")</f>
        <v/>
      </c>
      <c r="BU510" s="300" t="str">
        <f>_xlfn.IFNA(VLOOKUP($BD510,Programma!$F$3:$W$1107,18,0),"")</f>
        <v/>
      </c>
      <c r="BV510" s="300" t="str">
        <f>_xlfn.IFNA(VLOOKUP($BD510,Programma!$F$3:$X$1107,19,0),"")</f>
        <v/>
      </c>
      <c r="BW510" s="300" t="str">
        <f>_xlfn.IFNA(VLOOKUP($BD510,Programma!$F$3:$Y$1107,20,0),"")</f>
        <v/>
      </c>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c r="GK510" s="4"/>
      <c r="GL510" s="4"/>
      <c r="GM510" s="4"/>
      <c r="GN510" s="4"/>
      <c r="GO510" s="4"/>
      <c r="GP510" s="4"/>
      <c r="GQ510" s="4"/>
      <c r="GR510" s="4"/>
      <c r="GS510" s="4"/>
      <c r="GT510" s="4"/>
      <c r="GU510" s="4"/>
      <c r="GV510" s="4"/>
      <c r="GW510" s="4"/>
      <c r="GX510" s="4"/>
      <c r="GY510" s="4"/>
      <c r="GZ510" s="4"/>
      <c r="HA510" s="4"/>
      <c r="HB510" s="4"/>
      <c r="HC510" s="4"/>
      <c r="HD510" s="4"/>
      <c r="HE510" s="4"/>
      <c r="HF510" s="4"/>
      <c r="HG510" s="4"/>
      <c r="HH510" s="4"/>
      <c r="HI510" s="4"/>
      <c r="HJ510" s="4"/>
      <c r="HK510" s="4"/>
      <c r="HL510" s="4"/>
    </row>
    <row r="511" spans="1:220" ht="15" customHeight="1">
      <c r="A511" s="21">
        <v>6</v>
      </c>
      <c r="B511" s="157" t="str">
        <f>VLOOKUP(Ruimtestaat[[#This Row],[Code]],Locaties[[Code]:[Locatie]],2,FALSE)</f>
        <v>Veurs Lyceum</v>
      </c>
      <c r="C511" s="157" t="str">
        <f>VLOOKUP(Ruimtestaat[[#This Row],[Code]],Locaties[[#All],[Code]:[Adres]],4,FALSE)</f>
        <v>Burg. Kolfschotenlaan 5</v>
      </c>
      <c r="D511" s="157" t="str">
        <f>VLOOKUP(Ruimtestaat[[#This Row],[Code]],Locaties[[#All],[Code]:[Postcode]],5,FALSE)</f>
        <v xml:space="preserve">2262 EZ </v>
      </c>
      <c r="E511" s="157" t="str">
        <f>VLOOKUP(Ruimtestaat[[#This Row],[Code]],Locaties[#All],6,FALSE)</f>
        <v>Leidschendam</v>
      </c>
      <c r="F511" s="62"/>
      <c r="G511" s="21" t="s">
        <v>1624</v>
      </c>
      <c r="H511" s="21" t="s">
        <v>1701</v>
      </c>
      <c r="I511" s="62" t="s">
        <v>2119</v>
      </c>
      <c r="J511" s="21">
        <v>2</v>
      </c>
      <c r="K511" s="62" t="str">
        <f>VLOOKUP(Ruimtestaat[[#This Row],[Ruimte code]],Ruimtegroepen[[#All],[Code]:[Ruimte omschrijving]],2,FALSE)</f>
        <v>Kantoren</v>
      </c>
      <c r="L511" s="33" t="s">
        <v>100</v>
      </c>
      <c r="M511" s="367" t="s">
        <v>2493</v>
      </c>
      <c r="N511" s="140">
        <v>21</v>
      </c>
      <c r="O511" s="140"/>
      <c r="P511" s="125" t="str">
        <f>VLOOKUP(Ruimtestaat[[#This Row],[Ruimte code]],Ruimtegroepen[],4,FALSE)</f>
        <v>Bu</v>
      </c>
      <c r="R511" s="33">
        <v>42</v>
      </c>
      <c r="S511" s="33" t="s">
        <v>18</v>
      </c>
      <c r="T511" s="33">
        <f>IF(R511&gt;0,IF(RIGHT(Ruimtestaat[[#This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11" s="33">
        <f>IF(T511&gt;0,VLOOKUP($J511,Ruimtegroepen[],3,FALSE)*VLOOKUP($L511,Vloersoorten[],3,FALSE)*VLOOKUP($S511,Frequenties[],3,FALSE)*VLOOKUP($A511,Locaties[],3,FALSE),0)</f>
        <v>0</v>
      </c>
      <c r="V511" s="33">
        <f>Ruimtestaat[[#This Row],[Uitvoeringen werkdagen]]*Ruimtestaat[[#This Row],[Oppervlak (netto)]]</f>
        <v>2646</v>
      </c>
      <c r="W511" s="154">
        <f>IF(U511&gt;0,Ruimtestaat[[#This Row],[Prest. (m2 /jaar) werkdagen]]/Ruimtestaat[[#This Row],[Norm (m2/uur) werkdagen]],0)</f>
        <v>0</v>
      </c>
      <c r="X511" s="155">
        <f>Ruimtestaat[[#This Row],[uren / jaar werkdagen]]*Tariefsopbouw!$E$35</f>
        <v>0</v>
      </c>
      <c r="Y511" s="33"/>
      <c r="Z511" s="33">
        <f>IF(Ruimtestaat[[#This Row],[Frequentie weekend]]&gt;0,VALUE(LEFT(Y511,1))*R511,0)</f>
        <v>0</v>
      </c>
      <c r="AA511" s="97">
        <f>IF($Z511&gt;0,VLOOKUP($J511,Ruimtegroepen[],3,FALSE)*VLOOKUP($L511,Vloersoorten[],3,FALSE)*VLOOKUP($Y511,Frequenties[],3,FALSE)*VLOOKUP(Ruimtestaat[[#This Row],[Code]],Locaties[],3,FALSE),0)</f>
        <v>0</v>
      </c>
      <c r="AB511" s="97">
        <f>Ruimtestaat[[#This Row],[Uitvoeringen weekend]]*Ruimtestaat[[#This Row],[Oppervlak (netto)]]</f>
        <v>0</v>
      </c>
      <c r="AC511" s="97">
        <f>IF(AA511&gt;0,Ruimtestaat[[#This Row],[Prest. (m2 /jaar) weekend]]/Ruimtestaat[[#This Row],[Norm (m2/uur) weekend]],0)</f>
        <v>0</v>
      </c>
      <c r="AD511" s="155">
        <f>Ruimtestaat[[#This Row],[uren / jaar weekend]]*Tariefsopbouw!$D$40</f>
        <v>0</v>
      </c>
      <c r="AE511" s="154">
        <f>Ruimtestaat[[#This Row],[Prest. (m2 /jaar) weekend]]+Ruimtestaat[[#This Row],[Prest. (m2 /jaar) werkdagen]]</f>
        <v>2646</v>
      </c>
      <c r="AF511" s="154">
        <f>Ruimtestaat[[#This Row],[uren / jaar weekend]]+Ruimtestaat[[#This Row],[uren / jaar werkdagen]]</f>
        <v>0</v>
      </c>
      <c r="AG511" s="69">
        <f>Ruimtestaat[[#This Row],[kosten / jaar weekend]]+Ruimtestaat[[#This Row],[kosten / jaar werkdagen]]</f>
        <v>0</v>
      </c>
      <c r="AH511" s="69"/>
      <c r="AI511" s="256" t="str">
        <f>IF(Ruimtestaat[[#This Row],[Frequentie werkdagen]]="","",_xlfn.CONCAT(Ruimtestaat[[#This Row],[Ruimte code]],"-",Ruimtestaat[[#This Row],[Frequentie werkdagen]]," ",Ruimtestaat[[#This Row],[Vloer code]]))</f>
        <v>2-3w T</v>
      </c>
      <c r="AJ511" s="300" t="str">
        <f>_xlfn.IFNA(VLOOKUP($AI511,Programma!$F$3:$G$1107,2,0),"")</f>
        <v>2w</v>
      </c>
      <c r="AK511" s="300" t="str">
        <f>_xlfn.IFNA(VLOOKUP($AI511,Programma!$F$3:$H$1107,3,0),"")</f>
        <v>1w</v>
      </c>
      <c r="AL511" s="300" t="str">
        <f>_xlfn.IFNA(VLOOKUP($AI511,Programma!$F$3:$I$1107,4,0),"")</f>
        <v>_</v>
      </c>
      <c r="AM511" s="300" t="str">
        <f>_xlfn.IFNA(VLOOKUP($AI511,Programma!$F$3:$J$1107,5,0),"")</f>
        <v>_</v>
      </c>
      <c r="AN511" s="300" t="str">
        <f>_xlfn.IFNA(VLOOKUP($AI511,Programma!$F$3:$K$1107,6,0),"")</f>
        <v>_</v>
      </c>
      <c r="AO511" s="300" t="str">
        <f>_xlfn.IFNA(VLOOKUP($AI511,Programma!$F$3:$L$1107,7,0),"")</f>
        <v>_</v>
      </c>
      <c r="AP511" s="300" t="str">
        <f>_xlfn.IFNA(VLOOKUP($AI511,Programma!$F$3:$M$1107,8,0),"")</f>
        <v>_</v>
      </c>
      <c r="AQ511" s="300" t="str">
        <f>_xlfn.IFNA(VLOOKUP($AI511,Programma!$F$3:$N$1107,9,0),"")</f>
        <v>_</v>
      </c>
      <c r="AR511" s="300" t="str">
        <f>_xlfn.IFNA(VLOOKUP($AI511,Programma!$F$3:$O$1107,10,0),"")</f>
        <v>3w</v>
      </c>
      <c r="AS511" s="300" t="str">
        <f>_xlfn.IFNA(VLOOKUP($AI511,Programma!$F$3:$P$1107,11,0),"")</f>
        <v>3w</v>
      </c>
      <c r="AT511" s="300" t="str">
        <f>_xlfn.IFNA(VLOOKUP($AI511,Programma!$F$3:$Q$1107,12,0),"")</f>
        <v>1w</v>
      </c>
      <c r="AU511" s="300" t="str">
        <f>_xlfn.IFNA(VLOOKUP($AI511,Programma!$F$3:$R$1107,13,0),"")</f>
        <v>1w</v>
      </c>
      <c r="AV511" s="300" t="str">
        <f>_xlfn.IFNA(VLOOKUP($AI511,Programma!$F$3:$S$1107,14,0),"")</f>
        <v>1m</v>
      </c>
      <c r="AW511" s="300" t="str">
        <f>_xlfn.IFNA(VLOOKUP($AI511,Programma!$F$3:$T$1107,15,0),"")</f>
        <v>2j</v>
      </c>
      <c r="AX511" s="300" t="str">
        <f>_xlfn.IFNA(VLOOKUP($AI511,Programma!$F$3:$U$1107,16,0),"")</f>
        <v>1j</v>
      </c>
      <c r="AY511" s="300" t="str">
        <f>_xlfn.IFNA(VLOOKUP($AI511,Programma!$F$3:$V$1107,17,0),"")</f>
        <v>_</v>
      </c>
      <c r="AZ511" s="300" t="str">
        <f>_xlfn.IFNA(VLOOKUP($AI511,Programma!$F$3:$W$1107,18,0),"")</f>
        <v>_</v>
      </c>
      <c r="BA511" s="300" t="str">
        <f>_xlfn.IFNA(VLOOKUP($AI511,Programma!$F$3:$X$1107,19,0),"")</f>
        <v>_</v>
      </c>
      <c r="BB511" s="300" t="str">
        <f>_xlfn.IFNA(VLOOKUP($AI511,Programma!$F$3:$Y$1107,20,0),"")</f>
        <v>_</v>
      </c>
      <c r="BC511" s="257"/>
      <c r="BD511" s="256" t="str">
        <f>IF(Ruimtestaat[[#This Row],[Frequentie weekend]]="","",_xlfn.CONCAT(Ruimtestaat[[#This Row],[Ruimte code]],"-",Ruimtestaat[[#This Row],[Frequentie weekend]]," ",Ruimtestaat[[#This Row],[Vloer code]]))</f>
        <v/>
      </c>
      <c r="BE511" s="300" t="str">
        <f>_xlfn.IFNA(VLOOKUP($BD511,Programma!$F$3:$G$1107,2,0),"")</f>
        <v/>
      </c>
      <c r="BF511" s="300" t="str">
        <f>_xlfn.IFNA(VLOOKUP($BD511,Programma!$F$3:$H$1107,3,0),"")</f>
        <v/>
      </c>
      <c r="BG511" s="300" t="str">
        <f>_xlfn.IFNA(VLOOKUP($BD511,Programma!$F$3:$I$1107,4,0),"")</f>
        <v/>
      </c>
      <c r="BH511" s="300" t="str">
        <f>_xlfn.IFNA(VLOOKUP($BD511,Programma!$F$3:$J$1107,5,0),"")</f>
        <v/>
      </c>
      <c r="BI511" s="300" t="str">
        <f>_xlfn.IFNA(VLOOKUP($BD511,Programma!$F$3:$K$1107,6,0),"")</f>
        <v/>
      </c>
      <c r="BJ511" s="300" t="str">
        <f>_xlfn.IFNA(VLOOKUP($BD511,Programma!$F$3:$L$1107,7,0),"")</f>
        <v/>
      </c>
      <c r="BK511" s="300" t="str">
        <f>_xlfn.IFNA(VLOOKUP($BD511,Programma!$F$3:$M$1107,8,0),"")</f>
        <v/>
      </c>
      <c r="BL511" s="300" t="str">
        <f>_xlfn.IFNA(VLOOKUP($BD511,Programma!$F$3:$N$1107,9,0),"")</f>
        <v/>
      </c>
      <c r="BM511" s="300" t="str">
        <f>_xlfn.IFNA(VLOOKUP($BD511,Programma!$F$3:$O$1107,10,0),"")</f>
        <v/>
      </c>
      <c r="BN511" s="300" t="str">
        <f>_xlfn.IFNA(VLOOKUP($BD511,Programma!$F$3:$P$1107,11,0),"")</f>
        <v/>
      </c>
      <c r="BO511" s="300" t="str">
        <f>_xlfn.IFNA(VLOOKUP($BD511,Programma!$F$3:$Q$1107,12,0),"")</f>
        <v/>
      </c>
      <c r="BP511" s="300" t="str">
        <f>_xlfn.IFNA(VLOOKUP($BD511,Programma!$F$3:$R$1107,13,0),"")</f>
        <v/>
      </c>
      <c r="BQ511" s="300" t="str">
        <f>_xlfn.IFNA(VLOOKUP($BD511,Programma!$F$3:$S$1107,14,0),"")</f>
        <v/>
      </c>
      <c r="BR511" s="300" t="str">
        <f>_xlfn.IFNA(VLOOKUP($BD511,Programma!$F$3:$T$1107,15,0),"")</f>
        <v/>
      </c>
      <c r="BS511" s="300" t="str">
        <f>_xlfn.IFNA(VLOOKUP($BD511,Programma!$F$3:$U$1107,16,0),"")</f>
        <v/>
      </c>
      <c r="BT511" s="300" t="str">
        <f>_xlfn.IFNA(VLOOKUP($BD511,Programma!$F$3:$V$1107,17,0),"")</f>
        <v/>
      </c>
      <c r="BU511" s="300" t="str">
        <f>_xlfn.IFNA(VLOOKUP($BD511,Programma!$F$3:$W$1107,18,0),"")</f>
        <v/>
      </c>
      <c r="BV511" s="300" t="str">
        <f>_xlfn.IFNA(VLOOKUP($BD511,Programma!$F$3:$X$1107,19,0),"")</f>
        <v/>
      </c>
      <c r="BW511" s="300" t="str">
        <f>_xlfn.IFNA(VLOOKUP($BD511,Programma!$F$3:$Y$1107,20,0),"")</f>
        <v/>
      </c>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c r="GK511" s="4"/>
      <c r="GL511" s="4"/>
      <c r="GM511" s="4"/>
      <c r="GN511" s="4"/>
      <c r="GO511" s="4"/>
      <c r="GP511" s="4"/>
      <c r="GQ511" s="4"/>
      <c r="GR511" s="4"/>
      <c r="GS511" s="4"/>
      <c r="GT511" s="4"/>
      <c r="GU511" s="4"/>
      <c r="GV511" s="4"/>
      <c r="GW511" s="4"/>
      <c r="GX511" s="4"/>
      <c r="GY511" s="4"/>
      <c r="GZ511" s="4"/>
      <c r="HA511" s="4"/>
      <c r="HB511" s="4"/>
      <c r="HC511" s="4"/>
      <c r="HD511" s="4"/>
      <c r="HE511" s="4"/>
      <c r="HF511" s="4"/>
      <c r="HG511" s="4"/>
      <c r="HH511" s="4"/>
      <c r="HI511" s="4"/>
      <c r="HJ511" s="4"/>
      <c r="HK511" s="4"/>
      <c r="HL511" s="4"/>
    </row>
    <row r="512" spans="1:220" ht="15" customHeight="1">
      <c r="A512" s="21">
        <v>6</v>
      </c>
      <c r="B512" s="157" t="str">
        <f>VLOOKUP(Ruimtestaat[[#This Row],[Code]],Locaties[[Code]:[Locatie]],2,FALSE)</f>
        <v>Veurs Lyceum</v>
      </c>
      <c r="C512" s="157" t="str">
        <f>VLOOKUP(Ruimtestaat[[#This Row],[Code]],Locaties[[#All],[Code]:[Adres]],4,FALSE)</f>
        <v>Burg. Kolfschotenlaan 5</v>
      </c>
      <c r="D512" s="157" t="str">
        <f>VLOOKUP(Ruimtestaat[[#This Row],[Code]],Locaties[[#All],[Code]:[Postcode]],5,FALSE)</f>
        <v xml:space="preserve">2262 EZ </v>
      </c>
      <c r="E512" s="157" t="str">
        <f>VLOOKUP(Ruimtestaat[[#This Row],[Code]],Locaties[#All],6,FALSE)</f>
        <v>Leidschendam</v>
      </c>
      <c r="F512" s="62"/>
      <c r="G512" s="21" t="s">
        <v>1624</v>
      </c>
      <c r="H512" s="21" t="s">
        <v>1703</v>
      </c>
      <c r="I512" s="62" t="s">
        <v>2120</v>
      </c>
      <c r="J512" s="21">
        <v>2</v>
      </c>
      <c r="K512" s="62" t="str">
        <f>VLOOKUP(Ruimtestaat[[#This Row],[Ruimte code]],Ruimtegroepen[[#All],[Code]:[Ruimte omschrijving]],2,FALSE)</f>
        <v>Kantoren</v>
      </c>
      <c r="L512" s="33" t="s">
        <v>100</v>
      </c>
      <c r="M512" s="367" t="s">
        <v>2521</v>
      </c>
      <c r="N512" s="140">
        <v>16</v>
      </c>
      <c r="O512" s="140"/>
      <c r="P512" s="125" t="str">
        <f>VLOOKUP(Ruimtestaat[[#This Row],[Ruimte code]],Ruimtegroepen[],4,FALSE)</f>
        <v>Bu</v>
      </c>
      <c r="R512" s="33">
        <v>42</v>
      </c>
      <c r="S512" s="33" t="s">
        <v>18</v>
      </c>
      <c r="T512" s="33">
        <f>IF(R512&gt;0,IF(RIGHT(Ruimtestaat[[#This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12" s="33">
        <f>IF(T512&gt;0,VLOOKUP($J512,Ruimtegroepen[],3,FALSE)*VLOOKUP($L512,Vloersoorten[],3,FALSE)*VLOOKUP($S512,Frequenties[],3,FALSE)*VLOOKUP($A512,Locaties[],3,FALSE),0)</f>
        <v>0</v>
      </c>
      <c r="V512" s="33">
        <f>Ruimtestaat[[#This Row],[Uitvoeringen werkdagen]]*Ruimtestaat[[#This Row],[Oppervlak (netto)]]</f>
        <v>2016</v>
      </c>
      <c r="W512" s="154">
        <f>IF(U512&gt;0,Ruimtestaat[[#This Row],[Prest. (m2 /jaar) werkdagen]]/Ruimtestaat[[#This Row],[Norm (m2/uur) werkdagen]],0)</f>
        <v>0</v>
      </c>
      <c r="X512" s="155">
        <f>Ruimtestaat[[#This Row],[uren / jaar werkdagen]]*Tariefsopbouw!$E$35</f>
        <v>0</v>
      </c>
      <c r="Y512" s="33"/>
      <c r="Z512" s="33">
        <f>IF(Ruimtestaat[[#This Row],[Frequentie weekend]]&gt;0,VALUE(LEFT(Y512,1))*R512,0)</f>
        <v>0</v>
      </c>
      <c r="AA512" s="97">
        <f>IF($Z512&gt;0,VLOOKUP($J512,Ruimtegroepen[],3,FALSE)*VLOOKUP($L512,Vloersoorten[],3,FALSE)*VLOOKUP($Y512,Frequenties[],3,FALSE)*VLOOKUP(Ruimtestaat[[#This Row],[Code]],Locaties[],3,FALSE),0)</f>
        <v>0</v>
      </c>
      <c r="AB512" s="97">
        <f>Ruimtestaat[[#This Row],[Uitvoeringen weekend]]*Ruimtestaat[[#This Row],[Oppervlak (netto)]]</f>
        <v>0</v>
      </c>
      <c r="AC512" s="97">
        <f>IF(AA512&gt;0,Ruimtestaat[[#This Row],[Prest. (m2 /jaar) weekend]]/Ruimtestaat[[#This Row],[Norm (m2/uur) weekend]],0)</f>
        <v>0</v>
      </c>
      <c r="AD512" s="155">
        <f>Ruimtestaat[[#This Row],[uren / jaar weekend]]*Tariefsopbouw!$D$40</f>
        <v>0</v>
      </c>
      <c r="AE512" s="154">
        <f>Ruimtestaat[[#This Row],[Prest. (m2 /jaar) weekend]]+Ruimtestaat[[#This Row],[Prest. (m2 /jaar) werkdagen]]</f>
        <v>2016</v>
      </c>
      <c r="AF512" s="154">
        <f>Ruimtestaat[[#This Row],[uren / jaar weekend]]+Ruimtestaat[[#This Row],[uren / jaar werkdagen]]</f>
        <v>0</v>
      </c>
      <c r="AG512" s="69">
        <f>Ruimtestaat[[#This Row],[kosten / jaar weekend]]+Ruimtestaat[[#This Row],[kosten / jaar werkdagen]]</f>
        <v>0</v>
      </c>
      <c r="AH512" s="69"/>
      <c r="AI512" s="256" t="str">
        <f>IF(Ruimtestaat[[#This Row],[Frequentie werkdagen]]="","",_xlfn.CONCAT(Ruimtestaat[[#This Row],[Ruimte code]],"-",Ruimtestaat[[#This Row],[Frequentie werkdagen]]," ",Ruimtestaat[[#This Row],[Vloer code]]))</f>
        <v>2-3w T</v>
      </c>
      <c r="AJ512" s="300" t="str">
        <f>_xlfn.IFNA(VLOOKUP($AI512,Programma!$F$3:$G$1107,2,0),"")</f>
        <v>2w</v>
      </c>
      <c r="AK512" s="300" t="str">
        <f>_xlfn.IFNA(VLOOKUP($AI512,Programma!$F$3:$H$1107,3,0),"")</f>
        <v>1w</v>
      </c>
      <c r="AL512" s="300" t="str">
        <f>_xlfn.IFNA(VLOOKUP($AI512,Programma!$F$3:$I$1107,4,0),"")</f>
        <v>_</v>
      </c>
      <c r="AM512" s="300" t="str">
        <f>_xlfn.IFNA(VLOOKUP($AI512,Programma!$F$3:$J$1107,5,0),"")</f>
        <v>_</v>
      </c>
      <c r="AN512" s="300" t="str">
        <f>_xlfn.IFNA(VLOOKUP($AI512,Programma!$F$3:$K$1107,6,0),"")</f>
        <v>_</v>
      </c>
      <c r="AO512" s="300" t="str">
        <f>_xlfn.IFNA(VLOOKUP($AI512,Programma!$F$3:$L$1107,7,0),"")</f>
        <v>_</v>
      </c>
      <c r="AP512" s="300" t="str">
        <f>_xlfn.IFNA(VLOOKUP($AI512,Programma!$F$3:$M$1107,8,0),"")</f>
        <v>_</v>
      </c>
      <c r="AQ512" s="300" t="str">
        <f>_xlfn.IFNA(VLOOKUP($AI512,Programma!$F$3:$N$1107,9,0),"")</f>
        <v>_</v>
      </c>
      <c r="AR512" s="300" t="str">
        <f>_xlfn.IFNA(VLOOKUP($AI512,Programma!$F$3:$O$1107,10,0),"")</f>
        <v>3w</v>
      </c>
      <c r="AS512" s="300" t="str">
        <f>_xlfn.IFNA(VLOOKUP($AI512,Programma!$F$3:$P$1107,11,0),"")</f>
        <v>3w</v>
      </c>
      <c r="AT512" s="300" t="str">
        <f>_xlfn.IFNA(VLOOKUP($AI512,Programma!$F$3:$Q$1107,12,0),"")</f>
        <v>1w</v>
      </c>
      <c r="AU512" s="300" t="str">
        <f>_xlfn.IFNA(VLOOKUP($AI512,Programma!$F$3:$R$1107,13,0),"")</f>
        <v>1w</v>
      </c>
      <c r="AV512" s="300" t="str">
        <f>_xlfn.IFNA(VLOOKUP($AI512,Programma!$F$3:$S$1107,14,0),"")</f>
        <v>1m</v>
      </c>
      <c r="AW512" s="300" t="str">
        <f>_xlfn.IFNA(VLOOKUP($AI512,Programma!$F$3:$T$1107,15,0),"")</f>
        <v>2j</v>
      </c>
      <c r="AX512" s="300" t="str">
        <f>_xlfn.IFNA(VLOOKUP($AI512,Programma!$F$3:$U$1107,16,0),"")</f>
        <v>1j</v>
      </c>
      <c r="AY512" s="300" t="str">
        <f>_xlfn.IFNA(VLOOKUP($AI512,Programma!$F$3:$V$1107,17,0),"")</f>
        <v>_</v>
      </c>
      <c r="AZ512" s="300" t="str">
        <f>_xlfn.IFNA(VLOOKUP($AI512,Programma!$F$3:$W$1107,18,0),"")</f>
        <v>_</v>
      </c>
      <c r="BA512" s="300" t="str">
        <f>_xlfn.IFNA(VLOOKUP($AI512,Programma!$F$3:$X$1107,19,0),"")</f>
        <v>_</v>
      </c>
      <c r="BB512" s="300" t="str">
        <f>_xlfn.IFNA(VLOOKUP($AI512,Programma!$F$3:$Y$1107,20,0),"")</f>
        <v>_</v>
      </c>
      <c r="BC512" s="257"/>
      <c r="BD512" s="256" t="str">
        <f>IF(Ruimtestaat[[#This Row],[Frequentie weekend]]="","",_xlfn.CONCAT(Ruimtestaat[[#This Row],[Ruimte code]],"-",Ruimtestaat[[#This Row],[Frequentie weekend]]," ",Ruimtestaat[[#This Row],[Vloer code]]))</f>
        <v/>
      </c>
      <c r="BE512" s="300" t="str">
        <f>_xlfn.IFNA(VLOOKUP($BD512,Programma!$F$3:$G$1107,2,0),"")</f>
        <v/>
      </c>
      <c r="BF512" s="300" t="str">
        <f>_xlfn.IFNA(VLOOKUP($BD512,Programma!$F$3:$H$1107,3,0),"")</f>
        <v/>
      </c>
      <c r="BG512" s="300" t="str">
        <f>_xlfn.IFNA(VLOOKUP($BD512,Programma!$F$3:$I$1107,4,0),"")</f>
        <v/>
      </c>
      <c r="BH512" s="300" t="str">
        <f>_xlfn.IFNA(VLOOKUP($BD512,Programma!$F$3:$J$1107,5,0),"")</f>
        <v/>
      </c>
      <c r="BI512" s="300" t="str">
        <f>_xlfn.IFNA(VLOOKUP($BD512,Programma!$F$3:$K$1107,6,0),"")</f>
        <v/>
      </c>
      <c r="BJ512" s="300" t="str">
        <f>_xlfn.IFNA(VLOOKUP($BD512,Programma!$F$3:$L$1107,7,0),"")</f>
        <v/>
      </c>
      <c r="BK512" s="300" t="str">
        <f>_xlfn.IFNA(VLOOKUP($BD512,Programma!$F$3:$M$1107,8,0),"")</f>
        <v/>
      </c>
      <c r="BL512" s="300" t="str">
        <f>_xlfn.IFNA(VLOOKUP($BD512,Programma!$F$3:$N$1107,9,0),"")</f>
        <v/>
      </c>
      <c r="BM512" s="300" t="str">
        <f>_xlfn.IFNA(VLOOKUP($BD512,Programma!$F$3:$O$1107,10,0),"")</f>
        <v/>
      </c>
      <c r="BN512" s="300" t="str">
        <f>_xlfn.IFNA(VLOOKUP($BD512,Programma!$F$3:$P$1107,11,0),"")</f>
        <v/>
      </c>
      <c r="BO512" s="300" t="str">
        <f>_xlfn.IFNA(VLOOKUP($BD512,Programma!$F$3:$Q$1107,12,0),"")</f>
        <v/>
      </c>
      <c r="BP512" s="300" t="str">
        <f>_xlfn.IFNA(VLOOKUP($BD512,Programma!$F$3:$R$1107,13,0),"")</f>
        <v/>
      </c>
      <c r="BQ512" s="300" t="str">
        <f>_xlfn.IFNA(VLOOKUP($BD512,Programma!$F$3:$S$1107,14,0),"")</f>
        <v/>
      </c>
      <c r="BR512" s="300" t="str">
        <f>_xlfn.IFNA(VLOOKUP($BD512,Programma!$F$3:$T$1107,15,0),"")</f>
        <v/>
      </c>
      <c r="BS512" s="300" t="str">
        <f>_xlfn.IFNA(VLOOKUP($BD512,Programma!$F$3:$U$1107,16,0),"")</f>
        <v/>
      </c>
      <c r="BT512" s="300" t="str">
        <f>_xlfn.IFNA(VLOOKUP($BD512,Programma!$F$3:$V$1107,17,0),"")</f>
        <v/>
      </c>
      <c r="BU512" s="300" t="str">
        <f>_xlfn.IFNA(VLOOKUP($BD512,Programma!$F$3:$W$1107,18,0),"")</f>
        <v/>
      </c>
      <c r="BV512" s="300" t="str">
        <f>_xlfn.IFNA(VLOOKUP($BD512,Programma!$F$3:$X$1107,19,0),"")</f>
        <v/>
      </c>
      <c r="BW512" s="300" t="str">
        <f>_xlfn.IFNA(VLOOKUP($BD512,Programma!$F$3:$Y$1107,20,0),"")</f>
        <v/>
      </c>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c r="GK512" s="4"/>
      <c r="GL512" s="4"/>
      <c r="GM512" s="4"/>
      <c r="GN512" s="4"/>
      <c r="GO512" s="4"/>
      <c r="GP512" s="4"/>
      <c r="GQ512" s="4"/>
      <c r="GR512" s="4"/>
      <c r="GS512" s="4"/>
      <c r="GT512" s="4"/>
      <c r="GU512" s="4"/>
      <c r="GV512" s="4"/>
      <c r="GW512" s="4"/>
      <c r="GX512" s="4"/>
      <c r="GY512" s="4"/>
      <c r="GZ512" s="4"/>
      <c r="HA512" s="4"/>
      <c r="HB512" s="4"/>
      <c r="HC512" s="4"/>
      <c r="HD512" s="4"/>
      <c r="HE512" s="4"/>
      <c r="HF512" s="4"/>
      <c r="HG512" s="4"/>
      <c r="HH512" s="4"/>
      <c r="HI512" s="4"/>
      <c r="HJ512" s="4"/>
      <c r="HK512" s="4"/>
      <c r="HL512" s="4"/>
    </row>
    <row r="513" spans="1:220" ht="15" customHeight="1">
      <c r="A513" s="21">
        <v>6</v>
      </c>
      <c r="B513" s="157" t="str">
        <f>VLOOKUP(Ruimtestaat[[#This Row],[Code]],Locaties[[Code]:[Locatie]],2,FALSE)</f>
        <v>Veurs Lyceum</v>
      </c>
      <c r="C513" s="157" t="str">
        <f>VLOOKUP(Ruimtestaat[[#This Row],[Code]],Locaties[[#All],[Code]:[Adres]],4,FALSE)</f>
        <v>Burg. Kolfschotenlaan 5</v>
      </c>
      <c r="D513" s="157" t="str">
        <f>VLOOKUP(Ruimtestaat[[#This Row],[Code]],Locaties[[#All],[Code]:[Postcode]],5,FALSE)</f>
        <v xml:space="preserve">2262 EZ </v>
      </c>
      <c r="E513" s="157" t="str">
        <f>VLOOKUP(Ruimtestaat[[#This Row],[Code]],Locaties[#All],6,FALSE)</f>
        <v>Leidschendam</v>
      </c>
      <c r="F513" s="62"/>
      <c r="G513" s="21" t="s">
        <v>1624</v>
      </c>
      <c r="H513" s="21" t="s">
        <v>1704</v>
      </c>
      <c r="I513" s="62" t="s">
        <v>2121</v>
      </c>
      <c r="J513" s="21">
        <v>2</v>
      </c>
      <c r="K513" s="62" t="str">
        <f>VLOOKUP(Ruimtestaat[[#This Row],[Ruimte code]],Ruimtegroepen[[#All],[Code]:[Ruimte omschrijving]],2,FALSE)</f>
        <v>Kantoren</v>
      </c>
      <c r="L513" s="33" t="s">
        <v>100</v>
      </c>
      <c r="M513" s="367" t="s">
        <v>2493</v>
      </c>
      <c r="N513" s="140">
        <v>16</v>
      </c>
      <c r="O513" s="140"/>
      <c r="P513" s="125" t="str">
        <f>VLOOKUP(Ruimtestaat[[#This Row],[Ruimte code]],Ruimtegroepen[],4,FALSE)</f>
        <v>Bu</v>
      </c>
      <c r="R513" s="33">
        <v>42</v>
      </c>
      <c r="S513" s="33" t="s">
        <v>18</v>
      </c>
      <c r="T513" s="33">
        <f>IF(R513&gt;0,IF(RIGHT(Ruimtestaat[[#This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13" s="33">
        <f>IF(T513&gt;0,VLOOKUP($J513,Ruimtegroepen[],3,FALSE)*VLOOKUP($L513,Vloersoorten[],3,FALSE)*VLOOKUP($S513,Frequenties[],3,FALSE)*VLOOKUP($A513,Locaties[],3,FALSE),0)</f>
        <v>0</v>
      </c>
      <c r="V513" s="33">
        <f>Ruimtestaat[[#This Row],[Uitvoeringen werkdagen]]*Ruimtestaat[[#This Row],[Oppervlak (netto)]]</f>
        <v>2016</v>
      </c>
      <c r="W513" s="154">
        <f>IF(U513&gt;0,Ruimtestaat[[#This Row],[Prest. (m2 /jaar) werkdagen]]/Ruimtestaat[[#This Row],[Norm (m2/uur) werkdagen]],0)</f>
        <v>0</v>
      </c>
      <c r="X513" s="155">
        <f>Ruimtestaat[[#This Row],[uren / jaar werkdagen]]*Tariefsopbouw!$E$35</f>
        <v>0</v>
      </c>
      <c r="Y513" s="33"/>
      <c r="Z513" s="33">
        <f>IF(Ruimtestaat[[#This Row],[Frequentie weekend]]&gt;0,VALUE(LEFT(Y513,1))*R513,0)</f>
        <v>0</v>
      </c>
      <c r="AA513" s="97">
        <f>IF($Z513&gt;0,VLOOKUP($J513,Ruimtegroepen[],3,FALSE)*VLOOKUP($L513,Vloersoorten[],3,FALSE)*VLOOKUP($Y513,Frequenties[],3,FALSE)*VLOOKUP(Ruimtestaat[[#This Row],[Code]],Locaties[],3,FALSE),0)</f>
        <v>0</v>
      </c>
      <c r="AB513" s="97">
        <f>Ruimtestaat[[#This Row],[Uitvoeringen weekend]]*Ruimtestaat[[#This Row],[Oppervlak (netto)]]</f>
        <v>0</v>
      </c>
      <c r="AC513" s="97">
        <f>IF(AA513&gt;0,Ruimtestaat[[#This Row],[Prest. (m2 /jaar) weekend]]/Ruimtestaat[[#This Row],[Norm (m2/uur) weekend]],0)</f>
        <v>0</v>
      </c>
      <c r="AD513" s="155">
        <f>Ruimtestaat[[#This Row],[uren / jaar weekend]]*Tariefsopbouw!$D$40</f>
        <v>0</v>
      </c>
      <c r="AE513" s="154">
        <f>Ruimtestaat[[#This Row],[Prest. (m2 /jaar) weekend]]+Ruimtestaat[[#This Row],[Prest. (m2 /jaar) werkdagen]]</f>
        <v>2016</v>
      </c>
      <c r="AF513" s="154">
        <f>Ruimtestaat[[#This Row],[uren / jaar weekend]]+Ruimtestaat[[#This Row],[uren / jaar werkdagen]]</f>
        <v>0</v>
      </c>
      <c r="AG513" s="69">
        <f>Ruimtestaat[[#This Row],[kosten / jaar weekend]]+Ruimtestaat[[#This Row],[kosten / jaar werkdagen]]</f>
        <v>0</v>
      </c>
      <c r="AH513" s="69"/>
      <c r="AI513" s="256" t="str">
        <f>IF(Ruimtestaat[[#This Row],[Frequentie werkdagen]]="","",_xlfn.CONCAT(Ruimtestaat[[#This Row],[Ruimte code]],"-",Ruimtestaat[[#This Row],[Frequentie werkdagen]]," ",Ruimtestaat[[#This Row],[Vloer code]]))</f>
        <v>2-3w T</v>
      </c>
      <c r="AJ513" s="300" t="str">
        <f>_xlfn.IFNA(VLOOKUP($AI513,Programma!$F$3:$G$1107,2,0),"")</f>
        <v>2w</v>
      </c>
      <c r="AK513" s="300" t="str">
        <f>_xlfn.IFNA(VLOOKUP($AI513,Programma!$F$3:$H$1107,3,0),"")</f>
        <v>1w</v>
      </c>
      <c r="AL513" s="300" t="str">
        <f>_xlfn.IFNA(VLOOKUP($AI513,Programma!$F$3:$I$1107,4,0),"")</f>
        <v>_</v>
      </c>
      <c r="AM513" s="300" t="str">
        <f>_xlfn.IFNA(VLOOKUP($AI513,Programma!$F$3:$J$1107,5,0),"")</f>
        <v>_</v>
      </c>
      <c r="AN513" s="300" t="str">
        <f>_xlfn.IFNA(VLOOKUP($AI513,Programma!$F$3:$K$1107,6,0),"")</f>
        <v>_</v>
      </c>
      <c r="AO513" s="300" t="str">
        <f>_xlfn.IFNA(VLOOKUP($AI513,Programma!$F$3:$L$1107,7,0),"")</f>
        <v>_</v>
      </c>
      <c r="AP513" s="300" t="str">
        <f>_xlfn.IFNA(VLOOKUP($AI513,Programma!$F$3:$M$1107,8,0),"")</f>
        <v>_</v>
      </c>
      <c r="AQ513" s="300" t="str">
        <f>_xlfn.IFNA(VLOOKUP($AI513,Programma!$F$3:$N$1107,9,0),"")</f>
        <v>_</v>
      </c>
      <c r="AR513" s="300" t="str">
        <f>_xlfn.IFNA(VLOOKUP($AI513,Programma!$F$3:$O$1107,10,0),"")</f>
        <v>3w</v>
      </c>
      <c r="AS513" s="300" t="str">
        <f>_xlfn.IFNA(VLOOKUP($AI513,Programma!$F$3:$P$1107,11,0),"")</f>
        <v>3w</v>
      </c>
      <c r="AT513" s="300" t="str">
        <f>_xlfn.IFNA(VLOOKUP($AI513,Programma!$F$3:$Q$1107,12,0),"")</f>
        <v>1w</v>
      </c>
      <c r="AU513" s="300" t="str">
        <f>_xlfn.IFNA(VLOOKUP($AI513,Programma!$F$3:$R$1107,13,0),"")</f>
        <v>1w</v>
      </c>
      <c r="AV513" s="300" t="str">
        <f>_xlfn.IFNA(VLOOKUP($AI513,Programma!$F$3:$S$1107,14,0),"")</f>
        <v>1m</v>
      </c>
      <c r="AW513" s="300" t="str">
        <f>_xlfn.IFNA(VLOOKUP($AI513,Programma!$F$3:$T$1107,15,0),"")</f>
        <v>2j</v>
      </c>
      <c r="AX513" s="300" t="str">
        <f>_xlfn.IFNA(VLOOKUP($AI513,Programma!$F$3:$U$1107,16,0),"")</f>
        <v>1j</v>
      </c>
      <c r="AY513" s="300" t="str">
        <f>_xlfn.IFNA(VLOOKUP($AI513,Programma!$F$3:$V$1107,17,0),"")</f>
        <v>_</v>
      </c>
      <c r="AZ513" s="300" t="str">
        <f>_xlfn.IFNA(VLOOKUP($AI513,Programma!$F$3:$W$1107,18,0),"")</f>
        <v>_</v>
      </c>
      <c r="BA513" s="300" t="str">
        <f>_xlfn.IFNA(VLOOKUP($AI513,Programma!$F$3:$X$1107,19,0),"")</f>
        <v>_</v>
      </c>
      <c r="BB513" s="300" t="str">
        <f>_xlfn.IFNA(VLOOKUP($AI513,Programma!$F$3:$Y$1107,20,0),"")</f>
        <v>_</v>
      </c>
      <c r="BC513" s="257"/>
      <c r="BD513" s="256" t="str">
        <f>IF(Ruimtestaat[[#This Row],[Frequentie weekend]]="","",_xlfn.CONCAT(Ruimtestaat[[#This Row],[Ruimte code]],"-",Ruimtestaat[[#This Row],[Frequentie weekend]]," ",Ruimtestaat[[#This Row],[Vloer code]]))</f>
        <v/>
      </c>
      <c r="BE513" s="300" t="str">
        <f>_xlfn.IFNA(VLOOKUP($BD513,Programma!$F$3:$G$1107,2,0),"")</f>
        <v/>
      </c>
      <c r="BF513" s="300" t="str">
        <f>_xlfn.IFNA(VLOOKUP($BD513,Programma!$F$3:$H$1107,3,0),"")</f>
        <v/>
      </c>
      <c r="BG513" s="300" t="str">
        <f>_xlfn.IFNA(VLOOKUP($BD513,Programma!$F$3:$I$1107,4,0),"")</f>
        <v/>
      </c>
      <c r="BH513" s="300" t="str">
        <f>_xlfn.IFNA(VLOOKUP($BD513,Programma!$F$3:$J$1107,5,0),"")</f>
        <v/>
      </c>
      <c r="BI513" s="300" t="str">
        <f>_xlfn.IFNA(VLOOKUP($BD513,Programma!$F$3:$K$1107,6,0),"")</f>
        <v/>
      </c>
      <c r="BJ513" s="300" t="str">
        <f>_xlfn.IFNA(VLOOKUP($BD513,Programma!$F$3:$L$1107,7,0),"")</f>
        <v/>
      </c>
      <c r="BK513" s="300" t="str">
        <f>_xlfn.IFNA(VLOOKUP($BD513,Programma!$F$3:$M$1107,8,0),"")</f>
        <v/>
      </c>
      <c r="BL513" s="300" t="str">
        <f>_xlfn.IFNA(VLOOKUP($BD513,Programma!$F$3:$N$1107,9,0),"")</f>
        <v/>
      </c>
      <c r="BM513" s="300" t="str">
        <f>_xlfn.IFNA(VLOOKUP($BD513,Programma!$F$3:$O$1107,10,0),"")</f>
        <v/>
      </c>
      <c r="BN513" s="300" t="str">
        <f>_xlfn.IFNA(VLOOKUP($BD513,Programma!$F$3:$P$1107,11,0),"")</f>
        <v/>
      </c>
      <c r="BO513" s="300" t="str">
        <f>_xlfn.IFNA(VLOOKUP($BD513,Programma!$F$3:$Q$1107,12,0),"")</f>
        <v/>
      </c>
      <c r="BP513" s="300" t="str">
        <f>_xlfn.IFNA(VLOOKUP($BD513,Programma!$F$3:$R$1107,13,0),"")</f>
        <v/>
      </c>
      <c r="BQ513" s="300" t="str">
        <f>_xlfn.IFNA(VLOOKUP($BD513,Programma!$F$3:$S$1107,14,0),"")</f>
        <v/>
      </c>
      <c r="BR513" s="300" t="str">
        <f>_xlfn.IFNA(VLOOKUP($BD513,Programma!$F$3:$T$1107,15,0),"")</f>
        <v/>
      </c>
      <c r="BS513" s="300" t="str">
        <f>_xlfn.IFNA(VLOOKUP($BD513,Programma!$F$3:$U$1107,16,0),"")</f>
        <v/>
      </c>
      <c r="BT513" s="300" t="str">
        <f>_xlfn.IFNA(VLOOKUP($BD513,Programma!$F$3:$V$1107,17,0),"")</f>
        <v/>
      </c>
      <c r="BU513" s="300" t="str">
        <f>_xlfn.IFNA(VLOOKUP($BD513,Programma!$F$3:$W$1107,18,0),"")</f>
        <v/>
      </c>
      <c r="BV513" s="300" t="str">
        <f>_xlfn.IFNA(VLOOKUP($BD513,Programma!$F$3:$X$1107,19,0),"")</f>
        <v/>
      </c>
      <c r="BW513" s="300" t="str">
        <f>_xlfn.IFNA(VLOOKUP($BD513,Programma!$F$3:$Y$1107,20,0),"")</f>
        <v/>
      </c>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c r="GK513" s="4"/>
      <c r="GL513" s="4"/>
      <c r="GM513" s="4"/>
      <c r="GN513" s="4"/>
      <c r="GO513" s="4"/>
      <c r="GP513" s="4"/>
      <c r="GQ513" s="4"/>
      <c r="GR513" s="4"/>
      <c r="GS513" s="4"/>
      <c r="GT513" s="4"/>
      <c r="GU513" s="4"/>
      <c r="GV513" s="4"/>
      <c r="GW513" s="4"/>
      <c r="GX513" s="4"/>
      <c r="GY513" s="4"/>
      <c r="GZ513" s="4"/>
      <c r="HA513" s="4"/>
      <c r="HB513" s="4"/>
      <c r="HC513" s="4"/>
      <c r="HD513" s="4"/>
      <c r="HE513" s="4"/>
      <c r="HF513" s="4"/>
      <c r="HG513" s="4"/>
      <c r="HH513" s="4"/>
      <c r="HI513" s="4"/>
      <c r="HJ513" s="4"/>
      <c r="HK513" s="4"/>
      <c r="HL513" s="4"/>
    </row>
    <row r="514" spans="1:220" ht="15" customHeight="1">
      <c r="A514" s="21">
        <v>6</v>
      </c>
      <c r="B514" s="157" t="str">
        <f>VLOOKUP(Ruimtestaat[[#This Row],[Code]],Locaties[[Code]:[Locatie]],2,FALSE)</f>
        <v>Veurs Lyceum</v>
      </c>
      <c r="C514" s="157" t="str">
        <f>VLOOKUP(Ruimtestaat[[#This Row],[Code]],Locaties[[#All],[Code]:[Adres]],4,FALSE)</f>
        <v>Burg. Kolfschotenlaan 5</v>
      </c>
      <c r="D514" s="157" t="str">
        <f>VLOOKUP(Ruimtestaat[[#This Row],[Code]],Locaties[[#All],[Code]:[Postcode]],5,FALSE)</f>
        <v xml:space="preserve">2262 EZ </v>
      </c>
      <c r="E514" s="157" t="str">
        <f>VLOOKUP(Ruimtestaat[[#This Row],[Code]],Locaties[#All],6,FALSE)</f>
        <v>Leidschendam</v>
      </c>
      <c r="F514" s="62"/>
      <c r="G514" s="21" t="s">
        <v>1624</v>
      </c>
      <c r="H514" s="21" t="s">
        <v>1705</v>
      </c>
      <c r="I514" s="62" t="s">
        <v>2122</v>
      </c>
      <c r="J514" s="21">
        <v>2</v>
      </c>
      <c r="K514" s="62" t="str">
        <f>VLOOKUP(Ruimtestaat[[#This Row],[Ruimte code]],Ruimtegroepen[[#All],[Code]:[Ruimte omschrijving]],2,FALSE)</f>
        <v>Kantoren</v>
      </c>
      <c r="L514" s="33" t="s">
        <v>100</v>
      </c>
      <c r="M514" s="367" t="s">
        <v>2493</v>
      </c>
      <c r="N514" s="140">
        <v>16</v>
      </c>
      <c r="O514" s="140"/>
      <c r="P514" s="125" t="str">
        <f>VLOOKUP(Ruimtestaat[[#This Row],[Ruimte code]],Ruimtegroepen[],4,FALSE)</f>
        <v>Bu</v>
      </c>
      <c r="R514" s="33">
        <v>42</v>
      </c>
      <c r="S514" s="33" t="s">
        <v>18</v>
      </c>
      <c r="T514" s="33">
        <f>IF(R514&gt;0,IF(RIGHT(Ruimtestaat[[#This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14" s="33">
        <f>IF(T514&gt;0,VLOOKUP($J514,Ruimtegroepen[],3,FALSE)*VLOOKUP($L514,Vloersoorten[],3,FALSE)*VLOOKUP($S514,Frequenties[],3,FALSE)*VLOOKUP($A514,Locaties[],3,FALSE),0)</f>
        <v>0</v>
      </c>
      <c r="V514" s="33">
        <f>Ruimtestaat[[#This Row],[Uitvoeringen werkdagen]]*Ruimtestaat[[#This Row],[Oppervlak (netto)]]</f>
        <v>2016</v>
      </c>
      <c r="W514" s="154">
        <f>IF(U514&gt;0,Ruimtestaat[[#This Row],[Prest. (m2 /jaar) werkdagen]]/Ruimtestaat[[#This Row],[Norm (m2/uur) werkdagen]],0)</f>
        <v>0</v>
      </c>
      <c r="X514" s="155">
        <f>Ruimtestaat[[#This Row],[uren / jaar werkdagen]]*Tariefsopbouw!$E$35</f>
        <v>0</v>
      </c>
      <c r="Y514" s="33"/>
      <c r="Z514" s="33">
        <f>IF(Ruimtestaat[[#This Row],[Frequentie weekend]]&gt;0,VALUE(LEFT(Y514,1))*R514,0)</f>
        <v>0</v>
      </c>
      <c r="AA514" s="97">
        <f>IF($Z514&gt;0,VLOOKUP($J514,Ruimtegroepen[],3,FALSE)*VLOOKUP($L514,Vloersoorten[],3,FALSE)*VLOOKUP($Y514,Frequenties[],3,FALSE)*VLOOKUP(Ruimtestaat[[#This Row],[Code]],Locaties[],3,FALSE),0)</f>
        <v>0</v>
      </c>
      <c r="AB514" s="97">
        <f>Ruimtestaat[[#This Row],[Uitvoeringen weekend]]*Ruimtestaat[[#This Row],[Oppervlak (netto)]]</f>
        <v>0</v>
      </c>
      <c r="AC514" s="97">
        <f>IF(AA514&gt;0,Ruimtestaat[[#This Row],[Prest. (m2 /jaar) weekend]]/Ruimtestaat[[#This Row],[Norm (m2/uur) weekend]],0)</f>
        <v>0</v>
      </c>
      <c r="AD514" s="155">
        <f>Ruimtestaat[[#This Row],[uren / jaar weekend]]*Tariefsopbouw!$D$40</f>
        <v>0</v>
      </c>
      <c r="AE514" s="154">
        <f>Ruimtestaat[[#This Row],[Prest. (m2 /jaar) weekend]]+Ruimtestaat[[#This Row],[Prest. (m2 /jaar) werkdagen]]</f>
        <v>2016</v>
      </c>
      <c r="AF514" s="154">
        <f>Ruimtestaat[[#This Row],[uren / jaar weekend]]+Ruimtestaat[[#This Row],[uren / jaar werkdagen]]</f>
        <v>0</v>
      </c>
      <c r="AG514" s="69">
        <f>Ruimtestaat[[#This Row],[kosten / jaar weekend]]+Ruimtestaat[[#This Row],[kosten / jaar werkdagen]]</f>
        <v>0</v>
      </c>
      <c r="AH514" s="69"/>
      <c r="AI514" s="256" t="str">
        <f>IF(Ruimtestaat[[#This Row],[Frequentie werkdagen]]="","",_xlfn.CONCAT(Ruimtestaat[[#This Row],[Ruimte code]],"-",Ruimtestaat[[#This Row],[Frequentie werkdagen]]," ",Ruimtestaat[[#This Row],[Vloer code]]))</f>
        <v>2-3w T</v>
      </c>
      <c r="AJ514" s="300" t="str">
        <f>_xlfn.IFNA(VLOOKUP($AI514,Programma!$F$3:$G$1107,2,0),"")</f>
        <v>2w</v>
      </c>
      <c r="AK514" s="300" t="str">
        <f>_xlfn.IFNA(VLOOKUP($AI514,Programma!$F$3:$H$1107,3,0),"")</f>
        <v>1w</v>
      </c>
      <c r="AL514" s="300" t="str">
        <f>_xlfn.IFNA(VLOOKUP($AI514,Programma!$F$3:$I$1107,4,0),"")</f>
        <v>_</v>
      </c>
      <c r="AM514" s="300" t="str">
        <f>_xlfn.IFNA(VLOOKUP($AI514,Programma!$F$3:$J$1107,5,0),"")</f>
        <v>_</v>
      </c>
      <c r="AN514" s="300" t="str">
        <f>_xlfn.IFNA(VLOOKUP($AI514,Programma!$F$3:$K$1107,6,0),"")</f>
        <v>_</v>
      </c>
      <c r="AO514" s="300" t="str">
        <f>_xlfn.IFNA(VLOOKUP($AI514,Programma!$F$3:$L$1107,7,0),"")</f>
        <v>_</v>
      </c>
      <c r="AP514" s="300" t="str">
        <f>_xlfn.IFNA(VLOOKUP($AI514,Programma!$F$3:$M$1107,8,0),"")</f>
        <v>_</v>
      </c>
      <c r="AQ514" s="300" t="str">
        <f>_xlfn.IFNA(VLOOKUP($AI514,Programma!$F$3:$N$1107,9,0),"")</f>
        <v>_</v>
      </c>
      <c r="AR514" s="300" t="str">
        <f>_xlfn.IFNA(VLOOKUP($AI514,Programma!$F$3:$O$1107,10,0),"")</f>
        <v>3w</v>
      </c>
      <c r="AS514" s="300" t="str">
        <f>_xlfn.IFNA(VLOOKUP($AI514,Programma!$F$3:$P$1107,11,0),"")</f>
        <v>3w</v>
      </c>
      <c r="AT514" s="300" t="str">
        <f>_xlfn.IFNA(VLOOKUP($AI514,Programma!$F$3:$Q$1107,12,0),"")</f>
        <v>1w</v>
      </c>
      <c r="AU514" s="300" t="str">
        <f>_xlfn.IFNA(VLOOKUP($AI514,Programma!$F$3:$R$1107,13,0),"")</f>
        <v>1w</v>
      </c>
      <c r="AV514" s="300" t="str">
        <f>_xlfn.IFNA(VLOOKUP($AI514,Programma!$F$3:$S$1107,14,0),"")</f>
        <v>1m</v>
      </c>
      <c r="AW514" s="300" t="str">
        <f>_xlfn.IFNA(VLOOKUP($AI514,Programma!$F$3:$T$1107,15,0),"")</f>
        <v>2j</v>
      </c>
      <c r="AX514" s="300" t="str">
        <f>_xlfn.IFNA(VLOOKUP($AI514,Programma!$F$3:$U$1107,16,0),"")</f>
        <v>1j</v>
      </c>
      <c r="AY514" s="300" t="str">
        <f>_xlfn.IFNA(VLOOKUP($AI514,Programma!$F$3:$V$1107,17,0),"")</f>
        <v>_</v>
      </c>
      <c r="AZ514" s="300" t="str">
        <f>_xlfn.IFNA(VLOOKUP($AI514,Programma!$F$3:$W$1107,18,0),"")</f>
        <v>_</v>
      </c>
      <c r="BA514" s="300" t="str">
        <f>_xlfn.IFNA(VLOOKUP($AI514,Programma!$F$3:$X$1107,19,0),"")</f>
        <v>_</v>
      </c>
      <c r="BB514" s="300" t="str">
        <f>_xlfn.IFNA(VLOOKUP($AI514,Programma!$F$3:$Y$1107,20,0),"")</f>
        <v>_</v>
      </c>
      <c r="BC514" s="257"/>
      <c r="BD514" s="256" t="str">
        <f>IF(Ruimtestaat[[#This Row],[Frequentie weekend]]="","",_xlfn.CONCAT(Ruimtestaat[[#This Row],[Ruimte code]],"-",Ruimtestaat[[#This Row],[Frequentie weekend]]," ",Ruimtestaat[[#This Row],[Vloer code]]))</f>
        <v/>
      </c>
      <c r="BE514" s="300" t="str">
        <f>_xlfn.IFNA(VLOOKUP($BD514,Programma!$F$3:$G$1107,2,0),"")</f>
        <v/>
      </c>
      <c r="BF514" s="300" t="str">
        <f>_xlfn.IFNA(VLOOKUP($BD514,Programma!$F$3:$H$1107,3,0),"")</f>
        <v/>
      </c>
      <c r="BG514" s="300" t="str">
        <f>_xlfn.IFNA(VLOOKUP($BD514,Programma!$F$3:$I$1107,4,0),"")</f>
        <v/>
      </c>
      <c r="BH514" s="300" t="str">
        <f>_xlfn.IFNA(VLOOKUP($BD514,Programma!$F$3:$J$1107,5,0),"")</f>
        <v/>
      </c>
      <c r="BI514" s="300" t="str">
        <f>_xlfn.IFNA(VLOOKUP($BD514,Programma!$F$3:$K$1107,6,0),"")</f>
        <v/>
      </c>
      <c r="BJ514" s="300" t="str">
        <f>_xlfn.IFNA(VLOOKUP($BD514,Programma!$F$3:$L$1107,7,0),"")</f>
        <v/>
      </c>
      <c r="BK514" s="300" t="str">
        <f>_xlfn.IFNA(VLOOKUP($BD514,Programma!$F$3:$M$1107,8,0),"")</f>
        <v/>
      </c>
      <c r="BL514" s="300" t="str">
        <f>_xlfn.IFNA(VLOOKUP($BD514,Programma!$F$3:$N$1107,9,0),"")</f>
        <v/>
      </c>
      <c r="BM514" s="300" t="str">
        <f>_xlfn.IFNA(VLOOKUP($BD514,Programma!$F$3:$O$1107,10,0),"")</f>
        <v/>
      </c>
      <c r="BN514" s="300" t="str">
        <f>_xlfn.IFNA(VLOOKUP($BD514,Programma!$F$3:$P$1107,11,0),"")</f>
        <v/>
      </c>
      <c r="BO514" s="300" t="str">
        <f>_xlfn.IFNA(VLOOKUP($BD514,Programma!$F$3:$Q$1107,12,0),"")</f>
        <v/>
      </c>
      <c r="BP514" s="300" t="str">
        <f>_xlfn.IFNA(VLOOKUP($BD514,Programma!$F$3:$R$1107,13,0),"")</f>
        <v/>
      </c>
      <c r="BQ514" s="300" t="str">
        <f>_xlfn.IFNA(VLOOKUP($BD514,Programma!$F$3:$S$1107,14,0),"")</f>
        <v/>
      </c>
      <c r="BR514" s="300" t="str">
        <f>_xlfn.IFNA(VLOOKUP($BD514,Programma!$F$3:$T$1107,15,0),"")</f>
        <v/>
      </c>
      <c r="BS514" s="300" t="str">
        <f>_xlfn.IFNA(VLOOKUP($BD514,Programma!$F$3:$U$1107,16,0),"")</f>
        <v/>
      </c>
      <c r="BT514" s="300" t="str">
        <f>_xlfn.IFNA(VLOOKUP($BD514,Programma!$F$3:$V$1107,17,0),"")</f>
        <v/>
      </c>
      <c r="BU514" s="300" t="str">
        <f>_xlfn.IFNA(VLOOKUP($BD514,Programma!$F$3:$W$1107,18,0),"")</f>
        <v/>
      </c>
      <c r="BV514" s="300" t="str">
        <f>_xlfn.IFNA(VLOOKUP($BD514,Programma!$F$3:$X$1107,19,0),"")</f>
        <v/>
      </c>
      <c r="BW514" s="300" t="str">
        <f>_xlfn.IFNA(VLOOKUP($BD514,Programma!$F$3:$Y$1107,20,0),"")</f>
        <v/>
      </c>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c r="GK514" s="4"/>
      <c r="GL514" s="4"/>
      <c r="GM514" s="4"/>
      <c r="GN514" s="4"/>
      <c r="GO514" s="4"/>
      <c r="GP514" s="4"/>
      <c r="GQ514" s="4"/>
      <c r="GR514" s="4"/>
      <c r="GS514" s="4"/>
      <c r="GT514" s="4"/>
      <c r="GU514" s="4"/>
      <c r="GV514" s="4"/>
      <c r="GW514" s="4"/>
      <c r="GX514" s="4"/>
      <c r="GY514" s="4"/>
      <c r="GZ514" s="4"/>
      <c r="HA514" s="4"/>
      <c r="HB514" s="4"/>
      <c r="HC514" s="4"/>
      <c r="HD514" s="4"/>
      <c r="HE514" s="4"/>
      <c r="HF514" s="4"/>
      <c r="HG514" s="4"/>
      <c r="HH514" s="4"/>
      <c r="HI514" s="4"/>
      <c r="HJ514" s="4"/>
      <c r="HK514" s="4"/>
      <c r="HL514" s="4"/>
    </row>
    <row r="515" spans="1:220" ht="15" customHeight="1">
      <c r="A515" s="21">
        <v>6</v>
      </c>
      <c r="B515" s="157" t="str">
        <f>VLOOKUP(Ruimtestaat[[#This Row],[Code]],Locaties[[Code]:[Locatie]],2,FALSE)</f>
        <v>Veurs Lyceum</v>
      </c>
      <c r="C515" s="157" t="str">
        <f>VLOOKUP(Ruimtestaat[[#This Row],[Code]],Locaties[[#All],[Code]:[Adres]],4,FALSE)</f>
        <v>Burg. Kolfschotenlaan 5</v>
      </c>
      <c r="D515" s="157" t="str">
        <f>VLOOKUP(Ruimtestaat[[#This Row],[Code]],Locaties[[#All],[Code]:[Postcode]],5,FALSE)</f>
        <v xml:space="preserve">2262 EZ </v>
      </c>
      <c r="E515" s="157" t="str">
        <f>VLOOKUP(Ruimtestaat[[#This Row],[Code]],Locaties[#All],6,FALSE)</f>
        <v>Leidschendam</v>
      </c>
      <c r="F515" s="62"/>
      <c r="G515" s="21" t="s">
        <v>1624</v>
      </c>
      <c r="H515" s="21" t="s">
        <v>2058</v>
      </c>
      <c r="I515" s="62" t="s">
        <v>2123</v>
      </c>
      <c r="J515" s="21">
        <v>8</v>
      </c>
      <c r="K515" s="62" t="str">
        <f>VLOOKUP(Ruimtestaat[[#This Row],[Ruimte code]],Ruimtegroepen[[#All],[Code]:[Ruimte omschrijving]],2,FALSE)</f>
        <v>Mediatheek / OLC</v>
      </c>
      <c r="L515" s="33" t="s">
        <v>103</v>
      </c>
      <c r="M515" s="367" t="s">
        <v>121</v>
      </c>
      <c r="N515" s="140">
        <v>192</v>
      </c>
      <c r="O515" s="140"/>
      <c r="P515" s="125" t="str">
        <f>VLOOKUP(Ruimtestaat[[#This Row],[Ruimte code]],Ruimtegroepen[],4,FALSE)</f>
        <v>Le</v>
      </c>
      <c r="R515" s="33">
        <v>40</v>
      </c>
      <c r="S515" s="33" t="s">
        <v>2</v>
      </c>
      <c r="T515" s="33">
        <f>IF(R515&gt;0,IF(RIGHT(Ruimtestaat[[#This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5" s="33">
        <f>IF(T515&gt;0,VLOOKUP($J515,Ruimtegroepen[],3,FALSE)*VLOOKUP($L515,Vloersoorten[],3,FALSE)*VLOOKUP($S515,Frequenties[],3,FALSE)*VLOOKUP($A515,Locaties[],3,FALSE),0)</f>
        <v>0</v>
      </c>
      <c r="V515" s="33">
        <f>Ruimtestaat[[#This Row],[Uitvoeringen werkdagen]]*Ruimtestaat[[#This Row],[Oppervlak (netto)]]</f>
        <v>38400</v>
      </c>
      <c r="W515" s="154">
        <f>IF(U515&gt;0,Ruimtestaat[[#This Row],[Prest. (m2 /jaar) werkdagen]]/Ruimtestaat[[#This Row],[Norm (m2/uur) werkdagen]],0)</f>
        <v>0</v>
      </c>
      <c r="X515" s="155">
        <f>Ruimtestaat[[#This Row],[uren / jaar werkdagen]]*Tariefsopbouw!$E$35</f>
        <v>0</v>
      </c>
      <c r="Y515" s="33"/>
      <c r="Z515" s="33">
        <f>IF(Ruimtestaat[[#This Row],[Frequentie weekend]]&gt;0,VALUE(LEFT(Y515,1))*R515,0)</f>
        <v>0</v>
      </c>
      <c r="AA515" s="97">
        <f>IF($Z515&gt;0,VLOOKUP($J515,Ruimtegroepen[],3,FALSE)*VLOOKUP($L515,Vloersoorten[],3,FALSE)*VLOOKUP($Y515,Frequenties[],3,FALSE)*VLOOKUP(Ruimtestaat[[#This Row],[Code]],Locaties[],3,FALSE),0)</f>
        <v>0</v>
      </c>
      <c r="AB515" s="97">
        <f>Ruimtestaat[[#This Row],[Uitvoeringen weekend]]*Ruimtestaat[[#This Row],[Oppervlak (netto)]]</f>
        <v>0</v>
      </c>
      <c r="AC515" s="97">
        <f>IF(AA515&gt;0,Ruimtestaat[[#This Row],[Prest. (m2 /jaar) weekend]]/Ruimtestaat[[#This Row],[Norm (m2/uur) weekend]],0)</f>
        <v>0</v>
      </c>
      <c r="AD515" s="155">
        <f>Ruimtestaat[[#This Row],[uren / jaar weekend]]*Tariefsopbouw!$D$40</f>
        <v>0</v>
      </c>
      <c r="AE515" s="154">
        <f>Ruimtestaat[[#This Row],[Prest. (m2 /jaar) weekend]]+Ruimtestaat[[#This Row],[Prest. (m2 /jaar) werkdagen]]</f>
        <v>38400</v>
      </c>
      <c r="AF515" s="154">
        <f>Ruimtestaat[[#This Row],[uren / jaar weekend]]+Ruimtestaat[[#This Row],[uren / jaar werkdagen]]</f>
        <v>0</v>
      </c>
      <c r="AG515" s="69">
        <f>Ruimtestaat[[#This Row],[kosten / jaar weekend]]+Ruimtestaat[[#This Row],[kosten / jaar werkdagen]]</f>
        <v>0</v>
      </c>
      <c r="AH515" s="69"/>
      <c r="AI515" s="256" t="str">
        <f>IF(Ruimtestaat[[#This Row],[Frequentie werkdagen]]="","",_xlfn.CONCAT(Ruimtestaat[[#This Row],[Ruimte code]],"-",Ruimtestaat[[#This Row],[Frequentie werkdagen]]," ",Ruimtestaat[[#This Row],[Vloer code]]))</f>
        <v>8-5w P</v>
      </c>
      <c r="AJ515" s="300" t="str">
        <f>_xlfn.IFNA(VLOOKUP($AI515,Programma!$F$3:$G$1107,2,0),"")</f>
        <v>_</v>
      </c>
      <c r="AK515" s="300" t="str">
        <f>_xlfn.IFNA(VLOOKUP($AI515,Programma!$F$3:$H$1107,3,0),"")</f>
        <v>_</v>
      </c>
      <c r="AL515" s="300" t="str">
        <f>_xlfn.IFNA(VLOOKUP($AI515,Programma!$F$3:$I$1107,4,0),"")</f>
        <v>5w</v>
      </c>
      <c r="AM515" s="300" t="str">
        <f>_xlfn.IFNA(VLOOKUP($AI515,Programma!$F$3:$J$1107,5,0),"")</f>
        <v>_</v>
      </c>
      <c r="AN515" s="300" t="str">
        <f>_xlfn.IFNA(VLOOKUP($AI515,Programma!$F$3:$K$1107,6,0),"")</f>
        <v>4j</v>
      </c>
      <c r="AO515" s="300" t="str">
        <f>_xlfn.IFNA(VLOOKUP($AI515,Programma!$F$3:$L$1107,7,0),"")</f>
        <v>_</v>
      </c>
      <c r="AP515" s="300" t="str">
        <f>_xlfn.IFNA(VLOOKUP($AI515,Programma!$F$3:$M$1107,8,0),"")</f>
        <v>_</v>
      </c>
      <c r="AQ515" s="300" t="str">
        <f>_xlfn.IFNA(VLOOKUP($AI515,Programma!$F$3:$N$1107,9,0),"")</f>
        <v>_</v>
      </c>
      <c r="AR515" s="300" t="str">
        <f>_xlfn.IFNA(VLOOKUP($AI515,Programma!$F$3:$O$1107,10,0),"")</f>
        <v>5w</v>
      </c>
      <c r="AS515" s="300" t="str">
        <f>_xlfn.IFNA(VLOOKUP($AI515,Programma!$F$3:$P$1107,11,0),"")</f>
        <v>5w</v>
      </c>
      <c r="AT515" s="300" t="str">
        <f>_xlfn.IFNA(VLOOKUP($AI515,Programma!$F$3:$Q$1107,12,0),"")</f>
        <v>1w</v>
      </c>
      <c r="AU515" s="300" t="str">
        <f>_xlfn.IFNA(VLOOKUP($AI515,Programma!$F$3:$R$1107,13,0),"")</f>
        <v>1w</v>
      </c>
      <c r="AV515" s="300" t="str">
        <f>_xlfn.IFNA(VLOOKUP($AI515,Programma!$F$3:$S$1107,14,0),"")</f>
        <v>1m</v>
      </c>
      <c r="AW515" s="300" t="str">
        <f>_xlfn.IFNA(VLOOKUP($AI515,Programma!$F$3:$T$1107,15,0),"")</f>
        <v>2j</v>
      </c>
      <c r="AX515" s="300" t="str">
        <f>_xlfn.IFNA(VLOOKUP($AI515,Programma!$F$3:$U$1107,16,0),"")</f>
        <v>1j</v>
      </c>
      <c r="AY515" s="300" t="str">
        <f>_xlfn.IFNA(VLOOKUP($AI515,Programma!$F$3:$V$1107,17,0),"")</f>
        <v>_</v>
      </c>
      <c r="AZ515" s="300" t="str">
        <f>_xlfn.IFNA(VLOOKUP($AI515,Programma!$F$3:$W$1107,18,0),"")</f>
        <v>_</v>
      </c>
      <c r="BA515" s="300" t="str">
        <f>_xlfn.IFNA(VLOOKUP($AI515,Programma!$F$3:$X$1107,19,0),"")</f>
        <v>_</v>
      </c>
      <c r="BB515" s="300" t="str">
        <f>_xlfn.IFNA(VLOOKUP($AI515,Programma!$F$3:$Y$1107,20,0),"")</f>
        <v>_</v>
      </c>
      <c r="BC515" s="257"/>
      <c r="BD515" s="256" t="str">
        <f>IF(Ruimtestaat[[#This Row],[Frequentie weekend]]="","",_xlfn.CONCAT(Ruimtestaat[[#This Row],[Ruimte code]],"-",Ruimtestaat[[#This Row],[Frequentie weekend]]," ",Ruimtestaat[[#This Row],[Vloer code]]))</f>
        <v/>
      </c>
      <c r="BE515" s="300" t="str">
        <f>_xlfn.IFNA(VLOOKUP($BD515,Programma!$F$3:$G$1107,2,0),"")</f>
        <v/>
      </c>
      <c r="BF515" s="300" t="str">
        <f>_xlfn.IFNA(VLOOKUP($BD515,Programma!$F$3:$H$1107,3,0),"")</f>
        <v/>
      </c>
      <c r="BG515" s="300" t="str">
        <f>_xlfn.IFNA(VLOOKUP($BD515,Programma!$F$3:$I$1107,4,0),"")</f>
        <v/>
      </c>
      <c r="BH515" s="300" t="str">
        <f>_xlfn.IFNA(VLOOKUP($BD515,Programma!$F$3:$J$1107,5,0),"")</f>
        <v/>
      </c>
      <c r="BI515" s="300" t="str">
        <f>_xlfn.IFNA(VLOOKUP($BD515,Programma!$F$3:$K$1107,6,0),"")</f>
        <v/>
      </c>
      <c r="BJ515" s="300" t="str">
        <f>_xlfn.IFNA(VLOOKUP($BD515,Programma!$F$3:$L$1107,7,0),"")</f>
        <v/>
      </c>
      <c r="BK515" s="300" t="str">
        <f>_xlfn.IFNA(VLOOKUP($BD515,Programma!$F$3:$M$1107,8,0),"")</f>
        <v/>
      </c>
      <c r="BL515" s="300" t="str">
        <f>_xlfn.IFNA(VLOOKUP($BD515,Programma!$F$3:$N$1107,9,0),"")</f>
        <v/>
      </c>
      <c r="BM515" s="300" t="str">
        <f>_xlfn.IFNA(VLOOKUP($BD515,Programma!$F$3:$O$1107,10,0),"")</f>
        <v/>
      </c>
      <c r="BN515" s="300" t="str">
        <f>_xlfn.IFNA(VLOOKUP($BD515,Programma!$F$3:$P$1107,11,0),"")</f>
        <v/>
      </c>
      <c r="BO515" s="300" t="str">
        <f>_xlfn.IFNA(VLOOKUP($BD515,Programma!$F$3:$Q$1107,12,0),"")</f>
        <v/>
      </c>
      <c r="BP515" s="300" t="str">
        <f>_xlfn.IFNA(VLOOKUP($BD515,Programma!$F$3:$R$1107,13,0),"")</f>
        <v/>
      </c>
      <c r="BQ515" s="300" t="str">
        <f>_xlfn.IFNA(VLOOKUP($BD515,Programma!$F$3:$S$1107,14,0),"")</f>
        <v/>
      </c>
      <c r="BR515" s="300" t="str">
        <f>_xlfn.IFNA(VLOOKUP($BD515,Programma!$F$3:$T$1107,15,0),"")</f>
        <v/>
      </c>
      <c r="BS515" s="300" t="str">
        <f>_xlfn.IFNA(VLOOKUP($BD515,Programma!$F$3:$U$1107,16,0),"")</f>
        <v/>
      </c>
      <c r="BT515" s="300" t="str">
        <f>_xlfn.IFNA(VLOOKUP($BD515,Programma!$F$3:$V$1107,17,0),"")</f>
        <v/>
      </c>
      <c r="BU515" s="300" t="str">
        <f>_xlfn.IFNA(VLOOKUP($BD515,Programma!$F$3:$W$1107,18,0),"")</f>
        <v/>
      </c>
      <c r="BV515" s="300" t="str">
        <f>_xlfn.IFNA(VLOOKUP($BD515,Programma!$F$3:$X$1107,19,0),"")</f>
        <v/>
      </c>
      <c r="BW515" s="300" t="str">
        <f>_xlfn.IFNA(VLOOKUP($BD515,Programma!$F$3:$Y$1107,20,0),"")</f>
        <v/>
      </c>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c r="GK515" s="4"/>
      <c r="GL515" s="4"/>
      <c r="GM515" s="4"/>
      <c r="GN515" s="4"/>
      <c r="GO515" s="4"/>
      <c r="GP515" s="4"/>
      <c r="GQ515" s="4"/>
      <c r="GR515" s="4"/>
      <c r="GS515" s="4"/>
      <c r="GT515" s="4"/>
      <c r="GU515" s="4"/>
      <c r="GV515" s="4"/>
      <c r="GW515" s="4"/>
      <c r="GX515" s="4"/>
      <c r="GY515" s="4"/>
      <c r="GZ515" s="4"/>
      <c r="HA515" s="4"/>
      <c r="HB515" s="4"/>
      <c r="HC515" s="4"/>
      <c r="HD515" s="4"/>
      <c r="HE515" s="4"/>
      <c r="HF515" s="4"/>
      <c r="HG515" s="4"/>
      <c r="HH515" s="4"/>
      <c r="HI515" s="4"/>
      <c r="HJ515" s="4"/>
      <c r="HK515" s="4"/>
      <c r="HL515" s="4"/>
    </row>
    <row r="516" spans="1:220" ht="15" customHeight="1">
      <c r="A516" s="21">
        <v>6</v>
      </c>
      <c r="B516" s="157" t="str">
        <f>VLOOKUP(Ruimtestaat[[#This Row],[Code]],Locaties[[Code]:[Locatie]],2,FALSE)</f>
        <v>Veurs Lyceum</v>
      </c>
      <c r="C516" s="157" t="str">
        <f>VLOOKUP(Ruimtestaat[[#This Row],[Code]],Locaties[[#All],[Code]:[Adres]],4,FALSE)</f>
        <v>Burg. Kolfschotenlaan 5</v>
      </c>
      <c r="D516" s="157" t="str">
        <f>VLOOKUP(Ruimtestaat[[#This Row],[Code]],Locaties[[#All],[Code]:[Postcode]],5,FALSE)</f>
        <v xml:space="preserve">2262 EZ </v>
      </c>
      <c r="E516" s="157" t="str">
        <f>VLOOKUP(Ruimtestaat[[#This Row],[Code]],Locaties[#All],6,FALSE)</f>
        <v>Leidschendam</v>
      </c>
      <c r="F516" s="62"/>
      <c r="G516" s="21" t="s">
        <v>1624</v>
      </c>
      <c r="H516" s="21" t="s">
        <v>1915</v>
      </c>
      <c r="I516" s="62" t="s">
        <v>1625</v>
      </c>
      <c r="J516" s="21">
        <v>6</v>
      </c>
      <c r="K516" s="62" t="str">
        <f>VLOOKUP(Ruimtestaat[[#This Row],[Ruimte code]],Ruimtegroepen[[#All],[Code]:[Ruimte omschrijving]],2,FALSE)</f>
        <v>Gangen/hallen</v>
      </c>
      <c r="L516" s="33" t="s">
        <v>100</v>
      </c>
      <c r="M516" s="367" t="s">
        <v>2493</v>
      </c>
      <c r="N516" s="140">
        <v>272</v>
      </c>
      <c r="O516" s="140"/>
      <c r="P516" s="125" t="str">
        <f>VLOOKUP(Ruimtestaat[[#This Row],[Ruimte code]],Ruimtegroepen[],4,FALSE)</f>
        <v>Ve</v>
      </c>
      <c r="R516" s="33">
        <v>40</v>
      </c>
      <c r="S516" s="33" t="s">
        <v>2</v>
      </c>
      <c r="T516" s="33">
        <f>IF(R516&gt;0,IF(RIGHT(Ruimtestaat[[#This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6" s="33">
        <f>IF(T516&gt;0,VLOOKUP($J516,Ruimtegroepen[],3,FALSE)*VLOOKUP($L516,Vloersoorten[],3,FALSE)*VLOOKUP($S516,Frequenties[],3,FALSE)*VLOOKUP($A516,Locaties[],3,FALSE),0)</f>
        <v>0</v>
      </c>
      <c r="V516" s="33">
        <f>Ruimtestaat[[#This Row],[Uitvoeringen werkdagen]]*Ruimtestaat[[#This Row],[Oppervlak (netto)]]</f>
        <v>54400</v>
      </c>
      <c r="W516" s="154">
        <f>IF(U516&gt;0,Ruimtestaat[[#This Row],[Prest. (m2 /jaar) werkdagen]]/Ruimtestaat[[#This Row],[Norm (m2/uur) werkdagen]],0)</f>
        <v>0</v>
      </c>
      <c r="X516" s="155">
        <f>Ruimtestaat[[#This Row],[uren / jaar werkdagen]]*Tariefsopbouw!$E$35</f>
        <v>0</v>
      </c>
      <c r="Y516" s="33"/>
      <c r="Z516" s="33">
        <f>IF(Ruimtestaat[[#This Row],[Frequentie weekend]]&gt;0,VALUE(LEFT(Y516,1))*R516,0)</f>
        <v>0</v>
      </c>
      <c r="AA516" s="97">
        <f>IF($Z516&gt;0,VLOOKUP($J516,Ruimtegroepen[],3,FALSE)*VLOOKUP($L516,Vloersoorten[],3,FALSE)*VLOOKUP($Y516,Frequenties[],3,FALSE)*VLOOKUP(Ruimtestaat[[#This Row],[Code]],Locaties[],3,FALSE),0)</f>
        <v>0</v>
      </c>
      <c r="AB516" s="97">
        <f>Ruimtestaat[[#This Row],[Uitvoeringen weekend]]*Ruimtestaat[[#This Row],[Oppervlak (netto)]]</f>
        <v>0</v>
      </c>
      <c r="AC516" s="97">
        <f>IF(AA516&gt;0,Ruimtestaat[[#This Row],[Prest. (m2 /jaar) weekend]]/Ruimtestaat[[#This Row],[Norm (m2/uur) weekend]],0)</f>
        <v>0</v>
      </c>
      <c r="AD516" s="155">
        <f>Ruimtestaat[[#This Row],[uren / jaar weekend]]*Tariefsopbouw!$D$40</f>
        <v>0</v>
      </c>
      <c r="AE516" s="154">
        <f>Ruimtestaat[[#This Row],[Prest. (m2 /jaar) weekend]]+Ruimtestaat[[#This Row],[Prest. (m2 /jaar) werkdagen]]</f>
        <v>54400</v>
      </c>
      <c r="AF516" s="154">
        <f>Ruimtestaat[[#This Row],[uren / jaar weekend]]+Ruimtestaat[[#This Row],[uren / jaar werkdagen]]</f>
        <v>0</v>
      </c>
      <c r="AG516" s="69">
        <f>Ruimtestaat[[#This Row],[kosten / jaar weekend]]+Ruimtestaat[[#This Row],[kosten / jaar werkdagen]]</f>
        <v>0</v>
      </c>
      <c r="AH516" s="69"/>
      <c r="AI516" s="256" t="str">
        <f>IF(Ruimtestaat[[#This Row],[Frequentie werkdagen]]="","",_xlfn.CONCAT(Ruimtestaat[[#This Row],[Ruimte code]],"-",Ruimtestaat[[#This Row],[Frequentie werkdagen]]," ",Ruimtestaat[[#This Row],[Vloer code]]))</f>
        <v>6-5w T</v>
      </c>
      <c r="AJ516" s="300" t="str">
        <f>_xlfn.IFNA(VLOOKUP($AI516,Programma!$F$3:$G$1107,2,0),"")</f>
        <v>_</v>
      </c>
      <c r="AK516" s="300" t="str">
        <f>_xlfn.IFNA(VLOOKUP($AI516,Programma!$F$3:$H$1107,3,0),"")</f>
        <v>5w</v>
      </c>
      <c r="AL516" s="300" t="str">
        <f>_xlfn.IFNA(VLOOKUP($AI516,Programma!$F$3:$I$1107,4,0),"")</f>
        <v>_</v>
      </c>
      <c r="AM516" s="300" t="str">
        <f>_xlfn.IFNA(VLOOKUP($AI516,Programma!$F$3:$J$1107,5,0),"")</f>
        <v>_</v>
      </c>
      <c r="AN516" s="300" t="str">
        <f>_xlfn.IFNA(VLOOKUP($AI516,Programma!$F$3:$K$1107,6,0),"")</f>
        <v>_</v>
      </c>
      <c r="AO516" s="300" t="str">
        <f>_xlfn.IFNA(VLOOKUP($AI516,Programma!$F$3:$L$1107,7,0),"")</f>
        <v>_</v>
      </c>
      <c r="AP516" s="300" t="str">
        <f>_xlfn.IFNA(VLOOKUP($AI516,Programma!$F$3:$M$1107,8,0),"")</f>
        <v>_</v>
      </c>
      <c r="AQ516" s="300" t="str">
        <f>_xlfn.IFNA(VLOOKUP($AI516,Programma!$F$3:$N$1107,9,0),"")</f>
        <v>_</v>
      </c>
      <c r="AR516" s="300" t="str">
        <f>_xlfn.IFNA(VLOOKUP($AI516,Programma!$F$3:$O$1107,10,0),"")</f>
        <v>5w</v>
      </c>
      <c r="AS516" s="300" t="str">
        <f>_xlfn.IFNA(VLOOKUP($AI516,Programma!$F$3:$P$1107,11,0),"")</f>
        <v>5w</v>
      </c>
      <c r="AT516" s="300" t="str">
        <f>_xlfn.IFNA(VLOOKUP($AI516,Programma!$F$3:$Q$1107,12,0),"")</f>
        <v>1w</v>
      </c>
      <c r="AU516" s="300" t="str">
        <f>_xlfn.IFNA(VLOOKUP($AI516,Programma!$F$3:$R$1107,13,0),"")</f>
        <v>1w</v>
      </c>
      <c r="AV516" s="300" t="str">
        <f>_xlfn.IFNA(VLOOKUP($AI516,Programma!$F$3:$S$1107,14,0),"")</f>
        <v>1m</v>
      </c>
      <c r="AW516" s="300" t="str">
        <f>_xlfn.IFNA(VLOOKUP($AI516,Programma!$F$3:$T$1107,15,0),"")</f>
        <v>2j</v>
      </c>
      <c r="AX516" s="300" t="str">
        <f>_xlfn.IFNA(VLOOKUP($AI516,Programma!$F$3:$U$1107,16,0),"")</f>
        <v>1j</v>
      </c>
      <c r="AY516" s="300" t="str">
        <f>_xlfn.IFNA(VLOOKUP($AI516,Programma!$F$3:$V$1107,17,0),"")</f>
        <v>_</v>
      </c>
      <c r="AZ516" s="300" t="str">
        <f>_xlfn.IFNA(VLOOKUP($AI516,Programma!$F$3:$W$1107,18,0),"")</f>
        <v>_</v>
      </c>
      <c r="BA516" s="300" t="str">
        <f>_xlfn.IFNA(VLOOKUP($AI516,Programma!$F$3:$X$1107,19,0),"")</f>
        <v>_</v>
      </c>
      <c r="BB516" s="300" t="str">
        <f>_xlfn.IFNA(VLOOKUP($AI516,Programma!$F$3:$Y$1107,20,0),"")</f>
        <v>_</v>
      </c>
      <c r="BC516" s="257"/>
      <c r="BD516" s="256" t="str">
        <f>IF(Ruimtestaat[[#This Row],[Frequentie weekend]]="","",_xlfn.CONCAT(Ruimtestaat[[#This Row],[Ruimte code]],"-",Ruimtestaat[[#This Row],[Frequentie weekend]]," ",Ruimtestaat[[#This Row],[Vloer code]]))</f>
        <v/>
      </c>
      <c r="BE516" s="300" t="str">
        <f>_xlfn.IFNA(VLOOKUP($BD516,Programma!$F$3:$G$1107,2,0),"")</f>
        <v/>
      </c>
      <c r="BF516" s="300" t="str">
        <f>_xlfn.IFNA(VLOOKUP($BD516,Programma!$F$3:$H$1107,3,0),"")</f>
        <v/>
      </c>
      <c r="BG516" s="300" t="str">
        <f>_xlfn.IFNA(VLOOKUP($BD516,Programma!$F$3:$I$1107,4,0),"")</f>
        <v/>
      </c>
      <c r="BH516" s="300" t="str">
        <f>_xlfn.IFNA(VLOOKUP($BD516,Programma!$F$3:$J$1107,5,0),"")</f>
        <v/>
      </c>
      <c r="BI516" s="300" t="str">
        <f>_xlfn.IFNA(VLOOKUP($BD516,Programma!$F$3:$K$1107,6,0),"")</f>
        <v/>
      </c>
      <c r="BJ516" s="300" t="str">
        <f>_xlfn.IFNA(VLOOKUP($BD516,Programma!$F$3:$L$1107,7,0),"")</f>
        <v/>
      </c>
      <c r="BK516" s="300" t="str">
        <f>_xlfn.IFNA(VLOOKUP($BD516,Programma!$F$3:$M$1107,8,0),"")</f>
        <v/>
      </c>
      <c r="BL516" s="300" t="str">
        <f>_xlfn.IFNA(VLOOKUP($BD516,Programma!$F$3:$N$1107,9,0),"")</f>
        <v/>
      </c>
      <c r="BM516" s="300" t="str">
        <f>_xlfn.IFNA(VLOOKUP($BD516,Programma!$F$3:$O$1107,10,0),"")</f>
        <v/>
      </c>
      <c r="BN516" s="300" t="str">
        <f>_xlfn.IFNA(VLOOKUP($BD516,Programma!$F$3:$P$1107,11,0),"")</f>
        <v/>
      </c>
      <c r="BO516" s="300" t="str">
        <f>_xlfn.IFNA(VLOOKUP($BD516,Programma!$F$3:$Q$1107,12,0),"")</f>
        <v/>
      </c>
      <c r="BP516" s="300" t="str">
        <f>_xlfn.IFNA(VLOOKUP($BD516,Programma!$F$3:$R$1107,13,0),"")</f>
        <v/>
      </c>
      <c r="BQ516" s="300" t="str">
        <f>_xlfn.IFNA(VLOOKUP($BD516,Programma!$F$3:$S$1107,14,0),"")</f>
        <v/>
      </c>
      <c r="BR516" s="300" t="str">
        <f>_xlfn.IFNA(VLOOKUP($BD516,Programma!$F$3:$T$1107,15,0),"")</f>
        <v/>
      </c>
      <c r="BS516" s="300" t="str">
        <f>_xlfn.IFNA(VLOOKUP($BD516,Programma!$F$3:$U$1107,16,0),"")</f>
        <v/>
      </c>
      <c r="BT516" s="300" t="str">
        <f>_xlfn.IFNA(VLOOKUP($BD516,Programma!$F$3:$V$1107,17,0),"")</f>
        <v/>
      </c>
      <c r="BU516" s="300" t="str">
        <f>_xlfn.IFNA(VLOOKUP($BD516,Programma!$F$3:$W$1107,18,0),"")</f>
        <v/>
      </c>
      <c r="BV516" s="300" t="str">
        <f>_xlfn.IFNA(VLOOKUP($BD516,Programma!$F$3:$X$1107,19,0),"")</f>
        <v/>
      </c>
      <c r="BW516" s="300" t="str">
        <f>_xlfn.IFNA(VLOOKUP($BD516,Programma!$F$3:$Y$1107,20,0),"")</f>
        <v/>
      </c>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c r="GK516" s="4"/>
      <c r="GL516" s="4"/>
      <c r="GM516" s="4"/>
      <c r="GN516" s="4"/>
      <c r="GO516" s="4"/>
      <c r="GP516" s="4"/>
      <c r="GQ516" s="4"/>
      <c r="GR516" s="4"/>
      <c r="GS516" s="4"/>
      <c r="GT516" s="4"/>
      <c r="GU516" s="4"/>
      <c r="GV516" s="4"/>
      <c r="GW516" s="4"/>
      <c r="GX516" s="4"/>
      <c r="GY516" s="4"/>
      <c r="GZ516" s="4"/>
      <c r="HA516" s="4"/>
      <c r="HB516" s="4"/>
      <c r="HC516" s="4"/>
      <c r="HD516" s="4"/>
      <c r="HE516" s="4"/>
      <c r="HF516" s="4"/>
      <c r="HG516" s="4"/>
      <c r="HH516" s="4"/>
      <c r="HI516" s="4"/>
      <c r="HJ516" s="4"/>
      <c r="HK516" s="4"/>
      <c r="HL516" s="4"/>
    </row>
    <row r="517" spans="1:220" ht="15" customHeight="1">
      <c r="A517" s="21">
        <v>6</v>
      </c>
      <c r="B517" s="157" t="str">
        <f>VLOOKUP(Ruimtestaat[[#This Row],[Code]],Locaties[[Code]:[Locatie]],2,FALSE)</f>
        <v>Veurs Lyceum</v>
      </c>
      <c r="C517" s="157" t="str">
        <f>VLOOKUP(Ruimtestaat[[#This Row],[Code]],Locaties[[#All],[Code]:[Adres]],4,FALSE)</f>
        <v>Burg. Kolfschotenlaan 5</v>
      </c>
      <c r="D517" s="157" t="str">
        <f>VLOOKUP(Ruimtestaat[[#This Row],[Code]],Locaties[[#All],[Code]:[Postcode]],5,FALSE)</f>
        <v xml:space="preserve">2262 EZ </v>
      </c>
      <c r="E517" s="157" t="str">
        <f>VLOOKUP(Ruimtestaat[[#This Row],[Code]],Locaties[#All],6,FALSE)</f>
        <v>Leidschendam</v>
      </c>
      <c r="F517" s="62"/>
      <c r="G517" s="21" t="s">
        <v>1624</v>
      </c>
      <c r="H517" s="21" t="s">
        <v>1916</v>
      </c>
      <c r="I517" s="62" t="s">
        <v>1625</v>
      </c>
      <c r="J517" s="21">
        <v>6</v>
      </c>
      <c r="K517" s="62" t="str">
        <f>VLOOKUP(Ruimtestaat[[#This Row],[Ruimte code]],Ruimtegroepen[[#All],[Code]:[Ruimte omschrijving]],2,FALSE)</f>
        <v>Gangen/hallen</v>
      </c>
      <c r="L517" s="33" t="s">
        <v>103</v>
      </c>
      <c r="M517" s="367" t="s">
        <v>121</v>
      </c>
      <c r="N517" s="140">
        <v>25</v>
      </c>
      <c r="O517" s="140"/>
      <c r="P517" s="125" t="str">
        <f>VLOOKUP(Ruimtestaat[[#This Row],[Ruimte code]],Ruimtegroepen[],4,FALSE)</f>
        <v>Ve</v>
      </c>
      <c r="R517" s="33">
        <v>40</v>
      </c>
      <c r="S517" s="33" t="s">
        <v>2</v>
      </c>
      <c r="T517" s="33">
        <f>IF(R517&gt;0,IF(RIGHT(Ruimtestaat[[#This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7" s="33">
        <f>IF(T517&gt;0,VLOOKUP($J517,Ruimtegroepen[],3,FALSE)*VLOOKUP($L517,Vloersoorten[],3,FALSE)*VLOOKUP($S517,Frequenties[],3,FALSE)*VLOOKUP($A517,Locaties[],3,FALSE),0)</f>
        <v>0</v>
      </c>
      <c r="V517" s="33">
        <f>Ruimtestaat[[#This Row],[Uitvoeringen werkdagen]]*Ruimtestaat[[#This Row],[Oppervlak (netto)]]</f>
        <v>5000</v>
      </c>
      <c r="W517" s="154">
        <f>IF(U517&gt;0,Ruimtestaat[[#This Row],[Prest. (m2 /jaar) werkdagen]]/Ruimtestaat[[#This Row],[Norm (m2/uur) werkdagen]],0)</f>
        <v>0</v>
      </c>
      <c r="X517" s="155">
        <f>Ruimtestaat[[#This Row],[uren / jaar werkdagen]]*Tariefsopbouw!$E$35</f>
        <v>0</v>
      </c>
      <c r="Y517" s="33"/>
      <c r="Z517" s="33">
        <f>IF(Ruimtestaat[[#This Row],[Frequentie weekend]]&gt;0,VALUE(LEFT(Y517,1))*R517,0)</f>
        <v>0</v>
      </c>
      <c r="AA517" s="97">
        <f>IF($Z517&gt;0,VLOOKUP($J517,Ruimtegroepen[],3,FALSE)*VLOOKUP($L517,Vloersoorten[],3,FALSE)*VLOOKUP($Y517,Frequenties[],3,FALSE)*VLOOKUP(Ruimtestaat[[#This Row],[Code]],Locaties[],3,FALSE),0)</f>
        <v>0</v>
      </c>
      <c r="AB517" s="97">
        <f>Ruimtestaat[[#This Row],[Uitvoeringen weekend]]*Ruimtestaat[[#This Row],[Oppervlak (netto)]]</f>
        <v>0</v>
      </c>
      <c r="AC517" s="97">
        <f>IF(AA517&gt;0,Ruimtestaat[[#This Row],[Prest. (m2 /jaar) weekend]]/Ruimtestaat[[#This Row],[Norm (m2/uur) weekend]],0)</f>
        <v>0</v>
      </c>
      <c r="AD517" s="155">
        <f>Ruimtestaat[[#This Row],[uren / jaar weekend]]*Tariefsopbouw!$D$40</f>
        <v>0</v>
      </c>
      <c r="AE517" s="154">
        <f>Ruimtestaat[[#This Row],[Prest. (m2 /jaar) weekend]]+Ruimtestaat[[#This Row],[Prest. (m2 /jaar) werkdagen]]</f>
        <v>5000</v>
      </c>
      <c r="AF517" s="154">
        <f>Ruimtestaat[[#This Row],[uren / jaar weekend]]+Ruimtestaat[[#This Row],[uren / jaar werkdagen]]</f>
        <v>0</v>
      </c>
      <c r="AG517" s="69">
        <f>Ruimtestaat[[#This Row],[kosten / jaar weekend]]+Ruimtestaat[[#This Row],[kosten / jaar werkdagen]]</f>
        <v>0</v>
      </c>
      <c r="AH517" s="69"/>
      <c r="AI517" s="256" t="str">
        <f>IF(Ruimtestaat[[#This Row],[Frequentie werkdagen]]="","",_xlfn.CONCAT(Ruimtestaat[[#This Row],[Ruimte code]],"-",Ruimtestaat[[#This Row],[Frequentie werkdagen]]," ",Ruimtestaat[[#This Row],[Vloer code]]))</f>
        <v>6-5w P</v>
      </c>
      <c r="AJ517" s="300" t="str">
        <f>_xlfn.IFNA(VLOOKUP($AI517,Programma!$F$3:$G$1107,2,0),"")</f>
        <v>_</v>
      </c>
      <c r="AK517" s="300" t="str">
        <f>_xlfn.IFNA(VLOOKUP($AI517,Programma!$F$3:$H$1107,3,0),"")</f>
        <v>_</v>
      </c>
      <c r="AL517" s="300" t="str">
        <f>_xlfn.IFNA(VLOOKUP($AI517,Programma!$F$3:$I$1107,4,0),"")</f>
        <v>5w</v>
      </c>
      <c r="AM517" s="300" t="str">
        <f>_xlfn.IFNA(VLOOKUP($AI517,Programma!$F$3:$J$1107,5,0),"")</f>
        <v>_</v>
      </c>
      <c r="AN517" s="300" t="str">
        <f>_xlfn.IFNA(VLOOKUP($AI517,Programma!$F$3:$K$1107,6,0),"")</f>
        <v>5w</v>
      </c>
      <c r="AO517" s="300" t="str">
        <f>_xlfn.IFNA(VLOOKUP($AI517,Programma!$F$3:$L$1107,7,0),"")</f>
        <v>_</v>
      </c>
      <c r="AP517" s="300" t="str">
        <f>_xlfn.IFNA(VLOOKUP($AI517,Programma!$F$3:$M$1107,8,0),"")</f>
        <v>_</v>
      </c>
      <c r="AQ517" s="300" t="str">
        <f>_xlfn.IFNA(VLOOKUP($AI517,Programma!$F$3:$N$1107,9,0),"")</f>
        <v>_</v>
      </c>
      <c r="AR517" s="300" t="str">
        <f>_xlfn.IFNA(VLOOKUP($AI517,Programma!$F$3:$O$1107,10,0),"")</f>
        <v>5w</v>
      </c>
      <c r="AS517" s="300" t="str">
        <f>_xlfn.IFNA(VLOOKUP($AI517,Programma!$F$3:$P$1107,11,0),"")</f>
        <v>5w</v>
      </c>
      <c r="AT517" s="300" t="str">
        <f>_xlfn.IFNA(VLOOKUP($AI517,Programma!$F$3:$Q$1107,12,0),"")</f>
        <v>1w</v>
      </c>
      <c r="AU517" s="300" t="str">
        <f>_xlfn.IFNA(VLOOKUP($AI517,Programma!$F$3:$R$1107,13,0),"")</f>
        <v>1w</v>
      </c>
      <c r="AV517" s="300" t="str">
        <f>_xlfn.IFNA(VLOOKUP($AI517,Programma!$F$3:$S$1107,14,0),"")</f>
        <v>1m</v>
      </c>
      <c r="AW517" s="300" t="str">
        <f>_xlfn.IFNA(VLOOKUP($AI517,Programma!$F$3:$T$1107,15,0),"")</f>
        <v>2j</v>
      </c>
      <c r="AX517" s="300" t="str">
        <f>_xlfn.IFNA(VLOOKUP($AI517,Programma!$F$3:$U$1107,16,0),"")</f>
        <v>1j</v>
      </c>
      <c r="AY517" s="300" t="str">
        <f>_xlfn.IFNA(VLOOKUP($AI517,Programma!$F$3:$V$1107,17,0),"")</f>
        <v>_</v>
      </c>
      <c r="AZ517" s="300" t="str">
        <f>_xlfn.IFNA(VLOOKUP($AI517,Programma!$F$3:$W$1107,18,0),"")</f>
        <v>_</v>
      </c>
      <c r="BA517" s="300" t="str">
        <f>_xlfn.IFNA(VLOOKUP($AI517,Programma!$F$3:$X$1107,19,0),"")</f>
        <v>_</v>
      </c>
      <c r="BB517" s="300" t="str">
        <f>_xlfn.IFNA(VLOOKUP($AI517,Programma!$F$3:$Y$1107,20,0),"")</f>
        <v>_</v>
      </c>
      <c r="BC517" s="257"/>
      <c r="BD517" s="256" t="str">
        <f>IF(Ruimtestaat[[#This Row],[Frequentie weekend]]="","",_xlfn.CONCAT(Ruimtestaat[[#This Row],[Ruimte code]],"-",Ruimtestaat[[#This Row],[Frequentie weekend]]," ",Ruimtestaat[[#This Row],[Vloer code]]))</f>
        <v/>
      </c>
      <c r="BE517" s="300" t="str">
        <f>_xlfn.IFNA(VLOOKUP($BD517,Programma!$F$3:$G$1107,2,0),"")</f>
        <v/>
      </c>
      <c r="BF517" s="300" t="str">
        <f>_xlfn.IFNA(VLOOKUP($BD517,Programma!$F$3:$H$1107,3,0),"")</f>
        <v/>
      </c>
      <c r="BG517" s="300" t="str">
        <f>_xlfn.IFNA(VLOOKUP($BD517,Programma!$F$3:$I$1107,4,0),"")</f>
        <v/>
      </c>
      <c r="BH517" s="300" t="str">
        <f>_xlfn.IFNA(VLOOKUP($BD517,Programma!$F$3:$J$1107,5,0),"")</f>
        <v/>
      </c>
      <c r="BI517" s="300" t="str">
        <f>_xlfn.IFNA(VLOOKUP($BD517,Programma!$F$3:$K$1107,6,0),"")</f>
        <v/>
      </c>
      <c r="BJ517" s="300" t="str">
        <f>_xlfn.IFNA(VLOOKUP($BD517,Programma!$F$3:$L$1107,7,0),"")</f>
        <v/>
      </c>
      <c r="BK517" s="300" t="str">
        <f>_xlfn.IFNA(VLOOKUP($BD517,Programma!$F$3:$M$1107,8,0),"")</f>
        <v/>
      </c>
      <c r="BL517" s="300" t="str">
        <f>_xlfn.IFNA(VLOOKUP($BD517,Programma!$F$3:$N$1107,9,0),"")</f>
        <v/>
      </c>
      <c r="BM517" s="300" t="str">
        <f>_xlfn.IFNA(VLOOKUP($BD517,Programma!$F$3:$O$1107,10,0),"")</f>
        <v/>
      </c>
      <c r="BN517" s="300" t="str">
        <f>_xlfn.IFNA(VLOOKUP($BD517,Programma!$F$3:$P$1107,11,0),"")</f>
        <v/>
      </c>
      <c r="BO517" s="300" t="str">
        <f>_xlfn.IFNA(VLOOKUP($BD517,Programma!$F$3:$Q$1107,12,0),"")</f>
        <v/>
      </c>
      <c r="BP517" s="300" t="str">
        <f>_xlfn.IFNA(VLOOKUP($BD517,Programma!$F$3:$R$1107,13,0),"")</f>
        <v/>
      </c>
      <c r="BQ517" s="300" t="str">
        <f>_xlfn.IFNA(VLOOKUP($BD517,Programma!$F$3:$S$1107,14,0),"")</f>
        <v/>
      </c>
      <c r="BR517" s="300" t="str">
        <f>_xlfn.IFNA(VLOOKUP($BD517,Programma!$F$3:$T$1107,15,0),"")</f>
        <v/>
      </c>
      <c r="BS517" s="300" t="str">
        <f>_xlfn.IFNA(VLOOKUP($BD517,Programma!$F$3:$U$1107,16,0),"")</f>
        <v/>
      </c>
      <c r="BT517" s="300" t="str">
        <f>_xlfn.IFNA(VLOOKUP($BD517,Programma!$F$3:$V$1107,17,0),"")</f>
        <v/>
      </c>
      <c r="BU517" s="300" t="str">
        <f>_xlfn.IFNA(VLOOKUP($BD517,Programma!$F$3:$W$1107,18,0),"")</f>
        <v/>
      </c>
      <c r="BV517" s="300" t="str">
        <f>_xlfn.IFNA(VLOOKUP($BD517,Programma!$F$3:$X$1107,19,0),"")</f>
        <v/>
      </c>
      <c r="BW517" s="300" t="str">
        <f>_xlfn.IFNA(VLOOKUP($BD517,Programma!$F$3:$Y$1107,20,0),"")</f>
        <v/>
      </c>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c r="GK517" s="4"/>
      <c r="GL517" s="4"/>
      <c r="GM517" s="4"/>
      <c r="GN517" s="4"/>
      <c r="GO517" s="4"/>
      <c r="GP517" s="4"/>
      <c r="GQ517" s="4"/>
      <c r="GR517" s="4"/>
      <c r="GS517" s="4"/>
      <c r="GT517" s="4"/>
      <c r="GU517" s="4"/>
      <c r="GV517" s="4"/>
      <c r="GW517" s="4"/>
      <c r="GX517" s="4"/>
      <c r="GY517" s="4"/>
      <c r="GZ517" s="4"/>
      <c r="HA517" s="4"/>
      <c r="HB517" s="4"/>
      <c r="HC517" s="4"/>
      <c r="HD517" s="4"/>
      <c r="HE517" s="4"/>
      <c r="HF517" s="4"/>
      <c r="HG517" s="4"/>
      <c r="HH517" s="4"/>
      <c r="HI517" s="4"/>
      <c r="HJ517" s="4"/>
      <c r="HK517" s="4"/>
      <c r="HL517" s="4"/>
    </row>
    <row r="518" spans="1:220" ht="15" customHeight="1">
      <c r="A518" s="21">
        <v>6</v>
      </c>
      <c r="B518" s="157" t="str">
        <f>VLOOKUP(Ruimtestaat[[#This Row],[Code]],Locaties[[Code]:[Locatie]],2,FALSE)</f>
        <v>Veurs Lyceum</v>
      </c>
      <c r="C518" s="157" t="str">
        <f>VLOOKUP(Ruimtestaat[[#This Row],[Code]],Locaties[[#All],[Code]:[Adres]],4,FALSE)</f>
        <v>Burg. Kolfschotenlaan 5</v>
      </c>
      <c r="D518" s="157" t="str">
        <f>VLOOKUP(Ruimtestaat[[#This Row],[Code]],Locaties[[#All],[Code]:[Postcode]],5,FALSE)</f>
        <v xml:space="preserve">2262 EZ </v>
      </c>
      <c r="E518" s="157" t="str">
        <f>VLOOKUP(Ruimtestaat[[#This Row],[Code]],Locaties[#All],6,FALSE)</f>
        <v>Leidschendam</v>
      </c>
      <c r="F518" s="62"/>
      <c r="G518" s="21" t="s">
        <v>1624</v>
      </c>
      <c r="H518" s="21" t="s">
        <v>1918</v>
      </c>
      <c r="I518" s="62" t="s">
        <v>1657</v>
      </c>
      <c r="J518" s="21">
        <v>10</v>
      </c>
      <c r="K518" s="62" t="str">
        <f>VLOOKUP(Ruimtestaat[[#This Row],[Ruimte code]],Ruimtegroepen[[#All],[Code]:[Ruimte omschrijving]],2,FALSE)</f>
        <v>Trappenhuizen/lift</v>
      </c>
      <c r="L518" s="33" t="s">
        <v>102</v>
      </c>
      <c r="M518" s="367" t="s">
        <v>2509</v>
      </c>
      <c r="N518" s="140">
        <v>18</v>
      </c>
      <c r="O518" s="140"/>
      <c r="P518" s="125" t="str">
        <f>VLOOKUP(Ruimtestaat[[#This Row],[Ruimte code]],Ruimtegroepen[],4,FALSE)</f>
        <v>Ve</v>
      </c>
      <c r="R518" s="33">
        <v>40</v>
      </c>
      <c r="S518" s="33" t="s">
        <v>2</v>
      </c>
      <c r="T518" s="33">
        <f>IF(R518&gt;0,IF(RIGHT(Ruimtestaat[[#This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8" s="33">
        <f>IF(T518&gt;0,VLOOKUP($J518,Ruimtegroepen[],3,FALSE)*VLOOKUP($L518,Vloersoorten[],3,FALSE)*VLOOKUP($S518,Frequenties[],3,FALSE)*VLOOKUP($A518,Locaties[],3,FALSE),0)</f>
        <v>0</v>
      </c>
      <c r="V518" s="33">
        <f>Ruimtestaat[[#This Row],[Uitvoeringen werkdagen]]*Ruimtestaat[[#This Row],[Oppervlak (netto)]]</f>
        <v>3600</v>
      </c>
      <c r="W518" s="154">
        <f>IF(U518&gt;0,Ruimtestaat[[#This Row],[Prest. (m2 /jaar) werkdagen]]/Ruimtestaat[[#This Row],[Norm (m2/uur) werkdagen]],0)</f>
        <v>0</v>
      </c>
      <c r="X518" s="155">
        <f>Ruimtestaat[[#This Row],[uren / jaar werkdagen]]*Tariefsopbouw!$E$35</f>
        <v>0</v>
      </c>
      <c r="Y518" s="33"/>
      <c r="Z518" s="33">
        <f>IF(Ruimtestaat[[#This Row],[Frequentie weekend]]&gt;0,VALUE(LEFT(Y518,1))*R518,0)</f>
        <v>0</v>
      </c>
      <c r="AA518" s="97">
        <f>IF($Z518&gt;0,VLOOKUP($J518,Ruimtegroepen[],3,FALSE)*VLOOKUP($L518,Vloersoorten[],3,FALSE)*VLOOKUP($Y518,Frequenties[],3,FALSE)*VLOOKUP(Ruimtestaat[[#This Row],[Code]],Locaties[],3,FALSE),0)</f>
        <v>0</v>
      </c>
      <c r="AB518" s="97">
        <f>Ruimtestaat[[#This Row],[Uitvoeringen weekend]]*Ruimtestaat[[#This Row],[Oppervlak (netto)]]</f>
        <v>0</v>
      </c>
      <c r="AC518" s="97">
        <f>IF(AA518&gt;0,Ruimtestaat[[#This Row],[Prest. (m2 /jaar) weekend]]/Ruimtestaat[[#This Row],[Norm (m2/uur) weekend]],0)</f>
        <v>0</v>
      </c>
      <c r="AD518" s="155">
        <f>Ruimtestaat[[#This Row],[uren / jaar weekend]]*Tariefsopbouw!$D$40</f>
        <v>0</v>
      </c>
      <c r="AE518" s="154">
        <f>Ruimtestaat[[#This Row],[Prest. (m2 /jaar) weekend]]+Ruimtestaat[[#This Row],[Prest. (m2 /jaar) werkdagen]]</f>
        <v>3600</v>
      </c>
      <c r="AF518" s="154">
        <f>Ruimtestaat[[#This Row],[uren / jaar weekend]]+Ruimtestaat[[#This Row],[uren / jaar werkdagen]]</f>
        <v>0</v>
      </c>
      <c r="AG518" s="69">
        <f>Ruimtestaat[[#This Row],[kosten / jaar weekend]]+Ruimtestaat[[#This Row],[kosten / jaar werkdagen]]</f>
        <v>0</v>
      </c>
      <c r="AH518" s="69"/>
      <c r="AI518" s="256" t="str">
        <f>IF(Ruimtestaat[[#This Row],[Frequentie werkdagen]]="","",_xlfn.CONCAT(Ruimtestaat[[#This Row],[Ruimte code]],"-",Ruimtestaat[[#This Row],[Frequentie werkdagen]]," ",Ruimtestaat[[#This Row],[Vloer code]]))</f>
        <v>10-5w S</v>
      </c>
      <c r="AJ518" s="300" t="str">
        <f>_xlfn.IFNA(VLOOKUP($AI518,Programma!$F$3:$G$1107,2,0),"")</f>
        <v>_</v>
      </c>
      <c r="AK518" s="300" t="str">
        <f>_xlfn.IFNA(VLOOKUP($AI518,Programma!$F$3:$H$1107,3,0),"")</f>
        <v>_</v>
      </c>
      <c r="AL518" s="300" t="str">
        <f>_xlfn.IFNA(VLOOKUP($AI518,Programma!$F$3:$I$1107,4,0),"")</f>
        <v>4w</v>
      </c>
      <c r="AM518" s="300" t="str">
        <f>_xlfn.IFNA(VLOOKUP($AI518,Programma!$F$3:$J$1107,5,0),"")</f>
        <v>1w</v>
      </c>
      <c r="AN518" s="300" t="str">
        <f>_xlfn.IFNA(VLOOKUP($AI518,Programma!$F$3:$K$1107,6,0),"")</f>
        <v>4j</v>
      </c>
      <c r="AO518" s="300" t="str">
        <f>_xlfn.IFNA(VLOOKUP($AI518,Programma!$F$3:$L$1107,7,0),"")</f>
        <v>_</v>
      </c>
      <c r="AP518" s="300" t="str">
        <f>_xlfn.IFNA(VLOOKUP($AI518,Programma!$F$3:$M$1107,8,0),"")</f>
        <v>_</v>
      </c>
      <c r="AQ518" s="300" t="str">
        <f>_xlfn.IFNA(VLOOKUP($AI518,Programma!$F$3:$N$1107,9,0),"")</f>
        <v>_</v>
      </c>
      <c r="AR518" s="300" t="str">
        <f>_xlfn.IFNA(VLOOKUP($AI518,Programma!$F$3:$O$1107,10,0),"")</f>
        <v>5w</v>
      </c>
      <c r="AS518" s="300" t="str">
        <f>_xlfn.IFNA(VLOOKUP($AI518,Programma!$F$3:$P$1107,11,0),"")</f>
        <v>5w</v>
      </c>
      <c r="AT518" s="300" t="str">
        <f>_xlfn.IFNA(VLOOKUP($AI518,Programma!$F$3:$Q$1107,12,0),"")</f>
        <v>1w</v>
      </c>
      <c r="AU518" s="300" t="str">
        <f>_xlfn.IFNA(VLOOKUP($AI518,Programma!$F$3:$R$1107,13,0),"")</f>
        <v>1w</v>
      </c>
      <c r="AV518" s="300" t="str">
        <f>_xlfn.IFNA(VLOOKUP($AI518,Programma!$F$3:$S$1107,14,0),"")</f>
        <v>1m</v>
      </c>
      <c r="AW518" s="300" t="str">
        <f>_xlfn.IFNA(VLOOKUP($AI518,Programma!$F$3:$T$1107,15,0),"")</f>
        <v>2j</v>
      </c>
      <c r="AX518" s="300" t="str">
        <f>_xlfn.IFNA(VLOOKUP($AI518,Programma!$F$3:$U$1107,16,0),"")</f>
        <v>1j</v>
      </c>
      <c r="AY518" s="300" t="str">
        <f>_xlfn.IFNA(VLOOKUP($AI518,Programma!$F$3:$V$1107,17,0),"")</f>
        <v>_</v>
      </c>
      <c r="AZ518" s="300" t="str">
        <f>_xlfn.IFNA(VLOOKUP($AI518,Programma!$F$3:$W$1107,18,0),"")</f>
        <v>_</v>
      </c>
      <c r="BA518" s="300" t="str">
        <f>_xlfn.IFNA(VLOOKUP($AI518,Programma!$F$3:$X$1107,19,0),"")</f>
        <v>_</v>
      </c>
      <c r="BB518" s="300" t="str">
        <f>_xlfn.IFNA(VLOOKUP($AI518,Programma!$F$3:$Y$1107,20,0),"")</f>
        <v>_</v>
      </c>
      <c r="BC518" s="257"/>
      <c r="BD518" s="256" t="str">
        <f>IF(Ruimtestaat[[#This Row],[Frequentie weekend]]="","",_xlfn.CONCAT(Ruimtestaat[[#This Row],[Ruimte code]],"-",Ruimtestaat[[#This Row],[Frequentie weekend]]," ",Ruimtestaat[[#This Row],[Vloer code]]))</f>
        <v/>
      </c>
      <c r="BE518" s="300" t="str">
        <f>_xlfn.IFNA(VLOOKUP($BD518,Programma!$F$3:$G$1107,2,0),"")</f>
        <v/>
      </c>
      <c r="BF518" s="300" t="str">
        <f>_xlfn.IFNA(VLOOKUP($BD518,Programma!$F$3:$H$1107,3,0),"")</f>
        <v/>
      </c>
      <c r="BG518" s="300" t="str">
        <f>_xlfn.IFNA(VLOOKUP($BD518,Programma!$F$3:$I$1107,4,0),"")</f>
        <v/>
      </c>
      <c r="BH518" s="300" t="str">
        <f>_xlfn.IFNA(VLOOKUP($BD518,Programma!$F$3:$J$1107,5,0),"")</f>
        <v/>
      </c>
      <c r="BI518" s="300" t="str">
        <f>_xlfn.IFNA(VLOOKUP($BD518,Programma!$F$3:$K$1107,6,0),"")</f>
        <v/>
      </c>
      <c r="BJ518" s="300" t="str">
        <f>_xlfn.IFNA(VLOOKUP($BD518,Programma!$F$3:$L$1107,7,0),"")</f>
        <v/>
      </c>
      <c r="BK518" s="300" t="str">
        <f>_xlfn.IFNA(VLOOKUP($BD518,Programma!$F$3:$M$1107,8,0),"")</f>
        <v/>
      </c>
      <c r="BL518" s="300" t="str">
        <f>_xlfn.IFNA(VLOOKUP($BD518,Programma!$F$3:$N$1107,9,0),"")</f>
        <v/>
      </c>
      <c r="BM518" s="300" t="str">
        <f>_xlfn.IFNA(VLOOKUP($BD518,Programma!$F$3:$O$1107,10,0),"")</f>
        <v/>
      </c>
      <c r="BN518" s="300" t="str">
        <f>_xlfn.IFNA(VLOOKUP($BD518,Programma!$F$3:$P$1107,11,0),"")</f>
        <v/>
      </c>
      <c r="BO518" s="300" t="str">
        <f>_xlfn.IFNA(VLOOKUP($BD518,Programma!$F$3:$Q$1107,12,0),"")</f>
        <v/>
      </c>
      <c r="BP518" s="300" t="str">
        <f>_xlfn.IFNA(VLOOKUP($BD518,Programma!$F$3:$R$1107,13,0),"")</f>
        <v/>
      </c>
      <c r="BQ518" s="300" t="str">
        <f>_xlfn.IFNA(VLOOKUP($BD518,Programma!$F$3:$S$1107,14,0),"")</f>
        <v/>
      </c>
      <c r="BR518" s="300" t="str">
        <f>_xlfn.IFNA(VLOOKUP($BD518,Programma!$F$3:$T$1107,15,0),"")</f>
        <v/>
      </c>
      <c r="BS518" s="300" t="str">
        <f>_xlfn.IFNA(VLOOKUP($BD518,Programma!$F$3:$U$1107,16,0),"")</f>
        <v/>
      </c>
      <c r="BT518" s="300" t="str">
        <f>_xlfn.IFNA(VLOOKUP($BD518,Programma!$F$3:$V$1107,17,0),"")</f>
        <v/>
      </c>
      <c r="BU518" s="300" t="str">
        <f>_xlfn.IFNA(VLOOKUP($BD518,Programma!$F$3:$W$1107,18,0),"")</f>
        <v/>
      </c>
      <c r="BV518" s="300" t="str">
        <f>_xlfn.IFNA(VLOOKUP($BD518,Programma!$F$3:$X$1107,19,0),"")</f>
        <v/>
      </c>
      <c r="BW518" s="300" t="str">
        <f>_xlfn.IFNA(VLOOKUP($BD518,Programma!$F$3:$Y$1107,20,0),"")</f>
        <v/>
      </c>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c r="GK518" s="4"/>
      <c r="GL518" s="4"/>
      <c r="GM518" s="4"/>
      <c r="GN518" s="4"/>
      <c r="GO518" s="4"/>
      <c r="GP518" s="4"/>
      <c r="GQ518" s="4"/>
      <c r="GR518" s="4"/>
      <c r="GS518" s="4"/>
      <c r="GT518" s="4"/>
      <c r="GU518" s="4"/>
      <c r="GV518" s="4"/>
      <c r="GW518" s="4"/>
      <c r="GX518" s="4"/>
      <c r="GY518" s="4"/>
      <c r="GZ518" s="4"/>
      <c r="HA518" s="4"/>
      <c r="HB518" s="4"/>
      <c r="HC518" s="4"/>
      <c r="HD518" s="4"/>
      <c r="HE518" s="4"/>
      <c r="HF518" s="4"/>
      <c r="HG518" s="4"/>
      <c r="HH518" s="4"/>
      <c r="HI518" s="4"/>
      <c r="HJ518" s="4"/>
      <c r="HK518" s="4"/>
      <c r="HL518" s="4"/>
    </row>
    <row r="519" spans="1:220" ht="15" customHeight="1">
      <c r="A519" s="21">
        <v>6</v>
      </c>
      <c r="B519" s="157" t="str">
        <f>VLOOKUP(Ruimtestaat[[#This Row],[Code]],Locaties[[Code]:[Locatie]],2,FALSE)</f>
        <v>Veurs Lyceum</v>
      </c>
      <c r="C519" s="157" t="str">
        <f>VLOOKUP(Ruimtestaat[[#This Row],[Code]],Locaties[[#All],[Code]:[Adres]],4,FALSE)</f>
        <v>Burg. Kolfschotenlaan 5</v>
      </c>
      <c r="D519" s="157" t="str">
        <f>VLOOKUP(Ruimtestaat[[#This Row],[Code]],Locaties[[#All],[Code]:[Postcode]],5,FALSE)</f>
        <v xml:space="preserve">2262 EZ </v>
      </c>
      <c r="E519" s="157" t="str">
        <f>VLOOKUP(Ruimtestaat[[#This Row],[Code]],Locaties[#All],6,FALSE)</f>
        <v>Leidschendam</v>
      </c>
      <c r="F519" s="62"/>
      <c r="G519" s="21" t="s">
        <v>1624</v>
      </c>
      <c r="H519" s="21" t="s">
        <v>1920</v>
      </c>
      <c r="I519" s="62" t="s">
        <v>1657</v>
      </c>
      <c r="J519" s="21">
        <v>10</v>
      </c>
      <c r="K519" s="62" t="str">
        <f>VLOOKUP(Ruimtestaat[[#This Row],[Ruimte code]],Ruimtegroepen[[#All],[Code]:[Ruimte omschrijving]],2,FALSE)</f>
        <v>Trappenhuizen/lift</v>
      </c>
      <c r="L519" s="33" t="s">
        <v>102</v>
      </c>
      <c r="M519" s="367" t="s">
        <v>2509</v>
      </c>
      <c r="N519" s="140">
        <v>16</v>
      </c>
      <c r="O519" s="140"/>
      <c r="P519" s="125" t="str">
        <f>VLOOKUP(Ruimtestaat[[#This Row],[Ruimte code]],Ruimtegroepen[],4,FALSE)</f>
        <v>Ve</v>
      </c>
      <c r="R519" s="33">
        <v>40</v>
      </c>
      <c r="S519" s="33" t="s">
        <v>2</v>
      </c>
      <c r="T519" s="33">
        <f>IF(R519&gt;0,IF(RIGHT(Ruimtestaat[[#This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9" s="33">
        <f>IF(T519&gt;0,VLOOKUP($J519,Ruimtegroepen[],3,FALSE)*VLOOKUP($L519,Vloersoorten[],3,FALSE)*VLOOKUP($S519,Frequenties[],3,FALSE)*VLOOKUP($A519,Locaties[],3,FALSE),0)</f>
        <v>0</v>
      </c>
      <c r="V519" s="33">
        <f>Ruimtestaat[[#This Row],[Uitvoeringen werkdagen]]*Ruimtestaat[[#This Row],[Oppervlak (netto)]]</f>
        <v>3200</v>
      </c>
      <c r="W519" s="154">
        <f>IF(U519&gt;0,Ruimtestaat[[#This Row],[Prest. (m2 /jaar) werkdagen]]/Ruimtestaat[[#This Row],[Norm (m2/uur) werkdagen]],0)</f>
        <v>0</v>
      </c>
      <c r="X519" s="155">
        <f>Ruimtestaat[[#This Row],[uren / jaar werkdagen]]*Tariefsopbouw!$E$35</f>
        <v>0</v>
      </c>
      <c r="Y519" s="33"/>
      <c r="Z519" s="33">
        <f>IF(Ruimtestaat[[#This Row],[Frequentie weekend]]&gt;0,VALUE(LEFT(Y519,1))*R519,0)</f>
        <v>0</v>
      </c>
      <c r="AA519" s="97">
        <f>IF($Z519&gt;0,VLOOKUP($J519,Ruimtegroepen[],3,FALSE)*VLOOKUP($L519,Vloersoorten[],3,FALSE)*VLOOKUP($Y519,Frequenties[],3,FALSE)*VLOOKUP(Ruimtestaat[[#This Row],[Code]],Locaties[],3,FALSE),0)</f>
        <v>0</v>
      </c>
      <c r="AB519" s="97">
        <f>Ruimtestaat[[#This Row],[Uitvoeringen weekend]]*Ruimtestaat[[#This Row],[Oppervlak (netto)]]</f>
        <v>0</v>
      </c>
      <c r="AC519" s="97">
        <f>IF(AA519&gt;0,Ruimtestaat[[#This Row],[Prest. (m2 /jaar) weekend]]/Ruimtestaat[[#This Row],[Norm (m2/uur) weekend]],0)</f>
        <v>0</v>
      </c>
      <c r="AD519" s="155">
        <f>Ruimtestaat[[#This Row],[uren / jaar weekend]]*Tariefsopbouw!$D$40</f>
        <v>0</v>
      </c>
      <c r="AE519" s="154">
        <f>Ruimtestaat[[#This Row],[Prest. (m2 /jaar) weekend]]+Ruimtestaat[[#This Row],[Prest. (m2 /jaar) werkdagen]]</f>
        <v>3200</v>
      </c>
      <c r="AF519" s="154">
        <f>Ruimtestaat[[#This Row],[uren / jaar weekend]]+Ruimtestaat[[#This Row],[uren / jaar werkdagen]]</f>
        <v>0</v>
      </c>
      <c r="AG519" s="69">
        <f>Ruimtestaat[[#This Row],[kosten / jaar weekend]]+Ruimtestaat[[#This Row],[kosten / jaar werkdagen]]</f>
        <v>0</v>
      </c>
      <c r="AH519" s="69"/>
      <c r="AI519" s="256" t="str">
        <f>IF(Ruimtestaat[[#This Row],[Frequentie werkdagen]]="","",_xlfn.CONCAT(Ruimtestaat[[#This Row],[Ruimte code]],"-",Ruimtestaat[[#This Row],[Frequentie werkdagen]]," ",Ruimtestaat[[#This Row],[Vloer code]]))</f>
        <v>10-5w S</v>
      </c>
      <c r="AJ519" s="300" t="str">
        <f>_xlfn.IFNA(VLOOKUP($AI519,Programma!$F$3:$G$1107,2,0),"")</f>
        <v>_</v>
      </c>
      <c r="AK519" s="300" t="str">
        <f>_xlfn.IFNA(VLOOKUP($AI519,Programma!$F$3:$H$1107,3,0),"")</f>
        <v>_</v>
      </c>
      <c r="AL519" s="300" t="str">
        <f>_xlfn.IFNA(VLOOKUP($AI519,Programma!$F$3:$I$1107,4,0),"")</f>
        <v>4w</v>
      </c>
      <c r="AM519" s="300" t="str">
        <f>_xlfn.IFNA(VLOOKUP($AI519,Programma!$F$3:$J$1107,5,0),"")</f>
        <v>1w</v>
      </c>
      <c r="AN519" s="300" t="str">
        <f>_xlfn.IFNA(VLOOKUP($AI519,Programma!$F$3:$K$1107,6,0),"")</f>
        <v>4j</v>
      </c>
      <c r="AO519" s="300" t="str">
        <f>_xlfn.IFNA(VLOOKUP($AI519,Programma!$F$3:$L$1107,7,0),"")</f>
        <v>_</v>
      </c>
      <c r="AP519" s="300" t="str">
        <f>_xlfn.IFNA(VLOOKUP($AI519,Programma!$F$3:$M$1107,8,0),"")</f>
        <v>_</v>
      </c>
      <c r="AQ519" s="300" t="str">
        <f>_xlfn.IFNA(VLOOKUP($AI519,Programma!$F$3:$N$1107,9,0),"")</f>
        <v>_</v>
      </c>
      <c r="AR519" s="300" t="str">
        <f>_xlfn.IFNA(VLOOKUP($AI519,Programma!$F$3:$O$1107,10,0),"")</f>
        <v>5w</v>
      </c>
      <c r="AS519" s="300" t="str">
        <f>_xlfn.IFNA(VLOOKUP($AI519,Programma!$F$3:$P$1107,11,0),"")</f>
        <v>5w</v>
      </c>
      <c r="AT519" s="300" t="str">
        <f>_xlfn.IFNA(VLOOKUP($AI519,Programma!$F$3:$Q$1107,12,0),"")</f>
        <v>1w</v>
      </c>
      <c r="AU519" s="300" t="str">
        <f>_xlfn.IFNA(VLOOKUP($AI519,Programma!$F$3:$R$1107,13,0),"")</f>
        <v>1w</v>
      </c>
      <c r="AV519" s="300" t="str">
        <f>_xlfn.IFNA(VLOOKUP($AI519,Programma!$F$3:$S$1107,14,0),"")</f>
        <v>1m</v>
      </c>
      <c r="AW519" s="300" t="str">
        <f>_xlfn.IFNA(VLOOKUP($AI519,Programma!$F$3:$T$1107,15,0),"")</f>
        <v>2j</v>
      </c>
      <c r="AX519" s="300" t="str">
        <f>_xlfn.IFNA(VLOOKUP($AI519,Programma!$F$3:$U$1107,16,0),"")</f>
        <v>1j</v>
      </c>
      <c r="AY519" s="300" t="str">
        <f>_xlfn.IFNA(VLOOKUP($AI519,Programma!$F$3:$V$1107,17,0),"")</f>
        <v>_</v>
      </c>
      <c r="AZ519" s="300" t="str">
        <f>_xlfn.IFNA(VLOOKUP($AI519,Programma!$F$3:$W$1107,18,0),"")</f>
        <v>_</v>
      </c>
      <c r="BA519" s="300" t="str">
        <f>_xlfn.IFNA(VLOOKUP($AI519,Programma!$F$3:$X$1107,19,0),"")</f>
        <v>_</v>
      </c>
      <c r="BB519" s="300" t="str">
        <f>_xlfn.IFNA(VLOOKUP($AI519,Programma!$F$3:$Y$1107,20,0),"")</f>
        <v>_</v>
      </c>
      <c r="BC519" s="257"/>
      <c r="BD519" s="256" t="str">
        <f>IF(Ruimtestaat[[#This Row],[Frequentie weekend]]="","",_xlfn.CONCAT(Ruimtestaat[[#This Row],[Ruimte code]],"-",Ruimtestaat[[#This Row],[Frequentie weekend]]," ",Ruimtestaat[[#This Row],[Vloer code]]))</f>
        <v/>
      </c>
      <c r="BE519" s="300" t="str">
        <f>_xlfn.IFNA(VLOOKUP($BD519,Programma!$F$3:$G$1107,2,0),"")</f>
        <v/>
      </c>
      <c r="BF519" s="300" t="str">
        <f>_xlfn.IFNA(VLOOKUP($BD519,Programma!$F$3:$H$1107,3,0),"")</f>
        <v/>
      </c>
      <c r="BG519" s="300" t="str">
        <f>_xlfn.IFNA(VLOOKUP($BD519,Programma!$F$3:$I$1107,4,0),"")</f>
        <v/>
      </c>
      <c r="BH519" s="300" t="str">
        <f>_xlfn.IFNA(VLOOKUP($BD519,Programma!$F$3:$J$1107,5,0),"")</f>
        <v/>
      </c>
      <c r="BI519" s="300" t="str">
        <f>_xlfn.IFNA(VLOOKUP($BD519,Programma!$F$3:$K$1107,6,0),"")</f>
        <v/>
      </c>
      <c r="BJ519" s="300" t="str">
        <f>_xlfn.IFNA(VLOOKUP($BD519,Programma!$F$3:$L$1107,7,0),"")</f>
        <v/>
      </c>
      <c r="BK519" s="300" t="str">
        <f>_xlfn.IFNA(VLOOKUP($BD519,Programma!$F$3:$M$1107,8,0),"")</f>
        <v/>
      </c>
      <c r="BL519" s="300" t="str">
        <f>_xlfn.IFNA(VLOOKUP($BD519,Programma!$F$3:$N$1107,9,0),"")</f>
        <v/>
      </c>
      <c r="BM519" s="300" t="str">
        <f>_xlfn.IFNA(VLOOKUP($BD519,Programma!$F$3:$O$1107,10,0),"")</f>
        <v/>
      </c>
      <c r="BN519" s="300" t="str">
        <f>_xlfn.IFNA(VLOOKUP($BD519,Programma!$F$3:$P$1107,11,0),"")</f>
        <v/>
      </c>
      <c r="BO519" s="300" t="str">
        <f>_xlfn.IFNA(VLOOKUP($BD519,Programma!$F$3:$Q$1107,12,0),"")</f>
        <v/>
      </c>
      <c r="BP519" s="300" t="str">
        <f>_xlfn.IFNA(VLOOKUP($BD519,Programma!$F$3:$R$1107,13,0),"")</f>
        <v/>
      </c>
      <c r="BQ519" s="300" t="str">
        <f>_xlfn.IFNA(VLOOKUP($BD519,Programma!$F$3:$S$1107,14,0),"")</f>
        <v/>
      </c>
      <c r="BR519" s="300" t="str">
        <f>_xlfn.IFNA(VLOOKUP($BD519,Programma!$F$3:$T$1107,15,0),"")</f>
        <v/>
      </c>
      <c r="BS519" s="300" t="str">
        <f>_xlfn.IFNA(VLOOKUP($BD519,Programma!$F$3:$U$1107,16,0),"")</f>
        <v/>
      </c>
      <c r="BT519" s="300" t="str">
        <f>_xlfn.IFNA(VLOOKUP($BD519,Programma!$F$3:$V$1107,17,0),"")</f>
        <v/>
      </c>
      <c r="BU519" s="300" t="str">
        <f>_xlfn.IFNA(VLOOKUP($BD519,Programma!$F$3:$W$1107,18,0),"")</f>
        <v/>
      </c>
      <c r="BV519" s="300" t="str">
        <f>_xlfn.IFNA(VLOOKUP($BD519,Programma!$F$3:$X$1107,19,0),"")</f>
        <v/>
      </c>
      <c r="BW519" s="300" t="str">
        <f>_xlfn.IFNA(VLOOKUP($BD519,Programma!$F$3:$Y$1107,20,0),"")</f>
        <v/>
      </c>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c r="GK519" s="4"/>
      <c r="GL519" s="4"/>
      <c r="GM519" s="4"/>
      <c r="GN519" s="4"/>
      <c r="GO519" s="4"/>
      <c r="GP519" s="4"/>
      <c r="GQ519" s="4"/>
      <c r="GR519" s="4"/>
      <c r="GS519" s="4"/>
      <c r="GT519" s="4"/>
      <c r="GU519" s="4"/>
      <c r="GV519" s="4"/>
      <c r="GW519" s="4"/>
      <c r="GX519" s="4"/>
      <c r="GY519" s="4"/>
      <c r="GZ519" s="4"/>
      <c r="HA519" s="4"/>
      <c r="HB519" s="4"/>
      <c r="HC519" s="4"/>
      <c r="HD519" s="4"/>
      <c r="HE519" s="4"/>
      <c r="HF519" s="4"/>
      <c r="HG519" s="4"/>
      <c r="HH519" s="4"/>
      <c r="HI519" s="4"/>
      <c r="HJ519" s="4"/>
      <c r="HK519" s="4"/>
      <c r="HL519" s="4"/>
    </row>
    <row r="520" spans="1:220" ht="15" customHeight="1">
      <c r="A520" s="21">
        <v>6</v>
      </c>
      <c r="B520" s="157" t="str">
        <f>VLOOKUP(Ruimtestaat[[#This Row],[Code]],Locaties[[Code]:[Locatie]],2,FALSE)</f>
        <v>Veurs Lyceum</v>
      </c>
      <c r="C520" s="157" t="str">
        <f>VLOOKUP(Ruimtestaat[[#This Row],[Code]],Locaties[[#All],[Code]:[Adres]],4,FALSE)</f>
        <v>Burg. Kolfschotenlaan 5</v>
      </c>
      <c r="D520" s="157" t="str">
        <f>VLOOKUP(Ruimtestaat[[#This Row],[Code]],Locaties[[#All],[Code]:[Postcode]],5,FALSE)</f>
        <v xml:space="preserve">2262 EZ </v>
      </c>
      <c r="E520" s="157" t="str">
        <f>VLOOKUP(Ruimtestaat[[#This Row],[Code]],Locaties[#All],6,FALSE)</f>
        <v>Leidschendam</v>
      </c>
      <c r="F520" s="62"/>
      <c r="G520" s="21" t="s">
        <v>1706</v>
      </c>
      <c r="H520" s="21" t="s">
        <v>1707</v>
      </c>
      <c r="I520" s="62" t="s">
        <v>1657</v>
      </c>
      <c r="J520" s="21">
        <v>10</v>
      </c>
      <c r="K520" s="62" t="str">
        <f>VLOOKUP(Ruimtestaat[[#This Row],[Ruimte code]],Ruimtegroepen[[#All],[Code]:[Ruimte omschrijving]],2,FALSE)</f>
        <v>Trappenhuizen/lift</v>
      </c>
      <c r="L520" s="33" t="s">
        <v>102</v>
      </c>
      <c r="M520" s="367" t="s">
        <v>2509</v>
      </c>
      <c r="N520" s="140">
        <v>18</v>
      </c>
      <c r="O520" s="140"/>
      <c r="P520" s="125" t="str">
        <f>VLOOKUP(Ruimtestaat[[#This Row],[Ruimte code]],Ruimtegroepen[],4,FALSE)</f>
        <v>Ve</v>
      </c>
      <c r="R520" s="33">
        <v>40</v>
      </c>
      <c r="S520" s="33" t="s">
        <v>2</v>
      </c>
      <c r="T520" s="33">
        <f>IF(R520&gt;0,IF(RIGHT(Ruimtestaat[[#This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20" s="33">
        <f>IF(T520&gt;0,VLOOKUP($J520,Ruimtegroepen[],3,FALSE)*VLOOKUP($L520,Vloersoorten[],3,FALSE)*VLOOKUP($S520,Frequenties[],3,FALSE)*VLOOKUP($A520,Locaties[],3,FALSE),0)</f>
        <v>0</v>
      </c>
      <c r="V520" s="33">
        <f>Ruimtestaat[[#This Row],[Uitvoeringen werkdagen]]*Ruimtestaat[[#This Row],[Oppervlak (netto)]]</f>
        <v>3600</v>
      </c>
      <c r="W520" s="154">
        <f>IF(U520&gt;0,Ruimtestaat[[#This Row],[Prest. (m2 /jaar) werkdagen]]/Ruimtestaat[[#This Row],[Norm (m2/uur) werkdagen]],0)</f>
        <v>0</v>
      </c>
      <c r="X520" s="155">
        <f>Ruimtestaat[[#This Row],[uren / jaar werkdagen]]*Tariefsopbouw!$E$35</f>
        <v>0</v>
      </c>
      <c r="Y520" s="33"/>
      <c r="Z520" s="33">
        <f>IF(Ruimtestaat[[#This Row],[Frequentie weekend]]&gt;0,VALUE(LEFT(Y520,1))*R520,0)</f>
        <v>0</v>
      </c>
      <c r="AA520" s="97">
        <f>IF($Z520&gt;0,VLOOKUP($J520,Ruimtegroepen[],3,FALSE)*VLOOKUP($L520,Vloersoorten[],3,FALSE)*VLOOKUP($Y520,Frequenties[],3,FALSE)*VLOOKUP(Ruimtestaat[[#This Row],[Code]],Locaties[],3,FALSE),0)</f>
        <v>0</v>
      </c>
      <c r="AB520" s="97">
        <f>Ruimtestaat[[#This Row],[Uitvoeringen weekend]]*Ruimtestaat[[#This Row],[Oppervlak (netto)]]</f>
        <v>0</v>
      </c>
      <c r="AC520" s="97">
        <f>IF(AA520&gt;0,Ruimtestaat[[#This Row],[Prest. (m2 /jaar) weekend]]/Ruimtestaat[[#This Row],[Norm (m2/uur) weekend]],0)</f>
        <v>0</v>
      </c>
      <c r="AD520" s="155">
        <f>Ruimtestaat[[#This Row],[uren / jaar weekend]]*Tariefsopbouw!$D$40</f>
        <v>0</v>
      </c>
      <c r="AE520" s="154">
        <f>Ruimtestaat[[#This Row],[Prest. (m2 /jaar) weekend]]+Ruimtestaat[[#This Row],[Prest. (m2 /jaar) werkdagen]]</f>
        <v>3600</v>
      </c>
      <c r="AF520" s="154">
        <f>Ruimtestaat[[#This Row],[uren / jaar weekend]]+Ruimtestaat[[#This Row],[uren / jaar werkdagen]]</f>
        <v>0</v>
      </c>
      <c r="AG520" s="69">
        <f>Ruimtestaat[[#This Row],[kosten / jaar weekend]]+Ruimtestaat[[#This Row],[kosten / jaar werkdagen]]</f>
        <v>0</v>
      </c>
      <c r="AH520" s="69"/>
      <c r="AI520" s="256" t="str">
        <f>IF(Ruimtestaat[[#This Row],[Frequentie werkdagen]]="","",_xlfn.CONCAT(Ruimtestaat[[#This Row],[Ruimte code]],"-",Ruimtestaat[[#This Row],[Frequentie werkdagen]]," ",Ruimtestaat[[#This Row],[Vloer code]]))</f>
        <v>10-5w S</v>
      </c>
      <c r="AJ520" s="300" t="str">
        <f>_xlfn.IFNA(VLOOKUP($AI520,Programma!$F$3:$G$1107,2,0),"")</f>
        <v>_</v>
      </c>
      <c r="AK520" s="300" t="str">
        <f>_xlfn.IFNA(VLOOKUP($AI520,Programma!$F$3:$H$1107,3,0),"")</f>
        <v>_</v>
      </c>
      <c r="AL520" s="300" t="str">
        <f>_xlfn.IFNA(VLOOKUP($AI520,Programma!$F$3:$I$1107,4,0),"")</f>
        <v>4w</v>
      </c>
      <c r="AM520" s="300" t="str">
        <f>_xlfn.IFNA(VLOOKUP($AI520,Programma!$F$3:$J$1107,5,0),"")</f>
        <v>1w</v>
      </c>
      <c r="AN520" s="300" t="str">
        <f>_xlfn.IFNA(VLOOKUP($AI520,Programma!$F$3:$K$1107,6,0),"")</f>
        <v>4j</v>
      </c>
      <c r="AO520" s="300" t="str">
        <f>_xlfn.IFNA(VLOOKUP($AI520,Programma!$F$3:$L$1107,7,0),"")</f>
        <v>_</v>
      </c>
      <c r="AP520" s="300" t="str">
        <f>_xlfn.IFNA(VLOOKUP($AI520,Programma!$F$3:$M$1107,8,0),"")</f>
        <v>_</v>
      </c>
      <c r="AQ520" s="300" t="str">
        <f>_xlfn.IFNA(VLOOKUP($AI520,Programma!$F$3:$N$1107,9,0),"")</f>
        <v>_</v>
      </c>
      <c r="AR520" s="300" t="str">
        <f>_xlfn.IFNA(VLOOKUP($AI520,Programma!$F$3:$O$1107,10,0),"")</f>
        <v>5w</v>
      </c>
      <c r="AS520" s="300" t="str">
        <f>_xlfn.IFNA(VLOOKUP($AI520,Programma!$F$3:$P$1107,11,0),"")</f>
        <v>5w</v>
      </c>
      <c r="AT520" s="300" t="str">
        <f>_xlfn.IFNA(VLOOKUP($AI520,Programma!$F$3:$Q$1107,12,0),"")</f>
        <v>1w</v>
      </c>
      <c r="AU520" s="300" t="str">
        <f>_xlfn.IFNA(VLOOKUP($AI520,Programma!$F$3:$R$1107,13,0),"")</f>
        <v>1w</v>
      </c>
      <c r="AV520" s="300" t="str">
        <f>_xlfn.IFNA(VLOOKUP($AI520,Programma!$F$3:$S$1107,14,0),"")</f>
        <v>1m</v>
      </c>
      <c r="AW520" s="300" t="str">
        <f>_xlfn.IFNA(VLOOKUP($AI520,Programma!$F$3:$T$1107,15,0),"")</f>
        <v>2j</v>
      </c>
      <c r="AX520" s="300" t="str">
        <f>_xlfn.IFNA(VLOOKUP($AI520,Programma!$F$3:$U$1107,16,0),"")</f>
        <v>1j</v>
      </c>
      <c r="AY520" s="300" t="str">
        <f>_xlfn.IFNA(VLOOKUP($AI520,Programma!$F$3:$V$1107,17,0),"")</f>
        <v>_</v>
      </c>
      <c r="AZ520" s="300" t="str">
        <f>_xlfn.IFNA(VLOOKUP($AI520,Programma!$F$3:$W$1107,18,0),"")</f>
        <v>_</v>
      </c>
      <c r="BA520" s="300" t="str">
        <f>_xlfn.IFNA(VLOOKUP($AI520,Programma!$F$3:$X$1107,19,0),"")</f>
        <v>_</v>
      </c>
      <c r="BB520" s="300" t="str">
        <f>_xlfn.IFNA(VLOOKUP($AI520,Programma!$F$3:$Y$1107,20,0),"")</f>
        <v>_</v>
      </c>
      <c r="BC520" s="257"/>
      <c r="BD520" s="256" t="str">
        <f>IF(Ruimtestaat[[#This Row],[Frequentie weekend]]="","",_xlfn.CONCAT(Ruimtestaat[[#This Row],[Ruimte code]],"-",Ruimtestaat[[#This Row],[Frequentie weekend]]," ",Ruimtestaat[[#This Row],[Vloer code]]))</f>
        <v/>
      </c>
      <c r="BE520" s="300" t="str">
        <f>_xlfn.IFNA(VLOOKUP($BD520,Programma!$F$3:$G$1107,2,0),"")</f>
        <v/>
      </c>
      <c r="BF520" s="300" t="str">
        <f>_xlfn.IFNA(VLOOKUP($BD520,Programma!$F$3:$H$1107,3,0),"")</f>
        <v/>
      </c>
      <c r="BG520" s="300" t="str">
        <f>_xlfn.IFNA(VLOOKUP($BD520,Programma!$F$3:$I$1107,4,0),"")</f>
        <v/>
      </c>
      <c r="BH520" s="300" t="str">
        <f>_xlfn.IFNA(VLOOKUP($BD520,Programma!$F$3:$J$1107,5,0),"")</f>
        <v/>
      </c>
      <c r="BI520" s="300" t="str">
        <f>_xlfn.IFNA(VLOOKUP($BD520,Programma!$F$3:$K$1107,6,0),"")</f>
        <v/>
      </c>
      <c r="BJ520" s="300" t="str">
        <f>_xlfn.IFNA(VLOOKUP($BD520,Programma!$F$3:$L$1107,7,0),"")</f>
        <v/>
      </c>
      <c r="BK520" s="300" t="str">
        <f>_xlfn.IFNA(VLOOKUP($BD520,Programma!$F$3:$M$1107,8,0),"")</f>
        <v/>
      </c>
      <c r="BL520" s="300" t="str">
        <f>_xlfn.IFNA(VLOOKUP($BD520,Programma!$F$3:$N$1107,9,0),"")</f>
        <v/>
      </c>
      <c r="BM520" s="300" t="str">
        <f>_xlfn.IFNA(VLOOKUP($BD520,Programma!$F$3:$O$1107,10,0),"")</f>
        <v/>
      </c>
      <c r="BN520" s="300" t="str">
        <f>_xlfn.IFNA(VLOOKUP($BD520,Programma!$F$3:$P$1107,11,0),"")</f>
        <v/>
      </c>
      <c r="BO520" s="300" t="str">
        <f>_xlfn.IFNA(VLOOKUP($BD520,Programma!$F$3:$Q$1107,12,0),"")</f>
        <v/>
      </c>
      <c r="BP520" s="300" t="str">
        <f>_xlfn.IFNA(VLOOKUP($BD520,Programma!$F$3:$R$1107,13,0),"")</f>
        <v/>
      </c>
      <c r="BQ520" s="300" t="str">
        <f>_xlfn.IFNA(VLOOKUP($BD520,Programma!$F$3:$S$1107,14,0),"")</f>
        <v/>
      </c>
      <c r="BR520" s="300" t="str">
        <f>_xlfn.IFNA(VLOOKUP($BD520,Programma!$F$3:$T$1107,15,0),"")</f>
        <v/>
      </c>
      <c r="BS520" s="300" t="str">
        <f>_xlfn.IFNA(VLOOKUP($BD520,Programma!$F$3:$U$1107,16,0),"")</f>
        <v/>
      </c>
      <c r="BT520" s="300" t="str">
        <f>_xlfn.IFNA(VLOOKUP($BD520,Programma!$F$3:$V$1107,17,0),"")</f>
        <v/>
      </c>
      <c r="BU520" s="300" t="str">
        <f>_xlfn.IFNA(VLOOKUP($BD520,Programma!$F$3:$W$1107,18,0),"")</f>
        <v/>
      </c>
      <c r="BV520" s="300" t="str">
        <f>_xlfn.IFNA(VLOOKUP($BD520,Programma!$F$3:$X$1107,19,0),"")</f>
        <v/>
      </c>
      <c r="BW520" s="300" t="str">
        <f>_xlfn.IFNA(VLOOKUP($BD520,Programma!$F$3:$Y$1107,20,0),"")</f>
        <v/>
      </c>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c r="GK520" s="4"/>
      <c r="GL520" s="4"/>
      <c r="GM520" s="4"/>
      <c r="GN520" s="4"/>
      <c r="GO520" s="4"/>
      <c r="GP520" s="4"/>
      <c r="GQ520" s="4"/>
      <c r="GR520" s="4"/>
      <c r="GS520" s="4"/>
      <c r="GT520" s="4"/>
      <c r="GU520" s="4"/>
      <c r="GV520" s="4"/>
      <c r="GW520" s="4"/>
      <c r="GX520" s="4"/>
      <c r="GY520" s="4"/>
      <c r="GZ520" s="4"/>
      <c r="HA520" s="4"/>
      <c r="HB520" s="4"/>
      <c r="HC520" s="4"/>
      <c r="HD520" s="4"/>
      <c r="HE520" s="4"/>
      <c r="HF520" s="4"/>
      <c r="HG520" s="4"/>
      <c r="HH520" s="4"/>
      <c r="HI520" s="4"/>
      <c r="HJ520" s="4"/>
      <c r="HK520" s="4"/>
      <c r="HL520" s="4"/>
    </row>
    <row r="521" spans="1:220" ht="15" customHeight="1">
      <c r="A521" s="21">
        <v>6</v>
      </c>
      <c r="B521" s="157" t="str">
        <f>VLOOKUP(Ruimtestaat[[#This Row],[Code]],Locaties[[Code]:[Locatie]],2,FALSE)</f>
        <v>Veurs Lyceum</v>
      </c>
      <c r="C521" s="157" t="str">
        <f>VLOOKUP(Ruimtestaat[[#This Row],[Code]],Locaties[[#All],[Code]:[Adres]],4,FALSE)</f>
        <v>Burg. Kolfschotenlaan 5</v>
      </c>
      <c r="D521" s="157" t="str">
        <f>VLOOKUP(Ruimtestaat[[#This Row],[Code]],Locaties[[#All],[Code]:[Postcode]],5,FALSE)</f>
        <v xml:space="preserve">2262 EZ </v>
      </c>
      <c r="E521" s="157" t="str">
        <f>VLOOKUP(Ruimtestaat[[#This Row],[Code]],Locaties[#All],6,FALSE)</f>
        <v>Leidschendam</v>
      </c>
      <c r="F521" s="62"/>
      <c r="G521" s="21" t="s">
        <v>1706</v>
      </c>
      <c r="H521" s="21" t="s">
        <v>1708</v>
      </c>
      <c r="I521" s="62" t="s">
        <v>1657</v>
      </c>
      <c r="J521" s="21">
        <v>10</v>
      </c>
      <c r="K521" s="62" t="str">
        <f>VLOOKUP(Ruimtestaat[[#This Row],[Ruimte code]],Ruimtegroepen[[#All],[Code]:[Ruimte omschrijving]],2,FALSE)</f>
        <v>Trappenhuizen/lift</v>
      </c>
      <c r="L521" s="33" t="s">
        <v>102</v>
      </c>
      <c r="M521" s="367" t="s">
        <v>2509</v>
      </c>
      <c r="N521" s="140">
        <v>16</v>
      </c>
      <c r="O521" s="140"/>
      <c r="P521" s="125" t="str">
        <f>VLOOKUP(Ruimtestaat[[#This Row],[Ruimte code]],Ruimtegroepen[],4,FALSE)</f>
        <v>Ve</v>
      </c>
      <c r="R521" s="33">
        <v>40</v>
      </c>
      <c r="S521" s="33" t="s">
        <v>2</v>
      </c>
      <c r="T521" s="33">
        <f>IF(R521&gt;0,IF(RIGHT(Ruimtestaat[[#This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21" s="33">
        <f>IF(T521&gt;0,VLOOKUP($J521,Ruimtegroepen[],3,FALSE)*VLOOKUP($L521,Vloersoorten[],3,FALSE)*VLOOKUP($S521,Frequenties[],3,FALSE)*VLOOKUP($A521,Locaties[],3,FALSE),0)</f>
        <v>0</v>
      </c>
      <c r="V521" s="33">
        <f>Ruimtestaat[[#This Row],[Uitvoeringen werkdagen]]*Ruimtestaat[[#This Row],[Oppervlak (netto)]]</f>
        <v>3200</v>
      </c>
      <c r="W521" s="154">
        <f>IF(U521&gt;0,Ruimtestaat[[#This Row],[Prest. (m2 /jaar) werkdagen]]/Ruimtestaat[[#This Row],[Norm (m2/uur) werkdagen]],0)</f>
        <v>0</v>
      </c>
      <c r="X521" s="155">
        <f>Ruimtestaat[[#This Row],[uren / jaar werkdagen]]*Tariefsopbouw!$E$35</f>
        <v>0</v>
      </c>
      <c r="Y521" s="33"/>
      <c r="Z521" s="33">
        <f>IF(Ruimtestaat[[#This Row],[Frequentie weekend]]&gt;0,VALUE(LEFT(Y521,1))*R521,0)</f>
        <v>0</v>
      </c>
      <c r="AA521" s="97">
        <f>IF($Z521&gt;0,VLOOKUP($J521,Ruimtegroepen[],3,FALSE)*VLOOKUP($L521,Vloersoorten[],3,FALSE)*VLOOKUP($Y521,Frequenties[],3,FALSE)*VLOOKUP(Ruimtestaat[[#This Row],[Code]],Locaties[],3,FALSE),0)</f>
        <v>0</v>
      </c>
      <c r="AB521" s="97">
        <f>Ruimtestaat[[#This Row],[Uitvoeringen weekend]]*Ruimtestaat[[#This Row],[Oppervlak (netto)]]</f>
        <v>0</v>
      </c>
      <c r="AC521" s="97">
        <f>IF(AA521&gt;0,Ruimtestaat[[#This Row],[Prest. (m2 /jaar) weekend]]/Ruimtestaat[[#This Row],[Norm (m2/uur) weekend]],0)</f>
        <v>0</v>
      </c>
      <c r="AD521" s="155">
        <f>Ruimtestaat[[#This Row],[uren / jaar weekend]]*Tariefsopbouw!$D$40</f>
        <v>0</v>
      </c>
      <c r="AE521" s="154">
        <f>Ruimtestaat[[#This Row],[Prest. (m2 /jaar) weekend]]+Ruimtestaat[[#This Row],[Prest. (m2 /jaar) werkdagen]]</f>
        <v>3200</v>
      </c>
      <c r="AF521" s="154">
        <f>Ruimtestaat[[#This Row],[uren / jaar weekend]]+Ruimtestaat[[#This Row],[uren / jaar werkdagen]]</f>
        <v>0</v>
      </c>
      <c r="AG521" s="69">
        <f>Ruimtestaat[[#This Row],[kosten / jaar weekend]]+Ruimtestaat[[#This Row],[kosten / jaar werkdagen]]</f>
        <v>0</v>
      </c>
      <c r="AH521" s="69"/>
      <c r="AI521" s="256" t="str">
        <f>IF(Ruimtestaat[[#This Row],[Frequentie werkdagen]]="","",_xlfn.CONCAT(Ruimtestaat[[#This Row],[Ruimte code]],"-",Ruimtestaat[[#This Row],[Frequentie werkdagen]]," ",Ruimtestaat[[#This Row],[Vloer code]]))</f>
        <v>10-5w S</v>
      </c>
      <c r="AJ521" s="300" t="str">
        <f>_xlfn.IFNA(VLOOKUP($AI521,Programma!$F$3:$G$1107,2,0),"")</f>
        <v>_</v>
      </c>
      <c r="AK521" s="300" t="str">
        <f>_xlfn.IFNA(VLOOKUP($AI521,Programma!$F$3:$H$1107,3,0),"")</f>
        <v>_</v>
      </c>
      <c r="AL521" s="300" t="str">
        <f>_xlfn.IFNA(VLOOKUP($AI521,Programma!$F$3:$I$1107,4,0),"")</f>
        <v>4w</v>
      </c>
      <c r="AM521" s="300" t="str">
        <f>_xlfn.IFNA(VLOOKUP($AI521,Programma!$F$3:$J$1107,5,0),"")</f>
        <v>1w</v>
      </c>
      <c r="AN521" s="300" t="str">
        <f>_xlfn.IFNA(VLOOKUP($AI521,Programma!$F$3:$K$1107,6,0),"")</f>
        <v>4j</v>
      </c>
      <c r="AO521" s="300" t="str">
        <f>_xlfn.IFNA(VLOOKUP($AI521,Programma!$F$3:$L$1107,7,0),"")</f>
        <v>_</v>
      </c>
      <c r="AP521" s="300" t="str">
        <f>_xlfn.IFNA(VLOOKUP($AI521,Programma!$F$3:$M$1107,8,0),"")</f>
        <v>_</v>
      </c>
      <c r="AQ521" s="300" t="str">
        <f>_xlfn.IFNA(VLOOKUP($AI521,Programma!$F$3:$N$1107,9,0),"")</f>
        <v>_</v>
      </c>
      <c r="AR521" s="300" t="str">
        <f>_xlfn.IFNA(VLOOKUP($AI521,Programma!$F$3:$O$1107,10,0),"")</f>
        <v>5w</v>
      </c>
      <c r="AS521" s="300" t="str">
        <f>_xlfn.IFNA(VLOOKUP($AI521,Programma!$F$3:$P$1107,11,0),"")</f>
        <v>5w</v>
      </c>
      <c r="AT521" s="300" t="str">
        <f>_xlfn.IFNA(VLOOKUP($AI521,Programma!$F$3:$Q$1107,12,0),"")</f>
        <v>1w</v>
      </c>
      <c r="AU521" s="300" t="str">
        <f>_xlfn.IFNA(VLOOKUP($AI521,Programma!$F$3:$R$1107,13,0),"")</f>
        <v>1w</v>
      </c>
      <c r="AV521" s="300" t="str">
        <f>_xlfn.IFNA(VLOOKUP($AI521,Programma!$F$3:$S$1107,14,0),"")</f>
        <v>1m</v>
      </c>
      <c r="AW521" s="300" t="str">
        <f>_xlfn.IFNA(VLOOKUP($AI521,Programma!$F$3:$T$1107,15,0),"")</f>
        <v>2j</v>
      </c>
      <c r="AX521" s="300" t="str">
        <f>_xlfn.IFNA(VLOOKUP($AI521,Programma!$F$3:$U$1107,16,0),"")</f>
        <v>1j</v>
      </c>
      <c r="AY521" s="300" t="str">
        <f>_xlfn.IFNA(VLOOKUP($AI521,Programma!$F$3:$V$1107,17,0),"")</f>
        <v>_</v>
      </c>
      <c r="AZ521" s="300" t="str">
        <f>_xlfn.IFNA(VLOOKUP($AI521,Programma!$F$3:$W$1107,18,0),"")</f>
        <v>_</v>
      </c>
      <c r="BA521" s="300" t="str">
        <f>_xlfn.IFNA(VLOOKUP($AI521,Programma!$F$3:$X$1107,19,0),"")</f>
        <v>_</v>
      </c>
      <c r="BB521" s="300" t="str">
        <f>_xlfn.IFNA(VLOOKUP($AI521,Programma!$F$3:$Y$1107,20,0),"")</f>
        <v>_</v>
      </c>
      <c r="BC521" s="257"/>
      <c r="BD521" s="256" t="str">
        <f>IF(Ruimtestaat[[#This Row],[Frequentie weekend]]="","",_xlfn.CONCAT(Ruimtestaat[[#This Row],[Ruimte code]],"-",Ruimtestaat[[#This Row],[Frequentie weekend]]," ",Ruimtestaat[[#This Row],[Vloer code]]))</f>
        <v/>
      </c>
      <c r="BE521" s="300" t="str">
        <f>_xlfn.IFNA(VLOOKUP($BD521,Programma!$F$3:$G$1107,2,0),"")</f>
        <v/>
      </c>
      <c r="BF521" s="300" t="str">
        <f>_xlfn.IFNA(VLOOKUP($BD521,Programma!$F$3:$H$1107,3,0),"")</f>
        <v/>
      </c>
      <c r="BG521" s="300" t="str">
        <f>_xlfn.IFNA(VLOOKUP($BD521,Programma!$F$3:$I$1107,4,0),"")</f>
        <v/>
      </c>
      <c r="BH521" s="300" t="str">
        <f>_xlfn.IFNA(VLOOKUP($BD521,Programma!$F$3:$J$1107,5,0),"")</f>
        <v/>
      </c>
      <c r="BI521" s="300" t="str">
        <f>_xlfn.IFNA(VLOOKUP($BD521,Programma!$F$3:$K$1107,6,0),"")</f>
        <v/>
      </c>
      <c r="BJ521" s="300" t="str">
        <f>_xlfn.IFNA(VLOOKUP($BD521,Programma!$F$3:$L$1107,7,0),"")</f>
        <v/>
      </c>
      <c r="BK521" s="300" t="str">
        <f>_xlfn.IFNA(VLOOKUP($BD521,Programma!$F$3:$M$1107,8,0),"")</f>
        <v/>
      </c>
      <c r="BL521" s="300" t="str">
        <f>_xlfn.IFNA(VLOOKUP($BD521,Programma!$F$3:$N$1107,9,0),"")</f>
        <v/>
      </c>
      <c r="BM521" s="300" t="str">
        <f>_xlfn.IFNA(VLOOKUP($BD521,Programma!$F$3:$O$1107,10,0),"")</f>
        <v/>
      </c>
      <c r="BN521" s="300" t="str">
        <f>_xlfn.IFNA(VLOOKUP($BD521,Programma!$F$3:$P$1107,11,0),"")</f>
        <v/>
      </c>
      <c r="BO521" s="300" t="str">
        <f>_xlfn.IFNA(VLOOKUP($BD521,Programma!$F$3:$Q$1107,12,0),"")</f>
        <v/>
      </c>
      <c r="BP521" s="300" t="str">
        <f>_xlfn.IFNA(VLOOKUP($BD521,Programma!$F$3:$R$1107,13,0),"")</f>
        <v/>
      </c>
      <c r="BQ521" s="300" t="str">
        <f>_xlfn.IFNA(VLOOKUP($BD521,Programma!$F$3:$S$1107,14,0),"")</f>
        <v/>
      </c>
      <c r="BR521" s="300" t="str">
        <f>_xlfn.IFNA(VLOOKUP($BD521,Programma!$F$3:$T$1107,15,0),"")</f>
        <v/>
      </c>
      <c r="BS521" s="300" t="str">
        <f>_xlfn.IFNA(VLOOKUP($BD521,Programma!$F$3:$U$1107,16,0),"")</f>
        <v/>
      </c>
      <c r="BT521" s="300" t="str">
        <f>_xlfn.IFNA(VLOOKUP($BD521,Programma!$F$3:$V$1107,17,0),"")</f>
        <v/>
      </c>
      <c r="BU521" s="300" t="str">
        <f>_xlfn.IFNA(VLOOKUP($BD521,Programma!$F$3:$W$1107,18,0),"")</f>
        <v/>
      </c>
      <c r="BV521" s="300" t="str">
        <f>_xlfn.IFNA(VLOOKUP($BD521,Programma!$F$3:$X$1107,19,0),"")</f>
        <v/>
      </c>
      <c r="BW521" s="300" t="str">
        <f>_xlfn.IFNA(VLOOKUP($BD521,Programma!$F$3:$Y$1107,20,0),"")</f>
        <v/>
      </c>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c r="GK521" s="4"/>
      <c r="GL521" s="4"/>
      <c r="GM521" s="4"/>
      <c r="GN521" s="4"/>
      <c r="GO521" s="4"/>
      <c r="GP521" s="4"/>
      <c r="GQ521" s="4"/>
      <c r="GR521" s="4"/>
      <c r="GS521" s="4"/>
      <c r="GT521" s="4"/>
      <c r="GU521" s="4"/>
      <c r="GV521" s="4"/>
      <c r="GW521" s="4"/>
      <c r="GX521" s="4"/>
      <c r="GY521" s="4"/>
      <c r="GZ521" s="4"/>
      <c r="HA521" s="4"/>
      <c r="HB521" s="4"/>
      <c r="HC521" s="4"/>
      <c r="HD521" s="4"/>
      <c r="HE521" s="4"/>
      <c r="HF521" s="4"/>
      <c r="HG521" s="4"/>
      <c r="HH521" s="4"/>
      <c r="HI521" s="4"/>
      <c r="HJ521" s="4"/>
      <c r="HK521" s="4"/>
      <c r="HL521" s="4"/>
    </row>
    <row r="522" spans="1:220" ht="15" customHeight="1">
      <c r="A522" s="21">
        <v>6</v>
      </c>
      <c r="B522" s="157" t="str">
        <f>VLOOKUP(Ruimtestaat[[#This Row],[Code]],Locaties[[Code]:[Locatie]],2,FALSE)</f>
        <v>Veurs Lyceum</v>
      </c>
      <c r="C522" s="157" t="str">
        <f>VLOOKUP(Ruimtestaat[[#This Row],[Code]],Locaties[[#All],[Code]:[Adres]],4,FALSE)</f>
        <v>Burg. Kolfschotenlaan 5</v>
      </c>
      <c r="D522" s="157" t="str">
        <f>VLOOKUP(Ruimtestaat[[#This Row],[Code]],Locaties[[#All],[Code]:[Postcode]],5,FALSE)</f>
        <v xml:space="preserve">2262 EZ </v>
      </c>
      <c r="E522" s="157" t="str">
        <f>VLOOKUP(Ruimtestaat[[#This Row],[Code]],Locaties[#All],6,FALSE)</f>
        <v>Leidschendam</v>
      </c>
      <c r="F522" s="62"/>
      <c r="G522" s="21" t="s">
        <v>1706</v>
      </c>
      <c r="H522" s="21" t="s">
        <v>1709</v>
      </c>
      <c r="I522" s="62" t="s">
        <v>1702</v>
      </c>
      <c r="J522" s="21">
        <v>16</v>
      </c>
      <c r="K522" s="62" t="str">
        <f>VLOOKUP(Ruimtestaat[[#This Row],[Ruimte code]],Ruimtegroepen[[#All],[Code]:[Ruimte omschrijving]],2,FALSE)</f>
        <v>Leslokalen theorie</v>
      </c>
      <c r="L522" s="33" t="s">
        <v>100</v>
      </c>
      <c r="M522" s="367" t="s">
        <v>2493</v>
      </c>
      <c r="N522" s="140">
        <v>55</v>
      </c>
      <c r="O522" s="140"/>
      <c r="P522" s="125" t="str">
        <f>VLOOKUP(Ruimtestaat[[#This Row],[Ruimte code]],Ruimtegroepen[],4,FALSE)</f>
        <v>Le</v>
      </c>
      <c r="R522" s="33">
        <v>40</v>
      </c>
      <c r="S522" s="33" t="s">
        <v>2</v>
      </c>
      <c r="T522" s="33">
        <f>IF(R522&gt;0,IF(RIGHT(Ruimtestaat[[#This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22" s="33">
        <f>IF(T522&gt;0,VLOOKUP($J522,Ruimtegroepen[],3,FALSE)*VLOOKUP($L522,Vloersoorten[],3,FALSE)*VLOOKUP($S522,Frequenties[],3,FALSE)*VLOOKUP($A522,Locaties[],3,FALSE),0)</f>
        <v>0</v>
      </c>
      <c r="V522" s="33">
        <f>Ruimtestaat[[#This Row],[Uitvoeringen werkdagen]]*Ruimtestaat[[#This Row],[Oppervlak (netto)]]</f>
        <v>11000</v>
      </c>
      <c r="W522" s="154">
        <f>IF(U522&gt;0,Ruimtestaat[[#This Row],[Prest. (m2 /jaar) werkdagen]]/Ruimtestaat[[#This Row],[Norm (m2/uur) werkdagen]],0)</f>
        <v>0</v>
      </c>
      <c r="X522" s="155">
        <f>Ruimtestaat[[#This Row],[uren / jaar werkdagen]]*Tariefsopbouw!$E$35</f>
        <v>0</v>
      </c>
      <c r="Y522" s="33"/>
      <c r="Z522" s="33">
        <f>IF(Ruimtestaat[[#This Row],[Frequentie weekend]]&gt;0,VALUE(LEFT(Y522,1))*R522,0)</f>
        <v>0</v>
      </c>
      <c r="AA522" s="97">
        <f>IF($Z522&gt;0,VLOOKUP($J522,Ruimtegroepen[],3,FALSE)*VLOOKUP($L522,Vloersoorten[],3,FALSE)*VLOOKUP($Y522,Frequenties[],3,FALSE)*VLOOKUP(Ruimtestaat[[#This Row],[Code]],Locaties[],3,FALSE),0)</f>
        <v>0</v>
      </c>
      <c r="AB522" s="97">
        <f>Ruimtestaat[[#This Row],[Uitvoeringen weekend]]*Ruimtestaat[[#This Row],[Oppervlak (netto)]]</f>
        <v>0</v>
      </c>
      <c r="AC522" s="97">
        <f>IF(AA522&gt;0,Ruimtestaat[[#This Row],[Prest. (m2 /jaar) weekend]]/Ruimtestaat[[#This Row],[Norm (m2/uur) weekend]],0)</f>
        <v>0</v>
      </c>
      <c r="AD522" s="155">
        <f>Ruimtestaat[[#This Row],[uren / jaar weekend]]*Tariefsopbouw!$D$40</f>
        <v>0</v>
      </c>
      <c r="AE522" s="154">
        <f>Ruimtestaat[[#This Row],[Prest. (m2 /jaar) weekend]]+Ruimtestaat[[#This Row],[Prest. (m2 /jaar) werkdagen]]</f>
        <v>11000</v>
      </c>
      <c r="AF522" s="154">
        <f>Ruimtestaat[[#This Row],[uren / jaar weekend]]+Ruimtestaat[[#This Row],[uren / jaar werkdagen]]</f>
        <v>0</v>
      </c>
      <c r="AG522" s="69">
        <f>Ruimtestaat[[#This Row],[kosten / jaar weekend]]+Ruimtestaat[[#This Row],[kosten / jaar werkdagen]]</f>
        <v>0</v>
      </c>
      <c r="AH522" s="69"/>
      <c r="AI522" s="256" t="str">
        <f>IF(Ruimtestaat[[#This Row],[Frequentie werkdagen]]="","",_xlfn.CONCAT(Ruimtestaat[[#This Row],[Ruimte code]],"-",Ruimtestaat[[#This Row],[Frequentie werkdagen]]," ",Ruimtestaat[[#This Row],[Vloer code]]))</f>
        <v>16-5w T</v>
      </c>
      <c r="AJ522" s="300" t="str">
        <f>_xlfn.IFNA(VLOOKUP($AI522,Programma!$F$3:$G$1107,2,0),"")</f>
        <v>3w</v>
      </c>
      <c r="AK522" s="300" t="str">
        <f>_xlfn.IFNA(VLOOKUP($AI522,Programma!$F$3:$H$1107,3,0),"")</f>
        <v>2w</v>
      </c>
      <c r="AL522" s="300" t="str">
        <f>_xlfn.IFNA(VLOOKUP($AI522,Programma!$F$3:$I$1107,4,0),"")</f>
        <v>_</v>
      </c>
      <c r="AM522" s="300" t="str">
        <f>_xlfn.IFNA(VLOOKUP($AI522,Programma!$F$3:$J$1107,5,0),"")</f>
        <v>_</v>
      </c>
      <c r="AN522" s="300" t="str">
        <f>_xlfn.IFNA(VLOOKUP($AI522,Programma!$F$3:$K$1107,6,0),"")</f>
        <v>_</v>
      </c>
      <c r="AO522" s="300" t="str">
        <f>_xlfn.IFNA(VLOOKUP($AI522,Programma!$F$3:$L$1107,7,0),"")</f>
        <v>_</v>
      </c>
      <c r="AP522" s="300" t="str">
        <f>_xlfn.IFNA(VLOOKUP($AI522,Programma!$F$3:$M$1107,8,0),"")</f>
        <v>_</v>
      </c>
      <c r="AQ522" s="300" t="str">
        <f>_xlfn.IFNA(VLOOKUP($AI522,Programma!$F$3:$N$1107,9,0),"")</f>
        <v>_</v>
      </c>
      <c r="AR522" s="300" t="str">
        <f>_xlfn.IFNA(VLOOKUP($AI522,Programma!$F$3:$O$1107,10,0),"")</f>
        <v>5w</v>
      </c>
      <c r="AS522" s="300" t="str">
        <f>_xlfn.IFNA(VLOOKUP($AI522,Programma!$F$3:$P$1107,11,0),"")</f>
        <v>5w</v>
      </c>
      <c r="AT522" s="300" t="str">
        <f>_xlfn.IFNA(VLOOKUP($AI522,Programma!$F$3:$Q$1107,12,0),"")</f>
        <v>1w</v>
      </c>
      <c r="AU522" s="300" t="str">
        <f>_xlfn.IFNA(VLOOKUP($AI522,Programma!$F$3:$R$1107,13,0),"")</f>
        <v>1w</v>
      </c>
      <c r="AV522" s="300" t="str">
        <f>_xlfn.IFNA(VLOOKUP($AI522,Programma!$F$3:$S$1107,14,0),"")</f>
        <v>1m</v>
      </c>
      <c r="AW522" s="300" t="str">
        <f>_xlfn.IFNA(VLOOKUP($AI522,Programma!$F$3:$T$1107,15,0),"")</f>
        <v>2j</v>
      </c>
      <c r="AX522" s="300" t="str">
        <f>_xlfn.IFNA(VLOOKUP($AI522,Programma!$F$3:$U$1107,16,0),"")</f>
        <v>1j</v>
      </c>
      <c r="AY522" s="300" t="str">
        <f>_xlfn.IFNA(VLOOKUP($AI522,Programma!$F$3:$V$1107,17,0),"")</f>
        <v>_</v>
      </c>
      <c r="AZ522" s="300" t="str">
        <f>_xlfn.IFNA(VLOOKUP($AI522,Programma!$F$3:$W$1107,18,0),"")</f>
        <v>_</v>
      </c>
      <c r="BA522" s="300" t="str">
        <f>_xlfn.IFNA(VLOOKUP($AI522,Programma!$F$3:$X$1107,19,0),"")</f>
        <v>_</v>
      </c>
      <c r="BB522" s="300" t="str">
        <f>_xlfn.IFNA(VLOOKUP($AI522,Programma!$F$3:$Y$1107,20,0),"")</f>
        <v>_</v>
      </c>
      <c r="BC522" s="257"/>
      <c r="BD522" s="256" t="str">
        <f>IF(Ruimtestaat[[#This Row],[Frequentie weekend]]="","",_xlfn.CONCAT(Ruimtestaat[[#This Row],[Ruimte code]],"-",Ruimtestaat[[#This Row],[Frequentie weekend]]," ",Ruimtestaat[[#This Row],[Vloer code]]))</f>
        <v/>
      </c>
      <c r="BE522" s="300" t="str">
        <f>_xlfn.IFNA(VLOOKUP($BD522,Programma!$F$3:$G$1107,2,0),"")</f>
        <v/>
      </c>
      <c r="BF522" s="300" t="str">
        <f>_xlfn.IFNA(VLOOKUP($BD522,Programma!$F$3:$H$1107,3,0),"")</f>
        <v/>
      </c>
      <c r="BG522" s="300" t="str">
        <f>_xlfn.IFNA(VLOOKUP($BD522,Programma!$F$3:$I$1107,4,0),"")</f>
        <v/>
      </c>
      <c r="BH522" s="300" t="str">
        <f>_xlfn.IFNA(VLOOKUP($BD522,Programma!$F$3:$J$1107,5,0),"")</f>
        <v/>
      </c>
      <c r="BI522" s="300" t="str">
        <f>_xlfn.IFNA(VLOOKUP($BD522,Programma!$F$3:$K$1107,6,0),"")</f>
        <v/>
      </c>
      <c r="BJ522" s="300" t="str">
        <f>_xlfn.IFNA(VLOOKUP($BD522,Programma!$F$3:$L$1107,7,0),"")</f>
        <v/>
      </c>
      <c r="BK522" s="300" t="str">
        <f>_xlfn.IFNA(VLOOKUP($BD522,Programma!$F$3:$M$1107,8,0),"")</f>
        <v/>
      </c>
      <c r="BL522" s="300" t="str">
        <f>_xlfn.IFNA(VLOOKUP($BD522,Programma!$F$3:$N$1107,9,0),"")</f>
        <v/>
      </c>
      <c r="BM522" s="300" t="str">
        <f>_xlfn.IFNA(VLOOKUP($BD522,Programma!$F$3:$O$1107,10,0),"")</f>
        <v/>
      </c>
      <c r="BN522" s="300" t="str">
        <f>_xlfn.IFNA(VLOOKUP($BD522,Programma!$F$3:$P$1107,11,0),"")</f>
        <v/>
      </c>
      <c r="BO522" s="300" t="str">
        <f>_xlfn.IFNA(VLOOKUP($BD522,Programma!$F$3:$Q$1107,12,0),"")</f>
        <v/>
      </c>
      <c r="BP522" s="300" t="str">
        <f>_xlfn.IFNA(VLOOKUP($BD522,Programma!$F$3:$R$1107,13,0),"")</f>
        <v/>
      </c>
      <c r="BQ522" s="300" t="str">
        <f>_xlfn.IFNA(VLOOKUP($BD522,Programma!$F$3:$S$1107,14,0),"")</f>
        <v/>
      </c>
      <c r="BR522" s="300" t="str">
        <f>_xlfn.IFNA(VLOOKUP($BD522,Programma!$F$3:$T$1107,15,0),"")</f>
        <v/>
      </c>
      <c r="BS522" s="300" t="str">
        <f>_xlfn.IFNA(VLOOKUP($BD522,Programma!$F$3:$U$1107,16,0),"")</f>
        <v/>
      </c>
      <c r="BT522" s="300" t="str">
        <f>_xlfn.IFNA(VLOOKUP($BD522,Programma!$F$3:$V$1107,17,0),"")</f>
        <v/>
      </c>
      <c r="BU522" s="300" t="str">
        <f>_xlfn.IFNA(VLOOKUP($BD522,Programma!$F$3:$W$1107,18,0),"")</f>
        <v/>
      </c>
      <c r="BV522" s="300" t="str">
        <f>_xlfn.IFNA(VLOOKUP($BD522,Programma!$F$3:$X$1107,19,0),"")</f>
        <v/>
      </c>
      <c r="BW522" s="300" t="str">
        <f>_xlfn.IFNA(VLOOKUP($BD522,Programma!$F$3:$Y$1107,20,0),"")</f>
        <v/>
      </c>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c r="GK522" s="4"/>
      <c r="GL522" s="4"/>
      <c r="GM522" s="4"/>
      <c r="GN522" s="4"/>
      <c r="GO522" s="4"/>
      <c r="GP522" s="4"/>
      <c r="GQ522" s="4"/>
      <c r="GR522" s="4"/>
      <c r="GS522" s="4"/>
      <c r="GT522" s="4"/>
      <c r="GU522" s="4"/>
      <c r="GV522" s="4"/>
      <c r="GW522" s="4"/>
      <c r="GX522" s="4"/>
      <c r="GY522" s="4"/>
      <c r="GZ522" s="4"/>
      <c r="HA522" s="4"/>
      <c r="HB522" s="4"/>
      <c r="HC522" s="4"/>
      <c r="HD522" s="4"/>
      <c r="HE522" s="4"/>
      <c r="HF522" s="4"/>
      <c r="HG522" s="4"/>
      <c r="HH522" s="4"/>
      <c r="HI522" s="4"/>
      <c r="HJ522" s="4"/>
      <c r="HK522" s="4"/>
      <c r="HL522" s="4"/>
    </row>
    <row r="523" spans="1:220" ht="15" customHeight="1">
      <c r="A523" s="21">
        <v>6</v>
      </c>
      <c r="B523" s="157" t="str">
        <f>VLOOKUP(Ruimtestaat[[#This Row],[Code]],Locaties[[Code]:[Locatie]],2,FALSE)</f>
        <v>Veurs Lyceum</v>
      </c>
      <c r="C523" s="157" t="str">
        <f>VLOOKUP(Ruimtestaat[[#This Row],[Code]],Locaties[[#All],[Code]:[Adres]],4,FALSE)</f>
        <v>Burg. Kolfschotenlaan 5</v>
      </c>
      <c r="D523" s="157" t="str">
        <f>VLOOKUP(Ruimtestaat[[#This Row],[Code]],Locaties[[#All],[Code]:[Postcode]],5,FALSE)</f>
        <v xml:space="preserve">2262 EZ </v>
      </c>
      <c r="E523" s="157" t="str">
        <f>VLOOKUP(Ruimtestaat[[#This Row],[Code]],Locaties[#All],6,FALSE)</f>
        <v>Leidschendam</v>
      </c>
      <c r="F523" s="62"/>
      <c r="G523" s="21" t="s">
        <v>1706</v>
      </c>
      <c r="H523" s="21" t="s">
        <v>1710</v>
      </c>
      <c r="I523" s="62" t="s">
        <v>1863</v>
      </c>
      <c r="J523" s="21">
        <v>2</v>
      </c>
      <c r="K523" s="62" t="str">
        <f>VLOOKUP(Ruimtestaat[[#This Row],[Ruimte code]],Ruimtegroepen[[#All],[Code]:[Ruimte omschrijving]],2,FALSE)</f>
        <v>Kantoren</v>
      </c>
      <c r="L523" s="33" t="s">
        <v>100</v>
      </c>
      <c r="M523" s="367" t="s">
        <v>2493</v>
      </c>
      <c r="N523" s="140">
        <v>21</v>
      </c>
      <c r="O523" s="140"/>
      <c r="P523" s="125" t="str">
        <f>VLOOKUP(Ruimtestaat[[#This Row],[Ruimte code]],Ruimtegroepen[],4,FALSE)</f>
        <v>Bu</v>
      </c>
      <c r="R523" s="33">
        <v>42</v>
      </c>
      <c r="S523" s="33" t="s">
        <v>18</v>
      </c>
      <c r="T523" s="33">
        <f>IF(R523&gt;0,IF(RIGHT(Ruimtestaat[[#This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23" s="33">
        <f>IF(T523&gt;0,VLOOKUP($J523,Ruimtegroepen[],3,FALSE)*VLOOKUP($L523,Vloersoorten[],3,FALSE)*VLOOKUP($S523,Frequenties[],3,FALSE)*VLOOKUP($A523,Locaties[],3,FALSE),0)</f>
        <v>0</v>
      </c>
      <c r="V523" s="33">
        <f>Ruimtestaat[[#This Row],[Uitvoeringen werkdagen]]*Ruimtestaat[[#This Row],[Oppervlak (netto)]]</f>
        <v>2646</v>
      </c>
      <c r="W523" s="154">
        <f>IF(U523&gt;0,Ruimtestaat[[#This Row],[Prest. (m2 /jaar) werkdagen]]/Ruimtestaat[[#This Row],[Norm (m2/uur) werkdagen]],0)</f>
        <v>0</v>
      </c>
      <c r="X523" s="155">
        <f>Ruimtestaat[[#This Row],[uren / jaar werkdagen]]*Tariefsopbouw!$E$35</f>
        <v>0</v>
      </c>
      <c r="Y523" s="33"/>
      <c r="Z523" s="33">
        <f>IF(Ruimtestaat[[#This Row],[Frequentie weekend]]&gt;0,VALUE(LEFT(Y523,1))*R523,0)</f>
        <v>0</v>
      </c>
      <c r="AA523" s="97">
        <f>IF($Z523&gt;0,VLOOKUP($J523,Ruimtegroepen[],3,FALSE)*VLOOKUP($L523,Vloersoorten[],3,FALSE)*VLOOKUP($Y523,Frequenties[],3,FALSE)*VLOOKUP(Ruimtestaat[[#This Row],[Code]],Locaties[],3,FALSE),0)</f>
        <v>0</v>
      </c>
      <c r="AB523" s="97">
        <f>Ruimtestaat[[#This Row],[Uitvoeringen weekend]]*Ruimtestaat[[#This Row],[Oppervlak (netto)]]</f>
        <v>0</v>
      </c>
      <c r="AC523" s="97">
        <f>IF(AA523&gt;0,Ruimtestaat[[#This Row],[Prest. (m2 /jaar) weekend]]/Ruimtestaat[[#This Row],[Norm (m2/uur) weekend]],0)</f>
        <v>0</v>
      </c>
      <c r="AD523" s="155">
        <f>Ruimtestaat[[#This Row],[uren / jaar weekend]]*Tariefsopbouw!$D$40</f>
        <v>0</v>
      </c>
      <c r="AE523" s="154">
        <f>Ruimtestaat[[#This Row],[Prest. (m2 /jaar) weekend]]+Ruimtestaat[[#This Row],[Prest. (m2 /jaar) werkdagen]]</f>
        <v>2646</v>
      </c>
      <c r="AF523" s="154">
        <f>Ruimtestaat[[#This Row],[uren / jaar weekend]]+Ruimtestaat[[#This Row],[uren / jaar werkdagen]]</f>
        <v>0</v>
      </c>
      <c r="AG523" s="69">
        <f>Ruimtestaat[[#This Row],[kosten / jaar weekend]]+Ruimtestaat[[#This Row],[kosten / jaar werkdagen]]</f>
        <v>0</v>
      </c>
      <c r="AH523" s="69"/>
      <c r="AI523" s="256" t="str">
        <f>IF(Ruimtestaat[[#This Row],[Frequentie werkdagen]]="","",_xlfn.CONCAT(Ruimtestaat[[#This Row],[Ruimte code]],"-",Ruimtestaat[[#This Row],[Frequentie werkdagen]]," ",Ruimtestaat[[#This Row],[Vloer code]]))</f>
        <v>2-3w T</v>
      </c>
      <c r="AJ523" s="300" t="str">
        <f>_xlfn.IFNA(VLOOKUP($AI523,Programma!$F$3:$G$1107,2,0),"")</f>
        <v>2w</v>
      </c>
      <c r="AK523" s="300" t="str">
        <f>_xlfn.IFNA(VLOOKUP($AI523,Programma!$F$3:$H$1107,3,0),"")</f>
        <v>1w</v>
      </c>
      <c r="AL523" s="300" t="str">
        <f>_xlfn.IFNA(VLOOKUP($AI523,Programma!$F$3:$I$1107,4,0),"")</f>
        <v>_</v>
      </c>
      <c r="AM523" s="300" t="str">
        <f>_xlfn.IFNA(VLOOKUP($AI523,Programma!$F$3:$J$1107,5,0),"")</f>
        <v>_</v>
      </c>
      <c r="AN523" s="300" t="str">
        <f>_xlfn.IFNA(VLOOKUP($AI523,Programma!$F$3:$K$1107,6,0),"")</f>
        <v>_</v>
      </c>
      <c r="AO523" s="300" t="str">
        <f>_xlfn.IFNA(VLOOKUP($AI523,Programma!$F$3:$L$1107,7,0),"")</f>
        <v>_</v>
      </c>
      <c r="AP523" s="300" t="str">
        <f>_xlfn.IFNA(VLOOKUP($AI523,Programma!$F$3:$M$1107,8,0),"")</f>
        <v>_</v>
      </c>
      <c r="AQ523" s="300" t="str">
        <f>_xlfn.IFNA(VLOOKUP($AI523,Programma!$F$3:$N$1107,9,0),"")</f>
        <v>_</v>
      </c>
      <c r="AR523" s="300" t="str">
        <f>_xlfn.IFNA(VLOOKUP($AI523,Programma!$F$3:$O$1107,10,0),"")</f>
        <v>3w</v>
      </c>
      <c r="AS523" s="300" t="str">
        <f>_xlfn.IFNA(VLOOKUP($AI523,Programma!$F$3:$P$1107,11,0),"")</f>
        <v>3w</v>
      </c>
      <c r="AT523" s="300" t="str">
        <f>_xlfn.IFNA(VLOOKUP($AI523,Programma!$F$3:$Q$1107,12,0),"")</f>
        <v>1w</v>
      </c>
      <c r="AU523" s="300" t="str">
        <f>_xlfn.IFNA(VLOOKUP($AI523,Programma!$F$3:$R$1107,13,0),"")</f>
        <v>1w</v>
      </c>
      <c r="AV523" s="300" t="str">
        <f>_xlfn.IFNA(VLOOKUP($AI523,Programma!$F$3:$S$1107,14,0),"")</f>
        <v>1m</v>
      </c>
      <c r="AW523" s="300" t="str">
        <f>_xlfn.IFNA(VLOOKUP($AI523,Programma!$F$3:$T$1107,15,0),"")</f>
        <v>2j</v>
      </c>
      <c r="AX523" s="300" t="str">
        <f>_xlfn.IFNA(VLOOKUP($AI523,Programma!$F$3:$U$1107,16,0),"")</f>
        <v>1j</v>
      </c>
      <c r="AY523" s="300" t="str">
        <f>_xlfn.IFNA(VLOOKUP($AI523,Programma!$F$3:$V$1107,17,0),"")</f>
        <v>_</v>
      </c>
      <c r="AZ523" s="300" t="str">
        <f>_xlfn.IFNA(VLOOKUP($AI523,Programma!$F$3:$W$1107,18,0),"")</f>
        <v>_</v>
      </c>
      <c r="BA523" s="300" t="str">
        <f>_xlfn.IFNA(VLOOKUP($AI523,Programma!$F$3:$X$1107,19,0),"")</f>
        <v>_</v>
      </c>
      <c r="BB523" s="300" t="str">
        <f>_xlfn.IFNA(VLOOKUP($AI523,Programma!$F$3:$Y$1107,20,0),"")</f>
        <v>_</v>
      </c>
      <c r="BC523" s="257"/>
      <c r="BD523" s="256" t="str">
        <f>IF(Ruimtestaat[[#This Row],[Frequentie weekend]]="","",_xlfn.CONCAT(Ruimtestaat[[#This Row],[Ruimte code]],"-",Ruimtestaat[[#This Row],[Frequentie weekend]]," ",Ruimtestaat[[#This Row],[Vloer code]]))</f>
        <v/>
      </c>
      <c r="BE523" s="300" t="str">
        <f>_xlfn.IFNA(VLOOKUP($BD523,Programma!$F$3:$G$1107,2,0),"")</f>
        <v/>
      </c>
      <c r="BF523" s="300" t="str">
        <f>_xlfn.IFNA(VLOOKUP($BD523,Programma!$F$3:$H$1107,3,0),"")</f>
        <v/>
      </c>
      <c r="BG523" s="300" t="str">
        <f>_xlfn.IFNA(VLOOKUP($BD523,Programma!$F$3:$I$1107,4,0),"")</f>
        <v/>
      </c>
      <c r="BH523" s="300" t="str">
        <f>_xlfn.IFNA(VLOOKUP($BD523,Programma!$F$3:$J$1107,5,0),"")</f>
        <v/>
      </c>
      <c r="BI523" s="300" t="str">
        <f>_xlfn.IFNA(VLOOKUP($BD523,Programma!$F$3:$K$1107,6,0),"")</f>
        <v/>
      </c>
      <c r="BJ523" s="300" t="str">
        <f>_xlfn.IFNA(VLOOKUP($BD523,Programma!$F$3:$L$1107,7,0),"")</f>
        <v/>
      </c>
      <c r="BK523" s="300" t="str">
        <f>_xlfn.IFNA(VLOOKUP($BD523,Programma!$F$3:$M$1107,8,0),"")</f>
        <v/>
      </c>
      <c r="BL523" s="300" t="str">
        <f>_xlfn.IFNA(VLOOKUP($BD523,Programma!$F$3:$N$1107,9,0),"")</f>
        <v/>
      </c>
      <c r="BM523" s="300" t="str">
        <f>_xlfn.IFNA(VLOOKUP($BD523,Programma!$F$3:$O$1107,10,0),"")</f>
        <v/>
      </c>
      <c r="BN523" s="300" t="str">
        <f>_xlfn.IFNA(VLOOKUP($BD523,Programma!$F$3:$P$1107,11,0),"")</f>
        <v/>
      </c>
      <c r="BO523" s="300" t="str">
        <f>_xlfn.IFNA(VLOOKUP($BD523,Programma!$F$3:$Q$1107,12,0),"")</f>
        <v/>
      </c>
      <c r="BP523" s="300" t="str">
        <f>_xlfn.IFNA(VLOOKUP($BD523,Programma!$F$3:$R$1107,13,0),"")</f>
        <v/>
      </c>
      <c r="BQ523" s="300" t="str">
        <f>_xlfn.IFNA(VLOOKUP($BD523,Programma!$F$3:$S$1107,14,0),"")</f>
        <v/>
      </c>
      <c r="BR523" s="300" t="str">
        <f>_xlfn.IFNA(VLOOKUP($BD523,Programma!$F$3:$T$1107,15,0),"")</f>
        <v/>
      </c>
      <c r="BS523" s="300" t="str">
        <f>_xlfn.IFNA(VLOOKUP($BD523,Programma!$F$3:$U$1107,16,0),"")</f>
        <v/>
      </c>
      <c r="BT523" s="300" t="str">
        <f>_xlfn.IFNA(VLOOKUP($BD523,Programma!$F$3:$V$1107,17,0),"")</f>
        <v/>
      </c>
      <c r="BU523" s="300" t="str">
        <f>_xlfn.IFNA(VLOOKUP($BD523,Programma!$F$3:$W$1107,18,0),"")</f>
        <v/>
      </c>
      <c r="BV523" s="300" t="str">
        <f>_xlfn.IFNA(VLOOKUP($BD523,Programma!$F$3:$X$1107,19,0),"")</f>
        <v/>
      </c>
      <c r="BW523" s="300" t="str">
        <f>_xlfn.IFNA(VLOOKUP($BD523,Programma!$F$3:$Y$1107,20,0),"")</f>
        <v/>
      </c>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c r="GK523" s="4"/>
      <c r="GL523" s="4"/>
      <c r="GM523" s="4"/>
      <c r="GN523" s="4"/>
      <c r="GO523" s="4"/>
      <c r="GP523" s="4"/>
      <c r="GQ523" s="4"/>
      <c r="GR523" s="4"/>
      <c r="GS523" s="4"/>
      <c r="GT523" s="4"/>
      <c r="GU523" s="4"/>
      <c r="GV523" s="4"/>
      <c r="GW523" s="4"/>
      <c r="GX523" s="4"/>
      <c r="GY523" s="4"/>
      <c r="GZ523" s="4"/>
      <c r="HA523" s="4"/>
      <c r="HB523" s="4"/>
      <c r="HC523" s="4"/>
      <c r="HD523" s="4"/>
      <c r="HE523" s="4"/>
      <c r="HF523" s="4"/>
      <c r="HG523" s="4"/>
      <c r="HH523" s="4"/>
      <c r="HI523" s="4"/>
      <c r="HJ523" s="4"/>
      <c r="HK523" s="4"/>
      <c r="HL523" s="4"/>
    </row>
    <row r="524" spans="1:220" ht="15" customHeight="1">
      <c r="A524" s="21">
        <v>6</v>
      </c>
      <c r="B524" s="157" t="str">
        <f>VLOOKUP(Ruimtestaat[[#This Row],[Code]],Locaties[[Code]:[Locatie]],2,FALSE)</f>
        <v>Veurs Lyceum</v>
      </c>
      <c r="C524" s="157" t="str">
        <f>VLOOKUP(Ruimtestaat[[#This Row],[Code]],Locaties[[#All],[Code]:[Adres]],4,FALSE)</f>
        <v>Burg. Kolfschotenlaan 5</v>
      </c>
      <c r="D524" s="157" t="str">
        <f>VLOOKUP(Ruimtestaat[[#This Row],[Code]],Locaties[[#All],[Code]:[Postcode]],5,FALSE)</f>
        <v xml:space="preserve">2262 EZ </v>
      </c>
      <c r="E524" s="157" t="str">
        <f>VLOOKUP(Ruimtestaat[[#This Row],[Code]],Locaties[#All],6,FALSE)</f>
        <v>Leidschendam</v>
      </c>
      <c r="F524" s="62"/>
      <c r="G524" s="21" t="s">
        <v>1706</v>
      </c>
      <c r="H524" s="21" t="s">
        <v>1711</v>
      </c>
      <c r="I524" s="62" t="s">
        <v>1631</v>
      </c>
      <c r="J524" s="21">
        <v>2</v>
      </c>
      <c r="K524" s="62" t="str">
        <f>VLOOKUP(Ruimtestaat[[#This Row],[Ruimte code]],Ruimtegroepen[[#All],[Code]:[Ruimte omschrijving]],2,FALSE)</f>
        <v>Kantoren</v>
      </c>
      <c r="L524" s="33" t="s">
        <v>100</v>
      </c>
      <c r="M524" s="367" t="s">
        <v>2493</v>
      </c>
      <c r="N524" s="140">
        <v>54</v>
      </c>
      <c r="O524" s="140"/>
      <c r="P524" s="125" t="str">
        <f>VLOOKUP(Ruimtestaat[[#This Row],[Ruimte code]],Ruimtegroepen[],4,FALSE)</f>
        <v>Bu</v>
      </c>
      <c r="R524" s="33">
        <v>42</v>
      </c>
      <c r="S524" s="33" t="s">
        <v>18</v>
      </c>
      <c r="T524" s="33">
        <f>IF(R524&gt;0,IF(RIGHT(Ruimtestaat[[#This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24" s="33">
        <f>IF(T524&gt;0,VLOOKUP($J524,Ruimtegroepen[],3,FALSE)*VLOOKUP($L524,Vloersoorten[],3,FALSE)*VLOOKUP($S524,Frequenties[],3,FALSE)*VLOOKUP($A524,Locaties[],3,FALSE),0)</f>
        <v>0</v>
      </c>
      <c r="V524" s="33">
        <f>Ruimtestaat[[#This Row],[Uitvoeringen werkdagen]]*Ruimtestaat[[#This Row],[Oppervlak (netto)]]</f>
        <v>6804</v>
      </c>
      <c r="W524" s="154">
        <f>IF(U524&gt;0,Ruimtestaat[[#This Row],[Prest. (m2 /jaar) werkdagen]]/Ruimtestaat[[#This Row],[Norm (m2/uur) werkdagen]],0)</f>
        <v>0</v>
      </c>
      <c r="X524" s="155">
        <f>Ruimtestaat[[#This Row],[uren / jaar werkdagen]]*Tariefsopbouw!$E$35</f>
        <v>0</v>
      </c>
      <c r="Y524" s="33"/>
      <c r="Z524" s="33">
        <f>IF(Ruimtestaat[[#This Row],[Frequentie weekend]]&gt;0,VALUE(LEFT(Y524,1))*R524,0)</f>
        <v>0</v>
      </c>
      <c r="AA524" s="97">
        <f>IF($Z524&gt;0,VLOOKUP($J524,Ruimtegroepen[],3,FALSE)*VLOOKUP($L524,Vloersoorten[],3,FALSE)*VLOOKUP($Y524,Frequenties[],3,FALSE)*VLOOKUP(Ruimtestaat[[#This Row],[Code]],Locaties[],3,FALSE),0)</f>
        <v>0</v>
      </c>
      <c r="AB524" s="97">
        <f>Ruimtestaat[[#This Row],[Uitvoeringen weekend]]*Ruimtestaat[[#This Row],[Oppervlak (netto)]]</f>
        <v>0</v>
      </c>
      <c r="AC524" s="97">
        <f>IF(AA524&gt;0,Ruimtestaat[[#This Row],[Prest. (m2 /jaar) weekend]]/Ruimtestaat[[#This Row],[Norm (m2/uur) weekend]],0)</f>
        <v>0</v>
      </c>
      <c r="AD524" s="155">
        <f>Ruimtestaat[[#This Row],[uren / jaar weekend]]*Tariefsopbouw!$D$40</f>
        <v>0</v>
      </c>
      <c r="AE524" s="154">
        <f>Ruimtestaat[[#This Row],[Prest. (m2 /jaar) weekend]]+Ruimtestaat[[#This Row],[Prest. (m2 /jaar) werkdagen]]</f>
        <v>6804</v>
      </c>
      <c r="AF524" s="154">
        <f>Ruimtestaat[[#This Row],[uren / jaar weekend]]+Ruimtestaat[[#This Row],[uren / jaar werkdagen]]</f>
        <v>0</v>
      </c>
      <c r="AG524" s="69">
        <f>Ruimtestaat[[#This Row],[kosten / jaar weekend]]+Ruimtestaat[[#This Row],[kosten / jaar werkdagen]]</f>
        <v>0</v>
      </c>
      <c r="AH524" s="69"/>
      <c r="AI524" s="256" t="str">
        <f>IF(Ruimtestaat[[#This Row],[Frequentie werkdagen]]="","",_xlfn.CONCAT(Ruimtestaat[[#This Row],[Ruimte code]],"-",Ruimtestaat[[#This Row],[Frequentie werkdagen]]," ",Ruimtestaat[[#This Row],[Vloer code]]))</f>
        <v>2-3w T</v>
      </c>
      <c r="AJ524" s="300" t="str">
        <f>_xlfn.IFNA(VLOOKUP($AI524,Programma!$F$3:$G$1107,2,0),"")</f>
        <v>2w</v>
      </c>
      <c r="AK524" s="300" t="str">
        <f>_xlfn.IFNA(VLOOKUP($AI524,Programma!$F$3:$H$1107,3,0),"")</f>
        <v>1w</v>
      </c>
      <c r="AL524" s="300" t="str">
        <f>_xlfn.IFNA(VLOOKUP($AI524,Programma!$F$3:$I$1107,4,0),"")</f>
        <v>_</v>
      </c>
      <c r="AM524" s="300" t="str">
        <f>_xlfn.IFNA(VLOOKUP($AI524,Programma!$F$3:$J$1107,5,0),"")</f>
        <v>_</v>
      </c>
      <c r="AN524" s="300" t="str">
        <f>_xlfn.IFNA(VLOOKUP($AI524,Programma!$F$3:$K$1107,6,0),"")</f>
        <v>_</v>
      </c>
      <c r="AO524" s="300" t="str">
        <f>_xlfn.IFNA(VLOOKUP($AI524,Programma!$F$3:$L$1107,7,0),"")</f>
        <v>_</v>
      </c>
      <c r="AP524" s="300" t="str">
        <f>_xlfn.IFNA(VLOOKUP($AI524,Programma!$F$3:$M$1107,8,0),"")</f>
        <v>_</v>
      </c>
      <c r="AQ524" s="300" t="str">
        <f>_xlfn.IFNA(VLOOKUP($AI524,Programma!$F$3:$N$1107,9,0),"")</f>
        <v>_</v>
      </c>
      <c r="AR524" s="300" t="str">
        <f>_xlfn.IFNA(VLOOKUP($AI524,Programma!$F$3:$O$1107,10,0),"")</f>
        <v>3w</v>
      </c>
      <c r="AS524" s="300" t="str">
        <f>_xlfn.IFNA(VLOOKUP($AI524,Programma!$F$3:$P$1107,11,0),"")</f>
        <v>3w</v>
      </c>
      <c r="AT524" s="300" t="str">
        <f>_xlfn.IFNA(VLOOKUP($AI524,Programma!$F$3:$Q$1107,12,0),"")</f>
        <v>1w</v>
      </c>
      <c r="AU524" s="300" t="str">
        <f>_xlfn.IFNA(VLOOKUP($AI524,Programma!$F$3:$R$1107,13,0),"")</f>
        <v>1w</v>
      </c>
      <c r="AV524" s="300" t="str">
        <f>_xlfn.IFNA(VLOOKUP($AI524,Programma!$F$3:$S$1107,14,0),"")</f>
        <v>1m</v>
      </c>
      <c r="AW524" s="300" t="str">
        <f>_xlfn.IFNA(VLOOKUP($AI524,Programma!$F$3:$T$1107,15,0),"")</f>
        <v>2j</v>
      </c>
      <c r="AX524" s="300" t="str">
        <f>_xlfn.IFNA(VLOOKUP($AI524,Programma!$F$3:$U$1107,16,0),"")</f>
        <v>1j</v>
      </c>
      <c r="AY524" s="300" t="str">
        <f>_xlfn.IFNA(VLOOKUP($AI524,Programma!$F$3:$V$1107,17,0),"")</f>
        <v>_</v>
      </c>
      <c r="AZ524" s="300" t="str">
        <f>_xlfn.IFNA(VLOOKUP($AI524,Programma!$F$3:$W$1107,18,0),"")</f>
        <v>_</v>
      </c>
      <c r="BA524" s="300" t="str">
        <f>_xlfn.IFNA(VLOOKUP($AI524,Programma!$F$3:$X$1107,19,0),"")</f>
        <v>_</v>
      </c>
      <c r="BB524" s="300" t="str">
        <f>_xlfn.IFNA(VLOOKUP($AI524,Programma!$F$3:$Y$1107,20,0),"")</f>
        <v>_</v>
      </c>
      <c r="BC524" s="257"/>
      <c r="BD524" s="256" t="str">
        <f>IF(Ruimtestaat[[#This Row],[Frequentie weekend]]="","",_xlfn.CONCAT(Ruimtestaat[[#This Row],[Ruimte code]],"-",Ruimtestaat[[#This Row],[Frequentie weekend]]," ",Ruimtestaat[[#This Row],[Vloer code]]))</f>
        <v/>
      </c>
      <c r="BE524" s="300" t="str">
        <f>_xlfn.IFNA(VLOOKUP($BD524,Programma!$F$3:$G$1107,2,0),"")</f>
        <v/>
      </c>
      <c r="BF524" s="300" t="str">
        <f>_xlfn.IFNA(VLOOKUP($BD524,Programma!$F$3:$H$1107,3,0),"")</f>
        <v/>
      </c>
      <c r="BG524" s="300" t="str">
        <f>_xlfn.IFNA(VLOOKUP($BD524,Programma!$F$3:$I$1107,4,0),"")</f>
        <v/>
      </c>
      <c r="BH524" s="300" t="str">
        <f>_xlfn.IFNA(VLOOKUP($BD524,Programma!$F$3:$J$1107,5,0),"")</f>
        <v/>
      </c>
      <c r="BI524" s="300" t="str">
        <f>_xlfn.IFNA(VLOOKUP($BD524,Programma!$F$3:$K$1107,6,0),"")</f>
        <v/>
      </c>
      <c r="BJ524" s="300" t="str">
        <f>_xlfn.IFNA(VLOOKUP($BD524,Programma!$F$3:$L$1107,7,0),"")</f>
        <v/>
      </c>
      <c r="BK524" s="300" t="str">
        <f>_xlfn.IFNA(VLOOKUP($BD524,Programma!$F$3:$M$1107,8,0),"")</f>
        <v/>
      </c>
      <c r="BL524" s="300" t="str">
        <f>_xlfn.IFNA(VLOOKUP($BD524,Programma!$F$3:$N$1107,9,0),"")</f>
        <v/>
      </c>
      <c r="BM524" s="300" t="str">
        <f>_xlfn.IFNA(VLOOKUP($BD524,Programma!$F$3:$O$1107,10,0),"")</f>
        <v/>
      </c>
      <c r="BN524" s="300" t="str">
        <f>_xlfn.IFNA(VLOOKUP($BD524,Programma!$F$3:$P$1107,11,0),"")</f>
        <v/>
      </c>
      <c r="BO524" s="300" t="str">
        <f>_xlfn.IFNA(VLOOKUP($BD524,Programma!$F$3:$Q$1107,12,0),"")</f>
        <v/>
      </c>
      <c r="BP524" s="300" t="str">
        <f>_xlfn.IFNA(VLOOKUP($BD524,Programma!$F$3:$R$1107,13,0),"")</f>
        <v/>
      </c>
      <c r="BQ524" s="300" t="str">
        <f>_xlfn.IFNA(VLOOKUP($BD524,Programma!$F$3:$S$1107,14,0),"")</f>
        <v/>
      </c>
      <c r="BR524" s="300" t="str">
        <f>_xlfn.IFNA(VLOOKUP($BD524,Programma!$F$3:$T$1107,15,0),"")</f>
        <v/>
      </c>
      <c r="BS524" s="300" t="str">
        <f>_xlfn.IFNA(VLOOKUP($BD524,Programma!$F$3:$U$1107,16,0),"")</f>
        <v/>
      </c>
      <c r="BT524" s="300" t="str">
        <f>_xlfn.IFNA(VLOOKUP($BD524,Programma!$F$3:$V$1107,17,0),"")</f>
        <v/>
      </c>
      <c r="BU524" s="300" t="str">
        <f>_xlfn.IFNA(VLOOKUP($BD524,Programma!$F$3:$W$1107,18,0),"")</f>
        <v/>
      </c>
      <c r="BV524" s="300" t="str">
        <f>_xlfn.IFNA(VLOOKUP($BD524,Programma!$F$3:$X$1107,19,0),"")</f>
        <v/>
      </c>
      <c r="BW524" s="300" t="str">
        <f>_xlfn.IFNA(VLOOKUP($BD524,Programma!$F$3:$Y$1107,20,0),"")</f>
        <v/>
      </c>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c r="GK524" s="4"/>
      <c r="GL524" s="4"/>
      <c r="GM524" s="4"/>
      <c r="GN524" s="4"/>
      <c r="GO524" s="4"/>
      <c r="GP524" s="4"/>
      <c r="GQ524" s="4"/>
      <c r="GR524" s="4"/>
      <c r="GS524" s="4"/>
      <c r="GT524" s="4"/>
      <c r="GU524" s="4"/>
      <c r="GV524" s="4"/>
      <c r="GW524" s="4"/>
      <c r="GX524" s="4"/>
      <c r="GY524" s="4"/>
      <c r="GZ524" s="4"/>
      <c r="HA524" s="4"/>
      <c r="HB524" s="4"/>
      <c r="HC524" s="4"/>
      <c r="HD524" s="4"/>
      <c r="HE524" s="4"/>
      <c r="HF524" s="4"/>
      <c r="HG524" s="4"/>
      <c r="HH524" s="4"/>
      <c r="HI524" s="4"/>
      <c r="HJ524" s="4"/>
      <c r="HK524" s="4"/>
      <c r="HL524" s="4"/>
    </row>
    <row r="525" spans="1:220" ht="15" customHeight="1">
      <c r="A525" s="21">
        <v>6</v>
      </c>
      <c r="B525" s="157" t="str">
        <f>VLOOKUP(Ruimtestaat[[#This Row],[Code]],Locaties[[Code]:[Locatie]],2,FALSE)</f>
        <v>Veurs Lyceum</v>
      </c>
      <c r="C525" s="157" t="str">
        <f>VLOOKUP(Ruimtestaat[[#This Row],[Code]],Locaties[[#All],[Code]:[Adres]],4,FALSE)</f>
        <v>Burg. Kolfschotenlaan 5</v>
      </c>
      <c r="D525" s="157" t="str">
        <f>VLOOKUP(Ruimtestaat[[#This Row],[Code]],Locaties[[#All],[Code]:[Postcode]],5,FALSE)</f>
        <v xml:space="preserve">2262 EZ </v>
      </c>
      <c r="E525" s="157" t="str">
        <f>VLOOKUP(Ruimtestaat[[#This Row],[Code]],Locaties[#All],6,FALSE)</f>
        <v>Leidschendam</v>
      </c>
      <c r="F525" s="62"/>
      <c r="G525" s="21" t="s">
        <v>1706</v>
      </c>
      <c r="H525" s="21" t="s">
        <v>1713</v>
      </c>
      <c r="I525" s="62" t="s">
        <v>1631</v>
      </c>
      <c r="J525" s="21">
        <v>2</v>
      </c>
      <c r="K525" s="62" t="str">
        <f>VLOOKUP(Ruimtestaat[[#This Row],[Ruimte code]],Ruimtegroepen[[#All],[Code]:[Ruimte omschrijving]],2,FALSE)</f>
        <v>Kantoren</v>
      </c>
      <c r="L525" s="33" t="s">
        <v>100</v>
      </c>
      <c r="M525" s="367" t="s">
        <v>2493</v>
      </c>
      <c r="N525" s="140">
        <v>54</v>
      </c>
      <c r="O525" s="140"/>
      <c r="P525" s="125" t="str">
        <f>VLOOKUP(Ruimtestaat[[#This Row],[Ruimte code]],Ruimtegroepen[],4,FALSE)</f>
        <v>Bu</v>
      </c>
      <c r="R525" s="33">
        <v>42</v>
      </c>
      <c r="S525" s="33" t="s">
        <v>18</v>
      </c>
      <c r="T525" s="33">
        <f>IF(R525&gt;0,IF(RIGHT(Ruimtestaat[[#This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25" s="33">
        <f>IF(T525&gt;0,VLOOKUP($J525,Ruimtegroepen[],3,FALSE)*VLOOKUP($L525,Vloersoorten[],3,FALSE)*VLOOKUP($S525,Frequenties[],3,FALSE)*VLOOKUP($A525,Locaties[],3,FALSE),0)</f>
        <v>0</v>
      </c>
      <c r="V525" s="33">
        <f>Ruimtestaat[[#This Row],[Uitvoeringen werkdagen]]*Ruimtestaat[[#This Row],[Oppervlak (netto)]]</f>
        <v>6804</v>
      </c>
      <c r="W525" s="154">
        <f>IF(U525&gt;0,Ruimtestaat[[#This Row],[Prest. (m2 /jaar) werkdagen]]/Ruimtestaat[[#This Row],[Norm (m2/uur) werkdagen]],0)</f>
        <v>0</v>
      </c>
      <c r="X525" s="155">
        <f>Ruimtestaat[[#This Row],[uren / jaar werkdagen]]*Tariefsopbouw!$E$35</f>
        <v>0</v>
      </c>
      <c r="Y525" s="33"/>
      <c r="Z525" s="33">
        <f>IF(Ruimtestaat[[#This Row],[Frequentie weekend]]&gt;0,VALUE(LEFT(Y525,1))*R525,0)</f>
        <v>0</v>
      </c>
      <c r="AA525" s="97">
        <f>IF($Z525&gt;0,VLOOKUP($J525,Ruimtegroepen[],3,FALSE)*VLOOKUP($L525,Vloersoorten[],3,FALSE)*VLOOKUP($Y525,Frequenties[],3,FALSE)*VLOOKUP(Ruimtestaat[[#This Row],[Code]],Locaties[],3,FALSE),0)</f>
        <v>0</v>
      </c>
      <c r="AB525" s="97">
        <f>Ruimtestaat[[#This Row],[Uitvoeringen weekend]]*Ruimtestaat[[#This Row],[Oppervlak (netto)]]</f>
        <v>0</v>
      </c>
      <c r="AC525" s="97">
        <f>IF(AA525&gt;0,Ruimtestaat[[#This Row],[Prest. (m2 /jaar) weekend]]/Ruimtestaat[[#This Row],[Norm (m2/uur) weekend]],0)</f>
        <v>0</v>
      </c>
      <c r="AD525" s="155">
        <f>Ruimtestaat[[#This Row],[uren / jaar weekend]]*Tariefsopbouw!$D$40</f>
        <v>0</v>
      </c>
      <c r="AE525" s="154">
        <f>Ruimtestaat[[#This Row],[Prest. (m2 /jaar) weekend]]+Ruimtestaat[[#This Row],[Prest. (m2 /jaar) werkdagen]]</f>
        <v>6804</v>
      </c>
      <c r="AF525" s="154">
        <f>Ruimtestaat[[#This Row],[uren / jaar weekend]]+Ruimtestaat[[#This Row],[uren / jaar werkdagen]]</f>
        <v>0</v>
      </c>
      <c r="AG525" s="69">
        <f>Ruimtestaat[[#This Row],[kosten / jaar weekend]]+Ruimtestaat[[#This Row],[kosten / jaar werkdagen]]</f>
        <v>0</v>
      </c>
      <c r="AH525" s="69"/>
      <c r="AI525" s="256" t="str">
        <f>IF(Ruimtestaat[[#This Row],[Frequentie werkdagen]]="","",_xlfn.CONCAT(Ruimtestaat[[#This Row],[Ruimte code]],"-",Ruimtestaat[[#This Row],[Frequentie werkdagen]]," ",Ruimtestaat[[#This Row],[Vloer code]]))</f>
        <v>2-3w T</v>
      </c>
      <c r="AJ525" s="300" t="str">
        <f>_xlfn.IFNA(VLOOKUP($AI525,Programma!$F$3:$G$1107,2,0),"")</f>
        <v>2w</v>
      </c>
      <c r="AK525" s="300" t="str">
        <f>_xlfn.IFNA(VLOOKUP($AI525,Programma!$F$3:$H$1107,3,0),"")</f>
        <v>1w</v>
      </c>
      <c r="AL525" s="300" t="str">
        <f>_xlfn.IFNA(VLOOKUP($AI525,Programma!$F$3:$I$1107,4,0),"")</f>
        <v>_</v>
      </c>
      <c r="AM525" s="300" t="str">
        <f>_xlfn.IFNA(VLOOKUP($AI525,Programma!$F$3:$J$1107,5,0),"")</f>
        <v>_</v>
      </c>
      <c r="AN525" s="300" t="str">
        <f>_xlfn.IFNA(VLOOKUP($AI525,Programma!$F$3:$K$1107,6,0),"")</f>
        <v>_</v>
      </c>
      <c r="AO525" s="300" t="str">
        <f>_xlfn.IFNA(VLOOKUP($AI525,Programma!$F$3:$L$1107,7,0),"")</f>
        <v>_</v>
      </c>
      <c r="AP525" s="300" t="str">
        <f>_xlfn.IFNA(VLOOKUP($AI525,Programma!$F$3:$M$1107,8,0),"")</f>
        <v>_</v>
      </c>
      <c r="AQ525" s="300" t="str">
        <f>_xlfn.IFNA(VLOOKUP($AI525,Programma!$F$3:$N$1107,9,0),"")</f>
        <v>_</v>
      </c>
      <c r="AR525" s="300" t="str">
        <f>_xlfn.IFNA(VLOOKUP($AI525,Programma!$F$3:$O$1107,10,0),"")</f>
        <v>3w</v>
      </c>
      <c r="AS525" s="300" t="str">
        <f>_xlfn.IFNA(VLOOKUP($AI525,Programma!$F$3:$P$1107,11,0),"")</f>
        <v>3w</v>
      </c>
      <c r="AT525" s="300" t="str">
        <f>_xlfn.IFNA(VLOOKUP($AI525,Programma!$F$3:$Q$1107,12,0),"")</f>
        <v>1w</v>
      </c>
      <c r="AU525" s="300" t="str">
        <f>_xlfn.IFNA(VLOOKUP($AI525,Programma!$F$3:$R$1107,13,0),"")</f>
        <v>1w</v>
      </c>
      <c r="AV525" s="300" t="str">
        <f>_xlfn.IFNA(VLOOKUP($AI525,Programma!$F$3:$S$1107,14,0),"")</f>
        <v>1m</v>
      </c>
      <c r="AW525" s="300" t="str">
        <f>_xlfn.IFNA(VLOOKUP($AI525,Programma!$F$3:$T$1107,15,0),"")</f>
        <v>2j</v>
      </c>
      <c r="AX525" s="300" t="str">
        <f>_xlfn.IFNA(VLOOKUP($AI525,Programma!$F$3:$U$1107,16,0),"")</f>
        <v>1j</v>
      </c>
      <c r="AY525" s="300" t="str">
        <f>_xlfn.IFNA(VLOOKUP($AI525,Programma!$F$3:$V$1107,17,0),"")</f>
        <v>_</v>
      </c>
      <c r="AZ525" s="300" t="str">
        <f>_xlfn.IFNA(VLOOKUP($AI525,Programma!$F$3:$W$1107,18,0),"")</f>
        <v>_</v>
      </c>
      <c r="BA525" s="300" t="str">
        <f>_xlfn.IFNA(VLOOKUP($AI525,Programma!$F$3:$X$1107,19,0),"")</f>
        <v>_</v>
      </c>
      <c r="BB525" s="300" t="str">
        <f>_xlfn.IFNA(VLOOKUP($AI525,Programma!$F$3:$Y$1107,20,0),"")</f>
        <v>_</v>
      </c>
      <c r="BC525" s="257"/>
      <c r="BD525" s="256" t="str">
        <f>IF(Ruimtestaat[[#This Row],[Frequentie weekend]]="","",_xlfn.CONCAT(Ruimtestaat[[#This Row],[Ruimte code]],"-",Ruimtestaat[[#This Row],[Frequentie weekend]]," ",Ruimtestaat[[#This Row],[Vloer code]]))</f>
        <v/>
      </c>
      <c r="BE525" s="300" t="str">
        <f>_xlfn.IFNA(VLOOKUP($BD525,Programma!$F$3:$G$1107,2,0),"")</f>
        <v/>
      </c>
      <c r="BF525" s="300" t="str">
        <f>_xlfn.IFNA(VLOOKUP($BD525,Programma!$F$3:$H$1107,3,0),"")</f>
        <v/>
      </c>
      <c r="BG525" s="300" t="str">
        <f>_xlfn.IFNA(VLOOKUP($BD525,Programma!$F$3:$I$1107,4,0),"")</f>
        <v/>
      </c>
      <c r="BH525" s="300" t="str">
        <f>_xlfn.IFNA(VLOOKUP($BD525,Programma!$F$3:$J$1107,5,0),"")</f>
        <v/>
      </c>
      <c r="BI525" s="300" t="str">
        <f>_xlfn.IFNA(VLOOKUP($BD525,Programma!$F$3:$K$1107,6,0),"")</f>
        <v/>
      </c>
      <c r="BJ525" s="300" t="str">
        <f>_xlfn.IFNA(VLOOKUP($BD525,Programma!$F$3:$L$1107,7,0),"")</f>
        <v/>
      </c>
      <c r="BK525" s="300" t="str">
        <f>_xlfn.IFNA(VLOOKUP($BD525,Programma!$F$3:$M$1107,8,0),"")</f>
        <v/>
      </c>
      <c r="BL525" s="300" t="str">
        <f>_xlfn.IFNA(VLOOKUP($BD525,Programma!$F$3:$N$1107,9,0),"")</f>
        <v/>
      </c>
      <c r="BM525" s="300" t="str">
        <f>_xlfn.IFNA(VLOOKUP($BD525,Programma!$F$3:$O$1107,10,0),"")</f>
        <v/>
      </c>
      <c r="BN525" s="300" t="str">
        <f>_xlfn.IFNA(VLOOKUP($BD525,Programma!$F$3:$P$1107,11,0),"")</f>
        <v/>
      </c>
      <c r="BO525" s="300" t="str">
        <f>_xlfn.IFNA(VLOOKUP($BD525,Programma!$F$3:$Q$1107,12,0),"")</f>
        <v/>
      </c>
      <c r="BP525" s="300" t="str">
        <f>_xlfn.IFNA(VLOOKUP($BD525,Programma!$F$3:$R$1107,13,0),"")</f>
        <v/>
      </c>
      <c r="BQ525" s="300" t="str">
        <f>_xlfn.IFNA(VLOOKUP($BD525,Programma!$F$3:$S$1107,14,0),"")</f>
        <v/>
      </c>
      <c r="BR525" s="300" t="str">
        <f>_xlfn.IFNA(VLOOKUP($BD525,Programma!$F$3:$T$1107,15,0),"")</f>
        <v/>
      </c>
      <c r="BS525" s="300" t="str">
        <f>_xlfn.IFNA(VLOOKUP($BD525,Programma!$F$3:$U$1107,16,0),"")</f>
        <v/>
      </c>
      <c r="BT525" s="300" t="str">
        <f>_xlfn.IFNA(VLOOKUP($BD525,Programma!$F$3:$V$1107,17,0),"")</f>
        <v/>
      </c>
      <c r="BU525" s="300" t="str">
        <f>_xlfn.IFNA(VLOOKUP($BD525,Programma!$F$3:$W$1107,18,0),"")</f>
        <v/>
      </c>
      <c r="BV525" s="300" t="str">
        <f>_xlfn.IFNA(VLOOKUP($BD525,Programma!$F$3:$X$1107,19,0),"")</f>
        <v/>
      </c>
      <c r="BW525" s="300" t="str">
        <f>_xlfn.IFNA(VLOOKUP($BD525,Programma!$F$3:$Y$1107,20,0),"")</f>
        <v/>
      </c>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c r="GK525" s="4"/>
      <c r="GL525" s="4"/>
      <c r="GM525" s="4"/>
      <c r="GN525" s="4"/>
      <c r="GO525" s="4"/>
      <c r="GP525" s="4"/>
      <c r="GQ525" s="4"/>
      <c r="GR525" s="4"/>
      <c r="GS525" s="4"/>
      <c r="GT525" s="4"/>
      <c r="GU525" s="4"/>
      <c r="GV525" s="4"/>
      <c r="GW525" s="4"/>
      <c r="GX525" s="4"/>
      <c r="GY525" s="4"/>
      <c r="GZ525" s="4"/>
      <c r="HA525" s="4"/>
      <c r="HB525" s="4"/>
      <c r="HC525" s="4"/>
      <c r="HD525" s="4"/>
      <c r="HE525" s="4"/>
      <c r="HF525" s="4"/>
      <c r="HG525" s="4"/>
      <c r="HH525" s="4"/>
      <c r="HI525" s="4"/>
      <c r="HJ525" s="4"/>
      <c r="HK525" s="4"/>
      <c r="HL525" s="4"/>
    </row>
    <row r="526" spans="1:220" ht="15" customHeight="1">
      <c r="A526" s="21">
        <v>6</v>
      </c>
      <c r="B526" s="157" t="str">
        <f>VLOOKUP(Ruimtestaat[[#This Row],[Code]],Locaties[[Code]:[Locatie]],2,FALSE)</f>
        <v>Veurs Lyceum</v>
      </c>
      <c r="C526" s="157" t="str">
        <f>VLOOKUP(Ruimtestaat[[#This Row],[Code]],Locaties[[#All],[Code]:[Adres]],4,FALSE)</f>
        <v>Burg. Kolfschotenlaan 5</v>
      </c>
      <c r="D526" s="157" t="str">
        <f>VLOOKUP(Ruimtestaat[[#This Row],[Code]],Locaties[[#All],[Code]:[Postcode]],5,FALSE)</f>
        <v xml:space="preserve">2262 EZ </v>
      </c>
      <c r="E526" s="157" t="str">
        <f>VLOOKUP(Ruimtestaat[[#This Row],[Code]],Locaties[#All],6,FALSE)</f>
        <v>Leidschendam</v>
      </c>
      <c r="F526" s="62"/>
      <c r="G526" s="21" t="s">
        <v>1706</v>
      </c>
      <c r="H526" s="21" t="s">
        <v>1714</v>
      </c>
      <c r="I526" s="62" t="s">
        <v>1631</v>
      </c>
      <c r="J526" s="21">
        <v>2</v>
      </c>
      <c r="K526" s="62" t="str">
        <f>VLOOKUP(Ruimtestaat[[#This Row],[Ruimte code]],Ruimtegroepen[[#All],[Code]:[Ruimte omschrijving]],2,FALSE)</f>
        <v>Kantoren</v>
      </c>
      <c r="L526" s="33" t="s">
        <v>100</v>
      </c>
      <c r="M526" s="367" t="s">
        <v>2493</v>
      </c>
      <c r="N526" s="140">
        <v>54</v>
      </c>
      <c r="O526" s="140"/>
      <c r="P526" s="125" t="str">
        <f>VLOOKUP(Ruimtestaat[[#This Row],[Ruimte code]],Ruimtegroepen[],4,FALSE)</f>
        <v>Bu</v>
      </c>
      <c r="R526" s="33">
        <v>42</v>
      </c>
      <c r="S526" s="33" t="s">
        <v>18</v>
      </c>
      <c r="T526" s="33">
        <f>IF(R526&gt;0,IF(RIGHT(Ruimtestaat[[#This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26" s="33">
        <f>IF(T526&gt;0,VLOOKUP($J526,Ruimtegroepen[],3,FALSE)*VLOOKUP($L526,Vloersoorten[],3,FALSE)*VLOOKUP($S526,Frequenties[],3,FALSE)*VLOOKUP($A526,Locaties[],3,FALSE),0)</f>
        <v>0</v>
      </c>
      <c r="V526" s="33">
        <f>Ruimtestaat[[#This Row],[Uitvoeringen werkdagen]]*Ruimtestaat[[#This Row],[Oppervlak (netto)]]</f>
        <v>6804</v>
      </c>
      <c r="W526" s="154">
        <f>IF(U526&gt;0,Ruimtestaat[[#This Row],[Prest. (m2 /jaar) werkdagen]]/Ruimtestaat[[#This Row],[Norm (m2/uur) werkdagen]],0)</f>
        <v>0</v>
      </c>
      <c r="X526" s="155">
        <f>Ruimtestaat[[#This Row],[uren / jaar werkdagen]]*Tariefsopbouw!$E$35</f>
        <v>0</v>
      </c>
      <c r="Y526" s="33"/>
      <c r="Z526" s="33">
        <f>IF(Ruimtestaat[[#This Row],[Frequentie weekend]]&gt;0,VALUE(LEFT(Y526,1))*R526,0)</f>
        <v>0</v>
      </c>
      <c r="AA526" s="97">
        <f>IF($Z526&gt;0,VLOOKUP($J526,Ruimtegroepen[],3,FALSE)*VLOOKUP($L526,Vloersoorten[],3,FALSE)*VLOOKUP($Y526,Frequenties[],3,FALSE)*VLOOKUP(Ruimtestaat[[#This Row],[Code]],Locaties[],3,FALSE),0)</f>
        <v>0</v>
      </c>
      <c r="AB526" s="97">
        <f>Ruimtestaat[[#This Row],[Uitvoeringen weekend]]*Ruimtestaat[[#This Row],[Oppervlak (netto)]]</f>
        <v>0</v>
      </c>
      <c r="AC526" s="97">
        <f>IF(AA526&gt;0,Ruimtestaat[[#This Row],[Prest. (m2 /jaar) weekend]]/Ruimtestaat[[#This Row],[Norm (m2/uur) weekend]],0)</f>
        <v>0</v>
      </c>
      <c r="AD526" s="155">
        <f>Ruimtestaat[[#This Row],[uren / jaar weekend]]*Tariefsopbouw!$D$40</f>
        <v>0</v>
      </c>
      <c r="AE526" s="154">
        <f>Ruimtestaat[[#This Row],[Prest. (m2 /jaar) weekend]]+Ruimtestaat[[#This Row],[Prest. (m2 /jaar) werkdagen]]</f>
        <v>6804</v>
      </c>
      <c r="AF526" s="154">
        <f>Ruimtestaat[[#This Row],[uren / jaar weekend]]+Ruimtestaat[[#This Row],[uren / jaar werkdagen]]</f>
        <v>0</v>
      </c>
      <c r="AG526" s="69">
        <f>Ruimtestaat[[#This Row],[kosten / jaar weekend]]+Ruimtestaat[[#This Row],[kosten / jaar werkdagen]]</f>
        <v>0</v>
      </c>
      <c r="AH526" s="69"/>
      <c r="AI526" s="256" t="str">
        <f>IF(Ruimtestaat[[#This Row],[Frequentie werkdagen]]="","",_xlfn.CONCAT(Ruimtestaat[[#This Row],[Ruimte code]],"-",Ruimtestaat[[#This Row],[Frequentie werkdagen]]," ",Ruimtestaat[[#This Row],[Vloer code]]))</f>
        <v>2-3w T</v>
      </c>
      <c r="AJ526" s="300" t="str">
        <f>_xlfn.IFNA(VLOOKUP($AI526,Programma!$F$3:$G$1107,2,0),"")</f>
        <v>2w</v>
      </c>
      <c r="AK526" s="300" t="str">
        <f>_xlfn.IFNA(VLOOKUP($AI526,Programma!$F$3:$H$1107,3,0),"")</f>
        <v>1w</v>
      </c>
      <c r="AL526" s="300" t="str">
        <f>_xlfn.IFNA(VLOOKUP($AI526,Programma!$F$3:$I$1107,4,0),"")</f>
        <v>_</v>
      </c>
      <c r="AM526" s="300" t="str">
        <f>_xlfn.IFNA(VLOOKUP($AI526,Programma!$F$3:$J$1107,5,0),"")</f>
        <v>_</v>
      </c>
      <c r="AN526" s="300" t="str">
        <f>_xlfn.IFNA(VLOOKUP($AI526,Programma!$F$3:$K$1107,6,0),"")</f>
        <v>_</v>
      </c>
      <c r="AO526" s="300" t="str">
        <f>_xlfn.IFNA(VLOOKUP($AI526,Programma!$F$3:$L$1107,7,0),"")</f>
        <v>_</v>
      </c>
      <c r="AP526" s="300" t="str">
        <f>_xlfn.IFNA(VLOOKUP($AI526,Programma!$F$3:$M$1107,8,0),"")</f>
        <v>_</v>
      </c>
      <c r="AQ526" s="300" t="str">
        <f>_xlfn.IFNA(VLOOKUP($AI526,Programma!$F$3:$N$1107,9,0),"")</f>
        <v>_</v>
      </c>
      <c r="AR526" s="300" t="str">
        <f>_xlfn.IFNA(VLOOKUP($AI526,Programma!$F$3:$O$1107,10,0),"")</f>
        <v>3w</v>
      </c>
      <c r="AS526" s="300" t="str">
        <f>_xlfn.IFNA(VLOOKUP($AI526,Programma!$F$3:$P$1107,11,0),"")</f>
        <v>3w</v>
      </c>
      <c r="AT526" s="300" t="str">
        <f>_xlfn.IFNA(VLOOKUP($AI526,Programma!$F$3:$Q$1107,12,0),"")</f>
        <v>1w</v>
      </c>
      <c r="AU526" s="300" t="str">
        <f>_xlfn.IFNA(VLOOKUP($AI526,Programma!$F$3:$R$1107,13,0),"")</f>
        <v>1w</v>
      </c>
      <c r="AV526" s="300" t="str">
        <f>_xlfn.IFNA(VLOOKUP($AI526,Programma!$F$3:$S$1107,14,0),"")</f>
        <v>1m</v>
      </c>
      <c r="AW526" s="300" t="str">
        <f>_xlfn.IFNA(VLOOKUP($AI526,Programma!$F$3:$T$1107,15,0),"")</f>
        <v>2j</v>
      </c>
      <c r="AX526" s="300" t="str">
        <f>_xlfn.IFNA(VLOOKUP($AI526,Programma!$F$3:$U$1107,16,0),"")</f>
        <v>1j</v>
      </c>
      <c r="AY526" s="300" t="str">
        <f>_xlfn.IFNA(VLOOKUP($AI526,Programma!$F$3:$V$1107,17,0),"")</f>
        <v>_</v>
      </c>
      <c r="AZ526" s="300" t="str">
        <f>_xlfn.IFNA(VLOOKUP($AI526,Programma!$F$3:$W$1107,18,0),"")</f>
        <v>_</v>
      </c>
      <c r="BA526" s="300" t="str">
        <f>_xlfn.IFNA(VLOOKUP($AI526,Programma!$F$3:$X$1107,19,0),"")</f>
        <v>_</v>
      </c>
      <c r="BB526" s="300" t="str">
        <f>_xlfn.IFNA(VLOOKUP($AI526,Programma!$F$3:$Y$1107,20,0),"")</f>
        <v>_</v>
      </c>
      <c r="BC526" s="257"/>
      <c r="BD526" s="256" t="str">
        <f>IF(Ruimtestaat[[#This Row],[Frequentie weekend]]="","",_xlfn.CONCAT(Ruimtestaat[[#This Row],[Ruimte code]],"-",Ruimtestaat[[#This Row],[Frequentie weekend]]," ",Ruimtestaat[[#This Row],[Vloer code]]))</f>
        <v/>
      </c>
      <c r="BE526" s="300" t="str">
        <f>_xlfn.IFNA(VLOOKUP($BD526,Programma!$F$3:$G$1107,2,0),"")</f>
        <v/>
      </c>
      <c r="BF526" s="300" t="str">
        <f>_xlfn.IFNA(VLOOKUP($BD526,Programma!$F$3:$H$1107,3,0),"")</f>
        <v/>
      </c>
      <c r="BG526" s="300" t="str">
        <f>_xlfn.IFNA(VLOOKUP($BD526,Programma!$F$3:$I$1107,4,0),"")</f>
        <v/>
      </c>
      <c r="BH526" s="300" t="str">
        <f>_xlfn.IFNA(VLOOKUP($BD526,Programma!$F$3:$J$1107,5,0),"")</f>
        <v/>
      </c>
      <c r="BI526" s="300" t="str">
        <f>_xlfn.IFNA(VLOOKUP($BD526,Programma!$F$3:$K$1107,6,0),"")</f>
        <v/>
      </c>
      <c r="BJ526" s="300" t="str">
        <f>_xlfn.IFNA(VLOOKUP($BD526,Programma!$F$3:$L$1107,7,0),"")</f>
        <v/>
      </c>
      <c r="BK526" s="300" t="str">
        <f>_xlfn.IFNA(VLOOKUP($BD526,Programma!$F$3:$M$1107,8,0),"")</f>
        <v/>
      </c>
      <c r="BL526" s="300" t="str">
        <f>_xlfn.IFNA(VLOOKUP($BD526,Programma!$F$3:$N$1107,9,0),"")</f>
        <v/>
      </c>
      <c r="BM526" s="300" t="str">
        <f>_xlfn.IFNA(VLOOKUP($BD526,Programma!$F$3:$O$1107,10,0),"")</f>
        <v/>
      </c>
      <c r="BN526" s="300" t="str">
        <f>_xlfn.IFNA(VLOOKUP($BD526,Programma!$F$3:$P$1107,11,0),"")</f>
        <v/>
      </c>
      <c r="BO526" s="300" t="str">
        <f>_xlfn.IFNA(VLOOKUP($BD526,Programma!$F$3:$Q$1107,12,0),"")</f>
        <v/>
      </c>
      <c r="BP526" s="300" t="str">
        <f>_xlfn.IFNA(VLOOKUP($BD526,Programma!$F$3:$R$1107,13,0),"")</f>
        <v/>
      </c>
      <c r="BQ526" s="300" t="str">
        <f>_xlfn.IFNA(VLOOKUP($BD526,Programma!$F$3:$S$1107,14,0),"")</f>
        <v/>
      </c>
      <c r="BR526" s="300" t="str">
        <f>_xlfn.IFNA(VLOOKUP($BD526,Programma!$F$3:$T$1107,15,0),"")</f>
        <v/>
      </c>
      <c r="BS526" s="300" t="str">
        <f>_xlfn.IFNA(VLOOKUP($BD526,Programma!$F$3:$U$1107,16,0),"")</f>
        <v/>
      </c>
      <c r="BT526" s="300" t="str">
        <f>_xlfn.IFNA(VLOOKUP($BD526,Programma!$F$3:$V$1107,17,0),"")</f>
        <v/>
      </c>
      <c r="BU526" s="300" t="str">
        <f>_xlfn.IFNA(VLOOKUP($BD526,Programma!$F$3:$W$1107,18,0),"")</f>
        <v/>
      </c>
      <c r="BV526" s="300" t="str">
        <f>_xlfn.IFNA(VLOOKUP($BD526,Programma!$F$3:$X$1107,19,0),"")</f>
        <v/>
      </c>
      <c r="BW526" s="300" t="str">
        <f>_xlfn.IFNA(VLOOKUP($BD526,Programma!$F$3:$Y$1107,20,0),"")</f>
        <v/>
      </c>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c r="GK526" s="4"/>
      <c r="GL526" s="4"/>
      <c r="GM526" s="4"/>
      <c r="GN526" s="4"/>
      <c r="GO526" s="4"/>
      <c r="GP526" s="4"/>
      <c r="GQ526" s="4"/>
      <c r="GR526" s="4"/>
      <c r="GS526" s="4"/>
      <c r="GT526" s="4"/>
      <c r="GU526" s="4"/>
      <c r="GV526" s="4"/>
      <c r="GW526" s="4"/>
      <c r="GX526" s="4"/>
      <c r="GY526" s="4"/>
      <c r="GZ526" s="4"/>
      <c r="HA526" s="4"/>
      <c r="HB526" s="4"/>
      <c r="HC526" s="4"/>
      <c r="HD526" s="4"/>
      <c r="HE526" s="4"/>
      <c r="HF526" s="4"/>
      <c r="HG526" s="4"/>
      <c r="HH526" s="4"/>
      <c r="HI526" s="4"/>
      <c r="HJ526" s="4"/>
      <c r="HK526" s="4"/>
      <c r="HL526" s="4"/>
    </row>
    <row r="527" spans="1:220" ht="15" customHeight="1">
      <c r="A527" s="21">
        <v>6</v>
      </c>
      <c r="B527" s="157" t="str">
        <f>VLOOKUP(Ruimtestaat[[#This Row],[Code]],Locaties[[Code]:[Locatie]],2,FALSE)</f>
        <v>Veurs Lyceum</v>
      </c>
      <c r="C527" s="157" t="str">
        <f>VLOOKUP(Ruimtestaat[[#This Row],[Code]],Locaties[[#All],[Code]:[Adres]],4,FALSE)</f>
        <v>Burg. Kolfschotenlaan 5</v>
      </c>
      <c r="D527" s="157" t="str">
        <f>VLOOKUP(Ruimtestaat[[#This Row],[Code]],Locaties[[#All],[Code]:[Postcode]],5,FALSE)</f>
        <v xml:space="preserve">2262 EZ </v>
      </c>
      <c r="E527" s="157" t="str">
        <f>VLOOKUP(Ruimtestaat[[#This Row],[Code]],Locaties[#All],6,FALSE)</f>
        <v>Leidschendam</v>
      </c>
      <c r="F527" s="62"/>
      <c r="G527" s="21" t="s">
        <v>1706</v>
      </c>
      <c r="H527" s="21" t="s">
        <v>1715</v>
      </c>
      <c r="I527" s="62" t="s">
        <v>1631</v>
      </c>
      <c r="J527" s="21">
        <v>2</v>
      </c>
      <c r="K527" s="62" t="str">
        <f>VLOOKUP(Ruimtestaat[[#This Row],[Ruimte code]],Ruimtegroepen[[#All],[Code]:[Ruimte omschrijving]],2,FALSE)</f>
        <v>Kantoren</v>
      </c>
      <c r="L527" s="33" t="s">
        <v>100</v>
      </c>
      <c r="M527" s="367" t="s">
        <v>2493</v>
      </c>
      <c r="N527" s="140">
        <v>54</v>
      </c>
      <c r="O527" s="140"/>
      <c r="P527" s="125" t="str">
        <f>VLOOKUP(Ruimtestaat[[#This Row],[Ruimte code]],Ruimtegroepen[],4,FALSE)</f>
        <v>Bu</v>
      </c>
      <c r="R527" s="33">
        <v>42</v>
      </c>
      <c r="S527" s="33" t="s">
        <v>18</v>
      </c>
      <c r="T527" s="33">
        <f>IF(R527&gt;0,IF(RIGHT(Ruimtestaat[[#This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27" s="33">
        <f>IF(T527&gt;0,VLOOKUP($J527,Ruimtegroepen[],3,FALSE)*VLOOKUP($L527,Vloersoorten[],3,FALSE)*VLOOKUP($S527,Frequenties[],3,FALSE)*VLOOKUP($A527,Locaties[],3,FALSE),0)</f>
        <v>0</v>
      </c>
      <c r="V527" s="33">
        <f>Ruimtestaat[[#This Row],[Uitvoeringen werkdagen]]*Ruimtestaat[[#This Row],[Oppervlak (netto)]]</f>
        <v>6804</v>
      </c>
      <c r="W527" s="154">
        <f>IF(U527&gt;0,Ruimtestaat[[#This Row],[Prest. (m2 /jaar) werkdagen]]/Ruimtestaat[[#This Row],[Norm (m2/uur) werkdagen]],0)</f>
        <v>0</v>
      </c>
      <c r="X527" s="155">
        <f>Ruimtestaat[[#This Row],[uren / jaar werkdagen]]*Tariefsopbouw!$E$35</f>
        <v>0</v>
      </c>
      <c r="Y527" s="33"/>
      <c r="Z527" s="33">
        <f>IF(Ruimtestaat[[#This Row],[Frequentie weekend]]&gt;0,VALUE(LEFT(Y527,1))*R527,0)</f>
        <v>0</v>
      </c>
      <c r="AA527" s="97">
        <f>IF($Z527&gt;0,VLOOKUP($J527,Ruimtegroepen[],3,FALSE)*VLOOKUP($L527,Vloersoorten[],3,FALSE)*VLOOKUP($Y527,Frequenties[],3,FALSE)*VLOOKUP(Ruimtestaat[[#This Row],[Code]],Locaties[],3,FALSE),0)</f>
        <v>0</v>
      </c>
      <c r="AB527" s="97">
        <f>Ruimtestaat[[#This Row],[Uitvoeringen weekend]]*Ruimtestaat[[#This Row],[Oppervlak (netto)]]</f>
        <v>0</v>
      </c>
      <c r="AC527" s="97">
        <f>IF(AA527&gt;0,Ruimtestaat[[#This Row],[Prest. (m2 /jaar) weekend]]/Ruimtestaat[[#This Row],[Norm (m2/uur) weekend]],0)</f>
        <v>0</v>
      </c>
      <c r="AD527" s="155">
        <f>Ruimtestaat[[#This Row],[uren / jaar weekend]]*Tariefsopbouw!$D$40</f>
        <v>0</v>
      </c>
      <c r="AE527" s="154">
        <f>Ruimtestaat[[#This Row],[Prest. (m2 /jaar) weekend]]+Ruimtestaat[[#This Row],[Prest. (m2 /jaar) werkdagen]]</f>
        <v>6804</v>
      </c>
      <c r="AF527" s="154">
        <f>Ruimtestaat[[#This Row],[uren / jaar weekend]]+Ruimtestaat[[#This Row],[uren / jaar werkdagen]]</f>
        <v>0</v>
      </c>
      <c r="AG527" s="69">
        <f>Ruimtestaat[[#This Row],[kosten / jaar weekend]]+Ruimtestaat[[#This Row],[kosten / jaar werkdagen]]</f>
        <v>0</v>
      </c>
      <c r="AH527" s="69"/>
      <c r="AI527" s="256" t="str">
        <f>IF(Ruimtestaat[[#This Row],[Frequentie werkdagen]]="","",_xlfn.CONCAT(Ruimtestaat[[#This Row],[Ruimte code]],"-",Ruimtestaat[[#This Row],[Frequentie werkdagen]]," ",Ruimtestaat[[#This Row],[Vloer code]]))</f>
        <v>2-3w T</v>
      </c>
      <c r="AJ527" s="300" t="str">
        <f>_xlfn.IFNA(VLOOKUP($AI527,Programma!$F$3:$G$1107,2,0),"")</f>
        <v>2w</v>
      </c>
      <c r="AK527" s="300" t="str">
        <f>_xlfn.IFNA(VLOOKUP($AI527,Programma!$F$3:$H$1107,3,0),"")</f>
        <v>1w</v>
      </c>
      <c r="AL527" s="300" t="str">
        <f>_xlfn.IFNA(VLOOKUP($AI527,Programma!$F$3:$I$1107,4,0),"")</f>
        <v>_</v>
      </c>
      <c r="AM527" s="300" t="str">
        <f>_xlfn.IFNA(VLOOKUP($AI527,Programma!$F$3:$J$1107,5,0),"")</f>
        <v>_</v>
      </c>
      <c r="AN527" s="300" t="str">
        <f>_xlfn.IFNA(VLOOKUP($AI527,Programma!$F$3:$K$1107,6,0),"")</f>
        <v>_</v>
      </c>
      <c r="AO527" s="300" t="str">
        <f>_xlfn.IFNA(VLOOKUP($AI527,Programma!$F$3:$L$1107,7,0),"")</f>
        <v>_</v>
      </c>
      <c r="AP527" s="300" t="str">
        <f>_xlfn.IFNA(VLOOKUP($AI527,Programma!$F$3:$M$1107,8,0),"")</f>
        <v>_</v>
      </c>
      <c r="AQ527" s="300" t="str">
        <f>_xlfn.IFNA(VLOOKUP($AI527,Programma!$F$3:$N$1107,9,0),"")</f>
        <v>_</v>
      </c>
      <c r="AR527" s="300" t="str">
        <f>_xlfn.IFNA(VLOOKUP($AI527,Programma!$F$3:$O$1107,10,0),"")</f>
        <v>3w</v>
      </c>
      <c r="AS527" s="300" t="str">
        <f>_xlfn.IFNA(VLOOKUP($AI527,Programma!$F$3:$P$1107,11,0),"")</f>
        <v>3w</v>
      </c>
      <c r="AT527" s="300" t="str">
        <f>_xlfn.IFNA(VLOOKUP($AI527,Programma!$F$3:$Q$1107,12,0),"")</f>
        <v>1w</v>
      </c>
      <c r="AU527" s="300" t="str">
        <f>_xlfn.IFNA(VLOOKUP($AI527,Programma!$F$3:$R$1107,13,0),"")</f>
        <v>1w</v>
      </c>
      <c r="AV527" s="300" t="str">
        <f>_xlfn.IFNA(VLOOKUP($AI527,Programma!$F$3:$S$1107,14,0),"")</f>
        <v>1m</v>
      </c>
      <c r="AW527" s="300" t="str">
        <f>_xlfn.IFNA(VLOOKUP($AI527,Programma!$F$3:$T$1107,15,0),"")</f>
        <v>2j</v>
      </c>
      <c r="AX527" s="300" t="str">
        <f>_xlfn.IFNA(VLOOKUP($AI527,Programma!$F$3:$U$1107,16,0),"")</f>
        <v>1j</v>
      </c>
      <c r="AY527" s="300" t="str">
        <f>_xlfn.IFNA(VLOOKUP($AI527,Programma!$F$3:$V$1107,17,0),"")</f>
        <v>_</v>
      </c>
      <c r="AZ527" s="300" t="str">
        <f>_xlfn.IFNA(VLOOKUP($AI527,Programma!$F$3:$W$1107,18,0),"")</f>
        <v>_</v>
      </c>
      <c r="BA527" s="300" t="str">
        <f>_xlfn.IFNA(VLOOKUP($AI527,Programma!$F$3:$X$1107,19,0),"")</f>
        <v>_</v>
      </c>
      <c r="BB527" s="300" t="str">
        <f>_xlfn.IFNA(VLOOKUP($AI527,Programma!$F$3:$Y$1107,20,0),"")</f>
        <v>_</v>
      </c>
      <c r="BC527" s="257"/>
      <c r="BD527" s="256" t="str">
        <f>IF(Ruimtestaat[[#This Row],[Frequentie weekend]]="","",_xlfn.CONCAT(Ruimtestaat[[#This Row],[Ruimte code]],"-",Ruimtestaat[[#This Row],[Frequentie weekend]]," ",Ruimtestaat[[#This Row],[Vloer code]]))</f>
        <v/>
      </c>
      <c r="BE527" s="300" t="str">
        <f>_xlfn.IFNA(VLOOKUP($BD527,Programma!$F$3:$G$1107,2,0),"")</f>
        <v/>
      </c>
      <c r="BF527" s="300" t="str">
        <f>_xlfn.IFNA(VLOOKUP($BD527,Programma!$F$3:$H$1107,3,0),"")</f>
        <v/>
      </c>
      <c r="BG527" s="300" t="str">
        <f>_xlfn.IFNA(VLOOKUP($BD527,Programma!$F$3:$I$1107,4,0),"")</f>
        <v/>
      </c>
      <c r="BH527" s="300" t="str">
        <f>_xlfn.IFNA(VLOOKUP($BD527,Programma!$F$3:$J$1107,5,0),"")</f>
        <v/>
      </c>
      <c r="BI527" s="300" t="str">
        <f>_xlfn.IFNA(VLOOKUP($BD527,Programma!$F$3:$K$1107,6,0),"")</f>
        <v/>
      </c>
      <c r="BJ527" s="300" t="str">
        <f>_xlfn.IFNA(VLOOKUP($BD527,Programma!$F$3:$L$1107,7,0),"")</f>
        <v/>
      </c>
      <c r="BK527" s="300" t="str">
        <f>_xlfn.IFNA(VLOOKUP($BD527,Programma!$F$3:$M$1107,8,0),"")</f>
        <v/>
      </c>
      <c r="BL527" s="300" t="str">
        <f>_xlfn.IFNA(VLOOKUP($BD527,Programma!$F$3:$N$1107,9,0),"")</f>
        <v/>
      </c>
      <c r="BM527" s="300" t="str">
        <f>_xlfn.IFNA(VLOOKUP($BD527,Programma!$F$3:$O$1107,10,0),"")</f>
        <v/>
      </c>
      <c r="BN527" s="300" t="str">
        <f>_xlfn.IFNA(VLOOKUP($BD527,Programma!$F$3:$P$1107,11,0),"")</f>
        <v/>
      </c>
      <c r="BO527" s="300" t="str">
        <f>_xlfn.IFNA(VLOOKUP($BD527,Programma!$F$3:$Q$1107,12,0),"")</f>
        <v/>
      </c>
      <c r="BP527" s="300" t="str">
        <f>_xlfn.IFNA(VLOOKUP($BD527,Programma!$F$3:$R$1107,13,0),"")</f>
        <v/>
      </c>
      <c r="BQ527" s="300" t="str">
        <f>_xlfn.IFNA(VLOOKUP($BD527,Programma!$F$3:$S$1107,14,0),"")</f>
        <v/>
      </c>
      <c r="BR527" s="300" t="str">
        <f>_xlfn.IFNA(VLOOKUP($BD527,Programma!$F$3:$T$1107,15,0),"")</f>
        <v/>
      </c>
      <c r="BS527" s="300" t="str">
        <f>_xlfn.IFNA(VLOOKUP($BD527,Programma!$F$3:$U$1107,16,0),"")</f>
        <v/>
      </c>
      <c r="BT527" s="300" t="str">
        <f>_xlfn.IFNA(VLOOKUP($BD527,Programma!$F$3:$V$1107,17,0),"")</f>
        <v/>
      </c>
      <c r="BU527" s="300" t="str">
        <f>_xlfn.IFNA(VLOOKUP($BD527,Programma!$F$3:$W$1107,18,0),"")</f>
        <v/>
      </c>
      <c r="BV527" s="300" t="str">
        <f>_xlfn.IFNA(VLOOKUP($BD527,Programma!$F$3:$X$1107,19,0),"")</f>
        <v/>
      </c>
      <c r="BW527" s="300" t="str">
        <f>_xlfn.IFNA(VLOOKUP($BD527,Programma!$F$3:$Y$1107,20,0),"")</f>
        <v/>
      </c>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c r="GK527" s="4"/>
      <c r="GL527" s="4"/>
      <c r="GM527" s="4"/>
      <c r="GN527" s="4"/>
      <c r="GO527" s="4"/>
      <c r="GP527" s="4"/>
      <c r="GQ527" s="4"/>
      <c r="GR527" s="4"/>
      <c r="GS527" s="4"/>
      <c r="GT527" s="4"/>
      <c r="GU527" s="4"/>
      <c r="GV527" s="4"/>
      <c r="GW527" s="4"/>
      <c r="GX527" s="4"/>
      <c r="GY527" s="4"/>
      <c r="GZ527" s="4"/>
      <c r="HA527" s="4"/>
      <c r="HB527" s="4"/>
      <c r="HC527" s="4"/>
      <c r="HD527" s="4"/>
      <c r="HE527" s="4"/>
      <c r="HF527" s="4"/>
      <c r="HG527" s="4"/>
      <c r="HH527" s="4"/>
      <c r="HI527" s="4"/>
      <c r="HJ527" s="4"/>
      <c r="HK527" s="4"/>
      <c r="HL527" s="4"/>
    </row>
    <row r="528" spans="1:220" ht="15" customHeight="1">
      <c r="A528" s="21">
        <v>6</v>
      </c>
      <c r="B528" s="157" t="str">
        <f>VLOOKUP(Ruimtestaat[[#This Row],[Code]],Locaties[[Code]:[Locatie]],2,FALSE)</f>
        <v>Veurs Lyceum</v>
      </c>
      <c r="C528" s="157" t="str">
        <f>VLOOKUP(Ruimtestaat[[#This Row],[Code]],Locaties[[#All],[Code]:[Adres]],4,FALSE)</f>
        <v>Burg. Kolfschotenlaan 5</v>
      </c>
      <c r="D528" s="157" t="str">
        <f>VLOOKUP(Ruimtestaat[[#This Row],[Code]],Locaties[[#All],[Code]:[Postcode]],5,FALSE)</f>
        <v xml:space="preserve">2262 EZ </v>
      </c>
      <c r="E528" s="157" t="str">
        <f>VLOOKUP(Ruimtestaat[[#This Row],[Code]],Locaties[#All],6,FALSE)</f>
        <v>Leidschendam</v>
      </c>
      <c r="F528" s="62"/>
      <c r="G528" s="21" t="s">
        <v>1706</v>
      </c>
      <c r="H528" s="21" t="s">
        <v>1959</v>
      </c>
      <c r="I528" s="62" t="s">
        <v>1631</v>
      </c>
      <c r="J528" s="21">
        <v>2</v>
      </c>
      <c r="K528" s="62" t="str">
        <f>VLOOKUP(Ruimtestaat[[#This Row],[Ruimte code]],Ruimtegroepen[[#All],[Code]:[Ruimte omschrijving]],2,FALSE)</f>
        <v>Kantoren</v>
      </c>
      <c r="L528" s="33" t="s">
        <v>100</v>
      </c>
      <c r="M528" s="367" t="s">
        <v>2493</v>
      </c>
      <c r="N528" s="140">
        <v>54</v>
      </c>
      <c r="O528" s="140"/>
      <c r="P528" s="125" t="str">
        <f>VLOOKUP(Ruimtestaat[[#This Row],[Ruimte code]],Ruimtegroepen[],4,FALSE)</f>
        <v>Bu</v>
      </c>
      <c r="R528" s="33">
        <v>42</v>
      </c>
      <c r="S528" s="33" t="s">
        <v>18</v>
      </c>
      <c r="T528" s="33">
        <f>IF(R528&gt;0,IF(RIGHT(Ruimtestaat[[#This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28" s="33">
        <f>IF(T528&gt;0,VLOOKUP($J528,Ruimtegroepen[],3,FALSE)*VLOOKUP($L528,Vloersoorten[],3,FALSE)*VLOOKUP($S528,Frequenties[],3,FALSE)*VLOOKUP($A528,Locaties[],3,FALSE),0)</f>
        <v>0</v>
      </c>
      <c r="V528" s="33">
        <f>Ruimtestaat[[#This Row],[Uitvoeringen werkdagen]]*Ruimtestaat[[#This Row],[Oppervlak (netto)]]</f>
        <v>6804</v>
      </c>
      <c r="W528" s="154">
        <f>IF(U528&gt;0,Ruimtestaat[[#This Row],[Prest. (m2 /jaar) werkdagen]]/Ruimtestaat[[#This Row],[Norm (m2/uur) werkdagen]],0)</f>
        <v>0</v>
      </c>
      <c r="X528" s="155">
        <f>Ruimtestaat[[#This Row],[uren / jaar werkdagen]]*Tariefsopbouw!$E$35</f>
        <v>0</v>
      </c>
      <c r="Y528" s="33"/>
      <c r="Z528" s="33">
        <f>IF(Ruimtestaat[[#This Row],[Frequentie weekend]]&gt;0,VALUE(LEFT(Y528,1))*R528,0)</f>
        <v>0</v>
      </c>
      <c r="AA528" s="97">
        <f>IF($Z528&gt;0,VLOOKUP($J528,Ruimtegroepen[],3,FALSE)*VLOOKUP($L528,Vloersoorten[],3,FALSE)*VLOOKUP($Y528,Frequenties[],3,FALSE)*VLOOKUP(Ruimtestaat[[#This Row],[Code]],Locaties[],3,FALSE),0)</f>
        <v>0</v>
      </c>
      <c r="AB528" s="97">
        <f>Ruimtestaat[[#This Row],[Uitvoeringen weekend]]*Ruimtestaat[[#This Row],[Oppervlak (netto)]]</f>
        <v>0</v>
      </c>
      <c r="AC528" s="97">
        <f>IF(AA528&gt;0,Ruimtestaat[[#This Row],[Prest. (m2 /jaar) weekend]]/Ruimtestaat[[#This Row],[Norm (m2/uur) weekend]],0)</f>
        <v>0</v>
      </c>
      <c r="AD528" s="155">
        <f>Ruimtestaat[[#This Row],[uren / jaar weekend]]*Tariefsopbouw!$D$40</f>
        <v>0</v>
      </c>
      <c r="AE528" s="154">
        <f>Ruimtestaat[[#This Row],[Prest. (m2 /jaar) weekend]]+Ruimtestaat[[#This Row],[Prest. (m2 /jaar) werkdagen]]</f>
        <v>6804</v>
      </c>
      <c r="AF528" s="154">
        <f>Ruimtestaat[[#This Row],[uren / jaar weekend]]+Ruimtestaat[[#This Row],[uren / jaar werkdagen]]</f>
        <v>0</v>
      </c>
      <c r="AG528" s="69">
        <f>Ruimtestaat[[#This Row],[kosten / jaar weekend]]+Ruimtestaat[[#This Row],[kosten / jaar werkdagen]]</f>
        <v>0</v>
      </c>
      <c r="AH528" s="69"/>
      <c r="AI528" s="256" t="str">
        <f>IF(Ruimtestaat[[#This Row],[Frequentie werkdagen]]="","",_xlfn.CONCAT(Ruimtestaat[[#This Row],[Ruimte code]],"-",Ruimtestaat[[#This Row],[Frequentie werkdagen]]," ",Ruimtestaat[[#This Row],[Vloer code]]))</f>
        <v>2-3w T</v>
      </c>
      <c r="AJ528" s="300" t="str">
        <f>_xlfn.IFNA(VLOOKUP($AI528,Programma!$F$3:$G$1107,2,0),"")</f>
        <v>2w</v>
      </c>
      <c r="AK528" s="300" t="str">
        <f>_xlfn.IFNA(VLOOKUP($AI528,Programma!$F$3:$H$1107,3,0),"")</f>
        <v>1w</v>
      </c>
      <c r="AL528" s="300" t="str">
        <f>_xlfn.IFNA(VLOOKUP($AI528,Programma!$F$3:$I$1107,4,0),"")</f>
        <v>_</v>
      </c>
      <c r="AM528" s="300" t="str">
        <f>_xlfn.IFNA(VLOOKUP($AI528,Programma!$F$3:$J$1107,5,0),"")</f>
        <v>_</v>
      </c>
      <c r="AN528" s="300" t="str">
        <f>_xlfn.IFNA(VLOOKUP($AI528,Programma!$F$3:$K$1107,6,0),"")</f>
        <v>_</v>
      </c>
      <c r="AO528" s="300" t="str">
        <f>_xlfn.IFNA(VLOOKUP($AI528,Programma!$F$3:$L$1107,7,0),"")</f>
        <v>_</v>
      </c>
      <c r="AP528" s="300" t="str">
        <f>_xlfn.IFNA(VLOOKUP($AI528,Programma!$F$3:$M$1107,8,0),"")</f>
        <v>_</v>
      </c>
      <c r="AQ528" s="300" t="str">
        <f>_xlfn.IFNA(VLOOKUP($AI528,Programma!$F$3:$N$1107,9,0),"")</f>
        <v>_</v>
      </c>
      <c r="AR528" s="300" t="str">
        <f>_xlfn.IFNA(VLOOKUP($AI528,Programma!$F$3:$O$1107,10,0),"")</f>
        <v>3w</v>
      </c>
      <c r="AS528" s="300" t="str">
        <f>_xlfn.IFNA(VLOOKUP($AI528,Programma!$F$3:$P$1107,11,0),"")</f>
        <v>3w</v>
      </c>
      <c r="AT528" s="300" t="str">
        <f>_xlfn.IFNA(VLOOKUP($AI528,Programma!$F$3:$Q$1107,12,0),"")</f>
        <v>1w</v>
      </c>
      <c r="AU528" s="300" t="str">
        <f>_xlfn.IFNA(VLOOKUP($AI528,Programma!$F$3:$R$1107,13,0),"")</f>
        <v>1w</v>
      </c>
      <c r="AV528" s="300" t="str">
        <f>_xlfn.IFNA(VLOOKUP($AI528,Programma!$F$3:$S$1107,14,0),"")</f>
        <v>1m</v>
      </c>
      <c r="AW528" s="300" t="str">
        <f>_xlfn.IFNA(VLOOKUP($AI528,Programma!$F$3:$T$1107,15,0),"")</f>
        <v>2j</v>
      </c>
      <c r="AX528" s="300" t="str">
        <f>_xlfn.IFNA(VLOOKUP($AI528,Programma!$F$3:$U$1107,16,0),"")</f>
        <v>1j</v>
      </c>
      <c r="AY528" s="300" t="str">
        <f>_xlfn.IFNA(VLOOKUP($AI528,Programma!$F$3:$V$1107,17,0),"")</f>
        <v>_</v>
      </c>
      <c r="AZ528" s="300" t="str">
        <f>_xlfn.IFNA(VLOOKUP($AI528,Programma!$F$3:$W$1107,18,0),"")</f>
        <v>_</v>
      </c>
      <c r="BA528" s="300" t="str">
        <f>_xlfn.IFNA(VLOOKUP($AI528,Programma!$F$3:$X$1107,19,0),"")</f>
        <v>_</v>
      </c>
      <c r="BB528" s="300" t="str">
        <f>_xlfn.IFNA(VLOOKUP($AI528,Programma!$F$3:$Y$1107,20,0),"")</f>
        <v>_</v>
      </c>
      <c r="BC528" s="257"/>
      <c r="BD528" s="256" t="str">
        <f>IF(Ruimtestaat[[#This Row],[Frequentie weekend]]="","",_xlfn.CONCAT(Ruimtestaat[[#This Row],[Ruimte code]],"-",Ruimtestaat[[#This Row],[Frequentie weekend]]," ",Ruimtestaat[[#This Row],[Vloer code]]))</f>
        <v/>
      </c>
      <c r="BE528" s="300" t="str">
        <f>_xlfn.IFNA(VLOOKUP($BD528,Programma!$F$3:$G$1107,2,0),"")</f>
        <v/>
      </c>
      <c r="BF528" s="300" t="str">
        <f>_xlfn.IFNA(VLOOKUP($BD528,Programma!$F$3:$H$1107,3,0),"")</f>
        <v/>
      </c>
      <c r="BG528" s="300" t="str">
        <f>_xlfn.IFNA(VLOOKUP($BD528,Programma!$F$3:$I$1107,4,0),"")</f>
        <v/>
      </c>
      <c r="BH528" s="300" t="str">
        <f>_xlfn.IFNA(VLOOKUP($BD528,Programma!$F$3:$J$1107,5,0),"")</f>
        <v/>
      </c>
      <c r="BI528" s="300" t="str">
        <f>_xlfn.IFNA(VLOOKUP($BD528,Programma!$F$3:$K$1107,6,0),"")</f>
        <v/>
      </c>
      <c r="BJ528" s="300" t="str">
        <f>_xlfn.IFNA(VLOOKUP($BD528,Programma!$F$3:$L$1107,7,0),"")</f>
        <v/>
      </c>
      <c r="BK528" s="300" t="str">
        <f>_xlfn.IFNA(VLOOKUP($BD528,Programma!$F$3:$M$1107,8,0),"")</f>
        <v/>
      </c>
      <c r="BL528" s="300" t="str">
        <f>_xlfn.IFNA(VLOOKUP($BD528,Programma!$F$3:$N$1107,9,0),"")</f>
        <v/>
      </c>
      <c r="BM528" s="300" t="str">
        <f>_xlfn.IFNA(VLOOKUP($BD528,Programma!$F$3:$O$1107,10,0),"")</f>
        <v/>
      </c>
      <c r="BN528" s="300" t="str">
        <f>_xlfn.IFNA(VLOOKUP($BD528,Programma!$F$3:$P$1107,11,0),"")</f>
        <v/>
      </c>
      <c r="BO528" s="300" t="str">
        <f>_xlfn.IFNA(VLOOKUP($BD528,Programma!$F$3:$Q$1107,12,0),"")</f>
        <v/>
      </c>
      <c r="BP528" s="300" t="str">
        <f>_xlfn.IFNA(VLOOKUP($BD528,Programma!$F$3:$R$1107,13,0),"")</f>
        <v/>
      </c>
      <c r="BQ528" s="300" t="str">
        <f>_xlfn.IFNA(VLOOKUP($BD528,Programma!$F$3:$S$1107,14,0),"")</f>
        <v/>
      </c>
      <c r="BR528" s="300" t="str">
        <f>_xlfn.IFNA(VLOOKUP($BD528,Programma!$F$3:$T$1107,15,0),"")</f>
        <v/>
      </c>
      <c r="BS528" s="300" t="str">
        <f>_xlfn.IFNA(VLOOKUP($BD528,Programma!$F$3:$U$1107,16,0),"")</f>
        <v/>
      </c>
      <c r="BT528" s="300" t="str">
        <f>_xlfn.IFNA(VLOOKUP($BD528,Programma!$F$3:$V$1107,17,0),"")</f>
        <v/>
      </c>
      <c r="BU528" s="300" t="str">
        <f>_xlfn.IFNA(VLOOKUP($BD528,Programma!$F$3:$W$1107,18,0),"")</f>
        <v/>
      </c>
      <c r="BV528" s="300" t="str">
        <f>_xlfn.IFNA(VLOOKUP($BD528,Programma!$F$3:$X$1107,19,0),"")</f>
        <v/>
      </c>
      <c r="BW528" s="300" t="str">
        <f>_xlfn.IFNA(VLOOKUP($BD528,Programma!$F$3:$Y$1107,20,0),"")</f>
        <v/>
      </c>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c r="GK528" s="4"/>
      <c r="GL528" s="4"/>
      <c r="GM528" s="4"/>
      <c r="GN528" s="4"/>
      <c r="GO528" s="4"/>
      <c r="GP528" s="4"/>
      <c r="GQ528" s="4"/>
      <c r="GR528" s="4"/>
      <c r="GS528" s="4"/>
      <c r="GT528" s="4"/>
      <c r="GU528" s="4"/>
      <c r="GV528" s="4"/>
      <c r="GW528" s="4"/>
      <c r="GX528" s="4"/>
      <c r="GY528" s="4"/>
      <c r="GZ528" s="4"/>
      <c r="HA528" s="4"/>
      <c r="HB528" s="4"/>
      <c r="HC528" s="4"/>
      <c r="HD528" s="4"/>
      <c r="HE528" s="4"/>
      <c r="HF528" s="4"/>
      <c r="HG528" s="4"/>
      <c r="HH528" s="4"/>
      <c r="HI528" s="4"/>
      <c r="HJ528" s="4"/>
      <c r="HK528" s="4"/>
      <c r="HL528" s="4"/>
    </row>
    <row r="529" spans="1:220" ht="15" customHeight="1">
      <c r="A529" s="21">
        <v>6</v>
      </c>
      <c r="B529" s="157" t="str">
        <f>VLOOKUP(Ruimtestaat[[#This Row],[Code]],Locaties[[Code]:[Locatie]],2,FALSE)</f>
        <v>Veurs Lyceum</v>
      </c>
      <c r="C529" s="157" t="str">
        <f>VLOOKUP(Ruimtestaat[[#This Row],[Code]],Locaties[[#All],[Code]:[Adres]],4,FALSE)</f>
        <v>Burg. Kolfschotenlaan 5</v>
      </c>
      <c r="D529" s="157" t="str">
        <f>VLOOKUP(Ruimtestaat[[#This Row],[Code]],Locaties[[#All],[Code]:[Postcode]],5,FALSE)</f>
        <v xml:space="preserve">2262 EZ </v>
      </c>
      <c r="E529" s="157" t="str">
        <f>VLOOKUP(Ruimtestaat[[#This Row],[Code]],Locaties[#All],6,FALSE)</f>
        <v>Leidschendam</v>
      </c>
      <c r="F529" s="62"/>
      <c r="G529" s="21" t="s">
        <v>1706</v>
      </c>
      <c r="H529" s="21" t="s">
        <v>1716</v>
      </c>
      <c r="I529" s="62" t="s">
        <v>1639</v>
      </c>
      <c r="J529" s="21">
        <v>5</v>
      </c>
      <c r="K529" s="62" t="str">
        <f>VLOOKUP(Ruimtestaat[[#This Row],[Ruimte code]],Ruimtegroepen[[#All],[Code]:[Ruimte omschrijving]],2,FALSE)</f>
        <v>Sanitair</v>
      </c>
      <c r="L529" s="33" t="s">
        <v>102</v>
      </c>
      <c r="M529" s="367" t="s">
        <v>2518</v>
      </c>
      <c r="N529" s="140">
        <v>10</v>
      </c>
      <c r="O529" s="140"/>
      <c r="P529" s="125" t="str">
        <f>VLOOKUP(Ruimtestaat[[#This Row],[Ruimte code]],Ruimtegroepen[],4,FALSE)</f>
        <v>Sa</v>
      </c>
      <c r="R529" s="33">
        <v>40</v>
      </c>
      <c r="S529" s="33" t="s">
        <v>2</v>
      </c>
      <c r="T529" s="33">
        <f>IF(R529&gt;0,IF(RIGHT(Ruimtestaat[[#This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29" s="33">
        <f>IF(T529&gt;0,VLOOKUP($J529,Ruimtegroepen[],3,FALSE)*VLOOKUP($L529,Vloersoorten[],3,FALSE)*VLOOKUP($S529,Frequenties[],3,FALSE)*VLOOKUP($A529,Locaties[],3,FALSE),0)</f>
        <v>0</v>
      </c>
      <c r="V529" s="33">
        <f>Ruimtestaat[[#This Row],[Uitvoeringen werkdagen]]*Ruimtestaat[[#This Row],[Oppervlak (netto)]]</f>
        <v>2000</v>
      </c>
      <c r="W529" s="154">
        <f>IF(U529&gt;0,Ruimtestaat[[#This Row],[Prest. (m2 /jaar) werkdagen]]/Ruimtestaat[[#This Row],[Norm (m2/uur) werkdagen]],0)</f>
        <v>0</v>
      </c>
      <c r="X529" s="155">
        <f>Ruimtestaat[[#This Row],[uren / jaar werkdagen]]*Tariefsopbouw!$E$35</f>
        <v>0</v>
      </c>
      <c r="Y529" s="33"/>
      <c r="Z529" s="33">
        <f>IF(Ruimtestaat[[#This Row],[Frequentie weekend]]&gt;0,VALUE(LEFT(Y529,1))*R529,0)</f>
        <v>0</v>
      </c>
      <c r="AA529" s="97">
        <f>IF($Z529&gt;0,VLOOKUP($J529,Ruimtegroepen[],3,FALSE)*VLOOKUP($L529,Vloersoorten[],3,FALSE)*VLOOKUP($Y529,Frequenties[],3,FALSE)*VLOOKUP(Ruimtestaat[[#This Row],[Code]],Locaties[],3,FALSE),0)</f>
        <v>0</v>
      </c>
      <c r="AB529" s="97">
        <f>Ruimtestaat[[#This Row],[Uitvoeringen weekend]]*Ruimtestaat[[#This Row],[Oppervlak (netto)]]</f>
        <v>0</v>
      </c>
      <c r="AC529" s="97">
        <f>IF(AA529&gt;0,Ruimtestaat[[#This Row],[Prest. (m2 /jaar) weekend]]/Ruimtestaat[[#This Row],[Norm (m2/uur) weekend]],0)</f>
        <v>0</v>
      </c>
      <c r="AD529" s="155">
        <f>Ruimtestaat[[#This Row],[uren / jaar weekend]]*Tariefsopbouw!$D$40</f>
        <v>0</v>
      </c>
      <c r="AE529" s="154">
        <f>Ruimtestaat[[#This Row],[Prest. (m2 /jaar) weekend]]+Ruimtestaat[[#This Row],[Prest. (m2 /jaar) werkdagen]]</f>
        <v>2000</v>
      </c>
      <c r="AF529" s="154">
        <f>Ruimtestaat[[#This Row],[uren / jaar weekend]]+Ruimtestaat[[#This Row],[uren / jaar werkdagen]]</f>
        <v>0</v>
      </c>
      <c r="AG529" s="69">
        <f>Ruimtestaat[[#This Row],[kosten / jaar weekend]]+Ruimtestaat[[#This Row],[kosten / jaar werkdagen]]</f>
        <v>0</v>
      </c>
      <c r="AH529" s="69"/>
      <c r="AI529" s="256" t="str">
        <f>IF(Ruimtestaat[[#This Row],[Frequentie werkdagen]]="","",_xlfn.CONCAT(Ruimtestaat[[#This Row],[Ruimte code]],"-",Ruimtestaat[[#This Row],[Frequentie werkdagen]]," ",Ruimtestaat[[#This Row],[Vloer code]]))</f>
        <v>5-5w S</v>
      </c>
      <c r="AJ529" s="300" t="str">
        <f>_xlfn.IFNA(VLOOKUP($AI529,Programma!$F$3:$G$1107,2,0),"")</f>
        <v>_</v>
      </c>
      <c r="AK529" s="300" t="str">
        <f>_xlfn.IFNA(VLOOKUP($AI529,Programma!$F$3:$H$1107,3,0),"")</f>
        <v>_</v>
      </c>
      <c r="AL529" s="300" t="str">
        <f>_xlfn.IFNA(VLOOKUP($AI529,Programma!$F$3:$I$1107,4,0),"")</f>
        <v>_</v>
      </c>
      <c r="AM529" s="300" t="str">
        <f>_xlfn.IFNA(VLOOKUP($AI529,Programma!$F$3:$J$1107,5,0),"")</f>
        <v>4w</v>
      </c>
      <c r="AN529" s="300" t="str">
        <f>_xlfn.IFNA(VLOOKUP($AI529,Programma!$F$3:$K$1107,6,0),"")</f>
        <v>1w</v>
      </c>
      <c r="AO529" s="300" t="str">
        <f>_xlfn.IFNA(VLOOKUP($AI529,Programma!$F$3:$L$1107,7,0),"")</f>
        <v>_</v>
      </c>
      <c r="AP529" s="300" t="str">
        <f>_xlfn.IFNA(VLOOKUP($AI529,Programma!$F$3:$M$1107,8,0),"")</f>
        <v>_</v>
      </c>
      <c r="AQ529" s="300" t="str">
        <f>_xlfn.IFNA(VLOOKUP($AI529,Programma!$F$3:$N$1107,9,0),"")</f>
        <v>_</v>
      </c>
      <c r="AR529" s="300" t="str">
        <f>_xlfn.IFNA(VLOOKUP($AI529,Programma!$F$3:$O$1107,10,0),"")</f>
        <v>_</v>
      </c>
      <c r="AS529" s="300" t="str">
        <f>_xlfn.IFNA(VLOOKUP($AI529,Programma!$F$3:$P$1107,11,0),"")</f>
        <v>_</v>
      </c>
      <c r="AT529" s="300" t="str">
        <f>_xlfn.IFNA(VLOOKUP($AI529,Programma!$F$3:$Q$1107,12,0),"")</f>
        <v>_</v>
      </c>
      <c r="AU529" s="300" t="str">
        <f>_xlfn.IFNA(VLOOKUP($AI529,Programma!$F$3:$R$1107,13,0),"")</f>
        <v>_</v>
      </c>
      <c r="AV529" s="300" t="str">
        <f>_xlfn.IFNA(VLOOKUP($AI529,Programma!$F$3:$S$1107,14,0),"")</f>
        <v>_</v>
      </c>
      <c r="AW529" s="300" t="str">
        <f>_xlfn.IFNA(VLOOKUP($AI529,Programma!$F$3:$T$1107,15,0),"")</f>
        <v>_</v>
      </c>
      <c r="AX529" s="300" t="str">
        <f>_xlfn.IFNA(VLOOKUP($AI529,Programma!$F$3:$U$1107,16,0),"")</f>
        <v>_</v>
      </c>
      <c r="AY529" s="300" t="str">
        <f>_xlfn.IFNA(VLOOKUP($AI529,Programma!$F$3:$V$1107,17,0),"")</f>
        <v>_</v>
      </c>
      <c r="AZ529" s="300" t="str">
        <f>_xlfn.IFNA(VLOOKUP($AI529,Programma!$F$3:$W$1107,18,0),"")</f>
        <v>4w</v>
      </c>
      <c r="BA529" s="300" t="str">
        <f>_xlfn.IFNA(VLOOKUP($AI529,Programma!$F$3:$X$1107,19,0),"")</f>
        <v>1w</v>
      </c>
      <c r="BB529" s="300" t="str">
        <f>_xlfn.IFNA(VLOOKUP($AI529,Programma!$F$3:$Y$1107,20,0),"")</f>
        <v>_</v>
      </c>
      <c r="BC529" s="257"/>
      <c r="BD529" s="256" t="str">
        <f>IF(Ruimtestaat[[#This Row],[Frequentie weekend]]="","",_xlfn.CONCAT(Ruimtestaat[[#This Row],[Ruimte code]],"-",Ruimtestaat[[#This Row],[Frequentie weekend]]," ",Ruimtestaat[[#This Row],[Vloer code]]))</f>
        <v/>
      </c>
      <c r="BE529" s="300" t="str">
        <f>_xlfn.IFNA(VLOOKUP($BD529,Programma!$F$3:$G$1107,2,0),"")</f>
        <v/>
      </c>
      <c r="BF529" s="300" t="str">
        <f>_xlfn.IFNA(VLOOKUP($BD529,Programma!$F$3:$H$1107,3,0),"")</f>
        <v/>
      </c>
      <c r="BG529" s="300" t="str">
        <f>_xlfn.IFNA(VLOOKUP($BD529,Programma!$F$3:$I$1107,4,0),"")</f>
        <v/>
      </c>
      <c r="BH529" s="300" t="str">
        <f>_xlfn.IFNA(VLOOKUP($BD529,Programma!$F$3:$J$1107,5,0),"")</f>
        <v/>
      </c>
      <c r="BI529" s="300" t="str">
        <f>_xlfn.IFNA(VLOOKUP($BD529,Programma!$F$3:$K$1107,6,0),"")</f>
        <v/>
      </c>
      <c r="BJ529" s="300" t="str">
        <f>_xlfn.IFNA(VLOOKUP($BD529,Programma!$F$3:$L$1107,7,0),"")</f>
        <v/>
      </c>
      <c r="BK529" s="300" t="str">
        <f>_xlfn.IFNA(VLOOKUP($BD529,Programma!$F$3:$M$1107,8,0),"")</f>
        <v/>
      </c>
      <c r="BL529" s="300" t="str">
        <f>_xlfn.IFNA(VLOOKUP($BD529,Programma!$F$3:$N$1107,9,0),"")</f>
        <v/>
      </c>
      <c r="BM529" s="300" t="str">
        <f>_xlfn.IFNA(VLOOKUP($BD529,Programma!$F$3:$O$1107,10,0),"")</f>
        <v/>
      </c>
      <c r="BN529" s="300" t="str">
        <f>_xlfn.IFNA(VLOOKUP($BD529,Programma!$F$3:$P$1107,11,0),"")</f>
        <v/>
      </c>
      <c r="BO529" s="300" t="str">
        <f>_xlfn.IFNA(VLOOKUP($BD529,Programma!$F$3:$Q$1107,12,0),"")</f>
        <v/>
      </c>
      <c r="BP529" s="300" t="str">
        <f>_xlfn.IFNA(VLOOKUP($BD529,Programma!$F$3:$R$1107,13,0),"")</f>
        <v/>
      </c>
      <c r="BQ529" s="300" t="str">
        <f>_xlfn.IFNA(VLOOKUP($BD529,Programma!$F$3:$S$1107,14,0),"")</f>
        <v/>
      </c>
      <c r="BR529" s="300" t="str">
        <f>_xlfn.IFNA(VLOOKUP($BD529,Programma!$F$3:$T$1107,15,0),"")</f>
        <v/>
      </c>
      <c r="BS529" s="300" t="str">
        <f>_xlfn.IFNA(VLOOKUP($BD529,Programma!$F$3:$U$1107,16,0),"")</f>
        <v/>
      </c>
      <c r="BT529" s="300" t="str">
        <f>_xlfn.IFNA(VLOOKUP($BD529,Programma!$F$3:$V$1107,17,0),"")</f>
        <v/>
      </c>
      <c r="BU529" s="300" t="str">
        <f>_xlfn.IFNA(VLOOKUP($BD529,Programma!$F$3:$W$1107,18,0),"")</f>
        <v/>
      </c>
      <c r="BV529" s="300" t="str">
        <f>_xlfn.IFNA(VLOOKUP($BD529,Programma!$F$3:$X$1107,19,0),"")</f>
        <v/>
      </c>
      <c r="BW529" s="300" t="str">
        <f>_xlfn.IFNA(VLOOKUP($BD529,Programma!$F$3:$Y$1107,20,0),"")</f>
        <v/>
      </c>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c r="GK529" s="4"/>
      <c r="GL529" s="4"/>
      <c r="GM529" s="4"/>
      <c r="GN529" s="4"/>
      <c r="GO529" s="4"/>
      <c r="GP529" s="4"/>
      <c r="GQ529" s="4"/>
      <c r="GR529" s="4"/>
      <c r="GS529" s="4"/>
      <c r="GT529" s="4"/>
      <c r="GU529" s="4"/>
      <c r="GV529" s="4"/>
      <c r="GW529" s="4"/>
      <c r="GX529" s="4"/>
      <c r="GY529" s="4"/>
      <c r="GZ529" s="4"/>
      <c r="HA529" s="4"/>
      <c r="HB529" s="4"/>
      <c r="HC529" s="4"/>
      <c r="HD529" s="4"/>
      <c r="HE529" s="4"/>
      <c r="HF529" s="4"/>
      <c r="HG529" s="4"/>
      <c r="HH529" s="4"/>
      <c r="HI529" s="4"/>
      <c r="HJ529" s="4"/>
      <c r="HK529" s="4"/>
      <c r="HL529" s="4"/>
    </row>
    <row r="530" spans="1:220" ht="15" customHeight="1">
      <c r="A530" s="21">
        <v>6</v>
      </c>
      <c r="B530" s="157" t="str">
        <f>VLOOKUP(Ruimtestaat[[#This Row],[Code]],Locaties[[Code]:[Locatie]],2,FALSE)</f>
        <v>Veurs Lyceum</v>
      </c>
      <c r="C530" s="157" t="str">
        <f>VLOOKUP(Ruimtestaat[[#This Row],[Code]],Locaties[[#All],[Code]:[Adres]],4,FALSE)</f>
        <v>Burg. Kolfschotenlaan 5</v>
      </c>
      <c r="D530" s="157" t="str">
        <f>VLOOKUP(Ruimtestaat[[#This Row],[Code]],Locaties[[#All],[Code]:[Postcode]],5,FALSE)</f>
        <v xml:space="preserve">2262 EZ </v>
      </c>
      <c r="E530" s="157" t="str">
        <f>VLOOKUP(Ruimtestaat[[#This Row],[Code]],Locaties[#All],6,FALSE)</f>
        <v>Leidschendam</v>
      </c>
      <c r="F530" s="62"/>
      <c r="G530" s="21" t="s">
        <v>1706</v>
      </c>
      <c r="H530" s="21" t="s">
        <v>1717</v>
      </c>
      <c r="I530" s="62" t="s">
        <v>1640</v>
      </c>
      <c r="J530" s="21">
        <v>5</v>
      </c>
      <c r="K530" s="62" t="str">
        <f>VLOOKUP(Ruimtestaat[[#This Row],[Ruimte code]],Ruimtegroepen[[#All],[Code]:[Ruimte omschrijving]],2,FALSE)</f>
        <v>Sanitair</v>
      </c>
      <c r="L530" s="33" t="s">
        <v>102</v>
      </c>
      <c r="M530" s="367" t="s">
        <v>2518</v>
      </c>
      <c r="N530" s="140">
        <v>10</v>
      </c>
      <c r="O530" s="140"/>
      <c r="P530" s="125" t="str">
        <f>VLOOKUP(Ruimtestaat[[#This Row],[Ruimte code]],Ruimtegroepen[],4,FALSE)</f>
        <v>Sa</v>
      </c>
      <c r="R530" s="33">
        <v>40</v>
      </c>
      <c r="S530" s="33" t="s">
        <v>2</v>
      </c>
      <c r="T530" s="33">
        <f>IF(R530&gt;0,IF(RIGHT(Ruimtestaat[[#This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0" s="33">
        <f>IF(T530&gt;0,VLOOKUP($J530,Ruimtegroepen[],3,FALSE)*VLOOKUP($L530,Vloersoorten[],3,FALSE)*VLOOKUP($S530,Frequenties[],3,FALSE)*VLOOKUP($A530,Locaties[],3,FALSE),0)</f>
        <v>0</v>
      </c>
      <c r="V530" s="33">
        <f>Ruimtestaat[[#This Row],[Uitvoeringen werkdagen]]*Ruimtestaat[[#This Row],[Oppervlak (netto)]]</f>
        <v>2000</v>
      </c>
      <c r="W530" s="154">
        <f>IF(U530&gt;0,Ruimtestaat[[#This Row],[Prest. (m2 /jaar) werkdagen]]/Ruimtestaat[[#This Row],[Norm (m2/uur) werkdagen]],0)</f>
        <v>0</v>
      </c>
      <c r="X530" s="155">
        <f>Ruimtestaat[[#This Row],[uren / jaar werkdagen]]*Tariefsopbouw!$E$35</f>
        <v>0</v>
      </c>
      <c r="Y530" s="33"/>
      <c r="Z530" s="33">
        <f>IF(Ruimtestaat[[#This Row],[Frequentie weekend]]&gt;0,VALUE(LEFT(Y530,1))*R530,0)</f>
        <v>0</v>
      </c>
      <c r="AA530" s="97">
        <f>IF($Z530&gt;0,VLOOKUP($J530,Ruimtegroepen[],3,FALSE)*VLOOKUP($L530,Vloersoorten[],3,FALSE)*VLOOKUP($Y530,Frequenties[],3,FALSE)*VLOOKUP(Ruimtestaat[[#This Row],[Code]],Locaties[],3,FALSE),0)</f>
        <v>0</v>
      </c>
      <c r="AB530" s="97">
        <f>Ruimtestaat[[#This Row],[Uitvoeringen weekend]]*Ruimtestaat[[#This Row],[Oppervlak (netto)]]</f>
        <v>0</v>
      </c>
      <c r="AC530" s="97">
        <f>IF(AA530&gt;0,Ruimtestaat[[#This Row],[Prest. (m2 /jaar) weekend]]/Ruimtestaat[[#This Row],[Norm (m2/uur) weekend]],0)</f>
        <v>0</v>
      </c>
      <c r="AD530" s="155">
        <f>Ruimtestaat[[#This Row],[uren / jaar weekend]]*Tariefsopbouw!$D$40</f>
        <v>0</v>
      </c>
      <c r="AE530" s="154">
        <f>Ruimtestaat[[#This Row],[Prest. (m2 /jaar) weekend]]+Ruimtestaat[[#This Row],[Prest. (m2 /jaar) werkdagen]]</f>
        <v>2000</v>
      </c>
      <c r="AF530" s="154">
        <f>Ruimtestaat[[#This Row],[uren / jaar weekend]]+Ruimtestaat[[#This Row],[uren / jaar werkdagen]]</f>
        <v>0</v>
      </c>
      <c r="AG530" s="69">
        <f>Ruimtestaat[[#This Row],[kosten / jaar weekend]]+Ruimtestaat[[#This Row],[kosten / jaar werkdagen]]</f>
        <v>0</v>
      </c>
      <c r="AH530" s="69"/>
      <c r="AI530" s="256" t="str">
        <f>IF(Ruimtestaat[[#This Row],[Frequentie werkdagen]]="","",_xlfn.CONCAT(Ruimtestaat[[#This Row],[Ruimte code]],"-",Ruimtestaat[[#This Row],[Frequentie werkdagen]]," ",Ruimtestaat[[#This Row],[Vloer code]]))</f>
        <v>5-5w S</v>
      </c>
      <c r="AJ530" s="300" t="str">
        <f>_xlfn.IFNA(VLOOKUP($AI530,Programma!$F$3:$G$1107,2,0),"")</f>
        <v>_</v>
      </c>
      <c r="AK530" s="300" t="str">
        <f>_xlfn.IFNA(VLOOKUP($AI530,Programma!$F$3:$H$1107,3,0),"")</f>
        <v>_</v>
      </c>
      <c r="AL530" s="300" t="str">
        <f>_xlfn.IFNA(VLOOKUP($AI530,Programma!$F$3:$I$1107,4,0),"")</f>
        <v>_</v>
      </c>
      <c r="AM530" s="300" t="str">
        <f>_xlfn.IFNA(VLOOKUP($AI530,Programma!$F$3:$J$1107,5,0),"")</f>
        <v>4w</v>
      </c>
      <c r="AN530" s="300" t="str">
        <f>_xlfn.IFNA(VLOOKUP($AI530,Programma!$F$3:$K$1107,6,0),"")</f>
        <v>1w</v>
      </c>
      <c r="AO530" s="300" t="str">
        <f>_xlfn.IFNA(VLOOKUP($AI530,Programma!$F$3:$L$1107,7,0),"")</f>
        <v>_</v>
      </c>
      <c r="AP530" s="300" t="str">
        <f>_xlfn.IFNA(VLOOKUP($AI530,Programma!$F$3:$M$1107,8,0),"")</f>
        <v>_</v>
      </c>
      <c r="AQ530" s="300" t="str">
        <f>_xlfn.IFNA(VLOOKUP($AI530,Programma!$F$3:$N$1107,9,0),"")</f>
        <v>_</v>
      </c>
      <c r="AR530" s="300" t="str">
        <f>_xlfn.IFNA(VLOOKUP($AI530,Programma!$F$3:$O$1107,10,0),"")</f>
        <v>_</v>
      </c>
      <c r="AS530" s="300" t="str">
        <f>_xlfn.IFNA(VLOOKUP($AI530,Programma!$F$3:$P$1107,11,0),"")</f>
        <v>_</v>
      </c>
      <c r="AT530" s="300" t="str">
        <f>_xlfn.IFNA(VLOOKUP($AI530,Programma!$F$3:$Q$1107,12,0),"")</f>
        <v>_</v>
      </c>
      <c r="AU530" s="300" t="str">
        <f>_xlfn.IFNA(VLOOKUP($AI530,Programma!$F$3:$R$1107,13,0),"")</f>
        <v>_</v>
      </c>
      <c r="AV530" s="300" t="str">
        <f>_xlfn.IFNA(VLOOKUP($AI530,Programma!$F$3:$S$1107,14,0),"")</f>
        <v>_</v>
      </c>
      <c r="AW530" s="300" t="str">
        <f>_xlfn.IFNA(VLOOKUP($AI530,Programma!$F$3:$T$1107,15,0),"")</f>
        <v>_</v>
      </c>
      <c r="AX530" s="300" t="str">
        <f>_xlfn.IFNA(VLOOKUP($AI530,Programma!$F$3:$U$1107,16,0),"")</f>
        <v>_</v>
      </c>
      <c r="AY530" s="300" t="str">
        <f>_xlfn.IFNA(VLOOKUP($AI530,Programma!$F$3:$V$1107,17,0),"")</f>
        <v>_</v>
      </c>
      <c r="AZ530" s="300" t="str">
        <f>_xlfn.IFNA(VLOOKUP($AI530,Programma!$F$3:$W$1107,18,0),"")</f>
        <v>4w</v>
      </c>
      <c r="BA530" s="300" t="str">
        <f>_xlfn.IFNA(VLOOKUP($AI530,Programma!$F$3:$X$1107,19,0),"")</f>
        <v>1w</v>
      </c>
      <c r="BB530" s="300" t="str">
        <f>_xlfn.IFNA(VLOOKUP($AI530,Programma!$F$3:$Y$1107,20,0),"")</f>
        <v>_</v>
      </c>
      <c r="BC530" s="257"/>
      <c r="BD530" s="256" t="str">
        <f>IF(Ruimtestaat[[#This Row],[Frequentie weekend]]="","",_xlfn.CONCAT(Ruimtestaat[[#This Row],[Ruimte code]],"-",Ruimtestaat[[#This Row],[Frequentie weekend]]," ",Ruimtestaat[[#This Row],[Vloer code]]))</f>
        <v/>
      </c>
      <c r="BE530" s="300" t="str">
        <f>_xlfn.IFNA(VLOOKUP($BD530,Programma!$F$3:$G$1107,2,0),"")</f>
        <v/>
      </c>
      <c r="BF530" s="300" t="str">
        <f>_xlfn.IFNA(VLOOKUP($BD530,Programma!$F$3:$H$1107,3,0),"")</f>
        <v/>
      </c>
      <c r="BG530" s="300" t="str">
        <f>_xlfn.IFNA(VLOOKUP($BD530,Programma!$F$3:$I$1107,4,0),"")</f>
        <v/>
      </c>
      <c r="BH530" s="300" t="str">
        <f>_xlfn.IFNA(VLOOKUP($BD530,Programma!$F$3:$J$1107,5,0),"")</f>
        <v/>
      </c>
      <c r="BI530" s="300" t="str">
        <f>_xlfn.IFNA(VLOOKUP($BD530,Programma!$F$3:$K$1107,6,0),"")</f>
        <v/>
      </c>
      <c r="BJ530" s="300" t="str">
        <f>_xlfn.IFNA(VLOOKUP($BD530,Programma!$F$3:$L$1107,7,0),"")</f>
        <v/>
      </c>
      <c r="BK530" s="300" t="str">
        <f>_xlfn.IFNA(VLOOKUP($BD530,Programma!$F$3:$M$1107,8,0),"")</f>
        <v/>
      </c>
      <c r="BL530" s="300" t="str">
        <f>_xlfn.IFNA(VLOOKUP($BD530,Programma!$F$3:$N$1107,9,0),"")</f>
        <v/>
      </c>
      <c r="BM530" s="300" t="str">
        <f>_xlfn.IFNA(VLOOKUP($BD530,Programma!$F$3:$O$1107,10,0),"")</f>
        <v/>
      </c>
      <c r="BN530" s="300" t="str">
        <f>_xlfn.IFNA(VLOOKUP($BD530,Programma!$F$3:$P$1107,11,0),"")</f>
        <v/>
      </c>
      <c r="BO530" s="300" t="str">
        <f>_xlfn.IFNA(VLOOKUP($BD530,Programma!$F$3:$Q$1107,12,0),"")</f>
        <v/>
      </c>
      <c r="BP530" s="300" t="str">
        <f>_xlfn.IFNA(VLOOKUP($BD530,Programma!$F$3:$R$1107,13,0),"")</f>
        <v/>
      </c>
      <c r="BQ530" s="300" t="str">
        <f>_xlfn.IFNA(VLOOKUP($BD530,Programma!$F$3:$S$1107,14,0),"")</f>
        <v/>
      </c>
      <c r="BR530" s="300" t="str">
        <f>_xlfn.IFNA(VLOOKUP($BD530,Programma!$F$3:$T$1107,15,0),"")</f>
        <v/>
      </c>
      <c r="BS530" s="300" t="str">
        <f>_xlfn.IFNA(VLOOKUP($BD530,Programma!$F$3:$U$1107,16,0),"")</f>
        <v/>
      </c>
      <c r="BT530" s="300" t="str">
        <f>_xlfn.IFNA(VLOOKUP($BD530,Programma!$F$3:$V$1107,17,0),"")</f>
        <v/>
      </c>
      <c r="BU530" s="300" t="str">
        <f>_xlfn.IFNA(VLOOKUP($BD530,Programma!$F$3:$W$1107,18,0),"")</f>
        <v/>
      </c>
      <c r="BV530" s="300" t="str">
        <f>_xlfn.IFNA(VLOOKUP($BD530,Programma!$F$3:$X$1107,19,0),"")</f>
        <v/>
      </c>
      <c r="BW530" s="300" t="str">
        <f>_xlfn.IFNA(VLOOKUP($BD530,Programma!$F$3:$Y$1107,20,0),"")</f>
        <v/>
      </c>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c r="GK530" s="4"/>
      <c r="GL530" s="4"/>
      <c r="GM530" s="4"/>
      <c r="GN530" s="4"/>
      <c r="GO530" s="4"/>
      <c r="GP530" s="4"/>
      <c r="GQ530" s="4"/>
      <c r="GR530" s="4"/>
      <c r="GS530" s="4"/>
      <c r="GT530" s="4"/>
      <c r="GU530" s="4"/>
      <c r="GV530" s="4"/>
      <c r="GW530" s="4"/>
      <c r="GX530" s="4"/>
      <c r="GY530" s="4"/>
      <c r="GZ530" s="4"/>
      <c r="HA530" s="4"/>
      <c r="HB530" s="4"/>
      <c r="HC530" s="4"/>
      <c r="HD530" s="4"/>
      <c r="HE530" s="4"/>
      <c r="HF530" s="4"/>
      <c r="HG530" s="4"/>
      <c r="HH530" s="4"/>
      <c r="HI530" s="4"/>
      <c r="HJ530" s="4"/>
      <c r="HK530" s="4"/>
      <c r="HL530" s="4"/>
    </row>
    <row r="531" spans="1:220" ht="15" customHeight="1">
      <c r="A531" s="21">
        <v>6</v>
      </c>
      <c r="B531" s="157" t="str">
        <f>VLOOKUP(Ruimtestaat[[#This Row],[Code]],Locaties[[Code]:[Locatie]],2,FALSE)</f>
        <v>Veurs Lyceum</v>
      </c>
      <c r="C531" s="157" t="str">
        <f>VLOOKUP(Ruimtestaat[[#This Row],[Code]],Locaties[[#All],[Code]:[Adres]],4,FALSE)</f>
        <v>Burg. Kolfschotenlaan 5</v>
      </c>
      <c r="D531" s="157" t="str">
        <f>VLOOKUP(Ruimtestaat[[#This Row],[Code]],Locaties[[#All],[Code]:[Postcode]],5,FALSE)</f>
        <v xml:space="preserve">2262 EZ </v>
      </c>
      <c r="E531" s="157" t="str">
        <f>VLOOKUP(Ruimtestaat[[#This Row],[Code]],Locaties[#All],6,FALSE)</f>
        <v>Leidschendam</v>
      </c>
      <c r="F531" s="62"/>
      <c r="G531" s="21" t="s">
        <v>1706</v>
      </c>
      <c r="H531" s="21" t="s">
        <v>1718</v>
      </c>
      <c r="I531" s="62" t="s">
        <v>2124</v>
      </c>
      <c r="J531" s="21">
        <v>14</v>
      </c>
      <c r="K531" s="62" t="str">
        <f>VLOOKUP(Ruimtestaat[[#This Row],[Ruimte code]],Ruimtegroepen[[#All],[Code]:[Ruimte omschrijving]],2,FALSE)</f>
        <v>Praktijklokalen binas/zorg</v>
      </c>
      <c r="L531" s="33" t="s">
        <v>101</v>
      </c>
      <c r="M531" s="367" t="s">
        <v>2495</v>
      </c>
      <c r="N531" s="140">
        <v>75</v>
      </c>
      <c r="O531" s="140"/>
      <c r="P531" s="125" t="str">
        <f>VLOOKUP(Ruimtestaat[[#This Row],[Ruimte code]],Ruimtegroepen[],4,FALSE)</f>
        <v>Le</v>
      </c>
      <c r="R531" s="33">
        <v>40</v>
      </c>
      <c r="S531" s="33" t="s">
        <v>2</v>
      </c>
      <c r="T531" s="33">
        <f>IF(R531&gt;0,IF(RIGHT(Ruimtestaat[[#This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1" s="33">
        <f>IF(T531&gt;0,VLOOKUP($J531,Ruimtegroepen[],3,FALSE)*VLOOKUP($L531,Vloersoorten[],3,FALSE)*VLOOKUP($S531,Frequenties[],3,FALSE)*VLOOKUP($A531,Locaties[],3,FALSE),0)</f>
        <v>0</v>
      </c>
      <c r="V531" s="33">
        <f>Ruimtestaat[[#This Row],[Uitvoeringen werkdagen]]*Ruimtestaat[[#This Row],[Oppervlak (netto)]]</f>
        <v>15000</v>
      </c>
      <c r="W531" s="154">
        <f>IF(U531&gt;0,Ruimtestaat[[#This Row],[Prest. (m2 /jaar) werkdagen]]/Ruimtestaat[[#This Row],[Norm (m2/uur) werkdagen]],0)</f>
        <v>0</v>
      </c>
      <c r="X531" s="155">
        <f>Ruimtestaat[[#This Row],[uren / jaar werkdagen]]*Tariefsopbouw!$E$35</f>
        <v>0</v>
      </c>
      <c r="Y531" s="33"/>
      <c r="Z531" s="33">
        <f>IF(Ruimtestaat[[#This Row],[Frequentie weekend]]&gt;0,VALUE(LEFT(Y531,1))*R531,0)</f>
        <v>0</v>
      </c>
      <c r="AA531" s="97">
        <f>IF($Z531&gt;0,VLOOKUP($J531,Ruimtegroepen[],3,FALSE)*VLOOKUP($L531,Vloersoorten[],3,FALSE)*VLOOKUP($Y531,Frequenties[],3,FALSE)*VLOOKUP(Ruimtestaat[[#This Row],[Code]],Locaties[],3,FALSE),0)</f>
        <v>0</v>
      </c>
      <c r="AB531" s="97">
        <f>Ruimtestaat[[#This Row],[Uitvoeringen weekend]]*Ruimtestaat[[#This Row],[Oppervlak (netto)]]</f>
        <v>0</v>
      </c>
      <c r="AC531" s="97">
        <f>IF(AA531&gt;0,Ruimtestaat[[#This Row],[Prest. (m2 /jaar) weekend]]/Ruimtestaat[[#This Row],[Norm (m2/uur) weekend]],0)</f>
        <v>0</v>
      </c>
      <c r="AD531" s="155">
        <f>Ruimtestaat[[#This Row],[uren / jaar weekend]]*Tariefsopbouw!$D$40</f>
        <v>0</v>
      </c>
      <c r="AE531" s="154">
        <f>Ruimtestaat[[#This Row],[Prest. (m2 /jaar) weekend]]+Ruimtestaat[[#This Row],[Prest. (m2 /jaar) werkdagen]]</f>
        <v>15000</v>
      </c>
      <c r="AF531" s="154">
        <f>Ruimtestaat[[#This Row],[uren / jaar weekend]]+Ruimtestaat[[#This Row],[uren / jaar werkdagen]]</f>
        <v>0</v>
      </c>
      <c r="AG531" s="69">
        <f>Ruimtestaat[[#This Row],[kosten / jaar weekend]]+Ruimtestaat[[#This Row],[kosten / jaar werkdagen]]</f>
        <v>0</v>
      </c>
      <c r="AH531" s="69"/>
      <c r="AI531" s="256" t="str">
        <f>IF(Ruimtestaat[[#This Row],[Frequentie werkdagen]]="","",_xlfn.CONCAT(Ruimtestaat[[#This Row],[Ruimte code]],"-",Ruimtestaat[[#This Row],[Frequentie werkdagen]]," ",Ruimtestaat[[#This Row],[Vloer code]]))</f>
        <v>14-5w L</v>
      </c>
      <c r="AJ531" s="300" t="str">
        <f>_xlfn.IFNA(VLOOKUP($AI531,Programma!$F$3:$G$1107,2,0),"")</f>
        <v>_</v>
      </c>
      <c r="AK531" s="300" t="str">
        <f>_xlfn.IFNA(VLOOKUP($AI531,Programma!$F$3:$H$1107,3,0),"")</f>
        <v>_</v>
      </c>
      <c r="AL531" s="300" t="str">
        <f>_xlfn.IFNA(VLOOKUP($AI531,Programma!$F$3:$I$1107,4,0),"")</f>
        <v>_</v>
      </c>
      <c r="AM531" s="300" t="str">
        <f>_xlfn.IFNA(VLOOKUP($AI531,Programma!$F$3:$J$1107,5,0),"")</f>
        <v>5w</v>
      </c>
      <c r="AN531" s="300" t="str">
        <f>_xlfn.IFNA(VLOOKUP($AI531,Programma!$F$3:$K$1107,6,0),"")</f>
        <v>_</v>
      </c>
      <c r="AO531" s="300" t="str">
        <f>_xlfn.IFNA(VLOOKUP($AI531,Programma!$F$3:$L$1107,7,0),"")</f>
        <v>_</v>
      </c>
      <c r="AP531" s="300" t="str">
        <f>_xlfn.IFNA(VLOOKUP($AI531,Programma!$F$3:$M$1107,8,0),"")</f>
        <v>_</v>
      </c>
      <c r="AQ531" s="300" t="str">
        <f>_xlfn.IFNA(VLOOKUP($AI531,Programma!$F$3:$N$1107,9,0),"")</f>
        <v>_</v>
      </c>
      <c r="AR531" s="300" t="str">
        <f>_xlfn.IFNA(VLOOKUP($AI531,Programma!$F$3:$O$1107,10,0),"")</f>
        <v>5w</v>
      </c>
      <c r="AS531" s="300" t="str">
        <f>_xlfn.IFNA(VLOOKUP($AI531,Programma!$F$3:$P$1107,11,0),"")</f>
        <v>5w</v>
      </c>
      <c r="AT531" s="300" t="str">
        <f>_xlfn.IFNA(VLOOKUP($AI531,Programma!$F$3:$Q$1107,12,0),"")</f>
        <v>1w</v>
      </c>
      <c r="AU531" s="300" t="str">
        <f>_xlfn.IFNA(VLOOKUP($AI531,Programma!$F$3:$R$1107,13,0),"")</f>
        <v>1w</v>
      </c>
      <c r="AV531" s="300" t="str">
        <f>_xlfn.IFNA(VLOOKUP($AI531,Programma!$F$3:$S$1107,14,0),"")</f>
        <v>1m</v>
      </c>
      <c r="AW531" s="300" t="str">
        <f>_xlfn.IFNA(VLOOKUP($AI531,Programma!$F$3:$T$1107,15,0),"")</f>
        <v>2j</v>
      </c>
      <c r="AX531" s="300" t="str">
        <f>_xlfn.IFNA(VLOOKUP($AI531,Programma!$F$3:$U$1107,16,0),"")</f>
        <v>1j</v>
      </c>
      <c r="AY531" s="300" t="str">
        <f>_xlfn.IFNA(VLOOKUP($AI531,Programma!$F$3:$V$1107,17,0),"")</f>
        <v>_</v>
      </c>
      <c r="AZ531" s="300" t="str">
        <f>_xlfn.IFNA(VLOOKUP($AI531,Programma!$F$3:$W$1107,18,0),"")</f>
        <v>_</v>
      </c>
      <c r="BA531" s="300" t="str">
        <f>_xlfn.IFNA(VLOOKUP($AI531,Programma!$F$3:$X$1107,19,0),"")</f>
        <v>_</v>
      </c>
      <c r="BB531" s="300" t="str">
        <f>_xlfn.IFNA(VLOOKUP($AI531,Programma!$F$3:$Y$1107,20,0),"")</f>
        <v>_</v>
      </c>
      <c r="BC531" s="257"/>
      <c r="BD531" s="256" t="str">
        <f>IF(Ruimtestaat[[#This Row],[Frequentie weekend]]="","",_xlfn.CONCAT(Ruimtestaat[[#This Row],[Ruimte code]],"-",Ruimtestaat[[#This Row],[Frequentie weekend]]," ",Ruimtestaat[[#This Row],[Vloer code]]))</f>
        <v/>
      </c>
      <c r="BE531" s="300" t="str">
        <f>_xlfn.IFNA(VLOOKUP($BD531,Programma!$F$3:$G$1107,2,0),"")</f>
        <v/>
      </c>
      <c r="BF531" s="300" t="str">
        <f>_xlfn.IFNA(VLOOKUP($BD531,Programma!$F$3:$H$1107,3,0),"")</f>
        <v/>
      </c>
      <c r="BG531" s="300" t="str">
        <f>_xlfn.IFNA(VLOOKUP($BD531,Programma!$F$3:$I$1107,4,0),"")</f>
        <v/>
      </c>
      <c r="BH531" s="300" t="str">
        <f>_xlfn.IFNA(VLOOKUP($BD531,Programma!$F$3:$J$1107,5,0),"")</f>
        <v/>
      </c>
      <c r="BI531" s="300" t="str">
        <f>_xlfn.IFNA(VLOOKUP($BD531,Programma!$F$3:$K$1107,6,0),"")</f>
        <v/>
      </c>
      <c r="BJ531" s="300" t="str">
        <f>_xlfn.IFNA(VLOOKUP($BD531,Programma!$F$3:$L$1107,7,0),"")</f>
        <v/>
      </c>
      <c r="BK531" s="300" t="str">
        <f>_xlfn.IFNA(VLOOKUP($BD531,Programma!$F$3:$M$1107,8,0),"")</f>
        <v/>
      </c>
      <c r="BL531" s="300" t="str">
        <f>_xlfn.IFNA(VLOOKUP($BD531,Programma!$F$3:$N$1107,9,0),"")</f>
        <v/>
      </c>
      <c r="BM531" s="300" t="str">
        <f>_xlfn.IFNA(VLOOKUP($BD531,Programma!$F$3:$O$1107,10,0),"")</f>
        <v/>
      </c>
      <c r="BN531" s="300" t="str">
        <f>_xlfn.IFNA(VLOOKUP($BD531,Programma!$F$3:$P$1107,11,0),"")</f>
        <v/>
      </c>
      <c r="BO531" s="300" t="str">
        <f>_xlfn.IFNA(VLOOKUP($BD531,Programma!$F$3:$Q$1107,12,0),"")</f>
        <v/>
      </c>
      <c r="BP531" s="300" t="str">
        <f>_xlfn.IFNA(VLOOKUP($BD531,Programma!$F$3:$R$1107,13,0),"")</f>
        <v/>
      </c>
      <c r="BQ531" s="300" t="str">
        <f>_xlfn.IFNA(VLOOKUP($BD531,Programma!$F$3:$S$1107,14,0),"")</f>
        <v/>
      </c>
      <c r="BR531" s="300" t="str">
        <f>_xlfn.IFNA(VLOOKUP($BD531,Programma!$F$3:$T$1107,15,0),"")</f>
        <v/>
      </c>
      <c r="BS531" s="300" t="str">
        <f>_xlfn.IFNA(VLOOKUP($BD531,Programma!$F$3:$U$1107,16,0),"")</f>
        <v/>
      </c>
      <c r="BT531" s="300" t="str">
        <f>_xlfn.IFNA(VLOOKUP($BD531,Programma!$F$3:$V$1107,17,0),"")</f>
        <v/>
      </c>
      <c r="BU531" s="300" t="str">
        <f>_xlfn.IFNA(VLOOKUP($BD531,Programma!$F$3:$W$1107,18,0),"")</f>
        <v/>
      </c>
      <c r="BV531" s="300" t="str">
        <f>_xlfn.IFNA(VLOOKUP($BD531,Programma!$F$3:$X$1107,19,0),"")</f>
        <v/>
      </c>
      <c r="BW531" s="300" t="str">
        <f>_xlfn.IFNA(VLOOKUP($BD531,Programma!$F$3:$Y$1107,20,0),"")</f>
        <v/>
      </c>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c r="GK531" s="4"/>
      <c r="GL531" s="4"/>
      <c r="GM531" s="4"/>
      <c r="GN531" s="4"/>
      <c r="GO531" s="4"/>
      <c r="GP531" s="4"/>
      <c r="GQ531" s="4"/>
      <c r="GR531" s="4"/>
      <c r="GS531" s="4"/>
      <c r="GT531" s="4"/>
      <c r="GU531" s="4"/>
      <c r="GV531" s="4"/>
      <c r="GW531" s="4"/>
      <c r="GX531" s="4"/>
      <c r="GY531" s="4"/>
      <c r="GZ531" s="4"/>
      <c r="HA531" s="4"/>
      <c r="HB531" s="4"/>
      <c r="HC531" s="4"/>
      <c r="HD531" s="4"/>
      <c r="HE531" s="4"/>
      <c r="HF531" s="4"/>
      <c r="HG531" s="4"/>
      <c r="HH531" s="4"/>
      <c r="HI531" s="4"/>
      <c r="HJ531" s="4"/>
      <c r="HK531" s="4"/>
      <c r="HL531" s="4"/>
    </row>
    <row r="532" spans="1:220" ht="15" customHeight="1">
      <c r="A532" s="21">
        <v>6</v>
      </c>
      <c r="B532" s="157" t="str">
        <f>VLOOKUP(Ruimtestaat[[#This Row],[Code]],Locaties[[Code]:[Locatie]],2,FALSE)</f>
        <v>Veurs Lyceum</v>
      </c>
      <c r="C532" s="157" t="str">
        <f>VLOOKUP(Ruimtestaat[[#This Row],[Code]],Locaties[[#All],[Code]:[Adres]],4,FALSE)</f>
        <v>Burg. Kolfschotenlaan 5</v>
      </c>
      <c r="D532" s="157" t="str">
        <f>VLOOKUP(Ruimtestaat[[#This Row],[Code]],Locaties[[#All],[Code]:[Postcode]],5,FALSE)</f>
        <v xml:space="preserve">2262 EZ </v>
      </c>
      <c r="E532" s="157" t="str">
        <f>VLOOKUP(Ruimtestaat[[#This Row],[Code]],Locaties[#All],6,FALSE)</f>
        <v>Leidschendam</v>
      </c>
      <c r="F532" s="62"/>
      <c r="G532" s="21" t="s">
        <v>1706</v>
      </c>
      <c r="H532" s="21" t="s">
        <v>1720</v>
      </c>
      <c r="I532" s="62" t="s">
        <v>2125</v>
      </c>
      <c r="J532" s="21">
        <v>14</v>
      </c>
      <c r="K532" s="62" t="str">
        <f>VLOOKUP(Ruimtestaat[[#This Row],[Ruimte code]],Ruimtegroepen[[#All],[Code]:[Ruimte omschrijving]],2,FALSE)</f>
        <v>Praktijklokalen binas/zorg</v>
      </c>
      <c r="L532" s="33" t="s">
        <v>101</v>
      </c>
      <c r="M532" s="367" t="s">
        <v>2495</v>
      </c>
      <c r="N532" s="140">
        <v>19</v>
      </c>
      <c r="O532" s="140"/>
      <c r="P532" s="125" t="str">
        <f>VLOOKUP(Ruimtestaat[[#This Row],[Ruimte code]],Ruimtegroepen[],4,FALSE)</f>
        <v>Le</v>
      </c>
      <c r="R532" s="33">
        <v>40</v>
      </c>
      <c r="S532" s="33" t="s">
        <v>2</v>
      </c>
      <c r="T532" s="33">
        <f>IF(R532&gt;0,IF(RIGHT(Ruimtestaat[[#This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2" s="33">
        <f>IF(T532&gt;0,VLOOKUP($J532,Ruimtegroepen[],3,FALSE)*VLOOKUP($L532,Vloersoorten[],3,FALSE)*VLOOKUP($S532,Frequenties[],3,FALSE)*VLOOKUP($A532,Locaties[],3,FALSE),0)</f>
        <v>0</v>
      </c>
      <c r="V532" s="33">
        <f>Ruimtestaat[[#This Row],[Uitvoeringen werkdagen]]*Ruimtestaat[[#This Row],[Oppervlak (netto)]]</f>
        <v>3800</v>
      </c>
      <c r="W532" s="154">
        <f>IF(U532&gt;0,Ruimtestaat[[#This Row],[Prest. (m2 /jaar) werkdagen]]/Ruimtestaat[[#This Row],[Norm (m2/uur) werkdagen]],0)</f>
        <v>0</v>
      </c>
      <c r="X532" s="155">
        <f>Ruimtestaat[[#This Row],[uren / jaar werkdagen]]*Tariefsopbouw!$E$35</f>
        <v>0</v>
      </c>
      <c r="Y532" s="33"/>
      <c r="Z532" s="33">
        <f>IF(Ruimtestaat[[#This Row],[Frequentie weekend]]&gt;0,VALUE(LEFT(Y532,1))*R532,0)</f>
        <v>0</v>
      </c>
      <c r="AA532" s="97">
        <f>IF($Z532&gt;0,VLOOKUP($J532,Ruimtegroepen[],3,FALSE)*VLOOKUP($L532,Vloersoorten[],3,FALSE)*VLOOKUP($Y532,Frequenties[],3,FALSE)*VLOOKUP(Ruimtestaat[[#This Row],[Code]],Locaties[],3,FALSE),0)</f>
        <v>0</v>
      </c>
      <c r="AB532" s="97">
        <f>Ruimtestaat[[#This Row],[Uitvoeringen weekend]]*Ruimtestaat[[#This Row],[Oppervlak (netto)]]</f>
        <v>0</v>
      </c>
      <c r="AC532" s="97">
        <f>IF(AA532&gt;0,Ruimtestaat[[#This Row],[Prest. (m2 /jaar) weekend]]/Ruimtestaat[[#This Row],[Norm (m2/uur) weekend]],0)</f>
        <v>0</v>
      </c>
      <c r="AD532" s="155">
        <f>Ruimtestaat[[#This Row],[uren / jaar weekend]]*Tariefsopbouw!$D$40</f>
        <v>0</v>
      </c>
      <c r="AE532" s="154">
        <f>Ruimtestaat[[#This Row],[Prest. (m2 /jaar) weekend]]+Ruimtestaat[[#This Row],[Prest. (m2 /jaar) werkdagen]]</f>
        <v>3800</v>
      </c>
      <c r="AF532" s="154">
        <f>Ruimtestaat[[#This Row],[uren / jaar weekend]]+Ruimtestaat[[#This Row],[uren / jaar werkdagen]]</f>
        <v>0</v>
      </c>
      <c r="AG532" s="69">
        <f>Ruimtestaat[[#This Row],[kosten / jaar weekend]]+Ruimtestaat[[#This Row],[kosten / jaar werkdagen]]</f>
        <v>0</v>
      </c>
      <c r="AH532" s="69"/>
      <c r="AI532" s="256" t="str">
        <f>IF(Ruimtestaat[[#This Row],[Frequentie werkdagen]]="","",_xlfn.CONCAT(Ruimtestaat[[#This Row],[Ruimte code]],"-",Ruimtestaat[[#This Row],[Frequentie werkdagen]]," ",Ruimtestaat[[#This Row],[Vloer code]]))</f>
        <v>14-5w L</v>
      </c>
      <c r="AJ532" s="300" t="str">
        <f>_xlfn.IFNA(VLOOKUP($AI532,Programma!$F$3:$G$1107,2,0),"")</f>
        <v>_</v>
      </c>
      <c r="AK532" s="300" t="str">
        <f>_xlfn.IFNA(VLOOKUP($AI532,Programma!$F$3:$H$1107,3,0),"")</f>
        <v>_</v>
      </c>
      <c r="AL532" s="300" t="str">
        <f>_xlfn.IFNA(VLOOKUP($AI532,Programma!$F$3:$I$1107,4,0),"")</f>
        <v>_</v>
      </c>
      <c r="AM532" s="300" t="str">
        <f>_xlfn.IFNA(VLOOKUP($AI532,Programma!$F$3:$J$1107,5,0),"")</f>
        <v>5w</v>
      </c>
      <c r="AN532" s="300" t="str">
        <f>_xlfn.IFNA(VLOOKUP($AI532,Programma!$F$3:$K$1107,6,0),"")</f>
        <v>_</v>
      </c>
      <c r="AO532" s="300" t="str">
        <f>_xlfn.IFNA(VLOOKUP($AI532,Programma!$F$3:$L$1107,7,0),"")</f>
        <v>_</v>
      </c>
      <c r="AP532" s="300" t="str">
        <f>_xlfn.IFNA(VLOOKUP($AI532,Programma!$F$3:$M$1107,8,0),"")</f>
        <v>_</v>
      </c>
      <c r="AQ532" s="300" t="str">
        <f>_xlfn.IFNA(VLOOKUP($AI532,Programma!$F$3:$N$1107,9,0),"")</f>
        <v>_</v>
      </c>
      <c r="AR532" s="300" t="str">
        <f>_xlfn.IFNA(VLOOKUP($AI532,Programma!$F$3:$O$1107,10,0),"")</f>
        <v>5w</v>
      </c>
      <c r="AS532" s="300" t="str">
        <f>_xlfn.IFNA(VLOOKUP($AI532,Programma!$F$3:$P$1107,11,0),"")</f>
        <v>5w</v>
      </c>
      <c r="AT532" s="300" t="str">
        <f>_xlfn.IFNA(VLOOKUP($AI532,Programma!$F$3:$Q$1107,12,0),"")</f>
        <v>1w</v>
      </c>
      <c r="AU532" s="300" t="str">
        <f>_xlfn.IFNA(VLOOKUP($AI532,Programma!$F$3:$R$1107,13,0),"")</f>
        <v>1w</v>
      </c>
      <c r="AV532" s="300" t="str">
        <f>_xlfn.IFNA(VLOOKUP($AI532,Programma!$F$3:$S$1107,14,0),"")</f>
        <v>1m</v>
      </c>
      <c r="AW532" s="300" t="str">
        <f>_xlfn.IFNA(VLOOKUP($AI532,Programma!$F$3:$T$1107,15,0),"")</f>
        <v>2j</v>
      </c>
      <c r="AX532" s="300" t="str">
        <f>_xlfn.IFNA(VLOOKUP($AI532,Programma!$F$3:$U$1107,16,0),"")</f>
        <v>1j</v>
      </c>
      <c r="AY532" s="300" t="str">
        <f>_xlfn.IFNA(VLOOKUP($AI532,Programma!$F$3:$V$1107,17,0),"")</f>
        <v>_</v>
      </c>
      <c r="AZ532" s="300" t="str">
        <f>_xlfn.IFNA(VLOOKUP($AI532,Programma!$F$3:$W$1107,18,0),"")</f>
        <v>_</v>
      </c>
      <c r="BA532" s="300" t="str">
        <f>_xlfn.IFNA(VLOOKUP($AI532,Programma!$F$3:$X$1107,19,0),"")</f>
        <v>_</v>
      </c>
      <c r="BB532" s="300" t="str">
        <f>_xlfn.IFNA(VLOOKUP($AI532,Programma!$F$3:$Y$1107,20,0),"")</f>
        <v>_</v>
      </c>
      <c r="BC532" s="257"/>
      <c r="BD532" s="256" t="str">
        <f>IF(Ruimtestaat[[#This Row],[Frequentie weekend]]="","",_xlfn.CONCAT(Ruimtestaat[[#This Row],[Ruimte code]],"-",Ruimtestaat[[#This Row],[Frequentie weekend]]," ",Ruimtestaat[[#This Row],[Vloer code]]))</f>
        <v/>
      </c>
      <c r="BE532" s="300" t="str">
        <f>_xlfn.IFNA(VLOOKUP($BD532,Programma!$F$3:$G$1107,2,0),"")</f>
        <v/>
      </c>
      <c r="BF532" s="300" t="str">
        <f>_xlfn.IFNA(VLOOKUP($BD532,Programma!$F$3:$H$1107,3,0),"")</f>
        <v/>
      </c>
      <c r="BG532" s="300" t="str">
        <f>_xlfn.IFNA(VLOOKUP($BD532,Programma!$F$3:$I$1107,4,0),"")</f>
        <v/>
      </c>
      <c r="BH532" s="300" t="str">
        <f>_xlfn.IFNA(VLOOKUP($BD532,Programma!$F$3:$J$1107,5,0),"")</f>
        <v/>
      </c>
      <c r="BI532" s="300" t="str">
        <f>_xlfn.IFNA(VLOOKUP($BD532,Programma!$F$3:$K$1107,6,0),"")</f>
        <v/>
      </c>
      <c r="BJ532" s="300" t="str">
        <f>_xlfn.IFNA(VLOOKUP($BD532,Programma!$F$3:$L$1107,7,0),"")</f>
        <v/>
      </c>
      <c r="BK532" s="300" t="str">
        <f>_xlfn.IFNA(VLOOKUP($BD532,Programma!$F$3:$M$1107,8,0),"")</f>
        <v/>
      </c>
      <c r="BL532" s="300" t="str">
        <f>_xlfn.IFNA(VLOOKUP($BD532,Programma!$F$3:$N$1107,9,0),"")</f>
        <v/>
      </c>
      <c r="BM532" s="300" t="str">
        <f>_xlfn.IFNA(VLOOKUP($BD532,Programma!$F$3:$O$1107,10,0),"")</f>
        <v/>
      </c>
      <c r="BN532" s="300" t="str">
        <f>_xlfn.IFNA(VLOOKUP($BD532,Programma!$F$3:$P$1107,11,0),"")</f>
        <v/>
      </c>
      <c r="BO532" s="300" t="str">
        <f>_xlfn.IFNA(VLOOKUP($BD532,Programma!$F$3:$Q$1107,12,0),"")</f>
        <v/>
      </c>
      <c r="BP532" s="300" t="str">
        <f>_xlfn.IFNA(VLOOKUP($BD532,Programma!$F$3:$R$1107,13,0),"")</f>
        <v/>
      </c>
      <c r="BQ532" s="300" t="str">
        <f>_xlfn.IFNA(VLOOKUP($BD532,Programma!$F$3:$S$1107,14,0),"")</f>
        <v/>
      </c>
      <c r="BR532" s="300" t="str">
        <f>_xlfn.IFNA(VLOOKUP($BD532,Programma!$F$3:$T$1107,15,0),"")</f>
        <v/>
      </c>
      <c r="BS532" s="300" t="str">
        <f>_xlfn.IFNA(VLOOKUP($BD532,Programma!$F$3:$U$1107,16,0),"")</f>
        <v/>
      </c>
      <c r="BT532" s="300" t="str">
        <f>_xlfn.IFNA(VLOOKUP($BD532,Programma!$F$3:$V$1107,17,0),"")</f>
        <v/>
      </c>
      <c r="BU532" s="300" t="str">
        <f>_xlfn.IFNA(VLOOKUP($BD532,Programma!$F$3:$W$1107,18,0),"")</f>
        <v/>
      </c>
      <c r="BV532" s="300" t="str">
        <f>_xlfn.IFNA(VLOOKUP($BD532,Programma!$F$3:$X$1107,19,0),"")</f>
        <v/>
      </c>
      <c r="BW532" s="300" t="str">
        <f>_xlfn.IFNA(VLOOKUP($BD532,Programma!$F$3:$Y$1107,20,0),"")</f>
        <v/>
      </c>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c r="GK532" s="4"/>
      <c r="GL532" s="4"/>
      <c r="GM532" s="4"/>
      <c r="GN532" s="4"/>
      <c r="GO532" s="4"/>
      <c r="GP532" s="4"/>
      <c r="GQ532" s="4"/>
      <c r="GR532" s="4"/>
      <c r="GS532" s="4"/>
      <c r="GT532" s="4"/>
      <c r="GU532" s="4"/>
      <c r="GV532" s="4"/>
      <c r="GW532" s="4"/>
      <c r="GX532" s="4"/>
      <c r="GY532" s="4"/>
      <c r="GZ532" s="4"/>
      <c r="HA532" s="4"/>
      <c r="HB532" s="4"/>
      <c r="HC532" s="4"/>
      <c r="HD532" s="4"/>
      <c r="HE532" s="4"/>
      <c r="HF532" s="4"/>
      <c r="HG532" s="4"/>
      <c r="HH532" s="4"/>
      <c r="HI532" s="4"/>
      <c r="HJ532" s="4"/>
      <c r="HK532" s="4"/>
      <c r="HL532" s="4"/>
    </row>
    <row r="533" spans="1:220" ht="15" customHeight="1">
      <c r="A533" s="21">
        <v>6</v>
      </c>
      <c r="B533" s="157" t="str">
        <f>VLOOKUP(Ruimtestaat[[#This Row],[Code]],Locaties[[Code]:[Locatie]],2,FALSE)</f>
        <v>Veurs Lyceum</v>
      </c>
      <c r="C533" s="157" t="str">
        <f>VLOOKUP(Ruimtestaat[[#This Row],[Code]],Locaties[[#All],[Code]:[Adres]],4,FALSE)</f>
        <v>Burg. Kolfschotenlaan 5</v>
      </c>
      <c r="D533" s="157" t="str">
        <f>VLOOKUP(Ruimtestaat[[#This Row],[Code]],Locaties[[#All],[Code]:[Postcode]],5,FALSE)</f>
        <v xml:space="preserve">2262 EZ </v>
      </c>
      <c r="E533" s="157" t="str">
        <f>VLOOKUP(Ruimtestaat[[#This Row],[Code]],Locaties[#All],6,FALSE)</f>
        <v>Leidschendam</v>
      </c>
      <c r="F533" s="62"/>
      <c r="G533" s="21" t="s">
        <v>1706</v>
      </c>
      <c r="H533" s="21" t="s">
        <v>1722</v>
      </c>
      <c r="I533" s="62" t="s">
        <v>2126</v>
      </c>
      <c r="J533" s="21">
        <v>14</v>
      </c>
      <c r="K533" s="62" t="str">
        <f>VLOOKUP(Ruimtestaat[[#This Row],[Ruimte code]],Ruimtegroepen[[#All],[Code]:[Ruimte omschrijving]],2,FALSE)</f>
        <v>Praktijklokalen binas/zorg</v>
      </c>
      <c r="L533" s="33" t="s">
        <v>101</v>
      </c>
      <c r="M533" s="367" t="s">
        <v>2495</v>
      </c>
      <c r="N533" s="140">
        <v>70</v>
      </c>
      <c r="O533" s="140"/>
      <c r="P533" s="125" t="str">
        <f>VLOOKUP(Ruimtestaat[[#This Row],[Ruimte code]],Ruimtegroepen[],4,FALSE)</f>
        <v>Le</v>
      </c>
      <c r="R533" s="33">
        <v>40</v>
      </c>
      <c r="S533" s="33" t="s">
        <v>2</v>
      </c>
      <c r="T533" s="33">
        <f>IF(R533&gt;0,IF(RIGHT(Ruimtestaat[[#This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3" s="33">
        <f>IF(T533&gt;0,VLOOKUP($J533,Ruimtegroepen[],3,FALSE)*VLOOKUP($L533,Vloersoorten[],3,FALSE)*VLOOKUP($S533,Frequenties[],3,FALSE)*VLOOKUP($A533,Locaties[],3,FALSE),0)</f>
        <v>0</v>
      </c>
      <c r="V533" s="33">
        <f>Ruimtestaat[[#This Row],[Uitvoeringen werkdagen]]*Ruimtestaat[[#This Row],[Oppervlak (netto)]]</f>
        <v>14000</v>
      </c>
      <c r="W533" s="154">
        <f>IF(U533&gt;0,Ruimtestaat[[#This Row],[Prest. (m2 /jaar) werkdagen]]/Ruimtestaat[[#This Row],[Norm (m2/uur) werkdagen]],0)</f>
        <v>0</v>
      </c>
      <c r="X533" s="155">
        <f>Ruimtestaat[[#This Row],[uren / jaar werkdagen]]*Tariefsopbouw!$E$35</f>
        <v>0</v>
      </c>
      <c r="Y533" s="33"/>
      <c r="Z533" s="33">
        <f>IF(Ruimtestaat[[#This Row],[Frequentie weekend]]&gt;0,VALUE(LEFT(Y533,1))*R533,0)</f>
        <v>0</v>
      </c>
      <c r="AA533" s="97">
        <f>IF($Z533&gt;0,VLOOKUP($J533,Ruimtegroepen[],3,FALSE)*VLOOKUP($L533,Vloersoorten[],3,FALSE)*VLOOKUP($Y533,Frequenties[],3,FALSE)*VLOOKUP(Ruimtestaat[[#This Row],[Code]],Locaties[],3,FALSE),0)</f>
        <v>0</v>
      </c>
      <c r="AB533" s="97">
        <f>Ruimtestaat[[#This Row],[Uitvoeringen weekend]]*Ruimtestaat[[#This Row],[Oppervlak (netto)]]</f>
        <v>0</v>
      </c>
      <c r="AC533" s="97">
        <f>IF(AA533&gt;0,Ruimtestaat[[#This Row],[Prest. (m2 /jaar) weekend]]/Ruimtestaat[[#This Row],[Norm (m2/uur) weekend]],0)</f>
        <v>0</v>
      </c>
      <c r="AD533" s="155">
        <f>Ruimtestaat[[#This Row],[uren / jaar weekend]]*Tariefsopbouw!$D$40</f>
        <v>0</v>
      </c>
      <c r="AE533" s="154">
        <f>Ruimtestaat[[#This Row],[Prest. (m2 /jaar) weekend]]+Ruimtestaat[[#This Row],[Prest. (m2 /jaar) werkdagen]]</f>
        <v>14000</v>
      </c>
      <c r="AF533" s="154">
        <f>Ruimtestaat[[#This Row],[uren / jaar weekend]]+Ruimtestaat[[#This Row],[uren / jaar werkdagen]]</f>
        <v>0</v>
      </c>
      <c r="AG533" s="69">
        <f>Ruimtestaat[[#This Row],[kosten / jaar weekend]]+Ruimtestaat[[#This Row],[kosten / jaar werkdagen]]</f>
        <v>0</v>
      </c>
      <c r="AH533" s="69"/>
      <c r="AI533" s="256" t="str">
        <f>IF(Ruimtestaat[[#This Row],[Frequentie werkdagen]]="","",_xlfn.CONCAT(Ruimtestaat[[#This Row],[Ruimte code]],"-",Ruimtestaat[[#This Row],[Frequentie werkdagen]]," ",Ruimtestaat[[#This Row],[Vloer code]]))</f>
        <v>14-5w L</v>
      </c>
      <c r="AJ533" s="300" t="str">
        <f>_xlfn.IFNA(VLOOKUP($AI533,Programma!$F$3:$G$1107,2,0),"")</f>
        <v>_</v>
      </c>
      <c r="AK533" s="300" t="str">
        <f>_xlfn.IFNA(VLOOKUP($AI533,Programma!$F$3:$H$1107,3,0),"")</f>
        <v>_</v>
      </c>
      <c r="AL533" s="300" t="str">
        <f>_xlfn.IFNA(VLOOKUP($AI533,Programma!$F$3:$I$1107,4,0),"")</f>
        <v>_</v>
      </c>
      <c r="AM533" s="300" t="str">
        <f>_xlfn.IFNA(VLOOKUP($AI533,Programma!$F$3:$J$1107,5,0),"")</f>
        <v>5w</v>
      </c>
      <c r="AN533" s="300" t="str">
        <f>_xlfn.IFNA(VLOOKUP($AI533,Programma!$F$3:$K$1107,6,0),"")</f>
        <v>_</v>
      </c>
      <c r="AO533" s="300" t="str">
        <f>_xlfn.IFNA(VLOOKUP($AI533,Programma!$F$3:$L$1107,7,0),"")</f>
        <v>_</v>
      </c>
      <c r="AP533" s="300" t="str">
        <f>_xlfn.IFNA(VLOOKUP($AI533,Programma!$F$3:$M$1107,8,0),"")</f>
        <v>_</v>
      </c>
      <c r="AQ533" s="300" t="str">
        <f>_xlfn.IFNA(VLOOKUP($AI533,Programma!$F$3:$N$1107,9,0),"")</f>
        <v>_</v>
      </c>
      <c r="AR533" s="300" t="str">
        <f>_xlfn.IFNA(VLOOKUP($AI533,Programma!$F$3:$O$1107,10,0),"")</f>
        <v>5w</v>
      </c>
      <c r="AS533" s="300" t="str">
        <f>_xlfn.IFNA(VLOOKUP($AI533,Programma!$F$3:$P$1107,11,0),"")</f>
        <v>5w</v>
      </c>
      <c r="AT533" s="300" t="str">
        <f>_xlfn.IFNA(VLOOKUP($AI533,Programma!$F$3:$Q$1107,12,0),"")</f>
        <v>1w</v>
      </c>
      <c r="AU533" s="300" t="str">
        <f>_xlfn.IFNA(VLOOKUP($AI533,Programma!$F$3:$R$1107,13,0),"")</f>
        <v>1w</v>
      </c>
      <c r="AV533" s="300" t="str">
        <f>_xlfn.IFNA(VLOOKUP($AI533,Programma!$F$3:$S$1107,14,0),"")</f>
        <v>1m</v>
      </c>
      <c r="AW533" s="300" t="str">
        <f>_xlfn.IFNA(VLOOKUP($AI533,Programma!$F$3:$T$1107,15,0),"")</f>
        <v>2j</v>
      </c>
      <c r="AX533" s="300" t="str">
        <f>_xlfn.IFNA(VLOOKUP($AI533,Programma!$F$3:$U$1107,16,0),"")</f>
        <v>1j</v>
      </c>
      <c r="AY533" s="300" t="str">
        <f>_xlfn.IFNA(VLOOKUP($AI533,Programma!$F$3:$V$1107,17,0),"")</f>
        <v>_</v>
      </c>
      <c r="AZ533" s="300" t="str">
        <f>_xlfn.IFNA(VLOOKUP($AI533,Programma!$F$3:$W$1107,18,0),"")</f>
        <v>_</v>
      </c>
      <c r="BA533" s="300" t="str">
        <f>_xlfn.IFNA(VLOOKUP($AI533,Programma!$F$3:$X$1107,19,0),"")</f>
        <v>_</v>
      </c>
      <c r="BB533" s="300" t="str">
        <f>_xlfn.IFNA(VLOOKUP($AI533,Programma!$F$3:$Y$1107,20,0),"")</f>
        <v>_</v>
      </c>
      <c r="BC533" s="257"/>
      <c r="BD533" s="256" t="str">
        <f>IF(Ruimtestaat[[#This Row],[Frequentie weekend]]="","",_xlfn.CONCAT(Ruimtestaat[[#This Row],[Ruimte code]],"-",Ruimtestaat[[#This Row],[Frequentie weekend]]," ",Ruimtestaat[[#This Row],[Vloer code]]))</f>
        <v/>
      </c>
      <c r="BE533" s="300" t="str">
        <f>_xlfn.IFNA(VLOOKUP($BD533,Programma!$F$3:$G$1107,2,0),"")</f>
        <v/>
      </c>
      <c r="BF533" s="300" t="str">
        <f>_xlfn.IFNA(VLOOKUP($BD533,Programma!$F$3:$H$1107,3,0),"")</f>
        <v/>
      </c>
      <c r="BG533" s="300" t="str">
        <f>_xlfn.IFNA(VLOOKUP($BD533,Programma!$F$3:$I$1107,4,0),"")</f>
        <v/>
      </c>
      <c r="BH533" s="300" t="str">
        <f>_xlfn.IFNA(VLOOKUP($BD533,Programma!$F$3:$J$1107,5,0),"")</f>
        <v/>
      </c>
      <c r="BI533" s="300" t="str">
        <f>_xlfn.IFNA(VLOOKUP($BD533,Programma!$F$3:$K$1107,6,0),"")</f>
        <v/>
      </c>
      <c r="BJ533" s="300" t="str">
        <f>_xlfn.IFNA(VLOOKUP($BD533,Programma!$F$3:$L$1107,7,0),"")</f>
        <v/>
      </c>
      <c r="BK533" s="300" t="str">
        <f>_xlfn.IFNA(VLOOKUP($BD533,Programma!$F$3:$M$1107,8,0),"")</f>
        <v/>
      </c>
      <c r="BL533" s="300" t="str">
        <f>_xlfn.IFNA(VLOOKUP($BD533,Programma!$F$3:$N$1107,9,0),"")</f>
        <v/>
      </c>
      <c r="BM533" s="300" t="str">
        <f>_xlfn.IFNA(VLOOKUP($BD533,Programma!$F$3:$O$1107,10,0),"")</f>
        <v/>
      </c>
      <c r="BN533" s="300" t="str">
        <f>_xlfn.IFNA(VLOOKUP($BD533,Programma!$F$3:$P$1107,11,0),"")</f>
        <v/>
      </c>
      <c r="BO533" s="300" t="str">
        <f>_xlfn.IFNA(VLOOKUP($BD533,Programma!$F$3:$Q$1107,12,0),"")</f>
        <v/>
      </c>
      <c r="BP533" s="300" t="str">
        <f>_xlfn.IFNA(VLOOKUP($BD533,Programma!$F$3:$R$1107,13,0),"")</f>
        <v/>
      </c>
      <c r="BQ533" s="300" t="str">
        <f>_xlfn.IFNA(VLOOKUP($BD533,Programma!$F$3:$S$1107,14,0),"")</f>
        <v/>
      </c>
      <c r="BR533" s="300" t="str">
        <f>_xlfn.IFNA(VLOOKUP($BD533,Programma!$F$3:$T$1107,15,0),"")</f>
        <v/>
      </c>
      <c r="BS533" s="300" t="str">
        <f>_xlfn.IFNA(VLOOKUP($BD533,Programma!$F$3:$U$1107,16,0),"")</f>
        <v/>
      </c>
      <c r="BT533" s="300" t="str">
        <f>_xlfn.IFNA(VLOOKUP($BD533,Programma!$F$3:$V$1107,17,0),"")</f>
        <v/>
      </c>
      <c r="BU533" s="300" t="str">
        <f>_xlfn.IFNA(VLOOKUP($BD533,Programma!$F$3:$W$1107,18,0),"")</f>
        <v/>
      </c>
      <c r="BV533" s="300" t="str">
        <f>_xlfn.IFNA(VLOOKUP($BD533,Programma!$F$3:$X$1107,19,0),"")</f>
        <v/>
      </c>
      <c r="BW533" s="300" t="str">
        <f>_xlfn.IFNA(VLOOKUP($BD533,Programma!$F$3:$Y$1107,20,0),"")</f>
        <v/>
      </c>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c r="GK533" s="4"/>
      <c r="GL533" s="4"/>
      <c r="GM533" s="4"/>
      <c r="GN533" s="4"/>
      <c r="GO533" s="4"/>
      <c r="GP533" s="4"/>
      <c r="GQ533" s="4"/>
      <c r="GR533" s="4"/>
      <c r="GS533" s="4"/>
      <c r="GT533" s="4"/>
      <c r="GU533" s="4"/>
      <c r="GV533" s="4"/>
      <c r="GW533" s="4"/>
      <c r="GX533" s="4"/>
      <c r="GY533" s="4"/>
      <c r="GZ533" s="4"/>
      <c r="HA533" s="4"/>
      <c r="HB533" s="4"/>
      <c r="HC533" s="4"/>
      <c r="HD533" s="4"/>
      <c r="HE533" s="4"/>
      <c r="HF533" s="4"/>
      <c r="HG533" s="4"/>
      <c r="HH533" s="4"/>
      <c r="HI533" s="4"/>
      <c r="HJ533" s="4"/>
      <c r="HK533" s="4"/>
      <c r="HL533" s="4"/>
    </row>
    <row r="534" spans="1:220" ht="15" customHeight="1">
      <c r="A534" s="21">
        <v>6</v>
      </c>
      <c r="B534" s="157" t="str">
        <f>VLOOKUP(Ruimtestaat[[#This Row],[Code]],Locaties[[Code]:[Locatie]],2,FALSE)</f>
        <v>Veurs Lyceum</v>
      </c>
      <c r="C534" s="157" t="str">
        <f>VLOOKUP(Ruimtestaat[[#This Row],[Code]],Locaties[[#All],[Code]:[Adres]],4,FALSE)</f>
        <v>Burg. Kolfschotenlaan 5</v>
      </c>
      <c r="D534" s="157" t="str">
        <f>VLOOKUP(Ruimtestaat[[#This Row],[Code]],Locaties[[#All],[Code]:[Postcode]],5,FALSE)</f>
        <v xml:space="preserve">2262 EZ </v>
      </c>
      <c r="E534" s="157" t="str">
        <f>VLOOKUP(Ruimtestaat[[#This Row],[Code]],Locaties[#All],6,FALSE)</f>
        <v>Leidschendam</v>
      </c>
      <c r="F534" s="62"/>
      <c r="G534" s="21" t="s">
        <v>1706</v>
      </c>
      <c r="H534" s="21" t="s">
        <v>1724</v>
      </c>
      <c r="I534" s="62" t="s">
        <v>1702</v>
      </c>
      <c r="J534" s="21">
        <v>16</v>
      </c>
      <c r="K534" s="62" t="str">
        <f>VLOOKUP(Ruimtestaat[[#This Row],[Ruimte code]],Ruimtegroepen[[#All],[Code]:[Ruimte omschrijving]],2,FALSE)</f>
        <v>Leslokalen theorie</v>
      </c>
      <c r="L534" s="33" t="s">
        <v>100</v>
      </c>
      <c r="M534" s="367" t="s">
        <v>2493</v>
      </c>
      <c r="N534" s="140">
        <v>57</v>
      </c>
      <c r="O534" s="140"/>
      <c r="P534" s="125" t="str">
        <f>VLOOKUP(Ruimtestaat[[#This Row],[Ruimte code]],Ruimtegroepen[],4,FALSE)</f>
        <v>Le</v>
      </c>
      <c r="R534" s="33">
        <v>40</v>
      </c>
      <c r="S534" s="33" t="s">
        <v>2</v>
      </c>
      <c r="T534" s="33">
        <f>IF(R534&gt;0,IF(RIGHT(Ruimtestaat[[#This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4" s="33">
        <f>IF(T534&gt;0,VLOOKUP($J534,Ruimtegroepen[],3,FALSE)*VLOOKUP($L534,Vloersoorten[],3,FALSE)*VLOOKUP($S534,Frequenties[],3,FALSE)*VLOOKUP($A534,Locaties[],3,FALSE),0)</f>
        <v>0</v>
      </c>
      <c r="V534" s="33">
        <f>Ruimtestaat[[#This Row],[Uitvoeringen werkdagen]]*Ruimtestaat[[#This Row],[Oppervlak (netto)]]</f>
        <v>11400</v>
      </c>
      <c r="W534" s="154">
        <f>IF(U534&gt;0,Ruimtestaat[[#This Row],[Prest. (m2 /jaar) werkdagen]]/Ruimtestaat[[#This Row],[Norm (m2/uur) werkdagen]],0)</f>
        <v>0</v>
      </c>
      <c r="X534" s="155">
        <f>Ruimtestaat[[#This Row],[uren / jaar werkdagen]]*Tariefsopbouw!$E$35</f>
        <v>0</v>
      </c>
      <c r="Y534" s="33"/>
      <c r="Z534" s="33">
        <f>IF(Ruimtestaat[[#This Row],[Frequentie weekend]]&gt;0,VALUE(LEFT(Y534,1))*R534,0)</f>
        <v>0</v>
      </c>
      <c r="AA534" s="97">
        <f>IF($Z534&gt;0,VLOOKUP($J534,Ruimtegroepen[],3,FALSE)*VLOOKUP($L534,Vloersoorten[],3,FALSE)*VLOOKUP($Y534,Frequenties[],3,FALSE)*VLOOKUP(Ruimtestaat[[#This Row],[Code]],Locaties[],3,FALSE),0)</f>
        <v>0</v>
      </c>
      <c r="AB534" s="97">
        <f>Ruimtestaat[[#This Row],[Uitvoeringen weekend]]*Ruimtestaat[[#This Row],[Oppervlak (netto)]]</f>
        <v>0</v>
      </c>
      <c r="AC534" s="97">
        <f>IF(AA534&gt;0,Ruimtestaat[[#This Row],[Prest. (m2 /jaar) weekend]]/Ruimtestaat[[#This Row],[Norm (m2/uur) weekend]],0)</f>
        <v>0</v>
      </c>
      <c r="AD534" s="155">
        <f>Ruimtestaat[[#This Row],[uren / jaar weekend]]*Tariefsopbouw!$D$40</f>
        <v>0</v>
      </c>
      <c r="AE534" s="154">
        <f>Ruimtestaat[[#This Row],[Prest. (m2 /jaar) weekend]]+Ruimtestaat[[#This Row],[Prest. (m2 /jaar) werkdagen]]</f>
        <v>11400</v>
      </c>
      <c r="AF534" s="154">
        <f>Ruimtestaat[[#This Row],[uren / jaar weekend]]+Ruimtestaat[[#This Row],[uren / jaar werkdagen]]</f>
        <v>0</v>
      </c>
      <c r="AG534" s="69">
        <f>Ruimtestaat[[#This Row],[kosten / jaar weekend]]+Ruimtestaat[[#This Row],[kosten / jaar werkdagen]]</f>
        <v>0</v>
      </c>
      <c r="AH534" s="69"/>
      <c r="AI534" s="256" t="str">
        <f>IF(Ruimtestaat[[#This Row],[Frequentie werkdagen]]="","",_xlfn.CONCAT(Ruimtestaat[[#This Row],[Ruimte code]],"-",Ruimtestaat[[#This Row],[Frequentie werkdagen]]," ",Ruimtestaat[[#This Row],[Vloer code]]))</f>
        <v>16-5w T</v>
      </c>
      <c r="AJ534" s="300" t="str">
        <f>_xlfn.IFNA(VLOOKUP($AI534,Programma!$F$3:$G$1107,2,0),"")</f>
        <v>3w</v>
      </c>
      <c r="AK534" s="300" t="str">
        <f>_xlfn.IFNA(VLOOKUP($AI534,Programma!$F$3:$H$1107,3,0),"")</f>
        <v>2w</v>
      </c>
      <c r="AL534" s="300" t="str">
        <f>_xlfn.IFNA(VLOOKUP($AI534,Programma!$F$3:$I$1107,4,0),"")</f>
        <v>_</v>
      </c>
      <c r="AM534" s="300" t="str">
        <f>_xlfn.IFNA(VLOOKUP($AI534,Programma!$F$3:$J$1107,5,0),"")</f>
        <v>_</v>
      </c>
      <c r="AN534" s="300" t="str">
        <f>_xlfn.IFNA(VLOOKUP($AI534,Programma!$F$3:$K$1107,6,0),"")</f>
        <v>_</v>
      </c>
      <c r="AO534" s="300" t="str">
        <f>_xlfn.IFNA(VLOOKUP($AI534,Programma!$F$3:$L$1107,7,0),"")</f>
        <v>_</v>
      </c>
      <c r="AP534" s="300" t="str">
        <f>_xlfn.IFNA(VLOOKUP($AI534,Programma!$F$3:$M$1107,8,0),"")</f>
        <v>_</v>
      </c>
      <c r="AQ534" s="300" t="str">
        <f>_xlfn.IFNA(VLOOKUP($AI534,Programma!$F$3:$N$1107,9,0),"")</f>
        <v>_</v>
      </c>
      <c r="AR534" s="300" t="str">
        <f>_xlfn.IFNA(VLOOKUP($AI534,Programma!$F$3:$O$1107,10,0),"")</f>
        <v>5w</v>
      </c>
      <c r="AS534" s="300" t="str">
        <f>_xlfn.IFNA(VLOOKUP($AI534,Programma!$F$3:$P$1107,11,0),"")</f>
        <v>5w</v>
      </c>
      <c r="AT534" s="300" t="str">
        <f>_xlfn.IFNA(VLOOKUP($AI534,Programma!$F$3:$Q$1107,12,0),"")</f>
        <v>1w</v>
      </c>
      <c r="AU534" s="300" t="str">
        <f>_xlfn.IFNA(VLOOKUP($AI534,Programma!$F$3:$R$1107,13,0),"")</f>
        <v>1w</v>
      </c>
      <c r="AV534" s="300" t="str">
        <f>_xlfn.IFNA(VLOOKUP($AI534,Programma!$F$3:$S$1107,14,0),"")</f>
        <v>1m</v>
      </c>
      <c r="AW534" s="300" t="str">
        <f>_xlfn.IFNA(VLOOKUP($AI534,Programma!$F$3:$T$1107,15,0),"")</f>
        <v>2j</v>
      </c>
      <c r="AX534" s="300" t="str">
        <f>_xlfn.IFNA(VLOOKUP($AI534,Programma!$F$3:$U$1107,16,0),"")</f>
        <v>1j</v>
      </c>
      <c r="AY534" s="300" t="str">
        <f>_xlfn.IFNA(VLOOKUP($AI534,Programma!$F$3:$V$1107,17,0),"")</f>
        <v>_</v>
      </c>
      <c r="AZ534" s="300" t="str">
        <f>_xlfn.IFNA(VLOOKUP($AI534,Programma!$F$3:$W$1107,18,0),"")</f>
        <v>_</v>
      </c>
      <c r="BA534" s="300" t="str">
        <f>_xlfn.IFNA(VLOOKUP($AI534,Programma!$F$3:$X$1107,19,0),"")</f>
        <v>_</v>
      </c>
      <c r="BB534" s="300" t="str">
        <f>_xlfn.IFNA(VLOOKUP($AI534,Programma!$F$3:$Y$1107,20,0),"")</f>
        <v>_</v>
      </c>
      <c r="BC534" s="257"/>
      <c r="BD534" s="256" t="str">
        <f>IF(Ruimtestaat[[#This Row],[Frequentie weekend]]="","",_xlfn.CONCAT(Ruimtestaat[[#This Row],[Ruimte code]],"-",Ruimtestaat[[#This Row],[Frequentie weekend]]," ",Ruimtestaat[[#This Row],[Vloer code]]))</f>
        <v/>
      </c>
      <c r="BE534" s="300" t="str">
        <f>_xlfn.IFNA(VLOOKUP($BD534,Programma!$F$3:$G$1107,2,0),"")</f>
        <v/>
      </c>
      <c r="BF534" s="300" t="str">
        <f>_xlfn.IFNA(VLOOKUP($BD534,Programma!$F$3:$H$1107,3,0),"")</f>
        <v/>
      </c>
      <c r="BG534" s="300" t="str">
        <f>_xlfn.IFNA(VLOOKUP($BD534,Programma!$F$3:$I$1107,4,0),"")</f>
        <v/>
      </c>
      <c r="BH534" s="300" t="str">
        <f>_xlfn.IFNA(VLOOKUP($BD534,Programma!$F$3:$J$1107,5,0),"")</f>
        <v/>
      </c>
      <c r="BI534" s="300" t="str">
        <f>_xlfn.IFNA(VLOOKUP($BD534,Programma!$F$3:$K$1107,6,0),"")</f>
        <v/>
      </c>
      <c r="BJ534" s="300" t="str">
        <f>_xlfn.IFNA(VLOOKUP($BD534,Programma!$F$3:$L$1107,7,0),"")</f>
        <v/>
      </c>
      <c r="BK534" s="300" t="str">
        <f>_xlfn.IFNA(VLOOKUP($BD534,Programma!$F$3:$M$1107,8,0),"")</f>
        <v/>
      </c>
      <c r="BL534" s="300" t="str">
        <f>_xlfn.IFNA(VLOOKUP($BD534,Programma!$F$3:$N$1107,9,0),"")</f>
        <v/>
      </c>
      <c r="BM534" s="300" t="str">
        <f>_xlfn.IFNA(VLOOKUP($BD534,Programma!$F$3:$O$1107,10,0),"")</f>
        <v/>
      </c>
      <c r="BN534" s="300" t="str">
        <f>_xlfn.IFNA(VLOOKUP($BD534,Programma!$F$3:$P$1107,11,0),"")</f>
        <v/>
      </c>
      <c r="BO534" s="300" t="str">
        <f>_xlfn.IFNA(VLOOKUP($BD534,Programma!$F$3:$Q$1107,12,0),"")</f>
        <v/>
      </c>
      <c r="BP534" s="300" t="str">
        <f>_xlfn.IFNA(VLOOKUP($BD534,Programma!$F$3:$R$1107,13,0),"")</f>
        <v/>
      </c>
      <c r="BQ534" s="300" t="str">
        <f>_xlfn.IFNA(VLOOKUP($BD534,Programma!$F$3:$S$1107,14,0),"")</f>
        <v/>
      </c>
      <c r="BR534" s="300" t="str">
        <f>_xlfn.IFNA(VLOOKUP($BD534,Programma!$F$3:$T$1107,15,0),"")</f>
        <v/>
      </c>
      <c r="BS534" s="300" t="str">
        <f>_xlfn.IFNA(VLOOKUP($BD534,Programma!$F$3:$U$1107,16,0),"")</f>
        <v/>
      </c>
      <c r="BT534" s="300" t="str">
        <f>_xlfn.IFNA(VLOOKUP($BD534,Programma!$F$3:$V$1107,17,0),"")</f>
        <v/>
      </c>
      <c r="BU534" s="300" t="str">
        <f>_xlfn.IFNA(VLOOKUP($BD534,Programma!$F$3:$W$1107,18,0),"")</f>
        <v/>
      </c>
      <c r="BV534" s="300" t="str">
        <f>_xlfn.IFNA(VLOOKUP($BD534,Programma!$F$3:$X$1107,19,0),"")</f>
        <v/>
      </c>
      <c r="BW534" s="300" t="str">
        <f>_xlfn.IFNA(VLOOKUP($BD534,Programma!$F$3:$Y$1107,20,0),"")</f>
        <v/>
      </c>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c r="GK534" s="4"/>
      <c r="GL534" s="4"/>
      <c r="GM534" s="4"/>
      <c r="GN534" s="4"/>
      <c r="GO534" s="4"/>
      <c r="GP534" s="4"/>
      <c r="GQ534" s="4"/>
      <c r="GR534" s="4"/>
      <c r="GS534" s="4"/>
      <c r="GT534" s="4"/>
      <c r="GU534" s="4"/>
      <c r="GV534" s="4"/>
      <c r="GW534" s="4"/>
      <c r="GX534" s="4"/>
      <c r="GY534" s="4"/>
      <c r="GZ534" s="4"/>
      <c r="HA534" s="4"/>
      <c r="HB534" s="4"/>
      <c r="HC534" s="4"/>
      <c r="HD534" s="4"/>
      <c r="HE534" s="4"/>
      <c r="HF534" s="4"/>
      <c r="HG534" s="4"/>
      <c r="HH534" s="4"/>
      <c r="HI534" s="4"/>
      <c r="HJ534" s="4"/>
      <c r="HK534" s="4"/>
      <c r="HL534" s="4"/>
    </row>
    <row r="535" spans="1:220" ht="15" customHeight="1">
      <c r="A535" s="21">
        <v>6</v>
      </c>
      <c r="B535" s="157" t="str">
        <f>VLOOKUP(Ruimtestaat[[#This Row],[Code]],Locaties[[Code]:[Locatie]],2,FALSE)</f>
        <v>Veurs Lyceum</v>
      </c>
      <c r="C535" s="157" t="str">
        <f>VLOOKUP(Ruimtestaat[[#This Row],[Code]],Locaties[[#All],[Code]:[Adres]],4,FALSE)</f>
        <v>Burg. Kolfschotenlaan 5</v>
      </c>
      <c r="D535" s="157" t="str">
        <f>VLOOKUP(Ruimtestaat[[#This Row],[Code]],Locaties[[#All],[Code]:[Postcode]],5,FALSE)</f>
        <v xml:space="preserve">2262 EZ </v>
      </c>
      <c r="E535" s="157" t="str">
        <f>VLOOKUP(Ruimtestaat[[#This Row],[Code]],Locaties[#All],6,FALSE)</f>
        <v>Leidschendam</v>
      </c>
      <c r="F535" s="62"/>
      <c r="G535" s="21" t="s">
        <v>1706</v>
      </c>
      <c r="H535" s="21" t="s">
        <v>1726</v>
      </c>
      <c r="I535" s="62" t="s">
        <v>1702</v>
      </c>
      <c r="J535" s="21">
        <v>16</v>
      </c>
      <c r="K535" s="62" t="str">
        <f>VLOOKUP(Ruimtestaat[[#This Row],[Ruimte code]],Ruimtegroepen[[#All],[Code]:[Ruimte omschrijving]],2,FALSE)</f>
        <v>Leslokalen theorie</v>
      </c>
      <c r="L535" s="33" t="s">
        <v>103</v>
      </c>
      <c r="M535" s="367" t="s">
        <v>121</v>
      </c>
      <c r="N535" s="140">
        <v>38</v>
      </c>
      <c r="O535" s="140"/>
      <c r="P535" s="125" t="str">
        <f>VLOOKUP(Ruimtestaat[[#This Row],[Ruimte code]],Ruimtegroepen[],4,FALSE)</f>
        <v>Le</v>
      </c>
      <c r="R535" s="33">
        <v>40</v>
      </c>
      <c r="S535" s="33" t="s">
        <v>2</v>
      </c>
      <c r="T535" s="33">
        <f>IF(R535&gt;0,IF(RIGHT(Ruimtestaat[[#This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5" s="33">
        <f>IF(T535&gt;0,VLOOKUP($J535,Ruimtegroepen[],3,FALSE)*VLOOKUP($L535,Vloersoorten[],3,FALSE)*VLOOKUP($S535,Frequenties[],3,FALSE)*VLOOKUP($A535,Locaties[],3,FALSE),0)</f>
        <v>0</v>
      </c>
      <c r="V535" s="33">
        <f>Ruimtestaat[[#This Row],[Uitvoeringen werkdagen]]*Ruimtestaat[[#This Row],[Oppervlak (netto)]]</f>
        <v>7600</v>
      </c>
      <c r="W535" s="154">
        <f>IF(U535&gt;0,Ruimtestaat[[#This Row],[Prest. (m2 /jaar) werkdagen]]/Ruimtestaat[[#This Row],[Norm (m2/uur) werkdagen]],0)</f>
        <v>0</v>
      </c>
      <c r="X535" s="155">
        <f>Ruimtestaat[[#This Row],[uren / jaar werkdagen]]*Tariefsopbouw!$E$35</f>
        <v>0</v>
      </c>
      <c r="Y535" s="33"/>
      <c r="Z535" s="33">
        <f>IF(Ruimtestaat[[#This Row],[Frequentie weekend]]&gt;0,VALUE(LEFT(Y535,1))*R535,0)</f>
        <v>0</v>
      </c>
      <c r="AA535" s="97">
        <f>IF($Z535&gt;0,VLOOKUP($J535,Ruimtegroepen[],3,FALSE)*VLOOKUP($L535,Vloersoorten[],3,FALSE)*VLOOKUP($Y535,Frequenties[],3,FALSE)*VLOOKUP(Ruimtestaat[[#This Row],[Code]],Locaties[],3,FALSE),0)</f>
        <v>0</v>
      </c>
      <c r="AB535" s="97">
        <f>Ruimtestaat[[#This Row],[Uitvoeringen weekend]]*Ruimtestaat[[#This Row],[Oppervlak (netto)]]</f>
        <v>0</v>
      </c>
      <c r="AC535" s="97">
        <f>IF(AA535&gt;0,Ruimtestaat[[#This Row],[Prest. (m2 /jaar) weekend]]/Ruimtestaat[[#This Row],[Norm (m2/uur) weekend]],0)</f>
        <v>0</v>
      </c>
      <c r="AD535" s="155">
        <f>Ruimtestaat[[#This Row],[uren / jaar weekend]]*Tariefsopbouw!$D$40</f>
        <v>0</v>
      </c>
      <c r="AE535" s="154">
        <f>Ruimtestaat[[#This Row],[Prest. (m2 /jaar) weekend]]+Ruimtestaat[[#This Row],[Prest. (m2 /jaar) werkdagen]]</f>
        <v>7600</v>
      </c>
      <c r="AF535" s="154">
        <f>Ruimtestaat[[#This Row],[uren / jaar weekend]]+Ruimtestaat[[#This Row],[uren / jaar werkdagen]]</f>
        <v>0</v>
      </c>
      <c r="AG535" s="69">
        <f>Ruimtestaat[[#This Row],[kosten / jaar weekend]]+Ruimtestaat[[#This Row],[kosten / jaar werkdagen]]</f>
        <v>0</v>
      </c>
      <c r="AH535" s="69"/>
      <c r="AI535" s="256" t="str">
        <f>IF(Ruimtestaat[[#This Row],[Frequentie werkdagen]]="","",_xlfn.CONCAT(Ruimtestaat[[#This Row],[Ruimte code]],"-",Ruimtestaat[[#This Row],[Frequentie werkdagen]]," ",Ruimtestaat[[#This Row],[Vloer code]]))</f>
        <v>16-5w P</v>
      </c>
      <c r="AJ535" s="300" t="str">
        <f>_xlfn.IFNA(VLOOKUP($AI535,Programma!$F$3:$G$1107,2,0),"")</f>
        <v>_</v>
      </c>
      <c r="AK535" s="300" t="str">
        <f>_xlfn.IFNA(VLOOKUP($AI535,Programma!$F$3:$H$1107,3,0),"")</f>
        <v>_</v>
      </c>
      <c r="AL535" s="300" t="str">
        <f>_xlfn.IFNA(VLOOKUP($AI535,Programma!$F$3:$I$1107,4,0),"")</f>
        <v>4w</v>
      </c>
      <c r="AM535" s="300" t="str">
        <f>_xlfn.IFNA(VLOOKUP($AI535,Programma!$F$3:$J$1107,5,0),"")</f>
        <v>1w</v>
      </c>
      <c r="AN535" s="300" t="str">
        <f>_xlfn.IFNA(VLOOKUP($AI535,Programma!$F$3:$K$1107,6,0),"")</f>
        <v>1m</v>
      </c>
      <c r="AO535" s="300" t="str">
        <f>_xlfn.IFNA(VLOOKUP($AI535,Programma!$F$3:$L$1107,7,0),"")</f>
        <v>_</v>
      </c>
      <c r="AP535" s="300" t="str">
        <f>_xlfn.IFNA(VLOOKUP($AI535,Programma!$F$3:$M$1107,8,0),"")</f>
        <v>_</v>
      </c>
      <c r="AQ535" s="300" t="str">
        <f>_xlfn.IFNA(VLOOKUP($AI535,Programma!$F$3:$N$1107,9,0),"")</f>
        <v>_</v>
      </c>
      <c r="AR535" s="300" t="str">
        <f>_xlfn.IFNA(VLOOKUP($AI535,Programma!$F$3:$O$1107,10,0),"")</f>
        <v>5w</v>
      </c>
      <c r="AS535" s="300" t="str">
        <f>_xlfn.IFNA(VLOOKUP($AI535,Programma!$F$3:$P$1107,11,0),"")</f>
        <v>5w</v>
      </c>
      <c r="AT535" s="300" t="str">
        <f>_xlfn.IFNA(VLOOKUP($AI535,Programma!$F$3:$Q$1107,12,0),"")</f>
        <v>1w</v>
      </c>
      <c r="AU535" s="300" t="str">
        <f>_xlfn.IFNA(VLOOKUP($AI535,Programma!$F$3:$R$1107,13,0),"")</f>
        <v>1w</v>
      </c>
      <c r="AV535" s="300" t="str">
        <f>_xlfn.IFNA(VLOOKUP($AI535,Programma!$F$3:$S$1107,14,0),"")</f>
        <v>1m</v>
      </c>
      <c r="AW535" s="300" t="str">
        <f>_xlfn.IFNA(VLOOKUP($AI535,Programma!$F$3:$T$1107,15,0),"")</f>
        <v>2j</v>
      </c>
      <c r="AX535" s="300" t="str">
        <f>_xlfn.IFNA(VLOOKUP($AI535,Programma!$F$3:$U$1107,16,0),"")</f>
        <v>1j</v>
      </c>
      <c r="AY535" s="300" t="str">
        <f>_xlfn.IFNA(VLOOKUP($AI535,Programma!$F$3:$V$1107,17,0),"")</f>
        <v>_</v>
      </c>
      <c r="AZ535" s="300" t="str">
        <f>_xlfn.IFNA(VLOOKUP($AI535,Programma!$F$3:$W$1107,18,0),"")</f>
        <v>_</v>
      </c>
      <c r="BA535" s="300" t="str">
        <f>_xlfn.IFNA(VLOOKUP($AI535,Programma!$F$3:$X$1107,19,0),"")</f>
        <v>_</v>
      </c>
      <c r="BB535" s="300" t="str">
        <f>_xlfn.IFNA(VLOOKUP($AI535,Programma!$F$3:$Y$1107,20,0),"")</f>
        <v>_</v>
      </c>
      <c r="BC535" s="257"/>
      <c r="BD535" s="256" t="str">
        <f>IF(Ruimtestaat[[#This Row],[Frequentie weekend]]="","",_xlfn.CONCAT(Ruimtestaat[[#This Row],[Ruimte code]],"-",Ruimtestaat[[#This Row],[Frequentie weekend]]," ",Ruimtestaat[[#This Row],[Vloer code]]))</f>
        <v/>
      </c>
      <c r="BE535" s="300" t="str">
        <f>_xlfn.IFNA(VLOOKUP($BD535,Programma!$F$3:$G$1107,2,0),"")</f>
        <v/>
      </c>
      <c r="BF535" s="300" t="str">
        <f>_xlfn.IFNA(VLOOKUP($BD535,Programma!$F$3:$H$1107,3,0),"")</f>
        <v/>
      </c>
      <c r="BG535" s="300" t="str">
        <f>_xlfn.IFNA(VLOOKUP($BD535,Programma!$F$3:$I$1107,4,0),"")</f>
        <v/>
      </c>
      <c r="BH535" s="300" t="str">
        <f>_xlfn.IFNA(VLOOKUP($BD535,Programma!$F$3:$J$1107,5,0),"")</f>
        <v/>
      </c>
      <c r="BI535" s="300" t="str">
        <f>_xlfn.IFNA(VLOOKUP($BD535,Programma!$F$3:$K$1107,6,0),"")</f>
        <v/>
      </c>
      <c r="BJ535" s="300" t="str">
        <f>_xlfn.IFNA(VLOOKUP($BD535,Programma!$F$3:$L$1107,7,0),"")</f>
        <v/>
      </c>
      <c r="BK535" s="300" t="str">
        <f>_xlfn.IFNA(VLOOKUP($BD535,Programma!$F$3:$M$1107,8,0),"")</f>
        <v/>
      </c>
      <c r="BL535" s="300" t="str">
        <f>_xlfn.IFNA(VLOOKUP($BD535,Programma!$F$3:$N$1107,9,0),"")</f>
        <v/>
      </c>
      <c r="BM535" s="300" t="str">
        <f>_xlfn.IFNA(VLOOKUP($BD535,Programma!$F$3:$O$1107,10,0),"")</f>
        <v/>
      </c>
      <c r="BN535" s="300" t="str">
        <f>_xlfn.IFNA(VLOOKUP($BD535,Programma!$F$3:$P$1107,11,0),"")</f>
        <v/>
      </c>
      <c r="BO535" s="300" t="str">
        <f>_xlfn.IFNA(VLOOKUP($BD535,Programma!$F$3:$Q$1107,12,0),"")</f>
        <v/>
      </c>
      <c r="BP535" s="300" t="str">
        <f>_xlfn.IFNA(VLOOKUP($BD535,Programma!$F$3:$R$1107,13,0),"")</f>
        <v/>
      </c>
      <c r="BQ535" s="300" t="str">
        <f>_xlfn.IFNA(VLOOKUP($BD535,Programma!$F$3:$S$1107,14,0),"")</f>
        <v/>
      </c>
      <c r="BR535" s="300" t="str">
        <f>_xlfn.IFNA(VLOOKUP($BD535,Programma!$F$3:$T$1107,15,0),"")</f>
        <v/>
      </c>
      <c r="BS535" s="300" t="str">
        <f>_xlfn.IFNA(VLOOKUP($BD535,Programma!$F$3:$U$1107,16,0),"")</f>
        <v/>
      </c>
      <c r="BT535" s="300" t="str">
        <f>_xlfn.IFNA(VLOOKUP($BD535,Programma!$F$3:$V$1107,17,0),"")</f>
        <v/>
      </c>
      <c r="BU535" s="300" t="str">
        <f>_xlfn.IFNA(VLOOKUP($BD535,Programma!$F$3:$W$1107,18,0),"")</f>
        <v/>
      </c>
      <c r="BV535" s="300" t="str">
        <f>_xlfn.IFNA(VLOOKUP($BD535,Programma!$F$3:$X$1107,19,0),"")</f>
        <v/>
      </c>
      <c r="BW535" s="300" t="str">
        <f>_xlfn.IFNA(VLOOKUP($BD535,Programma!$F$3:$Y$1107,20,0),"")</f>
        <v/>
      </c>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c r="GK535" s="4"/>
      <c r="GL535" s="4"/>
      <c r="GM535" s="4"/>
      <c r="GN535" s="4"/>
      <c r="GO535" s="4"/>
      <c r="GP535" s="4"/>
      <c r="GQ535" s="4"/>
      <c r="GR535" s="4"/>
      <c r="GS535" s="4"/>
      <c r="GT535" s="4"/>
      <c r="GU535" s="4"/>
      <c r="GV535" s="4"/>
      <c r="GW535" s="4"/>
      <c r="GX535" s="4"/>
      <c r="GY535" s="4"/>
      <c r="GZ535" s="4"/>
      <c r="HA535" s="4"/>
      <c r="HB535" s="4"/>
      <c r="HC535" s="4"/>
      <c r="HD535" s="4"/>
      <c r="HE535" s="4"/>
      <c r="HF535" s="4"/>
      <c r="HG535" s="4"/>
      <c r="HH535" s="4"/>
      <c r="HI535" s="4"/>
      <c r="HJ535" s="4"/>
      <c r="HK535" s="4"/>
      <c r="HL535" s="4"/>
    </row>
    <row r="536" spans="1:220" ht="15" customHeight="1">
      <c r="A536" s="21">
        <v>6</v>
      </c>
      <c r="B536" s="157" t="str">
        <f>VLOOKUP(Ruimtestaat[[#This Row],[Code]],Locaties[[Code]:[Locatie]],2,FALSE)</f>
        <v>Veurs Lyceum</v>
      </c>
      <c r="C536" s="157" t="str">
        <f>VLOOKUP(Ruimtestaat[[#This Row],[Code]],Locaties[[#All],[Code]:[Adres]],4,FALSE)</f>
        <v>Burg. Kolfschotenlaan 5</v>
      </c>
      <c r="D536" s="157" t="str">
        <f>VLOOKUP(Ruimtestaat[[#This Row],[Code]],Locaties[[#All],[Code]:[Postcode]],5,FALSE)</f>
        <v xml:space="preserve">2262 EZ </v>
      </c>
      <c r="E536" s="157" t="str">
        <f>VLOOKUP(Ruimtestaat[[#This Row],[Code]],Locaties[#All],6,FALSE)</f>
        <v>Leidschendam</v>
      </c>
      <c r="F536" s="62"/>
      <c r="G536" s="21" t="s">
        <v>1706</v>
      </c>
      <c r="H536" s="21" t="s">
        <v>1728</v>
      </c>
      <c r="I536" s="62" t="s">
        <v>2127</v>
      </c>
      <c r="J536" s="21">
        <v>14</v>
      </c>
      <c r="K536" s="62" t="str">
        <f>VLOOKUP(Ruimtestaat[[#This Row],[Ruimte code]],Ruimtegroepen[[#All],[Code]:[Ruimte omschrijving]],2,FALSE)</f>
        <v>Praktijklokalen binas/zorg</v>
      </c>
      <c r="L536" s="33" t="s">
        <v>101</v>
      </c>
      <c r="M536" s="367" t="s">
        <v>2522</v>
      </c>
      <c r="N536" s="140">
        <v>86</v>
      </c>
      <c r="O536" s="140"/>
      <c r="P536" s="125" t="str">
        <f>VLOOKUP(Ruimtestaat[[#This Row],[Ruimte code]],Ruimtegroepen[],4,FALSE)</f>
        <v>Le</v>
      </c>
      <c r="R536" s="33">
        <v>40</v>
      </c>
      <c r="S536" s="33" t="s">
        <v>2</v>
      </c>
      <c r="T536" s="33">
        <f>IF(R536&gt;0,IF(RIGHT(Ruimtestaat[[#This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6" s="33">
        <f>IF(T536&gt;0,VLOOKUP($J536,Ruimtegroepen[],3,FALSE)*VLOOKUP($L536,Vloersoorten[],3,FALSE)*VLOOKUP($S536,Frequenties[],3,FALSE)*VLOOKUP($A536,Locaties[],3,FALSE),0)</f>
        <v>0</v>
      </c>
      <c r="V536" s="33">
        <f>Ruimtestaat[[#This Row],[Uitvoeringen werkdagen]]*Ruimtestaat[[#This Row],[Oppervlak (netto)]]</f>
        <v>17200</v>
      </c>
      <c r="W536" s="154">
        <f>IF(U536&gt;0,Ruimtestaat[[#This Row],[Prest. (m2 /jaar) werkdagen]]/Ruimtestaat[[#This Row],[Norm (m2/uur) werkdagen]],0)</f>
        <v>0</v>
      </c>
      <c r="X536" s="155">
        <f>Ruimtestaat[[#This Row],[uren / jaar werkdagen]]*Tariefsopbouw!$E$35</f>
        <v>0</v>
      </c>
      <c r="Y536" s="33"/>
      <c r="Z536" s="33">
        <f>IF(Ruimtestaat[[#This Row],[Frequentie weekend]]&gt;0,VALUE(LEFT(Y536,1))*R536,0)</f>
        <v>0</v>
      </c>
      <c r="AA536" s="97">
        <f>IF($Z536&gt;0,VLOOKUP($J536,Ruimtegroepen[],3,FALSE)*VLOOKUP($L536,Vloersoorten[],3,FALSE)*VLOOKUP($Y536,Frequenties[],3,FALSE)*VLOOKUP(Ruimtestaat[[#This Row],[Code]],Locaties[],3,FALSE),0)</f>
        <v>0</v>
      </c>
      <c r="AB536" s="97">
        <f>Ruimtestaat[[#This Row],[Uitvoeringen weekend]]*Ruimtestaat[[#This Row],[Oppervlak (netto)]]</f>
        <v>0</v>
      </c>
      <c r="AC536" s="97">
        <f>IF(AA536&gt;0,Ruimtestaat[[#This Row],[Prest. (m2 /jaar) weekend]]/Ruimtestaat[[#This Row],[Norm (m2/uur) weekend]],0)</f>
        <v>0</v>
      </c>
      <c r="AD536" s="155">
        <f>Ruimtestaat[[#This Row],[uren / jaar weekend]]*Tariefsopbouw!$D$40</f>
        <v>0</v>
      </c>
      <c r="AE536" s="154">
        <f>Ruimtestaat[[#This Row],[Prest. (m2 /jaar) weekend]]+Ruimtestaat[[#This Row],[Prest. (m2 /jaar) werkdagen]]</f>
        <v>17200</v>
      </c>
      <c r="AF536" s="154">
        <f>Ruimtestaat[[#This Row],[uren / jaar weekend]]+Ruimtestaat[[#This Row],[uren / jaar werkdagen]]</f>
        <v>0</v>
      </c>
      <c r="AG536" s="69">
        <f>Ruimtestaat[[#This Row],[kosten / jaar weekend]]+Ruimtestaat[[#This Row],[kosten / jaar werkdagen]]</f>
        <v>0</v>
      </c>
      <c r="AH536" s="69"/>
      <c r="AI536" s="256" t="str">
        <f>IF(Ruimtestaat[[#This Row],[Frequentie werkdagen]]="","",_xlfn.CONCAT(Ruimtestaat[[#This Row],[Ruimte code]],"-",Ruimtestaat[[#This Row],[Frequentie werkdagen]]," ",Ruimtestaat[[#This Row],[Vloer code]]))</f>
        <v>14-5w L</v>
      </c>
      <c r="AJ536" s="300" t="str">
        <f>_xlfn.IFNA(VLOOKUP($AI536,Programma!$F$3:$G$1107,2,0),"")</f>
        <v>_</v>
      </c>
      <c r="AK536" s="300" t="str">
        <f>_xlfn.IFNA(VLOOKUP($AI536,Programma!$F$3:$H$1107,3,0),"")</f>
        <v>_</v>
      </c>
      <c r="AL536" s="300" t="str">
        <f>_xlfn.IFNA(VLOOKUP($AI536,Programma!$F$3:$I$1107,4,0),"")</f>
        <v>_</v>
      </c>
      <c r="AM536" s="300" t="str">
        <f>_xlfn.IFNA(VLOOKUP($AI536,Programma!$F$3:$J$1107,5,0),"")</f>
        <v>5w</v>
      </c>
      <c r="AN536" s="300" t="str">
        <f>_xlfn.IFNA(VLOOKUP($AI536,Programma!$F$3:$K$1107,6,0),"")</f>
        <v>_</v>
      </c>
      <c r="AO536" s="300" t="str">
        <f>_xlfn.IFNA(VLOOKUP($AI536,Programma!$F$3:$L$1107,7,0),"")</f>
        <v>_</v>
      </c>
      <c r="AP536" s="300" t="str">
        <f>_xlfn.IFNA(VLOOKUP($AI536,Programma!$F$3:$M$1107,8,0),"")</f>
        <v>_</v>
      </c>
      <c r="AQ536" s="300" t="str">
        <f>_xlfn.IFNA(VLOOKUP($AI536,Programma!$F$3:$N$1107,9,0),"")</f>
        <v>_</v>
      </c>
      <c r="AR536" s="300" t="str">
        <f>_xlfn.IFNA(VLOOKUP($AI536,Programma!$F$3:$O$1107,10,0),"")</f>
        <v>5w</v>
      </c>
      <c r="AS536" s="300" t="str">
        <f>_xlfn.IFNA(VLOOKUP($AI536,Programma!$F$3:$P$1107,11,0),"")</f>
        <v>5w</v>
      </c>
      <c r="AT536" s="300" t="str">
        <f>_xlfn.IFNA(VLOOKUP($AI536,Programma!$F$3:$Q$1107,12,0),"")</f>
        <v>1w</v>
      </c>
      <c r="AU536" s="300" t="str">
        <f>_xlfn.IFNA(VLOOKUP($AI536,Programma!$F$3:$R$1107,13,0),"")</f>
        <v>1w</v>
      </c>
      <c r="AV536" s="300" t="str">
        <f>_xlfn.IFNA(VLOOKUP($AI536,Programma!$F$3:$S$1107,14,0),"")</f>
        <v>1m</v>
      </c>
      <c r="AW536" s="300" t="str">
        <f>_xlfn.IFNA(VLOOKUP($AI536,Programma!$F$3:$T$1107,15,0),"")</f>
        <v>2j</v>
      </c>
      <c r="AX536" s="300" t="str">
        <f>_xlfn.IFNA(VLOOKUP($AI536,Programma!$F$3:$U$1107,16,0),"")</f>
        <v>1j</v>
      </c>
      <c r="AY536" s="300" t="str">
        <f>_xlfn.IFNA(VLOOKUP($AI536,Programma!$F$3:$V$1107,17,0),"")</f>
        <v>_</v>
      </c>
      <c r="AZ536" s="300" t="str">
        <f>_xlfn.IFNA(VLOOKUP($AI536,Programma!$F$3:$W$1107,18,0),"")</f>
        <v>_</v>
      </c>
      <c r="BA536" s="300" t="str">
        <f>_xlfn.IFNA(VLOOKUP($AI536,Programma!$F$3:$X$1107,19,0),"")</f>
        <v>_</v>
      </c>
      <c r="BB536" s="300" t="str">
        <f>_xlfn.IFNA(VLOOKUP($AI536,Programma!$F$3:$Y$1107,20,0),"")</f>
        <v>_</v>
      </c>
      <c r="BC536" s="257"/>
      <c r="BD536" s="256" t="str">
        <f>IF(Ruimtestaat[[#This Row],[Frequentie weekend]]="","",_xlfn.CONCAT(Ruimtestaat[[#This Row],[Ruimte code]],"-",Ruimtestaat[[#This Row],[Frequentie weekend]]," ",Ruimtestaat[[#This Row],[Vloer code]]))</f>
        <v/>
      </c>
      <c r="BE536" s="300" t="str">
        <f>_xlfn.IFNA(VLOOKUP($BD536,Programma!$F$3:$G$1107,2,0),"")</f>
        <v/>
      </c>
      <c r="BF536" s="300" t="str">
        <f>_xlfn.IFNA(VLOOKUP($BD536,Programma!$F$3:$H$1107,3,0),"")</f>
        <v/>
      </c>
      <c r="BG536" s="300" t="str">
        <f>_xlfn.IFNA(VLOOKUP($BD536,Programma!$F$3:$I$1107,4,0),"")</f>
        <v/>
      </c>
      <c r="BH536" s="300" t="str">
        <f>_xlfn.IFNA(VLOOKUP($BD536,Programma!$F$3:$J$1107,5,0),"")</f>
        <v/>
      </c>
      <c r="BI536" s="300" t="str">
        <f>_xlfn.IFNA(VLOOKUP($BD536,Programma!$F$3:$K$1107,6,0),"")</f>
        <v/>
      </c>
      <c r="BJ536" s="300" t="str">
        <f>_xlfn.IFNA(VLOOKUP($BD536,Programma!$F$3:$L$1107,7,0),"")</f>
        <v/>
      </c>
      <c r="BK536" s="300" t="str">
        <f>_xlfn.IFNA(VLOOKUP($BD536,Programma!$F$3:$M$1107,8,0),"")</f>
        <v/>
      </c>
      <c r="BL536" s="300" t="str">
        <f>_xlfn.IFNA(VLOOKUP($BD536,Programma!$F$3:$N$1107,9,0),"")</f>
        <v/>
      </c>
      <c r="BM536" s="300" t="str">
        <f>_xlfn.IFNA(VLOOKUP($BD536,Programma!$F$3:$O$1107,10,0),"")</f>
        <v/>
      </c>
      <c r="BN536" s="300" t="str">
        <f>_xlfn.IFNA(VLOOKUP($BD536,Programma!$F$3:$P$1107,11,0),"")</f>
        <v/>
      </c>
      <c r="BO536" s="300" t="str">
        <f>_xlfn.IFNA(VLOOKUP($BD536,Programma!$F$3:$Q$1107,12,0),"")</f>
        <v/>
      </c>
      <c r="BP536" s="300" t="str">
        <f>_xlfn.IFNA(VLOOKUP($BD536,Programma!$F$3:$R$1107,13,0),"")</f>
        <v/>
      </c>
      <c r="BQ536" s="300" t="str">
        <f>_xlfn.IFNA(VLOOKUP($BD536,Programma!$F$3:$S$1107,14,0),"")</f>
        <v/>
      </c>
      <c r="BR536" s="300" t="str">
        <f>_xlfn.IFNA(VLOOKUP($BD536,Programma!$F$3:$T$1107,15,0),"")</f>
        <v/>
      </c>
      <c r="BS536" s="300" t="str">
        <f>_xlfn.IFNA(VLOOKUP($BD536,Programma!$F$3:$U$1107,16,0),"")</f>
        <v/>
      </c>
      <c r="BT536" s="300" t="str">
        <f>_xlfn.IFNA(VLOOKUP($BD536,Programma!$F$3:$V$1107,17,0),"")</f>
        <v/>
      </c>
      <c r="BU536" s="300" t="str">
        <f>_xlfn.IFNA(VLOOKUP($BD536,Programma!$F$3:$W$1107,18,0),"")</f>
        <v/>
      </c>
      <c r="BV536" s="300" t="str">
        <f>_xlfn.IFNA(VLOOKUP($BD536,Programma!$F$3:$X$1107,19,0),"")</f>
        <v/>
      </c>
      <c r="BW536" s="300" t="str">
        <f>_xlfn.IFNA(VLOOKUP($BD536,Programma!$F$3:$Y$1107,20,0),"")</f>
        <v/>
      </c>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c r="GK536" s="4"/>
      <c r="GL536" s="4"/>
      <c r="GM536" s="4"/>
      <c r="GN536" s="4"/>
      <c r="GO536" s="4"/>
      <c r="GP536" s="4"/>
      <c r="GQ536" s="4"/>
      <c r="GR536" s="4"/>
      <c r="GS536" s="4"/>
      <c r="GT536" s="4"/>
      <c r="GU536" s="4"/>
      <c r="GV536" s="4"/>
      <c r="GW536" s="4"/>
      <c r="GX536" s="4"/>
      <c r="GY536" s="4"/>
      <c r="GZ536" s="4"/>
      <c r="HA536" s="4"/>
      <c r="HB536" s="4"/>
      <c r="HC536" s="4"/>
      <c r="HD536" s="4"/>
      <c r="HE536" s="4"/>
      <c r="HF536" s="4"/>
      <c r="HG536" s="4"/>
      <c r="HH536" s="4"/>
      <c r="HI536" s="4"/>
      <c r="HJ536" s="4"/>
      <c r="HK536" s="4"/>
      <c r="HL536" s="4"/>
    </row>
    <row r="537" spans="1:220" ht="15" customHeight="1">
      <c r="A537" s="21">
        <v>6</v>
      </c>
      <c r="B537" s="157" t="str">
        <f>VLOOKUP(Ruimtestaat[[#This Row],[Code]],Locaties[[Code]:[Locatie]],2,FALSE)</f>
        <v>Veurs Lyceum</v>
      </c>
      <c r="C537" s="157" t="str">
        <f>VLOOKUP(Ruimtestaat[[#This Row],[Code]],Locaties[[#All],[Code]:[Adres]],4,FALSE)</f>
        <v>Burg. Kolfschotenlaan 5</v>
      </c>
      <c r="D537" s="157" t="str">
        <f>VLOOKUP(Ruimtestaat[[#This Row],[Code]],Locaties[[#All],[Code]:[Postcode]],5,FALSE)</f>
        <v xml:space="preserve">2262 EZ </v>
      </c>
      <c r="E537" s="157" t="str">
        <f>VLOOKUP(Ruimtestaat[[#This Row],[Code]],Locaties[#All],6,FALSE)</f>
        <v>Leidschendam</v>
      </c>
      <c r="F537" s="62"/>
      <c r="G537" s="21" t="s">
        <v>1706</v>
      </c>
      <c r="H537" s="21" t="s">
        <v>1730</v>
      </c>
      <c r="I537" s="62" t="s">
        <v>2128</v>
      </c>
      <c r="J537" s="21">
        <v>14</v>
      </c>
      <c r="K537" s="62" t="str">
        <f>VLOOKUP(Ruimtestaat[[#This Row],[Ruimte code]],Ruimtegroepen[[#All],[Code]:[Ruimte omschrijving]],2,FALSE)</f>
        <v>Praktijklokalen binas/zorg</v>
      </c>
      <c r="L537" s="33" t="s">
        <v>101</v>
      </c>
      <c r="M537" s="367" t="s">
        <v>2495</v>
      </c>
      <c r="N537" s="140">
        <v>80</v>
      </c>
      <c r="O537" s="140"/>
      <c r="P537" s="125" t="str">
        <f>VLOOKUP(Ruimtestaat[[#This Row],[Ruimte code]],Ruimtegroepen[],4,FALSE)</f>
        <v>Le</v>
      </c>
      <c r="R537" s="33">
        <v>40</v>
      </c>
      <c r="S537" s="33" t="s">
        <v>2</v>
      </c>
      <c r="T537" s="33">
        <f>IF(R537&gt;0,IF(RIGHT(Ruimtestaat[[#This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7" s="33">
        <f>IF(T537&gt;0,VLOOKUP($J537,Ruimtegroepen[],3,FALSE)*VLOOKUP($L537,Vloersoorten[],3,FALSE)*VLOOKUP($S537,Frequenties[],3,FALSE)*VLOOKUP($A537,Locaties[],3,FALSE),0)</f>
        <v>0</v>
      </c>
      <c r="V537" s="33">
        <f>Ruimtestaat[[#This Row],[Uitvoeringen werkdagen]]*Ruimtestaat[[#This Row],[Oppervlak (netto)]]</f>
        <v>16000</v>
      </c>
      <c r="W537" s="154">
        <f>IF(U537&gt;0,Ruimtestaat[[#This Row],[Prest. (m2 /jaar) werkdagen]]/Ruimtestaat[[#This Row],[Norm (m2/uur) werkdagen]],0)</f>
        <v>0</v>
      </c>
      <c r="X537" s="155">
        <f>Ruimtestaat[[#This Row],[uren / jaar werkdagen]]*Tariefsopbouw!$E$35</f>
        <v>0</v>
      </c>
      <c r="Y537" s="33"/>
      <c r="Z537" s="33">
        <f>IF(Ruimtestaat[[#This Row],[Frequentie weekend]]&gt;0,VALUE(LEFT(Y537,1))*R537,0)</f>
        <v>0</v>
      </c>
      <c r="AA537" s="97">
        <f>IF($Z537&gt;0,VLOOKUP($J537,Ruimtegroepen[],3,FALSE)*VLOOKUP($L537,Vloersoorten[],3,FALSE)*VLOOKUP($Y537,Frequenties[],3,FALSE)*VLOOKUP(Ruimtestaat[[#This Row],[Code]],Locaties[],3,FALSE),0)</f>
        <v>0</v>
      </c>
      <c r="AB537" s="97">
        <f>Ruimtestaat[[#This Row],[Uitvoeringen weekend]]*Ruimtestaat[[#This Row],[Oppervlak (netto)]]</f>
        <v>0</v>
      </c>
      <c r="AC537" s="97">
        <f>IF(AA537&gt;0,Ruimtestaat[[#This Row],[Prest. (m2 /jaar) weekend]]/Ruimtestaat[[#This Row],[Norm (m2/uur) weekend]],0)</f>
        <v>0</v>
      </c>
      <c r="AD537" s="155">
        <f>Ruimtestaat[[#This Row],[uren / jaar weekend]]*Tariefsopbouw!$D$40</f>
        <v>0</v>
      </c>
      <c r="AE537" s="154">
        <f>Ruimtestaat[[#This Row],[Prest. (m2 /jaar) weekend]]+Ruimtestaat[[#This Row],[Prest. (m2 /jaar) werkdagen]]</f>
        <v>16000</v>
      </c>
      <c r="AF537" s="154">
        <f>Ruimtestaat[[#This Row],[uren / jaar weekend]]+Ruimtestaat[[#This Row],[uren / jaar werkdagen]]</f>
        <v>0</v>
      </c>
      <c r="AG537" s="69">
        <f>Ruimtestaat[[#This Row],[kosten / jaar weekend]]+Ruimtestaat[[#This Row],[kosten / jaar werkdagen]]</f>
        <v>0</v>
      </c>
      <c r="AH537" s="69"/>
      <c r="AI537" s="256" t="str">
        <f>IF(Ruimtestaat[[#This Row],[Frequentie werkdagen]]="","",_xlfn.CONCAT(Ruimtestaat[[#This Row],[Ruimte code]],"-",Ruimtestaat[[#This Row],[Frequentie werkdagen]]," ",Ruimtestaat[[#This Row],[Vloer code]]))</f>
        <v>14-5w L</v>
      </c>
      <c r="AJ537" s="300" t="str">
        <f>_xlfn.IFNA(VLOOKUP($AI537,Programma!$F$3:$G$1107,2,0),"")</f>
        <v>_</v>
      </c>
      <c r="AK537" s="300" t="str">
        <f>_xlfn.IFNA(VLOOKUP($AI537,Programma!$F$3:$H$1107,3,0),"")</f>
        <v>_</v>
      </c>
      <c r="AL537" s="300" t="str">
        <f>_xlfn.IFNA(VLOOKUP($AI537,Programma!$F$3:$I$1107,4,0),"")</f>
        <v>_</v>
      </c>
      <c r="AM537" s="300" t="str">
        <f>_xlfn.IFNA(VLOOKUP($AI537,Programma!$F$3:$J$1107,5,0),"")</f>
        <v>5w</v>
      </c>
      <c r="AN537" s="300" t="str">
        <f>_xlfn.IFNA(VLOOKUP($AI537,Programma!$F$3:$K$1107,6,0),"")</f>
        <v>_</v>
      </c>
      <c r="AO537" s="300" t="str">
        <f>_xlfn.IFNA(VLOOKUP($AI537,Programma!$F$3:$L$1107,7,0),"")</f>
        <v>_</v>
      </c>
      <c r="AP537" s="300" t="str">
        <f>_xlfn.IFNA(VLOOKUP($AI537,Programma!$F$3:$M$1107,8,0),"")</f>
        <v>_</v>
      </c>
      <c r="AQ537" s="300" t="str">
        <f>_xlfn.IFNA(VLOOKUP($AI537,Programma!$F$3:$N$1107,9,0),"")</f>
        <v>_</v>
      </c>
      <c r="AR537" s="300" t="str">
        <f>_xlfn.IFNA(VLOOKUP($AI537,Programma!$F$3:$O$1107,10,0),"")</f>
        <v>5w</v>
      </c>
      <c r="AS537" s="300" t="str">
        <f>_xlfn.IFNA(VLOOKUP($AI537,Programma!$F$3:$P$1107,11,0),"")</f>
        <v>5w</v>
      </c>
      <c r="AT537" s="300" t="str">
        <f>_xlfn.IFNA(VLOOKUP($AI537,Programma!$F$3:$Q$1107,12,0),"")</f>
        <v>1w</v>
      </c>
      <c r="AU537" s="300" t="str">
        <f>_xlfn.IFNA(VLOOKUP($AI537,Programma!$F$3:$R$1107,13,0),"")</f>
        <v>1w</v>
      </c>
      <c r="AV537" s="300" t="str">
        <f>_xlfn.IFNA(VLOOKUP($AI537,Programma!$F$3:$S$1107,14,0),"")</f>
        <v>1m</v>
      </c>
      <c r="AW537" s="300" t="str">
        <f>_xlfn.IFNA(VLOOKUP($AI537,Programma!$F$3:$T$1107,15,0),"")</f>
        <v>2j</v>
      </c>
      <c r="AX537" s="300" t="str">
        <f>_xlfn.IFNA(VLOOKUP($AI537,Programma!$F$3:$U$1107,16,0),"")</f>
        <v>1j</v>
      </c>
      <c r="AY537" s="300" t="str">
        <f>_xlfn.IFNA(VLOOKUP($AI537,Programma!$F$3:$V$1107,17,0),"")</f>
        <v>_</v>
      </c>
      <c r="AZ537" s="300" t="str">
        <f>_xlfn.IFNA(VLOOKUP($AI537,Programma!$F$3:$W$1107,18,0),"")</f>
        <v>_</v>
      </c>
      <c r="BA537" s="300" t="str">
        <f>_xlfn.IFNA(VLOOKUP($AI537,Programma!$F$3:$X$1107,19,0),"")</f>
        <v>_</v>
      </c>
      <c r="BB537" s="300" t="str">
        <f>_xlfn.IFNA(VLOOKUP($AI537,Programma!$F$3:$Y$1107,20,0),"")</f>
        <v>_</v>
      </c>
      <c r="BC537" s="257"/>
      <c r="BD537" s="256" t="str">
        <f>IF(Ruimtestaat[[#This Row],[Frequentie weekend]]="","",_xlfn.CONCAT(Ruimtestaat[[#This Row],[Ruimte code]],"-",Ruimtestaat[[#This Row],[Frequentie weekend]]," ",Ruimtestaat[[#This Row],[Vloer code]]))</f>
        <v/>
      </c>
      <c r="BE537" s="300" t="str">
        <f>_xlfn.IFNA(VLOOKUP($BD537,Programma!$F$3:$G$1107,2,0),"")</f>
        <v/>
      </c>
      <c r="BF537" s="300" t="str">
        <f>_xlfn.IFNA(VLOOKUP($BD537,Programma!$F$3:$H$1107,3,0),"")</f>
        <v/>
      </c>
      <c r="BG537" s="300" t="str">
        <f>_xlfn.IFNA(VLOOKUP($BD537,Programma!$F$3:$I$1107,4,0),"")</f>
        <v/>
      </c>
      <c r="BH537" s="300" t="str">
        <f>_xlfn.IFNA(VLOOKUP($BD537,Programma!$F$3:$J$1107,5,0),"")</f>
        <v/>
      </c>
      <c r="BI537" s="300" t="str">
        <f>_xlfn.IFNA(VLOOKUP($BD537,Programma!$F$3:$K$1107,6,0),"")</f>
        <v/>
      </c>
      <c r="BJ537" s="300" t="str">
        <f>_xlfn.IFNA(VLOOKUP($BD537,Programma!$F$3:$L$1107,7,0),"")</f>
        <v/>
      </c>
      <c r="BK537" s="300" t="str">
        <f>_xlfn.IFNA(VLOOKUP($BD537,Programma!$F$3:$M$1107,8,0),"")</f>
        <v/>
      </c>
      <c r="BL537" s="300" t="str">
        <f>_xlfn.IFNA(VLOOKUP($BD537,Programma!$F$3:$N$1107,9,0),"")</f>
        <v/>
      </c>
      <c r="BM537" s="300" t="str">
        <f>_xlfn.IFNA(VLOOKUP($BD537,Programma!$F$3:$O$1107,10,0),"")</f>
        <v/>
      </c>
      <c r="BN537" s="300" t="str">
        <f>_xlfn.IFNA(VLOOKUP($BD537,Programma!$F$3:$P$1107,11,0),"")</f>
        <v/>
      </c>
      <c r="BO537" s="300" t="str">
        <f>_xlfn.IFNA(VLOOKUP($BD537,Programma!$F$3:$Q$1107,12,0),"")</f>
        <v/>
      </c>
      <c r="BP537" s="300" t="str">
        <f>_xlfn.IFNA(VLOOKUP($BD537,Programma!$F$3:$R$1107,13,0),"")</f>
        <v/>
      </c>
      <c r="BQ537" s="300" t="str">
        <f>_xlfn.IFNA(VLOOKUP($BD537,Programma!$F$3:$S$1107,14,0),"")</f>
        <v/>
      </c>
      <c r="BR537" s="300" t="str">
        <f>_xlfn.IFNA(VLOOKUP($BD537,Programma!$F$3:$T$1107,15,0),"")</f>
        <v/>
      </c>
      <c r="BS537" s="300" t="str">
        <f>_xlfn.IFNA(VLOOKUP($BD537,Programma!$F$3:$U$1107,16,0),"")</f>
        <v/>
      </c>
      <c r="BT537" s="300" t="str">
        <f>_xlfn.IFNA(VLOOKUP($BD537,Programma!$F$3:$V$1107,17,0),"")</f>
        <v/>
      </c>
      <c r="BU537" s="300" t="str">
        <f>_xlfn.IFNA(VLOOKUP($BD537,Programma!$F$3:$W$1107,18,0),"")</f>
        <v/>
      </c>
      <c r="BV537" s="300" t="str">
        <f>_xlfn.IFNA(VLOOKUP($BD537,Programma!$F$3:$X$1107,19,0),"")</f>
        <v/>
      </c>
      <c r="BW537" s="300" t="str">
        <f>_xlfn.IFNA(VLOOKUP($BD537,Programma!$F$3:$Y$1107,20,0),"")</f>
        <v/>
      </c>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c r="GK537" s="4"/>
      <c r="GL537" s="4"/>
      <c r="GM537" s="4"/>
      <c r="GN537" s="4"/>
      <c r="GO537" s="4"/>
      <c r="GP537" s="4"/>
      <c r="GQ537" s="4"/>
      <c r="GR537" s="4"/>
      <c r="GS537" s="4"/>
      <c r="GT537" s="4"/>
      <c r="GU537" s="4"/>
      <c r="GV537" s="4"/>
      <c r="GW537" s="4"/>
      <c r="GX537" s="4"/>
      <c r="GY537" s="4"/>
      <c r="GZ537" s="4"/>
      <c r="HA537" s="4"/>
      <c r="HB537" s="4"/>
      <c r="HC537" s="4"/>
      <c r="HD537" s="4"/>
      <c r="HE537" s="4"/>
      <c r="HF537" s="4"/>
      <c r="HG537" s="4"/>
      <c r="HH537" s="4"/>
      <c r="HI537" s="4"/>
      <c r="HJ537" s="4"/>
      <c r="HK537" s="4"/>
      <c r="HL537" s="4"/>
    </row>
    <row r="538" spans="1:220" ht="15" customHeight="1">
      <c r="A538" s="21">
        <v>6</v>
      </c>
      <c r="B538" s="157" t="str">
        <f>VLOOKUP(Ruimtestaat[[#This Row],[Code]],Locaties[[Code]:[Locatie]],2,FALSE)</f>
        <v>Veurs Lyceum</v>
      </c>
      <c r="C538" s="157" t="str">
        <f>VLOOKUP(Ruimtestaat[[#This Row],[Code]],Locaties[[#All],[Code]:[Adres]],4,FALSE)</f>
        <v>Burg. Kolfschotenlaan 5</v>
      </c>
      <c r="D538" s="157" t="str">
        <f>VLOOKUP(Ruimtestaat[[#This Row],[Code]],Locaties[[#All],[Code]:[Postcode]],5,FALSE)</f>
        <v xml:space="preserve">2262 EZ </v>
      </c>
      <c r="E538" s="157" t="str">
        <f>VLOOKUP(Ruimtestaat[[#This Row],[Code]],Locaties[#All],6,FALSE)</f>
        <v>Leidschendam</v>
      </c>
      <c r="F538" s="62"/>
      <c r="G538" s="21" t="s">
        <v>1706</v>
      </c>
      <c r="H538" s="21" t="s">
        <v>1732</v>
      </c>
      <c r="I538" s="62" t="s">
        <v>2125</v>
      </c>
      <c r="J538" s="21">
        <v>14</v>
      </c>
      <c r="K538" s="62" t="str">
        <f>VLOOKUP(Ruimtestaat[[#This Row],[Ruimte code]],Ruimtegroepen[[#All],[Code]:[Ruimte omschrijving]],2,FALSE)</f>
        <v>Praktijklokalen binas/zorg</v>
      </c>
      <c r="L538" s="33" t="s">
        <v>101</v>
      </c>
      <c r="M538" s="367" t="s">
        <v>2495</v>
      </c>
      <c r="N538" s="140">
        <v>31</v>
      </c>
      <c r="O538" s="140"/>
      <c r="P538" s="125" t="str">
        <f>VLOOKUP(Ruimtestaat[[#This Row],[Ruimte code]],Ruimtegroepen[],4,FALSE)</f>
        <v>Le</v>
      </c>
      <c r="R538" s="33">
        <v>40</v>
      </c>
      <c r="S538" s="33" t="s">
        <v>2</v>
      </c>
      <c r="T538" s="33">
        <f>IF(R538&gt;0,IF(RIGHT(Ruimtestaat[[#This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8" s="33">
        <f>IF(T538&gt;0,VLOOKUP($J538,Ruimtegroepen[],3,FALSE)*VLOOKUP($L538,Vloersoorten[],3,FALSE)*VLOOKUP($S538,Frequenties[],3,FALSE)*VLOOKUP($A538,Locaties[],3,FALSE),0)</f>
        <v>0</v>
      </c>
      <c r="V538" s="33">
        <f>Ruimtestaat[[#This Row],[Uitvoeringen werkdagen]]*Ruimtestaat[[#This Row],[Oppervlak (netto)]]</f>
        <v>6200</v>
      </c>
      <c r="W538" s="154">
        <f>IF(U538&gt;0,Ruimtestaat[[#This Row],[Prest. (m2 /jaar) werkdagen]]/Ruimtestaat[[#This Row],[Norm (m2/uur) werkdagen]],0)</f>
        <v>0</v>
      </c>
      <c r="X538" s="155">
        <f>Ruimtestaat[[#This Row],[uren / jaar werkdagen]]*Tariefsopbouw!$E$35</f>
        <v>0</v>
      </c>
      <c r="Y538" s="33"/>
      <c r="Z538" s="33">
        <f>IF(Ruimtestaat[[#This Row],[Frequentie weekend]]&gt;0,VALUE(LEFT(Y538,1))*R538,0)</f>
        <v>0</v>
      </c>
      <c r="AA538" s="97">
        <f>IF($Z538&gt;0,VLOOKUP($J538,Ruimtegroepen[],3,FALSE)*VLOOKUP($L538,Vloersoorten[],3,FALSE)*VLOOKUP($Y538,Frequenties[],3,FALSE)*VLOOKUP(Ruimtestaat[[#This Row],[Code]],Locaties[],3,FALSE),0)</f>
        <v>0</v>
      </c>
      <c r="AB538" s="97">
        <f>Ruimtestaat[[#This Row],[Uitvoeringen weekend]]*Ruimtestaat[[#This Row],[Oppervlak (netto)]]</f>
        <v>0</v>
      </c>
      <c r="AC538" s="97">
        <f>IF(AA538&gt;0,Ruimtestaat[[#This Row],[Prest. (m2 /jaar) weekend]]/Ruimtestaat[[#This Row],[Norm (m2/uur) weekend]],0)</f>
        <v>0</v>
      </c>
      <c r="AD538" s="155">
        <f>Ruimtestaat[[#This Row],[uren / jaar weekend]]*Tariefsopbouw!$D$40</f>
        <v>0</v>
      </c>
      <c r="AE538" s="154">
        <f>Ruimtestaat[[#This Row],[Prest. (m2 /jaar) weekend]]+Ruimtestaat[[#This Row],[Prest. (m2 /jaar) werkdagen]]</f>
        <v>6200</v>
      </c>
      <c r="AF538" s="154">
        <f>Ruimtestaat[[#This Row],[uren / jaar weekend]]+Ruimtestaat[[#This Row],[uren / jaar werkdagen]]</f>
        <v>0</v>
      </c>
      <c r="AG538" s="69">
        <f>Ruimtestaat[[#This Row],[kosten / jaar weekend]]+Ruimtestaat[[#This Row],[kosten / jaar werkdagen]]</f>
        <v>0</v>
      </c>
      <c r="AH538" s="69"/>
      <c r="AI538" s="256" t="str">
        <f>IF(Ruimtestaat[[#This Row],[Frequentie werkdagen]]="","",_xlfn.CONCAT(Ruimtestaat[[#This Row],[Ruimte code]],"-",Ruimtestaat[[#This Row],[Frequentie werkdagen]]," ",Ruimtestaat[[#This Row],[Vloer code]]))</f>
        <v>14-5w L</v>
      </c>
      <c r="AJ538" s="300" t="str">
        <f>_xlfn.IFNA(VLOOKUP($AI538,Programma!$F$3:$G$1107,2,0),"")</f>
        <v>_</v>
      </c>
      <c r="AK538" s="300" t="str">
        <f>_xlfn.IFNA(VLOOKUP($AI538,Programma!$F$3:$H$1107,3,0),"")</f>
        <v>_</v>
      </c>
      <c r="AL538" s="300" t="str">
        <f>_xlfn.IFNA(VLOOKUP($AI538,Programma!$F$3:$I$1107,4,0),"")</f>
        <v>_</v>
      </c>
      <c r="AM538" s="300" t="str">
        <f>_xlfn.IFNA(VLOOKUP($AI538,Programma!$F$3:$J$1107,5,0),"")</f>
        <v>5w</v>
      </c>
      <c r="AN538" s="300" t="str">
        <f>_xlfn.IFNA(VLOOKUP($AI538,Programma!$F$3:$K$1107,6,0),"")</f>
        <v>_</v>
      </c>
      <c r="AO538" s="300" t="str">
        <f>_xlfn.IFNA(VLOOKUP($AI538,Programma!$F$3:$L$1107,7,0),"")</f>
        <v>_</v>
      </c>
      <c r="AP538" s="300" t="str">
        <f>_xlfn.IFNA(VLOOKUP($AI538,Programma!$F$3:$M$1107,8,0),"")</f>
        <v>_</v>
      </c>
      <c r="AQ538" s="300" t="str">
        <f>_xlfn.IFNA(VLOOKUP($AI538,Programma!$F$3:$N$1107,9,0),"")</f>
        <v>_</v>
      </c>
      <c r="AR538" s="300" t="str">
        <f>_xlfn.IFNA(VLOOKUP($AI538,Programma!$F$3:$O$1107,10,0),"")</f>
        <v>5w</v>
      </c>
      <c r="AS538" s="300" t="str">
        <f>_xlfn.IFNA(VLOOKUP($AI538,Programma!$F$3:$P$1107,11,0),"")</f>
        <v>5w</v>
      </c>
      <c r="AT538" s="300" t="str">
        <f>_xlfn.IFNA(VLOOKUP($AI538,Programma!$F$3:$Q$1107,12,0),"")</f>
        <v>1w</v>
      </c>
      <c r="AU538" s="300" t="str">
        <f>_xlfn.IFNA(VLOOKUP($AI538,Programma!$F$3:$R$1107,13,0),"")</f>
        <v>1w</v>
      </c>
      <c r="AV538" s="300" t="str">
        <f>_xlfn.IFNA(VLOOKUP($AI538,Programma!$F$3:$S$1107,14,0),"")</f>
        <v>1m</v>
      </c>
      <c r="AW538" s="300" t="str">
        <f>_xlfn.IFNA(VLOOKUP($AI538,Programma!$F$3:$T$1107,15,0),"")</f>
        <v>2j</v>
      </c>
      <c r="AX538" s="300" t="str">
        <f>_xlfn.IFNA(VLOOKUP($AI538,Programma!$F$3:$U$1107,16,0),"")</f>
        <v>1j</v>
      </c>
      <c r="AY538" s="300" t="str">
        <f>_xlfn.IFNA(VLOOKUP($AI538,Programma!$F$3:$V$1107,17,0),"")</f>
        <v>_</v>
      </c>
      <c r="AZ538" s="300" t="str">
        <f>_xlfn.IFNA(VLOOKUP($AI538,Programma!$F$3:$W$1107,18,0),"")</f>
        <v>_</v>
      </c>
      <c r="BA538" s="300" t="str">
        <f>_xlfn.IFNA(VLOOKUP($AI538,Programma!$F$3:$X$1107,19,0),"")</f>
        <v>_</v>
      </c>
      <c r="BB538" s="300" t="str">
        <f>_xlfn.IFNA(VLOOKUP($AI538,Programma!$F$3:$Y$1107,20,0),"")</f>
        <v>_</v>
      </c>
      <c r="BC538" s="257"/>
      <c r="BD538" s="256" t="str">
        <f>IF(Ruimtestaat[[#This Row],[Frequentie weekend]]="","",_xlfn.CONCAT(Ruimtestaat[[#This Row],[Ruimte code]],"-",Ruimtestaat[[#This Row],[Frequentie weekend]]," ",Ruimtestaat[[#This Row],[Vloer code]]))</f>
        <v/>
      </c>
      <c r="BE538" s="300" t="str">
        <f>_xlfn.IFNA(VLOOKUP($BD538,Programma!$F$3:$G$1107,2,0),"")</f>
        <v/>
      </c>
      <c r="BF538" s="300" t="str">
        <f>_xlfn.IFNA(VLOOKUP($BD538,Programma!$F$3:$H$1107,3,0),"")</f>
        <v/>
      </c>
      <c r="BG538" s="300" t="str">
        <f>_xlfn.IFNA(VLOOKUP($BD538,Programma!$F$3:$I$1107,4,0),"")</f>
        <v/>
      </c>
      <c r="BH538" s="300" t="str">
        <f>_xlfn.IFNA(VLOOKUP($BD538,Programma!$F$3:$J$1107,5,0),"")</f>
        <v/>
      </c>
      <c r="BI538" s="300" t="str">
        <f>_xlfn.IFNA(VLOOKUP($BD538,Programma!$F$3:$K$1107,6,0),"")</f>
        <v/>
      </c>
      <c r="BJ538" s="300" t="str">
        <f>_xlfn.IFNA(VLOOKUP($BD538,Programma!$F$3:$L$1107,7,0),"")</f>
        <v/>
      </c>
      <c r="BK538" s="300" t="str">
        <f>_xlfn.IFNA(VLOOKUP($BD538,Programma!$F$3:$M$1107,8,0),"")</f>
        <v/>
      </c>
      <c r="BL538" s="300" t="str">
        <f>_xlfn.IFNA(VLOOKUP($BD538,Programma!$F$3:$N$1107,9,0),"")</f>
        <v/>
      </c>
      <c r="BM538" s="300" t="str">
        <f>_xlfn.IFNA(VLOOKUP($BD538,Programma!$F$3:$O$1107,10,0),"")</f>
        <v/>
      </c>
      <c r="BN538" s="300" t="str">
        <f>_xlfn.IFNA(VLOOKUP($BD538,Programma!$F$3:$P$1107,11,0),"")</f>
        <v/>
      </c>
      <c r="BO538" s="300" t="str">
        <f>_xlfn.IFNA(VLOOKUP($BD538,Programma!$F$3:$Q$1107,12,0),"")</f>
        <v/>
      </c>
      <c r="BP538" s="300" t="str">
        <f>_xlfn.IFNA(VLOOKUP($BD538,Programma!$F$3:$R$1107,13,0),"")</f>
        <v/>
      </c>
      <c r="BQ538" s="300" t="str">
        <f>_xlfn.IFNA(VLOOKUP($BD538,Programma!$F$3:$S$1107,14,0),"")</f>
        <v/>
      </c>
      <c r="BR538" s="300" t="str">
        <f>_xlfn.IFNA(VLOOKUP($BD538,Programma!$F$3:$T$1107,15,0),"")</f>
        <v/>
      </c>
      <c r="BS538" s="300" t="str">
        <f>_xlfn.IFNA(VLOOKUP($BD538,Programma!$F$3:$U$1107,16,0),"")</f>
        <v/>
      </c>
      <c r="BT538" s="300" t="str">
        <f>_xlfn.IFNA(VLOOKUP($BD538,Programma!$F$3:$V$1107,17,0),"")</f>
        <v/>
      </c>
      <c r="BU538" s="300" t="str">
        <f>_xlfn.IFNA(VLOOKUP($BD538,Programma!$F$3:$W$1107,18,0),"")</f>
        <v/>
      </c>
      <c r="BV538" s="300" t="str">
        <f>_xlfn.IFNA(VLOOKUP($BD538,Programma!$F$3:$X$1107,19,0),"")</f>
        <v/>
      </c>
      <c r="BW538" s="300" t="str">
        <f>_xlfn.IFNA(VLOOKUP($BD538,Programma!$F$3:$Y$1107,20,0),"")</f>
        <v/>
      </c>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c r="GK538" s="4"/>
      <c r="GL538" s="4"/>
      <c r="GM538" s="4"/>
      <c r="GN538" s="4"/>
      <c r="GO538" s="4"/>
      <c r="GP538" s="4"/>
      <c r="GQ538" s="4"/>
      <c r="GR538" s="4"/>
      <c r="GS538" s="4"/>
      <c r="GT538" s="4"/>
      <c r="GU538" s="4"/>
      <c r="GV538" s="4"/>
      <c r="GW538" s="4"/>
      <c r="GX538" s="4"/>
      <c r="GY538" s="4"/>
      <c r="GZ538" s="4"/>
      <c r="HA538" s="4"/>
      <c r="HB538" s="4"/>
      <c r="HC538" s="4"/>
      <c r="HD538" s="4"/>
      <c r="HE538" s="4"/>
      <c r="HF538" s="4"/>
      <c r="HG538" s="4"/>
      <c r="HH538" s="4"/>
      <c r="HI538" s="4"/>
      <c r="HJ538" s="4"/>
      <c r="HK538" s="4"/>
      <c r="HL538" s="4"/>
    </row>
    <row r="539" spans="1:220" ht="15" customHeight="1">
      <c r="A539" s="21">
        <v>6</v>
      </c>
      <c r="B539" s="157" t="str">
        <f>VLOOKUP(Ruimtestaat[[#This Row],[Code]],Locaties[[Code]:[Locatie]],2,FALSE)</f>
        <v>Veurs Lyceum</v>
      </c>
      <c r="C539" s="157" t="str">
        <f>VLOOKUP(Ruimtestaat[[#This Row],[Code]],Locaties[[#All],[Code]:[Adres]],4,FALSE)</f>
        <v>Burg. Kolfschotenlaan 5</v>
      </c>
      <c r="D539" s="157" t="str">
        <f>VLOOKUP(Ruimtestaat[[#This Row],[Code]],Locaties[[#All],[Code]:[Postcode]],5,FALSE)</f>
        <v xml:space="preserve">2262 EZ </v>
      </c>
      <c r="E539" s="157" t="str">
        <f>VLOOKUP(Ruimtestaat[[#This Row],[Code]],Locaties[#All],6,FALSE)</f>
        <v>Leidschendam</v>
      </c>
      <c r="F539" s="62"/>
      <c r="G539" s="21" t="s">
        <v>1706</v>
      </c>
      <c r="H539" s="21" t="s">
        <v>1734</v>
      </c>
      <c r="I539" s="62" t="s">
        <v>2129</v>
      </c>
      <c r="J539" s="21">
        <v>14</v>
      </c>
      <c r="K539" s="62" t="str">
        <f>VLOOKUP(Ruimtestaat[[#This Row],[Ruimte code]],Ruimtegroepen[[#All],[Code]:[Ruimte omschrijving]],2,FALSE)</f>
        <v>Praktijklokalen binas/zorg</v>
      </c>
      <c r="L539" s="33" t="s">
        <v>101</v>
      </c>
      <c r="M539" s="367" t="s">
        <v>2495</v>
      </c>
      <c r="N539" s="140">
        <v>95</v>
      </c>
      <c r="O539" s="140"/>
      <c r="P539" s="125" t="str">
        <f>VLOOKUP(Ruimtestaat[[#This Row],[Ruimte code]],Ruimtegroepen[],4,FALSE)</f>
        <v>Le</v>
      </c>
      <c r="R539" s="33">
        <v>40</v>
      </c>
      <c r="S539" s="33" t="s">
        <v>2</v>
      </c>
      <c r="T539" s="33">
        <f>IF(R539&gt;0,IF(RIGHT(Ruimtestaat[[#This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9" s="33">
        <f>IF(T539&gt;0,VLOOKUP($J539,Ruimtegroepen[],3,FALSE)*VLOOKUP($L539,Vloersoorten[],3,FALSE)*VLOOKUP($S539,Frequenties[],3,FALSE)*VLOOKUP($A539,Locaties[],3,FALSE),0)</f>
        <v>0</v>
      </c>
      <c r="V539" s="33">
        <f>Ruimtestaat[[#This Row],[Uitvoeringen werkdagen]]*Ruimtestaat[[#This Row],[Oppervlak (netto)]]</f>
        <v>19000</v>
      </c>
      <c r="W539" s="154">
        <f>IF(U539&gt;0,Ruimtestaat[[#This Row],[Prest. (m2 /jaar) werkdagen]]/Ruimtestaat[[#This Row],[Norm (m2/uur) werkdagen]],0)</f>
        <v>0</v>
      </c>
      <c r="X539" s="155">
        <f>Ruimtestaat[[#This Row],[uren / jaar werkdagen]]*Tariefsopbouw!$E$35</f>
        <v>0</v>
      </c>
      <c r="Y539" s="33"/>
      <c r="Z539" s="33">
        <f>IF(Ruimtestaat[[#This Row],[Frequentie weekend]]&gt;0,VALUE(LEFT(Y539,1))*R539,0)</f>
        <v>0</v>
      </c>
      <c r="AA539" s="97">
        <f>IF($Z539&gt;0,VLOOKUP($J539,Ruimtegroepen[],3,FALSE)*VLOOKUP($L539,Vloersoorten[],3,FALSE)*VLOOKUP($Y539,Frequenties[],3,FALSE)*VLOOKUP(Ruimtestaat[[#This Row],[Code]],Locaties[],3,FALSE),0)</f>
        <v>0</v>
      </c>
      <c r="AB539" s="97">
        <f>Ruimtestaat[[#This Row],[Uitvoeringen weekend]]*Ruimtestaat[[#This Row],[Oppervlak (netto)]]</f>
        <v>0</v>
      </c>
      <c r="AC539" s="97">
        <f>IF(AA539&gt;0,Ruimtestaat[[#This Row],[Prest. (m2 /jaar) weekend]]/Ruimtestaat[[#This Row],[Norm (m2/uur) weekend]],0)</f>
        <v>0</v>
      </c>
      <c r="AD539" s="155">
        <f>Ruimtestaat[[#This Row],[uren / jaar weekend]]*Tariefsopbouw!$D$40</f>
        <v>0</v>
      </c>
      <c r="AE539" s="154">
        <f>Ruimtestaat[[#This Row],[Prest. (m2 /jaar) weekend]]+Ruimtestaat[[#This Row],[Prest. (m2 /jaar) werkdagen]]</f>
        <v>19000</v>
      </c>
      <c r="AF539" s="154">
        <f>Ruimtestaat[[#This Row],[uren / jaar weekend]]+Ruimtestaat[[#This Row],[uren / jaar werkdagen]]</f>
        <v>0</v>
      </c>
      <c r="AG539" s="69">
        <f>Ruimtestaat[[#This Row],[kosten / jaar weekend]]+Ruimtestaat[[#This Row],[kosten / jaar werkdagen]]</f>
        <v>0</v>
      </c>
      <c r="AH539" s="69"/>
      <c r="AI539" s="256" t="str">
        <f>IF(Ruimtestaat[[#This Row],[Frequentie werkdagen]]="","",_xlfn.CONCAT(Ruimtestaat[[#This Row],[Ruimte code]],"-",Ruimtestaat[[#This Row],[Frequentie werkdagen]]," ",Ruimtestaat[[#This Row],[Vloer code]]))</f>
        <v>14-5w L</v>
      </c>
      <c r="AJ539" s="300" t="str">
        <f>_xlfn.IFNA(VLOOKUP($AI539,Programma!$F$3:$G$1107,2,0),"")</f>
        <v>_</v>
      </c>
      <c r="AK539" s="300" t="str">
        <f>_xlfn.IFNA(VLOOKUP($AI539,Programma!$F$3:$H$1107,3,0),"")</f>
        <v>_</v>
      </c>
      <c r="AL539" s="300" t="str">
        <f>_xlfn.IFNA(VLOOKUP($AI539,Programma!$F$3:$I$1107,4,0),"")</f>
        <v>_</v>
      </c>
      <c r="AM539" s="300" t="str">
        <f>_xlfn.IFNA(VLOOKUP($AI539,Programma!$F$3:$J$1107,5,0),"")</f>
        <v>5w</v>
      </c>
      <c r="AN539" s="300" t="str">
        <f>_xlfn.IFNA(VLOOKUP($AI539,Programma!$F$3:$K$1107,6,0),"")</f>
        <v>_</v>
      </c>
      <c r="AO539" s="300" t="str">
        <f>_xlfn.IFNA(VLOOKUP($AI539,Programma!$F$3:$L$1107,7,0),"")</f>
        <v>_</v>
      </c>
      <c r="AP539" s="300" t="str">
        <f>_xlfn.IFNA(VLOOKUP($AI539,Programma!$F$3:$M$1107,8,0),"")</f>
        <v>_</v>
      </c>
      <c r="AQ539" s="300" t="str">
        <f>_xlfn.IFNA(VLOOKUP($AI539,Programma!$F$3:$N$1107,9,0),"")</f>
        <v>_</v>
      </c>
      <c r="AR539" s="300" t="str">
        <f>_xlfn.IFNA(VLOOKUP($AI539,Programma!$F$3:$O$1107,10,0),"")</f>
        <v>5w</v>
      </c>
      <c r="AS539" s="300" t="str">
        <f>_xlfn.IFNA(VLOOKUP($AI539,Programma!$F$3:$P$1107,11,0),"")</f>
        <v>5w</v>
      </c>
      <c r="AT539" s="300" t="str">
        <f>_xlfn.IFNA(VLOOKUP($AI539,Programma!$F$3:$Q$1107,12,0),"")</f>
        <v>1w</v>
      </c>
      <c r="AU539" s="300" t="str">
        <f>_xlfn.IFNA(VLOOKUP($AI539,Programma!$F$3:$R$1107,13,0),"")</f>
        <v>1w</v>
      </c>
      <c r="AV539" s="300" t="str">
        <f>_xlfn.IFNA(VLOOKUP($AI539,Programma!$F$3:$S$1107,14,0),"")</f>
        <v>1m</v>
      </c>
      <c r="AW539" s="300" t="str">
        <f>_xlfn.IFNA(VLOOKUP($AI539,Programma!$F$3:$T$1107,15,0),"")</f>
        <v>2j</v>
      </c>
      <c r="AX539" s="300" t="str">
        <f>_xlfn.IFNA(VLOOKUP($AI539,Programma!$F$3:$U$1107,16,0),"")</f>
        <v>1j</v>
      </c>
      <c r="AY539" s="300" t="str">
        <f>_xlfn.IFNA(VLOOKUP($AI539,Programma!$F$3:$V$1107,17,0),"")</f>
        <v>_</v>
      </c>
      <c r="AZ539" s="300" t="str">
        <f>_xlfn.IFNA(VLOOKUP($AI539,Programma!$F$3:$W$1107,18,0),"")</f>
        <v>_</v>
      </c>
      <c r="BA539" s="300" t="str">
        <f>_xlfn.IFNA(VLOOKUP($AI539,Programma!$F$3:$X$1107,19,0),"")</f>
        <v>_</v>
      </c>
      <c r="BB539" s="300" t="str">
        <f>_xlfn.IFNA(VLOOKUP($AI539,Programma!$F$3:$Y$1107,20,0),"")</f>
        <v>_</v>
      </c>
      <c r="BC539" s="257"/>
      <c r="BD539" s="256" t="str">
        <f>IF(Ruimtestaat[[#This Row],[Frequentie weekend]]="","",_xlfn.CONCAT(Ruimtestaat[[#This Row],[Ruimte code]],"-",Ruimtestaat[[#This Row],[Frequentie weekend]]," ",Ruimtestaat[[#This Row],[Vloer code]]))</f>
        <v/>
      </c>
      <c r="BE539" s="300" t="str">
        <f>_xlfn.IFNA(VLOOKUP($BD539,Programma!$F$3:$G$1107,2,0),"")</f>
        <v/>
      </c>
      <c r="BF539" s="300" t="str">
        <f>_xlfn.IFNA(VLOOKUP($BD539,Programma!$F$3:$H$1107,3,0),"")</f>
        <v/>
      </c>
      <c r="BG539" s="300" t="str">
        <f>_xlfn.IFNA(VLOOKUP($BD539,Programma!$F$3:$I$1107,4,0),"")</f>
        <v/>
      </c>
      <c r="BH539" s="300" t="str">
        <f>_xlfn.IFNA(VLOOKUP($BD539,Programma!$F$3:$J$1107,5,0),"")</f>
        <v/>
      </c>
      <c r="BI539" s="300" t="str">
        <f>_xlfn.IFNA(VLOOKUP($BD539,Programma!$F$3:$K$1107,6,0),"")</f>
        <v/>
      </c>
      <c r="BJ539" s="300" t="str">
        <f>_xlfn.IFNA(VLOOKUP($BD539,Programma!$F$3:$L$1107,7,0),"")</f>
        <v/>
      </c>
      <c r="BK539" s="300" t="str">
        <f>_xlfn.IFNA(VLOOKUP($BD539,Programma!$F$3:$M$1107,8,0),"")</f>
        <v/>
      </c>
      <c r="BL539" s="300" t="str">
        <f>_xlfn.IFNA(VLOOKUP($BD539,Programma!$F$3:$N$1107,9,0),"")</f>
        <v/>
      </c>
      <c r="BM539" s="300" t="str">
        <f>_xlfn.IFNA(VLOOKUP($BD539,Programma!$F$3:$O$1107,10,0),"")</f>
        <v/>
      </c>
      <c r="BN539" s="300" t="str">
        <f>_xlfn.IFNA(VLOOKUP($BD539,Programma!$F$3:$P$1107,11,0),"")</f>
        <v/>
      </c>
      <c r="BO539" s="300" t="str">
        <f>_xlfn.IFNA(VLOOKUP($BD539,Programma!$F$3:$Q$1107,12,0),"")</f>
        <v/>
      </c>
      <c r="BP539" s="300" t="str">
        <f>_xlfn.IFNA(VLOOKUP($BD539,Programma!$F$3:$R$1107,13,0),"")</f>
        <v/>
      </c>
      <c r="BQ539" s="300" t="str">
        <f>_xlfn.IFNA(VLOOKUP($BD539,Programma!$F$3:$S$1107,14,0),"")</f>
        <v/>
      </c>
      <c r="BR539" s="300" t="str">
        <f>_xlfn.IFNA(VLOOKUP($BD539,Programma!$F$3:$T$1107,15,0),"")</f>
        <v/>
      </c>
      <c r="BS539" s="300" t="str">
        <f>_xlfn.IFNA(VLOOKUP($BD539,Programma!$F$3:$U$1107,16,0),"")</f>
        <v/>
      </c>
      <c r="BT539" s="300" t="str">
        <f>_xlfn.IFNA(VLOOKUP($BD539,Programma!$F$3:$V$1107,17,0),"")</f>
        <v/>
      </c>
      <c r="BU539" s="300" t="str">
        <f>_xlfn.IFNA(VLOOKUP($BD539,Programma!$F$3:$W$1107,18,0),"")</f>
        <v/>
      </c>
      <c r="BV539" s="300" t="str">
        <f>_xlfn.IFNA(VLOOKUP($BD539,Programma!$F$3:$X$1107,19,0),"")</f>
        <v/>
      </c>
      <c r="BW539" s="300" t="str">
        <f>_xlfn.IFNA(VLOOKUP($BD539,Programma!$F$3:$Y$1107,20,0),"")</f>
        <v/>
      </c>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c r="GK539" s="4"/>
      <c r="GL539" s="4"/>
      <c r="GM539" s="4"/>
      <c r="GN539" s="4"/>
      <c r="GO539" s="4"/>
      <c r="GP539" s="4"/>
      <c r="GQ539" s="4"/>
      <c r="GR539" s="4"/>
      <c r="GS539" s="4"/>
      <c r="GT539" s="4"/>
      <c r="GU539" s="4"/>
      <c r="GV539" s="4"/>
      <c r="GW539" s="4"/>
      <c r="GX539" s="4"/>
      <c r="GY539" s="4"/>
      <c r="GZ539" s="4"/>
      <c r="HA539" s="4"/>
      <c r="HB539" s="4"/>
      <c r="HC539" s="4"/>
      <c r="HD539" s="4"/>
      <c r="HE539" s="4"/>
      <c r="HF539" s="4"/>
      <c r="HG539" s="4"/>
      <c r="HH539" s="4"/>
      <c r="HI539" s="4"/>
      <c r="HJ539" s="4"/>
      <c r="HK539" s="4"/>
      <c r="HL539" s="4"/>
    </row>
    <row r="540" spans="1:220" ht="15" customHeight="1">
      <c r="A540" s="21">
        <v>6</v>
      </c>
      <c r="B540" s="157" t="str">
        <f>VLOOKUP(Ruimtestaat[[#This Row],[Code]],Locaties[[Code]:[Locatie]],2,FALSE)</f>
        <v>Veurs Lyceum</v>
      </c>
      <c r="C540" s="157" t="str">
        <f>VLOOKUP(Ruimtestaat[[#This Row],[Code]],Locaties[[#All],[Code]:[Adres]],4,FALSE)</f>
        <v>Burg. Kolfschotenlaan 5</v>
      </c>
      <c r="D540" s="157" t="str">
        <f>VLOOKUP(Ruimtestaat[[#This Row],[Code]],Locaties[[#All],[Code]:[Postcode]],5,FALSE)</f>
        <v xml:space="preserve">2262 EZ </v>
      </c>
      <c r="E540" s="157" t="str">
        <f>VLOOKUP(Ruimtestaat[[#This Row],[Code]],Locaties[#All],6,FALSE)</f>
        <v>Leidschendam</v>
      </c>
      <c r="F540" s="62"/>
      <c r="G540" s="21" t="s">
        <v>1706</v>
      </c>
      <c r="H540" s="21" t="s">
        <v>1736</v>
      </c>
      <c r="I540" s="62" t="s">
        <v>2125</v>
      </c>
      <c r="J540" s="21">
        <v>14</v>
      </c>
      <c r="K540" s="62" t="str">
        <f>VLOOKUP(Ruimtestaat[[#This Row],[Ruimte code]],Ruimtegroepen[[#All],[Code]:[Ruimte omschrijving]],2,FALSE)</f>
        <v>Praktijklokalen binas/zorg</v>
      </c>
      <c r="L540" s="33" t="s">
        <v>101</v>
      </c>
      <c r="M540" s="367" t="s">
        <v>2495</v>
      </c>
      <c r="N540" s="140">
        <v>42</v>
      </c>
      <c r="O540" s="140"/>
      <c r="P540" s="125" t="str">
        <f>VLOOKUP(Ruimtestaat[[#This Row],[Ruimte code]],Ruimtegroepen[],4,FALSE)</f>
        <v>Le</v>
      </c>
      <c r="R540" s="33">
        <v>40</v>
      </c>
      <c r="S540" s="33" t="s">
        <v>2</v>
      </c>
      <c r="T540" s="33">
        <f>IF(R540&gt;0,IF(RIGHT(Ruimtestaat[[#This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0" s="33">
        <f>IF(T540&gt;0,VLOOKUP($J540,Ruimtegroepen[],3,FALSE)*VLOOKUP($L540,Vloersoorten[],3,FALSE)*VLOOKUP($S540,Frequenties[],3,FALSE)*VLOOKUP($A540,Locaties[],3,FALSE),0)</f>
        <v>0</v>
      </c>
      <c r="V540" s="33">
        <f>Ruimtestaat[[#This Row],[Uitvoeringen werkdagen]]*Ruimtestaat[[#This Row],[Oppervlak (netto)]]</f>
        <v>8400</v>
      </c>
      <c r="W540" s="154">
        <f>IF(U540&gt;0,Ruimtestaat[[#This Row],[Prest. (m2 /jaar) werkdagen]]/Ruimtestaat[[#This Row],[Norm (m2/uur) werkdagen]],0)</f>
        <v>0</v>
      </c>
      <c r="X540" s="155">
        <f>Ruimtestaat[[#This Row],[uren / jaar werkdagen]]*Tariefsopbouw!$E$35</f>
        <v>0</v>
      </c>
      <c r="Y540" s="33"/>
      <c r="Z540" s="33">
        <f>IF(Ruimtestaat[[#This Row],[Frequentie weekend]]&gt;0,VALUE(LEFT(Y540,1))*R540,0)</f>
        <v>0</v>
      </c>
      <c r="AA540" s="97">
        <f>IF($Z540&gt;0,VLOOKUP($J540,Ruimtegroepen[],3,FALSE)*VLOOKUP($L540,Vloersoorten[],3,FALSE)*VLOOKUP($Y540,Frequenties[],3,FALSE)*VLOOKUP(Ruimtestaat[[#This Row],[Code]],Locaties[],3,FALSE),0)</f>
        <v>0</v>
      </c>
      <c r="AB540" s="97">
        <f>Ruimtestaat[[#This Row],[Uitvoeringen weekend]]*Ruimtestaat[[#This Row],[Oppervlak (netto)]]</f>
        <v>0</v>
      </c>
      <c r="AC540" s="97">
        <f>IF(AA540&gt;0,Ruimtestaat[[#This Row],[Prest. (m2 /jaar) weekend]]/Ruimtestaat[[#This Row],[Norm (m2/uur) weekend]],0)</f>
        <v>0</v>
      </c>
      <c r="AD540" s="155">
        <f>Ruimtestaat[[#This Row],[uren / jaar weekend]]*Tariefsopbouw!$D$40</f>
        <v>0</v>
      </c>
      <c r="AE540" s="154">
        <f>Ruimtestaat[[#This Row],[Prest. (m2 /jaar) weekend]]+Ruimtestaat[[#This Row],[Prest. (m2 /jaar) werkdagen]]</f>
        <v>8400</v>
      </c>
      <c r="AF540" s="154">
        <f>Ruimtestaat[[#This Row],[uren / jaar weekend]]+Ruimtestaat[[#This Row],[uren / jaar werkdagen]]</f>
        <v>0</v>
      </c>
      <c r="AG540" s="69">
        <f>Ruimtestaat[[#This Row],[kosten / jaar weekend]]+Ruimtestaat[[#This Row],[kosten / jaar werkdagen]]</f>
        <v>0</v>
      </c>
      <c r="AH540" s="69"/>
      <c r="AI540" s="256" t="str">
        <f>IF(Ruimtestaat[[#This Row],[Frequentie werkdagen]]="","",_xlfn.CONCAT(Ruimtestaat[[#This Row],[Ruimte code]],"-",Ruimtestaat[[#This Row],[Frequentie werkdagen]]," ",Ruimtestaat[[#This Row],[Vloer code]]))</f>
        <v>14-5w L</v>
      </c>
      <c r="AJ540" s="300" t="str">
        <f>_xlfn.IFNA(VLOOKUP($AI540,Programma!$F$3:$G$1107,2,0),"")</f>
        <v>_</v>
      </c>
      <c r="AK540" s="300" t="str">
        <f>_xlfn.IFNA(VLOOKUP($AI540,Programma!$F$3:$H$1107,3,0),"")</f>
        <v>_</v>
      </c>
      <c r="AL540" s="300" t="str">
        <f>_xlfn.IFNA(VLOOKUP($AI540,Programma!$F$3:$I$1107,4,0),"")</f>
        <v>_</v>
      </c>
      <c r="AM540" s="300" t="str">
        <f>_xlfn.IFNA(VLOOKUP($AI540,Programma!$F$3:$J$1107,5,0),"")</f>
        <v>5w</v>
      </c>
      <c r="AN540" s="300" t="str">
        <f>_xlfn.IFNA(VLOOKUP($AI540,Programma!$F$3:$K$1107,6,0),"")</f>
        <v>_</v>
      </c>
      <c r="AO540" s="300" t="str">
        <f>_xlfn.IFNA(VLOOKUP($AI540,Programma!$F$3:$L$1107,7,0),"")</f>
        <v>_</v>
      </c>
      <c r="AP540" s="300" t="str">
        <f>_xlfn.IFNA(VLOOKUP($AI540,Programma!$F$3:$M$1107,8,0),"")</f>
        <v>_</v>
      </c>
      <c r="AQ540" s="300" t="str">
        <f>_xlfn.IFNA(VLOOKUP($AI540,Programma!$F$3:$N$1107,9,0),"")</f>
        <v>_</v>
      </c>
      <c r="AR540" s="300" t="str">
        <f>_xlfn.IFNA(VLOOKUP($AI540,Programma!$F$3:$O$1107,10,0),"")</f>
        <v>5w</v>
      </c>
      <c r="AS540" s="300" t="str">
        <f>_xlfn.IFNA(VLOOKUP($AI540,Programma!$F$3:$P$1107,11,0),"")</f>
        <v>5w</v>
      </c>
      <c r="AT540" s="300" t="str">
        <f>_xlfn.IFNA(VLOOKUP($AI540,Programma!$F$3:$Q$1107,12,0),"")</f>
        <v>1w</v>
      </c>
      <c r="AU540" s="300" t="str">
        <f>_xlfn.IFNA(VLOOKUP($AI540,Programma!$F$3:$R$1107,13,0),"")</f>
        <v>1w</v>
      </c>
      <c r="AV540" s="300" t="str">
        <f>_xlfn.IFNA(VLOOKUP($AI540,Programma!$F$3:$S$1107,14,0),"")</f>
        <v>1m</v>
      </c>
      <c r="AW540" s="300" t="str">
        <f>_xlfn.IFNA(VLOOKUP($AI540,Programma!$F$3:$T$1107,15,0),"")</f>
        <v>2j</v>
      </c>
      <c r="AX540" s="300" t="str">
        <f>_xlfn.IFNA(VLOOKUP($AI540,Programma!$F$3:$U$1107,16,0),"")</f>
        <v>1j</v>
      </c>
      <c r="AY540" s="300" t="str">
        <f>_xlfn.IFNA(VLOOKUP($AI540,Programma!$F$3:$V$1107,17,0),"")</f>
        <v>_</v>
      </c>
      <c r="AZ540" s="300" t="str">
        <f>_xlfn.IFNA(VLOOKUP($AI540,Programma!$F$3:$W$1107,18,0),"")</f>
        <v>_</v>
      </c>
      <c r="BA540" s="300" t="str">
        <f>_xlfn.IFNA(VLOOKUP($AI540,Programma!$F$3:$X$1107,19,0),"")</f>
        <v>_</v>
      </c>
      <c r="BB540" s="300" t="str">
        <f>_xlfn.IFNA(VLOOKUP($AI540,Programma!$F$3:$Y$1107,20,0),"")</f>
        <v>_</v>
      </c>
      <c r="BC540" s="257"/>
      <c r="BD540" s="256" t="str">
        <f>IF(Ruimtestaat[[#This Row],[Frequentie weekend]]="","",_xlfn.CONCAT(Ruimtestaat[[#This Row],[Ruimte code]],"-",Ruimtestaat[[#This Row],[Frequentie weekend]]," ",Ruimtestaat[[#This Row],[Vloer code]]))</f>
        <v/>
      </c>
      <c r="BE540" s="300" t="str">
        <f>_xlfn.IFNA(VLOOKUP($BD540,Programma!$F$3:$G$1107,2,0),"")</f>
        <v/>
      </c>
      <c r="BF540" s="300" t="str">
        <f>_xlfn.IFNA(VLOOKUP($BD540,Programma!$F$3:$H$1107,3,0),"")</f>
        <v/>
      </c>
      <c r="BG540" s="300" t="str">
        <f>_xlfn.IFNA(VLOOKUP($BD540,Programma!$F$3:$I$1107,4,0),"")</f>
        <v/>
      </c>
      <c r="BH540" s="300" t="str">
        <f>_xlfn.IFNA(VLOOKUP($BD540,Programma!$F$3:$J$1107,5,0),"")</f>
        <v/>
      </c>
      <c r="BI540" s="300" t="str">
        <f>_xlfn.IFNA(VLOOKUP($BD540,Programma!$F$3:$K$1107,6,0),"")</f>
        <v/>
      </c>
      <c r="BJ540" s="300" t="str">
        <f>_xlfn.IFNA(VLOOKUP($BD540,Programma!$F$3:$L$1107,7,0),"")</f>
        <v/>
      </c>
      <c r="BK540" s="300" t="str">
        <f>_xlfn.IFNA(VLOOKUP($BD540,Programma!$F$3:$M$1107,8,0),"")</f>
        <v/>
      </c>
      <c r="BL540" s="300" t="str">
        <f>_xlfn.IFNA(VLOOKUP($BD540,Programma!$F$3:$N$1107,9,0),"")</f>
        <v/>
      </c>
      <c r="BM540" s="300" t="str">
        <f>_xlfn.IFNA(VLOOKUP($BD540,Programma!$F$3:$O$1107,10,0),"")</f>
        <v/>
      </c>
      <c r="BN540" s="300" t="str">
        <f>_xlfn.IFNA(VLOOKUP($BD540,Programma!$F$3:$P$1107,11,0),"")</f>
        <v/>
      </c>
      <c r="BO540" s="300" t="str">
        <f>_xlfn.IFNA(VLOOKUP($BD540,Programma!$F$3:$Q$1107,12,0),"")</f>
        <v/>
      </c>
      <c r="BP540" s="300" t="str">
        <f>_xlfn.IFNA(VLOOKUP($BD540,Programma!$F$3:$R$1107,13,0),"")</f>
        <v/>
      </c>
      <c r="BQ540" s="300" t="str">
        <f>_xlfn.IFNA(VLOOKUP($BD540,Programma!$F$3:$S$1107,14,0),"")</f>
        <v/>
      </c>
      <c r="BR540" s="300" t="str">
        <f>_xlfn.IFNA(VLOOKUP($BD540,Programma!$F$3:$T$1107,15,0),"")</f>
        <v/>
      </c>
      <c r="BS540" s="300" t="str">
        <f>_xlfn.IFNA(VLOOKUP($BD540,Programma!$F$3:$U$1107,16,0),"")</f>
        <v/>
      </c>
      <c r="BT540" s="300" t="str">
        <f>_xlfn.IFNA(VLOOKUP($BD540,Programma!$F$3:$V$1107,17,0),"")</f>
        <v/>
      </c>
      <c r="BU540" s="300" t="str">
        <f>_xlfn.IFNA(VLOOKUP($BD540,Programma!$F$3:$W$1107,18,0),"")</f>
        <v/>
      </c>
      <c r="BV540" s="300" t="str">
        <f>_xlfn.IFNA(VLOOKUP($BD540,Programma!$F$3:$X$1107,19,0),"")</f>
        <v/>
      </c>
      <c r="BW540" s="300" t="str">
        <f>_xlfn.IFNA(VLOOKUP($BD540,Programma!$F$3:$Y$1107,20,0),"")</f>
        <v/>
      </c>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c r="GK540" s="4"/>
      <c r="GL540" s="4"/>
      <c r="GM540" s="4"/>
      <c r="GN540" s="4"/>
      <c r="GO540" s="4"/>
      <c r="GP540" s="4"/>
      <c r="GQ540" s="4"/>
      <c r="GR540" s="4"/>
      <c r="GS540" s="4"/>
      <c r="GT540" s="4"/>
      <c r="GU540" s="4"/>
      <c r="GV540" s="4"/>
      <c r="GW540" s="4"/>
      <c r="GX540" s="4"/>
      <c r="GY540" s="4"/>
      <c r="GZ540" s="4"/>
      <c r="HA540" s="4"/>
      <c r="HB540" s="4"/>
      <c r="HC540" s="4"/>
      <c r="HD540" s="4"/>
      <c r="HE540" s="4"/>
      <c r="HF540" s="4"/>
      <c r="HG540" s="4"/>
      <c r="HH540" s="4"/>
      <c r="HI540" s="4"/>
      <c r="HJ540" s="4"/>
      <c r="HK540" s="4"/>
      <c r="HL540" s="4"/>
    </row>
    <row r="541" spans="1:220" ht="15" customHeight="1">
      <c r="A541" s="21">
        <v>6</v>
      </c>
      <c r="B541" s="157" t="str">
        <f>VLOOKUP(Ruimtestaat[[#This Row],[Code]],Locaties[[Code]:[Locatie]],2,FALSE)</f>
        <v>Veurs Lyceum</v>
      </c>
      <c r="C541" s="157" t="str">
        <f>VLOOKUP(Ruimtestaat[[#This Row],[Code]],Locaties[[#All],[Code]:[Adres]],4,FALSE)</f>
        <v>Burg. Kolfschotenlaan 5</v>
      </c>
      <c r="D541" s="157" t="str">
        <f>VLOOKUP(Ruimtestaat[[#This Row],[Code]],Locaties[[#All],[Code]:[Postcode]],5,FALSE)</f>
        <v xml:space="preserve">2262 EZ </v>
      </c>
      <c r="E541" s="157" t="str">
        <f>VLOOKUP(Ruimtestaat[[#This Row],[Code]],Locaties[#All],6,FALSE)</f>
        <v>Leidschendam</v>
      </c>
      <c r="F541" s="62"/>
      <c r="G541" s="21" t="s">
        <v>1706</v>
      </c>
      <c r="H541" s="21" t="s">
        <v>1738</v>
      </c>
      <c r="I541" s="62" t="s">
        <v>1625</v>
      </c>
      <c r="J541" s="21">
        <v>6</v>
      </c>
      <c r="K541" s="62" t="str">
        <f>VLOOKUP(Ruimtestaat[[#This Row],[Ruimte code]],Ruimtegroepen[[#All],[Code]:[Ruimte omschrijving]],2,FALSE)</f>
        <v>Gangen/hallen</v>
      </c>
      <c r="L541" s="33" t="s">
        <v>103</v>
      </c>
      <c r="M541" s="367" t="s">
        <v>121</v>
      </c>
      <c r="N541" s="140">
        <v>19</v>
      </c>
      <c r="O541" s="140"/>
      <c r="P541" s="125" t="str">
        <f>VLOOKUP(Ruimtestaat[[#This Row],[Ruimte code]],Ruimtegroepen[],4,FALSE)</f>
        <v>Ve</v>
      </c>
      <c r="R541" s="33">
        <v>40</v>
      </c>
      <c r="S541" s="33" t="s">
        <v>2</v>
      </c>
      <c r="T541" s="33">
        <f>IF(R541&gt;0,IF(RIGHT(Ruimtestaat[[#This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1" s="33">
        <f>IF(T541&gt;0,VLOOKUP($J541,Ruimtegroepen[],3,FALSE)*VLOOKUP($L541,Vloersoorten[],3,FALSE)*VLOOKUP($S541,Frequenties[],3,FALSE)*VLOOKUP($A541,Locaties[],3,FALSE),0)</f>
        <v>0</v>
      </c>
      <c r="V541" s="33">
        <f>Ruimtestaat[[#This Row],[Uitvoeringen werkdagen]]*Ruimtestaat[[#This Row],[Oppervlak (netto)]]</f>
        <v>3800</v>
      </c>
      <c r="W541" s="154">
        <f>IF(U541&gt;0,Ruimtestaat[[#This Row],[Prest. (m2 /jaar) werkdagen]]/Ruimtestaat[[#This Row],[Norm (m2/uur) werkdagen]],0)</f>
        <v>0</v>
      </c>
      <c r="X541" s="155">
        <f>Ruimtestaat[[#This Row],[uren / jaar werkdagen]]*Tariefsopbouw!$E$35</f>
        <v>0</v>
      </c>
      <c r="Y541" s="33"/>
      <c r="Z541" s="33">
        <f>IF(Ruimtestaat[[#This Row],[Frequentie weekend]]&gt;0,VALUE(LEFT(Y541,1))*R541,0)</f>
        <v>0</v>
      </c>
      <c r="AA541" s="97">
        <f>IF($Z541&gt;0,VLOOKUP($J541,Ruimtegroepen[],3,FALSE)*VLOOKUP($L541,Vloersoorten[],3,FALSE)*VLOOKUP($Y541,Frequenties[],3,FALSE)*VLOOKUP(Ruimtestaat[[#This Row],[Code]],Locaties[],3,FALSE),0)</f>
        <v>0</v>
      </c>
      <c r="AB541" s="97">
        <f>Ruimtestaat[[#This Row],[Uitvoeringen weekend]]*Ruimtestaat[[#This Row],[Oppervlak (netto)]]</f>
        <v>0</v>
      </c>
      <c r="AC541" s="97">
        <f>IF(AA541&gt;0,Ruimtestaat[[#This Row],[Prest. (m2 /jaar) weekend]]/Ruimtestaat[[#This Row],[Norm (m2/uur) weekend]],0)</f>
        <v>0</v>
      </c>
      <c r="AD541" s="155">
        <f>Ruimtestaat[[#This Row],[uren / jaar weekend]]*Tariefsopbouw!$D$40</f>
        <v>0</v>
      </c>
      <c r="AE541" s="154">
        <f>Ruimtestaat[[#This Row],[Prest. (m2 /jaar) weekend]]+Ruimtestaat[[#This Row],[Prest. (m2 /jaar) werkdagen]]</f>
        <v>3800</v>
      </c>
      <c r="AF541" s="154">
        <f>Ruimtestaat[[#This Row],[uren / jaar weekend]]+Ruimtestaat[[#This Row],[uren / jaar werkdagen]]</f>
        <v>0</v>
      </c>
      <c r="AG541" s="69">
        <f>Ruimtestaat[[#This Row],[kosten / jaar weekend]]+Ruimtestaat[[#This Row],[kosten / jaar werkdagen]]</f>
        <v>0</v>
      </c>
      <c r="AH541" s="69"/>
      <c r="AI541" s="256" t="str">
        <f>IF(Ruimtestaat[[#This Row],[Frequentie werkdagen]]="","",_xlfn.CONCAT(Ruimtestaat[[#This Row],[Ruimte code]],"-",Ruimtestaat[[#This Row],[Frequentie werkdagen]]," ",Ruimtestaat[[#This Row],[Vloer code]]))</f>
        <v>6-5w P</v>
      </c>
      <c r="AJ541" s="300" t="str">
        <f>_xlfn.IFNA(VLOOKUP($AI541,Programma!$F$3:$G$1107,2,0),"")</f>
        <v>_</v>
      </c>
      <c r="AK541" s="300" t="str">
        <f>_xlfn.IFNA(VLOOKUP($AI541,Programma!$F$3:$H$1107,3,0),"")</f>
        <v>_</v>
      </c>
      <c r="AL541" s="300" t="str">
        <f>_xlfn.IFNA(VLOOKUP($AI541,Programma!$F$3:$I$1107,4,0),"")</f>
        <v>5w</v>
      </c>
      <c r="AM541" s="300" t="str">
        <f>_xlfn.IFNA(VLOOKUP($AI541,Programma!$F$3:$J$1107,5,0),"")</f>
        <v>_</v>
      </c>
      <c r="AN541" s="300" t="str">
        <f>_xlfn.IFNA(VLOOKUP($AI541,Programma!$F$3:$K$1107,6,0),"")</f>
        <v>5w</v>
      </c>
      <c r="AO541" s="300" t="str">
        <f>_xlfn.IFNA(VLOOKUP($AI541,Programma!$F$3:$L$1107,7,0),"")</f>
        <v>_</v>
      </c>
      <c r="AP541" s="300" t="str">
        <f>_xlfn.IFNA(VLOOKUP($AI541,Programma!$F$3:$M$1107,8,0),"")</f>
        <v>_</v>
      </c>
      <c r="AQ541" s="300" t="str">
        <f>_xlfn.IFNA(VLOOKUP($AI541,Programma!$F$3:$N$1107,9,0),"")</f>
        <v>_</v>
      </c>
      <c r="AR541" s="300" t="str">
        <f>_xlfn.IFNA(VLOOKUP($AI541,Programma!$F$3:$O$1107,10,0),"")</f>
        <v>5w</v>
      </c>
      <c r="AS541" s="300" t="str">
        <f>_xlfn.IFNA(VLOOKUP($AI541,Programma!$F$3:$P$1107,11,0),"")</f>
        <v>5w</v>
      </c>
      <c r="AT541" s="300" t="str">
        <f>_xlfn.IFNA(VLOOKUP($AI541,Programma!$F$3:$Q$1107,12,0),"")</f>
        <v>1w</v>
      </c>
      <c r="AU541" s="300" t="str">
        <f>_xlfn.IFNA(VLOOKUP($AI541,Programma!$F$3:$R$1107,13,0),"")</f>
        <v>1w</v>
      </c>
      <c r="AV541" s="300" t="str">
        <f>_xlfn.IFNA(VLOOKUP($AI541,Programma!$F$3:$S$1107,14,0),"")</f>
        <v>1m</v>
      </c>
      <c r="AW541" s="300" t="str">
        <f>_xlfn.IFNA(VLOOKUP($AI541,Programma!$F$3:$T$1107,15,0),"")</f>
        <v>2j</v>
      </c>
      <c r="AX541" s="300" t="str">
        <f>_xlfn.IFNA(VLOOKUP($AI541,Programma!$F$3:$U$1107,16,0),"")</f>
        <v>1j</v>
      </c>
      <c r="AY541" s="300" t="str">
        <f>_xlfn.IFNA(VLOOKUP($AI541,Programma!$F$3:$V$1107,17,0),"")</f>
        <v>_</v>
      </c>
      <c r="AZ541" s="300" t="str">
        <f>_xlfn.IFNA(VLOOKUP($AI541,Programma!$F$3:$W$1107,18,0),"")</f>
        <v>_</v>
      </c>
      <c r="BA541" s="300" t="str">
        <f>_xlfn.IFNA(VLOOKUP($AI541,Programma!$F$3:$X$1107,19,0),"")</f>
        <v>_</v>
      </c>
      <c r="BB541" s="300" t="str">
        <f>_xlfn.IFNA(VLOOKUP($AI541,Programma!$F$3:$Y$1107,20,0),"")</f>
        <v>_</v>
      </c>
      <c r="BC541" s="257"/>
      <c r="BD541" s="256" t="str">
        <f>IF(Ruimtestaat[[#This Row],[Frequentie weekend]]="","",_xlfn.CONCAT(Ruimtestaat[[#This Row],[Ruimte code]],"-",Ruimtestaat[[#This Row],[Frequentie weekend]]," ",Ruimtestaat[[#This Row],[Vloer code]]))</f>
        <v/>
      </c>
      <c r="BE541" s="300" t="str">
        <f>_xlfn.IFNA(VLOOKUP($BD541,Programma!$F$3:$G$1107,2,0),"")</f>
        <v/>
      </c>
      <c r="BF541" s="300" t="str">
        <f>_xlfn.IFNA(VLOOKUP($BD541,Programma!$F$3:$H$1107,3,0),"")</f>
        <v/>
      </c>
      <c r="BG541" s="300" t="str">
        <f>_xlfn.IFNA(VLOOKUP($BD541,Programma!$F$3:$I$1107,4,0),"")</f>
        <v/>
      </c>
      <c r="BH541" s="300" t="str">
        <f>_xlfn.IFNA(VLOOKUP($BD541,Programma!$F$3:$J$1107,5,0),"")</f>
        <v/>
      </c>
      <c r="BI541" s="300" t="str">
        <f>_xlfn.IFNA(VLOOKUP($BD541,Programma!$F$3:$K$1107,6,0),"")</f>
        <v/>
      </c>
      <c r="BJ541" s="300" t="str">
        <f>_xlfn.IFNA(VLOOKUP($BD541,Programma!$F$3:$L$1107,7,0),"")</f>
        <v/>
      </c>
      <c r="BK541" s="300" t="str">
        <f>_xlfn.IFNA(VLOOKUP($BD541,Programma!$F$3:$M$1107,8,0),"")</f>
        <v/>
      </c>
      <c r="BL541" s="300" t="str">
        <f>_xlfn.IFNA(VLOOKUP($BD541,Programma!$F$3:$N$1107,9,0),"")</f>
        <v/>
      </c>
      <c r="BM541" s="300" t="str">
        <f>_xlfn.IFNA(VLOOKUP($BD541,Programma!$F$3:$O$1107,10,0),"")</f>
        <v/>
      </c>
      <c r="BN541" s="300" t="str">
        <f>_xlfn.IFNA(VLOOKUP($BD541,Programma!$F$3:$P$1107,11,0),"")</f>
        <v/>
      </c>
      <c r="BO541" s="300" t="str">
        <f>_xlfn.IFNA(VLOOKUP($BD541,Programma!$F$3:$Q$1107,12,0),"")</f>
        <v/>
      </c>
      <c r="BP541" s="300" t="str">
        <f>_xlfn.IFNA(VLOOKUP($BD541,Programma!$F$3:$R$1107,13,0),"")</f>
        <v/>
      </c>
      <c r="BQ541" s="300" t="str">
        <f>_xlfn.IFNA(VLOOKUP($BD541,Programma!$F$3:$S$1107,14,0),"")</f>
        <v/>
      </c>
      <c r="BR541" s="300" t="str">
        <f>_xlfn.IFNA(VLOOKUP($BD541,Programma!$F$3:$T$1107,15,0),"")</f>
        <v/>
      </c>
      <c r="BS541" s="300" t="str">
        <f>_xlfn.IFNA(VLOOKUP($BD541,Programma!$F$3:$U$1107,16,0),"")</f>
        <v/>
      </c>
      <c r="BT541" s="300" t="str">
        <f>_xlfn.IFNA(VLOOKUP($BD541,Programma!$F$3:$V$1107,17,0),"")</f>
        <v/>
      </c>
      <c r="BU541" s="300" t="str">
        <f>_xlfn.IFNA(VLOOKUP($BD541,Programma!$F$3:$W$1107,18,0),"")</f>
        <v/>
      </c>
      <c r="BV541" s="300" t="str">
        <f>_xlfn.IFNA(VLOOKUP($BD541,Programma!$F$3:$X$1107,19,0),"")</f>
        <v/>
      </c>
      <c r="BW541" s="300" t="str">
        <f>_xlfn.IFNA(VLOOKUP($BD541,Programma!$F$3:$Y$1107,20,0),"")</f>
        <v/>
      </c>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c r="GK541" s="4"/>
      <c r="GL541" s="4"/>
      <c r="GM541" s="4"/>
      <c r="GN541" s="4"/>
      <c r="GO541" s="4"/>
      <c r="GP541" s="4"/>
      <c r="GQ541" s="4"/>
      <c r="GR541" s="4"/>
      <c r="GS541" s="4"/>
      <c r="GT541" s="4"/>
      <c r="GU541" s="4"/>
      <c r="GV541" s="4"/>
      <c r="GW541" s="4"/>
      <c r="GX541" s="4"/>
      <c r="GY541" s="4"/>
      <c r="GZ541" s="4"/>
      <c r="HA541" s="4"/>
      <c r="HB541" s="4"/>
      <c r="HC541" s="4"/>
      <c r="HD541" s="4"/>
      <c r="HE541" s="4"/>
      <c r="HF541" s="4"/>
      <c r="HG541" s="4"/>
      <c r="HH541" s="4"/>
      <c r="HI541" s="4"/>
      <c r="HJ541" s="4"/>
      <c r="HK541" s="4"/>
      <c r="HL541" s="4"/>
    </row>
    <row r="542" spans="1:220" ht="15" customHeight="1">
      <c r="A542" s="21">
        <v>6</v>
      </c>
      <c r="B542" s="157" t="str">
        <f>VLOOKUP(Ruimtestaat[[#This Row],[Code]],Locaties[[Code]:[Locatie]],2,FALSE)</f>
        <v>Veurs Lyceum</v>
      </c>
      <c r="C542" s="157" t="str">
        <f>VLOOKUP(Ruimtestaat[[#This Row],[Code]],Locaties[[#All],[Code]:[Adres]],4,FALSE)</f>
        <v>Burg. Kolfschotenlaan 5</v>
      </c>
      <c r="D542" s="157" t="str">
        <f>VLOOKUP(Ruimtestaat[[#This Row],[Code]],Locaties[[#All],[Code]:[Postcode]],5,FALSE)</f>
        <v xml:space="preserve">2262 EZ </v>
      </c>
      <c r="E542" s="157" t="str">
        <f>VLOOKUP(Ruimtestaat[[#This Row],[Code]],Locaties[#All],6,FALSE)</f>
        <v>Leidschendam</v>
      </c>
      <c r="F542" s="62"/>
      <c r="G542" s="21" t="s">
        <v>1706</v>
      </c>
      <c r="H542" s="21" t="s">
        <v>1740</v>
      </c>
      <c r="I542" s="62" t="s">
        <v>1625</v>
      </c>
      <c r="J542" s="21">
        <v>6</v>
      </c>
      <c r="K542" s="62" t="str">
        <f>VLOOKUP(Ruimtestaat[[#This Row],[Ruimte code]],Ruimtegroepen[[#All],[Code]:[Ruimte omschrijving]],2,FALSE)</f>
        <v>Gangen/hallen</v>
      </c>
      <c r="L542" s="33" t="s">
        <v>103</v>
      </c>
      <c r="M542" s="367" t="s">
        <v>121</v>
      </c>
      <c r="N542" s="140">
        <v>156</v>
      </c>
      <c r="O542" s="140"/>
      <c r="P542" s="125" t="str">
        <f>VLOOKUP(Ruimtestaat[[#This Row],[Ruimte code]],Ruimtegroepen[],4,FALSE)</f>
        <v>Ve</v>
      </c>
      <c r="R542" s="33">
        <v>40</v>
      </c>
      <c r="S542" s="33" t="s">
        <v>2</v>
      </c>
      <c r="T542" s="33">
        <f>IF(R542&gt;0,IF(RIGHT(Ruimtestaat[[#This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2" s="33">
        <f>IF(T542&gt;0,VLOOKUP($J542,Ruimtegroepen[],3,FALSE)*VLOOKUP($L542,Vloersoorten[],3,FALSE)*VLOOKUP($S542,Frequenties[],3,FALSE)*VLOOKUP($A542,Locaties[],3,FALSE),0)</f>
        <v>0</v>
      </c>
      <c r="V542" s="33">
        <f>Ruimtestaat[[#This Row],[Uitvoeringen werkdagen]]*Ruimtestaat[[#This Row],[Oppervlak (netto)]]</f>
        <v>31200</v>
      </c>
      <c r="W542" s="154">
        <f>IF(U542&gt;0,Ruimtestaat[[#This Row],[Prest. (m2 /jaar) werkdagen]]/Ruimtestaat[[#This Row],[Norm (m2/uur) werkdagen]],0)</f>
        <v>0</v>
      </c>
      <c r="X542" s="155">
        <f>Ruimtestaat[[#This Row],[uren / jaar werkdagen]]*Tariefsopbouw!$E$35</f>
        <v>0</v>
      </c>
      <c r="Y542" s="33"/>
      <c r="Z542" s="33">
        <f>IF(Ruimtestaat[[#This Row],[Frequentie weekend]]&gt;0,VALUE(LEFT(Y542,1))*R542,0)</f>
        <v>0</v>
      </c>
      <c r="AA542" s="97">
        <f>IF($Z542&gt;0,VLOOKUP($J542,Ruimtegroepen[],3,FALSE)*VLOOKUP($L542,Vloersoorten[],3,FALSE)*VLOOKUP($Y542,Frequenties[],3,FALSE)*VLOOKUP(Ruimtestaat[[#This Row],[Code]],Locaties[],3,FALSE),0)</f>
        <v>0</v>
      </c>
      <c r="AB542" s="97">
        <f>Ruimtestaat[[#This Row],[Uitvoeringen weekend]]*Ruimtestaat[[#This Row],[Oppervlak (netto)]]</f>
        <v>0</v>
      </c>
      <c r="AC542" s="97">
        <f>IF(AA542&gt;0,Ruimtestaat[[#This Row],[Prest. (m2 /jaar) weekend]]/Ruimtestaat[[#This Row],[Norm (m2/uur) weekend]],0)</f>
        <v>0</v>
      </c>
      <c r="AD542" s="155">
        <f>Ruimtestaat[[#This Row],[uren / jaar weekend]]*Tariefsopbouw!$D$40</f>
        <v>0</v>
      </c>
      <c r="AE542" s="154">
        <f>Ruimtestaat[[#This Row],[Prest. (m2 /jaar) weekend]]+Ruimtestaat[[#This Row],[Prest. (m2 /jaar) werkdagen]]</f>
        <v>31200</v>
      </c>
      <c r="AF542" s="154">
        <f>Ruimtestaat[[#This Row],[uren / jaar weekend]]+Ruimtestaat[[#This Row],[uren / jaar werkdagen]]</f>
        <v>0</v>
      </c>
      <c r="AG542" s="69">
        <f>Ruimtestaat[[#This Row],[kosten / jaar weekend]]+Ruimtestaat[[#This Row],[kosten / jaar werkdagen]]</f>
        <v>0</v>
      </c>
      <c r="AH542" s="69"/>
      <c r="AI542" s="256" t="str">
        <f>IF(Ruimtestaat[[#This Row],[Frequentie werkdagen]]="","",_xlfn.CONCAT(Ruimtestaat[[#This Row],[Ruimte code]],"-",Ruimtestaat[[#This Row],[Frequentie werkdagen]]," ",Ruimtestaat[[#This Row],[Vloer code]]))</f>
        <v>6-5w P</v>
      </c>
      <c r="AJ542" s="300" t="str">
        <f>_xlfn.IFNA(VLOOKUP($AI542,Programma!$F$3:$G$1107,2,0),"")</f>
        <v>_</v>
      </c>
      <c r="AK542" s="300" t="str">
        <f>_xlfn.IFNA(VLOOKUP($AI542,Programma!$F$3:$H$1107,3,0),"")</f>
        <v>_</v>
      </c>
      <c r="AL542" s="300" t="str">
        <f>_xlfn.IFNA(VLOOKUP($AI542,Programma!$F$3:$I$1107,4,0),"")</f>
        <v>5w</v>
      </c>
      <c r="AM542" s="300" t="str">
        <f>_xlfn.IFNA(VLOOKUP($AI542,Programma!$F$3:$J$1107,5,0),"")</f>
        <v>_</v>
      </c>
      <c r="AN542" s="300" t="str">
        <f>_xlfn.IFNA(VLOOKUP($AI542,Programma!$F$3:$K$1107,6,0),"")</f>
        <v>5w</v>
      </c>
      <c r="AO542" s="300" t="str">
        <f>_xlfn.IFNA(VLOOKUP($AI542,Programma!$F$3:$L$1107,7,0),"")</f>
        <v>_</v>
      </c>
      <c r="AP542" s="300" t="str">
        <f>_xlfn.IFNA(VLOOKUP($AI542,Programma!$F$3:$M$1107,8,0),"")</f>
        <v>_</v>
      </c>
      <c r="AQ542" s="300" t="str">
        <f>_xlfn.IFNA(VLOOKUP($AI542,Programma!$F$3:$N$1107,9,0),"")</f>
        <v>_</v>
      </c>
      <c r="AR542" s="300" t="str">
        <f>_xlfn.IFNA(VLOOKUP($AI542,Programma!$F$3:$O$1107,10,0),"")</f>
        <v>5w</v>
      </c>
      <c r="AS542" s="300" t="str">
        <f>_xlfn.IFNA(VLOOKUP($AI542,Programma!$F$3:$P$1107,11,0),"")</f>
        <v>5w</v>
      </c>
      <c r="AT542" s="300" t="str">
        <f>_xlfn.IFNA(VLOOKUP($AI542,Programma!$F$3:$Q$1107,12,0),"")</f>
        <v>1w</v>
      </c>
      <c r="AU542" s="300" t="str">
        <f>_xlfn.IFNA(VLOOKUP($AI542,Programma!$F$3:$R$1107,13,0),"")</f>
        <v>1w</v>
      </c>
      <c r="AV542" s="300" t="str">
        <f>_xlfn.IFNA(VLOOKUP($AI542,Programma!$F$3:$S$1107,14,0),"")</f>
        <v>1m</v>
      </c>
      <c r="AW542" s="300" t="str">
        <f>_xlfn.IFNA(VLOOKUP($AI542,Programma!$F$3:$T$1107,15,0),"")</f>
        <v>2j</v>
      </c>
      <c r="AX542" s="300" t="str">
        <f>_xlfn.IFNA(VLOOKUP($AI542,Programma!$F$3:$U$1107,16,0),"")</f>
        <v>1j</v>
      </c>
      <c r="AY542" s="300" t="str">
        <f>_xlfn.IFNA(VLOOKUP($AI542,Programma!$F$3:$V$1107,17,0),"")</f>
        <v>_</v>
      </c>
      <c r="AZ542" s="300" t="str">
        <f>_xlfn.IFNA(VLOOKUP($AI542,Programma!$F$3:$W$1107,18,0),"")</f>
        <v>_</v>
      </c>
      <c r="BA542" s="300" t="str">
        <f>_xlfn.IFNA(VLOOKUP($AI542,Programma!$F$3:$X$1107,19,0),"")</f>
        <v>_</v>
      </c>
      <c r="BB542" s="300" t="str">
        <f>_xlfn.IFNA(VLOOKUP($AI542,Programma!$F$3:$Y$1107,20,0),"")</f>
        <v>_</v>
      </c>
      <c r="BC542" s="257"/>
      <c r="BD542" s="256" t="str">
        <f>IF(Ruimtestaat[[#This Row],[Frequentie weekend]]="","",_xlfn.CONCAT(Ruimtestaat[[#This Row],[Ruimte code]],"-",Ruimtestaat[[#This Row],[Frequentie weekend]]," ",Ruimtestaat[[#This Row],[Vloer code]]))</f>
        <v/>
      </c>
      <c r="BE542" s="300" t="str">
        <f>_xlfn.IFNA(VLOOKUP($BD542,Programma!$F$3:$G$1107,2,0),"")</f>
        <v/>
      </c>
      <c r="BF542" s="300" t="str">
        <f>_xlfn.IFNA(VLOOKUP($BD542,Programma!$F$3:$H$1107,3,0),"")</f>
        <v/>
      </c>
      <c r="BG542" s="300" t="str">
        <f>_xlfn.IFNA(VLOOKUP($BD542,Programma!$F$3:$I$1107,4,0),"")</f>
        <v/>
      </c>
      <c r="BH542" s="300" t="str">
        <f>_xlfn.IFNA(VLOOKUP($BD542,Programma!$F$3:$J$1107,5,0),"")</f>
        <v/>
      </c>
      <c r="BI542" s="300" t="str">
        <f>_xlfn.IFNA(VLOOKUP($BD542,Programma!$F$3:$K$1107,6,0),"")</f>
        <v/>
      </c>
      <c r="BJ542" s="300" t="str">
        <f>_xlfn.IFNA(VLOOKUP($BD542,Programma!$F$3:$L$1107,7,0),"")</f>
        <v/>
      </c>
      <c r="BK542" s="300" t="str">
        <f>_xlfn.IFNA(VLOOKUP($BD542,Programma!$F$3:$M$1107,8,0),"")</f>
        <v/>
      </c>
      <c r="BL542" s="300" t="str">
        <f>_xlfn.IFNA(VLOOKUP($BD542,Programma!$F$3:$N$1107,9,0),"")</f>
        <v/>
      </c>
      <c r="BM542" s="300" t="str">
        <f>_xlfn.IFNA(VLOOKUP($BD542,Programma!$F$3:$O$1107,10,0),"")</f>
        <v/>
      </c>
      <c r="BN542" s="300" t="str">
        <f>_xlfn.IFNA(VLOOKUP($BD542,Programma!$F$3:$P$1107,11,0),"")</f>
        <v/>
      </c>
      <c r="BO542" s="300" t="str">
        <f>_xlfn.IFNA(VLOOKUP($BD542,Programma!$F$3:$Q$1107,12,0),"")</f>
        <v/>
      </c>
      <c r="BP542" s="300" t="str">
        <f>_xlfn.IFNA(VLOOKUP($BD542,Programma!$F$3:$R$1107,13,0),"")</f>
        <v/>
      </c>
      <c r="BQ542" s="300" t="str">
        <f>_xlfn.IFNA(VLOOKUP($BD542,Programma!$F$3:$S$1107,14,0),"")</f>
        <v/>
      </c>
      <c r="BR542" s="300" t="str">
        <f>_xlfn.IFNA(VLOOKUP($BD542,Programma!$F$3:$T$1107,15,0),"")</f>
        <v/>
      </c>
      <c r="BS542" s="300" t="str">
        <f>_xlfn.IFNA(VLOOKUP($BD542,Programma!$F$3:$U$1107,16,0),"")</f>
        <v/>
      </c>
      <c r="BT542" s="300" t="str">
        <f>_xlfn.IFNA(VLOOKUP($BD542,Programma!$F$3:$V$1107,17,0),"")</f>
        <v/>
      </c>
      <c r="BU542" s="300" t="str">
        <f>_xlfn.IFNA(VLOOKUP($BD542,Programma!$F$3:$W$1107,18,0),"")</f>
        <v/>
      </c>
      <c r="BV542" s="300" t="str">
        <f>_xlfn.IFNA(VLOOKUP($BD542,Programma!$F$3:$X$1107,19,0),"")</f>
        <v/>
      </c>
      <c r="BW542" s="300" t="str">
        <f>_xlfn.IFNA(VLOOKUP($BD542,Programma!$F$3:$Y$1107,20,0),"")</f>
        <v/>
      </c>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c r="GK542" s="4"/>
      <c r="GL542" s="4"/>
      <c r="GM542" s="4"/>
      <c r="GN542" s="4"/>
      <c r="GO542" s="4"/>
      <c r="GP542" s="4"/>
      <c r="GQ542" s="4"/>
      <c r="GR542" s="4"/>
      <c r="GS542" s="4"/>
      <c r="GT542" s="4"/>
      <c r="GU542" s="4"/>
      <c r="GV542" s="4"/>
      <c r="GW542" s="4"/>
      <c r="GX542" s="4"/>
      <c r="GY542" s="4"/>
      <c r="GZ542" s="4"/>
      <c r="HA542" s="4"/>
      <c r="HB542" s="4"/>
      <c r="HC542" s="4"/>
      <c r="HD542" s="4"/>
      <c r="HE542" s="4"/>
      <c r="HF542" s="4"/>
      <c r="HG542" s="4"/>
      <c r="HH542" s="4"/>
      <c r="HI542" s="4"/>
      <c r="HJ542" s="4"/>
      <c r="HK542" s="4"/>
      <c r="HL542" s="4"/>
    </row>
    <row r="543" spans="1:220" ht="15" customHeight="1">
      <c r="A543" s="21">
        <v>6</v>
      </c>
      <c r="B543" s="157" t="str">
        <f>VLOOKUP(Ruimtestaat[[#This Row],[Code]],Locaties[[Code]:[Locatie]],2,FALSE)</f>
        <v>Veurs Lyceum</v>
      </c>
      <c r="C543" s="157" t="str">
        <f>VLOOKUP(Ruimtestaat[[#This Row],[Code]],Locaties[[#All],[Code]:[Adres]],4,FALSE)</f>
        <v>Burg. Kolfschotenlaan 5</v>
      </c>
      <c r="D543" s="157" t="str">
        <f>VLOOKUP(Ruimtestaat[[#This Row],[Code]],Locaties[[#All],[Code]:[Postcode]],5,FALSE)</f>
        <v xml:space="preserve">2262 EZ </v>
      </c>
      <c r="E543" s="157" t="str">
        <f>VLOOKUP(Ruimtestaat[[#This Row],[Code]],Locaties[#All],6,FALSE)</f>
        <v>Leidschendam</v>
      </c>
      <c r="F543" s="62"/>
      <c r="G543" s="21" t="s">
        <v>1706</v>
      </c>
      <c r="H543" s="21" t="s">
        <v>1742</v>
      </c>
      <c r="I543" s="62" t="s">
        <v>1625</v>
      </c>
      <c r="J543" s="21">
        <v>6</v>
      </c>
      <c r="K543" s="62" t="str">
        <f>VLOOKUP(Ruimtestaat[[#This Row],[Ruimte code]],Ruimtegroepen[[#All],[Code]:[Ruimte omschrijving]],2,FALSE)</f>
        <v>Gangen/hallen</v>
      </c>
      <c r="L543" s="33" t="s">
        <v>100</v>
      </c>
      <c r="M543" s="367" t="s">
        <v>2493</v>
      </c>
      <c r="N543" s="140">
        <v>57</v>
      </c>
      <c r="O543" s="140"/>
      <c r="P543" s="125" t="str">
        <f>VLOOKUP(Ruimtestaat[[#This Row],[Ruimte code]],Ruimtegroepen[],4,FALSE)</f>
        <v>Ve</v>
      </c>
      <c r="R543" s="33">
        <v>40</v>
      </c>
      <c r="S543" s="33" t="s">
        <v>2</v>
      </c>
      <c r="T543" s="33">
        <f>IF(R543&gt;0,IF(RIGHT(Ruimtestaat[[#This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3" s="33">
        <f>IF(T543&gt;0,VLOOKUP($J543,Ruimtegroepen[],3,FALSE)*VLOOKUP($L543,Vloersoorten[],3,FALSE)*VLOOKUP($S543,Frequenties[],3,FALSE)*VLOOKUP($A543,Locaties[],3,FALSE),0)</f>
        <v>0</v>
      </c>
      <c r="V543" s="33">
        <f>Ruimtestaat[[#This Row],[Uitvoeringen werkdagen]]*Ruimtestaat[[#This Row],[Oppervlak (netto)]]</f>
        <v>11400</v>
      </c>
      <c r="W543" s="154">
        <f>IF(U543&gt;0,Ruimtestaat[[#This Row],[Prest. (m2 /jaar) werkdagen]]/Ruimtestaat[[#This Row],[Norm (m2/uur) werkdagen]],0)</f>
        <v>0</v>
      </c>
      <c r="X543" s="155">
        <f>Ruimtestaat[[#This Row],[uren / jaar werkdagen]]*Tariefsopbouw!$E$35</f>
        <v>0</v>
      </c>
      <c r="Y543" s="33"/>
      <c r="Z543" s="33">
        <f>IF(Ruimtestaat[[#This Row],[Frequentie weekend]]&gt;0,VALUE(LEFT(Y543,1))*R543,0)</f>
        <v>0</v>
      </c>
      <c r="AA543" s="97">
        <f>IF($Z543&gt;0,VLOOKUP($J543,Ruimtegroepen[],3,FALSE)*VLOOKUP($L543,Vloersoorten[],3,FALSE)*VLOOKUP($Y543,Frequenties[],3,FALSE)*VLOOKUP(Ruimtestaat[[#This Row],[Code]],Locaties[],3,FALSE),0)</f>
        <v>0</v>
      </c>
      <c r="AB543" s="97">
        <f>Ruimtestaat[[#This Row],[Uitvoeringen weekend]]*Ruimtestaat[[#This Row],[Oppervlak (netto)]]</f>
        <v>0</v>
      </c>
      <c r="AC543" s="97">
        <f>IF(AA543&gt;0,Ruimtestaat[[#This Row],[Prest. (m2 /jaar) weekend]]/Ruimtestaat[[#This Row],[Norm (m2/uur) weekend]],0)</f>
        <v>0</v>
      </c>
      <c r="AD543" s="155">
        <f>Ruimtestaat[[#This Row],[uren / jaar weekend]]*Tariefsopbouw!$D$40</f>
        <v>0</v>
      </c>
      <c r="AE543" s="154">
        <f>Ruimtestaat[[#This Row],[Prest. (m2 /jaar) weekend]]+Ruimtestaat[[#This Row],[Prest. (m2 /jaar) werkdagen]]</f>
        <v>11400</v>
      </c>
      <c r="AF543" s="154">
        <f>Ruimtestaat[[#This Row],[uren / jaar weekend]]+Ruimtestaat[[#This Row],[uren / jaar werkdagen]]</f>
        <v>0</v>
      </c>
      <c r="AG543" s="69">
        <f>Ruimtestaat[[#This Row],[kosten / jaar weekend]]+Ruimtestaat[[#This Row],[kosten / jaar werkdagen]]</f>
        <v>0</v>
      </c>
      <c r="AH543" s="69"/>
      <c r="AI543" s="256" t="str">
        <f>IF(Ruimtestaat[[#This Row],[Frequentie werkdagen]]="","",_xlfn.CONCAT(Ruimtestaat[[#This Row],[Ruimte code]],"-",Ruimtestaat[[#This Row],[Frequentie werkdagen]]," ",Ruimtestaat[[#This Row],[Vloer code]]))</f>
        <v>6-5w T</v>
      </c>
      <c r="AJ543" s="300" t="str">
        <f>_xlfn.IFNA(VLOOKUP($AI543,Programma!$F$3:$G$1107,2,0),"")</f>
        <v>_</v>
      </c>
      <c r="AK543" s="300" t="str">
        <f>_xlfn.IFNA(VLOOKUP($AI543,Programma!$F$3:$H$1107,3,0),"")</f>
        <v>5w</v>
      </c>
      <c r="AL543" s="300" t="str">
        <f>_xlfn.IFNA(VLOOKUP($AI543,Programma!$F$3:$I$1107,4,0),"")</f>
        <v>_</v>
      </c>
      <c r="AM543" s="300" t="str">
        <f>_xlfn.IFNA(VLOOKUP($AI543,Programma!$F$3:$J$1107,5,0),"")</f>
        <v>_</v>
      </c>
      <c r="AN543" s="300" t="str">
        <f>_xlfn.IFNA(VLOOKUP($AI543,Programma!$F$3:$K$1107,6,0),"")</f>
        <v>_</v>
      </c>
      <c r="AO543" s="300" t="str">
        <f>_xlfn.IFNA(VLOOKUP($AI543,Programma!$F$3:$L$1107,7,0),"")</f>
        <v>_</v>
      </c>
      <c r="AP543" s="300" t="str">
        <f>_xlfn.IFNA(VLOOKUP($AI543,Programma!$F$3:$M$1107,8,0),"")</f>
        <v>_</v>
      </c>
      <c r="AQ543" s="300" t="str">
        <f>_xlfn.IFNA(VLOOKUP($AI543,Programma!$F$3:$N$1107,9,0),"")</f>
        <v>_</v>
      </c>
      <c r="AR543" s="300" t="str">
        <f>_xlfn.IFNA(VLOOKUP($AI543,Programma!$F$3:$O$1107,10,0),"")</f>
        <v>5w</v>
      </c>
      <c r="AS543" s="300" t="str">
        <f>_xlfn.IFNA(VLOOKUP($AI543,Programma!$F$3:$P$1107,11,0),"")</f>
        <v>5w</v>
      </c>
      <c r="AT543" s="300" t="str">
        <f>_xlfn.IFNA(VLOOKUP($AI543,Programma!$F$3:$Q$1107,12,0),"")</f>
        <v>1w</v>
      </c>
      <c r="AU543" s="300" t="str">
        <f>_xlfn.IFNA(VLOOKUP($AI543,Programma!$F$3:$R$1107,13,0),"")</f>
        <v>1w</v>
      </c>
      <c r="AV543" s="300" t="str">
        <f>_xlfn.IFNA(VLOOKUP($AI543,Programma!$F$3:$S$1107,14,0),"")</f>
        <v>1m</v>
      </c>
      <c r="AW543" s="300" t="str">
        <f>_xlfn.IFNA(VLOOKUP($AI543,Programma!$F$3:$T$1107,15,0),"")</f>
        <v>2j</v>
      </c>
      <c r="AX543" s="300" t="str">
        <f>_xlfn.IFNA(VLOOKUP($AI543,Programma!$F$3:$U$1107,16,0),"")</f>
        <v>1j</v>
      </c>
      <c r="AY543" s="300" t="str">
        <f>_xlfn.IFNA(VLOOKUP($AI543,Programma!$F$3:$V$1107,17,0),"")</f>
        <v>_</v>
      </c>
      <c r="AZ543" s="300" t="str">
        <f>_xlfn.IFNA(VLOOKUP($AI543,Programma!$F$3:$W$1107,18,0),"")</f>
        <v>_</v>
      </c>
      <c r="BA543" s="300" t="str">
        <f>_xlfn.IFNA(VLOOKUP($AI543,Programma!$F$3:$X$1107,19,0),"")</f>
        <v>_</v>
      </c>
      <c r="BB543" s="300" t="str">
        <f>_xlfn.IFNA(VLOOKUP($AI543,Programma!$F$3:$Y$1107,20,0),"")</f>
        <v>_</v>
      </c>
      <c r="BC543" s="257"/>
      <c r="BD543" s="256" t="str">
        <f>IF(Ruimtestaat[[#This Row],[Frequentie weekend]]="","",_xlfn.CONCAT(Ruimtestaat[[#This Row],[Ruimte code]],"-",Ruimtestaat[[#This Row],[Frequentie weekend]]," ",Ruimtestaat[[#This Row],[Vloer code]]))</f>
        <v/>
      </c>
      <c r="BE543" s="300" t="str">
        <f>_xlfn.IFNA(VLOOKUP($BD543,Programma!$F$3:$G$1107,2,0),"")</f>
        <v/>
      </c>
      <c r="BF543" s="300" t="str">
        <f>_xlfn.IFNA(VLOOKUP($BD543,Programma!$F$3:$H$1107,3,0),"")</f>
        <v/>
      </c>
      <c r="BG543" s="300" t="str">
        <f>_xlfn.IFNA(VLOOKUP($BD543,Programma!$F$3:$I$1107,4,0),"")</f>
        <v/>
      </c>
      <c r="BH543" s="300" t="str">
        <f>_xlfn.IFNA(VLOOKUP($BD543,Programma!$F$3:$J$1107,5,0),"")</f>
        <v/>
      </c>
      <c r="BI543" s="300" t="str">
        <f>_xlfn.IFNA(VLOOKUP($BD543,Programma!$F$3:$K$1107,6,0),"")</f>
        <v/>
      </c>
      <c r="BJ543" s="300" t="str">
        <f>_xlfn.IFNA(VLOOKUP($BD543,Programma!$F$3:$L$1107,7,0),"")</f>
        <v/>
      </c>
      <c r="BK543" s="300" t="str">
        <f>_xlfn.IFNA(VLOOKUP($BD543,Programma!$F$3:$M$1107,8,0),"")</f>
        <v/>
      </c>
      <c r="BL543" s="300" t="str">
        <f>_xlfn.IFNA(VLOOKUP($BD543,Programma!$F$3:$N$1107,9,0),"")</f>
        <v/>
      </c>
      <c r="BM543" s="300" t="str">
        <f>_xlfn.IFNA(VLOOKUP($BD543,Programma!$F$3:$O$1107,10,0),"")</f>
        <v/>
      </c>
      <c r="BN543" s="300" t="str">
        <f>_xlfn.IFNA(VLOOKUP($BD543,Programma!$F$3:$P$1107,11,0),"")</f>
        <v/>
      </c>
      <c r="BO543" s="300" t="str">
        <f>_xlfn.IFNA(VLOOKUP($BD543,Programma!$F$3:$Q$1107,12,0),"")</f>
        <v/>
      </c>
      <c r="BP543" s="300" t="str">
        <f>_xlfn.IFNA(VLOOKUP($BD543,Programma!$F$3:$R$1107,13,0),"")</f>
        <v/>
      </c>
      <c r="BQ543" s="300" t="str">
        <f>_xlfn.IFNA(VLOOKUP($BD543,Programma!$F$3:$S$1107,14,0),"")</f>
        <v/>
      </c>
      <c r="BR543" s="300" t="str">
        <f>_xlfn.IFNA(VLOOKUP($BD543,Programma!$F$3:$T$1107,15,0),"")</f>
        <v/>
      </c>
      <c r="BS543" s="300" t="str">
        <f>_xlfn.IFNA(VLOOKUP($BD543,Programma!$F$3:$U$1107,16,0),"")</f>
        <v/>
      </c>
      <c r="BT543" s="300" t="str">
        <f>_xlfn.IFNA(VLOOKUP($BD543,Programma!$F$3:$V$1107,17,0),"")</f>
        <v/>
      </c>
      <c r="BU543" s="300" t="str">
        <f>_xlfn.IFNA(VLOOKUP($BD543,Programma!$F$3:$W$1107,18,0),"")</f>
        <v/>
      </c>
      <c r="BV543" s="300" t="str">
        <f>_xlfn.IFNA(VLOOKUP($BD543,Programma!$F$3:$X$1107,19,0),"")</f>
        <v/>
      </c>
      <c r="BW543" s="300" t="str">
        <f>_xlfn.IFNA(VLOOKUP($BD543,Programma!$F$3:$Y$1107,20,0),"")</f>
        <v/>
      </c>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c r="GK543" s="4"/>
      <c r="GL543" s="4"/>
      <c r="GM543" s="4"/>
      <c r="GN543" s="4"/>
      <c r="GO543" s="4"/>
      <c r="GP543" s="4"/>
      <c r="GQ543" s="4"/>
      <c r="GR543" s="4"/>
      <c r="GS543" s="4"/>
      <c r="GT543" s="4"/>
      <c r="GU543" s="4"/>
      <c r="GV543" s="4"/>
      <c r="GW543" s="4"/>
      <c r="GX543" s="4"/>
      <c r="GY543" s="4"/>
      <c r="GZ543" s="4"/>
      <c r="HA543" s="4"/>
      <c r="HB543" s="4"/>
      <c r="HC543" s="4"/>
      <c r="HD543" s="4"/>
      <c r="HE543" s="4"/>
      <c r="HF543" s="4"/>
      <c r="HG543" s="4"/>
      <c r="HH543" s="4"/>
      <c r="HI543" s="4"/>
      <c r="HJ543" s="4"/>
      <c r="HK543" s="4"/>
      <c r="HL543" s="4"/>
    </row>
    <row r="544" spans="1:220" ht="15" customHeight="1">
      <c r="A544" s="21">
        <v>7</v>
      </c>
      <c r="B544" s="157" t="str">
        <f>VLOOKUP(Ruimtestaat[[#This Row],[Code]],Locaties[[Code]:[Locatie]],2,FALSE)</f>
        <v>Gymnasium Novum</v>
      </c>
      <c r="C544" s="157" t="str">
        <f>VLOOKUP(Ruimtestaat[[#This Row],[Code]],Locaties[[#All],[Code]:[Adres]],4,FALSE)</f>
        <v>Aart v.d. Leeuwkade 1</v>
      </c>
      <c r="D544" s="157" t="str">
        <f>VLOOKUP(Ruimtestaat[[#This Row],[Code]],Locaties[[#All],[Code]:[Postcode]],5,FALSE)</f>
        <v>2274 KX</v>
      </c>
      <c r="E544" s="157" t="str">
        <f>VLOOKUP(Ruimtestaat[[#This Row],[Code]],Locaties[#All],6,FALSE)</f>
        <v>Voorburg</v>
      </c>
      <c r="F544" s="62"/>
      <c r="G544" s="21" t="s">
        <v>1859</v>
      </c>
      <c r="H544" s="21">
        <v>-101</v>
      </c>
      <c r="I544" s="62" t="s">
        <v>1807</v>
      </c>
      <c r="J544" s="21">
        <v>6</v>
      </c>
      <c r="K544" s="62" t="str">
        <f>VLOOKUP(Ruimtestaat[[#This Row],[Ruimte code]],Ruimtegroepen[[#All],[Code]:[Ruimte omschrijving]],2,FALSE)</f>
        <v>Gangen/hallen</v>
      </c>
      <c r="L544" s="33" t="s">
        <v>101</v>
      </c>
      <c r="M544" s="367" t="s">
        <v>2516</v>
      </c>
      <c r="N544" s="140">
        <v>52</v>
      </c>
      <c r="O544" s="140"/>
      <c r="P544" s="125" t="str">
        <f>VLOOKUP(Ruimtestaat[[#This Row],[Ruimte code]],Ruimtegroepen[],4,FALSE)</f>
        <v>Ve</v>
      </c>
      <c r="R544" s="33">
        <v>40</v>
      </c>
      <c r="S544" s="33" t="s">
        <v>2</v>
      </c>
      <c r="T544" s="33">
        <f>IF(R544&gt;0,IF(RIGHT(Ruimtestaat[[#This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4" s="33">
        <f>IF(T544&gt;0,VLOOKUP($J544,Ruimtegroepen[],3,FALSE)*VLOOKUP($L544,Vloersoorten[],3,FALSE)*VLOOKUP($S544,Frequenties[],3,FALSE)*VLOOKUP($A544,Locaties[],3,FALSE),0)</f>
        <v>0</v>
      </c>
      <c r="V544" s="33">
        <f>Ruimtestaat[[#This Row],[Uitvoeringen werkdagen]]*Ruimtestaat[[#This Row],[Oppervlak (netto)]]</f>
        <v>10400</v>
      </c>
      <c r="W544" s="154">
        <f>IF(U544&gt;0,Ruimtestaat[[#This Row],[Prest. (m2 /jaar) werkdagen]]/Ruimtestaat[[#This Row],[Norm (m2/uur) werkdagen]],0)</f>
        <v>0</v>
      </c>
      <c r="X544" s="155">
        <f>Ruimtestaat[[#This Row],[uren / jaar werkdagen]]*Tariefsopbouw!$E$35</f>
        <v>0</v>
      </c>
      <c r="Y544" s="33"/>
      <c r="Z544" s="33">
        <f>IF(Ruimtestaat[[#This Row],[Frequentie weekend]]&gt;0,VALUE(LEFT(Y544,1))*R544,0)</f>
        <v>0</v>
      </c>
      <c r="AA544" s="97">
        <f>IF($Z544&gt;0,VLOOKUP($J544,Ruimtegroepen[],3,FALSE)*VLOOKUP($L544,Vloersoorten[],3,FALSE)*VLOOKUP($Y544,Frequenties[],3,FALSE)*VLOOKUP(Ruimtestaat[[#This Row],[Code]],Locaties[],3,FALSE),0)</f>
        <v>0</v>
      </c>
      <c r="AB544" s="97">
        <f>Ruimtestaat[[#This Row],[Uitvoeringen weekend]]*Ruimtestaat[[#This Row],[Oppervlak (netto)]]</f>
        <v>0</v>
      </c>
      <c r="AC544" s="97">
        <f>IF(AA544&gt;0,Ruimtestaat[[#This Row],[Prest. (m2 /jaar) weekend]]/Ruimtestaat[[#This Row],[Norm (m2/uur) weekend]],0)</f>
        <v>0</v>
      </c>
      <c r="AD544" s="155">
        <f>Ruimtestaat[[#This Row],[uren / jaar weekend]]*Tariefsopbouw!$D$40</f>
        <v>0</v>
      </c>
      <c r="AE544" s="154">
        <f>Ruimtestaat[[#This Row],[Prest. (m2 /jaar) weekend]]+Ruimtestaat[[#This Row],[Prest. (m2 /jaar) werkdagen]]</f>
        <v>10400</v>
      </c>
      <c r="AF544" s="154">
        <f>Ruimtestaat[[#This Row],[uren / jaar weekend]]+Ruimtestaat[[#This Row],[uren / jaar werkdagen]]</f>
        <v>0</v>
      </c>
      <c r="AG544" s="69">
        <f>Ruimtestaat[[#This Row],[kosten / jaar weekend]]+Ruimtestaat[[#This Row],[kosten / jaar werkdagen]]</f>
        <v>0</v>
      </c>
      <c r="AH544" s="69"/>
      <c r="AI544" s="256" t="str">
        <f>IF(Ruimtestaat[[#This Row],[Frequentie werkdagen]]="","",_xlfn.CONCAT(Ruimtestaat[[#This Row],[Ruimte code]],"-",Ruimtestaat[[#This Row],[Frequentie werkdagen]]," ",Ruimtestaat[[#This Row],[Vloer code]]))</f>
        <v>6-5w L</v>
      </c>
      <c r="AJ544" s="300" t="str">
        <f>_xlfn.IFNA(VLOOKUP($AI544,Programma!$F$3:$G$1107,2,0),"")</f>
        <v>_</v>
      </c>
      <c r="AK544" s="300" t="str">
        <f>_xlfn.IFNA(VLOOKUP($AI544,Programma!$F$3:$H$1107,3,0),"")</f>
        <v>_</v>
      </c>
      <c r="AL544" s="300" t="str">
        <f>_xlfn.IFNA(VLOOKUP($AI544,Programma!$F$3:$I$1107,4,0),"")</f>
        <v>_</v>
      </c>
      <c r="AM544" s="300" t="str">
        <f>_xlfn.IFNA(VLOOKUP($AI544,Programma!$F$3:$J$1107,5,0),"")</f>
        <v>5w</v>
      </c>
      <c r="AN544" s="300" t="str">
        <f>_xlfn.IFNA(VLOOKUP($AI544,Programma!$F$3:$K$1107,6,0),"")</f>
        <v>_</v>
      </c>
      <c r="AO544" s="300" t="str">
        <f>_xlfn.IFNA(VLOOKUP($AI544,Programma!$F$3:$L$1107,7,0),"")</f>
        <v>_</v>
      </c>
      <c r="AP544" s="300" t="str">
        <f>_xlfn.IFNA(VLOOKUP($AI544,Programma!$F$3:$M$1107,8,0),"")</f>
        <v>_</v>
      </c>
      <c r="AQ544" s="300" t="str">
        <f>_xlfn.IFNA(VLOOKUP($AI544,Programma!$F$3:$N$1107,9,0),"")</f>
        <v>_</v>
      </c>
      <c r="AR544" s="300" t="str">
        <f>_xlfn.IFNA(VLOOKUP($AI544,Programma!$F$3:$O$1107,10,0),"")</f>
        <v>5w</v>
      </c>
      <c r="AS544" s="300" t="str">
        <f>_xlfn.IFNA(VLOOKUP($AI544,Programma!$F$3:$P$1107,11,0),"")</f>
        <v>5w</v>
      </c>
      <c r="AT544" s="300" t="str">
        <f>_xlfn.IFNA(VLOOKUP($AI544,Programma!$F$3:$Q$1107,12,0),"")</f>
        <v>1w</v>
      </c>
      <c r="AU544" s="300" t="str">
        <f>_xlfn.IFNA(VLOOKUP($AI544,Programma!$F$3:$R$1107,13,0),"")</f>
        <v>1w</v>
      </c>
      <c r="AV544" s="300" t="str">
        <f>_xlfn.IFNA(VLOOKUP($AI544,Programma!$F$3:$S$1107,14,0),"")</f>
        <v>1m</v>
      </c>
      <c r="AW544" s="300" t="str">
        <f>_xlfn.IFNA(VLOOKUP($AI544,Programma!$F$3:$T$1107,15,0),"")</f>
        <v>2j</v>
      </c>
      <c r="AX544" s="300" t="str">
        <f>_xlfn.IFNA(VLOOKUP($AI544,Programma!$F$3:$U$1107,16,0),"")</f>
        <v>1j</v>
      </c>
      <c r="AY544" s="300" t="str">
        <f>_xlfn.IFNA(VLOOKUP($AI544,Programma!$F$3:$V$1107,17,0),"")</f>
        <v>_</v>
      </c>
      <c r="AZ544" s="300" t="str">
        <f>_xlfn.IFNA(VLOOKUP($AI544,Programma!$F$3:$W$1107,18,0),"")</f>
        <v>_</v>
      </c>
      <c r="BA544" s="300" t="str">
        <f>_xlfn.IFNA(VLOOKUP($AI544,Programma!$F$3:$X$1107,19,0),"")</f>
        <v>_</v>
      </c>
      <c r="BB544" s="300" t="str">
        <f>_xlfn.IFNA(VLOOKUP($AI544,Programma!$F$3:$Y$1107,20,0),"")</f>
        <v>_</v>
      </c>
      <c r="BC544" s="257"/>
      <c r="BD544" s="256" t="str">
        <f>IF(Ruimtestaat[[#This Row],[Frequentie weekend]]="","",_xlfn.CONCAT(Ruimtestaat[[#This Row],[Ruimte code]],"-",Ruimtestaat[[#This Row],[Frequentie weekend]]," ",Ruimtestaat[[#This Row],[Vloer code]]))</f>
        <v/>
      </c>
      <c r="BE544" s="300" t="str">
        <f>_xlfn.IFNA(VLOOKUP($BD544,Programma!$F$3:$G$1107,2,0),"")</f>
        <v/>
      </c>
      <c r="BF544" s="300" t="str">
        <f>_xlfn.IFNA(VLOOKUP($BD544,Programma!$F$3:$H$1107,3,0),"")</f>
        <v/>
      </c>
      <c r="BG544" s="300" t="str">
        <f>_xlfn.IFNA(VLOOKUP($BD544,Programma!$F$3:$I$1107,4,0),"")</f>
        <v/>
      </c>
      <c r="BH544" s="300" t="str">
        <f>_xlfn.IFNA(VLOOKUP($BD544,Programma!$F$3:$J$1107,5,0),"")</f>
        <v/>
      </c>
      <c r="BI544" s="300" t="str">
        <f>_xlfn.IFNA(VLOOKUP($BD544,Programma!$F$3:$K$1107,6,0),"")</f>
        <v/>
      </c>
      <c r="BJ544" s="300" t="str">
        <f>_xlfn.IFNA(VLOOKUP($BD544,Programma!$F$3:$L$1107,7,0),"")</f>
        <v/>
      </c>
      <c r="BK544" s="300" t="str">
        <f>_xlfn.IFNA(VLOOKUP($BD544,Programma!$F$3:$M$1107,8,0),"")</f>
        <v/>
      </c>
      <c r="BL544" s="300" t="str">
        <f>_xlfn.IFNA(VLOOKUP($BD544,Programma!$F$3:$N$1107,9,0),"")</f>
        <v/>
      </c>
      <c r="BM544" s="300" t="str">
        <f>_xlfn.IFNA(VLOOKUP($BD544,Programma!$F$3:$O$1107,10,0),"")</f>
        <v/>
      </c>
      <c r="BN544" s="300" t="str">
        <f>_xlfn.IFNA(VLOOKUP($BD544,Programma!$F$3:$P$1107,11,0),"")</f>
        <v/>
      </c>
      <c r="BO544" s="300" t="str">
        <f>_xlfn.IFNA(VLOOKUP($BD544,Programma!$F$3:$Q$1107,12,0),"")</f>
        <v/>
      </c>
      <c r="BP544" s="300" t="str">
        <f>_xlfn.IFNA(VLOOKUP($BD544,Programma!$F$3:$R$1107,13,0),"")</f>
        <v/>
      </c>
      <c r="BQ544" s="300" t="str">
        <f>_xlfn.IFNA(VLOOKUP($BD544,Programma!$F$3:$S$1107,14,0),"")</f>
        <v/>
      </c>
      <c r="BR544" s="300" t="str">
        <f>_xlfn.IFNA(VLOOKUP($BD544,Programma!$F$3:$T$1107,15,0),"")</f>
        <v/>
      </c>
      <c r="BS544" s="300" t="str">
        <f>_xlfn.IFNA(VLOOKUP($BD544,Programma!$F$3:$U$1107,16,0),"")</f>
        <v/>
      </c>
      <c r="BT544" s="300" t="str">
        <f>_xlfn.IFNA(VLOOKUP($BD544,Programma!$F$3:$V$1107,17,0),"")</f>
        <v/>
      </c>
      <c r="BU544" s="300" t="str">
        <f>_xlfn.IFNA(VLOOKUP($BD544,Programma!$F$3:$W$1107,18,0),"")</f>
        <v/>
      </c>
      <c r="BV544" s="300" t="str">
        <f>_xlfn.IFNA(VLOOKUP($BD544,Programma!$F$3:$X$1107,19,0),"")</f>
        <v/>
      </c>
      <c r="BW544" s="300" t="str">
        <f>_xlfn.IFNA(VLOOKUP($BD544,Programma!$F$3:$Y$1107,20,0),"")</f>
        <v/>
      </c>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c r="GK544" s="4"/>
      <c r="GL544" s="4"/>
      <c r="GM544" s="4"/>
      <c r="GN544" s="4"/>
      <c r="GO544" s="4"/>
      <c r="GP544" s="4"/>
      <c r="GQ544" s="4"/>
      <c r="GR544" s="4"/>
      <c r="GS544" s="4"/>
      <c r="GT544" s="4"/>
      <c r="GU544" s="4"/>
      <c r="GV544" s="4"/>
      <c r="GW544" s="4"/>
      <c r="GX544" s="4"/>
      <c r="GY544" s="4"/>
      <c r="GZ544" s="4"/>
      <c r="HA544" s="4"/>
      <c r="HB544" s="4"/>
      <c r="HC544" s="4"/>
      <c r="HD544" s="4"/>
      <c r="HE544" s="4"/>
      <c r="HF544" s="4"/>
      <c r="HG544" s="4"/>
      <c r="HH544" s="4"/>
      <c r="HI544" s="4"/>
      <c r="HJ544" s="4"/>
      <c r="HK544" s="4"/>
      <c r="HL544" s="4"/>
    </row>
    <row r="545" spans="1:220" ht="15" customHeight="1">
      <c r="A545" s="21">
        <v>7</v>
      </c>
      <c r="B545" s="157" t="str">
        <f>VLOOKUP(Ruimtestaat[[#This Row],[Code]],Locaties[[Code]:[Locatie]],2,FALSE)</f>
        <v>Gymnasium Novum</v>
      </c>
      <c r="C545" s="157" t="str">
        <f>VLOOKUP(Ruimtestaat[[#This Row],[Code]],Locaties[[#All],[Code]:[Adres]],4,FALSE)</f>
        <v>Aart v.d. Leeuwkade 1</v>
      </c>
      <c r="D545" s="157" t="str">
        <f>VLOOKUP(Ruimtestaat[[#This Row],[Code]],Locaties[[#All],[Code]:[Postcode]],5,FALSE)</f>
        <v>2274 KX</v>
      </c>
      <c r="E545" s="157" t="str">
        <f>VLOOKUP(Ruimtestaat[[#This Row],[Code]],Locaties[#All],6,FALSE)</f>
        <v>Voorburg</v>
      </c>
      <c r="F545" s="62"/>
      <c r="G545" s="21" t="s">
        <v>1859</v>
      </c>
      <c r="I545" s="62" t="s">
        <v>1776</v>
      </c>
      <c r="J545" s="21">
        <v>16</v>
      </c>
      <c r="K545" s="62" t="str">
        <f>VLOOKUP(Ruimtestaat[[#This Row],[Ruimte code]],Ruimtegroepen[[#All],[Code]:[Ruimte omschrijving]],2,FALSE)</f>
        <v>Leslokalen theorie</v>
      </c>
      <c r="L545" s="33" t="s">
        <v>101</v>
      </c>
      <c r="M545" s="367" t="s">
        <v>2516</v>
      </c>
      <c r="N545" s="140">
        <v>58</v>
      </c>
      <c r="O545" s="140"/>
      <c r="P545" s="125" t="str">
        <f>VLOOKUP(Ruimtestaat[[#This Row],[Ruimte code]],Ruimtegroepen[],4,FALSE)</f>
        <v>Le</v>
      </c>
      <c r="R545" s="33">
        <v>40</v>
      </c>
      <c r="S545" s="33" t="s">
        <v>2</v>
      </c>
      <c r="T545" s="33">
        <f>IF(R545&gt;0,IF(RIGHT(Ruimtestaat[[#This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5" s="33">
        <f>IF(T545&gt;0,VLOOKUP($J545,Ruimtegroepen[],3,FALSE)*VLOOKUP($L545,Vloersoorten[],3,FALSE)*VLOOKUP($S545,Frequenties[],3,FALSE)*VLOOKUP($A545,Locaties[],3,FALSE),0)</f>
        <v>0</v>
      </c>
      <c r="V545" s="33">
        <f>Ruimtestaat[[#This Row],[Uitvoeringen werkdagen]]*Ruimtestaat[[#This Row],[Oppervlak (netto)]]</f>
        <v>11600</v>
      </c>
      <c r="W545" s="154">
        <f>IF(U545&gt;0,Ruimtestaat[[#This Row],[Prest. (m2 /jaar) werkdagen]]/Ruimtestaat[[#This Row],[Norm (m2/uur) werkdagen]],0)</f>
        <v>0</v>
      </c>
      <c r="X545" s="155">
        <f>Ruimtestaat[[#This Row],[uren / jaar werkdagen]]*Tariefsopbouw!$E$35</f>
        <v>0</v>
      </c>
      <c r="Y545" s="33"/>
      <c r="Z545" s="33">
        <f>IF(Ruimtestaat[[#This Row],[Frequentie weekend]]&gt;0,VALUE(LEFT(Y545,1))*R545,0)</f>
        <v>0</v>
      </c>
      <c r="AA545" s="97">
        <f>IF($Z545&gt;0,VLOOKUP($J545,Ruimtegroepen[],3,FALSE)*VLOOKUP($L545,Vloersoorten[],3,FALSE)*VLOOKUP($Y545,Frequenties[],3,FALSE)*VLOOKUP(Ruimtestaat[[#This Row],[Code]],Locaties[],3,FALSE),0)</f>
        <v>0</v>
      </c>
      <c r="AB545" s="97">
        <f>Ruimtestaat[[#This Row],[Uitvoeringen weekend]]*Ruimtestaat[[#This Row],[Oppervlak (netto)]]</f>
        <v>0</v>
      </c>
      <c r="AC545" s="97">
        <f>IF(AA545&gt;0,Ruimtestaat[[#This Row],[Prest. (m2 /jaar) weekend]]/Ruimtestaat[[#This Row],[Norm (m2/uur) weekend]],0)</f>
        <v>0</v>
      </c>
      <c r="AD545" s="155">
        <f>Ruimtestaat[[#This Row],[uren / jaar weekend]]*Tariefsopbouw!$D$40</f>
        <v>0</v>
      </c>
      <c r="AE545" s="154">
        <f>Ruimtestaat[[#This Row],[Prest. (m2 /jaar) weekend]]+Ruimtestaat[[#This Row],[Prest. (m2 /jaar) werkdagen]]</f>
        <v>11600</v>
      </c>
      <c r="AF545" s="154">
        <f>Ruimtestaat[[#This Row],[uren / jaar weekend]]+Ruimtestaat[[#This Row],[uren / jaar werkdagen]]</f>
        <v>0</v>
      </c>
      <c r="AG545" s="69">
        <f>Ruimtestaat[[#This Row],[kosten / jaar weekend]]+Ruimtestaat[[#This Row],[kosten / jaar werkdagen]]</f>
        <v>0</v>
      </c>
      <c r="AH545" s="69"/>
      <c r="AI545" s="256" t="str">
        <f>IF(Ruimtestaat[[#This Row],[Frequentie werkdagen]]="","",_xlfn.CONCAT(Ruimtestaat[[#This Row],[Ruimte code]],"-",Ruimtestaat[[#This Row],[Frequentie werkdagen]]," ",Ruimtestaat[[#This Row],[Vloer code]]))</f>
        <v>16-5w L</v>
      </c>
      <c r="AJ545" s="300" t="str">
        <f>_xlfn.IFNA(VLOOKUP($AI545,Programma!$F$3:$G$1107,2,0),"")</f>
        <v>_</v>
      </c>
      <c r="AK545" s="300" t="str">
        <f>_xlfn.IFNA(VLOOKUP($AI545,Programma!$F$3:$H$1107,3,0),"")</f>
        <v>_</v>
      </c>
      <c r="AL545" s="300" t="str">
        <f>_xlfn.IFNA(VLOOKUP($AI545,Programma!$F$3:$I$1107,4,0),"")</f>
        <v>4w</v>
      </c>
      <c r="AM545" s="300" t="str">
        <f>_xlfn.IFNA(VLOOKUP($AI545,Programma!$F$3:$J$1107,5,0),"")</f>
        <v>1w</v>
      </c>
      <c r="AN545" s="300" t="str">
        <f>_xlfn.IFNA(VLOOKUP($AI545,Programma!$F$3:$K$1107,6,0),"")</f>
        <v>_</v>
      </c>
      <c r="AO545" s="300" t="str">
        <f>_xlfn.IFNA(VLOOKUP($AI545,Programma!$F$3:$L$1107,7,0),"")</f>
        <v>_</v>
      </c>
      <c r="AP545" s="300" t="str">
        <f>_xlfn.IFNA(VLOOKUP($AI545,Programma!$F$3:$M$1107,8,0),"")</f>
        <v>_</v>
      </c>
      <c r="AQ545" s="300" t="str">
        <f>_xlfn.IFNA(VLOOKUP($AI545,Programma!$F$3:$N$1107,9,0),"")</f>
        <v>_</v>
      </c>
      <c r="AR545" s="300" t="str">
        <f>_xlfn.IFNA(VLOOKUP($AI545,Programma!$F$3:$O$1107,10,0),"")</f>
        <v>5w</v>
      </c>
      <c r="AS545" s="300" t="str">
        <f>_xlfn.IFNA(VLOOKUP($AI545,Programma!$F$3:$P$1107,11,0),"")</f>
        <v>5w</v>
      </c>
      <c r="AT545" s="300" t="str">
        <f>_xlfn.IFNA(VLOOKUP($AI545,Programma!$F$3:$Q$1107,12,0),"")</f>
        <v>1w</v>
      </c>
      <c r="AU545" s="300" t="str">
        <f>_xlfn.IFNA(VLOOKUP($AI545,Programma!$F$3:$R$1107,13,0),"")</f>
        <v>1w</v>
      </c>
      <c r="AV545" s="300" t="str">
        <f>_xlfn.IFNA(VLOOKUP($AI545,Programma!$F$3:$S$1107,14,0),"")</f>
        <v>1m</v>
      </c>
      <c r="AW545" s="300" t="str">
        <f>_xlfn.IFNA(VLOOKUP($AI545,Programma!$F$3:$T$1107,15,0),"")</f>
        <v>2j</v>
      </c>
      <c r="AX545" s="300" t="str">
        <f>_xlfn.IFNA(VLOOKUP($AI545,Programma!$F$3:$U$1107,16,0),"")</f>
        <v>1j</v>
      </c>
      <c r="AY545" s="300" t="str">
        <f>_xlfn.IFNA(VLOOKUP($AI545,Programma!$F$3:$V$1107,17,0),"")</f>
        <v>_</v>
      </c>
      <c r="AZ545" s="300" t="str">
        <f>_xlfn.IFNA(VLOOKUP($AI545,Programma!$F$3:$W$1107,18,0),"")</f>
        <v>_</v>
      </c>
      <c r="BA545" s="300" t="str">
        <f>_xlfn.IFNA(VLOOKUP($AI545,Programma!$F$3:$X$1107,19,0),"")</f>
        <v>_</v>
      </c>
      <c r="BB545" s="300" t="str">
        <f>_xlfn.IFNA(VLOOKUP($AI545,Programma!$F$3:$Y$1107,20,0),"")</f>
        <v>_</v>
      </c>
      <c r="BC545" s="257"/>
      <c r="BD545" s="256" t="str">
        <f>IF(Ruimtestaat[[#This Row],[Frequentie weekend]]="","",_xlfn.CONCAT(Ruimtestaat[[#This Row],[Ruimte code]],"-",Ruimtestaat[[#This Row],[Frequentie weekend]]," ",Ruimtestaat[[#This Row],[Vloer code]]))</f>
        <v/>
      </c>
      <c r="BE545" s="300" t="str">
        <f>_xlfn.IFNA(VLOOKUP($BD545,Programma!$F$3:$G$1107,2,0),"")</f>
        <v/>
      </c>
      <c r="BF545" s="300" t="str">
        <f>_xlfn.IFNA(VLOOKUP($BD545,Programma!$F$3:$H$1107,3,0),"")</f>
        <v/>
      </c>
      <c r="BG545" s="300" t="str">
        <f>_xlfn.IFNA(VLOOKUP($BD545,Programma!$F$3:$I$1107,4,0),"")</f>
        <v/>
      </c>
      <c r="BH545" s="300" t="str">
        <f>_xlfn.IFNA(VLOOKUP($BD545,Programma!$F$3:$J$1107,5,0),"")</f>
        <v/>
      </c>
      <c r="BI545" s="300" t="str">
        <f>_xlfn.IFNA(VLOOKUP($BD545,Programma!$F$3:$K$1107,6,0),"")</f>
        <v/>
      </c>
      <c r="BJ545" s="300" t="str">
        <f>_xlfn.IFNA(VLOOKUP($BD545,Programma!$F$3:$L$1107,7,0),"")</f>
        <v/>
      </c>
      <c r="BK545" s="300" t="str">
        <f>_xlfn.IFNA(VLOOKUP($BD545,Programma!$F$3:$M$1107,8,0),"")</f>
        <v/>
      </c>
      <c r="BL545" s="300" t="str">
        <f>_xlfn.IFNA(VLOOKUP($BD545,Programma!$F$3:$N$1107,9,0),"")</f>
        <v/>
      </c>
      <c r="BM545" s="300" t="str">
        <f>_xlfn.IFNA(VLOOKUP($BD545,Programma!$F$3:$O$1107,10,0),"")</f>
        <v/>
      </c>
      <c r="BN545" s="300" t="str">
        <f>_xlfn.IFNA(VLOOKUP($BD545,Programma!$F$3:$P$1107,11,0),"")</f>
        <v/>
      </c>
      <c r="BO545" s="300" t="str">
        <f>_xlfn.IFNA(VLOOKUP($BD545,Programma!$F$3:$Q$1107,12,0),"")</f>
        <v/>
      </c>
      <c r="BP545" s="300" t="str">
        <f>_xlfn.IFNA(VLOOKUP($BD545,Programma!$F$3:$R$1107,13,0),"")</f>
        <v/>
      </c>
      <c r="BQ545" s="300" t="str">
        <f>_xlfn.IFNA(VLOOKUP($BD545,Programma!$F$3:$S$1107,14,0),"")</f>
        <v/>
      </c>
      <c r="BR545" s="300" t="str">
        <f>_xlfn.IFNA(VLOOKUP($BD545,Programma!$F$3:$T$1107,15,0),"")</f>
        <v/>
      </c>
      <c r="BS545" s="300" t="str">
        <f>_xlfn.IFNA(VLOOKUP($BD545,Programma!$F$3:$U$1107,16,0),"")</f>
        <v/>
      </c>
      <c r="BT545" s="300" t="str">
        <f>_xlfn.IFNA(VLOOKUP($BD545,Programma!$F$3:$V$1107,17,0),"")</f>
        <v/>
      </c>
      <c r="BU545" s="300" t="str">
        <f>_xlfn.IFNA(VLOOKUP($BD545,Programma!$F$3:$W$1107,18,0),"")</f>
        <v/>
      </c>
      <c r="BV545" s="300" t="str">
        <f>_xlfn.IFNA(VLOOKUP($BD545,Programma!$F$3:$X$1107,19,0),"")</f>
        <v/>
      </c>
      <c r="BW545" s="300" t="str">
        <f>_xlfn.IFNA(VLOOKUP($BD545,Programma!$F$3:$Y$1107,20,0),"")</f>
        <v/>
      </c>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c r="GK545" s="4"/>
      <c r="GL545" s="4"/>
      <c r="GM545" s="4"/>
      <c r="GN545" s="4"/>
      <c r="GO545" s="4"/>
      <c r="GP545" s="4"/>
      <c r="GQ545" s="4"/>
      <c r="GR545" s="4"/>
      <c r="GS545" s="4"/>
      <c r="GT545" s="4"/>
      <c r="GU545" s="4"/>
      <c r="GV545" s="4"/>
      <c r="GW545" s="4"/>
      <c r="GX545" s="4"/>
      <c r="GY545" s="4"/>
      <c r="GZ545" s="4"/>
      <c r="HA545" s="4"/>
      <c r="HB545" s="4"/>
      <c r="HC545" s="4"/>
      <c r="HD545" s="4"/>
      <c r="HE545" s="4"/>
      <c r="HF545" s="4"/>
      <c r="HG545" s="4"/>
      <c r="HH545" s="4"/>
      <c r="HI545" s="4"/>
      <c r="HJ545" s="4"/>
      <c r="HK545" s="4"/>
      <c r="HL545" s="4"/>
    </row>
    <row r="546" spans="1:220" ht="15" customHeight="1">
      <c r="A546" s="21">
        <v>7</v>
      </c>
      <c r="B546" s="157" t="str">
        <f>VLOOKUP(Ruimtestaat[[#This Row],[Code]],Locaties[[Code]:[Locatie]],2,FALSE)</f>
        <v>Gymnasium Novum</v>
      </c>
      <c r="C546" s="157" t="str">
        <f>VLOOKUP(Ruimtestaat[[#This Row],[Code]],Locaties[[#All],[Code]:[Adres]],4,FALSE)</f>
        <v>Aart v.d. Leeuwkade 1</v>
      </c>
      <c r="D546" s="157" t="str">
        <f>VLOOKUP(Ruimtestaat[[#This Row],[Code]],Locaties[[#All],[Code]:[Postcode]],5,FALSE)</f>
        <v>2274 KX</v>
      </c>
      <c r="E546" s="157" t="str">
        <f>VLOOKUP(Ruimtestaat[[#This Row],[Code]],Locaties[#All],6,FALSE)</f>
        <v>Voorburg</v>
      </c>
      <c r="F546" s="62"/>
      <c r="G546" s="21" t="s">
        <v>1859</v>
      </c>
      <c r="H546" s="21">
        <v>-102</v>
      </c>
      <c r="I546" s="62" t="s">
        <v>1625</v>
      </c>
      <c r="J546" s="21">
        <v>6</v>
      </c>
      <c r="K546" s="62" t="str">
        <f>VLOOKUP(Ruimtestaat[[#This Row],[Ruimte code]],Ruimtegroepen[[#All],[Code]:[Ruimte omschrijving]],2,FALSE)</f>
        <v>Gangen/hallen</v>
      </c>
      <c r="L546" s="33" t="s">
        <v>101</v>
      </c>
      <c r="M546" s="367" t="s">
        <v>2516</v>
      </c>
      <c r="N546" s="140">
        <v>37</v>
      </c>
      <c r="O546" s="140"/>
      <c r="P546" s="125" t="str">
        <f>VLOOKUP(Ruimtestaat[[#This Row],[Ruimte code]],Ruimtegroepen[],4,FALSE)</f>
        <v>Ve</v>
      </c>
      <c r="R546" s="33">
        <v>40</v>
      </c>
      <c r="S546" s="33" t="s">
        <v>2</v>
      </c>
      <c r="T546" s="33">
        <f>IF(R546&gt;0,IF(RIGHT(Ruimtestaat[[#This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6" s="33">
        <f>IF(T546&gt;0,VLOOKUP($J546,Ruimtegroepen[],3,FALSE)*VLOOKUP($L546,Vloersoorten[],3,FALSE)*VLOOKUP($S546,Frequenties[],3,FALSE)*VLOOKUP($A546,Locaties[],3,FALSE),0)</f>
        <v>0</v>
      </c>
      <c r="V546" s="33">
        <f>Ruimtestaat[[#This Row],[Uitvoeringen werkdagen]]*Ruimtestaat[[#This Row],[Oppervlak (netto)]]</f>
        <v>7400</v>
      </c>
      <c r="W546" s="154">
        <f>IF(U546&gt;0,Ruimtestaat[[#This Row],[Prest. (m2 /jaar) werkdagen]]/Ruimtestaat[[#This Row],[Norm (m2/uur) werkdagen]],0)</f>
        <v>0</v>
      </c>
      <c r="X546" s="155">
        <f>Ruimtestaat[[#This Row],[uren / jaar werkdagen]]*Tariefsopbouw!$E$35</f>
        <v>0</v>
      </c>
      <c r="Y546" s="33"/>
      <c r="Z546" s="33">
        <f>IF(Ruimtestaat[[#This Row],[Frequentie weekend]]&gt;0,VALUE(LEFT(Y546,1))*R546,0)</f>
        <v>0</v>
      </c>
      <c r="AA546" s="97">
        <f>IF($Z546&gt;0,VLOOKUP($J546,Ruimtegroepen[],3,FALSE)*VLOOKUP($L546,Vloersoorten[],3,FALSE)*VLOOKUP($Y546,Frequenties[],3,FALSE)*VLOOKUP(Ruimtestaat[[#This Row],[Code]],Locaties[],3,FALSE),0)</f>
        <v>0</v>
      </c>
      <c r="AB546" s="97">
        <f>Ruimtestaat[[#This Row],[Uitvoeringen weekend]]*Ruimtestaat[[#This Row],[Oppervlak (netto)]]</f>
        <v>0</v>
      </c>
      <c r="AC546" s="97">
        <f>IF(AA546&gt;0,Ruimtestaat[[#This Row],[Prest. (m2 /jaar) weekend]]/Ruimtestaat[[#This Row],[Norm (m2/uur) weekend]],0)</f>
        <v>0</v>
      </c>
      <c r="AD546" s="155">
        <f>Ruimtestaat[[#This Row],[uren / jaar weekend]]*Tariefsopbouw!$D$40</f>
        <v>0</v>
      </c>
      <c r="AE546" s="154">
        <f>Ruimtestaat[[#This Row],[Prest. (m2 /jaar) weekend]]+Ruimtestaat[[#This Row],[Prest. (m2 /jaar) werkdagen]]</f>
        <v>7400</v>
      </c>
      <c r="AF546" s="154">
        <f>Ruimtestaat[[#This Row],[uren / jaar weekend]]+Ruimtestaat[[#This Row],[uren / jaar werkdagen]]</f>
        <v>0</v>
      </c>
      <c r="AG546" s="69">
        <f>Ruimtestaat[[#This Row],[kosten / jaar weekend]]+Ruimtestaat[[#This Row],[kosten / jaar werkdagen]]</f>
        <v>0</v>
      </c>
      <c r="AH546" s="69"/>
      <c r="AI546" s="256" t="str">
        <f>IF(Ruimtestaat[[#This Row],[Frequentie werkdagen]]="","",_xlfn.CONCAT(Ruimtestaat[[#This Row],[Ruimte code]],"-",Ruimtestaat[[#This Row],[Frequentie werkdagen]]," ",Ruimtestaat[[#This Row],[Vloer code]]))</f>
        <v>6-5w L</v>
      </c>
      <c r="AJ546" s="300" t="str">
        <f>_xlfn.IFNA(VLOOKUP($AI546,Programma!$F$3:$G$1107,2,0),"")</f>
        <v>_</v>
      </c>
      <c r="AK546" s="300" t="str">
        <f>_xlfn.IFNA(VLOOKUP($AI546,Programma!$F$3:$H$1107,3,0),"")</f>
        <v>_</v>
      </c>
      <c r="AL546" s="300" t="str">
        <f>_xlfn.IFNA(VLOOKUP($AI546,Programma!$F$3:$I$1107,4,0),"")</f>
        <v>_</v>
      </c>
      <c r="AM546" s="300" t="str">
        <f>_xlfn.IFNA(VLOOKUP($AI546,Programma!$F$3:$J$1107,5,0),"")</f>
        <v>5w</v>
      </c>
      <c r="AN546" s="300" t="str">
        <f>_xlfn.IFNA(VLOOKUP($AI546,Programma!$F$3:$K$1107,6,0),"")</f>
        <v>_</v>
      </c>
      <c r="AO546" s="300" t="str">
        <f>_xlfn.IFNA(VLOOKUP($AI546,Programma!$F$3:$L$1107,7,0),"")</f>
        <v>_</v>
      </c>
      <c r="AP546" s="300" t="str">
        <f>_xlfn.IFNA(VLOOKUP($AI546,Programma!$F$3:$M$1107,8,0),"")</f>
        <v>_</v>
      </c>
      <c r="AQ546" s="300" t="str">
        <f>_xlfn.IFNA(VLOOKUP($AI546,Programma!$F$3:$N$1107,9,0),"")</f>
        <v>_</v>
      </c>
      <c r="AR546" s="300" t="str">
        <f>_xlfn.IFNA(VLOOKUP($AI546,Programma!$F$3:$O$1107,10,0),"")</f>
        <v>5w</v>
      </c>
      <c r="AS546" s="300" t="str">
        <f>_xlfn.IFNA(VLOOKUP($AI546,Programma!$F$3:$P$1107,11,0),"")</f>
        <v>5w</v>
      </c>
      <c r="AT546" s="300" t="str">
        <f>_xlfn.IFNA(VLOOKUP($AI546,Programma!$F$3:$Q$1107,12,0),"")</f>
        <v>1w</v>
      </c>
      <c r="AU546" s="300" t="str">
        <f>_xlfn.IFNA(VLOOKUP($AI546,Programma!$F$3:$R$1107,13,0),"")</f>
        <v>1w</v>
      </c>
      <c r="AV546" s="300" t="str">
        <f>_xlfn.IFNA(VLOOKUP($AI546,Programma!$F$3:$S$1107,14,0),"")</f>
        <v>1m</v>
      </c>
      <c r="AW546" s="300" t="str">
        <f>_xlfn.IFNA(VLOOKUP($AI546,Programma!$F$3:$T$1107,15,0),"")</f>
        <v>2j</v>
      </c>
      <c r="AX546" s="300" t="str">
        <f>_xlfn.IFNA(VLOOKUP($AI546,Programma!$F$3:$U$1107,16,0),"")</f>
        <v>1j</v>
      </c>
      <c r="AY546" s="300" t="str">
        <f>_xlfn.IFNA(VLOOKUP($AI546,Programma!$F$3:$V$1107,17,0),"")</f>
        <v>_</v>
      </c>
      <c r="AZ546" s="300" t="str">
        <f>_xlfn.IFNA(VLOOKUP($AI546,Programma!$F$3:$W$1107,18,0),"")</f>
        <v>_</v>
      </c>
      <c r="BA546" s="300" t="str">
        <f>_xlfn.IFNA(VLOOKUP($AI546,Programma!$F$3:$X$1107,19,0),"")</f>
        <v>_</v>
      </c>
      <c r="BB546" s="300" t="str">
        <f>_xlfn.IFNA(VLOOKUP($AI546,Programma!$F$3:$Y$1107,20,0),"")</f>
        <v>_</v>
      </c>
      <c r="BC546" s="257"/>
      <c r="BD546" s="256" t="str">
        <f>IF(Ruimtestaat[[#This Row],[Frequentie weekend]]="","",_xlfn.CONCAT(Ruimtestaat[[#This Row],[Ruimte code]],"-",Ruimtestaat[[#This Row],[Frequentie weekend]]," ",Ruimtestaat[[#This Row],[Vloer code]]))</f>
        <v/>
      </c>
      <c r="BE546" s="300" t="str">
        <f>_xlfn.IFNA(VLOOKUP($BD546,Programma!$F$3:$G$1107,2,0),"")</f>
        <v/>
      </c>
      <c r="BF546" s="300" t="str">
        <f>_xlfn.IFNA(VLOOKUP($BD546,Programma!$F$3:$H$1107,3,0),"")</f>
        <v/>
      </c>
      <c r="BG546" s="300" t="str">
        <f>_xlfn.IFNA(VLOOKUP($BD546,Programma!$F$3:$I$1107,4,0),"")</f>
        <v/>
      </c>
      <c r="BH546" s="300" t="str">
        <f>_xlfn.IFNA(VLOOKUP($BD546,Programma!$F$3:$J$1107,5,0),"")</f>
        <v/>
      </c>
      <c r="BI546" s="300" t="str">
        <f>_xlfn.IFNA(VLOOKUP($BD546,Programma!$F$3:$K$1107,6,0),"")</f>
        <v/>
      </c>
      <c r="BJ546" s="300" t="str">
        <f>_xlfn.IFNA(VLOOKUP($BD546,Programma!$F$3:$L$1107,7,0),"")</f>
        <v/>
      </c>
      <c r="BK546" s="300" t="str">
        <f>_xlfn.IFNA(VLOOKUP($BD546,Programma!$F$3:$M$1107,8,0),"")</f>
        <v/>
      </c>
      <c r="BL546" s="300" t="str">
        <f>_xlfn.IFNA(VLOOKUP($BD546,Programma!$F$3:$N$1107,9,0),"")</f>
        <v/>
      </c>
      <c r="BM546" s="300" t="str">
        <f>_xlfn.IFNA(VLOOKUP($BD546,Programma!$F$3:$O$1107,10,0),"")</f>
        <v/>
      </c>
      <c r="BN546" s="300" t="str">
        <f>_xlfn.IFNA(VLOOKUP($BD546,Programma!$F$3:$P$1107,11,0),"")</f>
        <v/>
      </c>
      <c r="BO546" s="300" t="str">
        <f>_xlfn.IFNA(VLOOKUP($BD546,Programma!$F$3:$Q$1107,12,0),"")</f>
        <v/>
      </c>
      <c r="BP546" s="300" t="str">
        <f>_xlfn.IFNA(VLOOKUP($BD546,Programma!$F$3:$R$1107,13,0),"")</f>
        <v/>
      </c>
      <c r="BQ546" s="300" t="str">
        <f>_xlfn.IFNA(VLOOKUP($BD546,Programma!$F$3:$S$1107,14,0),"")</f>
        <v/>
      </c>
      <c r="BR546" s="300" t="str">
        <f>_xlfn.IFNA(VLOOKUP($BD546,Programma!$F$3:$T$1107,15,0),"")</f>
        <v/>
      </c>
      <c r="BS546" s="300" t="str">
        <f>_xlfn.IFNA(VLOOKUP($BD546,Programma!$F$3:$U$1107,16,0),"")</f>
        <v/>
      </c>
      <c r="BT546" s="300" t="str">
        <f>_xlfn.IFNA(VLOOKUP($BD546,Programma!$F$3:$V$1107,17,0),"")</f>
        <v/>
      </c>
      <c r="BU546" s="300" t="str">
        <f>_xlfn.IFNA(VLOOKUP($BD546,Programma!$F$3:$W$1107,18,0),"")</f>
        <v/>
      </c>
      <c r="BV546" s="300" t="str">
        <f>_xlfn.IFNA(VLOOKUP($BD546,Programma!$F$3:$X$1107,19,0),"")</f>
        <v/>
      </c>
      <c r="BW546" s="300" t="str">
        <f>_xlfn.IFNA(VLOOKUP($BD546,Programma!$F$3:$Y$1107,20,0),"")</f>
        <v/>
      </c>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c r="GK546" s="4"/>
      <c r="GL546" s="4"/>
      <c r="GM546" s="4"/>
      <c r="GN546" s="4"/>
      <c r="GO546" s="4"/>
      <c r="GP546" s="4"/>
      <c r="GQ546" s="4"/>
      <c r="GR546" s="4"/>
      <c r="GS546" s="4"/>
      <c r="GT546" s="4"/>
      <c r="GU546" s="4"/>
      <c r="GV546" s="4"/>
      <c r="GW546" s="4"/>
      <c r="GX546" s="4"/>
      <c r="GY546" s="4"/>
      <c r="GZ546" s="4"/>
      <c r="HA546" s="4"/>
      <c r="HB546" s="4"/>
      <c r="HC546" s="4"/>
      <c r="HD546" s="4"/>
      <c r="HE546" s="4"/>
      <c r="HF546" s="4"/>
      <c r="HG546" s="4"/>
      <c r="HH546" s="4"/>
      <c r="HI546" s="4"/>
      <c r="HJ546" s="4"/>
      <c r="HK546" s="4"/>
      <c r="HL546" s="4"/>
    </row>
    <row r="547" spans="1:220" ht="15" customHeight="1">
      <c r="A547" s="21">
        <v>7</v>
      </c>
      <c r="B547" s="157" t="str">
        <f>VLOOKUP(Ruimtestaat[[#This Row],[Code]],Locaties[[Code]:[Locatie]],2,FALSE)</f>
        <v>Gymnasium Novum</v>
      </c>
      <c r="C547" s="157" t="str">
        <f>VLOOKUP(Ruimtestaat[[#This Row],[Code]],Locaties[[#All],[Code]:[Adres]],4,FALSE)</f>
        <v>Aart v.d. Leeuwkade 1</v>
      </c>
      <c r="D547" s="157" t="str">
        <f>VLOOKUP(Ruimtestaat[[#This Row],[Code]],Locaties[[#All],[Code]:[Postcode]],5,FALSE)</f>
        <v>2274 KX</v>
      </c>
      <c r="E547" s="157" t="str">
        <f>VLOOKUP(Ruimtestaat[[#This Row],[Code]],Locaties[#All],6,FALSE)</f>
        <v>Voorburg</v>
      </c>
      <c r="F547" s="62"/>
      <c r="G547" s="21" t="s">
        <v>1632</v>
      </c>
      <c r="H547" s="21">
        <v>1</v>
      </c>
      <c r="I547" s="62" t="s">
        <v>1633</v>
      </c>
      <c r="J547" s="21">
        <v>7</v>
      </c>
      <c r="K547" s="62" t="str">
        <f>VLOOKUP(Ruimtestaat[[#This Row],[Ruimte code]],Ruimtegroepen[[#All],[Code]:[Ruimte omschrijving]],2,FALSE)</f>
        <v>Entree</v>
      </c>
      <c r="L547" s="33" t="s">
        <v>100</v>
      </c>
      <c r="M547" s="367" t="s">
        <v>2494</v>
      </c>
      <c r="N547" s="140">
        <v>17</v>
      </c>
      <c r="O547" s="140"/>
      <c r="P547" s="125" t="str">
        <f>VLOOKUP(Ruimtestaat[[#This Row],[Ruimte code]],Ruimtegroepen[],4,FALSE)</f>
        <v>Ve</v>
      </c>
      <c r="R547" s="33">
        <v>40</v>
      </c>
      <c r="S547" s="33" t="s">
        <v>2</v>
      </c>
      <c r="T547" s="33">
        <f>IF(R547&gt;0,IF(RIGHT(Ruimtestaat[[#This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7" s="33">
        <f>IF(T547&gt;0,VLOOKUP($J547,Ruimtegroepen[],3,FALSE)*VLOOKUP($L547,Vloersoorten[],3,FALSE)*VLOOKUP($S547,Frequenties[],3,FALSE)*VLOOKUP($A547,Locaties[],3,FALSE),0)</f>
        <v>0</v>
      </c>
      <c r="V547" s="33">
        <f>Ruimtestaat[[#This Row],[Uitvoeringen werkdagen]]*Ruimtestaat[[#This Row],[Oppervlak (netto)]]</f>
        <v>3400</v>
      </c>
      <c r="W547" s="154">
        <f>IF(U547&gt;0,Ruimtestaat[[#This Row],[Prest. (m2 /jaar) werkdagen]]/Ruimtestaat[[#This Row],[Norm (m2/uur) werkdagen]],0)</f>
        <v>0</v>
      </c>
      <c r="X547" s="155">
        <f>Ruimtestaat[[#This Row],[uren / jaar werkdagen]]*Tariefsopbouw!$E$35</f>
        <v>0</v>
      </c>
      <c r="Y547" s="33"/>
      <c r="Z547" s="33">
        <f>IF(Ruimtestaat[[#This Row],[Frequentie weekend]]&gt;0,VALUE(LEFT(Y547,1))*R547,0)</f>
        <v>0</v>
      </c>
      <c r="AA547" s="97">
        <f>IF($Z547&gt;0,VLOOKUP($J547,Ruimtegroepen[],3,FALSE)*VLOOKUP($L547,Vloersoorten[],3,FALSE)*VLOOKUP($Y547,Frequenties[],3,FALSE)*VLOOKUP(Ruimtestaat[[#This Row],[Code]],Locaties[],3,FALSE),0)</f>
        <v>0</v>
      </c>
      <c r="AB547" s="97">
        <f>Ruimtestaat[[#This Row],[Uitvoeringen weekend]]*Ruimtestaat[[#This Row],[Oppervlak (netto)]]</f>
        <v>0</v>
      </c>
      <c r="AC547" s="97">
        <f>IF(AA547&gt;0,Ruimtestaat[[#This Row],[Prest. (m2 /jaar) weekend]]/Ruimtestaat[[#This Row],[Norm (m2/uur) weekend]],0)</f>
        <v>0</v>
      </c>
      <c r="AD547" s="155">
        <f>Ruimtestaat[[#This Row],[uren / jaar weekend]]*Tariefsopbouw!$D$40</f>
        <v>0</v>
      </c>
      <c r="AE547" s="154">
        <f>Ruimtestaat[[#This Row],[Prest. (m2 /jaar) weekend]]+Ruimtestaat[[#This Row],[Prest. (m2 /jaar) werkdagen]]</f>
        <v>3400</v>
      </c>
      <c r="AF547" s="154">
        <f>Ruimtestaat[[#This Row],[uren / jaar weekend]]+Ruimtestaat[[#This Row],[uren / jaar werkdagen]]</f>
        <v>0</v>
      </c>
      <c r="AG547" s="69">
        <f>Ruimtestaat[[#This Row],[kosten / jaar weekend]]+Ruimtestaat[[#This Row],[kosten / jaar werkdagen]]</f>
        <v>0</v>
      </c>
      <c r="AH547" s="69"/>
      <c r="AI547" s="256" t="str">
        <f>IF(Ruimtestaat[[#This Row],[Frequentie werkdagen]]="","",_xlfn.CONCAT(Ruimtestaat[[#This Row],[Ruimte code]],"-",Ruimtestaat[[#This Row],[Frequentie werkdagen]]," ",Ruimtestaat[[#This Row],[Vloer code]]))</f>
        <v>7-5w T</v>
      </c>
      <c r="AJ547" s="300" t="str">
        <f>_xlfn.IFNA(VLOOKUP($AI547,Programma!$F$3:$G$1107,2,0),"")</f>
        <v>_</v>
      </c>
      <c r="AK547" s="300" t="str">
        <f>_xlfn.IFNA(VLOOKUP($AI547,Programma!$F$3:$H$1107,3,0),"")</f>
        <v>5w</v>
      </c>
      <c r="AL547" s="300" t="str">
        <f>_xlfn.IFNA(VLOOKUP($AI547,Programma!$F$3:$I$1107,4,0),"")</f>
        <v>_</v>
      </c>
      <c r="AM547" s="300" t="str">
        <f>_xlfn.IFNA(VLOOKUP($AI547,Programma!$F$3:$J$1107,5,0),"")</f>
        <v>_</v>
      </c>
      <c r="AN547" s="300" t="str">
        <f>_xlfn.IFNA(VLOOKUP($AI547,Programma!$F$3:$K$1107,6,0),"")</f>
        <v>_</v>
      </c>
      <c r="AO547" s="300" t="str">
        <f>_xlfn.IFNA(VLOOKUP($AI547,Programma!$F$3:$L$1107,7,0),"")</f>
        <v>_</v>
      </c>
      <c r="AP547" s="300" t="str">
        <f>_xlfn.IFNA(VLOOKUP($AI547,Programma!$F$3:$M$1107,8,0),"")</f>
        <v>_</v>
      </c>
      <c r="AQ547" s="300" t="str">
        <f>_xlfn.IFNA(VLOOKUP($AI547,Programma!$F$3:$N$1107,9,0),"")</f>
        <v>_</v>
      </c>
      <c r="AR547" s="300" t="str">
        <f>_xlfn.IFNA(VLOOKUP($AI547,Programma!$F$3:$O$1107,10,0),"")</f>
        <v>5w</v>
      </c>
      <c r="AS547" s="300" t="str">
        <f>_xlfn.IFNA(VLOOKUP($AI547,Programma!$F$3:$P$1107,11,0),"")</f>
        <v>5w</v>
      </c>
      <c r="AT547" s="300" t="str">
        <f>_xlfn.IFNA(VLOOKUP($AI547,Programma!$F$3:$Q$1107,12,0),"")</f>
        <v>1w</v>
      </c>
      <c r="AU547" s="300" t="str">
        <f>_xlfn.IFNA(VLOOKUP($AI547,Programma!$F$3:$R$1107,13,0),"")</f>
        <v>1w</v>
      </c>
      <c r="AV547" s="300" t="str">
        <f>_xlfn.IFNA(VLOOKUP($AI547,Programma!$F$3:$S$1107,14,0),"")</f>
        <v>1m</v>
      </c>
      <c r="AW547" s="300" t="str">
        <f>_xlfn.IFNA(VLOOKUP($AI547,Programma!$F$3:$T$1107,15,0),"")</f>
        <v>2j</v>
      </c>
      <c r="AX547" s="300" t="str">
        <f>_xlfn.IFNA(VLOOKUP($AI547,Programma!$F$3:$U$1107,16,0),"")</f>
        <v>1j</v>
      </c>
      <c r="AY547" s="300" t="str">
        <f>_xlfn.IFNA(VLOOKUP($AI547,Programma!$F$3:$V$1107,17,0),"")</f>
        <v>_</v>
      </c>
      <c r="AZ547" s="300" t="str">
        <f>_xlfn.IFNA(VLOOKUP($AI547,Programma!$F$3:$W$1107,18,0),"")</f>
        <v>_</v>
      </c>
      <c r="BA547" s="300" t="str">
        <f>_xlfn.IFNA(VLOOKUP($AI547,Programma!$F$3:$X$1107,19,0),"")</f>
        <v>_</v>
      </c>
      <c r="BB547" s="300" t="str">
        <f>_xlfn.IFNA(VLOOKUP($AI547,Programma!$F$3:$Y$1107,20,0),"")</f>
        <v>_</v>
      </c>
      <c r="BC547" s="257"/>
      <c r="BD547" s="256" t="str">
        <f>IF(Ruimtestaat[[#This Row],[Frequentie weekend]]="","",_xlfn.CONCAT(Ruimtestaat[[#This Row],[Ruimte code]],"-",Ruimtestaat[[#This Row],[Frequentie weekend]]," ",Ruimtestaat[[#This Row],[Vloer code]]))</f>
        <v/>
      </c>
      <c r="BE547" s="300" t="str">
        <f>_xlfn.IFNA(VLOOKUP($BD547,Programma!$F$3:$G$1107,2,0),"")</f>
        <v/>
      </c>
      <c r="BF547" s="300" t="str">
        <f>_xlfn.IFNA(VLOOKUP($BD547,Programma!$F$3:$H$1107,3,0),"")</f>
        <v/>
      </c>
      <c r="BG547" s="300" t="str">
        <f>_xlfn.IFNA(VLOOKUP($BD547,Programma!$F$3:$I$1107,4,0),"")</f>
        <v/>
      </c>
      <c r="BH547" s="300" t="str">
        <f>_xlfn.IFNA(VLOOKUP($BD547,Programma!$F$3:$J$1107,5,0),"")</f>
        <v/>
      </c>
      <c r="BI547" s="300" t="str">
        <f>_xlfn.IFNA(VLOOKUP($BD547,Programma!$F$3:$K$1107,6,0),"")</f>
        <v/>
      </c>
      <c r="BJ547" s="300" t="str">
        <f>_xlfn.IFNA(VLOOKUP($BD547,Programma!$F$3:$L$1107,7,0),"")</f>
        <v/>
      </c>
      <c r="BK547" s="300" t="str">
        <f>_xlfn.IFNA(VLOOKUP($BD547,Programma!$F$3:$M$1107,8,0),"")</f>
        <v/>
      </c>
      <c r="BL547" s="300" t="str">
        <f>_xlfn.IFNA(VLOOKUP($BD547,Programma!$F$3:$N$1107,9,0),"")</f>
        <v/>
      </c>
      <c r="BM547" s="300" t="str">
        <f>_xlfn.IFNA(VLOOKUP($BD547,Programma!$F$3:$O$1107,10,0),"")</f>
        <v/>
      </c>
      <c r="BN547" s="300" t="str">
        <f>_xlfn.IFNA(VLOOKUP($BD547,Programma!$F$3:$P$1107,11,0),"")</f>
        <v/>
      </c>
      <c r="BO547" s="300" t="str">
        <f>_xlfn.IFNA(VLOOKUP($BD547,Programma!$F$3:$Q$1107,12,0),"")</f>
        <v/>
      </c>
      <c r="BP547" s="300" t="str">
        <f>_xlfn.IFNA(VLOOKUP($BD547,Programma!$F$3:$R$1107,13,0),"")</f>
        <v/>
      </c>
      <c r="BQ547" s="300" t="str">
        <f>_xlfn.IFNA(VLOOKUP($BD547,Programma!$F$3:$S$1107,14,0),"")</f>
        <v/>
      </c>
      <c r="BR547" s="300" t="str">
        <f>_xlfn.IFNA(VLOOKUP($BD547,Programma!$F$3:$T$1107,15,0),"")</f>
        <v/>
      </c>
      <c r="BS547" s="300" t="str">
        <f>_xlfn.IFNA(VLOOKUP($BD547,Programma!$F$3:$U$1107,16,0),"")</f>
        <v/>
      </c>
      <c r="BT547" s="300" t="str">
        <f>_xlfn.IFNA(VLOOKUP($BD547,Programma!$F$3:$V$1107,17,0),"")</f>
        <v/>
      </c>
      <c r="BU547" s="300" t="str">
        <f>_xlfn.IFNA(VLOOKUP($BD547,Programma!$F$3:$W$1107,18,0),"")</f>
        <v/>
      </c>
      <c r="BV547" s="300" t="str">
        <f>_xlfn.IFNA(VLOOKUP($BD547,Programma!$F$3:$X$1107,19,0),"")</f>
        <v/>
      </c>
      <c r="BW547" s="300" t="str">
        <f>_xlfn.IFNA(VLOOKUP($BD547,Programma!$F$3:$Y$1107,20,0),"")</f>
        <v/>
      </c>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c r="GK547" s="4"/>
      <c r="GL547" s="4"/>
      <c r="GM547" s="4"/>
      <c r="GN547" s="4"/>
      <c r="GO547" s="4"/>
      <c r="GP547" s="4"/>
      <c r="GQ547" s="4"/>
      <c r="GR547" s="4"/>
      <c r="GS547" s="4"/>
      <c r="GT547" s="4"/>
      <c r="GU547" s="4"/>
      <c r="GV547" s="4"/>
      <c r="GW547" s="4"/>
      <c r="GX547" s="4"/>
      <c r="GY547" s="4"/>
      <c r="GZ547" s="4"/>
      <c r="HA547" s="4"/>
      <c r="HB547" s="4"/>
      <c r="HC547" s="4"/>
      <c r="HD547" s="4"/>
      <c r="HE547" s="4"/>
      <c r="HF547" s="4"/>
      <c r="HG547" s="4"/>
      <c r="HH547" s="4"/>
      <c r="HI547" s="4"/>
      <c r="HJ547" s="4"/>
      <c r="HK547" s="4"/>
      <c r="HL547" s="4"/>
    </row>
    <row r="548" spans="1:220" ht="15" customHeight="1">
      <c r="A548" s="21">
        <v>7</v>
      </c>
      <c r="B548" s="157" t="str">
        <f>VLOOKUP(Ruimtestaat[[#This Row],[Code]],Locaties[[Code]:[Locatie]],2,FALSE)</f>
        <v>Gymnasium Novum</v>
      </c>
      <c r="C548" s="157" t="str">
        <f>VLOOKUP(Ruimtestaat[[#This Row],[Code]],Locaties[[#All],[Code]:[Adres]],4,FALSE)</f>
        <v>Aart v.d. Leeuwkade 1</v>
      </c>
      <c r="D548" s="157" t="str">
        <f>VLOOKUP(Ruimtestaat[[#This Row],[Code]],Locaties[[#All],[Code]:[Postcode]],5,FALSE)</f>
        <v>2274 KX</v>
      </c>
      <c r="E548" s="157" t="str">
        <f>VLOOKUP(Ruimtestaat[[#This Row],[Code]],Locaties[#All],6,FALSE)</f>
        <v>Voorburg</v>
      </c>
      <c r="F548" s="62"/>
      <c r="G548" s="21" t="s">
        <v>1632</v>
      </c>
      <c r="H548" s="21">
        <v>2</v>
      </c>
      <c r="I548" s="62" t="s">
        <v>1807</v>
      </c>
      <c r="J548" s="21">
        <v>6</v>
      </c>
      <c r="K548" s="62" t="str">
        <f>VLOOKUP(Ruimtestaat[[#This Row],[Ruimte code]],Ruimtegroepen[[#All],[Code]:[Ruimte omschrijving]],2,FALSE)</f>
        <v>Gangen/hallen</v>
      </c>
      <c r="L548" s="33" t="s">
        <v>101</v>
      </c>
      <c r="M548" s="367" t="s">
        <v>2495</v>
      </c>
      <c r="N548" s="140">
        <v>37</v>
      </c>
      <c r="O548" s="140"/>
      <c r="P548" s="125" t="str">
        <f>VLOOKUP(Ruimtestaat[[#This Row],[Ruimte code]],Ruimtegroepen[],4,FALSE)</f>
        <v>Ve</v>
      </c>
      <c r="R548" s="33">
        <v>40</v>
      </c>
      <c r="S548" s="33" t="s">
        <v>2</v>
      </c>
      <c r="T548" s="33">
        <f>IF(R548&gt;0,IF(RIGHT(Ruimtestaat[[#This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8" s="33">
        <f>IF(T548&gt;0,VLOOKUP($J548,Ruimtegroepen[],3,FALSE)*VLOOKUP($L548,Vloersoorten[],3,FALSE)*VLOOKUP($S548,Frequenties[],3,FALSE)*VLOOKUP($A548,Locaties[],3,FALSE),0)</f>
        <v>0</v>
      </c>
      <c r="V548" s="33">
        <f>Ruimtestaat[[#This Row],[Uitvoeringen werkdagen]]*Ruimtestaat[[#This Row],[Oppervlak (netto)]]</f>
        <v>7400</v>
      </c>
      <c r="W548" s="154">
        <f>IF(U548&gt;0,Ruimtestaat[[#This Row],[Prest. (m2 /jaar) werkdagen]]/Ruimtestaat[[#This Row],[Norm (m2/uur) werkdagen]],0)</f>
        <v>0</v>
      </c>
      <c r="X548" s="155">
        <f>Ruimtestaat[[#This Row],[uren / jaar werkdagen]]*Tariefsopbouw!$E$35</f>
        <v>0</v>
      </c>
      <c r="Y548" s="33"/>
      <c r="Z548" s="33">
        <f>IF(Ruimtestaat[[#This Row],[Frequentie weekend]]&gt;0,VALUE(LEFT(Y548,1))*R548,0)</f>
        <v>0</v>
      </c>
      <c r="AA548" s="97">
        <f>IF($Z548&gt;0,VLOOKUP($J548,Ruimtegroepen[],3,FALSE)*VLOOKUP($L548,Vloersoorten[],3,FALSE)*VLOOKUP($Y548,Frequenties[],3,FALSE)*VLOOKUP(Ruimtestaat[[#This Row],[Code]],Locaties[],3,FALSE),0)</f>
        <v>0</v>
      </c>
      <c r="AB548" s="97">
        <f>Ruimtestaat[[#This Row],[Uitvoeringen weekend]]*Ruimtestaat[[#This Row],[Oppervlak (netto)]]</f>
        <v>0</v>
      </c>
      <c r="AC548" s="97">
        <f>IF(AA548&gt;0,Ruimtestaat[[#This Row],[Prest. (m2 /jaar) weekend]]/Ruimtestaat[[#This Row],[Norm (m2/uur) weekend]],0)</f>
        <v>0</v>
      </c>
      <c r="AD548" s="155">
        <f>Ruimtestaat[[#This Row],[uren / jaar weekend]]*Tariefsopbouw!$D$40</f>
        <v>0</v>
      </c>
      <c r="AE548" s="154">
        <f>Ruimtestaat[[#This Row],[Prest. (m2 /jaar) weekend]]+Ruimtestaat[[#This Row],[Prest. (m2 /jaar) werkdagen]]</f>
        <v>7400</v>
      </c>
      <c r="AF548" s="154">
        <f>Ruimtestaat[[#This Row],[uren / jaar weekend]]+Ruimtestaat[[#This Row],[uren / jaar werkdagen]]</f>
        <v>0</v>
      </c>
      <c r="AG548" s="69">
        <f>Ruimtestaat[[#This Row],[kosten / jaar weekend]]+Ruimtestaat[[#This Row],[kosten / jaar werkdagen]]</f>
        <v>0</v>
      </c>
      <c r="AH548" s="69"/>
      <c r="AI548" s="256" t="str">
        <f>IF(Ruimtestaat[[#This Row],[Frequentie werkdagen]]="","",_xlfn.CONCAT(Ruimtestaat[[#This Row],[Ruimte code]],"-",Ruimtestaat[[#This Row],[Frequentie werkdagen]]," ",Ruimtestaat[[#This Row],[Vloer code]]))</f>
        <v>6-5w L</v>
      </c>
      <c r="AJ548" s="300" t="str">
        <f>_xlfn.IFNA(VLOOKUP($AI548,Programma!$F$3:$G$1107,2,0),"")</f>
        <v>_</v>
      </c>
      <c r="AK548" s="300" t="str">
        <f>_xlfn.IFNA(VLOOKUP($AI548,Programma!$F$3:$H$1107,3,0),"")</f>
        <v>_</v>
      </c>
      <c r="AL548" s="300" t="str">
        <f>_xlfn.IFNA(VLOOKUP($AI548,Programma!$F$3:$I$1107,4,0),"")</f>
        <v>_</v>
      </c>
      <c r="AM548" s="300" t="str">
        <f>_xlfn.IFNA(VLOOKUP($AI548,Programma!$F$3:$J$1107,5,0),"")</f>
        <v>5w</v>
      </c>
      <c r="AN548" s="300" t="str">
        <f>_xlfn.IFNA(VLOOKUP($AI548,Programma!$F$3:$K$1107,6,0),"")</f>
        <v>_</v>
      </c>
      <c r="AO548" s="300" t="str">
        <f>_xlfn.IFNA(VLOOKUP($AI548,Programma!$F$3:$L$1107,7,0),"")</f>
        <v>_</v>
      </c>
      <c r="AP548" s="300" t="str">
        <f>_xlfn.IFNA(VLOOKUP($AI548,Programma!$F$3:$M$1107,8,0),"")</f>
        <v>_</v>
      </c>
      <c r="AQ548" s="300" t="str">
        <f>_xlfn.IFNA(VLOOKUP($AI548,Programma!$F$3:$N$1107,9,0),"")</f>
        <v>_</v>
      </c>
      <c r="AR548" s="300" t="str">
        <f>_xlfn.IFNA(VLOOKUP($AI548,Programma!$F$3:$O$1107,10,0),"")</f>
        <v>5w</v>
      </c>
      <c r="AS548" s="300" t="str">
        <f>_xlfn.IFNA(VLOOKUP($AI548,Programma!$F$3:$P$1107,11,0),"")</f>
        <v>5w</v>
      </c>
      <c r="AT548" s="300" t="str">
        <f>_xlfn.IFNA(VLOOKUP($AI548,Programma!$F$3:$Q$1107,12,0),"")</f>
        <v>1w</v>
      </c>
      <c r="AU548" s="300" t="str">
        <f>_xlfn.IFNA(VLOOKUP($AI548,Programma!$F$3:$R$1107,13,0),"")</f>
        <v>1w</v>
      </c>
      <c r="AV548" s="300" t="str">
        <f>_xlfn.IFNA(VLOOKUP($AI548,Programma!$F$3:$S$1107,14,0),"")</f>
        <v>1m</v>
      </c>
      <c r="AW548" s="300" t="str">
        <f>_xlfn.IFNA(VLOOKUP($AI548,Programma!$F$3:$T$1107,15,0),"")</f>
        <v>2j</v>
      </c>
      <c r="AX548" s="300" t="str">
        <f>_xlfn.IFNA(VLOOKUP($AI548,Programma!$F$3:$U$1107,16,0),"")</f>
        <v>1j</v>
      </c>
      <c r="AY548" s="300" t="str">
        <f>_xlfn.IFNA(VLOOKUP($AI548,Programma!$F$3:$V$1107,17,0),"")</f>
        <v>_</v>
      </c>
      <c r="AZ548" s="300" t="str">
        <f>_xlfn.IFNA(VLOOKUP($AI548,Programma!$F$3:$W$1107,18,0),"")</f>
        <v>_</v>
      </c>
      <c r="BA548" s="300" t="str">
        <f>_xlfn.IFNA(VLOOKUP($AI548,Programma!$F$3:$X$1107,19,0),"")</f>
        <v>_</v>
      </c>
      <c r="BB548" s="300" t="str">
        <f>_xlfn.IFNA(VLOOKUP($AI548,Programma!$F$3:$Y$1107,20,0),"")</f>
        <v>_</v>
      </c>
      <c r="BC548" s="257"/>
      <c r="BD548" s="256" t="str">
        <f>IF(Ruimtestaat[[#This Row],[Frequentie weekend]]="","",_xlfn.CONCAT(Ruimtestaat[[#This Row],[Ruimte code]],"-",Ruimtestaat[[#This Row],[Frequentie weekend]]," ",Ruimtestaat[[#This Row],[Vloer code]]))</f>
        <v/>
      </c>
      <c r="BE548" s="300" t="str">
        <f>_xlfn.IFNA(VLOOKUP($BD548,Programma!$F$3:$G$1107,2,0),"")</f>
        <v/>
      </c>
      <c r="BF548" s="300" t="str">
        <f>_xlfn.IFNA(VLOOKUP($BD548,Programma!$F$3:$H$1107,3,0),"")</f>
        <v/>
      </c>
      <c r="BG548" s="300" t="str">
        <f>_xlfn.IFNA(VLOOKUP($BD548,Programma!$F$3:$I$1107,4,0),"")</f>
        <v/>
      </c>
      <c r="BH548" s="300" t="str">
        <f>_xlfn.IFNA(VLOOKUP($BD548,Programma!$F$3:$J$1107,5,0),"")</f>
        <v/>
      </c>
      <c r="BI548" s="300" t="str">
        <f>_xlfn.IFNA(VLOOKUP($BD548,Programma!$F$3:$K$1107,6,0),"")</f>
        <v/>
      </c>
      <c r="BJ548" s="300" t="str">
        <f>_xlfn.IFNA(VLOOKUP($BD548,Programma!$F$3:$L$1107,7,0),"")</f>
        <v/>
      </c>
      <c r="BK548" s="300" t="str">
        <f>_xlfn.IFNA(VLOOKUP($BD548,Programma!$F$3:$M$1107,8,0),"")</f>
        <v/>
      </c>
      <c r="BL548" s="300" t="str">
        <f>_xlfn.IFNA(VLOOKUP($BD548,Programma!$F$3:$N$1107,9,0),"")</f>
        <v/>
      </c>
      <c r="BM548" s="300" t="str">
        <f>_xlfn.IFNA(VLOOKUP($BD548,Programma!$F$3:$O$1107,10,0),"")</f>
        <v/>
      </c>
      <c r="BN548" s="300" t="str">
        <f>_xlfn.IFNA(VLOOKUP($BD548,Programma!$F$3:$P$1107,11,0),"")</f>
        <v/>
      </c>
      <c r="BO548" s="300" t="str">
        <f>_xlfn.IFNA(VLOOKUP($BD548,Programma!$F$3:$Q$1107,12,0),"")</f>
        <v/>
      </c>
      <c r="BP548" s="300" t="str">
        <f>_xlfn.IFNA(VLOOKUP($BD548,Programma!$F$3:$R$1107,13,0),"")</f>
        <v/>
      </c>
      <c r="BQ548" s="300" t="str">
        <f>_xlfn.IFNA(VLOOKUP($BD548,Programma!$F$3:$S$1107,14,0),"")</f>
        <v/>
      </c>
      <c r="BR548" s="300" t="str">
        <f>_xlfn.IFNA(VLOOKUP($BD548,Programma!$F$3:$T$1107,15,0),"")</f>
        <v/>
      </c>
      <c r="BS548" s="300" t="str">
        <f>_xlfn.IFNA(VLOOKUP($BD548,Programma!$F$3:$U$1107,16,0),"")</f>
        <v/>
      </c>
      <c r="BT548" s="300" t="str">
        <f>_xlfn.IFNA(VLOOKUP($BD548,Programma!$F$3:$V$1107,17,0),"")</f>
        <v/>
      </c>
      <c r="BU548" s="300" t="str">
        <f>_xlfn.IFNA(VLOOKUP($BD548,Programma!$F$3:$W$1107,18,0),"")</f>
        <v/>
      </c>
      <c r="BV548" s="300" t="str">
        <f>_xlfn.IFNA(VLOOKUP($BD548,Programma!$F$3:$X$1107,19,0),"")</f>
        <v/>
      </c>
      <c r="BW548" s="300" t="str">
        <f>_xlfn.IFNA(VLOOKUP($BD548,Programma!$F$3:$Y$1107,20,0),"")</f>
        <v/>
      </c>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c r="DE548" s="4"/>
      <c r="DF548" s="4"/>
      <c r="DG548" s="4"/>
      <c r="DH548" s="4"/>
      <c r="DI548" s="4"/>
      <c r="DJ548" s="4"/>
      <c r="DK548" s="4"/>
      <c r="DL548" s="4"/>
      <c r="DM548" s="4"/>
      <c r="DN548" s="4"/>
      <c r="DO548" s="4"/>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c r="FP548" s="4"/>
      <c r="FQ548" s="4"/>
      <c r="FR548" s="4"/>
      <c r="FS548" s="4"/>
      <c r="FT548" s="4"/>
      <c r="FU548" s="4"/>
      <c r="FV548" s="4"/>
      <c r="FW548" s="4"/>
      <c r="FX548" s="4"/>
      <c r="FY548" s="4"/>
      <c r="FZ548" s="4"/>
      <c r="GA548" s="4"/>
      <c r="GB548" s="4"/>
      <c r="GC548" s="4"/>
      <c r="GD548" s="4"/>
      <c r="GE548" s="4"/>
      <c r="GF548" s="4"/>
      <c r="GG548" s="4"/>
      <c r="GH548" s="4"/>
      <c r="GI548" s="4"/>
      <c r="GJ548" s="4"/>
      <c r="GK548" s="4"/>
      <c r="GL548" s="4"/>
      <c r="GM548" s="4"/>
      <c r="GN548" s="4"/>
      <c r="GO548" s="4"/>
      <c r="GP548" s="4"/>
      <c r="GQ548" s="4"/>
      <c r="GR548" s="4"/>
      <c r="GS548" s="4"/>
      <c r="GT548" s="4"/>
      <c r="GU548" s="4"/>
      <c r="GV548" s="4"/>
      <c r="GW548" s="4"/>
      <c r="GX548" s="4"/>
      <c r="GY548" s="4"/>
      <c r="GZ548" s="4"/>
      <c r="HA548" s="4"/>
      <c r="HB548" s="4"/>
      <c r="HC548" s="4"/>
      <c r="HD548" s="4"/>
      <c r="HE548" s="4"/>
      <c r="HF548" s="4"/>
      <c r="HG548" s="4"/>
      <c r="HH548" s="4"/>
      <c r="HI548" s="4"/>
      <c r="HJ548" s="4"/>
      <c r="HK548" s="4"/>
      <c r="HL548" s="4"/>
    </row>
    <row r="549" spans="1:220" ht="15" customHeight="1">
      <c r="A549" s="21">
        <v>7</v>
      </c>
      <c r="B549" s="157" t="str">
        <f>VLOOKUP(Ruimtestaat[[#This Row],[Code]],Locaties[[Code]:[Locatie]],2,FALSE)</f>
        <v>Gymnasium Novum</v>
      </c>
      <c r="C549" s="157" t="str">
        <f>VLOOKUP(Ruimtestaat[[#This Row],[Code]],Locaties[[#All],[Code]:[Adres]],4,FALSE)</f>
        <v>Aart v.d. Leeuwkade 1</v>
      </c>
      <c r="D549" s="157" t="str">
        <f>VLOOKUP(Ruimtestaat[[#This Row],[Code]],Locaties[[#All],[Code]:[Postcode]],5,FALSE)</f>
        <v>2274 KX</v>
      </c>
      <c r="E549" s="157" t="str">
        <f>VLOOKUP(Ruimtestaat[[#This Row],[Code]],Locaties[#All],6,FALSE)</f>
        <v>Voorburg</v>
      </c>
      <c r="F549" s="62"/>
      <c r="G549" s="21" t="s">
        <v>1632</v>
      </c>
      <c r="H549" s="21">
        <v>3</v>
      </c>
      <c r="I549" s="62" t="s">
        <v>2130</v>
      </c>
      <c r="J549" s="21">
        <v>9</v>
      </c>
      <c r="K549" s="62" t="str">
        <f>VLOOKUP(Ruimtestaat[[#This Row],[Ruimte code]],Ruimtegroepen[[#All],[Code]:[Ruimte omschrijving]],2,FALSE)</f>
        <v>Publieksruimte</v>
      </c>
      <c r="L549" s="33" t="s">
        <v>101</v>
      </c>
      <c r="M549" s="367" t="s">
        <v>2516</v>
      </c>
      <c r="N549" s="140">
        <v>138</v>
      </c>
      <c r="O549" s="140"/>
      <c r="P549" s="125" t="str">
        <f>VLOOKUP(Ruimtestaat[[#This Row],[Ruimte code]],Ruimtegroepen[],4,FALSE)</f>
        <v>Ve</v>
      </c>
      <c r="R549" s="33">
        <v>40</v>
      </c>
      <c r="S549" s="33" t="s">
        <v>2</v>
      </c>
      <c r="T549" s="33">
        <f>IF(R549&gt;0,IF(RIGHT(Ruimtestaat[[#This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9" s="33">
        <f>IF(T549&gt;0,VLOOKUP($J549,Ruimtegroepen[],3,FALSE)*VLOOKUP($L549,Vloersoorten[],3,FALSE)*VLOOKUP($S549,Frequenties[],3,FALSE)*VLOOKUP($A549,Locaties[],3,FALSE),0)</f>
        <v>0</v>
      </c>
      <c r="V549" s="33">
        <f>Ruimtestaat[[#This Row],[Uitvoeringen werkdagen]]*Ruimtestaat[[#This Row],[Oppervlak (netto)]]</f>
        <v>27600</v>
      </c>
      <c r="W549" s="154">
        <f>IF(U549&gt;0,Ruimtestaat[[#This Row],[Prest. (m2 /jaar) werkdagen]]/Ruimtestaat[[#This Row],[Norm (m2/uur) werkdagen]],0)</f>
        <v>0</v>
      </c>
      <c r="X549" s="155">
        <f>Ruimtestaat[[#This Row],[uren / jaar werkdagen]]*Tariefsopbouw!$E$35</f>
        <v>0</v>
      </c>
      <c r="Y549" s="33"/>
      <c r="Z549" s="33">
        <f>IF(Ruimtestaat[[#This Row],[Frequentie weekend]]&gt;0,VALUE(LEFT(Y549,1))*R549,0)</f>
        <v>0</v>
      </c>
      <c r="AA549" s="97">
        <f>IF($Z549&gt;0,VLOOKUP($J549,Ruimtegroepen[],3,FALSE)*VLOOKUP($L549,Vloersoorten[],3,FALSE)*VLOOKUP($Y549,Frequenties[],3,FALSE)*VLOOKUP(Ruimtestaat[[#This Row],[Code]],Locaties[],3,FALSE),0)</f>
        <v>0</v>
      </c>
      <c r="AB549" s="97">
        <f>Ruimtestaat[[#This Row],[Uitvoeringen weekend]]*Ruimtestaat[[#This Row],[Oppervlak (netto)]]</f>
        <v>0</v>
      </c>
      <c r="AC549" s="97">
        <f>IF(AA549&gt;0,Ruimtestaat[[#This Row],[Prest. (m2 /jaar) weekend]]/Ruimtestaat[[#This Row],[Norm (m2/uur) weekend]],0)</f>
        <v>0</v>
      </c>
      <c r="AD549" s="155">
        <f>Ruimtestaat[[#This Row],[uren / jaar weekend]]*Tariefsopbouw!$D$40</f>
        <v>0</v>
      </c>
      <c r="AE549" s="154">
        <f>Ruimtestaat[[#This Row],[Prest. (m2 /jaar) weekend]]+Ruimtestaat[[#This Row],[Prest. (m2 /jaar) werkdagen]]</f>
        <v>27600</v>
      </c>
      <c r="AF549" s="154">
        <f>Ruimtestaat[[#This Row],[uren / jaar weekend]]+Ruimtestaat[[#This Row],[uren / jaar werkdagen]]</f>
        <v>0</v>
      </c>
      <c r="AG549" s="69">
        <f>Ruimtestaat[[#This Row],[kosten / jaar weekend]]+Ruimtestaat[[#This Row],[kosten / jaar werkdagen]]</f>
        <v>0</v>
      </c>
      <c r="AH549" s="69"/>
      <c r="AI549" s="256" t="str">
        <f>IF(Ruimtestaat[[#This Row],[Frequentie werkdagen]]="","",_xlfn.CONCAT(Ruimtestaat[[#This Row],[Ruimte code]],"-",Ruimtestaat[[#This Row],[Frequentie werkdagen]]," ",Ruimtestaat[[#This Row],[Vloer code]]))</f>
        <v>9-5w L</v>
      </c>
      <c r="AJ549" s="300" t="str">
        <f>_xlfn.IFNA(VLOOKUP($AI549,Programma!$F$3:$G$1107,2,0),"")</f>
        <v>_</v>
      </c>
      <c r="AK549" s="300" t="str">
        <f>_xlfn.IFNA(VLOOKUP($AI549,Programma!$F$3:$H$1107,3,0),"")</f>
        <v>_</v>
      </c>
      <c r="AL549" s="300" t="str">
        <f>_xlfn.IFNA(VLOOKUP($AI549,Programma!$F$3:$I$1107,4,0),"")</f>
        <v>4w</v>
      </c>
      <c r="AM549" s="300" t="str">
        <f>_xlfn.IFNA(VLOOKUP($AI549,Programma!$F$3:$J$1107,5,0),"")</f>
        <v>1w</v>
      </c>
      <c r="AN549" s="300" t="str">
        <f>_xlfn.IFNA(VLOOKUP($AI549,Programma!$F$3:$K$1107,6,0),"")</f>
        <v>_</v>
      </c>
      <c r="AO549" s="300" t="str">
        <f>_xlfn.IFNA(VLOOKUP($AI549,Programma!$F$3:$L$1107,7,0),"")</f>
        <v>_</v>
      </c>
      <c r="AP549" s="300" t="str">
        <f>_xlfn.IFNA(VLOOKUP($AI549,Programma!$F$3:$M$1107,8,0),"")</f>
        <v>_</v>
      </c>
      <c r="AQ549" s="300" t="str">
        <f>_xlfn.IFNA(VLOOKUP($AI549,Programma!$F$3:$N$1107,9,0),"")</f>
        <v>_</v>
      </c>
      <c r="AR549" s="300" t="str">
        <f>_xlfn.IFNA(VLOOKUP($AI549,Programma!$F$3:$O$1107,10,0),"")</f>
        <v>5w</v>
      </c>
      <c r="AS549" s="300" t="str">
        <f>_xlfn.IFNA(VLOOKUP($AI549,Programma!$F$3:$P$1107,11,0),"")</f>
        <v>5w</v>
      </c>
      <c r="AT549" s="300" t="str">
        <f>_xlfn.IFNA(VLOOKUP($AI549,Programma!$F$3:$Q$1107,12,0),"")</f>
        <v>1w</v>
      </c>
      <c r="AU549" s="300" t="str">
        <f>_xlfn.IFNA(VLOOKUP($AI549,Programma!$F$3:$R$1107,13,0),"")</f>
        <v>1w</v>
      </c>
      <c r="AV549" s="300" t="str">
        <f>_xlfn.IFNA(VLOOKUP($AI549,Programma!$F$3:$S$1107,14,0),"")</f>
        <v>1m</v>
      </c>
      <c r="AW549" s="300" t="str">
        <f>_xlfn.IFNA(VLOOKUP($AI549,Programma!$F$3:$T$1107,15,0),"")</f>
        <v>2j</v>
      </c>
      <c r="AX549" s="300" t="str">
        <f>_xlfn.IFNA(VLOOKUP($AI549,Programma!$F$3:$U$1107,16,0),"")</f>
        <v>1j</v>
      </c>
      <c r="AY549" s="300" t="str">
        <f>_xlfn.IFNA(VLOOKUP($AI549,Programma!$F$3:$V$1107,17,0),"")</f>
        <v>_</v>
      </c>
      <c r="AZ549" s="300" t="str">
        <f>_xlfn.IFNA(VLOOKUP($AI549,Programma!$F$3:$W$1107,18,0),"")</f>
        <v>_</v>
      </c>
      <c r="BA549" s="300" t="str">
        <f>_xlfn.IFNA(VLOOKUP($AI549,Programma!$F$3:$X$1107,19,0),"")</f>
        <v>_</v>
      </c>
      <c r="BB549" s="300" t="str">
        <f>_xlfn.IFNA(VLOOKUP($AI549,Programma!$F$3:$Y$1107,20,0),"")</f>
        <v>_</v>
      </c>
      <c r="BC549" s="257"/>
      <c r="BD549" s="256" t="str">
        <f>IF(Ruimtestaat[[#This Row],[Frequentie weekend]]="","",_xlfn.CONCAT(Ruimtestaat[[#This Row],[Ruimte code]],"-",Ruimtestaat[[#This Row],[Frequentie weekend]]," ",Ruimtestaat[[#This Row],[Vloer code]]))</f>
        <v/>
      </c>
      <c r="BE549" s="300" t="str">
        <f>_xlfn.IFNA(VLOOKUP($BD549,Programma!$F$3:$G$1107,2,0),"")</f>
        <v/>
      </c>
      <c r="BF549" s="300" t="str">
        <f>_xlfn.IFNA(VLOOKUP($BD549,Programma!$F$3:$H$1107,3,0),"")</f>
        <v/>
      </c>
      <c r="BG549" s="300" t="str">
        <f>_xlfn.IFNA(VLOOKUP($BD549,Programma!$F$3:$I$1107,4,0),"")</f>
        <v/>
      </c>
      <c r="BH549" s="300" t="str">
        <f>_xlfn.IFNA(VLOOKUP($BD549,Programma!$F$3:$J$1107,5,0),"")</f>
        <v/>
      </c>
      <c r="BI549" s="300" t="str">
        <f>_xlfn.IFNA(VLOOKUP($BD549,Programma!$F$3:$K$1107,6,0),"")</f>
        <v/>
      </c>
      <c r="BJ549" s="300" t="str">
        <f>_xlfn.IFNA(VLOOKUP($BD549,Programma!$F$3:$L$1107,7,0),"")</f>
        <v/>
      </c>
      <c r="BK549" s="300" t="str">
        <f>_xlfn.IFNA(VLOOKUP($BD549,Programma!$F$3:$M$1107,8,0),"")</f>
        <v/>
      </c>
      <c r="BL549" s="300" t="str">
        <f>_xlfn.IFNA(VLOOKUP($BD549,Programma!$F$3:$N$1107,9,0),"")</f>
        <v/>
      </c>
      <c r="BM549" s="300" t="str">
        <f>_xlfn.IFNA(VLOOKUP($BD549,Programma!$F$3:$O$1107,10,0),"")</f>
        <v/>
      </c>
      <c r="BN549" s="300" t="str">
        <f>_xlfn.IFNA(VLOOKUP($BD549,Programma!$F$3:$P$1107,11,0),"")</f>
        <v/>
      </c>
      <c r="BO549" s="300" t="str">
        <f>_xlfn.IFNA(VLOOKUP($BD549,Programma!$F$3:$Q$1107,12,0),"")</f>
        <v/>
      </c>
      <c r="BP549" s="300" t="str">
        <f>_xlfn.IFNA(VLOOKUP($BD549,Programma!$F$3:$R$1107,13,0),"")</f>
        <v/>
      </c>
      <c r="BQ549" s="300" t="str">
        <f>_xlfn.IFNA(VLOOKUP($BD549,Programma!$F$3:$S$1107,14,0),"")</f>
        <v/>
      </c>
      <c r="BR549" s="300" t="str">
        <f>_xlfn.IFNA(VLOOKUP($BD549,Programma!$F$3:$T$1107,15,0),"")</f>
        <v/>
      </c>
      <c r="BS549" s="300" t="str">
        <f>_xlfn.IFNA(VLOOKUP($BD549,Programma!$F$3:$U$1107,16,0),"")</f>
        <v/>
      </c>
      <c r="BT549" s="300" t="str">
        <f>_xlfn.IFNA(VLOOKUP($BD549,Programma!$F$3:$V$1107,17,0),"")</f>
        <v/>
      </c>
      <c r="BU549" s="300" t="str">
        <f>_xlfn.IFNA(VLOOKUP($BD549,Programma!$F$3:$W$1107,18,0),"")</f>
        <v/>
      </c>
      <c r="BV549" s="300" t="str">
        <f>_xlfn.IFNA(VLOOKUP($BD549,Programma!$F$3:$X$1107,19,0),"")</f>
        <v/>
      </c>
      <c r="BW549" s="300" t="str">
        <f>_xlfn.IFNA(VLOOKUP($BD549,Programma!$F$3:$Y$1107,20,0),"")</f>
        <v/>
      </c>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c r="DE549" s="4"/>
      <c r="DF549" s="4"/>
      <c r="DG549" s="4"/>
      <c r="DH549" s="4"/>
      <c r="DI549" s="4"/>
      <c r="DJ549" s="4"/>
      <c r="DK549" s="4"/>
      <c r="DL549" s="4"/>
      <c r="DM549" s="4"/>
      <c r="DN549" s="4"/>
      <c r="DO549" s="4"/>
      <c r="DP549" s="4"/>
      <c r="DQ549" s="4"/>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c r="FP549" s="4"/>
      <c r="FQ549" s="4"/>
      <c r="FR549" s="4"/>
      <c r="FS549" s="4"/>
      <c r="FT549" s="4"/>
      <c r="FU549" s="4"/>
      <c r="FV549" s="4"/>
      <c r="FW549" s="4"/>
      <c r="FX549" s="4"/>
      <c r="FY549" s="4"/>
      <c r="FZ549" s="4"/>
      <c r="GA549" s="4"/>
      <c r="GB549" s="4"/>
      <c r="GC549" s="4"/>
      <c r="GD549" s="4"/>
      <c r="GE549" s="4"/>
      <c r="GF549" s="4"/>
      <c r="GG549" s="4"/>
      <c r="GH549" s="4"/>
      <c r="GI549" s="4"/>
      <c r="GJ549" s="4"/>
      <c r="GK549" s="4"/>
      <c r="GL549" s="4"/>
      <c r="GM549" s="4"/>
      <c r="GN549" s="4"/>
      <c r="GO549" s="4"/>
      <c r="GP549" s="4"/>
      <c r="GQ549" s="4"/>
      <c r="GR549" s="4"/>
      <c r="GS549" s="4"/>
      <c r="GT549" s="4"/>
      <c r="GU549" s="4"/>
      <c r="GV549" s="4"/>
      <c r="GW549" s="4"/>
      <c r="GX549" s="4"/>
      <c r="GY549" s="4"/>
      <c r="GZ549" s="4"/>
      <c r="HA549" s="4"/>
      <c r="HB549" s="4"/>
      <c r="HC549" s="4"/>
      <c r="HD549" s="4"/>
      <c r="HE549" s="4"/>
      <c r="HF549" s="4"/>
      <c r="HG549" s="4"/>
      <c r="HH549" s="4"/>
      <c r="HI549" s="4"/>
      <c r="HJ549" s="4"/>
      <c r="HK549" s="4"/>
      <c r="HL549" s="4"/>
    </row>
    <row r="550" spans="1:220" ht="15" customHeight="1">
      <c r="A550" s="21">
        <v>7</v>
      </c>
      <c r="B550" s="157" t="str">
        <f>VLOOKUP(Ruimtestaat[[#This Row],[Code]],Locaties[[Code]:[Locatie]],2,FALSE)</f>
        <v>Gymnasium Novum</v>
      </c>
      <c r="C550" s="157" t="str">
        <f>VLOOKUP(Ruimtestaat[[#This Row],[Code]],Locaties[[#All],[Code]:[Adres]],4,FALSE)</f>
        <v>Aart v.d. Leeuwkade 1</v>
      </c>
      <c r="D550" s="157" t="str">
        <f>VLOOKUP(Ruimtestaat[[#This Row],[Code]],Locaties[[#All],[Code]:[Postcode]],5,FALSE)</f>
        <v>2274 KX</v>
      </c>
      <c r="E550" s="157" t="str">
        <f>VLOOKUP(Ruimtestaat[[#This Row],[Code]],Locaties[#All],6,FALSE)</f>
        <v>Voorburg</v>
      </c>
      <c r="F550" s="62"/>
      <c r="G550" s="21" t="s">
        <v>1632</v>
      </c>
      <c r="H550" s="21">
        <v>4</v>
      </c>
      <c r="I550" s="62" t="s">
        <v>1657</v>
      </c>
      <c r="J550" s="21">
        <v>10</v>
      </c>
      <c r="K550" s="62" t="str">
        <f>VLOOKUP(Ruimtestaat[[#This Row],[Ruimte code]],Ruimtegroepen[[#All],[Code]:[Ruimte omschrijving]],2,FALSE)</f>
        <v>Trappenhuizen/lift</v>
      </c>
      <c r="L550" s="33" t="s">
        <v>102</v>
      </c>
      <c r="M550" s="367" t="s">
        <v>2509</v>
      </c>
      <c r="N550" s="140">
        <v>7</v>
      </c>
      <c r="O550" s="140"/>
      <c r="P550" s="125" t="str">
        <f>VLOOKUP(Ruimtestaat[[#This Row],[Ruimte code]],Ruimtegroepen[],4,FALSE)</f>
        <v>Ve</v>
      </c>
      <c r="R550" s="33">
        <v>40</v>
      </c>
      <c r="S550" s="33" t="s">
        <v>2</v>
      </c>
      <c r="T550" s="33">
        <f>IF(R550&gt;0,IF(RIGHT(Ruimtestaat[[#This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50" s="33">
        <f>IF(T550&gt;0,VLOOKUP($J550,Ruimtegroepen[],3,FALSE)*VLOOKUP($L550,Vloersoorten[],3,FALSE)*VLOOKUP($S550,Frequenties[],3,FALSE)*VLOOKUP($A550,Locaties[],3,FALSE),0)</f>
        <v>0</v>
      </c>
      <c r="V550" s="33">
        <f>Ruimtestaat[[#This Row],[Uitvoeringen werkdagen]]*Ruimtestaat[[#This Row],[Oppervlak (netto)]]</f>
        <v>1400</v>
      </c>
      <c r="W550" s="154">
        <f>IF(U550&gt;0,Ruimtestaat[[#This Row],[Prest. (m2 /jaar) werkdagen]]/Ruimtestaat[[#This Row],[Norm (m2/uur) werkdagen]],0)</f>
        <v>0</v>
      </c>
      <c r="X550" s="155">
        <f>Ruimtestaat[[#This Row],[uren / jaar werkdagen]]*Tariefsopbouw!$E$35</f>
        <v>0</v>
      </c>
      <c r="Y550" s="33"/>
      <c r="Z550" s="33">
        <f>IF(Ruimtestaat[[#This Row],[Frequentie weekend]]&gt;0,VALUE(LEFT(Y550,1))*R550,0)</f>
        <v>0</v>
      </c>
      <c r="AA550" s="97">
        <f>IF($Z550&gt;0,VLOOKUP($J550,Ruimtegroepen[],3,FALSE)*VLOOKUP($L550,Vloersoorten[],3,FALSE)*VLOOKUP($Y550,Frequenties[],3,FALSE)*VLOOKUP(Ruimtestaat[[#This Row],[Code]],Locaties[],3,FALSE),0)</f>
        <v>0</v>
      </c>
      <c r="AB550" s="97">
        <f>Ruimtestaat[[#This Row],[Uitvoeringen weekend]]*Ruimtestaat[[#This Row],[Oppervlak (netto)]]</f>
        <v>0</v>
      </c>
      <c r="AC550" s="97">
        <f>IF(AA550&gt;0,Ruimtestaat[[#This Row],[Prest. (m2 /jaar) weekend]]/Ruimtestaat[[#This Row],[Norm (m2/uur) weekend]],0)</f>
        <v>0</v>
      </c>
      <c r="AD550" s="155">
        <f>Ruimtestaat[[#This Row],[uren / jaar weekend]]*Tariefsopbouw!$D$40</f>
        <v>0</v>
      </c>
      <c r="AE550" s="154">
        <f>Ruimtestaat[[#This Row],[Prest. (m2 /jaar) weekend]]+Ruimtestaat[[#This Row],[Prest. (m2 /jaar) werkdagen]]</f>
        <v>1400</v>
      </c>
      <c r="AF550" s="154">
        <f>Ruimtestaat[[#This Row],[uren / jaar weekend]]+Ruimtestaat[[#This Row],[uren / jaar werkdagen]]</f>
        <v>0</v>
      </c>
      <c r="AG550" s="69">
        <f>Ruimtestaat[[#This Row],[kosten / jaar weekend]]+Ruimtestaat[[#This Row],[kosten / jaar werkdagen]]</f>
        <v>0</v>
      </c>
      <c r="AH550" s="69"/>
      <c r="AI550" s="256" t="str">
        <f>IF(Ruimtestaat[[#This Row],[Frequentie werkdagen]]="","",_xlfn.CONCAT(Ruimtestaat[[#This Row],[Ruimte code]],"-",Ruimtestaat[[#This Row],[Frequentie werkdagen]]," ",Ruimtestaat[[#This Row],[Vloer code]]))</f>
        <v>10-5w S</v>
      </c>
      <c r="AJ550" s="300" t="str">
        <f>_xlfn.IFNA(VLOOKUP($AI550,Programma!$F$3:$G$1107,2,0),"")</f>
        <v>_</v>
      </c>
      <c r="AK550" s="300" t="str">
        <f>_xlfn.IFNA(VLOOKUP($AI550,Programma!$F$3:$H$1107,3,0),"")</f>
        <v>_</v>
      </c>
      <c r="AL550" s="300" t="str">
        <f>_xlfn.IFNA(VLOOKUP($AI550,Programma!$F$3:$I$1107,4,0),"")</f>
        <v>4w</v>
      </c>
      <c r="AM550" s="300" t="str">
        <f>_xlfn.IFNA(VLOOKUP($AI550,Programma!$F$3:$J$1107,5,0),"")</f>
        <v>1w</v>
      </c>
      <c r="AN550" s="300" t="str">
        <f>_xlfn.IFNA(VLOOKUP($AI550,Programma!$F$3:$K$1107,6,0),"")</f>
        <v>4j</v>
      </c>
      <c r="AO550" s="300" t="str">
        <f>_xlfn.IFNA(VLOOKUP($AI550,Programma!$F$3:$L$1107,7,0),"")</f>
        <v>_</v>
      </c>
      <c r="AP550" s="300" t="str">
        <f>_xlfn.IFNA(VLOOKUP($AI550,Programma!$F$3:$M$1107,8,0),"")</f>
        <v>_</v>
      </c>
      <c r="AQ550" s="300" t="str">
        <f>_xlfn.IFNA(VLOOKUP($AI550,Programma!$F$3:$N$1107,9,0),"")</f>
        <v>_</v>
      </c>
      <c r="AR550" s="300" t="str">
        <f>_xlfn.IFNA(VLOOKUP($AI550,Programma!$F$3:$O$1107,10,0),"")</f>
        <v>5w</v>
      </c>
      <c r="AS550" s="300" t="str">
        <f>_xlfn.IFNA(VLOOKUP($AI550,Programma!$F$3:$P$1107,11,0),"")</f>
        <v>5w</v>
      </c>
      <c r="AT550" s="300" t="str">
        <f>_xlfn.IFNA(VLOOKUP($AI550,Programma!$F$3:$Q$1107,12,0),"")</f>
        <v>1w</v>
      </c>
      <c r="AU550" s="300" t="str">
        <f>_xlfn.IFNA(VLOOKUP($AI550,Programma!$F$3:$R$1107,13,0),"")</f>
        <v>1w</v>
      </c>
      <c r="AV550" s="300" t="str">
        <f>_xlfn.IFNA(VLOOKUP($AI550,Programma!$F$3:$S$1107,14,0),"")</f>
        <v>1m</v>
      </c>
      <c r="AW550" s="300" t="str">
        <f>_xlfn.IFNA(VLOOKUP($AI550,Programma!$F$3:$T$1107,15,0),"")</f>
        <v>2j</v>
      </c>
      <c r="AX550" s="300" t="str">
        <f>_xlfn.IFNA(VLOOKUP($AI550,Programma!$F$3:$U$1107,16,0),"")</f>
        <v>1j</v>
      </c>
      <c r="AY550" s="300" t="str">
        <f>_xlfn.IFNA(VLOOKUP($AI550,Programma!$F$3:$V$1107,17,0),"")</f>
        <v>_</v>
      </c>
      <c r="AZ550" s="300" t="str">
        <f>_xlfn.IFNA(VLOOKUP($AI550,Programma!$F$3:$W$1107,18,0),"")</f>
        <v>_</v>
      </c>
      <c r="BA550" s="300" t="str">
        <f>_xlfn.IFNA(VLOOKUP($AI550,Programma!$F$3:$X$1107,19,0),"")</f>
        <v>_</v>
      </c>
      <c r="BB550" s="300" t="str">
        <f>_xlfn.IFNA(VLOOKUP($AI550,Programma!$F$3:$Y$1107,20,0),"")</f>
        <v>_</v>
      </c>
      <c r="BC550" s="257"/>
      <c r="BD550" s="256" t="str">
        <f>IF(Ruimtestaat[[#This Row],[Frequentie weekend]]="","",_xlfn.CONCAT(Ruimtestaat[[#This Row],[Ruimte code]],"-",Ruimtestaat[[#This Row],[Frequentie weekend]]," ",Ruimtestaat[[#This Row],[Vloer code]]))</f>
        <v/>
      </c>
      <c r="BE550" s="300" t="str">
        <f>_xlfn.IFNA(VLOOKUP($BD550,Programma!$F$3:$G$1107,2,0),"")</f>
        <v/>
      </c>
      <c r="BF550" s="300" t="str">
        <f>_xlfn.IFNA(VLOOKUP($BD550,Programma!$F$3:$H$1107,3,0),"")</f>
        <v/>
      </c>
      <c r="BG550" s="300" t="str">
        <f>_xlfn.IFNA(VLOOKUP($BD550,Programma!$F$3:$I$1107,4,0),"")</f>
        <v/>
      </c>
      <c r="BH550" s="300" t="str">
        <f>_xlfn.IFNA(VLOOKUP($BD550,Programma!$F$3:$J$1107,5,0),"")</f>
        <v/>
      </c>
      <c r="BI550" s="300" t="str">
        <f>_xlfn.IFNA(VLOOKUP($BD550,Programma!$F$3:$K$1107,6,0),"")</f>
        <v/>
      </c>
      <c r="BJ550" s="300" t="str">
        <f>_xlfn.IFNA(VLOOKUP($BD550,Programma!$F$3:$L$1107,7,0),"")</f>
        <v/>
      </c>
      <c r="BK550" s="300" t="str">
        <f>_xlfn.IFNA(VLOOKUP($BD550,Programma!$F$3:$M$1107,8,0),"")</f>
        <v/>
      </c>
      <c r="BL550" s="300" t="str">
        <f>_xlfn.IFNA(VLOOKUP($BD550,Programma!$F$3:$N$1107,9,0),"")</f>
        <v/>
      </c>
      <c r="BM550" s="300" t="str">
        <f>_xlfn.IFNA(VLOOKUP($BD550,Programma!$F$3:$O$1107,10,0),"")</f>
        <v/>
      </c>
      <c r="BN550" s="300" t="str">
        <f>_xlfn.IFNA(VLOOKUP($BD550,Programma!$F$3:$P$1107,11,0),"")</f>
        <v/>
      </c>
      <c r="BO550" s="300" t="str">
        <f>_xlfn.IFNA(VLOOKUP($BD550,Programma!$F$3:$Q$1107,12,0),"")</f>
        <v/>
      </c>
      <c r="BP550" s="300" t="str">
        <f>_xlfn.IFNA(VLOOKUP($BD550,Programma!$F$3:$R$1107,13,0),"")</f>
        <v/>
      </c>
      <c r="BQ550" s="300" t="str">
        <f>_xlfn.IFNA(VLOOKUP($BD550,Programma!$F$3:$S$1107,14,0),"")</f>
        <v/>
      </c>
      <c r="BR550" s="300" t="str">
        <f>_xlfn.IFNA(VLOOKUP($BD550,Programma!$F$3:$T$1107,15,0),"")</f>
        <v/>
      </c>
      <c r="BS550" s="300" t="str">
        <f>_xlfn.IFNA(VLOOKUP($BD550,Programma!$F$3:$U$1107,16,0),"")</f>
        <v/>
      </c>
      <c r="BT550" s="300" t="str">
        <f>_xlfn.IFNA(VLOOKUP($BD550,Programma!$F$3:$V$1107,17,0),"")</f>
        <v/>
      </c>
      <c r="BU550" s="300" t="str">
        <f>_xlfn.IFNA(VLOOKUP($BD550,Programma!$F$3:$W$1107,18,0),"")</f>
        <v/>
      </c>
      <c r="BV550" s="300" t="str">
        <f>_xlfn.IFNA(VLOOKUP($BD550,Programma!$F$3:$X$1107,19,0),"")</f>
        <v/>
      </c>
      <c r="BW550" s="300" t="str">
        <f>_xlfn.IFNA(VLOOKUP($BD550,Programma!$F$3:$Y$1107,20,0),"")</f>
        <v/>
      </c>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c r="GK550" s="4"/>
      <c r="GL550" s="4"/>
      <c r="GM550" s="4"/>
      <c r="GN550" s="4"/>
      <c r="GO550" s="4"/>
      <c r="GP550" s="4"/>
      <c r="GQ550" s="4"/>
      <c r="GR550" s="4"/>
      <c r="GS550" s="4"/>
      <c r="GT550" s="4"/>
      <c r="GU550" s="4"/>
      <c r="GV550" s="4"/>
      <c r="GW550" s="4"/>
      <c r="GX550" s="4"/>
      <c r="GY550" s="4"/>
      <c r="GZ550" s="4"/>
      <c r="HA550" s="4"/>
      <c r="HB550" s="4"/>
      <c r="HC550" s="4"/>
      <c r="HD550" s="4"/>
      <c r="HE550" s="4"/>
      <c r="HF550" s="4"/>
      <c r="HG550" s="4"/>
      <c r="HH550" s="4"/>
      <c r="HI550" s="4"/>
      <c r="HJ550" s="4"/>
      <c r="HK550" s="4"/>
      <c r="HL550" s="4"/>
    </row>
    <row r="551" spans="1:220" ht="15" customHeight="1">
      <c r="A551" s="21">
        <v>7</v>
      </c>
      <c r="B551" s="157" t="str">
        <f>VLOOKUP(Ruimtestaat[[#This Row],[Code]],Locaties[[Code]:[Locatie]],2,FALSE)</f>
        <v>Gymnasium Novum</v>
      </c>
      <c r="C551" s="157" t="str">
        <f>VLOOKUP(Ruimtestaat[[#This Row],[Code]],Locaties[[#All],[Code]:[Adres]],4,FALSE)</f>
        <v>Aart v.d. Leeuwkade 1</v>
      </c>
      <c r="D551" s="157" t="str">
        <f>VLOOKUP(Ruimtestaat[[#This Row],[Code]],Locaties[[#All],[Code]:[Postcode]],5,FALSE)</f>
        <v>2274 KX</v>
      </c>
      <c r="E551" s="157" t="str">
        <f>VLOOKUP(Ruimtestaat[[#This Row],[Code]],Locaties[#All],6,FALSE)</f>
        <v>Voorburg</v>
      </c>
      <c r="F551" s="62"/>
      <c r="G551" s="21" t="s">
        <v>1632</v>
      </c>
      <c r="H551" s="21">
        <v>5</v>
      </c>
      <c r="I551" s="62" t="s">
        <v>2131</v>
      </c>
      <c r="J551" s="21">
        <v>5</v>
      </c>
      <c r="K551" s="62" t="str">
        <f>VLOOKUP(Ruimtestaat[[#This Row],[Ruimte code]],Ruimtegroepen[[#All],[Code]:[Ruimte omschrijving]],2,FALSE)</f>
        <v>Sanitair</v>
      </c>
      <c r="L551" s="33" t="s">
        <v>101</v>
      </c>
      <c r="M551" s="367" t="s">
        <v>2495</v>
      </c>
      <c r="N551" s="140">
        <v>13</v>
      </c>
      <c r="O551" s="140"/>
      <c r="P551" s="125" t="str">
        <f>VLOOKUP(Ruimtestaat[[#This Row],[Ruimte code]],Ruimtegroepen[],4,FALSE)</f>
        <v>Sa</v>
      </c>
      <c r="R551" s="33">
        <v>40</v>
      </c>
      <c r="S551" s="33" t="s">
        <v>2</v>
      </c>
      <c r="T551" s="33">
        <f>IF(R551&gt;0,IF(RIGHT(Ruimtestaat[[#This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51" s="33">
        <f>IF(T551&gt;0,VLOOKUP($J551,Ruimtegroepen[],3,FALSE)*VLOOKUP($L551,Vloersoorten[],3,FALSE)*VLOOKUP($S551,Frequenties[],3,FALSE)*VLOOKUP($A551,Locaties[],3,FALSE),0)</f>
        <v>0</v>
      </c>
      <c r="V551" s="33">
        <f>Ruimtestaat[[#This Row],[Uitvoeringen werkdagen]]*Ruimtestaat[[#This Row],[Oppervlak (netto)]]</f>
        <v>2600</v>
      </c>
      <c r="W551" s="154">
        <f>IF(U551&gt;0,Ruimtestaat[[#This Row],[Prest. (m2 /jaar) werkdagen]]/Ruimtestaat[[#This Row],[Norm (m2/uur) werkdagen]],0)</f>
        <v>0</v>
      </c>
      <c r="X551" s="155">
        <f>Ruimtestaat[[#This Row],[uren / jaar werkdagen]]*Tariefsopbouw!$E$35</f>
        <v>0</v>
      </c>
      <c r="Y551" s="33"/>
      <c r="Z551" s="33">
        <f>IF(Ruimtestaat[[#This Row],[Frequentie weekend]]&gt;0,VALUE(LEFT(Y551,1))*R551,0)</f>
        <v>0</v>
      </c>
      <c r="AA551" s="97">
        <f>IF($Z551&gt;0,VLOOKUP($J551,Ruimtegroepen[],3,FALSE)*VLOOKUP($L551,Vloersoorten[],3,FALSE)*VLOOKUP($Y551,Frequenties[],3,FALSE)*VLOOKUP(Ruimtestaat[[#This Row],[Code]],Locaties[],3,FALSE),0)</f>
        <v>0</v>
      </c>
      <c r="AB551" s="97">
        <f>Ruimtestaat[[#This Row],[Uitvoeringen weekend]]*Ruimtestaat[[#This Row],[Oppervlak (netto)]]</f>
        <v>0</v>
      </c>
      <c r="AC551" s="97">
        <f>IF(AA551&gt;0,Ruimtestaat[[#This Row],[Prest. (m2 /jaar) weekend]]/Ruimtestaat[[#This Row],[Norm (m2/uur) weekend]],0)</f>
        <v>0</v>
      </c>
      <c r="AD551" s="155">
        <f>Ruimtestaat[[#This Row],[uren / jaar weekend]]*Tariefsopbouw!$D$40</f>
        <v>0</v>
      </c>
      <c r="AE551" s="154">
        <f>Ruimtestaat[[#This Row],[Prest. (m2 /jaar) weekend]]+Ruimtestaat[[#This Row],[Prest. (m2 /jaar) werkdagen]]</f>
        <v>2600</v>
      </c>
      <c r="AF551" s="154">
        <f>Ruimtestaat[[#This Row],[uren / jaar weekend]]+Ruimtestaat[[#This Row],[uren / jaar werkdagen]]</f>
        <v>0</v>
      </c>
      <c r="AG551" s="69">
        <f>Ruimtestaat[[#This Row],[kosten / jaar weekend]]+Ruimtestaat[[#This Row],[kosten / jaar werkdagen]]</f>
        <v>0</v>
      </c>
      <c r="AH551" s="69"/>
      <c r="AI551" s="256" t="str">
        <f>IF(Ruimtestaat[[#This Row],[Frequentie werkdagen]]="","",_xlfn.CONCAT(Ruimtestaat[[#This Row],[Ruimte code]],"-",Ruimtestaat[[#This Row],[Frequentie werkdagen]]," ",Ruimtestaat[[#This Row],[Vloer code]]))</f>
        <v>5-5w L</v>
      </c>
      <c r="AJ551" s="300" t="str">
        <f>_xlfn.IFNA(VLOOKUP($AI551,Programma!$F$3:$G$1107,2,0),"")</f>
        <v>_</v>
      </c>
      <c r="AK551" s="300" t="str">
        <f>_xlfn.IFNA(VLOOKUP($AI551,Programma!$F$3:$H$1107,3,0),"")</f>
        <v>_</v>
      </c>
      <c r="AL551" s="300" t="str">
        <f>_xlfn.IFNA(VLOOKUP($AI551,Programma!$F$3:$I$1107,4,0),"")</f>
        <v>_</v>
      </c>
      <c r="AM551" s="300" t="str">
        <f>_xlfn.IFNA(VLOOKUP($AI551,Programma!$F$3:$J$1107,5,0),"")</f>
        <v>4w</v>
      </c>
      <c r="AN551" s="300" t="str">
        <f>_xlfn.IFNA(VLOOKUP($AI551,Programma!$F$3:$K$1107,6,0),"")</f>
        <v>1w</v>
      </c>
      <c r="AO551" s="300" t="str">
        <f>_xlfn.IFNA(VLOOKUP($AI551,Programma!$F$3:$L$1107,7,0),"")</f>
        <v>_</v>
      </c>
      <c r="AP551" s="300" t="str">
        <f>_xlfn.IFNA(VLOOKUP($AI551,Programma!$F$3:$M$1107,8,0),"")</f>
        <v>_</v>
      </c>
      <c r="AQ551" s="300" t="str">
        <f>_xlfn.IFNA(VLOOKUP($AI551,Programma!$F$3:$N$1107,9,0),"")</f>
        <v>_</v>
      </c>
      <c r="AR551" s="300" t="str">
        <f>_xlfn.IFNA(VLOOKUP($AI551,Programma!$F$3:$O$1107,10,0),"")</f>
        <v>_</v>
      </c>
      <c r="AS551" s="300" t="str">
        <f>_xlfn.IFNA(VLOOKUP($AI551,Programma!$F$3:$P$1107,11,0),"")</f>
        <v>_</v>
      </c>
      <c r="AT551" s="300" t="str">
        <f>_xlfn.IFNA(VLOOKUP($AI551,Programma!$F$3:$Q$1107,12,0),"")</f>
        <v>_</v>
      </c>
      <c r="AU551" s="300" t="str">
        <f>_xlfn.IFNA(VLOOKUP($AI551,Programma!$F$3:$R$1107,13,0),"")</f>
        <v>_</v>
      </c>
      <c r="AV551" s="300" t="str">
        <f>_xlfn.IFNA(VLOOKUP($AI551,Programma!$F$3:$S$1107,14,0),"")</f>
        <v>_</v>
      </c>
      <c r="AW551" s="300" t="str">
        <f>_xlfn.IFNA(VLOOKUP($AI551,Programma!$F$3:$T$1107,15,0),"")</f>
        <v>_</v>
      </c>
      <c r="AX551" s="300" t="str">
        <f>_xlfn.IFNA(VLOOKUP($AI551,Programma!$F$3:$U$1107,16,0),"")</f>
        <v>_</v>
      </c>
      <c r="AY551" s="300" t="str">
        <f>_xlfn.IFNA(VLOOKUP($AI551,Programma!$F$3:$V$1107,17,0),"")</f>
        <v>_</v>
      </c>
      <c r="AZ551" s="300" t="str">
        <f>_xlfn.IFNA(VLOOKUP($AI551,Programma!$F$3:$W$1107,18,0),"")</f>
        <v>4w</v>
      </c>
      <c r="BA551" s="300" t="str">
        <f>_xlfn.IFNA(VLOOKUP($AI551,Programma!$F$3:$X$1107,19,0),"")</f>
        <v>1w</v>
      </c>
      <c r="BB551" s="300" t="str">
        <f>_xlfn.IFNA(VLOOKUP($AI551,Programma!$F$3:$Y$1107,20,0),"")</f>
        <v>_</v>
      </c>
      <c r="BC551" s="257"/>
      <c r="BD551" s="256" t="str">
        <f>IF(Ruimtestaat[[#This Row],[Frequentie weekend]]="","",_xlfn.CONCAT(Ruimtestaat[[#This Row],[Ruimte code]],"-",Ruimtestaat[[#This Row],[Frequentie weekend]]," ",Ruimtestaat[[#This Row],[Vloer code]]))</f>
        <v/>
      </c>
      <c r="BE551" s="300" t="str">
        <f>_xlfn.IFNA(VLOOKUP($BD551,Programma!$F$3:$G$1107,2,0),"")</f>
        <v/>
      </c>
      <c r="BF551" s="300" t="str">
        <f>_xlfn.IFNA(VLOOKUP($BD551,Programma!$F$3:$H$1107,3,0),"")</f>
        <v/>
      </c>
      <c r="BG551" s="300" t="str">
        <f>_xlfn.IFNA(VLOOKUP($BD551,Programma!$F$3:$I$1107,4,0),"")</f>
        <v/>
      </c>
      <c r="BH551" s="300" t="str">
        <f>_xlfn.IFNA(VLOOKUP($BD551,Programma!$F$3:$J$1107,5,0),"")</f>
        <v/>
      </c>
      <c r="BI551" s="300" t="str">
        <f>_xlfn.IFNA(VLOOKUP($BD551,Programma!$F$3:$K$1107,6,0),"")</f>
        <v/>
      </c>
      <c r="BJ551" s="300" t="str">
        <f>_xlfn.IFNA(VLOOKUP($BD551,Programma!$F$3:$L$1107,7,0),"")</f>
        <v/>
      </c>
      <c r="BK551" s="300" t="str">
        <f>_xlfn.IFNA(VLOOKUP($BD551,Programma!$F$3:$M$1107,8,0),"")</f>
        <v/>
      </c>
      <c r="BL551" s="300" t="str">
        <f>_xlfn.IFNA(VLOOKUP($BD551,Programma!$F$3:$N$1107,9,0),"")</f>
        <v/>
      </c>
      <c r="BM551" s="300" t="str">
        <f>_xlfn.IFNA(VLOOKUP($BD551,Programma!$F$3:$O$1107,10,0),"")</f>
        <v/>
      </c>
      <c r="BN551" s="300" t="str">
        <f>_xlfn.IFNA(VLOOKUP($BD551,Programma!$F$3:$P$1107,11,0),"")</f>
        <v/>
      </c>
      <c r="BO551" s="300" t="str">
        <f>_xlfn.IFNA(VLOOKUP($BD551,Programma!$F$3:$Q$1107,12,0),"")</f>
        <v/>
      </c>
      <c r="BP551" s="300" t="str">
        <f>_xlfn.IFNA(VLOOKUP($BD551,Programma!$F$3:$R$1107,13,0),"")</f>
        <v/>
      </c>
      <c r="BQ551" s="300" t="str">
        <f>_xlfn.IFNA(VLOOKUP($BD551,Programma!$F$3:$S$1107,14,0),"")</f>
        <v/>
      </c>
      <c r="BR551" s="300" t="str">
        <f>_xlfn.IFNA(VLOOKUP($BD551,Programma!$F$3:$T$1107,15,0),"")</f>
        <v/>
      </c>
      <c r="BS551" s="300" t="str">
        <f>_xlfn.IFNA(VLOOKUP($BD551,Programma!$F$3:$U$1107,16,0),"")</f>
        <v/>
      </c>
      <c r="BT551" s="300" t="str">
        <f>_xlfn.IFNA(VLOOKUP($BD551,Programma!$F$3:$V$1107,17,0),"")</f>
        <v/>
      </c>
      <c r="BU551" s="300" t="str">
        <f>_xlfn.IFNA(VLOOKUP($BD551,Programma!$F$3:$W$1107,18,0),"")</f>
        <v/>
      </c>
      <c r="BV551" s="300" t="str">
        <f>_xlfn.IFNA(VLOOKUP($BD551,Programma!$F$3:$X$1107,19,0),"")</f>
        <v/>
      </c>
      <c r="BW551" s="300" t="str">
        <f>_xlfn.IFNA(VLOOKUP($BD551,Programma!$F$3:$Y$1107,20,0),"")</f>
        <v/>
      </c>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c r="GK551" s="4"/>
      <c r="GL551" s="4"/>
      <c r="GM551" s="4"/>
      <c r="GN551" s="4"/>
      <c r="GO551" s="4"/>
      <c r="GP551" s="4"/>
      <c r="GQ551" s="4"/>
      <c r="GR551" s="4"/>
      <c r="GS551" s="4"/>
      <c r="GT551" s="4"/>
      <c r="GU551" s="4"/>
      <c r="GV551" s="4"/>
      <c r="GW551" s="4"/>
      <c r="GX551" s="4"/>
      <c r="GY551" s="4"/>
      <c r="GZ551" s="4"/>
      <c r="HA551" s="4"/>
      <c r="HB551" s="4"/>
      <c r="HC551" s="4"/>
      <c r="HD551" s="4"/>
      <c r="HE551" s="4"/>
      <c r="HF551" s="4"/>
      <c r="HG551" s="4"/>
      <c r="HH551" s="4"/>
      <c r="HI551" s="4"/>
      <c r="HJ551" s="4"/>
      <c r="HK551" s="4"/>
      <c r="HL551" s="4"/>
    </row>
    <row r="552" spans="1:220" ht="15" customHeight="1">
      <c r="A552" s="21">
        <v>7</v>
      </c>
      <c r="B552" s="157" t="str">
        <f>VLOOKUP(Ruimtestaat[[#This Row],[Code]],Locaties[[Code]:[Locatie]],2,FALSE)</f>
        <v>Gymnasium Novum</v>
      </c>
      <c r="C552" s="157" t="str">
        <f>VLOOKUP(Ruimtestaat[[#This Row],[Code]],Locaties[[#All],[Code]:[Adres]],4,FALSE)</f>
        <v>Aart v.d. Leeuwkade 1</v>
      </c>
      <c r="D552" s="157" t="str">
        <f>VLOOKUP(Ruimtestaat[[#This Row],[Code]],Locaties[[#All],[Code]:[Postcode]],5,FALSE)</f>
        <v>2274 KX</v>
      </c>
      <c r="E552" s="157" t="str">
        <f>VLOOKUP(Ruimtestaat[[#This Row],[Code]],Locaties[#All],6,FALSE)</f>
        <v>Voorburg</v>
      </c>
      <c r="F552" s="62"/>
      <c r="G552" s="21" t="s">
        <v>1632</v>
      </c>
      <c r="H552" s="21">
        <v>6</v>
      </c>
      <c r="I552" s="62" t="s">
        <v>1639</v>
      </c>
      <c r="J552" s="21">
        <v>5</v>
      </c>
      <c r="K552" s="62" t="str">
        <f>VLOOKUP(Ruimtestaat[[#This Row],[Ruimte code]],Ruimtegroepen[[#All],[Code]:[Ruimte omschrijving]],2,FALSE)</f>
        <v>Sanitair</v>
      </c>
      <c r="L552" s="33" t="s">
        <v>102</v>
      </c>
      <c r="M552" s="367" t="s">
        <v>2492</v>
      </c>
      <c r="N552" s="140">
        <v>16</v>
      </c>
      <c r="O552" s="140"/>
      <c r="P552" s="125" t="str">
        <f>VLOOKUP(Ruimtestaat[[#This Row],[Ruimte code]],Ruimtegroepen[],4,FALSE)</f>
        <v>Sa</v>
      </c>
      <c r="R552" s="33">
        <v>40</v>
      </c>
      <c r="S552" s="33" t="s">
        <v>2</v>
      </c>
      <c r="T552" s="33">
        <f>IF(R552&gt;0,IF(RIGHT(Ruimtestaat[[#This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52" s="33">
        <f>IF(T552&gt;0,VLOOKUP($J552,Ruimtegroepen[],3,FALSE)*VLOOKUP($L552,Vloersoorten[],3,FALSE)*VLOOKUP($S552,Frequenties[],3,FALSE)*VLOOKUP($A552,Locaties[],3,FALSE),0)</f>
        <v>0</v>
      </c>
      <c r="V552" s="33">
        <f>Ruimtestaat[[#This Row],[Uitvoeringen werkdagen]]*Ruimtestaat[[#This Row],[Oppervlak (netto)]]</f>
        <v>3200</v>
      </c>
      <c r="W552" s="154">
        <f>IF(U552&gt;0,Ruimtestaat[[#This Row],[Prest. (m2 /jaar) werkdagen]]/Ruimtestaat[[#This Row],[Norm (m2/uur) werkdagen]],0)</f>
        <v>0</v>
      </c>
      <c r="X552" s="155">
        <f>Ruimtestaat[[#This Row],[uren / jaar werkdagen]]*Tariefsopbouw!$E$35</f>
        <v>0</v>
      </c>
      <c r="Y552" s="33"/>
      <c r="Z552" s="33">
        <f>IF(Ruimtestaat[[#This Row],[Frequentie weekend]]&gt;0,VALUE(LEFT(Y552,1))*R552,0)</f>
        <v>0</v>
      </c>
      <c r="AA552" s="97">
        <f>IF($Z552&gt;0,VLOOKUP($J552,Ruimtegroepen[],3,FALSE)*VLOOKUP($L552,Vloersoorten[],3,FALSE)*VLOOKUP($Y552,Frequenties[],3,FALSE)*VLOOKUP(Ruimtestaat[[#This Row],[Code]],Locaties[],3,FALSE),0)</f>
        <v>0</v>
      </c>
      <c r="AB552" s="97">
        <f>Ruimtestaat[[#This Row],[Uitvoeringen weekend]]*Ruimtestaat[[#This Row],[Oppervlak (netto)]]</f>
        <v>0</v>
      </c>
      <c r="AC552" s="97">
        <f>IF(AA552&gt;0,Ruimtestaat[[#This Row],[Prest. (m2 /jaar) weekend]]/Ruimtestaat[[#This Row],[Norm (m2/uur) weekend]],0)</f>
        <v>0</v>
      </c>
      <c r="AD552" s="155">
        <f>Ruimtestaat[[#This Row],[uren / jaar weekend]]*Tariefsopbouw!$D$40</f>
        <v>0</v>
      </c>
      <c r="AE552" s="154">
        <f>Ruimtestaat[[#This Row],[Prest. (m2 /jaar) weekend]]+Ruimtestaat[[#This Row],[Prest. (m2 /jaar) werkdagen]]</f>
        <v>3200</v>
      </c>
      <c r="AF552" s="154">
        <f>Ruimtestaat[[#This Row],[uren / jaar weekend]]+Ruimtestaat[[#This Row],[uren / jaar werkdagen]]</f>
        <v>0</v>
      </c>
      <c r="AG552" s="69">
        <f>Ruimtestaat[[#This Row],[kosten / jaar weekend]]+Ruimtestaat[[#This Row],[kosten / jaar werkdagen]]</f>
        <v>0</v>
      </c>
      <c r="AH552" s="69"/>
      <c r="AI552" s="256" t="str">
        <f>IF(Ruimtestaat[[#This Row],[Frequentie werkdagen]]="","",_xlfn.CONCAT(Ruimtestaat[[#This Row],[Ruimte code]],"-",Ruimtestaat[[#This Row],[Frequentie werkdagen]]," ",Ruimtestaat[[#This Row],[Vloer code]]))</f>
        <v>5-5w S</v>
      </c>
      <c r="AJ552" s="300" t="str">
        <f>_xlfn.IFNA(VLOOKUP($AI552,Programma!$F$3:$G$1107,2,0),"")</f>
        <v>_</v>
      </c>
      <c r="AK552" s="300" t="str">
        <f>_xlfn.IFNA(VLOOKUP($AI552,Programma!$F$3:$H$1107,3,0),"")</f>
        <v>_</v>
      </c>
      <c r="AL552" s="300" t="str">
        <f>_xlfn.IFNA(VLOOKUP($AI552,Programma!$F$3:$I$1107,4,0),"")</f>
        <v>_</v>
      </c>
      <c r="AM552" s="300" t="str">
        <f>_xlfn.IFNA(VLOOKUP($AI552,Programma!$F$3:$J$1107,5,0),"")</f>
        <v>4w</v>
      </c>
      <c r="AN552" s="300" t="str">
        <f>_xlfn.IFNA(VLOOKUP($AI552,Programma!$F$3:$K$1107,6,0),"")</f>
        <v>1w</v>
      </c>
      <c r="AO552" s="300" t="str">
        <f>_xlfn.IFNA(VLOOKUP($AI552,Programma!$F$3:$L$1107,7,0),"")</f>
        <v>_</v>
      </c>
      <c r="AP552" s="300" t="str">
        <f>_xlfn.IFNA(VLOOKUP($AI552,Programma!$F$3:$M$1107,8,0),"")</f>
        <v>_</v>
      </c>
      <c r="AQ552" s="300" t="str">
        <f>_xlfn.IFNA(VLOOKUP($AI552,Programma!$F$3:$N$1107,9,0),"")</f>
        <v>_</v>
      </c>
      <c r="AR552" s="300" t="str">
        <f>_xlfn.IFNA(VLOOKUP($AI552,Programma!$F$3:$O$1107,10,0),"")</f>
        <v>_</v>
      </c>
      <c r="AS552" s="300" t="str">
        <f>_xlfn.IFNA(VLOOKUP($AI552,Programma!$F$3:$P$1107,11,0),"")</f>
        <v>_</v>
      </c>
      <c r="AT552" s="300" t="str">
        <f>_xlfn.IFNA(VLOOKUP($AI552,Programma!$F$3:$Q$1107,12,0),"")</f>
        <v>_</v>
      </c>
      <c r="AU552" s="300" t="str">
        <f>_xlfn.IFNA(VLOOKUP($AI552,Programma!$F$3:$R$1107,13,0),"")</f>
        <v>_</v>
      </c>
      <c r="AV552" s="300" t="str">
        <f>_xlfn.IFNA(VLOOKUP($AI552,Programma!$F$3:$S$1107,14,0),"")</f>
        <v>_</v>
      </c>
      <c r="AW552" s="300" t="str">
        <f>_xlfn.IFNA(VLOOKUP($AI552,Programma!$F$3:$T$1107,15,0),"")</f>
        <v>_</v>
      </c>
      <c r="AX552" s="300" t="str">
        <f>_xlfn.IFNA(VLOOKUP($AI552,Programma!$F$3:$U$1107,16,0),"")</f>
        <v>_</v>
      </c>
      <c r="AY552" s="300" t="str">
        <f>_xlfn.IFNA(VLOOKUP($AI552,Programma!$F$3:$V$1107,17,0),"")</f>
        <v>_</v>
      </c>
      <c r="AZ552" s="300" t="str">
        <f>_xlfn.IFNA(VLOOKUP($AI552,Programma!$F$3:$W$1107,18,0),"")</f>
        <v>4w</v>
      </c>
      <c r="BA552" s="300" t="str">
        <f>_xlfn.IFNA(VLOOKUP($AI552,Programma!$F$3:$X$1107,19,0),"")</f>
        <v>1w</v>
      </c>
      <c r="BB552" s="300" t="str">
        <f>_xlfn.IFNA(VLOOKUP($AI552,Programma!$F$3:$Y$1107,20,0),"")</f>
        <v>_</v>
      </c>
      <c r="BC552" s="257"/>
      <c r="BD552" s="256" t="str">
        <f>IF(Ruimtestaat[[#This Row],[Frequentie weekend]]="","",_xlfn.CONCAT(Ruimtestaat[[#This Row],[Ruimte code]],"-",Ruimtestaat[[#This Row],[Frequentie weekend]]," ",Ruimtestaat[[#This Row],[Vloer code]]))</f>
        <v/>
      </c>
      <c r="BE552" s="300" t="str">
        <f>_xlfn.IFNA(VLOOKUP($BD552,Programma!$F$3:$G$1107,2,0),"")</f>
        <v/>
      </c>
      <c r="BF552" s="300" t="str">
        <f>_xlfn.IFNA(VLOOKUP($BD552,Programma!$F$3:$H$1107,3,0),"")</f>
        <v/>
      </c>
      <c r="BG552" s="300" t="str">
        <f>_xlfn.IFNA(VLOOKUP($BD552,Programma!$F$3:$I$1107,4,0),"")</f>
        <v/>
      </c>
      <c r="BH552" s="300" t="str">
        <f>_xlfn.IFNA(VLOOKUP($BD552,Programma!$F$3:$J$1107,5,0),"")</f>
        <v/>
      </c>
      <c r="BI552" s="300" t="str">
        <f>_xlfn.IFNA(VLOOKUP($BD552,Programma!$F$3:$K$1107,6,0),"")</f>
        <v/>
      </c>
      <c r="BJ552" s="300" t="str">
        <f>_xlfn.IFNA(VLOOKUP($BD552,Programma!$F$3:$L$1107,7,0),"")</f>
        <v/>
      </c>
      <c r="BK552" s="300" t="str">
        <f>_xlfn.IFNA(VLOOKUP($BD552,Programma!$F$3:$M$1107,8,0),"")</f>
        <v/>
      </c>
      <c r="BL552" s="300" t="str">
        <f>_xlfn.IFNA(VLOOKUP($BD552,Programma!$F$3:$N$1107,9,0),"")</f>
        <v/>
      </c>
      <c r="BM552" s="300" t="str">
        <f>_xlfn.IFNA(VLOOKUP($BD552,Programma!$F$3:$O$1107,10,0),"")</f>
        <v/>
      </c>
      <c r="BN552" s="300" t="str">
        <f>_xlfn.IFNA(VLOOKUP($BD552,Programma!$F$3:$P$1107,11,0),"")</f>
        <v/>
      </c>
      <c r="BO552" s="300" t="str">
        <f>_xlfn.IFNA(VLOOKUP($BD552,Programma!$F$3:$Q$1107,12,0),"")</f>
        <v/>
      </c>
      <c r="BP552" s="300" t="str">
        <f>_xlfn.IFNA(VLOOKUP($BD552,Programma!$F$3:$R$1107,13,0),"")</f>
        <v/>
      </c>
      <c r="BQ552" s="300" t="str">
        <f>_xlfn.IFNA(VLOOKUP($BD552,Programma!$F$3:$S$1107,14,0),"")</f>
        <v/>
      </c>
      <c r="BR552" s="300" t="str">
        <f>_xlfn.IFNA(VLOOKUP($BD552,Programma!$F$3:$T$1107,15,0),"")</f>
        <v/>
      </c>
      <c r="BS552" s="300" t="str">
        <f>_xlfn.IFNA(VLOOKUP($BD552,Programma!$F$3:$U$1107,16,0),"")</f>
        <v/>
      </c>
      <c r="BT552" s="300" t="str">
        <f>_xlfn.IFNA(VLOOKUP($BD552,Programma!$F$3:$V$1107,17,0),"")</f>
        <v/>
      </c>
      <c r="BU552" s="300" t="str">
        <f>_xlfn.IFNA(VLOOKUP($BD552,Programma!$F$3:$W$1107,18,0),"")</f>
        <v/>
      </c>
      <c r="BV552" s="300" t="str">
        <f>_xlfn.IFNA(VLOOKUP($BD552,Programma!$F$3:$X$1107,19,0),"")</f>
        <v/>
      </c>
      <c r="BW552" s="300" t="str">
        <f>_xlfn.IFNA(VLOOKUP($BD552,Programma!$F$3:$Y$1107,20,0),"")</f>
        <v/>
      </c>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c r="GK552" s="4"/>
      <c r="GL552" s="4"/>
      <c r="GM552" s="4"/>
      <c r="GN552" s="4"/>
      <c r="GO552" s="4"/>
      <c r="GP552" s="4"/>
      <c r="GQ552" s="4"/>
      <c r="GR552" s="4"/>
      <c r="GS552" s="4"/>
      <c r="GT552" s="4"/>
      <c r="GU552" s="4"/>
      <c r="GV552" s="4"/>
      <c r="GW552" s="4"/>
      <c r="GX552" s="4"/>
      <c r="GY552" s="4"/>
      <c r="GZ552" s="4"/>
      <c r="HA552" s="4"/>
      <c r="HB552" s="4"/>
      <c r="HC552" s="4"/>
      <c r="HD552" s="4"/>
      <c r="HE552" s="4"/>
      <c r="HF552" s="4"/>
      <c r="HG552" s="4"/>
      <c r="HH552" s="4"/>
      <c r="HI552" s="4"/>
      <c r="HJ552" s="4"/>
      <c r="HK552" s="4"/>
      <c r="HL552" s="4"/>
    </row>
    <row r="553" spans="1:220" ht="15" customHeight="1">
      <c r="A553" s="21">
        <v>7</v>
      </c>
      <c r="B553" s="157" t="str">
        <f>VLOOKUP(Ruimtestaat[[#This Row],[Code]],Locaties[[Code]:[Locatie]],2,FALSE)</f>
        <v>Gymnasium Novum</v>
      </c>
      <c r="C553" s="157" t="str">
        <f>VLOOKUP(Ruimtestaat[[#This Row],[Code]],Locaties[[#All],[Code]:[Adres]],4,FALSE)</f>
        <v>Aart v.d. Leeuwkade 1</v>
      </c>
      <c r="D553" s="157" t="str">
        <f>VLOOKUP(Ruimtestaat[[#This Row],[Code]],Locaties[[#All],[Code]:[Postcode]],5,FALSE)</f>
        <v>2274 KX</v>
      </c>
      <c r="E553" s="157" t="str">
        <f>VLOOKUP(Ruimtestaat[[#This Row],[Code]],Locaties[#All],6,FALSE)</f>
        <v>Voorburg</v>
      </c>
      <c r="F553" s="62"/>
      <c r="G553" s="21" t="s">
        <v>1632</v>
      </c>
      <c r="H553" s="21">
        <v>7</v>
      </c>
      <c r="I553" s="62" t="s">
        <v>1640</v>
      </c>
      <c r="J553" s="21">
        <v>5</v>
      </c>
      <c r="K553" s="62" t="str">
        <f>VLOOKUP(Ruimtestaat[[#This Row],[Ruimte code]],Ruimtegroepen[[#All],[Code]:[Ruimte omschrijving]],2,FALSE)</f>
        <v>Sanitair</v>
      </c>
      <c r="L553" s="33" t="s">
        <v>102</v>
      </c>
      <c r="M553" s="367" t="s">
        <v>2492</v>
      </c>
      <c r="N553" s="140">
        <v>17</v>
      </c>
      <c r="O553" s="140"/>
      <c r="P553" s="125" t="str">
        <f>VLOOKUP(Ruimtestaat[[#This Row],[Ruimte code]],Ruimtegroepen[],4,FALSE)</f>
        <v>Sa</v>
      </c>
      <c r="R553" s="33">
        <v>40</v>
      </c>
      <c r="S553" s="33" t="s">
        <v>2</v>
      </c>
      <c r="T553" s="33">
        <f>IF(R553&gt;0,IF(RIGHT(Ruimtestaat[[#This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53" s="33">
        <f>IF(T553&gt;0,VLOOKUP($J553,Ruimtegroepen[],3,FALSE)*VLOOKUP($L553,Vloersoorten[],3,FALSE)*VLOOKUP($S553,Frequenties[],3,FALSE)*VLOOKUP($A553,Locaties[],3,FALSE),0)</f>
        <v>0</v>
      </c>
      <c r="V553" s="33">
        <f>Ruimtestaat[[#This Row],[Uitvoeringen werkdagen]]*Ruimtestaat[[#This Row],[Oppervlak (netto)]]</f>
        <v>3400</v>
      </c>
      <c r="W553" s="154">
        <f>IF(U553&gt;0,Ruimtestaat[[#This Row],[Prest. (m2 /jaar) werkdagen]]/Ruimtestaat[[#This Row],[Norm (m2/uur) werkdagen]],0)</f>
        <v>0</v>
      </c>
      <c r="X553" s="155">
        <f>Ruimtestaat[[#This Row],[uren / jaar werkdagen]]*Tariefsopbouw!$E$35</f>
        <v>0</v>
      </c>
      <c r="Y553" s="33"/>
      <c r="Z553" s="33">
        <f>IF(Ruimtestaat[[#This Row],[Frequentie weekend]]&gt;0,VALUE(LEFT(Y553,1))*R553,0)</f>
        <v>0</v>
      </c>
      <c r="AA553" s="97">
        <f>IF($Z553&gt;0,VLOOKUP($J553,Ruimtegroepen[],3,FALSE)*VLOOKUP($L553,Vloersoorten[],3,FALSE)*VLOOKUP($Y553,Frequenties[],3,FALSE)*VLOOKUP(Ruimtestaat[[#This Row],[Code]],Locaties[],3,FALSE),0)</f>
        <v>0</v>
      </c>
      <c r="AB553" s="97">
        <f>Ruimtestaat[[#This Row],[Uitvoeringen weekend]]*Ruimtestaat[[#This Row],[Oppervlak (netto)]]</f>
        <v>0</v>
      </c>
      <c r="AC553" s="97">
        <f>IF(AA553&gt;0,Ruimtestaat[[#This Row],[Prest. (m2 /jaar) weekend]]/Ruimtestaat[[#This Row],[Norm (m2/uur) weekend]],0)</f>
        <v>0</v>
      </c>
      <c r="AD553" s="155">
        <f>Ruimtestaat[[#This Row],[uren / jaar weekend]]*Tariefsopbouw!$D$40</f>
        <v>0</v>
      </c>
      <c r="AE553" s="154">
        <f>Ruimtestaat[[#This Row],[Prest. (m2 /jaar) weekend]]+Ruimtestaat[[#This Row],[Prest. (m2 /jaar) werkdagen]]</f>
        <v>3400</v>
      </c>
      <c r="AF553" s="154">
        <f>Ruimtestaat[[#This Row],[uren / jaar weekend]]+Ruimtestaat[[#This Row],[uren / jaar werkdagen]]</f>
        <v>0</v>
      </c>
      <c r="AG553" s="69">
        <f>Ruimtestaat[[#This Row],[kosten / jaar weekend]]+Ruimtestaat[[#This Row],[kosten / jaar werkdagen]]</f>
        <v>0</v>
      </c>
      <c r="AH553" s="69"/>
      <c r="AI553" s="256" t="str">
        <f>IF(Ruimtestaat[[#This Row],[Frequentie werkdagen]]="","",_xlfn.CONCAT(Ruimtestaat[[#This Row],[Ruimte code]],"-",Ruimtestaat[[#This Row],[Frequentie werkdagen]]," ",Ruimtestaat[[#This Row],[Vloer code]]))</f>
        <v>5-5w S</v>
      </c>
      <c r="AJ553" s="300" t="str">
        <f>_xlfn.IFNA(VLOOKUP($AI553,Programma!$F$3:$G$1107,2,0),"")</f>
        <v>_</v>
      </c>
      <c r="AK553" s="300" t="str">
        <f>_xlfn.IFNA(VLOOKUP($AI553,Programma!$F$3:$H$1107,3,0),"")</f>
        <v>_</v>
      </c>
      <c r="AL553" s="300" t="str">
        <f>_xlfn.IFNA(VLOOKUP($AI553,Programma!$F$3:$I$1107,4,0),"")</f>
        <v>_</v>
      </c>
      <c r="AM553" s="300" t="str">
        <f>_xlfn.IFNA(VLOOKUP($AI553,Programma!$F$3:$J$1107,5,0),"")</f>
        <v>4w</v>
      </c>
      <c r="AN553" s="300" t="str">
        <f>_xlfn.IFNA(VLOOKUP($AI553,Programma!$F$3:$K$1107,6,0),"")</f>
        <v>1w</v>
      </c>
      <c r="AO553" s="300" t="str">
        <f>_xlfn.IFNA(VLOOKUP($AI553,Programma!$F$3:$L$1107,7,0),"")</f>
        <v>_</v>
      </c>
      <c r="AP553" s="300" t="str">
        <f>_xlfn.IFNA(VLOOKUP($AI553,Programma!$F$3:$M$1107,8,0),"")</f>
        <v>_</v>
      </c>
      <c r="AQ553" s="300" t="str">
        <f>_xlfn.IFNA(VLOOKUP($AI553,Programma!$F$3:$N$1107,9,0),"")</f>
        <v>_</v>
      </c>
      <c r="AR553" s="300" t="str">
        <f>_xlfn.IFNA(VLOOKUP($AI553,Programma!$F$3:$O$1107,10,0),"")</f>
        <v>_</v>
      </c>
      <c r="AS553" s="300" t="str">
        <f>_xlfn.IFNA(VLOOKUP($AI553,Programma!$F$3:$P$1107,11,0),"")</f>
        <v>_</v>
      </c>
      <c r="AT553" s="300" t="str">
        <f>_xlfn.IFNA(VLOOKUP($AI553,Programma!$F$3:$Q$1107,12,0),"")</f>
        <v>_</v>
      </c>
      <c r="AU553" s="300" t="str">
        <f>_xlfn.IFNA(VLOOKUP($AI553,Programma!$F$3:$R$1107,13,0),"")</f>
        <v>_</v>
      </c>
      <c r="AV553" s="300" t="str">
        <f>_xlfn.IFNA(VLOOKUP($AI553,Programma!$F$3:$S$1107,14,0),"")</f>
        <v>_</v>
      </c>
      <c r="AW553" s="300" t="str">
        <f>_xlfn.IFNA(VLOOKUP($AI553,Programma!$F$3:$T$1107,15,0),"")</f>
        <v>_</v>
      </c>
      <c r="AX553" s="300" t="str">
        <f>_xlfn.IFNA(VLOOKUP($AI553,Programma!$F$3:$U$1107,16,0),"")</f>
        <v>_</v>
      </c>
      <c r="AY553" s="300" t="str">
        <f>_xlfn.IFNA(VLOOKUP($AI553,Programma!$F$3:$V$1107,17,0),"")</f>
        <v>_</v>
      </c>
      <c r="AZ553" s="300" t="str">
        <f>_xlfn.IFNA(VLOOKUP($AI553,Programma!$F$3:$W$1107,18,0),"")</f>
        <v>4w</v>
      </c>
      <c r="BA553" s="300" t="str">
        <f>_xlfn.IFNA(VLOOKUP($AI553,Programma!$F$3:$X$1107,19,0),"")</f>
        <v>1w</v>
      </c>
      <c r="BB553" s="300" t="str">
        <f>_xlfn.IFNA(VLOOKUP($AI553,Programma!$F$3:$Y$1107,20,0),"")</f>
        <v>_</v>
      </c>
      <c r="BC553" s="257"/>
      <c r="BD553" s="256" t="str">
        <f>IF(Ruimtestaat[[#This Row],[Frequentie weekend]]="","",_xlfn.CONCAT(Ruimtestaat[[#This Row],[Ruimte code]],"-",Ruimtestaat[[#This Row],[Frequentie weekend]]," ",Ruimtestaat[[#This Row],[Vloer code]]))</f>
        <v/>
      </c>
      <c r="BE553" s="300" t="str">
        <f>_xlfn.IFNA(VLOOKUP($BD553,Programma!$F$3:$G$1107,2,0),"")</f>
        <v/>
      </c>
      <c r="BF553" s="300" t="str">
        <f>_xlfn.IFNA(VLOOKUP($BD553,Programma!$F$3:$H$1107,3,0),"")</f>
        <v/>
      </c>
      <c r="BG553" s="300" t="str">
        <f>_xlfn.IFNA(VLOOKUP($BD553,Programma!$F$3:$I$1107,4,0),"")</f>
        <v/>
      </c>
      <c r="BH553" s="300" t="str">
        <f>_xlfn.IFNA(VLOOKUP($BD553,Programma!$F$3:$J$1107,5,0),"")</f>
        <v/>
      </c>
      <c r="BI553" s="300" t="str">
        <f>_xlfn.IFNA(VLOOKUP($BD553,Programma!$F$3:$K$1107,6,0),"")</f>
        <v/>
      </c>
      <c r="BJ553" s="300" t="str">
        <f>_xlfn.IFNA(VLOOKUP($BD553,Programma!$F$3:$L$1107,7,0),"")</f>
        <v/>
      </c>
      <c r="BK553" s="300" t="str">
        <f>_xlfn.IFNA(VLOOKUP($BD553,Programma!$F$3:$M$1107,8,0),"")</f>
        <v/>
      </c>
      <c r="BL553" s="300" t="str">
        <f>_xlfn.IFNA(VLOOKUP($BD553,Programma!$F$3:$N$1107,9,0),"")</f>
        <v/>
      </c>
      <c r="BM553" s="300" t="str">
        <f>_xlfn.IFNA(VLOOKUP($BD553,Programma!$F$3:$O$1107,10,0),"")</f>
        <v/>
      </c>
      <c r="BN553" s="300" t="str">
        <f>_xlfn.IFNA(VLOOKUP($BD553,Programma!$F$3:$P$1107,11,0),"")</f>
        <v/>
      </c>
      <c r="BO553" s="300" t="str">
        <f>_xlfn.IFNA(VLOOKUP($BD553,Programma!$F$3:$Q$1107,12,0),"")</f>
        <v/>
      </c>
      <c r="BP553" s="300" t="str">
        <f>_xlfn.IFNA(VLOOKUP($BD553,Programma!$F$3:$R$1107,13,0),"")</f>
        <v/>
      </c>
      <c r="BQ553" s="300" t="str">
        <f>_xlfn.IFNA(VLOOKUP($BD553,Programma!$F$3:$S$1107,14,0),"")</f>
        <v/>
      </c>
      <c r="BR553" s="300" t="str">
        <f>_xlfn.IFNA(VLOOKUP($BD553,Programma!$F$3:$T$1107,15,0),"")</f>
        <v/>
      </c>
      <c r="BS553" s="300" t="str">
        <f>_xlfn.IFNA(VLOOKUP($BD553,Programma!$F$3:$U$1107,16,0),"")</f>
        <v/>
      </c>
      <c r="BT553" s="300" t="str">
        <f>_xlfn.IFNA(VLOOKUP($BD553,Programma!$F$3:$V$1107,17,0),"")</f>
        <v/>
      </c>
      <c r="BU553" s="300" t="str">
        <f>_xlfn.IFNA(VLOOKUP($BD553,Programma!$F$3:$W$1107,18,0),"")</f>
        <v/>
      </c>
      <c r="BV553" s="300" t="str">
        <f>_xlfn.IFNA(VLOOKUP($BD553,Programma!$F$3:$X$1107,19,0),"")</f>
        <v/>
      </c>
      <c r="BW553" s="300" t="str">
        <f>_xlfn.IFNA(VLOOKUP($BD553,Programma!$F$3:$Y$1107,20,0),"")</f>
        <v/>
      </c>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c r="FS553" s="4"/>
      <c r="FT553" s="4"/>
      <c r="FU553" s="4"/>
      <c r="FV553" s="4"/>
      <c r="FW553" s="4"/>
      <c r="FX553" s="4"/>
      <c r="FY553" s="4"/>
      <c r="FZ553" s="4"/>
      <c r="GA553" s="4"/>
      <c r="GB553" s="4"/>
      <c r="GC553" s="4"/>
      <c r="GD553" s="4"/>
      <c r="GE553" s="4"/>
      <c r="GF553" s="4"/>
      <c r="GG553" s="4"/>
      <c r="GH553" s="4"/>
      <c r="GI553" s="4"/>
      <c r="GJ553" s="4"/>
      <c r="GK553" s="4"/>
      <c r="GL553" s="4"/>
      <c r="GM553" s="4"/>
      <c r="GN553" s="4"/>
      <c r="GO553" s="4"/>
      <c r="GP553" s="4"/>
      <c r="GQ553" s="4"/>
      <c r="GR553" s="4"/>
      <c r="GS553" s="4"/>
      <c r="GT553" s="4"/>
      <c r="GU553" s="4"/>
      <c r="GV553" s="4"/>
      <c r="GW553" s="4"/>
      <c r="GX553" s="4"/>
      <c r="GY553" s="4"/>
      <c r="GZ553" s="4"/>
      <c r="HA553" s="4"/>
      <c r="HB553" s="4"/>
      <c r="HC553" s="4"/>
      <c r="HD553" s="4"/>
      <c r="HE553" s="4"/>
      <c r="HF553" s="4"/>
      <c r="HG553" s="4"/>
      <c r="HH553" s="4"/>
      <c r="HI553" s="4"/>
      <c r="HJ553" s="4"/>
      <c r="HK553" s="4"/>
      <c r="HL553" s="4"/>
    </row>
    <row r="554" spans="1:220" ht="15" customHeight="1">
      <c r="A554" s="21">
        <v>7</v>
      </c>
      <c r="B554" s="157" t="str">
        <f>VLOOKUP(Ruimtestaat[[#This Row],[Code]],Locaties[[Code]:[Locatie]],2,FALSE)</f>
        <v>Gymnasium Novum</v>
      </c>
      <c r="C554" s="157" t="str">
        <f>VLOOKUP(Ruimtestaat[[#This Row],[Code]],Locaties[[#All],[Code]:[Adres]],4,FALSE)</f>
        <v>Aart v.d. Leeuwkade 1</v>
      </c>
      <c r="D554" s="157" t="str">
        <f>VLOOKUP(Ruimtestaat[[#This Row],[Code]],Locaties[[#All],[Code]:[Postcode]],5,FALSE)</f>
        <v>2274 KX</v>
      </c>
      <c r="E554" s="157" t="str">
        <f>VLOOKUP(Ruimtestaat[[#This Row],[Code]],Locaties[#All],6,FALSE)</f>
        <v>Voorburg</v>
      </c>
      <c r="F554" s="62"/>
      <c r="G554" s="21" t="s">
        <v>1632</v>
      </c>
      <c r="H554" s="21">
        <v>8</v>
      </c>
      <c r="I554" s="62" t="s">
        <v>2132</v>
      </c>
      <c r="J554" s="21">
        <v>1</v>
      </c>
      <c r="K554" s="62" t="str">
        <f>VLOOKUP(Ruimtestaat[[#This Row],[Ruimte code]],Ruimtegroepen[[#All],[Code]:[Ruimte omschrijving]],2,FALSE)</f>
        <v>Magazijnen/bergingen</v>
      </c>
      <c r="L554" s="33" t="s">
        <v>101</v>
      </c>
      <c r="M554" s="367" t="s">
        <v>2495</v>
      </c>
      <c r="N554" s="140">
        <v>13</v>
      </c>
      <c r="O554" s="140"/>
      <c r="P554" s="125" t="str">
        <f>VLOOKUP(Ruimtestaat[[#This Row],[Ruimte code]],Ruimtegroepen[],4,FALSE)</f>
        <v>Ve</v>
      </c>
      <c r="R554" s="33">
        <v>40</v>
      </c>
      <c r="S554" s="33" t="s">
        <v>16</v>
      </c>
      <c r="T554" s="33">
        <f>IF(R554&gt;0,IF(RIGHT(Ruimtestaat[[#This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554" s="33">
        <f>IF(T554&gt;0,VLOOKUP($J554,Ruimtegroepen[],3,FALSE)*VLOOKUP($L554,Vloersoorten[],3,FALSE)*VLOOKUP($S554,Frequenties[],3,FALSE)*VLOOKUP($A554,Locaties[],3,FALSE),0)</f>
        <v>0</v>
      </c>
      <c r="V554" s="33">
        <f>Ruimtestaat[[#This Row],[Uitvoeringen werkdagen]]*Ruimtestaat[[#This Row],[Oppervlak (netto)]]</f>
        <v>156</v>
      </c>
      <c r="W554" s="154">
        <f>IF(U554&gt;0,Ruimtestaat[[#This Row],[Prest. (m2 /jaar) werkdagen]]/Ruimtestaat[[#This Row],[Norm (m2/uur) werkdagen]],0)</f>
        <v>0</v>
      </c>
      <c r="X554" s="155">
        <f>Ruimtestaat[[#This Row],[uren / jaar werkdagen]]*Tariefsopbouw!$E$35</f>
        <v>0</v>
      </c>
      <c r="Y554" s="33"/>
      <c r="Z554" s="33">
        <f>IF(Ruimtestaat[[#This Row],[Frequentie weekend]]&gt;0,VALUE(LEFT(Y554,1))*R554,0)</f>
        <v>0</v>
      </c>
      <c r="AA554" s="97">
        <f>IF($Z554&gt;0,VLOOKUP($J554,Ruimtegroepen[],3,FALSE)*VLOOKUP($L554,Vloersoorten[],3,FALSE)*VLOOKUP($Y554,Frequenties[],3,FALSE)*VLOOKUP(Ruimtestaat[[#This Row],[Code]],Locaties[],3,FALSE),0)</f>
        <v>0</v>
      </c>
      <c r="AB554" s="97">
        <f>Ruimtestaat[[#This Row],[Uitvoeringen weekend]]*Ruimtestaat[[#This Row],[Oppervlak (netto)]]</f>
        <v>0</v>
      </c>
      <c r="AC554" s="97">
        <f>IF(AA554&gt;0,Ruimtestaat[[#This Row],[Prest. (m2 /jaar) weekend]]/Ruimtestaat[[#This Row],[Norm (m2/uur) weekend]],0)</f>
        <v>0</v>
      </c>
      <c r="AD554" s="155">
        <f>Ruimtestaat[[#This Row],[uren / jaar weekend]]*Tariefsopbouw!$D$40</f>
        <v>0</v>
      </c>
      <c r="AE554" s="154">
        <f>Ruimtestaat[[#This Row],[Prest. (m2 /jaar) weekend]]+Ruimtestaat[[#This Row],[Prest. (m2 /jaar) werkdagen]]</f>
        <v>156</v>
      </c>
      <c r="AF554" s="154">
        <f>Ruimtestaat[[#This Row],[uren / jaar weekend]]+Ruimtestaat[[#This Row],[uren / jaar werkdagen]]</f>
        <v>0</v>
      </c>
      <c r="AG554" s="69">
        <f>Ruimtestaat[[#This Row],[kosten / jaar weekend]]+Ruimtestaat[[#This Row],[kosten / jaar werkdagen]]</f>
        <v>0</v>
      </c>
      <c r="AH554" s="69"/>
      <c r="AI554" s="256" t="str">
        <f>IF(Ruimtestaat[[#This Row],[Frequentie werkdagen]]="","",_xlfn.CONCAT(Ruimtestaat[[#This Row],[Ruimte code]],"-",Ruimtestaat[[#This Row],[Frequentie werkdagen]]," ",Ruimtestaat[[#This Row],[Vloer code]]))</f>
        <v>1-1m L</v>
      </c>
      <c r="AJ554" s="300" t="str">
        <f>_xlfn.IFNA(VLOOKUP($AI554,Programma!$F$3:$G$1107,2,0),"")</f>
        <v>_</v>
      </c>
      <c r="AK554" s="300" t="str">
        <f>_xlfn.IFNA(VLOOKUP($AI554,Programma!$F$3:$H$1107,3,0),"")</f>
        <v>_</v>
      </c>
      <c r="AL554" s="300" t="str">
        <f>_xlfn.IFNA(VLOOKUP($AI554,Programma!$F$3:$I$1107,4,0),"")</f>
        <v>1m</v>
      </c>
      <c r="AM554" s="300" t="str">
        <f>_xlfn.IFNA(VLOOKUP($AI554,Programma!$F$3:$J$1107,5,0),"")</f>
        <v>1m</v>
      </c>
      <c r="AN554" s="300" t="str">
        <f>_xlfn.IFNA(VLOOKUP($AI554,Programma!$F$3:$K$1107,6,0),"")</f>
        <v>_</v>
      </c>
      <c r="AO554" s="300" t="str">
        <f>_xlfn.IFNA(VLOOKUP($AI554,Programma!$F$3:$L$1107,7,0),"")</f>
        <v>_</v>
      </c>
      <c r="AP554" s="300" t="str">
        <f>_xlfn.IFNA(VLOOKUP($AI554,Programma!$F$3:$M$1107,8,0),"")</f>
        <v>_</v>
      </c>
      <c r="AQ554" s="300" t="str">
        <f>_xlfn.IFNA(VLOOKUP($AI554,Programma!$F$3:$N$1107,9,0),"")</f>
        <v>_</v>
      </c>
      <c r="AR554" s="300" t="str">
        <f>_xlfn.IFNA(VLOOKUP($AI554,Programma!$F$3:$O$1107,10,0),"")</f>
        <v>_</v>
      </c>
      <c r="AS554" s="300" t="str">
        <f>_xlfn.IFNA(VLOOKUP($AI554,Programma!$F$3:$P$1107,11,0),"")</f>
        <v>_</v>
      </c>
      <c r="AT554" s="300" t="str">
        <f>_xlfn.IFNA(VLOOKUP($AI554,Programma!$F$3:$Q$1107,12,0),"")</f>
        <v>_</v>
      </c>
      <c r="AU554" s="300" t="str">
        <f>_xlfn.IFNA(VLOOKUP($AI554,Programma!$F$3:$R$1107,13,0),"")</f>
        <v>_</v>
      </c>
      <c r="AV554" s="300" t="str">
        <f>_xlfn.IFNA(VLOOKUP($AI554,Programma!$F$3:$S$1107,14,0),"")</f>
        <v>1m</v>
      </c>
      <c r="AW554" s="300" t="str">
        <f>_xlfn.IFNA(VLOOKUP($AI554,Programma!$F$3:$T$1107,15,0),"")</f>
        <v>4j</v>
      </c>
      <c r="AX554" s="300" t="str">
        <f>_xlfn.IFNA(VLOOKUP($AI554,Programma!$F$3:$U$1107,16,0),"")</f>
        <v>4j</v>
      </c>
      <c r="AY554" s="300" t="str">
        <f>_xlfn.IFNA(VLOOKUP($AI554,Programma!$F$3:$V$1107,17,0),"")</f>
        <v>_</v>
      </c>
      <c r="AZ554" s="300" t="str">
        <f>_xlfn.IFNA(VLOOKUP($AI554,Programma!$F$3:$W$1107,18,0),"")</f>
        <v>_</v>
      </c>
      <c r="BA554" s="300" t="str">
        <f>_xlfn.IFNA(VLOOKUP($AI554,Programma!$F$3:$X$1107,19,0),"")</f>
        <v>_</v>
      </c>
      <c r="BB554" s="300" t="str">
        <f>_xlfn.IFNA(VLOOKUP($AI554,Programma!$F$3:$Y$1107,20,0),"")</f>
        <v>_</v>
      </c>
      <c r="BC554" s="257"/>
      <c r="BD554" s="256" t="str">
        <f>IF(Ruimtestaat[[#This Row],[Frequentie weekend]]="","",_xlfn.CONCAT(Ruimtestaat[[#This Row],[Ruimte code]],"-",Ruimtestaat[[#This Row],[Frequentie weekend]]," ",Ruimtestaat[[#This Row],[Vloer code]]))</f>
        <v/>
      </c>
      <c r="BE554" s="300" t="str">
        <f>_xlfn.IFNA(VLOOKUP($BD554,Programma!$F$3:$G$1107,2,0),"")</f>
        <v/>
      </c>
      <c r="BF554" s="300" t="str">
        <f>_xlfn.IFNA(VLOOKUP($BD554,Programma!$F$3:$H$1107,3,0),"")</f>
        <v/>
      </c>
      <c r="BG554" s="300" t="str">
        <f>_xlfn.IFNA(VLOOKUP($BD554,Programma!$F$3:$I$1107,4,0),"")</f>
        <v/>
      </c>
      <c r="BH554" s="300" t="str">
        <f>_xlfn.IFNA(VLOOKUP($BD554,Programma!$F$3:$J$1107,5,0),"")</f>
        <v/>
      </c>
      <c r="BI554" s="300" t="str">
        <f>_xlfn.IFNA(VLOOKUP($BD554,Programma!$F$3:$K$1107,6,0),"")</f>
        <v/>
      </c>
      <c r="BJ554" s="300" t="str">
        <f>_xlfn.IFNA(VLOOKUP($BD554,Programma!$F$3:$L$1107,7,0),"")</f>
        <v/>
      </c>
      <c r="BK554" s="300" t="str">
        <f>_xlfn.IFNA(VLOOKUP($BD554,Programma!$F$3:$M$1107,8,0),"")</f>
        <v/>
      </c>
      <c r="BL554" s="300" t="str">
        <f>_xlfn.IFNA(VLOOKUP($BD554,Programma!$F$3:$N$1107,9,0),"")</f>
        <v/>
      </c>
      <c r="BM554" s="300" t="str">
        <f>_xlfn.IFNA(VLOOKUP($BD554,Programma!$F$3:$O$1107,10,0),"")</f>
        <v/>
      </c>
      <c r="BN554" s="300" t="str">
        <f>_xlfn.IFNA(VLOOKUP($BD554,Programma!$F$3:$P$1107,11,0),"")</f>
        <v/>
      </c>
      <c r="BO554" s="300" t="str">
        <f>_xlfn.IFNA(VLOOKUP($BD554,Programma!$F$3:$Q$1107,12,0),"")</f>
        <v/>
      </c>
      <c r="BP554" s="300" t="str">
        <f>_xlfn.IFNA(VLOOKUP($BD554,Programma!$F$3:$R$1107,13,0),"")</f>
        <v/>
      </c>
      <c r="BQ554" s="300" t="str">
        <f>_xlfn.IFNA(VLOOKUP($BD554,Programma!$F$3:$S$1107,14,0),"")</f>
        <v/>
      </c>
      <c r="BR554" s="300" t="str">
        <f>_xlfn.IFNA(VLOOKUP($BD554,Programma!$F$3:$T$1107,15,0),"")</f>
        <v/>
      </c>
      <c r="BS554" s="300" t="str">
        <f>_xlfn.IFNA(VLOOKUP($BD554,Programma!$F$3:$U$1107,16,0),"")</f>
        <v/>
      </c>
      <c r="BT554" s="300" t="str">
        <f>_xlfn.IFNA(VLOOKUP($BD554,Programma!$F$3:$V$1107,17,0),"")</f>
        <v/>
      </c>
      <c r="BU554" s="300" t="str">
        <f>_xlfn.IFNA(VLOOKUP($BD554,Programma!$F$3:$W$1107,18,0),"")</f>
        <v/>
      </c>
      <c r="BV554" s="300" t="str">
        <f>_xlfn.IFNA(VLOOKUP($BD554,Programma!$F$3:$X$1107,19,0),"")</f>
        <v/>
      </c>
      <c r="BW554" s="300" t="str">
        <f>_xlfn.IFNA(VLOOKUP($BD554,Programma!$F$3:$Y$1107,20,0),"")</f>
        <v/>
      </c>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c r="GK554" s="4"/>
      <c r="GL554" s="4"/>
      <c r="GM554" s="4"/>
      <c r="GN554" s="4"/>
      <c r="GO554" s="4"/>
      <c r="GP554" s="4"/>
      <c r="GQ554" s="4"/>
      <c r="GR554" s="4"/>
      <c r="GS554" s="4"/>
      <c r="GT554" s="4"/>
      <c r="GU554" s="4"/>
      <c r="GV554" s="4"/>
      <c r="GW554" s="4"/>
      <c r="GX554" s="4"/>
      <c r="GY554" s="4"/>
      <c r="GZ554" s="4"/>
      <c r="HA554" s="4"/>
      <c r="HB554" s="4"/>
      <c r="HC554" s="4"/>
      <c r="HD554" s="4"/>
      <c r="HE554" s="4"/>
      <c r="HF554" s="4"/>
      <c r="HG554" s="4"/>
      <c r="HH554" s="4"/>
      <c r="HI554" s="4"/>
      <c r="HJ554" s="4"/>
      <c r="HK554" s="4"/>
      <c r="HL554" s="4"/>
    </row>
    <row r="555" spans="1:220" ht="15" customHeight="1">
      <c r="A555" s="21">
        <v>7</v>
      </c>
      <c r="B555" s="157" t="str">
        <f>VLOOKUP(Ruimtestaat[[#This Row],[Code]],Locaties[[Code]:[Locatie]],2,FALSE)</f>
        <v>Gymnasium Novum</v>
      </c>
      <c r="C555" s="157" t="str">
        <f>VLOOKUP(Ruimtestaat[[#This Row],[Code]],Locaties[[#All],[Code]:[Adres]],4,FALSE)</f>
        <v>Aart v.d. Leeuwkade 1</v>
      </c>
      <c r="D555" s="157" t="str">
        <f>VLOOKUP(Ruimtestaat[[#This Row],[Code]],Locaties[[#All],[Code]:[Postcode]],5,FALSE)</f>
        <v>2274 KX</v>
      </c>
      <c r="E555" s="157" t="str">
        <f>VLOOKUP(Ruimtestaat[[#This Row],[Code]],Locaties[#All],6,FALSE)</f>
        <v>Voorburg</v>
      </c>
      <c r="F555" s="62"/>
      <c r="G555" s="21" t="s">
        <v>1632</v>
      </c>
      <c r="H555" s="21">
        <v>9</v>
      </c>
      <c r="I555" s="62" t="s">
        <v>2133</v>
      </c>
      <c r="J555" s="21">
        <v>12</v>
      </c>
      <c r="K555" s="62" t="str">
        <f>VLOOKUP(Ruimtestaat[[#This Row],[Ruimte code]],Ruimtegroepen[[#All],[Code]:[Ruimte omschrijving]],2,FALSE)</f>
        <v>Kantine</v>
      </c>
      <c r="L555" s="33" t="s">
        <v>101</v>
      </c>
      <c r="M555" s="367" t="s">
        <v>2495</v>
      </c>
      <c r="N555" s="140">
        <v>19</v>
      </c>
      <c r="O555" s="140"/>
      <c r="P555" s="125" t="str">
        <f>VLOOKUP(Ruimtestaat[[#This Row],[Ruimte code]],Ruimtegroepen[],4,FALSE)</f>
        <v>Ve</v>
      </c>
      <c r="R555" s="33">
        <v>40</v>
      </c>
      <c r="S555" s="33" t="s">
        <v>2</v>
      </c>
      <c r="T555" s="33">
        <f>IF(R555&gt;0,IF(RIGHT(Ruimtestaat[[#This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55" s="33">
        <f>IF(T555&gt;0,VLOOKUP($J555,Ruimtegroepen[],3,FALSE)*VLOOKUP($L555,Vloersoorten[],3,FALSE)*VLOOKUP($S555,Frequenties[],3,FALSE)*VLOOKUP($A555,Locaties[],3,FALSE),0)</f>
        <v>0</v>
      </c>
      <c r="V555" s="33">
        <f>Ruimtestaat[[#This Row],[Uitvoeringen werkdagen]]*Ruimtestaat[[#This Row],[Oppervlak (netto)]]</f>
        <v>3800</v>
      </c>
      <c r="W555" s="154">
        <f>IF(U555&gt;0,Ruimtestaat[[#This Row],[Prest. (m2 /jaar) werkdagen]]/Ruimtestaat[[#This Row],[Norm (m2/uur) werkdagen]],0)</f>
        <v>0</v>
      </c>
      <c r="X555" s="155">
        <f>Ruimtestaat[[#This Row],[uren / jaar werkdagen]]*Tariefsopbouw!$E$35</f>
        <v>0</v>
      </c>
      <c r="Y555" s="33"/>
      <c r="Z555" s="33">
        <f>IF(Ruimtestaat[[#This Row],[Frequentie weekend]]&gt;0,VALUE(LEFT(Y555,1))*R555,0)</f>
        <v>0</v>
      </c>
      <c r="AA555" s="97">
        <f>IF($Z555&gt;0,VLOOKUP($J555,Ruimtegroepen[],3,FALSE)*VLOOKUP($L555,Vloersoorten[],3,FALSE)*VLOOKUP($Y555,Frequenties[],3,FALSE)*VLOOKUP(Ruimtestaat[[#This Row],[Code]],Locaties[],3,FALSE),0)</f>
        <v>0</v>
      </c>
      <c r="AB555" s="97">
        <f>Ruimtestaat[[#This Row],[Uitvoeringen weekend]]*Ruimtestaat[[#This Row],[Oppervlak (netto)]]</f>
        <v>0</v>
      </c>
      <c r="AC555" s="97">
        <f>IF(AA555&gt;0,Ruimtestaat[[#This Row],[Prest. (m2 /jaar) weekend]]/Ruimtestaat[[#This Row],[Norm (m2/uur) weekend]],0)</f>
        <v>0</v>
      </c>
      <c r="AD555" s="155">
        <f>Ruimtestaat[[#This Row],[uren / jaar weekend]]*Tariefsopbouw!$D$40</f>
        <v>0</v>
      </c>
      <c r="AE555" s="154">
        <f>Ruimtestaat[[#This Row],[Prest. (m2 /jaar) weekend]]+Ruimtestaat[[#This Row],[Prest. (m2 /jaar) werkdagen]]</f>
        <v>3800</v>
      </c>
      <c r="AF555" s="154">
        <f>Ruimtestaat[[#This Row],[uren / jaar weekend]]+Ruimtestaat[[#This Row],[uren / jaar werkdagen]]</f>
        <v>0</v>
      </c>
      <c r="AG555" s="69">
        <f>Ruimtestaat[[#This Row],[kosten / jaar weekend]]+Ruimtestaat[[#This Row],[kosten / jaar werkdagen]]</f>
        <v>0</v>
      </c>
      <c r="AH555" s="69"/>
      <c r="AI555" s="256" t="str">
        <f>IF(Ruimtestaat[[#This Row],[Frequentie werkdagen]]="","",_xlfn.CONCAT(Ruimtestaat[[#This Row],[Ruimte code]],"-",Ruimtestaat[[#This Row],[Frequentie werkdagen]]," ",Ruimtestaat[[#This Row],[Vloer code]]))</f>
        <v>12-5w L</v>
      </c>
      <c r="AJ555" s="300" t="str">
        <f>_xlfn.IFNA(VLOOKUP($AI555,Programma!$F$3:$G$1107,2,0),"")</f>
        <v>_</v>
      </c>
      <c r="AK555" s="300" t="str">
        <f>_xlfn.IFNA(VLOOKUP($AI555,Programma!$F$3:$H$1107,3,0),"")</f>
        <v>_</v>
      </c>
      <c r="AL555" s="300" t="str">
        <f>_xlfn.IFNA(VLOOKUP($AI555,Programma!$F$3:$I$1107,4,0),"")</f>
        <v>_</v>
      </c>
      <c r="AM555" s="300" t="str">
        <f>_xlfn.IFNA(VLOOKUP($AI555,Programma!$F$3:$J$1107,5,0),"")</f>
        <v>5w</v>
      </c>
      <c r="AN555" s="300" t="str">
        <f>_xlfn.IFNA(VLOOKUP($AI555,Programma!$F$3:$K$1107,6,0),"")</f>
        <v>_</v>
      </c>
      <c r="AO555" s="300" t="str">
        <f>_xlfn.IFNA(VLOOKUP($AI555,Programma!$F$3:$L$1107,7,0),"")</f>
        <v>_</v>
      </c>
      <c r="AP555" s="300" t="str">
        <f>_xlfn.IFNA(VLOOKUP($AI555,Programma!$F$3:$M$1107,8,0),"")</f>
        <v>_</v>
      </c>
      <c r="AQ555" s="300" t="str">
        <f>_xlfn.IFNA(VLOOKUP($AI555,Programma!$F$3:$N$1107,9,0),"")</f>
        <v>_</v>
      </c>
      <c r="AR555" s="300" t="str">
        <f>_xlfn.IFNA(VLOOKUP($AI555,Programma!$F$3:$O$1107,10,0),"")</f>
        <v>5w</v>
      </c>
      <c r="AS555" s="300" t="str">
        <f>_xlfn.IFNA(VLOOKUP($AI555,Programma!$F$3:$P$1107,11,0),"")</f>
        <v>5w</v>
      </c>
      <c r="AT555" s="300" t="str">
        <f>_xlfn.IFNA(VLOOKUP($AI555,Programma!$F$3:$Q$1107,12,0),"")</f>
        <v>1w</v>
      </c>
      <c r="AU555" s="300" t="str">
        <f>_xlfn.IFNA(VLOOKUP($AI555,Programma!$F$3:$R$1107,13,0),"")</f>
        <v>1w</v>
      </c>
      <c r="AV555" s="300" t="str">
        <f>_xlfn.IFNA(VLOOKUP($AI555,Programma!$F$3:$S$1107,14,0),"")</f>
        <v>1m</v>
      </c>
      <c r="AW555" s="300" t="str">
        <f>_xlfn.IFNA(VLOOKUP($AI555,Programma!$F$3:$T$1107,15,0),"")</f>
        <v>2j</v>
      </c>
      <c r="AX555" s="300" t="str">
        <f>_xlfn.IFNA(VLOOKUP($AI555,Programma!$F$3:$U$1107,16,0),"")</f>
        <v>1j</v>
      </c>
      <c r="AY555" s="300" t="str">
        <f>_xlfn.IFNA(VLOOKUP($AI555,Programma!$F$3:$V$1107,17,0),"")</f>
        <v>_</v>
      </c>
      <c r="AZ555" s="300" t="str">
        <f>_xlfn.IFNA(VLOOKUP($AI555,Programma!$F$3:$W$1107,18,0),"")</f>
        <v>_</v>
      </c>
      <c r="BA555" s="300" t="str">
        <f>_xlfn.IFNA(VLOOKUP($AI555,Programma!$F$3:$X$1107,19,0),"")</f>
        <v>_</v>
      </c>
      <c r="BB555" s="300" t="str">
        <f>_xlfn.IFNA(VLOOKUP($AI555,Programma!$F$3:$Y$1107,20,0),"")</f>
        <v>_</v>
      </c>
      <c r="BC555" s="257"/>
      <c r="BD555" s="256" t="str">
        <f>IF(Ruimtestaat[[#This Row],[Frequentie weekend]]="","",_xlfn.CONCAT(Ruimtestaat[[#This Row],[Ruimte code]],"-",Ruimtestaat[[#This Row],[Frequentie weekend]]," ",Ruimtestaat[[#This Row],[Vloer code]]))</f>
        <v/>
      </c>
      <c r="BE555" s="300" t="str">
        <f>_xlfn.IFNA(VLOOKUP($BD555,Programma!$F$3:$G$1107,2,0),"")</f>
        <v/>
      </c>
      <c r="BF555" s="300" t="str">
        <f>_xlfn.IFNA(VLOOKUP($BD555,Programma!$F$3:$H$1107,3,0),"")</f>
        <v/>
      </c>
      <c r="BG555" s="300" t="str">
        <f>_xlfn.IFNA(VLOOKUP($BD555,Programma!$F$3:$I$1107,4,0),"")</f>
        <v/>
      </c>
      <c r="BH555" s="300" t="str">
        <f>_xlfn.IFNA(VLOOKUP($BD555,Programma!$F$3:$J$1107,5,0),"")</f>
        <v/>
      </c>
      <c r="BI555" s="300" t="str">
        <f>_xlfn.IFNA(VLOOKUP($BD555,Programma!$F$3:$K$1107,6,0),"")</f>
        <v/>
      </c>
      <c r="BJ555" s="300" t="str">
        <f>_xlfn.IFNA(VLOOKUP($BD555,Programma!$F$3:$L$1107,7,0),"")</f>
        <v/>
      </c>
      <c r="BK555" s="300" t="str">
        <f>_xlfn.IFNA(VLOOKUP($BD555,Programma!$F$3:$M$1107,8,0),"")</f>
        <v/>
      </c>
      <c r="BL555" s="300" t="str">
        <f>_xlfn.IFNA(VLOOKUP($BD555,Programma!$F$3:$N$1107,9,0),"")</f>
        <v/>
      </c>
      <c r="BM555" s="300" t="str">
        <f>_xlfn.IFNA(VLOOKUP($BD555,Programma!$F$3:$O$1107,10,0),"")</f>
        <v/>
      </c>
      <c r="BN555" s="300" t="str">
        <f>_xlfn.IFNA(VLOOKUP($BD555,Programma!$F$3:$P$1107,11,0),"")</f>
        <v/>
      </c>
      <c r="BO555" s="300" t="str">
        <f>_xlfn.IFNA(VLOOKUP($BD555,Programma!$F$3:$Q$1107,12,0),"")</f>
        <v/>
      </c>
      <c r="BP555" s="300" t="str">
        <f>_xlfn.IFNA(VLOOKUP($BD555,Programma!$F$3:$R$1107,13,0),"")</f>
        <v/>
      </c>
      <c r="BQ555" s="300" t="str">
        <f>_xlfn.IFNA(VLOOKUP($BD555,Programma!$F$3:$S$1107,14,0),"")</f>
        <v/>
      </c>
      <c r="BR555" s="300" t="str">
        <f>_xlfn.IFNA(VLOOKUP($BD555,Programma!$F$3:$T$1107,15,0),"")</f>
        <v/>
      </c>
      <c r="BS555" s="300" t="str">
        <f>_xlfn.IFNA(VLOOKUP($BD555,Programma!$F$3:$U$1107,16,0),"")</f>
        <v/>
      </c>
      <c r="BT555" s="300" t="str">
        <f>_xlfn.IFNA(VLOOKUP($BD555,Programma!$F$3:$V$1107,17,0),"")</f>
        <v/>
      </c>
      <c r="BU555" s="300" t="str">
        <f>_xlfn.IFNA(VLOOKUP($BD555,Programma!$F$3:$W$1107,18,0),"")</f>
        <v/>
      </c>
      <c r="BV555" s="300" t="str">
        <f>_xlfn.IFNA(VLOOKUP($BD555,Programma!$F$3:$X$1107,19,0),"")</f>
        <v/>
      </c>
      <c r="BW555" s="300" t="str">
        <f>_xlfn.IFNA(VLOOKUP($BD555,Programma!$F$3:$Y$1107,20,0),"")</f>
        <v/>
      </c>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c r="GK555" s="4"/>
      <c r="GL555" s="4"/>
      <c r="GM555" s="4"/>
      <c r="GN555" s="4"/>
      <c r="GO555" s="4"/>
      <c r="GP555" s="4"/>
      <c r="GQ555" s="4"/>
      <c r="GR555" s="4"/>
      <c r="GS555" s="4"/>
      <c r="GT555" s="4"/>
      <c r="GU555" s="4"/>
      <c r="GV555" s="4"/>
      <c r="GW555" s="4"/>
      <c r="GX555" s="4"/>
      <c r="GY555" s="4"/>
      <c r="GZ555" s="4"/>
      <c r="HA555" s="4"/>
      <c r="HB555" s="4"/>
      <c r="HC555" s="4"/>
      <c r="HD555" s="4"/>
      <c r="HE555" s="4"/>
      <c r="HF555" s="4"/>
      <c r="HG555" s="4"/>
      <c r="HH555" s="4"/>
      <c r="HI555" s="4"/>
      <c r="HJ555" s="4"/>
      <c r="HK555" s="4"/>
      <c r="HL555" s="4"/>
    </row>
    <row r="556" spans="1:220" ht="15" customHeight="1">
      <c r="A556" s="21">
        <v>7</v>
      </c>
      <c r="B556" s="157" t="str">
        <f>VLOOKUP(Ruimtestaat[[#This Row],[Code]],Locaties[[Code]:[Locatie]],2,FALSE)</f>
        <v>Gymnasium Novum</v>
      </c>
      <c r="C556" s="157" t="str">
        <f>VLOOKUP(Ruimtestaat[[#This Row],[Code]],Locaties[[#All],[Code]:[Adres]],4,FALSE)</f>
        <v>Aart v.d. Leeuwkade 1</v>
      </c>
      <c r="D556" s="157" t="str">
        <f>VLOOKUP(Ruimtestaat[[#This Row],[Code]],Locaties[[#All],[Code]:[Postcode]],5,FALSE)</f>
        <v>2274 KX</v>
      </c>
      <c r="E556" s="157" t="str">
        <f>VLOOKUP(Ruimtestaat[[#This Row],[Code]],Locaties[#All],6,FALSE)</f>
        <v>Voorburg</v>
      </c>
      <c r="F556" s="62"/>
      <c r="G556" s="21" t="s">
        <v>1632</v>
      </c>
      <c r="H556" s="21">
        <v>10</v>
      </c>
      <c r="I556" s="62" t="s">
        <v>2134</v>
      </c>
      <c r="J556" s="21">
        <v>1</v>
      </c>
      <c r="K556" s="62" t="str">
        <f>VLOOKUP(Ruimtestaat[[#This Row],[Ruimte code]],Ruimtegroepen[[#All],[Code]:[Ruimte omschrijving]],2,FALSE)</f>
        <v>Magazijnen/bergingen</v>
      </c>
      <c r="L556" s="33" t="s">
        <v>101</v>
      </c>
      <c r="M556" s="367" t="s">
        <v>2495</v>
      </c>
      <c r="N556" s="140">
        <v>19</v>
      </c>
      <c r="O556" s="140"/>
      <c r="P556" s="125" t="str">
        <f>VLOOKUP(Ruimtestaat[[#This Row],[Ruimte code]],Ruimtegroepen[],4,FALSE)</f>
        <v>Ve</v>
      </c>
      <c r="R556" s="33">
        <v>40</v>
      </c>
      <c r="S556" s="33" t="s">
        <v>16</v>
      </c>
      <c r="T556" s="33">
        <f>IF(R556&gt;0,IF(RIGHT(Ruimtestaat[[#This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556" s="33">
        <f>IF(T556&gt;0,VLOOKUP($J556,Ruimtegroepen[],3,FALSE)*VLOOKUP($L556,Vloersoorten[],3,FALSE)*VLOOKUP($S556,Frequenties[],3,FALSE)*VLOOKUP($A556,Locaties[],3,FALSE),0)</f>
        <v>0</v>
      </c>
      <c r="V556" s="33">
        <f>Ruimtestaat[[#This Row],[Uitvoeringen werkdagen]]*Ruimtestaat[[#This Row],[Oppervlak (netto)]]</f>
        <v>228</v>
      </c>
      <c r="W556" s="154">
        <f>IF(U556&gt;0,Ruimtestaat[[#This Row],[Prest. (m2 /jaar) werkdagen]]/Ruimtestaat[[#This Row],[Norm (m2/uur) werkdagen]],0)</f>
        <v>0</v>
      </c>
      <c r="X556" s="155">
        <f>Ruimtestaat[[#This Row],[uren / jaar werkdagen]]*Tariefsopbouw!$E$35</f>
        <v>0</v>
      </c>
      <c r="Y556" s="33"/>
      <c r="Z556" s="33">
        <f>IF(Ruimtestaat[[#This Row],[Frequentie weekend]]&gt;0,VALUE(LEFT(Y556,1))*R556,0)</f>
        <v>0</v>
      </c>
      <c r="AA556" s="97">
        <f>IF($Z556&gt;0,VLOOKUP($J556,Ruimtegroepen[],3,FALSE)*VLOOKUP($L556,Vloersoorten[],3,FALSE)*VLOOKUP($Y556,Frequenties[],3,FALSE)*VLOOKUP(Ruimtestaat[[#This Row],[Code]],Locaties[],3,FALSE),0)</f>
        <v>0</v>
      </c>
      <c r="AB556" s="97">
        <f>Ruimtestaat[[#This Row],[Uitvoeringen weekend]]*Ruimtestaat[[#This Row],[Oppervlak (netto)]]</f>
        <v>0</v>
      </c>
      <c r="AC556" s="97">
        <f>IF(AA556&gt;0,Ruimtestaat[[#This Row],[Prest. (m2 /jaar) weekend]]/Ruimtestaat[[#This Row],[Norm (m2/uur) weekend]],0)</f>
        <v>0</v>
      </c>
      <c r="AD556" s="155">
        <f>Ruimtestaat[[#This Row],[uren / jaar weekend]]*Tariefsopbouw!$D$40</f>
        <v>0</v>
      </c>
      <c r="AE556" s="154">
        <f>Ruimtestaat[[#This Row],[Prest. (m2 /jaar) weekend]]+Ruimtestaat[[#This Row],[Prest. (m2 /jaar) werkdagen]]</f>
        <v>228</v>
      </c>
      <c r="AF556" s="154">
        <f>Ruimtestaat[[#This Row],[uren / jaar weekend]]+Ruimtestaat[[#This Row],[uren / jaar werkdagen]]</f>
        <v>0</v>
      </c>
      <c r="AG556" s="69">
        <f>Ruimtestaat[[#This Row],[kosten / jaar weekend]]+Ruimtestaat[[#This Row],[kosten / jaar werkdagen]]</f>
        <v>0</v>
      </c>
      <c r="AH556" s="69"/>
      <c r="AI556" s="256" t="str">
        <f>IF(Ruimtestaat[[#This Row],[Frequentie werkdagen]]="","",_xlfn.CONCAT(Ruimtestaat[[#This Row],[Ruimte code]],"-",Ruimtestaat[[#This Row],[Frequentie werkdagen]]," ",Ruimtestaat[[#This Row],[Vloer code]]))</f>
        <v>1-1m L</v>
      </c>
      <c r="AJ556" s="300" t="str">
        <f>_xlfn.IFNA(VLOOKUP($AI556,Programma!$F$3:$G$1107,2,0),"")</f>
        <v>_</v>
      </c>
      <c r="AK556" s="300" t="str">
        <f>_xlfn.IFNA(VLOOKUP($AI556,Programma!$F$3:$H$1107,3,0),"")</f>
        <v>_</v>
      </c>
      <c r="AL556" s="300" t="str">
        <f>_xlfn.IFNA(VLOOKUP($AI556,Programma!$F$3:$I$1107,4,0),"")</f>
        <v>1m</v>
      </c>
      <c r="AM556" s="300" t="str">
        <f>_xlfn.IFNA(VLOOKUP($AI556,Programma!$F$3:$J$1107,5,0),"")</f>
        <v>1m</v>
      </c>
      <c r="AN556" s="300" t="str">
        <f>_xlfn.IFNA(VLOOKUP($AI556,Programma!$F$3:$K$1107,6,0),"")</f>
        <v>_</v>
      </c>
      <c r="AO556" s="300" t="str">
        <f>_xlfn.IFNA(VLOOKUP($AI556,Programma!$F$3:$L$1107,7,0),"")</f>
        <v>_</v>
      </c>
      <c r="AP556" s="300" t="str">
        <f>_xlfn.IFNA(VLOOKUP($AI556,Programma!$F$3:$M$1107,8,0),"")</f>
        <v>_</v>
      </c>
      <c r="AQ556" s="300" t="str">
        <f>_xlfn.IFNA(VLOOKUP($AI556,Programma!$F$3:$N$1107,9,0),"")</f>
        <v>_</v>
      </c>
      <c r="AR556" s="300" t="str">
        <f>_xlfn.IFNA(VLOOKUP($AI556,Programma!$F$3:$O$1107,10,0),"")</f>
        <v>_</v>
      </c>
      <c r="AS556" s="300" t="str">
        <f>_xlfn.IFNA(VLOOKUP($AI556,Programma!$F$3:$P$1107,11,0),"")</f>
        <v>_</v>
      </c>
      <c r="AT556" s="300" t="str">
        <f>_xlfn.IFNA(VLOOKUP($AI556,Programma!$F$3:$Q$1107,12,0),"")</f>
        <v>_</v>
      </c>
      <c r="AU556" s="300" t="str">
        <f>_xlfn.IFNA(VLOOKUP($AI556,Programma!$F$3:$R$1107,13,0),"")</f>
        <v>_</v>
      </c>
      <c r="AV556" s="300" t="str">
        <f>_xlfn.IFNA(VLOOKUP($AI556,Programma!$F$3:$S$1107,14,0),"")</f>
        <v>1m</v>
      </c>
      <c r="AW556" s="300" t="str">
        <f>_xlfn.IFNA(VLOOKUP($AI556,Programma!$F$3:$T$1107,15,0),"")</f>
        <v>4j</v>
      </c>
      <c r="AX556" s="300" t="str">
        <f>_xlfn.IFNA(VLOOKUP($AI556,Programma!$F$3:$U$1107,16,0),"")</f>
        <v>4j</v>
      </c>
      <c r="AY556" s="300" t="str">
        <f>_xlfn.IFNA(VLOOKUP($AI556,Programma!$F$3:$V$1107,17,0),"")</f>
        <v>_</v>
      </c>
      <c r="AZ556" s="300" t="str">
        <f>_xlfn.IFNA(VLOOKUP($AI556,Programma!$F$3:$W$1107,18,0),"")</f>
        <v>_</v>
      </c>
      <c r="BA556" s="300" t="str">
        <f>_xlfn.IFNA(VLOOKUP($AI556,Programma!$F$3:$X$1107,19,0),"")</f>
        <v>_</v>
      </c>
      <c r="BB556" s="300" t="str">
        <f>_xlfn.IFNA(VLOOKUP($AI556,Programma!$F$3:$Y$1107,20,0),"")</f>
        <v>_</v>
      </c>
      <c r="BC556" s="257"/>
      <c r="BD556" s="256" t="str">
        <f>IF(Ruimtestaat[[#This Row],[Frequentie weekend]]="","",_xlfn.CONCAT(Ruimtestaat[[#This Row],[Ruimte code]],"-",Ruimtestaat[[#This Row],[Frequentie weekend]]," ",Ruimtestaat[[#This Row],[Vloer code]]))</f>
        <v/>
      </c>
      <c r="BE556" s="300" t="str">
        <f>_xlfn.IFNA(VLOOKUP($BD556,Programma!$F$3:$G$1107,2,0),"")</f>
        <v/>
      </c>
      <c r="BF556" s="300" t="str">
        <f>_xlfn.IFNA(VLOOKUP($BD556,Programma!$F$3:$H$1107,3,0),"")</f>
        <v/>
      </c>
      <c r="BG556" s="300" t="str">
        <f>_xlfn.IFNA(VLOOKUP($BD556,Programma!$F$3:$I$1107,4,0),"")</f>
        <v/>
      </c>
      <c r="BH556" s="300" t="str">
        <f>_xlfn.IFNA(VLOOKUP($BD556,Programma!$F$3:$J$1107,5,0),"")</f>
        <v/>
      </c>
      <c r="BI556" s="300" t="str">
        <f>_xlfn.IFNA(VLOOKUP($BD556,Programma!$F$3:$K$1107,6,0),"")</f>
        <v/>
      </c>
      <c r="BJ556" s="300" t="str">
        <f>_xlfn.IFNA(VLOOKUP($BD556,Programma!$F$3:$L$1107,7,0),"")</f>
        <v/>
      </c>
      <c r="BK556" s="300" t="str">
        <f>_xlfn.IFNA(VLOOKUP($BD556,Programma!$F$3:$M$1107,8,0),"")</f>
        <v/>
      </c>
      <c r="BL556" s="300" t="str">
        <f>_xlfn.IFNA(VLOOKUP($BD556,Programma!$F$3:$N$1107,9,0),"")</f>
        <v/>
      </c>
      <c r="BM556" s="300" t="str">
        <f>_xlfn.IFNA(VLOOKUP($BD556,Programma!$F$3:$O$1107,10,0),"")</f>
        <v/>
      </c>
      <c r="BN556" s="300" t="str">
        <f>_xlfn.IFNA(VLOOKUP($BD556,Programma!$F$3:$P$1107,11,0),"")</f>
        <v/>
      </c>
      <c r="BO556" s="300" t="str">
        <f>_xlfn.IFNA(VLOOKUP($BD556,Programma!$F$3:$Q$1107,12,0),"")</f>
        <v/>
      </c>
      <c r="BP556" s="300" t="str">
        <f>_xlfn.IFNA(VLOOKUP($BD556,Programma!$F$3:$R$1107,13,0),"")</f>
        <v/>
      </c>
      <c r="BQ556" s="300" t="str">
        <f>_xlfn.IFNA(VLOOKUP($BD556,Programma!$F$3:$S$1107,14,0),"")</f>
        <v/>
      </c>
      <c r="BR556" s="300" t="str">
        <f>_xlfn.IFNA(VLOOKUP($BD556,Programma!$F$3:$T$1107,15,0),"")</f>
        <v/>
      </c>
      <c r="BS556" s="300" t="str">
        <f>_xlfn.IFNA(VLOOKUP($BD556,Programma!$F$3:$U$1107,16,0),"")</f>
        <v/>
      </c>
      <c r="BT556" s="300" t="str">
        <f>_xlfn.IFNA(VLOOKUP($BD556,Programma!$F$3:$V$1107,17,0),"")</f>
        <v/>
      </c>
      <c r="BU556" s="300" t="str">
        <f>_xlfn.IFNA(VLOOKUP($BD556,Programma!$F$3:$W$1107,18,0),"")</f>
        <v/>
      </c>
      <c r="BV556" s="300" t="str">
        <f>_xlfn.IFNA(VLOOKUP($BD556,Programma!$F$3:$X$1107,19,0),"")</f>
        <v/>
      </c>
      <c r="BW556" s="300" t="str">
        <f>_xlfn.IFNA(VLOOKUP($BD556,Programma!$F$3:$Y$1107,20,0),"")</f>
        <v/>
      </c>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c r="GK556" s="4"/>
      <c r="GL556" s="4"/>
      <c r="GM556" s="4"/>
      <c r="GN556" s="4"/>
      <c r="GO556" s="4"/>
      <c r="GP556" s="4"/>
      <c r="GQ556" s="4"/>
      <c r="GR556" s="4"/>
      <c r="GS556" s="4"/>
      <c r="GT556" s="4"/>
      <c r="GU556" s="4"/>
      <c r="GV556" s="4"/>
      <c r="GW556" s="4"/>
      <c r="GX556" s="4"/>
      <c r="GY556" s="4"/>
      <c r="GZ556" s="4"/>
      <c r="HA556" s="4"/>
      <c r="HB556" s="4"/>
      <c r="HC556" s="4"/>
      <c r="HD556" s="4"/>
      <c r="HE556" s="4"/>
      <c r="HF556" s="4"/>
      <c r="HG556" s="4"/>
      <c r="HH556" s="4"/>
      <c r="HI556" s="4"/>
      <c r="HJ556" s="4"/>
      <c r="HK556" s="4"/>
      <c r="HL556" s="4"/>
    </row>
    <row r="557" spans="1:220" ht="15" customHeight="1">
      <c r="A557" s="21">
        <v>7</v>
      </c>
      <c r="B557" s="157" t="str">
        <f>VLOOKUP(Ruimtestaat[[#This Row],[Code]],Locaties[[Code]:[Locatie]],2,FALSE)</f>
        <v>Gymnasium Novum</v>
      </c>
      <c r="C557" s="157" t="str">
        <f>VLOOKUP(Ruimtestaat[[#This Row],[Code]],Locaties[[#All],[Code]:[Adres]],4,FALSE)</f>
        <v>Aart v.d. Leeuwkade 1</v>
      </c>
      <c r="D557" s="157" t="str">
        <f>VLOOKUP(Ruimtestaat[[#This Row],[Code]],Locaties[[#All],[Code]:[Postcode]],5,FALSE)</f>
        <v>2274 KX</v>
      </c>
      <c r="E557" s="157" t="str">
        <f>VLOOKUP(Ruimtestaat[[#This Row],[Code]],Locaties[#All],6,FALSE)</f>
        <v>Voorburg</v>
      </c>
      <c r="F557" s="62"/>
      <c r="G557" s="21" t="s">
        <v>1632</v>
      </c>
      <c r="H557" s="21">
        <v>11</v>
      </c>
      <c r="I557" s="62" t="s">
        <v>1892</v>
      </c>
      <c r="J557" s="21">
        <v>4</v>
      </c>
      <c r="K557" s="62" t="str">
        <f>VLOOKUP(Ruimtestaat[[#This Row],[Ruimte code]],Ruimtegroepen[[#All],[Code]:[Ruimte omschrijving]],2,FALSE)</f>
        <v>Vergader/spreekkamers</v>
      </c>
      <c r="L557" s="33" t="s">
        <v>101</v>
      </c>
      <c r="M557" s="367" t="s">
        <v>2495</v>
      </c>
      <c r="N557" s="140">
        <v>18</v>
      </c>
      <c r="O557" s="140"/>
      <c r="P557" s="125" t="str">
        <f>VLOOKUP(Ruimtestaat[[#This Row],[Ruimte code]],Ruimtegroepen[],4,FALSE)</f>
        <v>Bu</v>
      </c>
      <c r="R557" s="33">
        <v>40</v>
      </c>
      <c r="S557" s="33" t="s">
        <v>18</v>
      </c>
      <c r="T557" s="33">
        <f>IF(R557&gt;0,IF(RIGHT(Ruimtestaat[[#This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557" s="33">
        <f>IF(T557&gt;0,VLOOKUP($J557,Ruimtegroepen[],3,FALSE)*VLOOKUP($L557,Vloersoorten[],3,FALSE)*VLOOKUP($S557,Frequenties[],3,FALSE)*VLOOKUP($A557,Locaties[],3,FALSE),0)</f>
        <v>0</v>
      </c>
      <c r="V557" s="33">
        <f>Ruimtestaat[[#This Row],[Uitvoeringen werkdagen]]*Ruimtestaat[[#This Row],[Oppervlak (netto)]]</f>
        <v>2160</v>
      </c>
      <c r="W557" s="154">
        <f>IF(U557&gt;0,Ruimtestaat[[#This Row],[Prest. (m2 /jaar) werkdagen]]/Ruimtestaat[[#This Row],[Norm (m2/uur) werkdagen]],0)</f>
        <v>0</v>
      </c>
      <c r="X557" s="155">
        <f>Ruimtestaat[[#This Row],[uren / jaar werkdagen]]*Tariefsopbouw!$E$35</f>
        <v>0</v>
      </c>
      <c r="Y557" s="33"/>
      <c r="Z557" s="33">
        <f>IF(Ruimtestaat[[#This Row],[Frequentie weekend]]&gt;0,VALUE(LEFT(Y557,1))*R557,0)</f>
        <v>0</v>
      </c>
      <c r="AA557" s="97">
        <f>IF($Z557&gt;0,VLOOKUP($J557,Ruimtegroepen[],3,FALSE)*VLOOKUP($L557,Vloersoorten[],3,FALSE)*VLOOKUP($Y557,Frequenties[],3,FALSE)*VLOOKUP(Ruimtestaat[[#This Row],[Code]],Locaties[],3,FALSE),0)</f>
        <v>0</v>
      </c>
      <c r="AB557" s="97">
        <f>Ruimtestaat[[#This Row],[Uitvoeringen weekend]]*Ruimtestaat[[#This Row],[Oppervlak (netto)]]</f>
        <v>0</v>
      </c>
      <c r="AC557" s="97">
        <f>IF(AA557&gt;0,Ruimtestaat[[#This Row],[Prest. (m2 /jaar) weekend]]/Ruimtestaat[[#This Row],[Norm (m2/uur) weekend]],0)</f>
        <v>0</v>
      </c>
      <c r="AD557" s="155">
        <f>Ruimtestaat[[#This Row],[uren / jaar weekend]]*Tariefsopbouw!$D$40</f>
        <v>0</v>
      </c>
      <c r="AE557" s="154">
        <f>Ruimtestaat[[#This Row],[Prest. (m2 /jaar) weekend]]+Ruimtestaat[[#This Row],[Prest. (m2 /jaar) werkdagen]]</f>
        <v>2160</v>
      </c>
      <c r="AF557" s="154">
        <f>Ruimtestaat[[#This Row],[uren / jaar weekend]]+Ruimtestaat[[#This Row],[uren / jaar werkdagen]]</f>
        <v>0</v>
      </c>
      <c r="AG557" s="69">
        <f>Ruimtestaat[[#This Row],[kosten / jaar weekend]]+Ruimtestaat[[#This Row],[kosten / jaar werkdagen]]</f>
        <v>0</v>
      </c>
      <c r="AH557" s="69"/>
      <c r="AI557" s="256" t="str">
        <f>IF(Ruimtestaat[[#This Row],[Frequentie werkdagen]]="","",_xlfn.CONCAT(Ruimtestaat[[#This Row],[Ruimte code]],"-",Ruimtestaat[[#This Row],[Frequentie werkdagen]]," ",Ruimtestaat[[#This Row],[Vloer code]]))</f>
        <v>4-3w L</v>
      </c>
      <c r="AJ557" s="300" t="str">
        <f>_xlfn.IFNA(VLOOKUP($AI557,Programma!$F$3:$G$1107,2,0),"")</f>
        <v>_</v>
      </c>
      <c r="AK557" s="300" t="str">
        <f>_xlfn.IFNA(VLOOKUP($AI557,Programma!$F$3:$H$1107,3,0),"")</f>
        <v>_</v>
      </c>
      <c r="AL557" s="300" t="str">
        <f>_xlfn.IFNA(VLOOKUP($AI557,Programma!$F$3:$I$1107,4,0),"")</f>
        <v>2w</v>
      </c>
      <c r="AM557" s="300" t="str">
        <f>_xlfn.IFNA(VLOOKUP($AI557,Programma!$F$3:$J$1107,5,0),"")</f>
        <v>1w</v>
      </c>
      <c r="AN557" s="300" t="str">
        <f>_xlfn.IFNA(VLOOKUP($AI557,Programma!$F$3:$K$1107,6,0),"")</f>
        <v>_</v>
      </c>
      <c r="AO557" s="300" t="str">
        <f>_xlfn.IFNA(VLOOKUP($AI557,Programma!$F$3:$L$1107,7,0),"")</f>
        <v>_</v>
      </c>
      <c r="AP557" s="300" t="str">
        <f>_xlfn.IFNA(VLOOKUP($AI557,Programma!$F$3:$M$1107,8,0),"")</f>
        <v>_</v>
      </c>
      <c r="AQ557" s="300" t="str">
        <f>_xlfn.IFNA(VLOOKUP($AI557,Programma!$F$3:$N$1107,9,0),"")</f>
        <v>_</v>
      </c>
      <c r="AR557" s="300" t="str">
        <f>_xlfn.IFNA(VLOOKUP($AI557,Programma!$F$3:$O$1107,10,0),"")</f>
        <v>3w</v>
      </c>
      <c r="AS557" s="300" t="str">
        <f>_xlfn.IFNA(VLOOKUP($AI557,Programma!$F$3:$P$1107,11,0),"")</f>
        <v>3w</v>
      </c>
      <c r="AT557" s="300" t="str">
        <f>_xlfn.IFNA(VLOOKUP($AI557,Programma!$F$3:$Q$1107,12,0),"")</f>
        <v>1w</v>
      </c>
      <c r="AU557" s="300" t="str">
        <f>_xlfn.IFNA(VLOOKUP($AI557,Programma!$F$3:$R$1107,13,0),"")</f>
        <v>1w</v>
      </c>
      <c r="AV557" s="300" t="str">
        <f>_xlfn.IFNA(VLOOKUP($AI557,Programma!$F$3:$S$1107,14,0),"")</f>
        <v>1m</v>
      </c>
      <c r="AW557" s="300" t="str">
        <f>_xlfn.IFNA(VLOOKUP($AI557,Programma!$F$3:$T$1107,15,0),"")</f>
        <v>2j</v>
      </c>
      <c r="AX557" s="300" t="str">
        <f>_xlfn.IFNA(VLOOKUP($AI557,Programma!$F$3:$U$1107,16,0),"")</f>
        <v>1j</v>
      </c>
      <c r="AY557" s="300" t="str">
        <f>_xlfn.IFNA(VLOOKUP($AI557,Programma!$F$3:$V$1107,17,0),"")</f>
        <v>_</v>
      </c>
      <c r="AZ557" s="300" t="str">
        <f>_xlfn.IFNA(VLOOKUP($AI557,Programma!$F$3:$W$1107,18,0),"")</f>
        <v>_</v>
      </c>
      <c r="BA557" s="300" t="str">
        <f>_xlfn.IFNA(VLOOKUP($AI557,Programma!$F$3:$X$1107,19,0),"")</f>
        <v>_</v>
      </c>
      <c r="BB557" s="300" t="str">
        <f>_xlfn.IFNA(VLOOKUP($AI557,Programma!$F$3:$Y$1107,20,0),"")</f>
        <v>_</v>
      </c>
      <c r="BC557" s="257"/>
      <c r="BD557" s="256" t="str">
        <f>IF(Ruimtestaat[[#This Row],[Frequentie weekend]]="","",_xlfn.CONCAT(Ruimtestaat[[#This Row],[Ruimte code]],"-",Ruimtestaat[[#This Row],[Frequentie weekend]]," ",Ruimtestaat[[#This Row],[Vloer code]]))</f>
        <v/>
      </c>
      <c r="BE557" s="300" t="str">
        <f>_xlfn.IFNA(VLOOKUP($BD557,Programma!$F$3:$G$1107,2,0),"")</f>
        <v/>
      </c>
      <c r="BF557" s="300" t="str">
        <f>_xlfn.IFNA(VLOOKUP($BD557,Programma!$F$3:$H$1107,3,0),"")</f>
        <v/>
      </c>
      <c r="BG557" s="300" t="str">
        <f>_xlfn.IFNA(VLOOKUP($BD557,Programma!$F$3:$I$1107,4,0),"")</f>
        <v/>
      </c>
      <c r="BH557" s="300" t="str">
        <f>_xlfn.IFNA(VLOOKUP($BD557,Programma!$F$3:$J$1107,5,0),"")</f>
        <v/>
      </c>
      <c r="BI557" s="300" t="str">
        <f>_xlfn.IFNA(VLOOKUP($BD557,Programma!$F$3:$K$1107,6,0),"")</f>
        <v/>
      </c>
      <c r="BJ557" s="300" t="str">
        <f>_xlfn.IFNA(VLOOKUP($BD557,Programma!$F$3:$L$1107,7,0),"")</f>
        <v/>
      </c>
      <c r="BK557" s="300" t="str">
        <f>_xlfn.IFNA(VLOOKUP($BD557,Programma!$F$3:$M$1107,8,0),"")</f>
        <v/>
      </c>
      <c r="BL557" s="300" t="str">
        <f>_xlfn.IFNA(VLOOKUP($BD557,Programma!$F$3:$N$1107,9,0),"")</f>
        <v/>
      </c>
      <c r="BM557" s="300" t="str">
        <f>_xlfn.IFNA(VLOOKUP($BD557,Programma!$F$3:$O$1107,10,0),"")</f>
        <v/>
      </c>
      <c r="BN557" s="300" t="str">
        <f>_xlfn.IFNA(VLOOKUP($BD557,Programma!$F$3:$P$1107,11,0),"")</f>
        <v/>
      </c>
      <c r="BO557" s="300" t="str">
        <f>_xlfn.IFNA(VLOOKUP($BD557,Programma!$F$3:$Q$1107,12,0),"")</f>
        <v/>
      </c>
      <c r="BP557" s="300" t="str">
        <f>_xlfn.IFNA(VLOOKUP($BD557,Programma!$F$3:$R$1107,13,0),"")</f>
        <v/>
      </c>
      <c r="BQ557" s="300" t="str">
        <f>_xlfn.IFNA(VLOOKUP($BD557,Programma!$F$3:$S$1107,14,0),"")</f>
        <v/>
      </c>
      <c r="BR557" s="300" t="str">
        <f>_xlfn.IFNA(VLOOKUP($BD557,Programma!$F$3:$T$1107,15,0),"")</f>
        <v/>
      </c>
      <c r="BS557" s="300" t="str">
        <f>_xlfn.IFNA(VLOOKUP($BD557,Programma!$F$3:$U$1107,16,0),"")</f>
        <v/>
      </c>
      <c r="BT557" s="300" t="str">
        <f>_xlfn.IFNA(VLOOKUP($BD557,Programma!$F$3:$V$1107,17,0),"")</f>
        <v/>
      </c>
      <c r="BU557" s="300" t="str">
        <f>_xlfn.IFNA(VLOOKUP($BD557,Programma!$F$3:$W$1107,18,0),"")</f>
        <v/>
      </c>
      <c r="BV557" s="300" t="str">
        <f>_xlfn.IFNA(VLOOKUP($BD557,Programma!$F$3:$X$1107,19,0),"")</f>
        <v/>
      </c>
      <c r="BW557" s="300" t="str">
        <f>_xlfn.IFNA(VLOOKUP($BD557,Programma!$F$3:$Y$1107,20,0),"")</f>
        <v/>
      </c>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c r="GK557" s="4"/>
      <c r="GL557" s="4"/>
      <c r="GM557" s="4"/>
      <c r="GN557" s="4"/>
      <c r="GO557" s="4"/>
      <c r="GP557" s="4"/>
      <c r="GQ557" s="4"/>
      <c r="GR557" s="4"/>
      <c r="GS557" s="4"/>
      <c r="GT557" s="4"/>
      <c r="GU557" s="4"/>
      <c r="GV557" s="4"/>
      <c r="GW557" s="4"/>
      <c r="GX557" s="4"/>
      <c r="GY557" s="4"/>
      <c r="GZ557" s="4"/>
      <c r="HA557" s="4"/>
      <c r="HB557" s="4"/>
      <c r="HC557" s="4"/>
      <c r="HD557" s="4"/>
      <c r="HE557" s="4"/>
      <c r="HF557" s="4"/>
      <c r="HG557" s="4"/>
      <c r="HH557" s="4"/>
      <c r="HI557" s="4"/>
      <c r="HJ557" s="4"/>
      <c r="HK557" s="4"/>
      <c r="HL557" s="4"/>
    </row>
    <row r="558" spans="1:220" ht="15" customHeight="1">
      <c r="A558" s="21">
        <v>7</v>
      </c>
      <c r="B558" s="157" t="str">
        <f>VLOOKUP(Ruimtestaat[[#This Row],[Code]],Locaties[[Code]:[Locatie]],2,FALSE)</f>
        <v>Gymnasium Novum</v>
      </c>
      <c r="C558" s="157" t="str">
        <f>VLOOKUP(Ruimtestaat[[#This Row],[Code]],Locaties[[#All],[Code]:[Adres]],4,FALSE)</f>
        <v>Aart v.d. Leeuwkade 1</v>
      </c>
      <c r="D558" s="157" t="str">
        <f>VLOOKUP(Ruimtestaat[[#This Row],[Code]],Locaties[[#All],[Code]:[Postcode]],5,FALSE)</f>
        <v>2274 KX</v>
      </c>
      <c r="E558" s="157" t="str">
        <f>VLOOKUP(Ruimtestaat[[#This Row],[Code]],Locaties[#All],6,FALSE)</f>
        <v>Voorburg</v>
      </c>
      <c r="F558" s="62"/>
      <c r="G558" s="21" t="s">
        <v>1632</v>
      </c>
      <c r="H558" s="21">
        <v>12</v>
      </c>
      <c r="I558" s="62" t="s">
        <v>1653</v>
      </c>
      <c r="J558" s="21">
        <v>2</v>
      </c>
      <c r="K558" s="62" t="str">
        <f>VLOOKUP(Ruimtestaat[[#This Row],[Ruimte code]],Ruimtegroepen[[#All],[Code]:[Ruimte omschrijving]],2,FALSE)</f>
        <v>Kantoren</v>
      </c>
      <c r="L558" s="33" t="s">
        <v>101</v>
      </c>
      <c r="M558" s="367" t="s">
        <v>2495</v>
      </c>
      <c r="N558" s="140">
        <v>6</v>
      </c>
      <c r="O558" s="140"/>
      <c r="P558" s="125" t="str">
        <f>VLOOKUP(Ruimtestaat[[#This Row],[Ruimte code]],Ruimtegroepen[],4,FALSE)</f>
        <v>Bu</v>
      </c>
      <c r="R558" s="33">
        <v>42</v>
      </c>
      <c r="S558" s="33" t="s">
        <v>18</v>
      </c>
      <c r="T558" s="33">
        <f>IF(R558&gt;0,IF(RIGHT(Ruimtestaat[[#This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58" s="33">
        <f>IF(T558&gt;0,VLOOKUP($J558,Ruimtegroepen[],3,FALSE)*VLOOKUP($L558,Vloersoorten[],3,FALSE)*VLOOKUP($S558,Frequenties[],3,FALSE)*VLOOKUP($A558,Locaties[],3,FALSE),0)</f>
        <v>0</v>
      </c>
      <c r="V558" s="33">
        <f>Ruimtestaat[[#This Row],[Uitvoeringen werkdagen]]*Ruimtestaat[[#This Row],[Oppervlak (netto)]]</f>
        <v>756</v>
      </c>
      <c r="W558" s="154">
        <f>IF(U558&gt;0,Ruimtestaat[[#This Row],[Prest. (m2 /jaar) werkdagen]]/Ruimtestaat[[#This Row],[Norm (m2/uur) werkdagen]],0)</f>
        <v>0</v>
      </c>
      <c r="X558" s="155">
        <f>Ruimtestaat[[#This Row],[uren / jaar werkdagen]]*Tariefsopbouw!$E$35</f>
        <v>0</v>
      </c>
      <c r="Y558" s="33"/>
      <c r="Z558" s="33">
        <f>IF(Ruimtestaat[[#This Row],[Frequentie weekend]]&gt;0,VALUE(LEFT(Y558,1))*R558,0)</f>
        <v>0</v>
      </c>
      <c r="AA558" s="97">
        <f>IF($Z558&gt;0,VLOOKUP($J558,Ruimtegroepen[],3,FALSE)*VLOOKUP($L558,Vloersoorten[],3,FALSE)*VLOOKUP($Y558,Frequenties[],3,FALSE)*VLOOKUP(Ruimtestaat[[#This Row],[Code]],Locaties[],3,FALSE),0)</f>
        <v>0</v>
      </c>
      <c r="AB558" s="97">
        <f>Ruimtestaat[[#This Row],[Uitvoeringen weekend]]*Ruimtestaat[[#This Row],[Oppervlak (netto)]]</f>
        <v>0</v>
      </c>
      <c r="AC558" s="97">
        <f>IF(AA558&gt;0,Ruimtestaat[[#This Row],[Prest. (m2 /jaar) weekend]]/Ruimtestaat[[#This Row],[Norm (m2/uur) weekend]],0)</f>
        <v>0</v>
      </c>
      <c r="AD558" s="155">
        <f>Ruimtestaat[[#This Row],[uren / jaar weekend]]*Tariefsopbouw!$D$40</f>
        <v>0</v>
      </c>
      <c r="AE558" s="154">
        <f>Ruimtestaat[[#This Row],[Prest. (m2 /jaar) weekend]]+Ruimtestaat[[#This Row],[Prest. (m2 /jaar) werkdagen]]</f>
        <v>756</v>
      </c>
      <c r="AF558" s="154">
        <f>Ruimtestaat[[#This Row],[uren / jaar weekend]]+Ruimtestaat[[#This Row],[uren / jaar werkdagen]]</f>
        <v>0</v>
      </c>
      <c r="AG558" s="69">
        <f>Ruimtestaat[[#This Row],[kosten / jaar weekend]]+Ruimtestaat[[#This Row],[kosten / jaar werkdagen]]</f>
        <v>0</v>
      </c>
      <c r="AH558" s="69"/>
      <c r="AI558" s="256" t="str">
        <f>IF(Ruimtestaat[[#This Row],[Frequentie werkdagen]]="","",_xlfn.CONCAT(Ruimtestaat[[#This Row],[Ruimte code]],"-",Ruimtestaat[[#This Row],[Frequentie werkdagen]]," ",Ruimtestaat[[#This Row],[Vloer code]]))</f>
        <v>2-3w L</v>
      </c>
      <c r="AJ558" s="300" t="str">
        <f>_xlfn.IFNA(VLOOKUP($AI558,Programma!$F$3:$G$1107,2,0),"")</f>
        <v>_</v>
      </c>
      <c r="AK558" s="300" t="str">
        <f>_xlfn.IFNA(VLOOKUP($AI558,Programma!$F$3:$H$1107,3,0),"")</f>
        <v>_</v>
      </c>
      <c r="AL558" s="300" t="str">
        <f>_xlfn.IFNA(VLOOKUP($AI558,Programma!$F$3:$I$1107,4,0),"")</f>
        <v>2w</v>
      </c>
      <c r="AM558" s="300" t="str">
        <f>_xlfn.IFNA(VLOOKUP($AI558,Programma!$F$3:$J$1107,5,0),"")</f>
        <v>1w</v>
      </c>
      <c r="AN558" s="300" t="str">
        <f>_xlfn.IFNA(VLOOKUP($AI558,Programma!$F$3:$K$1107,6,0),"")</f>
        <v>_</v>
      </c>
      <c r="AO558" s="300" t="str">
        <f>_xlfn.IFNA(VLOOKUP($AI558,Programma!$F$3:$L$1107,7,0),"")</f>
        <v>_</v>
      </c>
      <c r="AP558" s="300" t="str">
        <f>_xlfn.IFNA(VLOOKUP($AI558,Programma!$F$3:$M$1107,8,0),"")</f>
        <v>_</v>
      </c>
      <c r="AQ558" s="300" t="str">
        <f>_xlfn.IFNA(VLOOKUP($AI558,Programma!$F$3:$N$1107,9,0),"")</f>
        <v>_</v>
      </c>
      <c r="AR558" s="300" t="str">
        <f>_xlfn.IFNA(VLOOKUP($AI558,Programma!$F$3:$O$1107,10,0),"")</f>
        <v>3w</v>
      </c>
      <c r="AS558" s="300" t="str">
        <f>_xlfn.IFNA(VLOOKUP($AI558,Programma!$F$3:$P$1107,11,0),"")</f>
        <v>3w</v>
      </c>
      <c r="AT558" s="300" t="str">
        <f>_xlfn.IFNA(VLOOKUP($AI558,Programma!$F$3:$Q$1107,12,0),"")</f>
        <v>1w</v>
      </c>
      <c r="AU558" s="300" t="str">
        <f>_xlfn.IFNA(VLOOKUP($AI558,Programma!$F$3:$R$1107,13,0),"")</f>
        <v>1w</v>
      </c>
      <c r="AV558" s="300" t="str">
        <f>_xlfn.IFNA(VLOOKUP($AI558,Programma!$F$3:$S$1107,14,0),"")</f>
        <v>1m</v>
      </c>
      <c r="AW558" s="300" t="str">
        <f>_xlfn.IFNA(VLOOKUP($AI558,Programma!$F$3:$T$1107,15,0),"")</f>
        <v>2j</v>
      </c>
      <c r="AX558" s="300" t="str">
        <f>_xlfn.IFNA(VLOOKUP($AI558,Programma!$F$3:$U$1107,16,0),"")</f>
        <v>1j</v>
      </c>
      <c r="AY558" s="300" t="str">
        <f>_xlfn.IFNA(VLOOKUP($AI558,Programma!$F$3:$V$1107,17,0),"")</f>
        <v>_</v>
      </c>
      <c r="AZ558" s="300" t="str">
        <f>_xlfn.IFNA(VLOOKUP($AI558,Programma!$F$3:$W$1107,18,0),"")</f>
        <v>_</v>
      </c>
      <c r="BA558" s="300" t="str">
        <f>_xlfn.IFNA(VLOOKUP($AI558,Programma!$F$3:$X$1107,19,0),"")</f>
        <v>_</v>
      </c>
      <c r="BB558" s="300" t="str">
        <f>_xlfn.IFNA(VLOOKUP($AI558,Programma!$F$3:$Y$1107,20,0),"")</f>
        <v>_</v>
      </c>
      <c r="BC558" s="257"/>
      <c r="BD558" s="256" t="str">
        <f>IF(Ruimtestaat[[#This Row],[Frequentie weekend]]="","",_xlfn.CONCAT(Ruimtestaat[[#This Row],[Ruimte code]],"-",Ruimtestaat[[#This Row],[Frequentie weekend]]," ",Ruimtestaat[[#This Row],[Vloer code]]))</f>
        <v/>
      </c>
      <c r="BE558" s="300" t="str">
        <f>_xlfn.IFNA(VLOOKUP($BD558,Programma!$F$3:$G$1107,2,0),"")</f>
        <v/>
      </c>
      <c r="BF558" s="300" t="str">
        <f>_xlfn.IFNA(VLOOKUP($BD558,Programma!$F$3:$H$1107,3,0),"")</f>
        <v/>
      </c>
      <c r="BG558" s="300" t="str">
        <f>_xlfn.IFNA(VLOOKUP($BD558,Programma!$F$3:$I$1107,4,0),"")</f>
        <v/>
      </c>
      <c r="BH558" s="300" t="str">
        <f>_xlfn.IFNA(VLOOKUP($BD558,Programma!$F$3:$J$1107,5,0),"")</f>
        <v/>
      </c>
      <c r="BI558" s="300" t="str">
        <f>_xlfn.IFNA(VLOOKUP($BD558,Programma!$F$3:$K$1107,6,0),"")</f>
        <v/>
      </c>
      <c r="BJ558" s="300" t="str">
        <f>_xlfn.IFNA(VLOOKUP($BD558,Programma!$F$3:$L$1107,7,0),"")</f>
        <v/>
      </c>
      <c r="BK558" s="300" t="str">
        <f>_xlfn.IFNA(VLOOKUP($BD558,Programma!$F$3:$M$1107,8,0),"")</f>
        <v/>
      </c>
      <c r="BL558" s="300" t="str">
        <f>_xlfn.IFNA(VLOOKUP($BD558,Programma!$F$3:$N$1107,9,0),"")</f>
        <v/>
      </c>
      <c r="BM558" s="300" t="str">
        <f>_xlfn.IFNA(VLOOKUP($BD558,Programma!$F$3:$O$1107,10,0),"")</f>
        <v/>
      </c>
      <c r="BN558" s="300" t="str">
        <f>_xlfn.IFNA(VLOOKUP($BD558,Programma!$F$3:$P$1107,11,0),"")</f>
        <v/>
      </c>
      <c r="BO558" s="300" t="str">
        <f>_xlfn.IFNA(VLOOKUP($BD558,Programma!$F$3:$Q$1107,12,0),"")</f>
        <v/>
      </c>
      <c r="BP558" s="300" t="str">
        <f>_xlfn.IFNA(VLOOKUP($BD558,Programma!$F$3:$R$1107,13,0),"")</f>
        <v/>
      </c>
      <c r="BQ558" s="300" t="str">
        <f>_xlfn.IFNA(VLOOKUP($BD558,Programma!$F$3:$S$1107,14,0),"")</f>
        <v/>
      </c>
      <c r="BR558" s="300" t="str">
        <f>_xlfn.IFNA(VLOOKUP($BD558,Programma!$F$3:$T$1107,15,0),"")</f>
        <v/>
      </c>
      <c r="BS558" s="300" t="str">
        <f>_xlfn.IFNA(VLOOKUP($BD558,Programma!$F$3:$U$1107,16,0),"")</f>
        <v/>
      </c>
      <c r="BT558" s="300" t="str">
        <f>_xlfn.IFNA(VLOOKUP($BD558,Programma!$F$3:$V$1107,17,0),"")</f>
        <v/>
      </c>
      <c r="BU558" s="300" t="str">
        <f>_xlfn.IFNA(VLOOKUP($BD558,Programma!$F$3:$W$1107,18,0),"")</f>
        <v/>
      </c>
      <c r="BV558" s="300" t="str">
        <f>_xlfn.IFNA(VLOOKUP($BD558,Programma!$F$3:$X$1107,19,0),"")</f>
        <v/>
      </c>
      <c r="BW558" s="300" t="str">
        <f>_xlfn.IFNA(VLOOKUP($BD558,Programma!$F$3:$Y$1107,20,0),"")</f>
        <v/>
      </c>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c r="GK558" s="4"/>
      <c r="GL558" s="4"/>
      <c r="GM558" s="4"/>
      <c r="GN558" s="4"/>
      <c r="GO558" s="4"/>
      <c r="GP558" s="4"/>
      <c r="GQ558" s="4"/>
      <c r="GR558" s="4"/>
      <c r="GS558" s="4"/>
      <c r="GT558" s="4"/>
      <c r="GU558" s="4"/>
      <c r="GV558" s="4"/>
      <c r="GW558" s="4"/>
      <c r="GX558" s="4"/>
      <c r="GY558" s="4"/>
      <c r="GZ558" s="4"/>
      <c r="HA558" s="4"/>
      <c r="HB558" s="4"/>
      <c r="HC558" s="4"/>
      <c r="HD558" s="4"/>
      <c r="HE558" s="4"/>
      <c r="HF558" s="4"/>
      <c r="HG558" s="4"/>
      <c r="HH558" s="4"/>
      <c r="HI558" s="4"/>
      <c r="HJ558" s="4"/>
      <c r="HK558" s="4"/>
      <c r="HL558" s="4"/>
    </row>
    <row r="559" spans="1:220" ht="15" customHeight="1">
      <c r="A559" s="21">
        <v>7</v>
      </c>
      <c r="B559" s="157" t="str">
        <f>VLOOKUP(Ruimtestaat[[#This Row],[Code]],Locaties[[Code]:[Locatie]],2,FALSE)</f>
        <v>Gymnasium Novum</v>
      </c>
      <c r="C559" s="157" t="str">
        <f>VLOOKUP(Ruimtestaat[[#This Row],[Code]],Locaties[[#All],[Code]:[Adres]],4,FALSE)</f>
        <v>Aart v.d. Leeuwkade 1</v>
      </c>
      <c r="D559" s="157" t="str">
        <f>VLOOKUP(Ruimtestaat[[#This Row],[Code]],Locaties[[#All],[Code]:[Postcode]],5,FALSE)</f>
        <v>2274 KX</v>
      </c>
      <c r="E559" s="157" t="str">
        <f>VLOOKUP(Ruimtestaat[[#This Row],[Code]],Locaties[#All],6,FALSE)</f>
        <v>Voorburg</v>
      </c>
      <c r="F559" s="62"/>
      <c r="G559" s="21" t="s">
        <v>1632</v>
      </c>
      <c r="H559" s="21">
        <v>13</v>
      </c>
      <c r="I559" s="62" t="s">
        <v>1635</v>
      </c>
      <c r="J559" s="21">
        <v>2</v>
      </c>
      <c r="K559" s="62" t="str">
        <f>VLOOKUP(Ruimtestaat[[#This Row],[Ruimte code]],Ruimtegroepen[[#All],[Code]:[Ruimte omschrijving]],2,FALSE)</f>
        <v>Kantoren</v>
      </c>
      <c r="L559" s="33" t="s">
        <v>101</v>
      </c>
      <c r="M559" s="367" t="s">
        <v>2495</v>
      </c>
      <c r="N559" s="140">
        <v>14</v>
      </c>
      <c r="O559" s="140"/>
      <c r="P559" s="125" t="str">
        <f>VLOOKUP(Ruimtestaat[[#This Row],[Ruimte code]],Ruimtegroepen[],4,FALSE)</f>
        <v>Bu</v>
      </c>
      <c r="R559" s="33">
        <v>42</v>
      </c>
      <c r="S559" s="33" t="s">
        <v>18</v>
      </c>
      <c r="T559" s="33">
        <f>IF(R559&gt;0,IF(RIGHT(Ruimtestaat[[#This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59" s="33">
        <f>IF(T559&gt;0,VLOOKUP($J559,Ruimtegroepen[],3,FALSE)*VLOOKUP($L559,Vloersoorten[],3,FALSE)*VLOOKUP($S559,Frequenties[],3,FALSE)*VLOOKUP($A559,Locaties[],3,FALSE),0)</f>
        <v>0</v>
      </c>
      <c r="V559" s="33">
        <f>Ruimtestaat[[#This Row],[Uitvoeringen werkdagen]]*Ruimtestaat[[#This Row],[Oppervlak (netto)]]</f>
        <v>1764</v>
      </c>
      <c r="W559" s="154">
        <f>IF(U559&gt;0,Ruimtestaat[[#This Row],[Prest. (m2 /jaar) werkdagen]]/Ruimtestaat[[#This Row],[Norm (m2/uur) werkdagen]],0)</f>
        <v>0</v>
      </c>
      <c r="X559" s="155">
        <f>Ruimtestaat[[#This Row],[uren / jaar werkdagen]]*Tariefsopbouw!$E$35</f>
        <v>0</v>
      </c>
      <c r="Y559" s="33"/>
      <c r="Z559" s="33">
        <f>IF(Ruimtestaat[[#This Row],[Frequentie weekend]]&gt;0,VALUE(LEFT(Y559,1))*R559,0)</f>
        <v>0</v>
      </c>
      <c r="AA559" s="97">
        <f>IF($Z559&gt;0,VLOOKUP($J559,Ruimtegroepen[],3,FALSE)*VLOOKUP($L559,Vloersoorten[],3,FALSE)*VLOOKUP($Y559,Frequenties[],3,FALSE)*VLOOKUP(Ruimtestaat[[#This Row],[Code]],Locaties[],3,FALSE),0)</f>
        <v>0</v>
      </c>
      <c r="AB559" s="97">
        <f>Ruimtestaat[[#This Row],[Uitvoeringen weekend]]*Ruimtestaat[[#This Row],[Oppervlak (netto)]]</f>
        <v>0</v>
      </c>
      <c r="AC559" s="97">
        <f>IF(AA559&gt;0,Ruimtestaat[[#This Row],[Prest. (m2 /jaar) weekend]]/Ruimtestaat[[#This Row],[Norm (m2/uur) weekend]],0)</f>
        <v>0</v>
      </c>
      <c r="AD559" s="155">
        <f>Ruimtestaat[[#This Row],[uren / jaar weekend]]*Tariefsopbouw!$D$40</f>
        <v>0</v>
      </c>
      <c r="AE559" s="154">
        <f>Ruimtestaat[[#This Row],[Prest. (m2 /jaar) weekend]]+Ruimtestaat[[#This Row],[Prest. (m2 /jaar) werkdagen]]</f>
        <v>1764</v>
      </c>
      <c r="AF559" s="154">
        <f>Ruimtestaat[[#This Row],[uren / jaar weekend]]+Ruimtestaat[[#This Row],[uren / jaar werkdagen]]</f>
        <v>0</v>
      </c>
      <c r="AG559" s="69">
        <f>Ruimtestaat[[#This Row],[kosten / jaar weekend]]+Ruimtestaat[[#This Row],[kosten / jaar werkdagen]]</f>
        <v>0</v>
      </c>
      <c r="AH559" s="69"/>
      <c r="AI559" s="256" t="str">
        <f>IF(Ruimtestaat[[#This Row],[Frequentie werkdagen]]="","",_xlfn.CONCAT(Ruimtestaat[[#This Row],[Ruimte code]],"-",Ruimtestaat[[#This Row],[Frequentie werkdagen]]," ",Ruimtestaat[[#This Row],[Vloer code]]))</f>
        <v>2-3w L</v>
      </c>
      <c r="AJ559" s="300" t="str">
        <f>_xlfn.IFNA(VLOOKUP($AI559,Programma!$F$3:$G$1107,2,0),"")</f>
        <v>_</v>
      </c>
      <c r="AK559" s="300" t="str">
        <f>_xlfn.IFNA(VLOOKUP($AI559,Programma!$F$3:$H$1107,3,0),"")</f>
        <v>_</v>
      </c>
      <c r="AL559" s="300" t="str">
        <f>_xlfn.IFNA(VLOOKUP($AI559,Programma!$F$3:$I$1107,4,0),"")</f>
        <v>2w</v>
      </c>
      <c r="AM559" s="300" t="str">
        <f>_xlfn.IFNA(VLOOKUP($AI559,Programma!$F$3:$J$1107,5,0),"")</f>
        <v>1w</v>
      </c>
      <c r="AN559" s="300" t="str">
        <f>_xlfn.IFNA(VLOOKUP($AI559,Programma!$F$3:$K$1107,6,0),"")</f>
        <v>_</v>
      </c>
      <c r="AO559" s="300" t="str">
        <f>_xlfn.IFNA(VLOOKUP($AI559,Programma!$F$3:$L$1107,7,0),"")</f>
        <v>_</v>
      </c>
      <c r="AP559" s="300" t="str">
        <f>_xlfn.IFNA(VLOOKUP($AI559,Programma!$F$3:$M$1107,8,0),"")</f>
        <v>_</v>
      </c>
      <c r="AQ559" s="300" t="str">
        <f>_xlfn.IFNA(VLOOKUP($AI559,Programma!$F$3:$N$1107,9,0),"")</f>
        <v>_</v>
      </c>
      <c r="AR559" s="300" t="str">
        <f>_xlfn.IFNA(VLOOKUP($AI559,Programma!$F$3:$O$1107,10,0),"")</f>
        <v>3w</v>
      </c>
      <c r="AS559" s="300" t="str">
        <f>_xlfn.IFNA(VLOOKUP($AI559,Programma!$F$3:$P$1107,11,0),"")</f>
        <v>3w</v>
      </c>
      <c r="AT559" s="300" t="str">
        <f>_xlfn.IFNA(VLOOKUP($AI559,Programma!$F$3:$Q$1107,12,0),"")</f>
        <v>1w</v>
      </c>
      <c r="AU559" s="300" t="str">
        <f>_xlfn.IFNA(VLOOKUP($AI559,Programma!$F$3:$R$1107,13,0),"")</f>
        <v>1w</v>
      </c>
      <c r="AV559" s="300" t="str">
        <f>_xlfn.IFNA(VLOOKUP($AI559,Programma!$F$3:$S$1107,14,0),"")</f>
        <v>1m</v>
      </c>
      <c r="AW559" s="300" t="str">
        <f>_xlfn.IFNA(VLOOKUP($AI559,Programma!$F$3:$T$1107,15,0),"")</f>
        <v>2j</v>
      </c>
      <c r="AX559" s="300" t="str">
        <f>_xlfn.IFNA(VLOOKUP($AI559,Programma!$F$3:$U$1107,16,0),"")</f>
        <v>1j</v>
      </c>
      <c r="AY559" s="300" t="str">
        <f>_xlfn.IFNA(VLOOKUP($AI559,Programma!$F$3:$V$1107,17,0),"")</f>
        <v>_</v>
      </c>
      <c r="AZ559" s="300" t="str">
        <f>_xlfn.IFNA(VLOOKUP($AI559,Programma!$F$3:$W$1107,18,0),"")</f>
        <v>_</v>
      </c>
      <c r="BA559" s="300" t="str">
        <f>_xlfn.IFNA(VLOOKUP($AI559,Programma!$F$3:$X$1107,19,0),"")</f>
        <v>_</v>
      </c>
      <c r="BB559" s="300" t="str">
        <f>_xlfn.IFNA(VLOOKUP($AI559,Programma!$F$3:$Y$1107,20,0),"")</f>
        <v>_</v>
      </c>
      <c r="BC559" s="257"/>
      <c r="BD559" s="256" t="str">
        <f>IF(Ruimtestaat[[#This Row],[Frequentie weekend]]="","",_xlfn.CONCAT(Ruimtestaat[[#This Row],[Ruimte code]],"-",Ruimtestaat[[#This Row],[Frequentie weekend]]," ",Ruimtestaat[[#This Row],[Vloer code]]))</f>
        <v/>
      </c>
      <c r="BE559" s="300" t="str">
        <f>_xlfn.IFNA(VLOOKUP($BD559,Programma!$F$3:$G$1107,2,0),"")</f>
        <v/>
      </c>
      <c r="BF559" s="300" t="str">
        <f>_xlfn.IFNA(VLOOKUP($BD559,Programma!$F$3:$H$1107,3,0),"")</f>
        <v/>
      </c>
      <c r="BG559" s="300" t="str">
        <f>_xlfn.IFNA(VLOOKUP($BD559,Programma!$F$3:$I$1107,4,0),"")</f>
        <v/>
      </c>
      <c r="BH559" s="300" t="str">
        <f>_xlfn.IFNA(VLOOKUP($BD559,Programma!$F$3:$J$1107,5,0),"")</f>
        <v/>
      </c>
      <c r="BI559" s="300" t="str">
        <f>_xlfn.IFNA(VLOOKUP($BD559,Programma!$F$3:$K$1107,6,0),"")</f>
        <v/>
      </c>
      <c r="BJ559" s="300" t="str">
        <f>_xlfn.IFNA(VLOOKUP($BD559,Programma!$F$3:$L$1107,7,0),"")</f>
        <v/>
      </c>
      <c r="BK559" s="300" t="str">
        <f>_xlfn.IFNA(VLOOKUP($BD559,Programma!$F$3:$M$1107,8,0),"")</f>
        <v/>
      </c>
      <c r="BL559" s="300" t="str">
        <f>_xlfn.IFNA(VLOOKUP($BD559,Programma!$F$3:$N$1107,9,0),"")</f>
        <v/>
      </c>
      <c r="BM559" s="300" t="str">
        <f>_xlfn.IFNA(VLOOKUP($BD559,Programma!$F$3:$O$1107,10,0),"")</f>
        <v/>
      </c>
      <c r="BN559" s="300" t="str">
        <f>_xlfn.IFNA(VLOOKUP($BD559,Programma!$F$3:$P$1107,11,0),"")</f>
        <v/>
      </c>
      <c r="BO559" s="300" t="str">
        <f>_xlfn.IFNA(VLOOKUP($BD559,Programma!$F$3:$Q$1107,12,0),"")</f>
        <v/>
      </c>
      <c r="BP559" s="300" t="str">
        <f>_xlfn.IFNA(VLOOKUP($BD559,Programma!$F$3:$R$1107,13,0),"")</f>
        <v/>
      </c>
      <c r="BQ559" s="300" t="str">
        <f>_xlfn.IFNA(VLOOKUP($BD559,Programma!$F$3:$S$1107,14,0),"")</f>
        <v/>
      </c>
      <c r="BR559" s="300" t="str">
        <f>_xlfn.IFNA(VLOOKUP($BD559,Programma!$F$3:$T$1107,15,0),"")</f>
        <v/>
      </c>
      <c r="BS559" s="300" t="str">
        <f>_xlfn.IFNA(VLOOKUP($BD559,Programma!$F$3:$U$1107,16,0),"")</f>
        <v/>
      </c>
      <c r="BT559" s="300" t="str">
        <f>_xlfn.IFNA(VLOOKUP($BD559,Programma!$F$3:$V$1107,17,0),"")</f>
        <v/>
      </c>
      <c r="BU559" s="300" t="str">
        <f>_xlfn.IFNA(VLOOKUP($BD559,Programma!$F$3:$W$1107,18,0),"")</f>
        <v/>
      </c>
      <c r="BV559" s="300" t="str">
        <f>_xlfn.IFNA(VLOOKUP($BD559,Programma!$F$3:$X$1107,19,0),"")</f>
        <v/>
      </c>
      <c r="BW559" s="300" t="str">
        <f>_xlfn.IFNA(VLOOKUP($BD559,Programma!$F$3:$Y$1107,20,0),"")</f>
        <v/>
      </c>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c r="GK559" s="4"/>
      <c r="GL559" s="4"/>
      <c r="GM559" s="4"/>
      <c r="GN559" s="4"/>
      <c r="GO559" s="4"/>
      <c r="GP559" s="4"/>
      <c r="GQ559" s="4"/>
      <c r="GR559" s="4"/>
      <c r="GS559" s="4"/>
      <c r="GT559" s="4"/>
      <c r="GU559" s="4"/>
      <c r="GV559" s="4"/>
      <c r="GW559" s="4"/>
      <c r="GX559" s="4"/>
      <c r="GY559" s="4"/>
      <c r="GZ559" s="4"/>
      <c r="HA559" s="4"/>
      <c r="HB559" s="4"/>
      <c r="HC559" s="4"/>
      <c r="HD559" s="4"/>
      <c r="HE559" s="4"/>
      <c r="HF559" s="4"/>
      <c r="HG559" s="4"/>
      <c r="HH559" s="4"/>
      <c r="HI559" s="4"/>
      <c r="HJ559" s="4"/>
      <c r="HK559" s="4"/>
      <c r="HL559" s="4"/>
    </row>
    <row r="560" spans="1:220" ht="15" customHeight="1">
      <c r="A560" s="21">
        <v>7</v>
      </c>
      <c r="B560" s="157" t="str">
        <f>VLOOKUP(Ruimtestaat[[#This Row],[Code]],Locaties[[Code]:[Locatie]],2,FALSE)</f>
        <v>Gymnasium Novum</v>
      </c>
      <c r="C560" s="157" t="str">
        <f>VLOOKUP(Ruimtestaat[[#This Row],[Code]],Locaties[[#All],[Code]:[Adres]],4,FALSE)</f>
        <v>Aart v.d. Leeuwkade 1</v>
      </c>
      <c r="D560" s="157" t="str">
        <f>VLOOKUP(Ruimtestaat[[#This Row],[Code]],Locaties[[#All],[Code]:[Postcode]],5,FALSE)</f>
        <v>2274 KX</v>
      </c>
      <c r="E560" s="157" t="str">
        <f>VLOOKUP(Ruimtestaat[[#This Row],[Code]],Locaties[#All],6,FALSE)</f>
        <v>Voorburg</v>
      </c>
      <c r="F560" s="62"/>
      <c r="G560" s="21" t="s">
        <v>1632</v>
      </c>
      <c r="H560" s="21">
        <v>14</v>
      </c>
      <c r="I560" s="62" t="s">
        <v>1638</v>
      </c>
      <c r="J560" s="21">
        <v>6</v>
      </c>
      <c r="K560" s="62" t="str">
        <f>VLOOKUP(Ruimtestaat[[#This Row],[Ruimte code]],Ruimtegroepen[[#All],[Code]:[Ruimte omschrijving]],2,FALSE)</f>
        <v>Gangen/hallen</v>
      </c>
      <c r="L560" s="33" t="s">
        <v>102</v>
      </c>
      <c r="M560" s="367" t="s">
        <v>2492</v>
      </c>
      <c r="N560" s="140">
        <v>10</v>
      </c>
      <c r="O560" s="140"/>
      <c r="P560" s="125" t="str">
        <f>VLOOKUP(Ruimtestaat[[#This Row],[Ruimte code]],Ruimtegroepen[],4,FALSE)</f>
        <v>Ve</v>
      </c>
      <c r="R560" s="33">
        <v>40</v>
      </c>
      <c r="S560" s="33" t="s">
        <v>2</v>
      </c>
      <c r="T560" s="33">
        <f>IF(R560&gt;0,IF(RIGHT(Ruimtestaat[[#This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0" s="33">
        <f>IF(T560&gt;0,VLOOKUP($J560,Ruimtegroepen[],3,FALSE)*VLOOKUP($L560,Vloersoorten[],3,FALSE)*VLOOKUP($S560,Frequenties[],3,FALSE)*VLOOKUP($A560,Locaties[],3,FALSE),0)</f>
        <v>0</v>
      </c>
      <c r="V560" s="33">
        <f>Ruimtestaat[[#This Row],[Uitvoeringen werkdagen]]*Ruimtestaat[[#This Row],[Oppervlak (netto)]]</f>
        <v>2000</v>
      </c>
      <c r="W560" s="154">
        <f>IF(U560&gt;0,Ruimtestaat[[#This Row],[Prest. (m2 /jaar) werkdagen]]/Ruimtestaat[[#This Row],[Norm (m2/uur) werkdagen]],0)</f>
        <v>0</v>
      </c>
      <c r="X560" s="155">
        <f>Ruimtestaat[[#This Row],[uren / jaar werkdagen]]*Tariefsopbouw!$E$35</f>
        <v>0</v>
      </c>
      <c r="Y560" s="33"/>
      <c r="Z560" s="33">
        <f>IF(Ruimtestaat[[#This Row],[Frequentie weekend]]&gt;0,VALUE(LEFT(Y560,1))*R560,0)</f>
        <v>0</v>
      </c>
      <c r="AA560" s="97">
        <f>IF($Z560&gt;0,VLOOKUP($J560,Ruimtegroepen[],3,FALSE)*VLOOKUP($L560,Vloersoorten[],3,FALSE)*VLOOKUP($Y560,Frequenties[],3,FALSE)*VLOOKUP(Ruimtestaat[[#This Row],[Code]],Locaties[],3,FALSE),0)</f>
        <v>0</v>
      </c>
      <c r="AB560" s="97">
        <f>Ruimtestaat[[#This Row],[Uitvoeringen weekend]]*Ruimtestaat[[#This Row],[Oppervlak (netto)]]</f>
        <v>0</v>
      </c>
      <c r="AC560" s="97">
        <f>IF(AA560&gt;0,Ruimtestaat[[#This Row],[Prest. (m2 /jaar) weekend]]/Ruimtestaat[[#This Row],[Norm (m2/uur) weekend]],0)</f>
        <v>0</v>
      </c>
      <c r="AD560" s="155">
        <f>Ruimtestaat[[#This Row],[uren / jaar weekend]]*Tariefsopbouw!$D$40</f>
        <v>0</v>
      </c>
      <c r="AE560" s="154">
        <f>Ruimtestaat[[#This Row],[Prest. (m2 /jaar) weekend]]+Ruimtestaat[[#This Row],[Prest. (m2 /jaar) werkdagen]]</f>
        <v>2000</v>
      </c>
      <c r="AF560" s="154">
        <f>Ruimtestaat[[#This Row],[uren / jaar weekend]]+Ruimtestaat[[#This Row],[uren / jaar werkdagen]]</f>
        <v>0</v>
      </c>
      <c r="AG560" s="69">
        <f>Ruimtestaat[[#This Row],[kosten / jaar weekend]]+Ruimtestaat[[#This Row],[kosten / jaar werkdagen]]</f>
        <v>0</v>
      </c>
      <c r="AH560" s="69"/>
      <c r="AI560" s="256" t="str">
        <f>IF(Ruimtestaat[[#This Row],[Frequentie werkdagen]]="","",_xlfn.CONCAT(Ruimtestaat[[#This Row],[Ruimte code]],"-",Ruimtestaat[[#This Row],[Frequentie werkdagen]]," ",Ruimtestaat[[#This Row],[Vloer code]]))</f>
        <v>6-5w S</v>
      </c>
      <c r="AJ560" s="300" t="str">
        <f>_xlfn.IFNA(VLOOKUP($AI560,Programma!$F$3:$G$1107,2,0),"")</f>
        <v>_</v>
      </c>
      <c r="AK560" s="300" t="str">
        <f>_xlfn.IFNA(VLOOKUP($AI560,Programma!$F$3:$H$1107,3,0),"")</f>
        <v>_</v>
      </c>
      <c r="AL560" s="300" t="str">
        <f>_xlfn.IFNA(VLOOKUP($AI560,Programma!$F$3:$I$1107,4,0),"")</f>
        <v>5w</v>
      </c>
      <c r="AM560" s="300" t="str">
        <f>_xlfn.IFNA(VLOOKUP($AI560,Programma!$F$3:$J$1107,5,0),"")</f>
        <v>_</v>
      </c>
      <c r="AN560" s="300" t="str">
        <f>_xlfn.IFNA(VLOOKUP($AI560,Programma!$F$3:$K$1107,6,0),"")</f>
        <v>5w</v>
      </c>
      <c r="AO560" s="300" t="str">
        <f>_xlfn.IFNA(VLOOKUP($AI560,Programma!$F$3:$L$1107,7,0),"")</f>
        <v>_</v>
      </c>
      <c r="AP560" s="300" t="str">
        <f>_xlfn.IFNA(VLOOKUP($AI560,Programma!$F$3:$M$1107,8,0),"")</f>
        <v>_</v>
      </c>
      <c r="AQ560" s="300" t="str">
        <f>_xlfn.IFNA(VLOOKUP($AI560,Programma!$F$3:$N$1107,9,0),"")</f>
        <v>_</v>
      </c>
      <c r="AR560" s="300" t="str">
        <f>_xlfn.IFNA(VLOOKUP($AI560,Programma!$F$3:$O$1107,10,0),"")</f>
        <v>5w</v>
      </c>
      <c r="AS560" s="300" t="str">
        <f>_xlfn.IFNA(VLOOKUP($AI560,Programma!$F$3:$P$1107,11,0),"")</f>
        <v>5w</v>
      </c>
      <c r="AT560" s="300" t="str">
        <f>_xlfn.IFNA(VLOOKUP($AI560,Programma!$F$3:$Q$1107,12,0),"")</f>
        <v>1w</v>
      </c>
      <c r="AU560" s="300" t="str">
        <f>_xlfn.IFNA(VLOOKUP($AI560,Programma!$F$3:$R$1107,13,0),"")</f>
        <v>1w</v>
      </c>
      <c r="AV560" s="300" t="str">
        <f>_xlfn.IFNA(VLOOKUP($AI560,Programma!$F$3:$S$1107,14,0),"")</f>
        <v>1m</v>
      </c>
      <c r="AW560" s="300" t="str">
        <f>_xlfn.IFNA(VLOOKUP($AI560,Programma!$F$3:$T$1107,15,0),"")</f>
        <v>2j</v>
      </c>
      <c r="AX560" s="300" t="str">
        <f>_xlfn.IFNA(VLOOKUP($AI560,Programma!$F$3:$U$1107,16,0),"")</f>
        <v>1j</v>
      </c>
      <c r="AY560" s="300" t="str">
        <f>_xlfn.IFNA(VLOOKUP($AI560,Programma!$F$3:$V$1107,17,0),"")</f>
        <v>_</v>
      </c>
      <c r="AZ560" s="300" t="str">
        <f>_xlfn.IFNA(VLOOKUP($AI560,Programma!$F$3:$W$1107,18,0),"")</f>
        <v>_</v>
      </c>
      <c r="BA560" s="300" t="str">
        <f>_xlfn.IFNA(VLOOKUP($AI560,Programma!$F$3:$X$1107,19,0),"")</f>
        <v>_</v>
      </c>
      <c r="BB560" s="300" t="str">
        <f>_xlfn.IFNA(VLOOKUP($AI560,Programma!$F$3:$Y$1107,20,0),"")</f>
        <v>_</v>
      </c>
      <c r="BC560" s="257"/>
      <c r="BD560" s="256" t="str">
        <f>IF(Ruimtestaat[[#This Row],[Frequentie weekend]]="","",_xlfn.CONCAT(Ruimtestaat[[#This Row],[Ruimte code]],"-",Ruimtestaat[[#This Row],[Frequentie weekend]]," ",Ruimtestaat[[#This Row],[Vloer code]]))</f>
        <v/>
      </c>
      <c r="BE560" s="300" t="str">
        <f>_xlfn.IFNA(VLOOKUP($BD560,Programma!$F$3:$G$1107,2,0),"")</f>
        <v/>
      </c>
      <c r="BF560" s="300" t="str">
        <f>_xlfn.IFNA(VLOOKUP($BD560,Programma!$F$3:$H$1107,3,0),"")</f>
        <v/>
      </c>
      <c r="BG560" s="300" t="str">
        <f>_xlfn.IFNA(VLOOKUP($BD560,Programma!$F$3:$I$1107,4,0),"")</f>
        <v/>
      </c>
      <c r="BH560" s="300" t="str">
        <f>_xlfn.IFNA(VLOOKUP($BD560,Programma!$F$3:$J$1107,5,0),"")</f>
        <v/>
      </c>
      <c r="BI560" s="300" t="str">
        <f>_xlfn.IFNA(VLOOKUP($BD560,Programma!$F$3:$K$1107,6,0),"")</f>
        <v/>
      </c>
      <c r="BJ560" s="300" t="str">
        <f>_xlfn.IFNA(VLOOKUP($BD560,Programma!$F$3:$L$1107,7,0),"")</f>
        <v/>
      </c>
      <c r="BK560" s="300" t="str">
        <f>_xlfn.IFNA(VLOOKUP($BD560,Programma!$F$3:$M$1107,8,0),"")</f>
        <v/>
      </c>
      <c r="BL560" s="300" t="str">
        <f>_xlfn.IFNA(VLOOKUP($BD560,Programma!$F$3:$N$1107,9,0),"")</f>
        <v/>
      </c>
      <c r="BM560" s="300" t="str">
        <f>_xlfn.IFNA(VLOOKUP($BD560,Programma!$F$3:$O$1107,10,0),"")</f>
        <v/>
      </c>
      <c r="BN560" s="300" t="str">
        <f>_xlfn.IFNA(VLOOKUP($BD560,Programma!$F$3:$P$1107,11,0),"")</f>
        <v/>
      </c>
      <c r="BO560" s="300" t="str">
        <f>_xlfn.IFNA(VLOOKUP($BD560,Programma!$F$3:$Q$1107,12,0),"")</f>
        <v/>
      </c>
      <c r="BP560" s="300" t="str">
        <f>_xlfn.IFNA(VLOOKUP($BD560,Programma!$F$3:$R$1107,13,0),"")</f>
        <v/>
      </c>
      <c r="BQ560" s="300" t="str">
        <f>_xlfn.IFNA(VLOOKUP($BD560,Programma!$F$3:$S$1107,14,0),"")</f>
        <v/>
      </c>
      <c r="BR560" s="300" t="str">
        <f>_xlfn.IFNA(VLOOKUP($BD560,Programma!$F$3:$T$1107,15,0),"")</f>
        <v/>
      </c>
      <c r="BS560" s="300" t="str">
        <f>_xlfn.IFNA(VLOOKUP($BD560,Programma!$F$3:$U$1107,16,0),"")</f>
        <v/>
      </c>
      <c r="BT560" s="300" t="str">
        <f>_xlfn.IFNA(VLOOKUP($BD560,Programma!$F$3:$V$1107,17,0),"")</f>
        <v/>
      </c>
      <c r="BU560" s="300" t="str">
        <f>_xlfn.IFNA(VLOOKUP($BD560,Programma!$F$3:$W$1107,18,0),"")</f>
        <v/>
      </c>
      <c r="BV560" s="300" t="str">
        <f>_xlfn.IFNA(VLOOKUP($BD560,Programma!$F$3:$X$1107,19,0),"")</f>
        <v/>
      </c>
      <c r="BW560" s="300" t="str">
        <f>_xlfn.IFNA(VLOOKUP($BD560,Programma!$F$3:$Y$1107,20,0),"")</f>
        <v/>
      </c>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c r="GK560" s="4"/>
      <c r="GL560" s="4"/>
      <c r="GM560" s="4"/>
      <c r="GN560" s="4"/>
      <c r="GO560" s="4"/>
      <c r="GP560" s="4"/>
      <c r="GQ560" s="4"/>
      <c r="GR560" s="4"/>
      <c r="GS560" s="4"/>
      <c r="GT560" s="4"/>
      <c r="GU560" s="4"/>
      <c r="GV560" s="4"/>
      <c r="GW560" s="4"/>
      <c r="GX560" s="4"/>
      <c r="GY560" s="4"/>
      <c r="GZ560" s="4"/>
      <c r="HA560" s="4"/>
      <c r="HB560" s="4"/>
      <c r="HC560" s="4"/>
      <c r="HD560" s="4"/>
      <c r="HE560" s="4"/>
      <c r="HF560" s="4"/>
      <c r="HG560" s="4"/>
      <c r="HH560" s="4"/>
      <c r="HI560" s="4"/>
      <c r="HJ560" s="4"/>
      <c r="HK560" s="4"/>
      <c r="HL560" s="4"/>
    </row>
    <row r="561" spans="1:220" ht="15" customHeight="1">
      <c r="A561" s="21">
        <v>7</v>
      </c>
      <c r="B561" s="157" t="str">
        <f>VLOOKUP(Ruimtestaat[[#This Row],[Code]],Locaties[[Code]:[Locatie]],2,FALSE)</f>
        <v>Gymnasium Novum</v>
      </c>
      <c r="C561" s="157" t="str">
        <f>VLOOKUP(Ruimtestaat[[#This Row],[Code]],Locaties[[#All],[Code]:[Adres]],4,FALSE)</f>
        <v>Aart v.d. Leeuwkade 1</v>
      </c>
      <c r="D561" s="157" t="str">
        <f>VLOOKUP(Ruimtestaat[[#This Row],[Code]],Locaties[[#All],[Code]:[Postcode]],5,FALSE)</f>
        <v>2274 KX</v>
      </c>
      <c r="E561" s="157" t="str">
        <f>VLOOKUP(Ruimtestaat[[#This Row],[Code]],Locaties[#All],6,FALSE)</f>
        <v>Voorburg</v>
      </c>
      <c r="F561" s="62"/>
      <c r="G561" s="21" t="s">
        <v>1632</v>
      </c>
      <c r="H561" s="21">
        <v>15</v>
      </c>
      <c r="I561" s="62" t="s">
        <v>1640</v>
      </c>
      <c r="J561" s="21">
        <v>5</v>
      </c>
      <c r="K561" s="62" t="str">
        <f>VLOOKUP(Ruimtestaat[[#This Row],[Ruimte code]],Ruimtegroepen[[#All],[Code]:[Ruimte omschrijving]],2,FALSE)</f>
        <v>Sanitair</v>
      </c>
      <c r="L561" s="33" t="s">
        <v>102</v>
      </c>
      <c r="M561" s="367" t="s">
        <v>2492</v>
      </c>
      <c r="N561" s="140">
        <v>16</v>
      </c>
      <c r="O561" s="140"/>
      <c r="P561" s="125" t="str">
        <f>VLOOKUP(Ruimtestaat[[#This Row],[Ruimte code]],Ruimtegroepen[],4,FALSE)</f>
        <v>Sa</v>
      </c>
      <c r="R561" s="33">
        <v>40</v>
      </c>
      <c r="S561" s="33" t="s">
        <v>2</v>
      </c>
      <c r="T561" s="33">
        <f>IF(R561&gt;0,IF(RIGHT(Ruimtestaat[[#This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1" s="33">
        <f>IF(T561&gt;0,VLOOKUP($J561,Ruimtegroepen[],3,FALSE)*VLOOKUP($L561,Vloersoorten[],3,FALSE)*VLOOKUP($S561,Frequenties[],3,FALSE)*VLOOKUP($A561,Locaties[],3,FALSE),0)</f>
        <v>0</v>
      </c>
      <c r="V561" s="33">
        <f>Ruimtestaat[[#This Row],[Uitvoeringen werkdagen]]*Ruimtestaat[[#This Row],[Oppervlak (netto)]]</f>
        <v>3200</v>
      </c>
      <c r="W561" s="154">
        <f>IF(U561&gt;0,Ruimtestaat[[#This Row],[Prest. (m2 /jaar) werkdagen]]/Ruimtestaat[[#This Row],[Norm (m2/uur) werkdagen]],0)</f>
        <v>0</v>
      </c>
      <c r="X561" s="155">
        <f>Ruimtestaat[[#This Row],[uren / jaar werkdagen]]*Tariefsopbouw!$E$35</f>
        <v>0</v>
      </c>
      <c r="Y561" s="33"/>
      <c r="Z561" s="33">
        <f>IF(Ruimtestaat[[#This Row],[Frequentie weekend]]&gt;0,VALUE(LEFT(Y561,1))*R561,0)</f>
        <v>0</v>
      </c>
      <c r="AA561" s="97">
        <f>IF($Z561&gt;0,VLOOKUP($J561,Ruimtegroepen[],3,FALSE)*VLOOKUP($L561,Vloersoorten[],3,FALSE)*VLOOKUP($Y561,Frequenties[],3,FALSE)*VLOOKUP(Ruimtestaat[[#This Row],[Code]],Locaties[],3,FALSE),0)</f>
        <v>0</v>
      </c>
      <c r="AB561" s="97">
        <f>Ruimtestaat[[#This Row],[Uitvoeringen weekend]]*Ruimtestaat[[#This Row],[Oppervlak (netto)]]</f>
        <v>0</v>
      </c>
      <c r="AC561" s="97">
        <f>IF(AA561&gt;0,Ruimtestaat[[#This Row],[Prest. (m2 /jaar) weekend]]/Ruimtestaat[[#This Row],[Norm (m2/uur) weekend]],0)</f>
        <v>0</v>
      </c>
      <c r="AD561" s="155">
        <f>Ruimtestaat[[#This Row],[uren / jaar weekend]]*Tariefsopbouw!$D$40</f>
        <v>0</v>
      </c>
      <c r="AE561" s="154">
        <f>Ruimtestaat[[#This Row],[Prest. (m2 /jaar) weekend]]+Ruimtestaat[[#This Row],[Prest. (m2 /jaar) werkdagen]]</f>
        <v>3200</v>
      </c>
      <c r="AF561" s="154">
        <f>Ruimtestaat[[#This Row],[uren / jaar weekend]]+Ruimtestaat[[#This Row],[uren / jaar werkdagen]]</f>
        <v>0</v>
      </c>
      <c r="AG561" s="69">
        <f>Ruimtestaat[[#This Row],[kosten / jaar weekend]]+Ruimtestaat[[#This Row],[kosten / jaar werkdagen]]</f>
        <v>0</v>
      </c>
      <c r="AH561" s="69"/>
      <c r="AI561" s="256" t="str">
        <f>IF(Ruimtestaat[[#This Row],[Frequentie werkdagen]]="","",_xlfn.CONCAT(Ruimtestaat[[#This Row],[Ruimte code]],"-",Ruimtestaat[[#This Row],[Frequentie werkdagen]]," ",Ruimtestaat[[#This Row],[Vloer code]]))</f>
        <v>5-5w S</v>
      </c>
      <c r="AJ561" s="300" t="str">
        <f>_xlfn.IFNA(VLOOKUP($AI561,Programma!$F$3:$G$1107,2,0),"")</f>
        <v>_</v>
      </c>
      <c r="AK561" s="300" t="str">
        <f>_xlfn.IFNA(VLOOKUP($AI561,Programma!$F$3:$H$1107,3,0),"")</f>
        <v>_</v>
      </c>
      <c r="AL561" s="300" t="str">
        <f>_xlfn.IFNA(VLOOKUP($AI561,Programma!$F$3:$I$1107,4,0),"")</f>
        <v>_</v>
      </c>
      <c r="AM561" s="300" t="str">
        <f>_xlfn.IFNA(VLOOKUP($AI561,Programma!$F$3:$J$1107,5,0),"")</f>
        <v>4w</v>
      </c>
      <c r="AN561" s="300" t="str">
        <f>_xlfn.IFNA(VLOOKUP($AI561,Programma!$F$3:$K$1107,6,0),"")</f>
        <v>1w</v>
      </c>
      <c r="AO561" s="300" t="str">
        <f>_xlfn.IFNA(VLOOKUP($AI561,Programma!$F$3:$L$1107,7,0),"")</f>
        <v>_</v>
      </c>
      <c r="AP561" s="300" t="str">
        <f>_xlfn.IFNA(VLOOKUP($AI561,Programma!$F$3:$M$1107,8,0),"")</f>
        <v>_</v>
      </c>
      <c r="AQ561" s="300" t="str">
        <f>_xlfn.IFNA(VLOOKUP($AI561,Programma!$F$3:$N$1107,9,0),"")</f>
        <v>_</v>
      </c>
      <c r="AR561" s="300" t="str">
        <f>_xlfn.IFNA(VLOOKUP($AI561,Programma!$F$3:$O$1107,10,0),"")</f>
        <v>_</v>
      </c>
      <c r="AS561" s="300" t="str">
        <f>_xlfn.IFNA(VLOOKUP($AI561,Programma!$F$3:$P$1107,11,0),"")</f>
        <v>_</v>
      </c>
      <c r="AT561" s="300" t="str">
        <f>_xlfn.IFNA(VLOOKUP($AI561,Programma!$F$3:$Q$1107,12,0),"")</f>
        <v>_</v>
      </c>
      <c r="AU561" s="300" t="str">
        <f>_xlfn.IFNA(VLOOKUP($AI561,Programma!$F$3:$R$1107,13,0),"")</f>
        <v>_</v>
      </c>
      <c r="AV561" s="300" t="str">
        <f>_xlfn.IFNA(VLOOKUP($AI561,Programma!$F$3:$S$1107,14,0),"")</f>
        <v>_</v>
      </c>
      <c r="AW561" s="300" t="str">
        <f>_xlfn.IFNA(VLOOKUP($AI561,Programma!$F$3:$T$1107,15,0),"")</f>
        <v>_</v>
      </c>
      <c r="AX561" s="300" t="str">
        <f>_xlfn.IFNA(VLOOKUP($AI561,Programma!$F$3:$U$1107,16,0),"")</f>
        <v>_</v>
      </c>
      <c r="AY561" s="300" t="str">
        <f>_xlfn.IFNA(VLOOKUP($AI561,Programma!$F$3:$V$1107,17,0),"")</f>
        <v>_</v>
      </c>
      <c r="AZ561" s="300" t="str">
        <f>_xlfn.IFNA(VLOOKUP($AI561,Programma!$F$3:$W$1107,18,0),"")</f>
        <v>4w</v>
      </c>
      <c r="BA561" s="300" t="str">
        <f>_xlfn.IFNA(VLOOKUP($AI561,Programma!$F$3:$X$1107,19,0),"")</f>
        <v>1w</v>
      </c>
      <c r="BB561" s="300" t="str">
        <f>_xlfn.IFNA(VLOOKUP($AI561,Programma!$F$3:$Y$1107,20,0),"")</f>
        <v>_</v>
      </c>
      <c r="BC561" s="257"/>
      <c r="BD561" s="256" t="str">
        <f>IF(Ruimtestaat[[#This Row],[Frequentie weekend]]="","",_xlfn.CONCAT(Ruimtestaat[[#This Row],[Ruimte code]],"-",Ruimtestaat[[#This Row],[Frequentie weekend]]," ",Ruimtestaat[[#This Row],[Vloer code]]))</f>
        <v/>
      </c>
      <c r="BE561" s="300" t="str">
        <f>_xlfn.IFNA(VLOOKUP($BD561,Programma!$F$3:$G$1107,2,0),"")</f>
        <v/>
      </c>
      <c r="BF561" s="300" t="str">
        <f>_xlfn.IFNA(VLOOKUP($BD561,Programma!$F$3:$H$1107,3,0),"")</f>
        <v/>
      </c>
      <c r="BG561" s="300" t="str">
        <f>_xlfn.IFNA(VLOOKUP($BD561,Programma!$F$3:$I$1107,4,0),"")</f>
        <v/>
      </c>
      <c r="BH561" s="300" t="str">
        <f>_xlfn.IFNA(VLOOKUP($BD561,Programma!$F$3:$J$1107,5,0),"")</f>
        <v/>
      </c>
      <c r="BI561" s="300" t="str">
        <f>_xlfn.IFNA(VLOOKUP($BD561,Programma!$F$3:$K$1107,6,0),"")</f>
        <v/>
      </c>
      <c r="BJ561" s="300" t="str">
        <f>_xlfn.IFNA(VLOOKUP($BD561,Programma!$F$3:$L$1107,7,0),"")</f>
        <v/>
      </c>
      <c r="BK561" s="300" t="str">
        <f>_xlfn.IFNA(VLOOKUP($BD561,Programma!$F$3:$M$1107,8,0),"")</f>
        <v/>
      </c>
      <c r="BL561" s="300" t="str">
        <f>_xlfn.IFNA(VLOOKUP($BD561,Programma!$F$3:$N$1107,9,0),"")</f>
        <v/>
      </c>
      <c r="BM561" s="300" t="str">
        <f>_xlfn.IFNA(VLOOKUP($BD561,Programma!$F$3:$O$1107,10,0),"")</f>
        <v/>
      </c>
      <c r="BN561" s="300" t="str">
        <f>_xlfn.IFNA(VLOOKUP($BD561,Programma!$F$3:$P$1107,11,0),"")</f>
        <v/>
      </c>
      <c r="BO561" s="300" t="str">
        <f>_xlfn.IFNA(VLOOKUP($BD561,Programma!$F$3:$Q$1107,12,0),"")</f>
        <v/>
      </c>
      <c r="BP561" s="300" t="str">
        <f>_xlfn.IFNA(VLOOKUP($BD561,Programma!$F$3:$R$1107,13,0),"")</f>
        <v/>
      </c>
      <c r="BQ561" s="300" t="str">
        <f>_xlfn.IFNA(VLOOKUP($BD561,Programma!$F$3:$S$1107,14,0),"")</f>
        <v/>
      </c>
      <c r="BR561" s="300" t="str">
        <f>_xlfn.IFNA(VLOOKUP($BD561,Programma!$F$3:$T$1107,15,0),"")</f>
        <v/>
      </c>
      <c r="BS561" s="300" t="str">
        <f>_xlfn.IFNA(VLOOKUP($BD561,Programma!$F$3:$U$1107,16,0),"")</f>
        <v/>
      </c>
      <c r="BT561" s="300" t="str">
        <f>_xlfn.IFNA(VLOOKUP($BD561,Programma!$F$3:$V$1107,17,0),"")</f>
        <v/>
      </c>
      <c r="BU561" s="300" t="str">
        <f>_xlfn.IFNA(VLOOKUP($BD561,Programma!$F$3:$W$1107,18,0),"")</f>
        <v/>
      </c>
      <c r="BV561" s="300" t="str">
        <f>_xlfn.IFNA(VLOOKUP($BD561,Programma!$F$3:$X$1107,19,0),"")</f>
        <v/>
      </c>
      <c r="BW561" s="300" t="str">
        <f>_xlfn.IFNA(VLOOKUP($BD561,Programma!$F$3:$Y$1107,20,0),"")</f>
        <v/>
      </c>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c r="GB561" s="4"/>
      <c r="GC561" s="4"/>
      <c r="GD561" s="4"/>
      <c r="GE561" s="4"/>
      <c r="GF561" s="4"/>
      <c r="GG561" s="4"/>
      <c r="GH561" s="4"/>
      <c r="GI561" s="4"/>
      <c r="GJ561" s="4"/>
      <c r="GK561" s="4"/>
      <c r="GL561" s="4"/>
      <c r="GM561" s="4"/>
      <c r="GN561" s="4"/>
      <c r="GO561" s="4"/>
      <c r="GP561" s="4"/>
      <c r="GQ561" s="4"/>
      <c r="GR561" s="4"/>
      <c r="GS561" s="4"/>
      <c r="GT561" s="4"/>
      <c r="GU561" s="4"/>
      <c r="GV561" s="4"/>
      <c r="GW561" s="4"/>
      <c r="GX561" s="4"/>
      <c r="GY561" s="4"/>
      <c r="GZ561" s="4"/>
      <c r="HA561" s="4"/>
      <c r="HB561" s="4"/>
      <c r="HC561" s="4"/>
      <c r="HD561" s="4"/>
      <c r="HE561" s="4"/>
      <c r="HF561" s="4"/>
      <c r="HG561" s="4"/>
      <c r="HH561" s="4"/>
      <c r="HI561" s="4"/>
      <c r="HJ561" s="4"/>
      <c r="HK561" s="4"/>
      <c r="HL561" s="4"/>
    </row>
    <row r="562" spans="1:220" ht="15" customHeight="1">
      <c r="A562" s="21">
        <v>7</v>
      </c>
      <c r="B562" s="157" t="str">
        <f>VLOOKUP(Ruimtestaat[[#This Row],[Code]],Locaties[[Code]:[Locatie]],2,FALSE)</f>
        <v>Gymnasium Novum</v>
      </c>
      <c r="C562" s="157" t="str">
        <f>VLOOKUP(Ruimtestaat[[#This Row],[Code]],Locaties[[#All],[Code]:[Adres]],4,FALSE)</f>
        <v>Aart v.d. Leeuwkade 1</v>
      </c>
      <c r="D562" s="157" t="str">
        <f>VLOOKUP(Ruimtestaat[[#This Row],[Code]],Locaties[[#All],[Code]:[Postcode]],5,FALSE)</f>
        <v>2274 KX</v>
      </c>
      <c r="E562" s="157" t="str">
        <f>VLOOKUP(Ruimtestaat[[#This Row],[Code]],Locaties[#All],6,FALSE)</f>
        <v>Voorburg</v>
      </c>
      <c r="F562" s="62"/>
      <c r="G562" s="21" t="s">
        <v>1632</v>
      </c>
      <c r="H562" s="21">
        <v>16</v>
      </c>
      <c r="I562" s="62" t="s">
        <v>1639</v>
      </c>
      <c r="J562" s="21">
        <v>5</v>
      </c>
      <c r="K562" s="62" t="str">
        <f>VLOOKUP(Ruimtestaat[[#This Row],[Ruimte code]],Ruimtegroepen[[#All],[Code]:[Ruimte omschrijving]],2,FALSE)</f>
        <v>Sanitair</v>
      </c>
      <c r="L562" s="33" t="s">
        <v>102</v>
      </c>
      <c r="M562" s="367" t="s">
        <v>2492</v>
      </c>
      <c r="N562" s="140">
        <v>15</v>
      </c>
      <c r="O562" s="140"/>
      <c r="P562" s="125" t="str">
        <f>VLOOKUP(Ruimtestaat[[#This Row],[Ruimte code]],Ruimtegroepen[],4,FALSE)</f>
        <v>Sa</v>
      </c>
      <c r="R562" s="33">
        <v>40</v>
      </c>
      <c r="S562" s="33" t="s">
        <v>2</v>
      </c>
      <c r="T562" s="33">
        <f>IF(R562&gt;0,IF(RIGHT(Ruimtestaat[[#This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2" s="33">
        <f>IF(T562&gt;0,VLOOKUP($J562,Ruimtegroepen[],3,FALSE)*VLOOKUP($L562,Vloersoorten[],3,FALSE)*VLOOKUP($S562,Frequenties[],3,FALSE)*VLOOKUP($A562,Locaties[],3,FALSE),0)</f>
        <v>0</v>
      </c>
      <c r="V562" s="33">
        <f>Ruimtestaat[[#This Row],[Uitvoeringen werkdagen]]*Ruimtestaat[[#This Row],[Oppervlak (netto)]]</f>
        <v>3000</v>
      </c>
      <c r="W562" s="154">
        <f>IF(U562&gt;0,Ruimtestaat[[#This Row],[Prest. (m2 /jaar) werkdagen]]/Ruimtestaat[[#This Row],[Norm (m2/uur) werkdagen]],0)</f>
        <v>0</v>
      </c>
      <c r="X562" s="155">
        <f>Ruimtestaat[[#This Row],[uren / jaar werkdagen]]*Tariefsopbouw!$E$35</f>
        <v>0</v>
      </c>
      <c r="Y562" s="33"/>
      <c r="Z562" s="33">
        <f>IF(Ruimtestaat[[#This Row],[Frequentie weekend]]&gt;0,VALUE(LEFT(Y562,1))*R562,0)</f>
        <v>0</v>
      </c>
      <c r="AA562" s="97">
        <f>IF($Z562&gt;0,VLOOKUP($J562,Ruimtegroepen[],3,FALSE)*VLOOKUP($L562,Vloersoorten[],3,FALSE)*VLOOKUP($Y562,Frequenties[],3,FALSE)*VLOOKUP(Ruimtestaat[[#This Row],[Code]],Locaties[],3,FALSE),0)</f>
        <v>0</v>
      </c>
      <c r="AB562" s="97">
        <f>Ruimtestaat[[#This Row],[Uitvoeringen weekend]]*Ruimtestaat[[#This Row],[Oppervlak (netto)]]</f>
        <v>0</v>
      </c>
      <c r="AC562" s="97">
        <f>IF(AA562&gt;0,Ruimtestaat[[#This Row],[Prest. (m2 /jaar) weekend]]/Ruimtestaat[[#This Row],[Norm (m2/uur) weekend]],0)</f>
        <v>0</v>
      </c>
      <c r="AD562" s="155">
        <f>Ruimtestaat[[#This Row],[uren / jaar weekend]]*Tariefsopbouw!$D$40</f>
        <v>0</v>
      </c>
      <c r="AE562" s="154">
        <f>Ruimtestaat[[#This Row],[Prest. (m2 /jaar) weekend]]+Ruimtestaat[[#This Row],[Prest. (m2 /jaar) werkdagen]]</f>
        <v>3000</v>
      </c>
      <c r="AF562" s="154">
        <f>Ruimtestaat[[#This Row],[uren / jaar weekend]]+Ruimtestaat[[#This Row],[uren / jaar werkdagen]]</f>
        <v>0</v>
      </c>
      <c r="AG562" s="69">
        <f>Ruimtestaat[[#This Row],[kosten / jaar weekend]]+Ruimtestaat[[#This Row],[kosten / jaar werkdagen]]</f>
        <v>0</v>
      </c>
      <c r="AH562" s="69"/>
      <c r="AI562" s="256" t="str">
        <f>IF(Ruimtestaat[[#This Row],[Frequentie werkdagen]]="","",_xlfn.CONCAT(Ruimtestaat[[#This Row],[Ruimte code]],"-",Ruimtestaat[[#This Row],[Frequentie werkdagen]]," ",Ruimtestaat[[#This Row],[Vloer code]]))</f>
        <v>5-5w S</v>
      </c>
      <c r="AJ562" s="300" t="str">
        <f>_xlfn.IFNA(VLOOKUP($AI562,Programma!$F$3:$G$1107,2,0),"")</f>
        <v>_</v>
      </c>
      <c r="AK562" s="300" t="str">
        <f>_xlfn.IFNA(VLOOKUP($AI562,Programma!$F$3:$H$1107,3,0),"")</f>
        <v>_</v>
      </c>
      <c r="AL562" s="300" t="str">
        <f>_xlfn.IFNA(VLOOKUP($AI562,Programma!$F$3:$I$1107,4,0),"")</f>
        <v>_</v>
      </c>
      <c r="AM562" s="300" t="str">
        <f>_xlfn.IFNA(VLOOKUP($AI562,Programma!$F$3:$J$1107,5,0),"")</f>
        <v>4w</v>
      </c>
      <c r="AN562" s="300" t="str">
        <f>_xlfn.IFNA(VLOOKUP($AI562,Programma!$F$3:$K$1107,6,0),"")</f>
        <v>1w</v>
      </c>
      <c r="AO562" s="300" t="str">
        <f>_xlfn.IFNA(VLOOKUP($AI562,Programma!$F$3:$L$1107,7,0),"")</f>
        <v>_</v>
      </c>
      <c r="AP562" s="300" t="str">
        <f>_xlfn.IFNA(VLOOKUP($AI562,Programma!$F$3:$M$1107,8,0),"")</f>
        <v>_</v>
      </c>
      <c r="AQ562" s="300" t="str">
        <f>_xlfn.IFNA(VLOOKUP($AI562,Programma!$F$3:$N$1107,9,0),"")</f>
        <v>_</v>
      </c>
      <c r="AR562" s="300" t="str">
        <f>_xlfn.IFNA(VLOOKUP($AI562,Programma!$F$3:$O$1107,10,0),"")</f>
        <v>_</v>
      </c>
      <c r="AS562" s="300" t="str">
        <f>_xlfn.IFNA(VLOOKUP($AI562,Programma!$F$3:$P$1107,11,0),"")</f>
        <v>_</v>
      </c>
      <c r="AT562" s="300" t="str">
        <f>_xlfn.IFNA(VLOOKUP($AI562,Programma!$F$3:$Q$1107,12,0),"")</f>
        <v>_</v>
      </c>
      <c r="AU562" s="300" t="str">
        <f>_xlfn.IFNA(VLOOKUP($AI562,Programma!$F$3:$R$1107,13,0),"")</f>
        <v>_</v>
      </c>
      <c r="AV562" s="300" t="str">
        <f>_xlfn.IFNA(VLOOKUP($AI562,Programma!$F$3:$S$1107,14,0),"")</f>
        <v>_</v>
      </c>
      <c r="AW562" s="300" t="str">
        <f>_xlfn.IFNA(VLOOKUP($AI562,Programma!$F$3:$T$1107,15,0),"")</f>
        <v>_</v>
      </c>
      <c r="AX562" s="300" t="str">
        <f>_xlfn.IFNA(VLOOKUP($AI562,Programma!$F$3:$U$1107,16,0),"")</f>
        <v>_</v>
      </c>
      <c r="AY562" s="300" t="str">
        <f>_xlfn.IFNA(VLOOKUP($AI562,Programma!$F$3:$V$1107,17,0),"")</f>
        <v>_</v>
      </c>
      <c r="AZ562" s="300" t="str">
        <f>_xlfn.IFNA(VLOOKUP($AI562,Programma!$F$3:$W$1107,18,0),"")</f>
        <v>4w</v>
      </c>
      <c r="BA562" s="300" t="str">
        <f>_xlfn.IFNA(VLOOKUP($AI562,Programma!$F$3:$X$1107,19,0),"")</f>
        <v>1w</v>
      </c>
      <c r="BB562" s="300" t="str">
        <f>_xlfn.IFNA(VLOOKUP($AI562,Programma!$F$3:$Y$1107,20,0),"")</f>
        <v>_</v>
      </c>
      <c r="BC562" s="257"/>
      <c r="BD562" s="256" t="str">
        <f>IF(Ruimtestaat[[#This Row],[Frequentie weekend]]="","",_xlfn.CONCAT(Ruimtestaat[[#This Row],[Ruimte code]],"-",Ruimtestaat[[#This Row],[Frequentie weekend]]," ",Ruimtestaat[[#This Row],[Vloer code]]))</f>
        <v/>
      </c>
      <c r="BE562" s="300" t="str">
        <f>_xlfn.IFNA(VLOOKUP($BD562,Programma!$F$3:$G$1107,2,0),"")</f>
        <v/>
      </c>
      <c r="BF562" s="300" t="str">
        <f>_xlfn.IFNA(VLOOKUP($BD562,Programma!$F$3:$H$1107,3,0),"")</f>
        <v/>
      </c>
      <c r="BG562" s="300" t="str">
        <f>_xlfn.IFNA(VLOOKUP($BD562,Programma!$F$3:$I$1107,4,0),"")</f>
        <v/>
      </c>
      <c r="BH562" s="300" t="str">
        <f>_xlfn.IFNA(VLOOKUP($BD562,Programma!$F$3:$J$1107,5,0),"")</f>
        <v/>
      </c>
      <c r="BI562" s="300" t="str">
        <f>_xlfn.IFNA(VLOOKUP($BD562,Programma!$F$3:$K$1107,6,0),"")</f>
        <v/>
      </c>
      <c r="BJ562" s="300" t="str">
        <f>_xlfn.IFNA(VLOOKUP($BD562,Programma!$F$3:$L$1107,7,0),"")</f>
        <v/>
      </c>
      <c r="BK562" s="300" t="str">
        <f>_xlfn.IFNA(VLOOKUP($BD562,Programma!$F$3:$M$1107,8,0),"")</f>
        <v/>
      </c>
      <c r="BL562" s="300" t="str">
        <f>_xlfn.IFNA(VLOOKUP($BD562,Programma!$F$3:$N$1107,9,0),"")</f>
        <v/>
      </c>
      <c r="BM562" s="300" t="str">
        <f>_xlfn.IFNA(VLOOKUP($BD562,Programma!$F$3:$O$1107,10,0),"")</f>
        <v/>
      </c>
      <c r="BN562" s="300" t="str">
        <f>_xlfn.IFNA(VLOOKUP($BD562,Programma!$F$3:$P$1107,11,0),"")</f>
        <v/>
      </c>
      <c r="BO562" s="300" t="str">
        <f>_xlfn.IFNA(VLOOKUP($BD562,Programma!$F$3:$Q$1107,12,0),"")</f>
        <v/>
      </c>
      <c r="BP562" s="300" t="str">
        <f>_xlfn.IFNA(VLOOKUP($BD562,Programma!$F$3:$R$1107,13,0),"")</f>
        <v/>
      </c>
      <c r="BQ562" s="300" t="str">
        <f>_xlfn.IFNA(VLOOKUP($BD562,Programma!$F$3:$S$1107,14,0),"")</f>
        <v/>
      </c>
      <c r="BR562" s="300" t="str">
        <f>_xlfn.IFNA(VLOOKUP($BD562,Programma!$F$3:$T$1107,15,0),"")</f>
        <v/>
      </c>
      <c r="BS562" s="300" t="str">
        <f>_xlfn.IFNA(VLOOKUP($BD562,Programma!$F$3:$U$1107,16,0),"")</f>
        <v/>
      </c>
      <c r="BT562" s="300" t="str">
        <f>_xlfn.IFNA(VLOOKUP($BD562,Programma!$F$3:$V$1107,17,0),"")</f>
        <v/>
      </c>
      <c r="BU562" s="300" t="str">
        <f>_xlfn.IFNA(VLOOKUP($BD562,Programma!$F$3:$W$1107,18,0),"")</f>
        <v/>
      </c>
      <c r="BV562" s="300" t="str">
        <f>_xlfn.IFNA(VLOOKUP($BD562,Programma!$F$3:$X$1107,19,0),"")</f>
        <v/>
      </c>
      <c r="BW562" s="300" t="str">
        <f>_xlfn.IFNA(VLOOKUP($BD562,Programma!$F$3:$Y$1107,20,0),"")</f>
        <v/>
      </c>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c r="GK562" s="4"/>
      <c r="GL562" s="4"/>
      <c r="GM562" s="4"/>
      <c r="GN562" s="4"/>
      <c r="GO562" s="4"/>
      <c r="GP562" s="4"/>
      <c r="GQ562" s="4"/>
      <c r="GR562" s="4"/>
      <c r="GS562" s="4"/>
      <c r="GT562" s="4"/>
      <c r="GU562" s="4"/>
      <c r="GV562" s="4"/>
      <c r="GW562" s="4"/>
      <c r="GX562" s="4"/>
      <c r="GY562" s="4"/>
      <c r="GZ562" s="4"/>
      <c r="HA562" s="4"/>
      <c r="HB562" s="4"/>
      <c r="HC562" s="4"/>
      <c r="HD562" s="4"/>
      <c r="HE562" s="4"/>
      <c r="HF562" s="4"/>
      <c r="HG562" s="4"/>
      <c r="HH562" s="4"/>
      <c r="HI562" s="4"/>
      <c r="HJ562" s="4"/>
      <c r="HK562" s="4"/>
      <c r="HL562" s="4"/>
    </row>
    <row r="563" spans="1:220" ht="15" customHeight="1">
      <c r="A563" s="21">
        <v>7</v>
      </c>
      <c r="B563" s="157" t="str">
        <f>VLOOKUP(Ruimtestaat[[#This Row],[Code]],Locaties[[Code]:[Locatie]],2,FALSE)</f>
        <v>Gymnasium Novum</v>
      </c>
      <c r="C563" s="157" t="str">
        <f>VLOOKUP(Ruimtestaat[[#This Row],[Code]],Locaties[[#All],[Code]:[Adres]],4,FALSE)</f>
        <v>Aart v.d. Leeuwkade 1</v>
      </c>
      <c r="D563" s="157" t="str">
        <f>VLOOKUP(Ruimtestaat[[#This Row],[Code]],Locaties[[#All],[Code]:[Postcode]],5,FALSE)</f>
        <v>2274 KX</v>
      </c>
      <c r="E563" s="157" t="str">
        <f>VLOOKUP(Ruimtestaat[[#This Row],[Code]],Locaties[#All],6,FALSE)</f>
        <v>Voorburg</v>
      </c>
      <c r="F563" s="62"/>
      <c r="G563" s="21" t="s">
        <v>1632</v>
      </c>
      <c r="H563" s="21">
        <v>17</v>
      </c>
      <c r="I563" s="62" t="s">
        <v>2135</v>
      </c>
      <c r="J563" s="21">
        <v>1</v>
      </c>
      <c r="K563" s="62" t="str">
        <f>VLOOKUP(Ruimtestaat[[#This Row],[Ruimte code]],Ruimtegroepen[[#All],[Code]:[Ruimte omschrijving]],2,FALSE)</f>
        <v>Magazijnen/bergingen</v>
      </c>
      <c r="L563" s="33" t="s">
        <v>101</v>
      </c>
      <c r="M563" s="367" t="s">
        <v>2495</v>
      </c>
      <c r="N563" s="140">
        <v>10</v>
      </c>
      <c r="O563" s="140"/>
      <c r="P563" s="125" t="str">
        <f>VLOOKUP(Ruimtestaat[[#This Row],[Ruimte code]],Ruimtegroepen[],4,FALSE)</f>
        <v>Ve</v>
      </c>
      <c r="R563" s="33">
        <v>40</v>
      </c>
      <c r="S563" s="33" t="s">
        <v>16</v>
      </c>
      <c r="T563" s="33">
        <f>IF(R563&gt;0,IF(RIGHT(Ruimtestaat[[#This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563" s="33">
        <f>IF(T563&gt;0,VLOOKUP($J563,Ruimtegroepen[],3,FALSE)*VLOOKUP($L563,Vloersoorten[],3,FALSE)*VLOOKUP($S563,Frequenties[],3,FALSE)*VLOOKUP($A563,Locaties[],3,FALSE),0)</f>
        <v>0</v>
      </c>
      <c r="V563" s="33">
        <f>Ruimtestaat[[#This Row],[Uitvoeringen werkdagen]]*Ruimtestaat[[#This Row],[Oppervlak (netto)]]</f>
        <v>120</v>
      </c>
      <c r="W563" s="154">
        <f>IF(U563&gt;0,Ruimtestaat[[#This Row],[Prest. (m2 /jaar) werkdagen]]/Ruimtestaat[[#This Row],[Norm (m2/uur) werkdagen]],0)</f>
        <v>0</v>
      </c>
      <c r="X563" s="155">
        <f>Ruimtestaat[[#This Row],[uren / jaar werkdagen]]*Tariefsopbouw!$E$35</f>
        <v>0</v>
      </c>
      <c r="Y563" s="33"/>
      <c r="Z563" s="33">
        <f>IF(Ruimtestaat[[#This Row],[Frequentie weekend]]&gt;0,VALUE(LEFT(Y563,1))*R563,0)</f>
        <v>0</v>
      </c>
      <c r="AA563" s="97">
        <f>IF($Z563&gt;0,VLOOKUP($J563,Ruimtegroepen[],3,FALSE)*VLOOKUP($L563,Vloersoorten[],3,FALSE)*VLOOKUP($Y563,Frequenties[],3,FALSE)*VLOOKUP(Ruimtestaat[[#This Row],[Code]],Locaties[],3,FALSE),0)</f>
        <v>0</v>
      </c>
      <c r="AB563" s="97">
        <f>Ruimtestaat[[#This Row],[Uitvoeringen weekend]]*Ruimtestaat[[#This Row],[Oppervlak (netto)]]</f>
        <v>0</v>
      </c>
      <c r="AC563" s="97">
        <f>IF(AA563&gt;0,Ruimtestaat[[#This Row],[Prest. (m2 /jaar) weekend]]/Ruimtestaat[[#This Row],[Norm (m2/uur) weekend]],0)</f>
        <v>0</v>
      </c>
      <c r="AD563" s="155">
        <f>Ruimtestaat[[#This Row],[uren / jaar weekend]]*Tariefsopbouw!$D$40</f>
        <v>0</v>
      </c>
      <c r="AE563" s="154">
        <f>Ruimtestaat[[#This Row],[Prest. (m2 /jaar) weekend]]+Ruimtestaat[[#This Row],[Prest. (m2 /jaar) werkdagen]]</f>
        <v>120</v>
      </c>
      <c r="AF563" s="154">
        <f>Ruimtestaat[[#This Row],[uren / jaar weekend]]+Ruimtestaat[[#This Row],[uren / jaar werkdagen]]</f>
        <v>0</v>
      </c>
      <c r="AG563" s="69">
        <f>Ruimtestaat[[#This Row],[kosten / jaar weekend]]+Ruimtestaat[[#This Row],[kosten / jaar werkdagen]]</f>
        <v>0</v>
      </c>
      <c r="AH563" s="69"/>
      <c r="AI563" s="256" t="str">
        <f>IF(Ruimtestaat[[#This Row],[Frequentie werkdagen]]="","",_xlfn.CONCAT(Ruimtestaat[[#This Row],[Ruimte code]],"-",Ruimtestaat[[#This Row],[Frequentie werkdagen]]," ",Ruimtestaat[[#This Row],[Vloer code]]))</f>
        <v>1-1m L</v>
      </c>
      <c r="AJ563" s="300" t="str">
        <f>_xlfn.IFNA(VLOOKUP($AI563,Programma!$F$3:$G$1107,2,0),"")</f>
        <v>_</v>
      </c>
      <c r="AK563" s="300" t="str">
        <f>_xlfn.IFNA(VLOOKUP($AI563,Programma!$F$3:$H$1107,3,0),"")</f>
        <v>_</v>
      </c>
      <c r="AL563" s="300" t="str">
        <f>_xlfn.IFNA(VLOOKUP($AI563,Programma!$F$3:$I$1107,4,0),"")</f>
        <v>1m</v>
      </c>
      <c r="AM563" s="300" t="str">
        <f>_xlfn.IFNA(VLOOKUP($AI563,Programma!$F$3:$J$1107,5,0),"")</f>
        <v>1m</v>
      </c>
      <c r="AN563" s="300" t="str">
        <f>_xlfn.IFNA(VLOOKUP($AI563,Programma!$F$3:$K$1107,6,0),"")</f>
        <v>_</v>
      </c>
      <c r="AO563" s="300" t="str">
        <f>_xlfn.IFNA(VLOOKUP($AI563,Programma!$F$3:$L$1107,7,0),"")</f>
        <v>_</v>
      </c>
      <c r="AP563" s="300" t="str">
        <f>_xlfn.IFNA(VLOOKUP($AI563,Programma!$F$3:$M$1107,8,0),"")</f>
        <v>_</v>
      </c>
      <c r="AQ563" s="300" t="str">
        <f>_xlfn.IFNA(VLOOKUP($AI563,Programma!$F$3:$N$1107,9,0),"")</f>
        <v>_</v>
      </c>
      <c r="AR563" s="300" t="str">
        <f>_xlfn.IFNA(VLOOKUP($AI563,Programma!$F$3:$O$1107,10,0),"")</f>
        <v>_</v>
      </c>
      <c r="AS563" s="300" t="str">
        <f>_xlfn.IFNA(VLOOKUP($AI563,Programma!$F$3:$P$1107,11,0),"")</f>
        <v>_</v>
      </c>
      <c r="AT563" s="300" t="str">
        <f>_xlfn.IFNA(VLOOKUP($AI563,Programma!$F$3:$Q$1107,12,0),"")</f>
        <v>_</v>
      </c>
      <c r="AU563" s="300" t="str">
        <f>_xlfn.IFNA(VLOOKUP($AI563,Programma!$F$3:$R$1107,13,0),"")</f>
        <v>_</v>
      </c>
      <c r="AV563" s="300" t="str">
        <f>_xlfn.IFNA(VLOOKUP($AI563,Programma!$F$3:$S$1107,14,0),"")</f>
        <v>1m</v>
      </c>
      <c r="AW563" s="300" t="str">
        <f>_xlfn.IFNA(VLOOKUP($AI563,Programma!$F$3:$T$1107,15,0),"")</f>
        <v>4j</v>
      </c>
      <c r="AX563" s="300" t="str">
        <f>_xlfn.IFNA(VLOOKUP($AI563,Programma!$F$3:$U$1107,16,0),"")</f>
        <v>4j</v>
      </c>
      <c r="AY563" s="300" t="str">
        <f>_xlfn.IFNA(VLOOKUP($AI563,Programma!$F$3:$V$1107,17,0),"")</f>
        <v>_</v>
      </c>
      <c r="AZ563" s="300" t="str">
        <f>_xlfn.IFNA(VLOOKUP($AI563,Programma!$F$3:$W$1107,18,0),"")</f>
        <v>_</v>
      </c>
      <c r="BA563" s="300" t="str">
        <f>_xlfn.IFNA(VLOOKUP($AI563,Programma!$F$3:$X$1107,19,0),"")</f>
        <v>_</v>
      </c>
      <c r="BB563" s="300" t="str">
        <f>_xlfn.IFNA(VLOOKUP($AI563,Programma!$F$3:$Y$1107,20,0),"")</f>
        <v>_</v>
      </c>
      <c r="BC563" s="257"/>
      <c r="BD563" s="256" t="str">
        <f>IF(Ruimtestaat[[#This Row],[Frequentie weekend]]="","",_xlfn.CONCAT(Ruimtestaat[[#This Row],[Ruimte code]],"-",Ruimtestaat[[#This Row],[Frequentie weekend]]," ",Ruimtestaat[[#This Row],[Vloer code]]))</f>
        <v/>
      </c>
      <c r="BE563" s="300" t="str">
        <f>_xlfn.IFNA(VLOOKUP($BD563,Programma!$F$3:$G$1107,2,0),"")</f>
        <v/>
      </c>
      <c r="BF563" s="300" t="str">
        <f>_xlfn.IFNA(VLOOKUP($BD563,Programma!$F$3:$H$1107,3,0),"")</f>
        <v/>
      </c>
      <c r="BG563" s="300" t="str">
        <f>_xlfn.IFNA(VLOOKUP($BD563,Programma!$F$3:$I$1107,4,0),"")</f>
        <v/>
      </c>
      <c r="BH563" s="300" t="str">
        <f>_xlfn.IFNA(VLOOKUP($BD563,Programma!$F$3:$J$1107,5,0),"")</f>
        <v/>
      </c>
      <c r="BI563" s="300" t="str">
        <f>_xlfn.IFNA(VLOOKUP($BD563,Programma!$F$3:$K$1107,6,0),"")</f>
        <v/>
      </c>
      <c r="BJ563" s="300" t="str">
        <f>_xlfn.IFNA(VLOOKUP($BD563,Programma!$F$3:$L$1107,7,0),"")</f>
        <v/>
      </c>
      <c r="BK563" s="300" t="str">
        <f>_xlfn.IFNA(VLOOKUP($BD563,Programma!$F$3:$M$1107,8,0),"")</f>
        <v/>
      </c>
      <c r="BL563" s="300" t="str">
        <f>_xlfn.IFNA(VLOOKUP($BD563,Programma!$F$3:$N$1107,9,0),"")</f>
        <v/>
      </c>
      <c r="BM563" s="300" t="str">
        <f>_xlfn.IFNA(VLOOKUP($BD563,Programma!$F$3:$O$1107,10,0),"")</f>
        <v/>
      </c>
      <c r="BN563" s="300" t="str">
        <f>_xlfn.IFNA(VLOOKUP($BD563,Programma!$F$3:$P$1107,11,0),"")</f>
        <v/>
      </c>
      <c r="BO563" s="300" t="str">
        <f>_xlfn.IFNA(VLOOKUP($BD563,Programma!$F$3:$Q$1107,12,0),"")</f>
        <v/>
      </c>
      <c r="BP563" s="300" t="str">
        <f>_xlfn.IFNA(VLOOKUP($BD563,Programma!$F$3:$R$1107,13,0),"")</f>
        <v/>
      </c>
      <c r="BQ563" s="300" t="str">
        <f>_xlfn.IFNA(VLOOKUP($BD563,Programma!$F$3:$S$1107,14,0),"")</f>
        <v/>
      </c>
      <c r="BR563" s="300" t="str">
        <f>_xlfn.IFNA(VLOOKUP($BD563,Programma!$F$3:$T$1107,15,0),"")</f>
        <v/>
      </c>
      <c r="BS563" s="300" t="str">
        <f>_xlfn.IFNA(VLOOKUP($BD563,Programma!$F$3:$U$1107,16,0),"")</f>
        <v/>
      </c>
      <c r="BT563" s="300" t="str">
        <f>_xlfn.IFNA(VLOOKUP($BD563,Programma!$F$3:$V$1107,17,0),"")</f>
        <v/>
      </c>
      <c r="BU563" s="300" t="str">
        <f>_xlfn.IFNA(VLOOKUP($BD563,Programma!$F$3:$W$1107,18,0),"")</f>
        <v/>
      </c>
      <c r="BV563" s="300" t="str">
        <f>_xlfn.IFNA(VLOOKUP($BD563,Programma!$F$3:$X$1107,19,0),"")</f>
        <v/>
      </c>
      <c r="BW563" s="300" t="str">
        <f>_xlfn.IFNA(VLOOKUP($BD563,Programma!$F$3:$Y$1107,20,0),"")</f>
        <v/>
      </c>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c r="GK563" s="4"/>
      <c r="GL563" s="4"/>
      <c r="GM563" s="4"/>
      <c r="GN563" s="4"/>
      <c r="GO563" s="4"/>
      <c r="GP563" s="4"/>
      <c r="GQ563" s="4"/>
      <c r="GR563" s="4"/>
      <c r="GS563" s="4"/>
      <c r="GT563" s="4"/>
      <c r="GU563" s="4"/>
      <c r="GV563" s="4"/>
      <c r="GW563" s="4"/>
      <c r="GX563" s="4"/>
      <c r="GY563" s="4"/>
      <c r="GZ563" s="4"/>
      <c r="HA563" s="4"/>
      <c r="HB563" s="4"/>
      <c r="HC563" s="4"/>
      <c r="HD563" s="4"/>
      <c r="HE563" s="4"/>
      <c r="HF563" s="4"/>
      <c r="HG563" s="4"/>
      <c r="HH563" s="4"/>
      <c r="HI563" s="4"/>
      <c r="HJ563" s="4"/>
      <c r="HK563" s="4"/>
      <c r="HL563" s="4"/>
    </row>
    <row r="564" spans="1:220" ht="15" customHeight="1">
      <c r="A564" s="21">
        <v>7</v>
      </c>
      <c r="B564" s="157" t="str">
        <f>VLOOKUP(Ruimtestaat[[#This Row],[Code]],Locaties[[Code]:[Locatie]],2,FALSE)</f>
        <v>Gymnasium Novum</v>
      </c>
      <c r="C564" s="157" t="str">
        <f>VLOOKUP(Ruimtestaat[[#This Row],[Code]],Locaties[[#All],[Code]:[Adres]],4,FALSE)</f>
        <v>Aart v.d. Leeuwkade 1</v>
      </c>
      <c r="D564" s="157" t="str">
        <f>VLOOKUP(Ruimtestaat[[#This Row],[Code]],Locaties[[#All],[Code]:[Postcode]],5,FALSE)</f>
        <v>2274 KX</v>
      </c>
      <c r="E564" s="157" t="str">
        <f>VLOOKUP(Ruimtestaat[[#This Row],[Code]],Locaties[#All],6,FALSE)</f>
        <v>Voorburg</v>
      </c>
      <c r="F564" s="62"/>
      <c r="G564" s="21" t="s">
        <v>1632</v>
      </c>
      <c r="H564" s="21">
        <v>18</v>
      </c>
      <c r="I564" s="62" t="s">
        <v>1625</v>
      </c>
      <c r="J564" s="21">
        <v>6</v>
      </c>
      <c r="K564" s="62" t="str">
        <f>VLOOKUP(Ruimtestaat[[#This Row],[Ruimte code]],Ruimtegroepen[[#All],[Code]:[Ruimte omschrijving]],2,FALSE)</f>
        <v>Gangen/hallen</v>
      </c>
      <c r="L564" s="33" t="s">
        <v>101</v>
      </c>
      <c r="M564" s="367" t="s">
        <v>2495</v>
      </c>
      <c r="N564" s="140">
        <v>35</v>
      </c>
      <c r="O564" s="140"/>
      <c r="P564" s="125" t="str">
        <f>VLOOKUP(Ruimtestaat[[#This Row],[Ruimte code]],Ruimtegroepen[],4,FALSE)</f>
        <v>Ve</v>
      </c>
      <c r="R564" s="33">
        <v>40</v>
      </c>
      <c r="S564" s="33" t="s">
        <v>2</v>
      </c>
      <c r="T564" s="33">
        <f>IF(R564&gt;0,IF(RIGHT(Ruimtestaat[[#This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4" s="33">
        <f>IF(T564&gt;0,VLOOKUP($J564,Ruimtegroepen[],3,FALSE)*VLOOKUP($L564,Vloersoorten[],3,FALSE)*VLOOKUP($S564,Frequenties[],3,FALSE)*VLOOKUP($A564,Locaties[],3,FALSE),0)</f>
        <v>0</v>
      </c>
      <c r="V564" s="33">
        <f>Ruimtestaat[[#This Row],[Uitvoeringen werkdagen]]*Ruimtestaat[[#This Row],[Oppervlak (netto)]]</f>
        <v>7000</v>
      </c>
      <c r="W564" s="154">
        <f>IF(U564&gt;0,Ruimtestaat[[#This Row],[Prest. (m2 /jaar) werkdagen]]/Ruimtestaat[[#This Row],[Norm (m2/uur) werkdagen]],0)</f>
        <v>0</v>
      </c>
      <c r="X564" s="155">
        <f>Ruimtestaat[[#This Row],[uren / jaar werkdagen]]*Tariefsopbouw!$E$35</f>
        <v>0</v>
      </c>
      <c r="Y564" s="33"/>
      <c r="Z564" s="33">
        <f>IF(Ruimtestaat[[#This Row],[Frequentie weekend]]&gt;0,VALUE(LEFT(Y564,1))*R564,0)</f>
        <v>0</v>
      </c>
      <c r="AA564" s="97">
        <f>IF($Z564&gt;0,VLOOKUP($J564,Ruimtegroepen[],3,FALSE)*VLOOKUP($L564,Vloersoorten[],3,FALSE)*VLOOKUP($Y564,Frequenties[],3,FALSE)*VLOOKUP(Ruimtestaat[[#This Row],[Code]],Locaties[],3,FALSE),0)</f>
        <v>0</v>
      </c>
      <c r="AB564" s="97">
        <f>Ruimtestaat[[#This Row],[Uitvoeringen weekend]]*Ruimtestaat[[#This Row],[Oppervlak (netto)]]</f>
        <v>0</v>
      </c>
      <c r="AC564" s="97">
        <f>IF(AA564&gt;0,Ruimtestaat[[#This Row],[Prest. (m2 /jaar) weekend]]/Ruimtestaat[[#This Row],[Norm (m2/uur) weekend]],0)</f>
        <v>0</v>
      </c>
      <c r="AD564" s="155">
        <f>Ruimtestaat[[#This Row],[uren / jaar weekend]]*Tariefsopbouw!$D$40</f>
        <v>0</v>
      </c>
      <c r="AE564" s="154">
        <f>Ruimtestaat[[#This Row],[Prest. (m2 /jaar) weekend]]+Ruimtestaat[[#This Row],[Prest. (m2 /jaar) werkdagen]]</f>
        <v>7000</v>
      </c>
      <c r="AF564" s="154">
        <f>Ruimtestaat[[#This Row],[uren / jaar weekend]]+Ruimtestaat[[#This Row],[uren / jaar werkdagen]]</f>
        <v>0</v>
      </c>
      <c r="AG564" s="69">
        <f>Ruimtestaat[[#This Row],[kosten / jaar weekend]]+Ruimtestaat[[#This Row],[kosten / jaar werkdagen]]</f>
        <v>0</v>
      </c>
      <c r="AH564" s="69"/>
      <c r="AI564" s="256" t="str">
        <f>IF(Ruimtestaat[[#This Row],[Frequentie werkdagen]]="","",_xlfn.CONCAT(Ruimtestaat[[#This Row],[Ruimte code]],"-",Ruimtestaat[[#This Row],[Frequentie werkdagen]]," ",Ruimtestaat[[#This Row],[Vloer code]]))</f>
        <v>6-5w L</v>
      </c>
      <c r="AJ564" s="300" t="str">
        <f>_xlfn.IFNA(VLOOKUP($AI564,Programma!$F$3:$G$1107,2,0),"")</f>
        <v>_</v>
      </c>
      <c r="AK564" s="300" t="str">
        <f>_xlfn.IFNA(VLOOKUP($AI564,Programma!$F$3:$H$1107,3,0),"")</f>
        <v>_</v>
      </c>
      <c r="AL564" s="300" t="str">
        <f>_xlfn.IFNA(VLOOKUP($AI564,Programma!$F$3:$I$1107,4,0),"")</f>
        <v>_</v>
      </c>
      <c r="AM564" s="300" t="str">
        <f>_xlfn.IFNA(VLOOKUP($AI564,Programma!$F$3:$J$1107,5,0),"")</f>
        <v>5w</v>
      </c>
      <c r="AN564" s="300" t="str">
        <f>_xlfn.IFNA(VLOOKUP($AI564,Programma!$F$3:$K$1107,6,0),"")</f>
        <v>_</v>
      </c>
      <c r="AO564" s="300" t="str">
        <f>_xlfn.IFNA(VLOOKUP($AI564,Programma!$F$3:$L$1107,7,0),"")</f>
        <v>_</v>
      </c>
      <c r="AP564" s="300" t="str">
        <f>_xlfn.IFNA(VLOOKUP($AI564,Programma!$F$3:$M$1107,8,0),"")</f>
        <v>_</v>
      </c>
      <c r="AQ564" s="300" t="str">
        <f>_xlfn.IFNA(VLOOKUP($AI564,Programma!$F$3:$N$1107,9,0),"")</f>
        <v>_</v>
      </c>
      <c r="AR564" s="300" t="str">
        <f>_xlfn.IFNA(VLOOKUP($AI564,Programma!$F$3:$O$1107,10,0),"")</f>
        <v>5w</v>
      </c>
      <c r="AS564" s="300" t="str">
        <f>_xlfn.IFNA(VLOOKUP($AI564,Programma!$F$3:$P$1107,11,0),"")</f>
        <v>5w</v>
      </c>
      <c r="AT564" s="300" t="str">
        <f>_xlfn.IFNA(VLOOKUP($AI564,Programma!$F$3:$Q$1107,12,0),"")</f>
        <v>1w</v>
      </c>
      <c r="AU564" s="300" t="str">
        <f>_xlfn.IFNA(VLOOKUP($AI564,Programma!$F$3:$R$1107,13,0),"")</f>
        <v>1w</v>
      </c>
      <c r="AV564" s="300" t="str">
        <f>_xlfn.IFNA(VLOOKUP($AI564,Programma!$F$3:$S$1107,14,0),"")</f>
        <v>1m</v>
      </c>
      <c r="AW564" s="300" t="str">
        <f>_xlfn.IFNA(VLOOKUP($AI564,Programma!$F$3:$T$1107,15,0),"")</f>
        <v>2j</v>
      </c>
      <c r="AX564" s="300" t="str">
        <f>_xlfn.IFNA(VLOOKUP($AI564,Programma!$F$3:$U$1107,16,0),"")</f>
        <v>1j</v>
      </c>
      <c r="AY564" s="300" t="str">
        <f>_xlfn.IFNA(VLOOKUP($AI564,Programma!$F$3:$V$1107,17,0),"")</f>
        <v>_</v>
      </c>
      <c r="AZ564" s="300" t="str">
        <f>_xlfn.IFNA(VLOOKUP($AI564,Programma!$F$3:$W$1107,18,0),"")</f>
        <v>_</v>
      </c>
      <c r="BA564" s="300" t="str">
        <f>_xlfn.IFNA(VLOOKUP($AI564,Programma!$F$3:$X$1107,19,0),"")</f>
        <v>_</v>
      </c>
      <c r="BB564" s="300" t="str">
        <f>_xlfn.IFNA(VLOOKUP($AI564,Programma!$F$3:$Y$1107,20,0),"")</f>
        <v>_</v>
      </c>
      <c r="BC564" s="257"/>
      <c r="BD564" s="256" t="str">
        <f>IF(Ruimtestaat[[#This Row],[Frequentie weekend]]="","",_xlfn.CONCAT(Ruimtestaat[[#This Row],[Ruimte code]],"-",Ruimtestaat[[#This Row],[Frequentie weekend]]," ",Ruimtestaat[[#This Row],[Vloer code]]))</f>
        <v/>
      </c>
      <c r="BE564" s="300" t="str">
        <f>_xlfn.IFNA(VLOOKUP($BD564,Programma!$F$3:$G$1107,2,0),"")</f>
        <v/>
      </c>
      <c r="BF564" s="300" t="str">
        <f>_xlfn.IFNA(VLOOKUP($BD564,Programma!$F$3:$H$1107,3,0),"")</f>
        <v/>
      </c>
      <c r="BG564" s="300" t="str">
        <f>_xlfn.IFNA(VLOOKUP($BD564,Programma!$F$3:$I$1107,4,0),"")</f>
        <v/>
      </c>
      <c r="BH564" s="300" t="str">
        <f>_xlfn.IFNA(VLOOKUP($BD564,Programma!$F$3:$J$1107,5,0),"")</f>
        <v/>
      </c>
      <c r="BI564" s="300" t="str">
        <f>_xlfn.IFNA(VLOOKUP($BD564,Programma!$F$3:$K$1107,6,0),"")</f>
        <v/>
      </c>
      <c r="BJ564" s="300" t="str">
        <f>_xlfn.IFNA(VLOOKUP($BD564,Programma!$F$3:$L$1107,7,0),"")</f>
        <v/>
      </c>
      <c r="BK564" s="300" t="str">
        <f>_xlfn.IFNA(VLOOKUP($BD564,Programma!$F$3:$M$1107,8,0),"")</f>
        <v/>
      </c>
      <c r="BL564" s="300" t="str">
        <f>_xlfn.IFNA(VLOOKUP($BD564,Programma!$F$3:$N$1107,9,0),"")</f>
        <v/>
      </c>
      <c r="BM564" s="300" t="str">
        <f>_xlfn.IFNA(VLOOKUP($BD564,Programma!$F$3:$O$1107,10,0),"")</f>
        <v/>
      </c>
      <c r="BN564" s="300" t="str">
        <f>_xlfn.IFNA(VLOOKUP($BD564,Programma!$F$3:$P$1107,11,0),"")</f>
        <v/>
      </c>
      <c r="BO564" s="300" t="str">
        <f>_xlfn.IFNA(VLOOKUP($BD564,Programma!$F$3:$Q$1107,12,0),"")</f>
        <v/>
      </c>
      <c r="BP564" s="300" t="str">
        <f>_xlfn.IFNA(VLOOKUP($BD564,Programma!$F$3:$R$1107,13,0),"")</f>
        <v/>
      </c>
      <c r="BQ564" s="300" t="str">
        <f>_xlfn.IFNA(VLOOKUP($BD564,Programma!$F$3:$S$1107,14,0),"")</f>
        <v/>
      </c>
      <c r="BR564" s="300" t="str">
        <f>_xlfn.IFNA(VLOOKUP($BD564,Programma!$F$3:$T$1107,15,0),"")</f>
        <v/>
      </c>
      <c r="BS564" s="300" t="str">
        <f>_xlfn.IFNA(VLOOKUP($BD564,Programma!$F$3:$U$1107,16,0),"")</f>
        <v/>
      </c>
      <c r="BT564" s="300" t="str">
        <f>_xlfn.IFNA(VLOOKUP($BD564,Programma!$F$3:$V$1107,17,0),"")</f>
        <v/>
      </c>
      <c r="BU564" s="300" t="str">
        <f>_xlfn.IFNA(VLOOKUP($BD564,Programma!$F$3:$W$1107,18,0),"")</f>
        <v/>
      </c>
      <c r="BV564" s="300" t="str">
        <f>_xlfn.IFNA(VLOOKUP($BD564,Programma!$F$3:$X$1107,19,0),"")</f>
        <v/>
      </c>
      <c r="BW564" s="300" t="str">
        <f>_xlfn.IFNA(VLOOKUP($BD564,Programma!$F$3:$Y$1107,20,0),"")</f>
        <v/>
      </c>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c r="GK564" s="4"/>
      <c r="GL564" s="4"/>
      <c r="GM564" s="4"/>
      <c r="GN564" s="4"/>
      <c r="GO564" s="4"/>
      <c r="GP564" s="4"/>
      <c r="GQ564" s="4"/>
      <c r="GR564" s="4"/>
      <c r="GS564" s="4"/>
      <c r="GT564" s="4"/>
      <c r="GU564" s="4"/>
      <c r="GV564" s="4"/>
      <c r="GW564" s="4"/>
      <c r="GX564" s="4"/>
      <c r="GY564" s="4"/>
      <c r="GZ564" s="4"/>
      <c r="HA564" s="4"/>
      <c r="HB564" s="4"/>
      <c r="HC564" s="4"/>
      <c r="HD564" s="4"/>
      <c r="HE564" s="4"/>
      <c r="HF564" s="4"/>
      <c r="HG564" s="4"/>
      <c r="HH564" s="4"/>
      <c r="HI564" s="4"/>
      <c r="HJ564" s="4"/>
      <c r="HK564" s="4"/>
      <c r="HL564" s="4"/>
    </row>
    <row r="565" spans="1:220" ht="15" customHeight="1">
      <c r="A565" s="21">
        <v>7</v>
      </c>
      <c r="B565" s="157" t="str">
        <f>VLOOKUP(Ruimtestaat[[#This Row],[Code]],Locaties[[Code]:[Locatie]],2,FALSE)</f>
        <v>Gymnasium Novum</v>
      </c>
      <c r="C565" s="157" t="str">
        <f>VLOOKUP(Ruimtestaat[[#This Row],[Code]],Locaties[[#All],[Code]:[Adres]],4,FALSE)</f>
        <v>Aart v.d. Leeuwkade 1</v>
      </c>
      <c r="D565" s="157" t="str">
        <f>VLOOKUP(Ruimtestaat[[#This Row],[Code]],Locaties[[#All],[Code]:[Postcode]],5,FALSE)</f>
        <v>2274 KX</v>
      </c>
      <c r="E565" s="157" t="str">
        <f>VLOOKUP(Ruimtestaat[[#This Row],[Code]],Locaties[#All],6,FALSE)</f>
        <v>Voorburg</v>
      </c>
      <c r="F565" s="62"/>
      <c r="G565" s="21" t="s">
        <v>1632</v>
      </c>
      <c r="H565" s="21">
        <v>19</v>
      </c>
      <c r="I565" s="62" t="s">
        <v>2136</v>
      </c>
      <c r="J565" s="21">
        <v>10</v>
      </c>
      <c r="K565" s="62" t="str">
        <f>VLOOKUP(Ruimtestaat[[#This Row],[Ruimte code]],Ruimtegroepen[[#All],[Code]:[Ruimte omschrijving]],2,FALSE)</f>
        <v>Trappenhuizen/lift</v>
      </c>
      <c r="L565" s="33" t="s">
        <v>101</v>
      </c>
      <c r="M565" s="367" t="s">
        <v>2495</v>
      </c>
      <c r="N565" s="140">
        <v>19</v>
      </c>
      <c r="O565" s="140"/>
      <c r="P565" s="125" t="str">
        <f>VLOOKUP(Ruimtestaat[[#This Row],[Ruimte code]],Ruimtegroepen[],4,FALSE)</f>
        <v>Ve</v>
      </c>
      <c r="R565" s="33">
        <v>40</v>
      </c>
      <c r="S565" s="33" t="s">
        <v>2</v>
      </c>
      <c r="T565" s="33">
        <f>IF(R565&gt;0,IF(RIGHT(Ruimtestaat[[#This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5" s="33">
        <f>IF(T565&gt;0,VLOOKUP($J565,Ruimtegroepen[],3,FALSE)*VLOOKUP($L565,Vloersoorten[],3,FALSE)*VLOOKUP($S565,Frequenties[],3,FALSE)*VLOOKUP($A565,Locaties[],3,FALSE),0)</f>
        <v>0</v>
      </c>
      <c r="V565" s="33">
        <f>Ruimtestaat[[#This Row],[Uitvoeringen werkdagen]]*Ruimtestaat[[#This Row],[Oppervlak (netto)]]</f>
        <v>3800</v>
      </c>
      <c r="W565" s="154">
        <f>IF(U565&gt;0,Ruimtestaat[[#This Row],[Prest. (m2 /jaar) werkdagen]]/Ruimtestaat[[#This Row],[Norm (m2/uur) werkdagen]],0)</f>
        <v>0</v>
      </c>
      <c r="X565" s="155">
        <f>Ruimtestaat[[#This Row],[uren / jaar werkdagen]]*Tariefsopbouw!$E$35</f>
        <v>0</v>
      </c>
      <c r="Y565" s="33"/>
      <c r="Z565" s="33">
        <f>IF(Ruimtestaat[[#This Row],[Frequentie weekend]]&gt;0,VALUE(LEFT(Y565,1))*R565,0)</f>
        <v>0</v>
      </c>
      <c r="AA565" s="97">
        <f>IF($Z565&gt;0,VLOOKUP($J565,Ruimtegroepen[],3,FALSE)*VLOOKUP($L565,Vloersoorten[],3,FALSE)*VLOOKUP($Y565,Frequenties[],3,FALSE)*VLOOKUP(Ruimtestaat[[#This Row],[Code]],Locaties[],3,FALSE),0)</f>
        <v>0</v>
      </c>
      <c r="AB565" s="97">
        <f>Ruimtestaat[[#This Row],[Uitvoeringen weekend]]*Ruimtestaat[[#This Row],[Oppervlak (netto)]]</f>
        <v>0</v>
      </c>
      <c r="AC565" s="97">
        <f>IF(AA565&gt;0,Ruimtestaat[[#This Row],[Prest. (m2 /jaar) weekend]]/Ruimtestaat[[#This Row],[Norm (m2/uur) weekend]],0)</f>
        <v>0</v>
      </c>
      <c r="AD565" s="155">
        <f>Ruimtestaat[[#This Row],[uren / jaar weekend]]*Tariefsopbouw!$D$40</f>
        <v>0</v>
      </c>
      <c r="AE565" s="154">
        <f>Ruimtestaat[[#This Row],[Prest. (m2 /jaar) weekend]]+Ruimtestaat[[#This Row],[Prest. (m2 /jaar) werkdagen]]</f>
        <v>3800</v>
      </c>
      <c r="AF565" s="154">
        <f>Ruimtestaat[[#This Row],[uren / jaar weekend]]+Ruimtestaat[[#This Row],[uren / jaar werkdagen]]</f>
        <v>0</v>
      </c>
      <c r="AG565" s="69">
        <f>Ruimtestaat[[#This Row],[kosten / jaar weekend]]+Ruimtestaat[[#This Row],[kosten / jaar werkdagen]]</f>
        <v>0</v>
      </c>
      <c r="AH565" s="69"/>
      <c r="AI565" s="256" t="str">
        <f>IF(Ruimtestaat[[#This Row],[Frequentie werkdagen]]="","",_xlfn.CONCAT(Ruimtestaat[[#This Row],[Ruimte code]],"-",Ruimtestaat[[#This Row],[Frequentie werkdagen]]," ",Ruimtestaat[[#This Row],[Vloer code]]))</f>
        <v>10-5w L</v>
      </c>
      <c r="AJ565" s="300" t="str">
        <f>_xlfn.IFNA(VLOOKUP($AI565,Programma!$F$3:$G$1107,2,0),"")</f>
        <v>_</v>
      </c>
      <c r="AK565" s="300" t="str">
        <f>_xlfn.IFNA(VLOOKUP($AI565,Programma!$F$3:$H$1107,3,0),"")</f>
        <v>_</v>
      </c>
      <c r="AL565" s="300" t="str">
        <f>_xlfn.IFNA(VLOOKUP($AI565,Programma!$F$3:$I$1107,4,0),"")</f>
        <v>4w</v>
      </c>
      <c r="AM565" s="300" t="str">
        <f>_xlfn.IFNA(VLOOKUP($AI565,Programma!$F$3:$J$1107,5,0),"")</f>
        <v>1w</v>
      </c>
      <c r="AN565" s="300" t="str">
        <f>_xlfn.IFNA(VLOOKUP($AI565,Programma!$F$3:$K$1107,6,0),"")</f>
        <v>_</v>
      </c>
      <c r="AO565" s="300" t="str">
        <f>_xlfn.IFNA(VLOOKUP($AI565,Programma!$F$3:$L$1107,7,0),"")</f>
        <v>_</v>
      </c>
      <c r="AP565" s="300" t="str">
        <f>_xlfn.IFNA(VLOOKUP($AI565,Programma!$F$3:$M$1107,8,0),"")</f>
        <v>_</v>
      </c>
      <c r="AQ565" s="300" t="str">
        <f>_xlfn.IFNA(VLOOKUP($AI565,Programma!$F$3:$N$1107,9,0),"")</f>
        <v>_</v>
      </c>
      <c r="AR565" s="300" t="str">
        <f>_xlfn.IFNA(VLOOKUP($AI565,Programma!$F$3:$O$1107,10,0),"")</f>
        <v>5w</v>
      </c>
      <c r="AS565" s="300" t="str">
        <f>_xlfn.IFNA(VLOOKUP($AI565,Programma!$F$3:$P$1107,11,0),"")</f>
        <v>5w</v>
      </c>
      <c r="AT565" s="300" t="str">
        <f>_xlfn.IFNA(VLOOKUP($AI565,Programma!$F$3:$Q$1107,12,0),"")</f>
        <v>1w</v>
      </c>
      <c r="AU565" s="300" t="str">
        <f>_xlfn.IFNA(VLOOKUP($AI565,Programma!$F$3:$R$1107,13,0),"")</f>
        <v>1w</v>
      </c>
      <c r="AV565" s="300" t="str">
        <f>_xlfn.IFNA(VLOOKUP($AI565,Programma!$F$3:$S$1107,14,0),"")</f>
        <v>1m</v>
      </c>
      <c r="AW565" s="300" t="str">
        <f>_xlfn.IFNA(VLOOKUP($AI565,Programma!$F$3:$T$1107,15,0),"")</f>
        <v>2j</v>
      </c>
      <c r="AX565" s="300" t="str">
        <f>_xlfn.IFNA(VLOOKUP($AI565,Programma!$F$3:$U$1107,16,0),"")</f>
        <v>1j</v>
      </c>
      <c r="AY565" s="300" t="str">
        <f>_xlfn.IFNA(VLOOKUP($AI565,Programma!$F$3:$V$1107,17,0),"")</f>
        <v>_</v>
      </c>
      <c r="AZ565" s="300" t="str">
        <f>_xlfn.IFNA(VLOOKUP($AI565,Programma!$F$3:$W$1107,18,0),"")</f>
        <v>_</v>
      </c>
      <c r="BA565" s="300" t="str">
        <f>_xlfn.IFNA(VLOOKUP($AI565,Programma!$F$3:$X$1107,19,0),"")</f>
        <v>_</v>
      </c>
      <c r="BB565" s="300" t="str">
        <f>_xlfn.IFNA(VLOOKUP($AI565,Programma!$F$3:$Y$1107,20,0),"")</f>
        <v>_</v>
      </c>
      <c r="BC565" s="257"/>
      <c r="BD565" s="256" t="str">
        <f>IF(Ruimtestaat[[#This Row],[Frequentie weekend]]="","",_xlfn.CONCAT(Ruimtestaat[[#This Row],[Ruimte code]],"-",Ruimtestaat[[#This Row],[Frequentie weekend]]," ",Ruimtestaat[[#This Row],[Vloer code]]))</f>
        <v/>
      </c>
      <c r="BE565" s="300" t="str">
        <f>_xlfn.IFNA(VLOOKUP($BD565,Programma!$F$3:$G$1107,2,0),"")</f>
        <v/>
      </c>
      <c r="BF565" s="300" t="str">
        <f>_xlfn.IFNA(VLOOKUP($BD565,Programma!$F$3:$H$1107,3,0),"")</f>
        <v/>
      </c>
      <c r="BG565" s="300" t="str">
        <f>_xlfn.IFNA(VLOOKUP($BD565,Programma!$F$3:$I$1107,4,0),"")</f>
        <v/>
      </c>
      <c r="BH565" s="300" t="str">
        <f>_xlfn.IFNA(VLOOKUP($BD565,Programma!$F$3:$J$1107,5,0),"")</f>
        <v/>
      </c>
      <c r="BI565" s="300" t="str">
        <f>_xlfn.IFNA(VLOOKUP($BD565,Programma!$F$3:$K$1107,6,0),"")</f>
        <v/>
      </c>
      <c r="BJ565" s="300" t="str">
        <f>_xlfn.IFNA(VLOOKUP($BD565,Programma!$F$3:$L$1107,7,0),"")</f>
        <v/>
      </c>
      <c r="BK565" s="300" t="str">
        <f>_xlfn.IFNA(VLOOKUP($BD565,Programma!$F$3:$M$1107,8,0),"")</f>
        <v/>
      </c>
      <c r="BL565" s="300" t="str">
        <f>_xlfn.IFNA(VLOOKUP($BD565,Programma!$F$3:$N$1107,9,0),"")</f>
        <v/>
      </c>
      <c r="BM565" s="300" t="str">
        <f>_xlfn.IFNA(VLOOKUP($BD565,Programma!$F$3:$O$1107,10,0),"")</f>
        <v/>
      </c>
      <c r="BN565" s="300" t="str">
        <f>_xlfn.IFNA(VLOOKUP($BD565,Programma!$F$3:$P$1107,11,0),"")</f>
        <v/>
      </c>
      <c r="BO565" s="300" t="str">
        <f>_xlfn.IFNA(VLOOKUP($BD565,Programma!$F$3:$Q$1107,12,0),"")</f>
        <v/>
      </c>
      <c r="BP565" s="300" t="str">
        <f>_xlfn.IFNA(VLOOKUP($BD565,Programma!$F$3:$R$1107,13,0),"")</f>
        <v/>
      </c>
      <c r="BQ565" s="300" t="str">
        <f>_xlfn.IFNA(VLOOKUP($BD565,Programma!$F$3:$S$1107,14,0),"")</f>
        <v/>
      </c>
      <c r="BR565" s="300" t="str">
        <f>_xlfn.IFNA(VLOOKUP($BD565,Programma!$F$3:$T$1107,15,0),"")</f>
        <v/>
      </c>
      <c r="BS565" s="300" t="str">
        <f>_xlfn.IFNA(VLOOKUP($BD565,Programma!$F$3:$U$1107,16,0),"")</f>
        <v/>
      </c>
      <c r="BT565" s="300" t="str">
        <f>_xlfn.IFNA(VLOOKUP($BD565,Programma!$F$3:$V$1107,17,0),"")</f>
        <v/>
      </c>
      <c r="BU565" s="300" t="str">
        <f>_xlfn.IFNA(VLOOKUP($BD565,Programma!$F$3:$W$1107,18,0),"")</f>
        <v/>
      </c>
      <c r="BV565" s="300" t="str">
        <f>_xlfn.IFNA(VLOOKUP($BD565,Programma!$F$3:$X$1107,19,0),"")</f>
        <v/>
      </c>
      <c r="BW565" s="300" t="str">
        <f>_xlfn.IFNA(VLOOKUP($BD565,Programma!$F$3:$Y$1107,20,0),"")</f>
        <v/>
      </c>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c r="GK565" s="4"/>
      <c r="GL565" s="4"/>
      <c r="GM565" s="4"/>
      <c r="GN565" s="4"/>
      <c r="GO565" s="4"/>
      <c r="GP565" s="4"/>
      <c r="GQ565" s="4"/>
      <c r="GR565" s="4"/>
      <c r="GS565" s="4"/>
      <c r="GT565" s="4"/>
      <c r="GU565" s="4"/>
      <c r="GV565" s="4"/>
      <c r="GW565" s="4"/>
      <c r="GX565" s="4"/>
      <c r="GY565" s="4"/>
      <c r="GZ565" s="4"/>
      <c r="HA565" s="4"/>
      <c r="HB565" s="4"/>
      <c r="HC565" s="4"/>
      <c r="HD565" s="4"/>
      <c r="HE565" s="4"/>
      <c r="HF565" s="4"/>
      <c r="HG565" s="4"/>
      <c r="HH565" s="4"/>
      <c r="HI565" s="4"/>
      <c r="HJ565" s="4"/>
      <c r="HK565" s="4"/>
      <c r="HL565" s="4"/>
    </row>
    <row r="566" spans="1:220" ht="15" customHeight="1">
      <c r="A566" s="21">
        <v>7</v>
      </c>
      <c r="B566" s="157" t="str">
        <f>VLOOKUP(Ruimtestaat[[#This Row],[Code]],Locaties[[Code]:[Locatie]],2,FALSE)</f>
        <v>Gymnasium Novum</v>
      </c>
      <c r="C566" s="157" t="str">
        <f>VLOOKUP(Ruimtestaat[[#This Row],[Code]],Locaties[[#All],[Code]:[Adres]],4,FALSE)</f>
        <v>Aart v.d. Leeuwkade 1</v>
      </c>
      <c r="D566" s="157" t="str">
        <f>VLOOKUP(Ruimtestaat[[#This Row],[Code]],Locaties[[#All],[Code]:[Postcode]],5,FALSE)</f>
        <v>2274 KX</v>
      </c>
      <c r="E566" s="157" t="str">
        <f>VLOOKUP(Ruimtestaat[[#This Row],[Code]],Locaties[#All],6,FALSE)</f>
        <v>Voorburg</v>
      </c>
      <c r="F566" s="62"/>
      <c r="G566" s="21" t="s">
        <v>1632</v>
      </c>
      <c r="H566" s="21">
        <v>20</v>
      </c>
      <c r="I566" s="62" t="s">
        <v>2137</v>
      </c>
      <c r="J566" s="21">
        <v>14</v>
      </c>
      <c r="K566" s="62" t="str">
        <f>VLOOKUP(Ruimtestaat[[#This Row],[Ruimte code]],Ruimtegroepen[[#All],[Code]:[Ruimte omschrijving]],2,FALSE)</f>
        <v>Praktijklokalen binas/zorg</v>
      </c>
      <c r="L566" s="33" t="s">
        <v>101</v>
      </c>
      <c r="M566" s="367" t="s">
        <v>2495</v>
      </c>
      <c r="N566" s="140">
        <v>116</v>
      </c>
      <c r="O566" s="140"/>
      <c r="P566" s="125" t="str">
        <f>VLOOKUP(Ruimtestaat[[#This Row],[Ruimte code]],Ruimtegroepen[],4,FALSE)</f>
        <v>Le</v>
      </c>
      <c r="R566" s="33">
        <v>40</v>
      </c>
      <c r="S566" s="33" t="s">
        <v>2</v>
      </c>
      <c r="T566" s="33">
        <f>IF(R566&gt;0,IF(RIGHT(Ruimtestaat[[#This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6" s="33">
        <f>IF(T566&gt;0,VLOOKUP($J566,Ruimtegroepen[],3,FALSE)*VLOOKUP($L566,Vloersoorten[],3,FALSE)*VLOOKUP($S566,Frequenties[],3,FALSE)*VLOOKUP($A566,Locaties[],3,FALSE),0)</f>
        <v>0</v>
      </c>
      <c r="V566" s="33">
        <f>Ruimtestaat[[#This Row],[Uitvoeringen werkdagen]]*Ruimtestaat[[#This Row],[Oppervlak (netto)]]</f>
        <v>23200</v>
      </c>
      <c r="W566" s="154">
        <f>IF(U566&gt;0,Ruimtestaat[[#This Row],[Prest. (m2 /jaar) werkdagen]]/Ruimtestaat[[#This Row],[Norm (m2/uur) werkdagen]],0)</f>
        <v>0</v>
      </c>
      <c r="X566" s="155">
        <f>Ruimtestaat[[#This Row],[uren / jaar werkdagen]]*Tariefsopbouw!$E$35</f>
        <v>0</v>
      </c>
      <c r="Y566" s="33"/>
      <c r="Z566" s="33">
        <f>IF(Ruimtestaat[[#This Row],[Frequentie weekend]]&gt;0,VALUE(LEFT(Y566,1))*R566,0)</f>
        <v>0</v>
      </c>
      <c r="AA566" s="97">
        <f>IF($Z566&gt;0,VLOOKUP($J566,Ruimtegroepen[],3,FALSE)*VLOOKUP($L566,Vloersoorten[],3,FALSE)*VLOOKUP($Y566,Frequenties[],3,FALSE)*VLOOKUP(Ruimtestaat[[#This Row],[Code]],Locaties[],3,FALSE),0)</f>
        <v>0</v>
      </c>
      <c r="AB566" s="97">
        <f>Ruimtestaat[[#This Row],[Uitvoeringen weekend]]*Ruimtestaat[[#This Row],[Oppervlak (netto)]]</f>
        <v>0</v>
      </c>
      <c r="AC566" s="97">
        <f>IF(AA566&gt;0,Ruimtestaat[[#This Row],[Prest. (m2 /jaar) weekend]]/Ruimtestaat[[#This Row],[Norm (m2/uur) weekend]],0)</f>
        <v>0</v>
      </c>
      <c r="AD566" s="155">
        <f>Ruimtestaat[[#This Row],[uren / jaar weekend]]*Tariefsopbouw!$D$40</f>
        <v>0</v>
      </c>
      <c r="AE566" s="154">
        <f>Ruimtestaat[[#This Row],[Prest. (m2 /jaar) weekend]]+Ruimtestaat[[#This Row],[Prest. (m2 /jaar) werkdagen]]</f>
        <v>23200</v>
      </c>
      <c r="AF566" s="154">
        <f>Ruimtestaat[[#This Row],[uren / jaar weekend]]+Ruimtestaat[[#This Row],[uren / jaar werkdagen]]</f>
        <v>0</v>
      </c>
      <c r="AG566" s="69">
        <f>Ruimtestaat[[#This Row],[kosten / jaar weekend]]+Ruimtestaat[[#This Row],[kosten / jaar werkdagen]]</f>
        <v>0</v>
      </c>
      <c r="AH566" s="69"/>
      <c r="AI566" s="256" t="str">
        <f>IF(Ruimtestaat[[#This Row],[Frequentie werkdagen]]="","",_xlfn.CONCAT(Ruimtestaat[[#This Row],[Ruimte code]],"-",Ruimtestaat[[#This Row],[Frequentie werkdagen]]," ",Ruimtestaat[[#This Row],[Vloer code]]))</f>
        <v>14-5w L</v>
      </c>
      <c r="AJ566" s="300" t="str">
        <f>_xlfn.IFNA(VLOOKUP($AI566,Programma!$F$3:$G$1107,2,0),"")</f>
        <v>_</v>
      </c>
      <c r="AK566" s="300" t="str">
        <f>_xlfn.IFNA(VLOOKUP($AI566,Programma!$F$3:$H$1107,3,0),"")</f>
        <v>_</v>
      </c>
      <c r="AL566" s="300" t="str">
        <f>_xlfn.IFNA(VLOOKUP($AI566,Programma!$F$3:$I$1107,4,0),"")</f>
        <v>_</v>
      </c>
      <c r="AM566" s="300" t="str">
        <f>_xlfn.IFNA(VLOOKUP($AI566,Programma!$F$3:$J$1107,5,0),"")</f>
        <v>5w</v>
      </c>
      <c r="AN566" s="300" t="str">
        <f>_xlfn.IFNA(VLOOKUP($AI566,Programma!$F$3:$K$1107,6,0),"")</f>
        <v>_</v>
      </c>
      <c r="AO566" s="300" t="str">
        <f>_xlfn.IFNA(VLOOKUP($AI566,Programma!$F$3:$L$1107,7,0),"")</f>
        <v>_</v>
      </c>
      <c r="AP566" s="300" t="str">
        <f>_xlfn.IFNA(VLOOKUP($AI566,Programma!$F$3:$M$1107,8,0),"")</f>
        <v>_</v>
      </c>
      <c r="AQ566" s="300" t="str">
        <f>_xlfn.IFNA(VLOOKUP($AI566,Programma!$F$3:$N$1107,9,0),"")</f>
        <v>_</v>
      </c>
      <c r="AR566" s="300" t="str">
        <f>_xlfn.IFNA(VLOOKUP($AI566,Programma!$F$3:$O$1107,10,0),"")</f>
        <v>5w</v>
      </c>
      <c r="AS566" s="300" t="str">
        <f>_xlfn.IFNA(VLOOKUP($AI566,Programma!$F$3:$P$1107,11,0),"")</f>
        <v>5w</v>
      </c>
      <c r="AT566" s="300" t="str">
        <f>_xlfn.IFNA(VLOOKUP($AI566,Programma!$F$3:$Q$1107,12,0),"")</f>
        <v>1w</v>
      </c>
      <c r="AU566" s="300" t="str">
        <f>_xlfn.IFNA(VLOOKUP($AI566,Programma!$F$3:$R$1107,13,0),"")</f>
        <v>1w</v>
      </c>
      <c r="AV566" s="300" t="str">
        <f>_xlfn.IFNA(VLOOKUP($AI566,Programma!$F$3:$S$1107,14,0),"")</f>
        <v>1m</v>
      </c>
      <c r="AW566" s="300" t="str">
        <f>_xlfn.IFNA(VLOOKUP($AI566,Programma!$F$3:$T$1107,15,0),"")</f>
        <v>2j</v>
      </c>
      <c r="AX566" s="300" t="str">
        <f>_xlfn.IFNA(VLOOKUP($AI566,Programma!$F$3:$U$1107,16,0),"")</f>
        <v>1j</v>
      </c>
      <c r="AY566" s="300" t="str">
        <f>_xlfn.IFNA(VLOOKUP($AI566,Programma!$F$3:$V$1107,17,0),"")</f>
        <v>_</v>
      </c>
      <c r="AZ566" s="300" t="str">
        <f>_xlfn.IFNA(VLOOKUP($AI566,Programma!$F$3:$W$1107,18,0),"")</f>
        <v>_</v>
      </c>
      <c r="BA566" s="300" t="str">
        <f>_xlfn.IFNA(VLOOKUP($AI566,Programma!$F$3:$X$1107,19,0),"")</f>
        <v>_</v>
      </c>
      <c r="BB566" s="300" t="str">
        <f>_xlfn.IFNA(VLOOKUP($AI566,Programma!$F$3:$Y$1107,20,0),"")</f>
        <v>_</v>
      </c>
      <c r="BC566" s="257"/>
      <c r="BD566" s="256" t="str">
        <f>IF(Ruimtestaat[[#This Row],[Frequentie weekend]]="","",_xlfn.CONCAT(Ruimtestaat[[#This Row],[Ruimte code]],"-",Ruimtestaat[[#This Row],[Frequentie weekend]]," ",Ruimtestaat[[#This Row],[Vloer code]]))</f>
        <v/>
      </c>
      <c r="BE566" s="300" t="str">
        <f>_xlfn.IFNA(VLOOKUP($BD566,Programma!$F$3:$G$1107,2,0),"")</f>
        <v/>
      </c>
      <c r="BF566" s="300" t="str">
        <f>_xlfn.IFNA(VLOOKUP($BD566,Programma!$F$3:$H$1107,3,0),"")</f>
        <v/>
      </c>
      <c r="BG566" s="300" t="str">
        <f>_xlfn.IFNA(VLOOKUP($BD566,Programma!$F$3:$I$1107,4,0),"")</f>
        <v/>
      </c>
      <c r="BH566" s="300" t="str">
        <f>_xlfn.IFNA(VLOOKUP($BD566,Programma!$F$3:$J$1107,5,0),"")</f>
        <v/>
      </c>
      <c r="BI566" s="300" t="str">
        <f>_xlfn.IFNA(VLOOKUP($BD566,Programma!$F$3:$K$1107,6,0),"")</f>
        <v/>
      </c>
      <c r="BJ566" s="300" t="str">
        <f>_xlfn.IFNA(VLOOKUP($BD566,Programma!$F$3:$L$1107,7,0),"")</f>
        <v/>
      </c>
      <c r="BK566" s="300" t="str">
        <f>_xlfn.IFNA(VLOOKUP($BD566,Programma!$F$3:$M$1107,8,0),"")</f>
        <v/>
      </c>
      <c r="BL566" s="300" t="str">
        <f>_xlfn.IFNA(VLOOKUP($BD566,Programma!$F$3:$N$1107,9,0),"")</f>
        <v/>
      </c>
      <c r="BM566" s="300" t="str">
        <f>_xlfn.IFNA(VLOOKUP($BD566,Programma!$F$3:$O$1107,10,0),"")</f>
        <v/>
      </c>
      <c r="BN566" s="300" t="str">
        <f>_xlfn.IFNA(VLOOKUP($BD566,Programma!$F$3:$P$1107,11,0),"")</f>
        <v/>
      </c>
      <c r="BO566" s="300" t="str">
        <f>_xlfn.IFNA(VLOOKUP($BD566,Programma!$F$3:$Q$1107,12,0),"")</f>
        <v/>
      </c>
      <c r="BP566" s="300" t="str">
        <f>_xlfn.IFNA(VLOOKUP($BD566,Programma!$F$3:$R$1107,13,0),"")</f>
        <v/>
      </c>
      <c r="BQ566" s="300" t="str">
        <f>_xlfn.IFNA(VLOOKUP($BD566,Programma!$F$3:$S$1107,14,0),"")</f>
        <v/>
      </c>
      <c r="BR566" s="300" t="str">
        <f>_xlfn.IFNA(VLOOKUP($BD566,Programma!$F$3:$T$1107,15,0),"")</f>
        <v/>
      </c>
      <c r="BS566" s="300" t="str">
        <f>_xlfn.IFNA(VLOOKUP($BD566,Programma!$F$3:$U$1107,16,0),"")</f>
        <v/>
      </c>
      <c r="BT566" s="300" t="str">
        <f>_xlfn.IFNA(VLOOKUP($BD566,Programma!$F$3:$V$1107,17,0),"")</f>
        <v/>
      </c>
      <c r="BU566" s="300" t="str">
        <f>_xlfn.IFNA(VLOOKUP($BD566,Programma!$F$3:$W$1107,18,0),"")</f>
        <v/>
      </c>
      <c r="BV566" s="300" t="str">
        <f>_xlfn.IFNA(VLOOKUP($BD566,Programma!$F$3:$X$1107,19,0),"")</f>
        <v/>
      </c>
      <c r="BW566" s="300" t="str">
        <f>_xlfn.IFNA(VLOOKUP($BD566,Programma!$F$3:$Y$1107,20,0),"")</f>
        <v/>
      </c>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c r="GK566" s="4"/>
      <c r="GL566" s="4"/>
      <c r="GM566" s="4"/>
      <c r="GN566" s="4"/>
      <c r="GO566" s="4"/>
      <c r="GP566" s="4"/>
      <c r="GQ566" s="4"/>
      <c r="GR566" s="4"/>
      <c r="GS566" s="4"/>
      <c r="GT566" s="4"/>
      <c r="GU566" s="4"/>
      <c r="GV566" s="4"/>
      <c r="GW566" s="4"/>
      <c r="GX566" s="4"/>
      <c r="GY566" s="4"/>
      <c r="GZ566" s="4"/>
      <c r="HA566" s="4"/>
      <c r="HB566" s="4"/>
      <c r="HC566" s="4"/>
      <c r="HD566" s="4"/>
      <c r="HE566" s="4"/>
      <c r="HF566" s="4"/>
      <c r="HG566" s="4"/>
      <c r="HH566" s="4"/>
      <c r="HI566" s="4"/>
      <c r="HJ566" s="4"/>
      <c r="HK566" s="4"/>
      <c r="HL566" s="4"/>
    </row>
    <row r="567" spans="1:220" ht="15" customHeight="1">
      <c r="A567" s="21">
        <v>7</v>
      </c>
      <c r="B567" s="157" t="str">
        <f>VLOOKUP(Ruimtestaat[[#This Row],[Code]],Locaties[[Code]:[Locatie]],2,FALSE)</f>
        <v>Gymnasium Novum</v>
      </c>
      <c r="C567" s="157" t="str">
        <f>VLOOKUP(Ruimtestaat[[#This Row],[Code]],Locaties[[#All],[Code]:[Adres]],4,FALSE)</f>
        <v>Aart v.d. Leeuwkade 1</v>
      </c>
      <c r="D567" s="157" t="str">
        <f>VLOOKUP(Ruimtestaat[[#This Row],[Code]],Locaties[[#All],[Code]:[Postcode]],5,FALSE)</f>
        <v>2274 KX</v>
      </c>
      <c r="E567" s="157" t="str">
        <f>VLOOKUP(Ruimtestaat[[#This Row],[Code]],Locaties[#All],6,FALSE)</f>
        <v>Voorburg</v>
      </c>
      <c r="F567" s="62"/>
      <c r="G567" s="21" t="s">
        <v>1632</v>
      </c>
      <c r="H567" s="21">
        <v>21</v>
      </c>
      <c r="I567" s="62" t="s">
        <v>1644</v>
      </c>
      <c r="J567" s="21">
        <v>1</v>
      </c>
      <c r="K567" s="62" t="str">
        <f>VLOOKUP(Ruimtestaat[[#This Row],[Ruimte code]],Ruimtegroepen[[#All],[Code]:[Ruimte omschrijving]],2,FALSE)</f>
        <v>Magazijnen/bergingen</v>
      </c>
      <c r="L567" s="33" t="s">
        <v>101</v>
      </c>
      <c r="M567" s="367" t="s">
        <v>2495</v>
      </c>
      <c r="N567" s="140">
        <v>29</v>
      </c>
      <c r="O567" s="140"/>
      <c r="P567" s="125" t="str">
        <f>VLOOKUP(Ruimtestaat[[#This Row],[Ruimte code]],Ruimtegroepen[],4,FALSE)</f>
        <v>Ve</v>
      </c>
      <c r="R567" s="33">
        <v>40</v>
      </c>
      <c r="S567" s="33" t="s">
        <v>16</v>
      </c>
      <c r="T567" s="33">
        <f>IF(R567&gt;0,IF(RIGHT(Ruimtestaat[[#This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567" s="33">
        <f>IF(T567&gt;0,VLOOKUP($J567,Ruimtegroepen[],3,FALSE)*VLOOKUP($L567,Vloersoorten[],3,FALSE)*VLOOKUP($S567,Frequenties[],3,FALSE)*VLOOKUP($A567,Locaties[],3,FALSE),0)</f>
        <v>0</v>
      </c>
      <c r="V567" s="33">
        <f>Ruimtestaat[[#This Row],[Uitvoeringen werkdagen]]*Ruimtestaat[[#This Row],[Oppervlak (netto)]]</f>
        <v>348</v>
      </c>
      <c r="W567" s="154">
        <f>IF(U567&gt;0,Ruimtestaat[[#This Row],[Prest. (m2 /jaar) werkdagen]]/Ruimtestaat[[#This Row],[Norm (m2/uur) werkdagen]],0)</f>
        <v>0</v>
      </c>
      <c r="X567" s="155">
        <f>Ruimtestaat[[#This Row],[uren / jaar werkdagen]]*Tariefsopbouw!$E$35</f>
        <v>0</v>
      </c>
      <c r="Y567" s="33"/>
      <c r="Z567" s="33">
        <f>IF(Ruimtestaat[[#This Row],[Frequentie weekend]]&gt;0,VALUE(LEFT(Y567,1))*R567,0)</f>
        <v>0</v>
      </c>
      <c r="AA567" s="97">
        <f>IF($Z567&gt;0,VLOOKUP($J567,Ruimtegroepen[],3,FALSE)*VLOOKUP($L567,Vloersoorten[],3,FALSE)*VLOOKUP($Y567,Frequenties[],3,FALSE)*VLOOKUP(Ruimtestaat[[#This Row],[Code]],Locaties[],3,FALSE),0)</f>
        <v>0</v>
      </c>
      <c r="AB567" s="97">
        <f>Ruimtestaat[[#This Row],[Uitvoeringen weekend]]*Ruimtestaat[[#This Row],[Oppervlak (netto)]]</f>
        <v>0</v>
      </c>
      <c r="AC567" s="97">
        <f>IF(AA567&gt;0,Ruimtestaat[[#This Row],[Prest. (m2 /jaar) weekend]]/Ruimtestaat[[#This Row],[Norm (m2/uur) weekend]],0)</f>
        <v>0</v>
      </c>
      <c r="AD567" s="155">
        <f>Ruimtestaat[[#This Row],[uren / jaar weekend]]*Tariefsopbouw!$D$40</f>
        <v>0</v>
      </c>
      <c r="AE567" s="154">
        <f>Ruimtestaat[[#This Row],[Prest. (m2 /jaar) weekend]]+Ruimtestaat[[#This Row],[Prest. (m2 /jaar) werkdagen]]</f>
        <v>348</v>
      </c>
      <c r="AF567" s="154">
        <f>Ruimtestaat[[#This Row],[uren / jaar weekend]]+Ruimtestaat[[#This Row],[uren / jaar werkdagen]]</f>
        <v>0</v>
      </c>
      <c r="AG567" s="69">
        <f>Ruimtestaat[[#This Row],[kosten / jaar weekend]]+Ruimtestaat[[#This Row],[kosten / jaar werkdagen]]</f>
        <v>0</v>
      </c>
      <c r="AH567" s="69"/>
      <c r="AI567" s="256" t="str">
        <f>IF(Ruimtestaat[[#This Row],[Frequentie werkdagen]]="","",_xlfn.CONCAT(Ruimtestaat[[#This Row],[Ruimte code]],"-",Ruimtestaat[[#This Row],[Frequentie werkdagen]]," ",Ruimtestaat[[#This Row],[Vloer code]]))</f>
        <v>1-1m L</v>
      </c>
      <c r="AJ567" s="300" t="str">
        <f>_xlfn.IFNA(VLOOKUP($AI567,Programma!$F$3:$G$1107,2,0),"")</f>
        <v>_</v>
      </c>
      <c r="AK567" s="300" t="str">
        <f>_xlfn.IFNA(VLOOKUP($AI567,Programma!$F$3:$H$1107,3,0),"")</f>
        <v>_</v>
      </c>
      <c r="AL567" s="300" t="str">
        <f>_xlfn.IFNA(VLOOKUP($AI567,Programma!$F$3:$I$1107,4,0),"")</f>
        <v>1m</v>
      </c>
      <c r="AM567" s="300" t="str">
        <f>_xlfn.IFNA(VLOOKUP($AI567,Programma!$F$3:$J$1107,5,0),"")</f>
        <v>1m</v>
      </c>
      <c r="AN567" s="300" t="str">
        <f>_xlfn.IFNA(VLOOKUP($AI567,Programma!$F$3:$K$1107,6,0),"")</f>
        <v>_</v>
      </c>
      <c r="AO567" s="300" t="str">
        <f>_xlfn.IFNA(VLOOKUP($AI567,Programma!$F$3:$L$1107,7,0),"")</f>
        <v>_</v>
      </c>
      <c r="AP567" s="300" t="str">
        <f>_xlfn.IFNA(VLOOKUP($AI567,Programma!$F$3:$M$1107,8,0),"")</f>
        <v>_</v>
      </c>
      <c r="AQ567" s="300" t="str">
        <f>_xlfn.IFNA(VLOOKUP($AI567,Programma!$F$3:$N$1107,9,0),"")</f>
        <v>_</v>
      </c>
      <c r="AR567" s="300" t="str">
        <f>_xlfn.IFNA(VLOOKUP($AI567,Programma!$F$3:$O$1107,10,0),"")</f>
        <v>_</v>
      </c>
      <c r="AS567" s="300" t="str">
        <f>_xlfn.IFNA(VLOOKUP($AI567,Programma!$F$3:$P$1107,11,0),"")</f>
        <v>_</v>
      </c>
      <c r="AT567" s="300" t="str">
        <f>_xlfn.IFNA(VLOOKUP($AI567,Programma!$F$3:$Q$1107,12,0),"")</f>
        <v>_</v>
      </c>
      <c r="AU567" s="300" t="str">
        <f>_xlfn.IFNA(VLOOKUP($AI567,Programma!$F$3:$R$1107,13,0),"")</f>
        <v>_</v>
      </c>
      <c r="AV567" s="300" t="str">
        <f>_xlfn.IFNA(VLOOKUP($AI567,Programma!$F$3:$S$1107,14,0),"")</f>
        <v>1m</v>
      </c>
      <c r="AW567" s="300" t="str">
        <f>_xlfn.IFNA(VLOOKUP($AI567,Programma!$F$3:$T$1107,15,0),"")</f>
        <v>4j</v>
      </c>
      <c r="AX567" s="300" t="str">
        <f>_xlfn.IFNA(VLOOKUP($AI567,Programma!$F$3:$U$1107,16,0),"")</f>
        <v>4j</v>
      </c>
      <c r="AY567" s="300" t="str">
        <f>_xlfn.IFNA(VLOOKUP($AI567,Programma!$F$3:$V$1107,17,0),"")</f>
        <v>_</v>
      </c>
      <c r="AZ567" s="300" t="str">
        <f>_xlfn.IFNA(VLOOKUP($AI567,Programma!$F$3:$W$1107,18,0),"")</f>
        <v>_</v>
      </c>
      <c r="BA567" s="300" t="str">
        <f>_xlfn.IFNA(VLOOKUP($AI567,Programma!$F$3:$X$1107,19,0),"")</f>
        <v>_</v>
      </c>
      <c r="BB567" s="300" t="str">
        <f>_xlfn.IFNA(VLOOKUP($AI567,Programma!$F$3:$Y$1107,20,0),"")</f>
        <v>_</v>
      </c>
      <c r="BC567" s="257"/>
      <c r="BD567" s="256" t="str">
        <f>IF(Ruimtestaat[[#This Row],[Frequentie weekend]]="","",_xlfn.CONCAT(Ruimtestaat[[#This Row],[Ruimte code]],"-",Ruimtestaat[[#This Row],[Frequentie weekend]]," ",Ruimtestaat[[#This Row],[Vloer code]]))</f>
        <v/>
      </c>
      <c r="BE567" s="300" t="str">
        <f>_xlfn.IFNA(VLOOKUP($BD567,Programma!$F$3:$G$1107,2,0),"")</f>
        <v/>
      </c>
      <c r="BF567" s="300" t="str">
        <f>_xlfn.IFNA(VLOOKUP($BD567,Programma!$F$3:$H$1107,3,0),"")</f>
        <v/>
      </c>
      <c r="BG567" s="300" t="str">
        <f>_xlfn.IFNA(VLOOKUP($BD567,Programma!$F$3:$I$1107,4,0),"")</f>
        <v/>
      </c>
      <c r="BH567" s="300" t="str">
        <f>_xlfn.IFNA(VLOOKUP($BD567,Programma!$F$3:$J$1107,5,0),"")</f>
        <v/>
      </c>
      <c r="BI567" s="300" t="str">
        <f>_xlfn.IFNA(VLOOKUP($BD567,Programma!$F$3:$K$1107,6,0),"")</f>
        <v/>
      </c>
      <c r="BJ567" s="300" t="str">
        <f>_xlfn.IFNA(VLOOKUP($BD567,Programma!$F$3:$L$1107,7,0),"")</f>
        <v/>
      </c>
      <c r="BK567" s="300" t="str">
        <f>_xlfn.IFNA(VLOOKUP($BD567,Programma!$F$3:$M$1107,8,0),"")</f>
        <v/>
      </c>
      <c r="BL567" s="300" t="str">
        <f>_xlfn.IFNA(VLOOKUP($BD567,Programma!$F$3:$N$1107,9,0),"")</f>
        <v/>
      </c>
      <c r="BM567" s="300" t="str">
        <f>_xlfn.IFNA(VLOOKUP($BD567,Programma!$F$3:$O$1107,10,0),"")</f>
        <v/>
      </c>
      <c r="BN567" s="300" t="str">
        <f>_xlfn.IFNA(VLOOKUP($BD567,Programma!$F$3:$P$1107,11,0),"")</f>
        <v/>
      </c>
      <c r="BO567" s="300" t="str">
        <f>_xlfn.IFNA(VLOOKUP($BD567,Programma!$F$3:$Q$1107,12,0),"")</f>
        <v/>
      </c>
      <c r="BP567" s="300" t="str">
        <f>_xlfn.IFNA(VLOOKUP($BD567,Programma!$F$3:$R$1107,13,0),"")</f>
        <v/>
      </c>
      <c r="BQ567" s="300" t="str">
        <f>_xlfn.IFNA(VLOOKUP($BD567,Programma!$F$3:$S$1107,14,0),"")</f>
        <v/>
      </c>
      <c r="BR567" s="300" t="str">
        <f>_xlfn.IFNA(VLOOKUP($BD567,Programma!$F$3:$T$1107,15,0),"")</f>
        <v/>
      </c>
      <c r="BS567" s="300" t="str">
        <f>_xlfn.IFNA(VLOOKUP($BD567,Programma!$F$3:$U$1107,16,0),"")</f>
        <v/>
      </c>
      <c r="BT567" s="300" t="str">
        <f>_xlfn.IFNA(VLOOKUP($BD567,Programma!$F$3:$V$1107,17,0),"")</f>
        <v/>
      </c>
      <c r="BU567" s="300" t="str">
        <f>_xlfn.IFNA(VLOOKUP($BD567,Programma!$F$3:$W$1107,18,0),"")</f>
        <v/>
      </c>
      <c r="BV567" s="300" t="str">
        <f>_xlfn.IFNA(VLOOKUP($BD567,Programma!$F$3:$X$1107,19,0),"")</f>
        <v/>
      </c>
      <c r="BW567" s="300" t="str">
        <f>_xlfn.IFNA(VLOOKUP($BD567,Programma!$F$3:$Y$1107,20,0),"")</f>
        <v/>
      </c>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c r="GK567" s="4"/>
      <c r="GL567" s="4"/>
      <c r="GM567" s="4"/>
      <c r="GN567" s="4"/>
      <c r="GO567" s="4"/>
      <c r="GP567" s="4"/>
      <c r="GQ567" s="4"/>
      <c r="GR567" s="4"/>
      <c r="GS567" s="4"/>
      <c r="GT567" s="4"/>
      <c r="GU567" s="4"/>
      <c r="GV567" s="4"/>
      <c r="GW567" s="4"/>
      <c r="GX567" s="4"/>
      <c r="GY567" s="4"/>
      <c r="GZ567" s="4"/>
      <c r="HA567" s="4"/>
      <c r="HB567" s="4"/>
      <c r="HC567" s="4"/>
      <c r="HD567" s="4"/>
      <c r="HE567" s="4"/>
      <c r="HF567" s="4"/>
      <c r="HG567" s="4"/>
      <c r="HH567" s="4"/>
      <c r="HI567" s="4"/>
      <c r="HJ567" s="4"/>
      <c r="HK567" s="4"/>
      <c r="HL567" s="4"/>
    </row>
    <row r="568" spans="1:220" ht="15" customHeight="1">
      <c r="A568" s="21">
        <v>7</v>
      </c>
      <c r="B568" s="157" t="str">
        <f>VLOOKUP(Ruimtestaat[[#This Row],[Code]],Locaties[[Code]:[Locatie]],2,FALSE)</f>
        <v>Gymnasium Novum</v>
      </c>
      <c r="C568" s="157" t="str">
        <f>VLOOKUP(Ruimtestaat[[#This Row],[Code]],Locaties[[#All],[Code]:[Adres]],4,FALSE)</f>
        <v>Aart v.d. Leeuwkade 1</v>
      </c>
      <c r="D568" s="157" t="str">
        <f>VLOOKUP(Ruimtestaat[[#This Row],[Code]],Locaties[[#All],[Code]:[Postcode]],5,FALSE)</f>
        <v>2274 KX</v>
      </c>
      <c r="E568" s="157" t="str">
        <f>VLOOKUP(Ruimtestaat[[#This Row],[Code]],Locaties[#All],6,FALSE)</f>
        <v>Voorburg</v>
      </c>
      <c r="F568" s="62"/>
      <c r="G568" s="21" t="s">
        <v>1632</v>
      </c>
      <c r="H568" s="21">
        <v>22</v>
      </c>
      <c r="I568" s="62" t="s">
        <v>2125</v>
      </c>
      <c r="J568" s="21">
        <v>14</v>
      </c>
      <c r="K568" s="62" t="str">
        <f>VLOOKUP(Ruimtestaat[[#This Row],[Ruimte code]],Ruimtegroepen[[#All],[Code]:[Ruimte omschrijving]],2,FALSE)</f>
        <v>Praktijklokalen binas/zorg</v>
      </c>
      <c r="L568" s="33" t="s">
        <v>101</v>
      </c>
      <c r="M568" s="367" t="s">
        <v>2495</v>
      </c>
      <c r="N568" s="140">
        <v>47</v>
      </c>
      <c r="O568" s="140"/>
      <c r="P568" s="125" t="str">
        <f>VLOOKUP(Ruimtestaat[[#This Row],[Ruimte code]],Ruimtegroepen[],4,FALSE)</f>
        <v>Le</v>
      </c>
      <c r="R568" s="33">
        <v>40</v>
      </c>
      <c r="S568" s="33" t="s">
        <v>2</v>
      </c>
      <c r="T568" s="33">
        <f>IF(R568&gt;0,IF(RIGHT(Ruimtestaat[[#This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8" s="33">
        <f>IF(T568&gt;0,VLOOKUP($J568,Ruimtegroepen[],3,FALSE)*VLOOKUP($L568,Vloersoorten[],3,FALSE)*VLOOKUP($S568,Frequenties[],3,FALSE)*VLOOKUP($A568,Locaties[],3,FALSE),0)</f>
        <v>0</v>
      </c>
      <c r="V568" s="33">
        <f>Ruimtestaat[[#This Row],[Uitvoeringen werkdagen]]*Ruimtestaat[[#This Row],[Oppervlak (netto)]]</f>
        <v>9400</v>
      </c>
      <c r="W568" s="154">
        <f>IF(U568&gt;0,Ruimtestaat[[#This Row],[Prest. (m2 /jaar) werkdagen]]/Ruimtestaat[[#This Row],[Norm (m2/uur) werkdagen]],0)</f>
        <v>0</v>
      </c>
      <c r="X568" s="155">
        <f>Ruimtestaat[[#This Row],[uren / jaar werkdagen]]*Tariefsopbouw!$E$35</f>
        <v>0</v>
      </c>
      <c r="Y568" s="33"/>
      <c r="Z568" s="33">
        <f>IF(Ruimtestaat[[#This Row],[Frequentie weekend]]&gt;0,VALUE(LEFT(Y568,1))*R568,0)</f>
        <v>0</v>
      </c>
      <c r="AA568" s="97">
        <f>IF($Z568&gt;0,VLOOKUP($J568,Ruimtegroepen[],3,FALSE)*VLOOKUP($L568,Vloersoorten[],3,FALSE)*VLOOKUP($Y568,Frequenties[],3,FALSE)*VLOOKUP(Ruimtestaat[[#This Row],[Code]],Locaties[],3,FALSE),0)</f>
        <v>0</v>
      </c>
      <c r="AB568" s="97">
        <f>Ruimtestaat[[#This Row],[Uitvoeringen weekend]]*Ruimtestaat[[#This Row],[Oppervlak (netto)]]</f>
        <v>0</v>
      </c>
      <c r="AC568" s="97">
        <f>IF(AA568&gt;0,Ruimtestaat[[#This Row],[Prest. (m2 /jaar) weekend]]/Ruimtestaat[[#This Row],[Norm (m2/uur) weekend]],0)</f>
        <v>0</v>
      </c>
      <c r="AD568" s="155">
        <f>Ruimtestaat[[#This Row],[uren / jaar weekend]]*Tariefsopbouw!$D$40</f>
        <v>0</v>
      </c>
      <c r="AE568" s="154">
        <f>Ruimtestaat[[#This Row],[Prest. (m2 /jaar) weekend]]+Ruimtestaat[[#This Row],[Prest. (m2 /jaar) werkdagen]]</f>
        <v>9400</v>
      </c>
      <c r="AF568" s="154">
        <f>Ruimtestaat[[#This Row],[uren / jaar weekend]]+Ruimtestaat[[#This Row],[uren / jaar werkdagen]]</f>
        <v>0</v>
      </c>
      <c r="AG568" s="69">
        <f>Ruimtestaat[[#This Row],[kosten / jaar weekend]]+Ruimtestaat[[#This Row],[kosten / jaar werkdagen]]</f>
        <v>0</v>
      </c>
      <c r="AH568" s="69"/>
      <c r="AI568" s="256" t="str">
        <f>IF(Ruimtestaat[[#This Row],[Frequentie werkdagen]]="","",_xlfn.CONCAT(Ruimtestaat[[#This Row],[Ruimte code]],"-",Ruimtestaat[[#This Row],[Frequentie werkdagen]]," ",Ruimtestaat[[#This Row],[Vloer code]]))</f>
        <v>14-5w L</v>
      </c>
      <c r="AJ568" s="300" t="str">
        <f>_xlfn.IFNA(VLOOKUP($AI568,Programma!$F$3:$G$1107,2,0),"")</f>
        <v>_</v>
      </c>
      <c r="AK568" s="300" t="str">
        <f>_xlfn.IFNA(VLOOKUP($AI568,Programma!$F$3:$H$1107,3,0),"")</f>
        <v>_</v>
      </c>
      <c r="AL568" s="300" t="str">
        <f>_xlfn.IFNA(VLOOKUP($AI568,Programma!$F$3:$I$1107,4,0),"")</f>
        <v>_</v>
      </c>
      <c r="AM568" s="300" t="str">
        <f>_xlfn.IFNA(VLOOKUP($AI568,Programma!$F$3:$J$1107,5,0),"")</f>
        <v>5w</v>
      </c>
      <c r="AN568" s="300" t="str">
        <f>_xlfn.IFNA(VLOOKUP($AI568,Programma!$F$3:$K$1107,6,0),"")</f>
        <v>_</v>
      </c>
      <c r="AO568" s="300" t="str">
        <f>_xlfn.IFNA(VLOOKUP($AI568,Programma!$F$3:$L$1107,7,0),"")</f>
        <v>_</v>
      </c>
      <c r="AP568" s="300" t="str">
        <f>_xlfn.IFNA(VLOOKUP($AI568,Programma!$F$3:$M$1107,8,0),"")</f>
        <v>_</v>
      </c>
      <c r="AQ568" s="300" t="str">
        <f>_xlfn.IFNA(VLOOKUP($AI568,Programma!$F$3:$N$1107,9,0),"")</f>
        <v>_</v>
      </c>
      <c r="AR568" s="300" t="str">
        <f>_xlfn.IFNA(VLOOKUP($AI568,Programma!$F$3:$O$1107,10,0),"")</f>
        <v>5w</v>
      </c>
      <c r="AS568" s="300" t="str">
        <f>_xlfn.IFNA(VLOOKUP($AI568,Programma!$F$3:$P$1107,11,0),"")</f>
        <v>5w</v>
      </c>
      <c r="AT568" s="300" t="str">
        <f>_xlfn.IFNA(VLOOKUP($AI568,Programma!$F$3:$Q$1107,12,0),"")</f>
        <v>1w</v>
      </c>
      <c r="AU568" s="300" t="str">
        <f>_xlfn.IFNA(VLOOKUP($AI568,Programma!$F$3:$R$1107,13,0),"")</f>
        <v>1w</v>
      </c>
      <c r="AV568" s="300" t="str">
        <f>_xlfn.IFNA(VLOOKUP($AI568,Programma!$F$3:$S$1107,14,0),"")</f>
        <v>1m</v>
      </c>
      <c r="AW568" s="300" t="str">
        <f>_xlfn.IFNA(VLOOKUP($AI568,Programma!$F$3:$T$1107,15,0),"")</f>
        <v>2j</v>
      </c>
      <c r="AX568" s="300" t="str">
        <f>_xlfn.IFNA(VLOOKUP($AI568,Programma!$F$3:$U$1107,16,0),"")</f>
        <v>1j</v>
      </c>
      <c r="AY568" s="300" t="str">
        <f>_xlfn.IFNA(VLOOKUP($AI568,Programma!$F$3:$V$1107,17,0),"")</f>
        <v>_</v>
      </c>
      <c r="AZ568" s="300" t="str">
        <f>_xlfn.IFNA(VLOOKUP($AI568,Programma!$F$3:$W$1107,18,0),"")</f>
        <v>_</v>
      </c>
      <c r="BA568" s="300" t="str">
        <f>_xlfn.IFNA(VLOOKUP($AI568,Programma!$F$3:$X$1107,19,0),"")</f>
        <v>_</v>
      </c>
      <c r="BB568" s="300" t="str">
        <f>_xlfn.IFNA(VLOOKUP($AI568,Programma!$F$3:$Y$1107,20,0),"")</f>
        <v>_</v>
      </c>
      <c r="BC568" s="257"/>
      <c r="BD568" s="256" t="str">
        <f>IF(Ruimtestaat[[#This Row],[Frequentie weekend]]="","",_xlfn.CONCAT(Ruimtestaat[[#This Row],[Ruimte code]],"-",Ruimtestaat[[#This Row],[Frequentie weekend]]," ",Ruimtestaat[[#This Row],[Vloer code]]))</f>
        <v/>
      </c>
      <c r="BE568" s="300" t="str">
        <f>_xlfn.IFNA(VLOOKUP($BD568,Programma!$F$3:$G$1107,2,0),"")</f>
        <v/>
      </c>
      <c r="BF568" s="300" t="str">
        <f>_xlfn.IFNA(VLOOKUP($BD568,Programma!$F$3:$H$1107,3,0),"")</f>
        <v/>
      </c>
      <c r="BG568" s="300" t="str">
        <f>_xlfn.IFNA(VLOOKUP($BD568,Programma!$F$3:$I$1107,4,0),"")</f>
        <v/>
      </c>
      <c r="BH568" s="300" t="str">
        <f>_xlfn.IFNA(VLOOKUP($BD568,Programma!$F$3:$J$1107,5,0),"")</f>
        <v/>
      </c>
      <c r="BI568" s="300" t="str">
        <f>_xlfn.IFNA(VLOOKUP($BD568,Programma!$F$3:$K$1107,6,0),"")</f>
        <v/>
      </c>
      <c r="BJ568" s="300" t="str">
        <f>_xlfn.IFNA(VLOOKUP($BD568,Programma!$F$3:$L$1107,7,0),"")</f>
        <v/>
      </c>
      <c r="BK568" s="300" t="str">
        <f>_xlfn.IFNA(VLOOKUP($BD568,Programma!$F$3:$M$1107,8,0),"")</f>
        <v/>
      </c>
      <c r="BL568" s="300" t="str">
        <f>_xlfn.IFNA(VLOOKUP($BD568,Programma!$F$3:$N$1107,9,0),"")</f>
        <v/>
      </c>
      <c r="BM568" s="300" t="str">
        <f>_xlfn.IFNA(VLOOKUP($BD568,Programma!$F$3:$O$1107,10,0),"")</f>
        <v/>
      </c>
      <c r="BN568" s="300" t="str">
        <f>_xlfn.IFNA(VLOOKUP($BD568,Programma!$F$3:$P$1107,11,0),"")</f>
        <v/>
      </c>
      <c r="BO568" s="300" t="str">
        <f>_xlfn.IFNA(VLOOKUP($BD568,Programma!$F$3:$Q$1107,12,0),"")</f>
        <v/>
      </c>
      <c r="BP568" s="300" t="str">
        <f>_xlfn.IFNA(VLOOKUP($BD568,Programma!$F$3:$R$1107,13,0),"")</f>
        <v/>
      </c>
      <c r="BQ568" s="300" t="str">
        <f>_xlfn.IFNA(VLOOKUP($BD568,Programma!$F$3:$S$1107,14,0),"")</f>
        <v/>
      </c>
      <c r="BR568" s="300" t="str">
        <f>_xlfn.IFNA(VLOOKUP($BD568,Programma!$F$3:$T$1107,15,0),"")</f>
        <v/>
      </c>
      <c r="BS568" s="300" t="str">
        <f>_xlfn.IFNA(VLOOKUP($BD568,Programma!$F$3:$U$1107,16,0),"")</f>
        <v/>
      </c>
      <c r="BT568" s="300" t="str">
        <f>_xlfn.IFNA(VLOOKUP($BD568,Programma!$F$3:$V$1107,17,0),"")</f>
        <v/>
      </c>
      <c r="BU568" s="300" t="str">
        <f>_xlfn.IFNA(VLOOKUP($BD568,Programma!$F$3:$W$1107,18,0),"")</f>
        <v/>
      </c>
      <c r="BV568" s="300" t="str">
        <f>_xlfn.IFNA(VLOOKUP($BD568,Programma!$F$3:$X$1107,19,0),"")</f>
        <v/>
      </c>
      <c r="BW568" s="300" t="str">
        <f>_xlfn.IFNA(VLOOKUP($BD568,Programma!$F$3:$Y$1107,20,0),"")</f>
        <v/>
      </c>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c r="GK568" s="4"/>
      <c r="GL568" s="4"/>
      <c r="GM568" s="4"/>
      <c r="GN568" s="4"/>
      <c r="GO568" s="4"/>
      <c r="GP568" s="4"/>
      <c r="GQ568" s="4"/>
      <c r="GR568" s="4"/>
      <c r="GS568" s="4"/>
      <c r="GT568" s="4"/>
      <c r="GU568" s="4"/>
      <c r="GV568" s="4"/>
      <c r="GW568" s="4"/>
      <c r="GX568" s="4"/>
      <c r="GY568" s="4"/>
      <c r="GZ568" s="4"/>
      <c r="HA568" s="4"/>
      <c r="HB568" s="4"/>
      <c r="HC568" s="4"/>
      <c r="HD568" s="4"/>
      <c r="HE568" s="4"/>
      <c r="HF568" s="4"/>
      <c r="HG568" s="4"/>
      <c r="HH568" s="4"/>
      <c r="HI568" s="4"/>
      <c r="HJ568" s="4"/>
      <c r="HK568" s="4"/>
      <c r="HL568" s="4"/>
    </row>
    <row r="569" spans="1:220" ht="15" customHeight="1">
      <c r="A569" s="21">
        <v>7</v>
      </c>
      <c r="B569" s="157" t="str">
        <f>VLOOKUP(Ruimtestaat[[#This Row],[Code]],Locaties[[Code]:[Locatie]],2,FALSE)</f>
        <v>Gymnasium Novum</v>
      </c>
      <c r="C569" s="157" t="str">
        <f>VLOOKUP(Ruimtestaat[[#This Row],[Code]],Locaties[[#All],[Code]:[Adres]],4,FALSE)</f>
        <v>Aart v.d. Leeuwkade 1</v>
      </c>
      <c r="D569" s="157" t="str">
        <f>VLOOKUP(Ruimtestaat[[#This Row],[Code]],Locaties[[#All],[Code]:[Postcode]],5,FALSE)</f>
        <v>2274 KX</v>
      </c>
      <c r="E569" s="157" t="str">
        <f>VLOOKUP(Ruimtestaat[[#This Row],[Code]],Locaties[#All],6,FALSE)</f>
        <v>Voorburg</v>
      </c>
      <c r="F569" s="62"/>
      <c r="G569" s="21" t="s">
        <v>1632</v>
      </c>
      <c r="H569" s="21">
        <v>23</v>
      </c>
      <c r="I569" s="62" t="s">
        <v>2138</v>
      </c>
      <c r="J569" s="21">
        <v>14</v>
      </c>
      <c r="K569" s="62" t="str">
        <f>VLOOKUP(Ruimtestaat[[#This Row],[Ruimte code]],Ruimtegroepen[[#All],[Code]:[Ruimte omschrijving]],2,FALSE)</f>
        <v>Praktijklokalen binas/zorg</v>
      </c>
      <c r="L569" s="33" t="s">
        <v>101</v>
      </c>
      <c r="M569" s="367" t="s">
        <v>2495</v>
      </c>
      <c r="N569" s="140">
        <v>61</v>
      </c>
      <c r="O569" s="140"/>
      <c r="P569" s="125" t="str">
        <f>VLOOKUP(Ruimtestaat[[#This Row],[Ruimte code]],Ruimtegroepen[],4,FALSE)</f>
        <v>Le</v>
      </c>
      <c r="R569" s="33">
        <v>40</v>
      </c>
      <c r="S569" s="33" t="s">
        <v>2</v>
      </c>
      <c r="T569" s="33">
        <f>IF(R569&gt;0,IF(RIGHT(Ruimtestaat[[#This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9" s="33">
        <f>IF(T569&gt;0,VLOOKUP($J569,Ruimtegroepen[],3,FALSE)*VLOOKUP($L569,Vloersoorten[],3,FALSE)*VLOOKUP($S569,Frequenties[],3,FALSE)*VLOOKUP($A569,Locaties[],3,FALSE),0)</f>
        <v>0</v>
      </c>
      <c r="V569" s="33">
        <f>Ruimtestaat[[#This Row],[Uitvoeringen werkdagen]]*Ruimtestaat[[#This Row],[Oppervlak (netto)]]</f>
        <v>12200</v>
      </c>
      <c r="W569" s="154">
        <f>IF(U569&gt;0,Ruimtestaat[[#This Row],[Prest. (m2 /jaar) werkdagen]]/Ruimtestaat[[#This Row],[Norm (m2/uur) werkdagen]],0)</f>
        <v>0</v>
      </c>
      <c r="X569" s="155">
        <f>Ruimtestaat[[#This Row],[uren / jaar werkdagen]]*Tariefsopbouw!$E$35</f>
        <v>0</v>
      </c>
      <c r="Y569" s="33"/>
      <c r="Z569" s="33">
        <f>IF(Ruimtestaat[[#This Row],[Frequentie weekend]]&gt;0,VALUE(LEFT(Y569,1))*R569,0)</f>
        <v>0</v>
      </c>
      <c r="AA569" s="97">
        <f>IF($Z569&gt;0,VLOOKUP($J569,Ruimtegroepen[],3,FALSE)*VLOOKUP($L569,Vloersoorten[],3,FALSE)*VLOOKUP($Y569,Frequenties[],3,FALSE)*VLOOKUP(Ruimtestaat[[#This Row],[Code]],Locaties[],3,FALSE),0)</f>
        <v>0</v>
      </c>
      <c r="AB569" s="97">
        <f>Ruimtestaat[[#This Row],[Uitvoeringen weekend]]*Ruimtestaat[[#This Row],[Oppervlak (netto)]]</f>
        <v>0</v>
      </c>
      <c r="AC569" s="97">
        <f>IF(AA569&gt;0,Ruimtestaat[[#This Row],[Prest. (m2 /jaar) weekend]]/Ruimtestaat[[#This Row],[Norm (m2/uur) weekend]],0)</f>
        <v>0</v>
      </c>
      <c r="AD569" s="155">
        <f>Ruimtestaat[[#This Row],[uren / jaar weekend]]*Tariefsopbouw!$D$40</f>
        <v>0</v>
      </c>
      <c r="AE569" s="154">
        <f>Ruimtestaat[[#This Row],[Prest. (m2 /jaar) weekend]]+Ruimtestaat[[#This Row],[Prest. (m2 /jaar) werkdagen]]</f>
        <v>12200</v>
      </c>
      <c r="AF569" s="154">
        <f>Ruimtestaat[[#This Row],[uren / jaar weekend]]+Ruimtestaat[[#This Row],[uren / jaar werkdagen]]</f>
        <v>0</v>
      </c>
      <c r="AG569" s="69">
        <f>Ruimtestaat[[#This Row],[kosten / jaar weekend]]+Ruimtestaat[[#This Row],[kosten / jaar werkdagen]]</f>
        <v>0</v>
      </c>
      <c r="AH569" s="69"/>
      <c r="AI569" s="256" t="str">
        <f>IF(Ruimtestaat[[#This Row],[Frequentie werkdagen]]="","",_xlfn.CONCAT(Ruimtestaat[[#This Row],[Ruimte code]],"-",Ruimtestaat[[#This Row],[Frequentie werkdagen]]," ",Ruimtestaat[[#This Row],[Vloer code]]))</f>
        <v>14-5w L</v>
      </c>
      <c r="AJ569" s="300" t="str">
        <f>_xlfn.IFNA(VLOOKUP($AI569,Programma!$F$3:$G$1107,2,0),"")</f>
        <v>_</v>
      </c>
      <c r="AK569" s="300" t="str">
        <f>_xlfn.IFNA(VLOOKUP($AI569,Programma!$F$3:$H$1107,3,0),"")</f>
        <v>_</v>
      </c>
      <c r="AL569" s="300" t="str">
        <f>_xlfn.IFNA(VLOOKUP($AI569,Programma!$F$3:$I$1107,4,0),"")</f>
        <v>_</v>
      </c>
      <c r="AM569" s="300" t="str">
        <f>_xlfn.IFNA(VLOOKUP($AI569,Programma!$F$3:$J$1107,5,0),"")</f>
        <v>5w</v>
      </c>
      <c r="AN569" s="300" t="str">
        <f>_xlfn.IFNA(VLOOKUP($AI569,Programma!$F$3:$K$1107,6,0),"")</f>
        <v>_</v>
      </c>
      <c r="AO569" s="300" t="str">
        <f>_xlfn.IFNA(VLOOKUP($AI569,Programma!$F$3:$L$1107,7,0),"")</f>
        <v>_</v>
      </c>
      <c r="AP569" s="300" t="str">
        <f>_xlfn.IFNA(VLOOKUP($AI569,Programma!$F$3:$M$1107,8,0),"")</f>
        <v>_</v>
      </c>
      <c r="AQ569" s="300" t="str">
        <f>_xlfn.IFNA(VLOOKUP($AI569,Programma!$F$3:$N$1107,9,0),"")</f>
        <v>_</v>
      </c>
      <c r="AR569" s="300" t="str">
        <f>_xlfn.IFNA(VLOOKUP($AI569,Programma!$F$3:$O$1107,10,0),"")</f>
        <v>5w</v>
      </c>
      <c r="AS569" s="300" t="str">
        <f>_xlfn.IFNA(VLOOKUP($AI569,Programma!$F$3:$P$1107,11,0),"")</f>
        <v>5w</v>
      </c>
      <c r="AT569" s="300" t="str">
        <f>_xlfn.IFNA(VLOOKUP($AI569,Programma!$F$3:$Q$1107,12,0),"")</f>
        <v>1w</v>
      </c>
      <c r="AU569" s="300" t="str">
        <f>_xlfn.IFNA(VLOOKUP($AI569,Programma!$F$3:$R$1107,13,0),"")</f>
        <v>1w</v>
      </c>
      <c r="AV569" s="300" t="str">
        <f>_xlfn.IFNA(VLOOKUP($AI569,Programma!$F$3:$S$1107,14,0),"")</f>
        <v>1m</v>
      </c>
      <c r="AW569" s="300" t="str">
        <f>_xlfn.IFNA(VLOOKUP($AI569,Programma!$F$3:$T$1107,15,0),"")</f>
        <v>2j</v>
      </c>
      <c r="AX569" s="300" t="str">
        <f>_xlfn.IFNA(VLOOKUP($AI569,Programma!$F$3:$U$1107,16,0),"")</f>
        <v>1j</v>
      </c>
      <c r="AY569" s="300" t="str">
        <f>_xlfn.IFNA(VLOOKUP($AI569,Programma!$F$3:$V$1107,17,0),"")</f>
        <v>_</v>
      </c>
      <c r="AZ569" s="300" t="str">
        <f>_xlfn.IFNA(VLOOKUP($AI569,Programma!$F$3:$W$1107,18,0),"")</f>
        <v>_</v>
      </c>
      <c r="BA569" s="300" t="str">
        <f>_xlfn.IFNA(VLOOKUP($AI569,Programma!$F$3:$X$1107,19,0),"")</f>
        <v>_</v>
      </c>
      <c r="BB569" s="300" t="str">
        <f>_xlfn.IFNA(VLOOKUP($AI569,Programma!$F$3:$Y$1107,20,0),"")</f>
        <v>_</v>
      </c>
      <c r="BC569" s="257"/>
      <c r="BD569" s="256" t="str">
        <f>IF(Ruimtestaat[[#This Row],[Frequentie weekend]]="","",_xlfn.CONCAT(Ruimtestaat[[#This Row],[Ruimte code]],"-",Ruimtestaat[[#This Row],[Frequentie weekend]]," ",Ruimtestaat[[#This Row],[Vloer code]]))</f>
        <v/>
      </c>
      <c r="BE569" s="300" t="str">
        <f>_xlfn.IFNA(VLOOKUP($BD569,Programma!$F$3:$G$1107,2,0),"")</f>
        <v/>
      </c>
      <c r="BF569" s="300" t="str">
        <f>_xlfn.IFNA(VLOOKUP($BD569,Programma!$F$3:$H$1107,3,0),"")</f>
        <v/>
      </c>
      <c r="BG569" s="300" t="str">
        <f>_xlfn.IFNA(VLOOKUP($BD569,Programma!$F$3:$I$1107,4,0),"")</f>
        <v/>
      </c>
      <c r="BH569" s="300" t="str">
        <f>_xlfn.IFNA(VLOOKUP($BD569,Programma!$F$3:$J$1107,5,0),"")</f>
        <v/>
      </c>
      <c r="BI569" s="300" t="str">
        <f>_xlfn.IFNA(VLOOKUP($BD569,Programma!$F$3:$K$1107,6,0),"")</f>
        <v/>
      </c>
      <c r="BJ569" s="300" t="str">
        <f>_xlfn.IFNA(VLOOKUP($BD569,Programma!$F$3:$L$1107,7,0),"")</f>
        <v/>
      </c>
      <c r="BK569" s="300" t="str">
        <f>_xlfn.IFNA(VLOOKUP($BD569,Programma!$F$3:$M$1107,8,0),"")</f>
        <v/>
      </c>
      <c r="BL569" s="300" t="str">
        <f>_xlfn.IFNA(VLOOKUP($BD569,Programma!$F$3:$N$1107,9,0),"")</f>
        <v/>
      </c>
      <c r="BM569" s="300" t="str">
        <f>_xlfn.IFNA(VLOOKUP($BD569,Programma!$F$3:$O$1107,10,0),"")</f>
        <v/>
      </c>
      <c r="BN569" s="300" t="str">
        <f>_xlfn.IFNA(VLOOKUP($BD569,Programma!$F$3:$P$1107,11,0),"")</f>
        <v/>
      </c>
      <c r="BO569" s="300" t="str">
        <f>_xlfn.IFNA(VLOOKUP($BD569,Programma!$F$3:$Q$1107,12,0),"")</f>
        <v/>
      </c>
      <c r="BP569" s="300" t="str">
        <f>_xlfn.IFNA(VLOOKUP($BD569,Programma!$F$3:$R$1107,13,0),"")</f>
        <v/>
      </c>
      <c r="BQ569" s="300" t="str">
        <f>_xlfn.IFNA(VLOOKUP($BD569,Programma!$F$3:$S$1107,14,0),"")</f>
        <v/>
      </c>
      <c r="BR569" s="300" t="str">
        <f>_xlfn.IFNA(VLOOKUP($BD569,Programma!$F$3:$T$1107,15,0),"")</f>
        <v/>
      </c>
      <c r="BS569" s="300" t="str">
        <f>_xlfn.IFNA(VLOOKUP($BD569,Programma!$F$3:$U$1107,16,0),"")</f>
        <v/>
      </c>
      <c r="BT569" s="300" t="str">
        <f>_xlfn.IFNA(VLOOKUP($BD569,Programma!$F$3:$V$1107,17,0),"")</f>
        <v/>
      </c>
      <c r="BU569" s="300" t="str">
        <f>_xlfn.IFNA(VLOOKUP($BD569,Programma!$F$3:$W$1107,18,0),"")</f>
        <v/>
      </c>
      <c r="BV569" s="300" t="str">
        <f>_xlfn.IFNA(VLOOKUP($BD569,Programma!$F$3:$X$1107,19,0),"")</f>
        <v/>
      </c>
      <c r="BW569" s="300" t="str">
        <f>_xlfn.IFNA(VLOOKUP($BD569,Programma!$F$3:$Y$1107,20,0),"")</f>
        <v/>
      </c>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c r="GK569" s="4"/>
      <c r="GL569" s="4"/>
      <c r="GM569" s="4"/>
      <c r="GN569" s="4"/>
      <c r="GO569" s="4"/>
      <c r="GP569" s="4"/>
      <c r="GQ569" s="4"/>
      <c r="GR569" s="4"/>
      <c r="GS569" s="4"/>
      <c r="GT569" s="4"/>
      <c r="GU569" s="4"/>
      <c r="GV569" s="4"/>
      <c r="GW569" s="4"/>
      <c r="GX569" s="4"/>
      <c r="GY569" s="4"/>
      <c r="GZ569" s="4"/>
      <c r="HA569" s="4"/>
      <c r="HB569" s="4"/>
      <c r="HC569" s="4"/>
      <c r="HD569" s="4"/>
      <c r="HE569" s="4"/>
      <c r="HF569" s="4"/>
      <c r="HG569" s="4"/>
      <c r="HH569" s="4"/>
      <c r="HI569" s="4"/>
      <c r="HJ569" s="4"/>
      <c r="HK569" s="4"/>
      <c r="HL569" s="4"/>
    </row>
    <row r="570" spans="1:220" ht="15" customHeight="1">
      <c r="A570" s="21">
        <v>7</v>
      </c>
      <c r="B570" s="157" t="str">
        <f>VLOOKUP(Ruimtestaat[[#This Row],[Code]],Locaties[[Code]:[Locatie]],2,FALSE)</f>
        <v>Gymnasium Novum</v>
      </c>
      <c r="C570" s="157" t="str">
        <f>VLOOKUP(Ruimtestaat[[#This Row],[Code]],Locaties[[#All],[Code]:[Adres]],4,FALSE)</f>
        <v>Aart v.d. Leeuwkade 1</v>
      </c>
      <c r="D570" s="157" t="str">
        <f>VLOOKUP(Ruimtestaat[[#This Row],[Code]],Locaties[[#All],[Code]:[Postcode]],5,FALSE)</f>
        <v>2274 KX</v>
      </c>
      <c r="E570" s="157" t="str">
        <f>VLOOKUP(Ruimtestaat[[#This Row],[Code]],Locaties[#All],6,FALSE)</f>
        <v>Voorburg</v>
      </c>
      <c r="F570" s="62"/>
      <c r="G570" s="21" t="s">
        <v>1632</v>
      </c>
      <c r="H570" s="21">
        <v>24</v>
      </c>
      <c r="I570" s="62" t="s">
        <v>2139</v>
      </c>
      <c r="J570" s="21">
        <v>14</v>
      </c>
      <c r="K570" s="62" t="str">
        <f>VLOOKUP(Ruimtestaat[[#This Row],[Ruimte code]],Ruimtegroepen[[#All],[Code]:[Ruimte omschrijving]],2,FALSE)</f>
        <v>Praktijklokalen binas/zorg</v>
      </c>
      <c r="L570" s="33" t="s">
        <v>101</v>
      </c>
      <c r="M570" s="367" t="s">
        <v>2495</v>
      </c>
      <c r="N570" s="140">
        <v>61</v>
      </c>
      <c r="O570" s="140"/>
      <c r="P570" s="125" t="str">
        <f>VLOOKUP(Ruimtestaat[[#This Row],[Ruimte code]],Ruimtegroepen[],4,FALSE)</f>
        <v>Le</v>
      </c>
      <c r="R570" s="33">
        <v>40</v>
      </c>
      <c r="S570" s="33" t="s">
        <v>2</v>
      </c>
      <c r="T570" s="33">
        <f>IF(R570&gt;0,IF(RIGHT(Ruimtestaat[[#This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70" s="33">
        <f>IF(T570&gt;0,VLOOKUP($J570,Ruimtegroepen[],3,FALSE)*VLOOKUP($L570,Vloersoorten[],3,FALSE)*VLOOKUP($S570,Frequenties[],3,FALSE)*VLOOKUP($A570,Locaties[],3,FALSE),0)</f>
        <v>0</v>
      </c>
      <c r="V570" s="33">
        <f>Ruimtestaat[[#This Row],[Uitvoeringen werkdagen]]*Ruimtestaat[[#This Row],[Oppervlak (netto)]]</f>
        <v>12200</v>
      </c>
      <c r="W570" s="154">
        <f>IF(U570&gt;0,Ruimtestaat[[#This Row],[Prest. (m2 /jaar) werkdagen]]/Ruimtestaat[[#This Row],[Norm (m2/uur) werkdagen]],0)</f>
        <v>0</v>
      </c>
      <c r="X570" s="155">
        <f>Ruimtestaat[[#This Row],[uren / jaar werkdagen]]*Tariefsopbouw!$E$35</f>
        <v>0</v>
      </c>
      <c r="Y570" s="33"/>
      <c r="Z570" s="33">
        <f>IF(Ruimtestaat[[#This Row],[Frequentie weekend]]&gt;0,VALUE(LEFT(Y570,1))*R570,0)</f>
        <v>0</v>
      </c>
      <c r="AA570" s="97">
        <f>IF($Z570&gt;0,VLOOKUP($J570,Ruimtegroepen[],3,FALSE)*VLOOKUP($L570,Vloersoorten[],3,FALSE)*VLOOKUP($Y570,Frequenties[],3,FALSE)*VLOOKUP(Ruimtestaat[[#This Row],[Code]],Locaties[],3,FALSE),0)</f>
        <v>0</v>
      </c>
      <c r="AB570" s="97">
        <f>Ruimtestaat[[#This Row],[Uitvoeringen weekend]]*Ruimtestaat[[#This Row],[Oppervlak (netto)]]</f>
        <v>0</v>
      </c>
      <c r="AC570" s="97">
        <f>IF(AA570&gt;0,Ruimtestaat[[#This Row],[Prest. (m2 /jaar) weekend]]/Ruimtestaat[[#This Row],[Norm (m2/uur) weekend]],0)</f>
        <v>0</v>
      </c>
      <c r="AD570" s="155">
        <f>Ruimtestaat[[#This Row],[uren / jaar weekend]]*Tariefsopbouw!$D$40</f>
        <v>0</v>
      </c>
      <c r="AE570" s="154">
        <f>Ruimtestaat[[#This Row],[Prest. (m2 /jaar) weekend]]+Ruimtestaat[[#This Row],[Prest. (m2 /jaar) werkdagen]]</f>
        <v>12200</v>
      </c>
      <c r="AF570" s="154">
        <f>Ruimtestaat[[#This Row],[uren / jaar weekend]]+Ruimtestaat[[#This Row],[uren / jaar werkdagen]]</f>
        <v>0</v>
      </c>
      <c r="AG570" s="69">
        <f>Ruimtestaat[[#This Row],[kosten / jaar weekend]]+Ruimtestaat[[#This Row],[kosten / jaar werkdagen]]</f>
        <v>0</v>
      </c>
      <c r="AH570" s="69"/>
      <c r="AI570" s="256" t="str">
        <f>IF(Ruimtestaat[[#This Row],[Frequentie werkdagen]]="","",_xlfn.CONCAT(Ruimtestaat[[#This Row],[Ruimte code]],"-",Ruimtestaat[[#This Row],[Frequentie werkdagen]]," ",Ruimtestaat[[#This Row],[Vloer code]]))</f>
        <v>14-5w L</v>
      </c>
      <c r="AJ570" s="300" t="str">
        <f>_xlfn.IFNA(VLOOKUP($AI570,Programma!$F$3:$G$1107,2,0),"")</f>
        <v>_</v>
      </c>
      <c r="AK570" s="300" t="str">
        <f>_xlfn.IFNA(VLOOKUP($AI570,Programma!$F$3:$H$1107,3,0),"")</f>
        <v>_</v>
      </c>
      <c r="AL570" s="300" t="str">
        <f>_xlfn.IFNA(VLOOKUP($AI570,Programma!$F$3:$I$1107,4,0),"")</f>
        <v>_</v>
      </c>
      <c r="AM570" s="300" t="str">
        <f>_xlfn.IFNA(VLOOKUP($AI570,Programma!$F$3:$J$1107,5,0),"")</f>
        <v>5w</v>
      </c>
      <c r="AN570" s="300" t="str">
        <f>_xlfn.IFNA(VLOOKUP($AI570,Programma!$F$3:$K$1107,6,0),"")</f>
        <v>_</v>
      </c>
      <c r="AO570" s="300" t="str">
        <f>_xlfn.IFNA(VLOOKUP($AI570,Programma!$F$3:$L$1107,7,0),"")</f>
        <v>_</v>
      </c>
      <c r="AP570" s="300" t="str">
        <f>_xlfn.IFNA(VLOOKUP($AI570,Programma!$F$3:$M$1107,8,0),"")</f>
        <v>_</v>
      </c>
      <c r="AQ570" s="300" t="str">
        <f>_xlfn.IFNA(VLOOKUP($AI570,Programma!$F$3:$N$1107,9,0),"")</f>
        <v>_</v>
      </c>
      <c r="AR570" s="300" t="str">
        <f>_xlfn.IFNA(VLOOKUP($AI570,Programma!$F$3:$O$1107,10,0),"")</f>
        <v>5w</v>
      </c>
      <c r="AS570" s="300" t="str">
        <f>_xlfn.IFNA(VLOOKUP($AI570,Programma!$F$3:$P$1107,11,0),"")</f>
        <v>5w</v>
      </c>
      <c r="AT570" s="300" t="str">
        <f>_xlfn.IFNA(VLOOKUP($AI570,Programma!$F$3:$Q$1107,12,0),"")</f>
        <v>1w</v>
      </c>
      <c r="AU570" s="300" t="str">
        <f>_xlfn.IFNA(VLOOKUP($AI570,Programma!$F$3:$R$1107,13,0),"")</f>
        <v>1w</v>
      </c>
      <c r="AV570" s="300" t="str">
        <f>_xlfn.IFNA(VLOOKUP($AI570,Programma!$F$3:$S$1107,14,0),"")</f>
        <v>1m</v>
      </c>
      <c r="AW570" s="300" t="str">
        <f>_xlfn.IFNA(VLOOKUP($AI570,Programma!$F$3:$T$1107,15,0),"")</f>
        <v>2j</v>
      </c>
      <c r="AX570" s="300" t="str">
        <f>_xlfn.IFNA(VLOOKUP($AI570,Programma!$F$3:$U$1107,16,0),"")</f>
        <v>1j</v>
      </c>
      <c r="AY570" s="300" t="str">
        <f>_xlfn.IFNA(VLOOKUP($AI570,Programma!$F$3:$V$1107,17,0),"")</f>
        <v>_</v>
      </c>
      <c r="AZ570" s="300" t="str">
        <f>_xlfn.IFNA(VLOOKUP($AI570,Programma!$F$3:$W$1107,18,0),"")</f>
        <v>_</v>
      </c>
      <c r="BA570" s="300" t="str">
        <f>_xlfn.IFNA(VLOOKUP($AI570,Programma!$F$3:$X$1107,19,0),"")</f>
        <v>_</v>
      </c>
      <c r="BB570" s="300" t="str">
        <f>_xlfn.IFNA(VLOOKUP($AI570,Programma!$F$3:$Y$1107,20,0),"")</f>
        <v>_</v>
      </c>
      <c r="BC570" s="257"/>
      <c r="BD570" s="256" t="str">
        <f>IF(Ruimtestaat[[#This Row],[Frequentie weekend]]="","",_xlfn.CONCAT(Ruimtestaat[[#This Row],[Ruimte code]],"-",Ruimtestaat[[#This Row],[Frequentie weekend]]," ",Ruimtestaat[[#This Row],[Vloer code]]))</f>
        <v/>
      </c>
      <c r="BE570" s="300" t="str">
        <f>_xlfn.IFNA(VLOOKUP($BD570,Programma!$F$3:$G$1107,2,0),"")</f>
        <v/>
      </c>
      <c r="BF570" s="300" t="str">
        <f>_xlfn.IFNA(VLOOKUP($BD570,Programma!$F$3:$H$1107,3,0),"")</f>
        <v/>
      </c>
      <c r="BG570" s="300" t="str">
        <f>_xlfn.IFNA(VLOOKUP($BD570,Programma!$F$3:$I$1107,4,0),"")</f>
        <v/>
      </c>
      <c r="BH570" s="300" t="str">
        <f>_xlfn.IFNA(VLOOKUP($BD570,Programma!$F$3:$J$1107,5,0),"")</f>
        <v/>
      </c>
      <c r="BI570" s="300" t="str">
        <f>_xlfn.IFNA(VLOOKUP($BD570,Programma!$F$3:$K$1107,6,0),"")</f>
        <v/>
      </c>
      <c r="BJ570" s="300" t="str">
        <f>_xlfn.IFNA(VLOOKUP($BD570,Programma!$F$3:$L$1107,7,0),"")</f>
        <v/>
      </c>
      <c r="BK570" s="300" t="str">
        <f>_xlfn.IFNA(VLOOKUP($BD570,Programma!$F$3:$M$1107,8,0),"")</f>
        <v/>
      </c>
      <c r="BL570" s="300" t="str">
        <f>_xlfn.IFNA(VLOOKUP($BD570,Programma!$F$3:$N$1107,9,0),"")</f>
        <v/>
      </c>
      <c r="BM570" s="300" t="str">
        <f>_xlfn.IFNA(VLOOKUP($BD570,Programma!$F$3:$O$1107,10,0),"")</f>
        <v/>
      </c>
      <c r="BN570" s="300" t="str">
        <f>_xlfn.IFNA(VLOOKUP($BD570,Programma!$F$3:$P$1107,11,0),"")</f>
        <v/>
      </c>
      <c r="BO570" s="300" t="str">
        <f>_xlfn.IFNA(VLOOKUP($BD570,Programma!$F$3:$Q$1107,12,0),"")</f>
        <v/>
      </c>
      <c r="BP570" s="300" t="str">
        <f>_xlfn.IFNA(VLOOKUP($BD570,Programma!$F$3:$R$1107,13,0),"")</f>
        <v/>
      </c>
      <c r="BQ570" s="300" t="str">
        <f>_xlfn.IFNA(VLOOKUP($BD570,Programma!$F$3:$S$1107,14,0),"")</f>
        <v/>
      </c>
      <c r="BR570" s="300" t="str">
        <f>_xlfn.IFNA(VLOOKUP($BD570,Programma!$F$3:$T$1107,15,0),"")</f>
        <v/>
      </c>
      <c r="BS570" s="300" t="str">
        <f>_xlfn.IFNA(VLOOKUP($BD570,Programma!$F$3:$U$1107,16,0),"")</f>
        <v/>
      </c>
      <c r="BT570" s="300" t="str">
        <f>_xlfn.IFNA(VLOOKUP($BD570,Programma!$F$3:$V$1107,17,0),"")</f>
        <v/>
      </c>
      <c r="BU570" s="300" t="str">
        <f>_xlfn.IFNA(VLOOKUP($BD570,Programma!$F$3:$W$1107,18,0),"")</f>
        <v/>
      </c>
      <c r="BV570" s="300" t="str">
        <f>_xlfn.IFNA(VLOOKUP($BD570,Programma!$F$3:$X$1107,19,0),"")</f>
        <v/>
      </c>
      <c r="BW570" s="300" t="str">
        <f>_xlfn.IFNA(VLOOKUP($BD570,Programma!$F$3:$Y$1107,20,0),"")</f>
        <v/>
      </c>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c r="GK570" s="4"/>
      <c r="GL570" s="4"/>
      <c r="GM570" s="4"/>
      <c r="GN570" s="4"/>
      <c r="GO570" s="4"/>
      <c r="GP570" s="4"/>
      <c r="GQ570" s="4"/>
      <c r="GR570" s="4"/>
      <c r="GS570" s="4"/>
      <c r="GT570" s="4"/>
      <c r="GU570" s="4"/>
      <c r="GV570" s="4"/>
      <c r="GW570" s="4"/>
      <c r="GX570" s="4"/>
      <c r="GY570" s="4"/>
      <c r="GZ570" s="4"/>
      <c r="HA570" s="4"/>
      <c r="HB570" s="4"/>
      <c r="HC570" s="4"/>
      <c r="HD570" s="4"/>
      <c r="HE570" s="4"/>
      <c r="HF570" s="4"/>
      <c r="HG570" s="4"/>
      <c r="HH570" s="4"/>
      <c r="HI570" s="4"/>
      <c r="HJ570" s="4"/>
      <c r="HK570" s="4"/>
      <c r="HL570" s="4"/>
    </row>
    <row r="571" spans="1:220" ht="15" customHeight="1">
      <c r="A571" s="21">
        <v>7</v>
      </c>
      <c r="B571" s="157" t="str">
        <f>VLOOKUP(Ruimtestaat[[#This Row],[Code]],Locaties[[Code]:[Locatie]],2,FALSE)</f>
        <v>Gymnasium Novum</v>
      </c>
      <c r="C571" s="157" t="str">
        <f>VLOOKUP(Ruimtestaat[[#This Row],[Code]],Locaties[[#All],[Code]:[Adres]],4,FALSE)</f>
        <v>Aart v.d. Leeuwkade 1</v>
      </c>
      <c r="D571" s="157" t="str">
        <f>VLOOKUP(Ruimtestaat[[#This Row],[Code]],Locaties[[#All],[Code]:[Postcode]],5,FALSE)</f>
        <v>2274 KX</v>
      </c>
      <c r="E571" s="157" t="str">
        <f>VLOOKUP(Ruimtestaat[[#This Row],[Code]],Locaties[#All],6,FALSE)</f>
        <v>Voorburg</v>
      </c>
      <c r="F571" s="62"/>
      <c r="G571" s="21" t="s">
        <v>1632</v>
      </c>
      <c r="H571" s="21">
        <v>25</v>
      </c>
      <c r="I571" s="62" t="s">
        <v>2140</v>
      </c>
      <c r="J571" s="21">
        <v>2</v>
      </c>
      <c r="K571" s="62" t="str">
        <f>VLOOKUP(Ruimtestaat[[#This Row],[Ruimte code]],Ruimtegroepen[[#All],[Code]:[Ruimte omschrijving]],2,FALSE)</f>
        <v>Kantoren</v>
      </c>
      <c r="L571" s="33" t="s">
        <v>101</v>
      </c>
      <c r="M571" s="367" t="s">
        <v>2495</v>
      </c>
      <c r="N571" s="140">
        <v>29</v>
      </c>
      <c r="O571" s="140"/>
      <c r="P571" s="125" t="str">
        <f>VLOOKUP(Ruimtestaat[[#This Row],[Ruimte code]],Ruimtegroepen[],4,FALSE)</f>
        <v>Bu</v>
      </c>
      <c r="R571" s="33">
        <v>42</v>
      </c>
      <c r="S571" s="33" t="s">
        <v>18</v>
      </c>
      <c r="T571" s="33">
        <f>IF(R571&gt;0,IF(RIGHT(Ruimtestaat[[#This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71" s="33">
        <f>IF(T571&gt;0,VLOOKUP($J571,Ruimtegroepen[],3,FALSE)*VLOOKUP($L571,Vloersoorten[],3,FALSE)*VLOOKUP($S571,Frequenties[],3,FALSE)*VLOOKUP($A571,Locaties[],3,FALSE),0)</f>
        <v>0</v>
      </c>
      <c r="V571" s="33">
        <f>Ruimtestaat[[#This Row],[Uitvoeringen werkdagen]]*Ruimtestaat[[#This Row],[Oppervlak (netto)]]</f>
        <v>3654</v>
      </c>
      <c r="W571" s="154">
        <f>IF(U571&gt;0,Ruimtestaat[[#This Row],[Prest. (m2 /jaar) werkdagen]]/Ruimtestaat[[#This Row],[Norm (m2/uur) werkdagen]],0)</f>
        <v>0</v>
      </c>
      <c r="X571" s="155">
        <f>Ruimtestaat[[#This Row],[uren / jaar werkdagen]]*Tariefsopbouw!$E$35</f>
        <v>0</v>
      </c>
      <c r="Y571" s="33"/>
      <c r="Z571" s="33">
        <f>IF(Ruimtestaat[[#This Row],[Frequentie weekend]]&gt;0,VALUE(LEFT(Y571,1))*R571,0)</f>
        <v>0</v>
      </c>
      <c r="AA571" s="97">
        <f>IF($Z571&gt;0,VLOOKUP($J571,Ruimtegroepen[],3,FALSE)*VLOOKUP($L571,Vloersoorten[],3,FALSE)*VLOOKUP($Y571,Frequenties[],3,FALSE)*VLOOKUP(Ruimtestaat[[#This Row],[Code]],Locaties[],3,FALSE),0)</f>
        <v>0</v>
      </c>
      <c r="AB571" s="97">
        <f>Ruimtestaat[[#This Row],[Uitvoeringen weekend]]*Ruimtestaat[[#This Row],[Oppervlak (netto)]]</f>
        <v>0</v>
      </c>
      <c r="AC571" s="97">
        <f>IF(AA571&gt;0,Ruimtestaat[[#This Row],[Prest. (m2 /jaar) weekend]]/Ruimtestaat[[#This Row],[Norm (m2/uur) weekend]],0)</f>
        <v>0</v>
      </c>
      <c r="AD571" s="155">
        <f>Ruimtestaat[[#This Row],[uren / jaar weekend]]*Tariefsopbouw!$D$40</f>
        <v>0</v>
      </c>
      <c r="AE571" s="154">
        <f>Ruimtestaat[[#This Row],[Prest. (m2 /jaar) weekend]]+Ruimtestaat[[#This Row],[Prest. (m2 /jaar) werkdagen]]</f>
        <v>3654</v>
      </c>
      <c r="AF571" s="154">
        <f>Ruimtestaat[[#This Row],[uren / jaar weekend]]+Ruimtestaat[[#This Row],[uren / jaar werkdagen]]</f>
        <v>0</v>
      </c>
      <c r="AG571" s="69">
        <f>Ruimtestaat[[#This Row],[kosten / jaar weekend]]+Ruimtestaat[[#This Row],[kosten / jaar werkdagen]]</f>
        <v>0</v>
      </c>
      <c r="AH571" s="69"/>
      <c r="AI571" s="256" t="str">
        <f>IF(Ruimtestaat[[#This Row],[Frequentie werkdagen]]="","",_xlfn.CONCAT(Ruimtestaat[[#This Row],[Ruimte code]],"-",Ruimtestaat[[#This Row],[Frequentie werkdagen]]," ",Ruimtestaat[[#This Row],[Vloer code]]))</f>
        <v>2-3w L</v>
      </c>
      <c r="AJ571" s="300" t="str">
        <f>_xlfn.IFNA(VLOOKUP($AI571,Programma!$F$3:$G$1107,2,0),"")</f>
        <v>_</v>
      </c>
      <c r="AK571" s="300" t="str">
        <f>_xlfn.IFNA(VLOOKUP($AI571,Programma!$F$3:$H$1107,3,0),"")</f>
        <v>_</v>
      </c>
      <c r="AL571" s="300" t="str">
        <f>_xlfn.IFNA(VLOOKUP($AI571,Programma!$F$3:$I$1107,4,0),"")</f>
        <v>2w</v>
      </c>
      <c r="AM571" s="300" t="str">
        <f>_xlfn.IFNA(VLOOKUP($AI571,Programma!$F$3:$J$1107,5,0),"")</f>
        <v>1w</v>
      </c>
      <c r="AN571" s="300" t="str">
        <f>_xlfn.IFNA(VLOOKUP($AI571,Programma!$F$3:$K$1107,6,0),"")</f>
        <v>_</v>
      </c>
      <c r="AO571" s="300" t="str">
        <f>_xlfn.IFNA(VLOOKUP($AI571,Programma!$F$3:$L$1107,7,0),"")</f>
        <v>_</v>
      </c>
      <c r="AP571" s="300" t="str">
        <f>_xlfn.IFNA(VLOOKUP($AI571,Programma!$F$3:$M$1107,8,0),"")</f>
        <v>_</v>
      </c>
      <c r="AQ571" s="300" t="str">
        <f>_xlfn.IFNA(VLOOKUP($AI571,Programma!$F$3:$N$1107,9,0),"")</f>
        <v>_</v>
      </c>
      <c r="AR571" s="300" t="str">
        <f>_xlfn.IFNA(VLOOKUP($AI571,Programma!$F$3:$O$1107,10,0),"")</f>
        <v>3w</v>
      </c>
      <c r="AS571" s="300" t="str">
        <f>_xlfn.IFNA(VLOOKUP($AI571,Programma!$F$3:$P$1107,11,0),"")</f>
        <v>3w</v>
      </c>
      <c r="AT571" s="300" t="str">
        <f>_xlfn.IFNA(VLOOKUP($AI571,Programma!$F$3:$Q$1107,12,0),"")</f>
        <v>1w</v>
      </c>
      <c r="AU571" s="300" t="str">
        <f>_xlfn.IFNA(VLOOKUP($AI571,Programma!$F$3:$R$1107,13,0),"")</f>
        <v>1w</v>
      </c>
      <c r="AV571" s="300" t="str">
        <f>_xlfn.IFNA(VLOOKUP($AI571,Programma!$F$3:$S$1107,14,0),"")</f>
        <v>1m</v>
      </c>
      <c r="AW571" s="300" t="str">
        <f>_xlfn.IFNA(VLOOKUP($AI571,Programma!$F$3:$T$1107,15,0),"")</f>
        <v>2j</v>
      </c>
      <c r="AX571" s="300" t="str">
        <f>_xlfn.IFNA(VLOOKUP($AI571,Programma!$F$3:$U$1107,16,0),"")</f>
        <v>1j</v>
      </c>
      <c r="AY571" s="300" t="str">
        <f>_xlfn.IFNA(VLOOKUP($AI571,Programma!$F$3:$V$1107,17,0),"")</f>
        <v>_</v>
      </c>
      <c r="AZ571" s="300" t="str">
        <f>_xlfn.IFNA(VLOOKUP($AI571,Programma!$F$3:$W$1107,18,0),"")</f>
        <v>_</v>
      </c>
      <c r="BA571" s="300" t="str">
        <f>_xlfn.IFNA(VLOOKUP($AI571,Programma!$F$3:$X$1107,19,0),"")</f>
        <v>_</v>
      </c>
      <c r="BB571" s="300" t="str">
        <f>_xlfn.IFNA(VLOOKUP($AI571,Programma!$F$3:$Y$1107,20,0),"")</f>
        <v>_</v>
      </c>
      <c r="BC571" s="257"/>
      <c r="BD571" s="256" t="str">
        <f>IF(Ruimtestaat[[#This Row],[Frequentie weekend]]="","",_xlfn.CONCAT(Ruimtestaat[[#This Row],[Ruimte code]],"-",Ruimtestaat[[#This Row],[Frequentie weekend]]," ",Ruimtestaat[[#This Row],[Vloer code]]))</f>
        <v/>
      </c>
      <c r="BE571" s="300" t="str">
        <f>_xlfn.IFNA(VLOOKUP($BD571,Programma!$F$3:$G$1107,2,0),"")</f>
        <v/>
      </c>
      <c r="BF571" s="300" t="str">
        <f>_xlfn.IFNA(VLOOKUP($BD571,Programma!$F$3:$H$1107,3,0),"")</f>
        <v/>
      </c>
      <c r="BG571" s="300" t="str">
        <f>_xlfn.IFNA(VLOOKUP($BD571,Programma!$F$3:$I$1107,4,0),"")</f>
        <v/>
      </c>
      <c r="BH571" s="300" t="str">
        <f>_xlfn.IFNA(VLOOKUP($BD571,Programma!$F$3:$J$1107,5,0),"")</f>
        <v/>
      </c>
      <c r="BI571" s="300" t="str">
        <f>_xlfn.IFNA(VLOOKUP($BD571,Programma!$F$3:$K$1107,6,0),"")</f>
        <v/>
      </c>
      <c r="BJ571" s="300" t="str">
        <f>_xlfn.IFNA(VLOOKUP($BD571,Programma!$F$3:$L$1107,7,0),"")</f>
        <v/>
      </c>
      <c r="BK571" s="300" t="str">
        <f>_xlfn.IFNA(VLOOKUP($BD571,Programma!$F$3:$M$1107,8,0),"")</f>
        <v/>
      </c>
      <c r="BL571" s="300" t="str">
        <f>_xlfn.IFNA(VLOOKUP($BD571,Programma!$F$3:$N$1107,9,0),"")</f>
        <v/>
      </c>
      <c r="BM571" s="300" t="str">
        <f>_xlfn.IFNA(VLOOKUP($BD571,Programma!$F$3:$O$1107,10,0),"")</f>
        <v/>
      </c>
      <c r="BN571" s="300" t="str">
        <f>_xlfn.IFNA(VLOOKUP($BD571,Programma!$F$3:$P$1107,11,0),"")</f>
        <v/>
      </c>
      <c r="BO571" s="300" t="str">
        <f>_xlfn.IFNA(VLOOKUP($BD571,Programma!$F$3:$Q$1107,12,0),"")</f>
        <v/>
      </c>
      <c r="BP571" s="300" t="str">
        <f>_xlfn.IFNA(VLOOKUP($BD571,Programma!$F$3:$R$1107,13,0),"")</f>
        <v/>
      </c>
      <c r="BQ571" s="300" t="str">
        <f>_xlfn.IFNA(VLOOKUP($BD571,Programma!$F$3:$S$1107,14,0),"")</f>
        <v/>
      </c>
      <c r="BR571" s="300" t="str">
        <f>_xlfn.IFNA(VLOOKUP($BD571,Programma!$F$3:$T$1107,15,0),"")</f>
        <v/>
      </c>
      <c r="BS571" s="300" t="str">
        <f>_xlfn.IFNA(VLOOKUP($BD571,Programma!$F$3:$U$1107,16,0),"")</f>
        <v/>
      </c>
      <c r="BT571" s="300" t="str">
        <f>_xlfn.IFNA(VLOOKUP($BD571,Programma!$F$3:$V$1107,17,0),"")</f>
        <v/>
      </c>
      <c r="BU571" s="300" t="str">
        <f>_xlfn.IFNA(VLOOKUP($BD571,Programma!$F$3:$W$1107,18,0),"")</f>
        <v/>
      </c>
      <c r="BV571" s="300" t="str">
        <f>_xlfn.IFNA(VLOOKUP($BD571,Programma!$F$3:$X$1107,19,0),"")</f>
        <v/>
      </c>
      <c r="BW571" s="300" t="str">
        <f>_xlfn.IFNA(VLOOKUP($BD571,Programma!$F$3:$Y$1107,20,0),"")</f>
        <v/>
      </c>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c r="GK571" s="4"/>
      <c r="GL571" s="4"/>
      <c r="GM571" s="4"/>
      <c r="GN571" s="4"/>
      <c r="GO571" s="4"/>
      <c r="GP571" s="4"/>
      <c r="GQ571" s="4"/>
      <c r="GR571" s="4"/>
      <c r="GS571" s="4"/>
      <c r="GT571" s="4"/>
      <c r="GU571" s="4"/>
      <c r="GV571" s="4"/>
      <c r="GW571" s="4"/>
      <c r="GX571" s="4"/>
      <c r="GY571" s="4"/>
      <c r="GZ571" s="4"/>
      <c r="HA571" s="4"/>
      <c r="HB571" s="4"/>
      <c r="HC571" s="4"/>
      <c r="HD571" s="4"/>
      <c r="HE571" s="4"/>
      <c r="HF571" s="4"/>
      <c r="HG571" s="4"/>
      <c r="HH571" s="4"/>
      <c r="HI571" s="4"/>
      <c r="HJ571" s="4"/>
      <c r="HK571" s="4"/>
      <c r="HL571" s="4"/>
    </row>
    <row r="572" spans="1:220" ht="15" customHeight="1">
      <c r="A572" s="21">
        <v>7</v>
      </c>
      <c r="B572" s="157" t="str">
        <f>VLOOKUP(Ruimtestaat[[#This Row],[Code]],Locaties[[Code]:[Locatie]],2,FALSE)</f>
        <v>Gymnasium Novum</v>
      </c>
      <c r="C572" s="157" t="str">
        <f>VLOOKUP(Ruimtestaat[[#This Row],[Code]],Locaties[[#All],[Code]:[Adres]],4,FALSE)</f>
        <v>Aart v.d. Leeuwkade 1</v>
      </c>
      <c r="D572" s="157" t="str">
        <f>VLOOKUP(Ruimtestaat[[#This Row],[Code]],Locaties[[#All],[Code]:[Postcode]],5,FALSE)</f>
        <v>2274 KX</v>
      </c>
      <c r="E572" s="157" t="str">
        <f>VLOOKUP(Ruimtestaat[[#This Row],[Code]],Locaties[#All],6,FALSE)</f>
        <v>Voorburg</v>
      </c>
      <c r="F572" s="62"/>
      <c r="G572" s="21" t="s">
        <v>1632</v>
      </c>
      <c r="H572" s="21">
        <v>26</v>
      </c>
      <c r="I572" s="62" t="s">
        <v>2141</v>
      </c>
      <c r="J572" s="21">
        <v>16</v>
      </c>
      <c r="K572" s="62" t="str">
        <f>VLOOKUP(Ruimtestaat[[#This Row],[Ruimte code]],Ruimtegroepen[[#All],[Code]:[Ruimte omschrijving]],2,FALSE)</f>
        <v>Leslokalen theorie</v>
      </c>
      <c r="L572" s="33" t="s">
        <v>101</v>
      </c>
      <c r="M572" s="367" t="s">
        <v>2495</v>
      </c>
      <c r="N572" s="140">
        <v>62</v>
      </c>
      <c r="O572" s="140"/>
      <c r="P572" s="125" t="str">
        <f>VLOOKUP(Ruimtestaat[[#This Row],[Ruimte code]],Ruimtegroepen[],4,FALSE)</f>
        <v>Le</v>
      </c>
      <c r="R572" s="33">
        <v>40</v>
      </c>
      <c r="S572" s="33" t="s">
        <v>2</v>
      </c>
      <c r="T572" s="33">
        <f>IF(R572&gt;0,IF(RIGHT(Ruimtestaat[[#This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72" s="33">
        <f>IF(T572&gt;0,VLOOKUP($J572,Ruimtegroepen[],3,FALSE)*VLOOKUP($L572,Vloersoorten[],3,FALSE)*VLOOKUP($S572,Frequenties[],3,FALSE)*VLOOKUP($A572,Locaties[],3,FALSE),0)</f>
        <v>0</v>
      </c>
      <c r="V572" s="33">
        <f>Ruimtestaat[[#This Row],[Uitvoeringen werkdagen]]*Ruimtestaat[[#This Row],[Oppervlak (netto)]]</f>
        <v>12400</v>
      </c>
      <c r="W572" s="154">
        <f>IF(U572&gt;0,Ruimtestaat[[#This Row],[Prest. (m2 /jaar) werkdagen]]/Ruimtestaat[[#This Row],[Norm (m2/uur) werkdagen]],0)</f>
        <v>0</v>
      </c>
      <c r="X572" s="155">
        <f>Ruimtestaat[[#This Row],[uren / jaar werkdagen]]*Tariefsopbouw!$E$35</f>
        <v>0</v>
      </c>
      <c r="Y572" s="33"/>
      <c r="Z572" s="33">
        <f>IF(Ruimtestaat[[#This Row],[Frequentie weekend]]&gt;0,VALUE(LEFT(Y572,1))*R572,0)</f>
        <v>0</v>
      </c>
      <c r="AA572" s="97">
        <f>IF($Z572&gt;0,VLOOKUP($J572,Ruimtegroepen[],3,FALSE)*VLOOKUP($L572,Vloersoorten[],3,FALSE)*VLOOKUP($Y572,Frequenties[],3,FALSE)*VLOOKUP(Ruimtestaat[[#This Row],[Code]],Locaties[],3,FALSE),0)</f>
        <v>0</v>
      </c>
      <c r="AB572" s="97">
        <f>Ruimtestaat[[#This Row],[Uitvoeringen weekend]]*Ruimtestaat[[#This Row],[Oppervlak (netto)]]</f>
        <v>0</v>
      </c>
      <c r="AC572" s="97">
        <f>IF(AA572&gt;0,Ruimtestaat[[#This Row],[Prest. (m2 /jaar) weekend]]/Ruimtestaat[[#This Row],[Norm (m2/uur) weekend]],0)</f>
        <v>0</v>
      </c>
      <c r="AD572" s="155">
        <f>Ruimtestaat[[#This Row],[uren / jaar weekend]]*Tariefsopbouw!$D$40</f>
        <v>0</v>
      </c>
      <c r="AE572" s="154">
        <f>Ruimtestaat[[#This Row],[Prest. (m2 /jaar) weekend]]+Ruimtestaat[[#This Row],[Prest. (m2 /jaar) werkdagen]]</f>
        <v>12400</v>
      </c>
      <c r="AF572" s="154">
        <f>Ruimtestaat[[#This Row],[uren / jaar weekend]]+Ruimtestaat[[#This Row],[uren / jaar werkdagen]]</f>
        <v>0</v>
      </c>
      <c r="AG572" s="69">
        <f>Ruimtestaat[[#This Row],[kosten / jaar weekend]]+Ruimtestaat[[#This Row],[kosten / jaar werkdagen]]</f>
        <v>0</v>
      </c>
      <c r="AH572" s="69"/>
      <c r="AI572" s="256" t="str">
        <f>IF(Ruimtestaat[[#This Row],[Frequentie werkdagen]]="","",_xlfn.CONCAT(Ruimtestaat[[#This Row],[Ruimte code]],"-",Ruimtestaat[[#This Row],[Frequentie werkdagen]]," ",Ruimtestaat[[#This Row],[Vloer code]]))</f>
        <v>16-5w L</v>
      </c>
      <c r="AJ572" s="300" t="str">
        <f>_xlfn.IFNA(VLOOKUP($AI572,Programma!$F$3:$G$1107,2,0),"")</f>
        <v>_</v>
      </c>
      <c r="AK572" s="300" t="str">
        <f>_xlfn.IFNA(VLOOKUP($AI572,Programma!$F$3:$H$1107,3,0),"")</f>
        <v>_</v>
      </c>
      <c r="AL572" s="300" t="str">
        <f>_xlfn.IFNA(VLOOKUP($AI572,Programma!$F$3:$I$1107,4,0),"")</f>
        <v>4w</v>
      </c>
      <c r="AM572" s="300" t="str">
        <f>_xlfn.IFNA(VLOOKUP($AI572,Programma!$F$3:$J$1107,5,0),"")</f>
        <v>1w</v>
      </c>
      <c r="AN572" s="300" t="str">
        <f>_xlfn.IFNA(VLOOKUP($AI572,Programma!$F$3:$K$1107,6,0),"")</f>
        <v>_</v>
      </c>
      <c r="AO572" s="300" t="str">
        <f>_xlfn.IFNA(VLOOKUP($AI572,Programma!$F$3:$L$1107,7,0),"")</f>
        <v>_</v>
      </c>
      <c r="AP572" s="300" t="str">
        <f>_xlfn.IFNA(VLOOKUP($AI572,Programma!$F$3:$M$1107,8,0),"")</f>
        <v>_</v>
      </c>
      <c r="AQ572" s="300" t="str">
        <f>_xlfn.IFNA(VLOOKUP($AI572,Programma!$F$3:$N$1107,9,0),"")</f>
        <v>_</v>
      </c>
      <c r="AR572" s="300" t="str">
        <f>_xlfn.IFNA(VLOOKUP($AI572,Programma!$F$3:$O$1107,10,0),"")</f>
        <v>5w</v>
      </c>
      <c r="AS572" s="300" t="str">
        <f>_xlfn.IFNA(VLOOKUP($AI572,Programma!$F$3:$P$1107,11,0),"")</f>
        <v>5w</v>
      </c>
      <c r="AT572" s="300" t="str">
        <f>_xlfn.IFNA(VLOOKUP($AI572,Programma!$F$3:$Q$1107,12,0),"")</f>
        <v>1w</v>
      </c>
      <c r="AU572" s="300" t="str">
        <f>_xlfn.IFNA(VLOOKUP($AI572,Programma!$F$3:$R$1107,13,0),"")</f>
        <v>1w</v>
      </c>
      <c r="AV572" s="300" t="str">
        <f>_xlfn.IFNA(VLOOKUP($AI572,Programma!$F$3:$S$1107,14,0),"")</f>
        <v>1m</v>
      </c>
      <c r="AW572" s="300" t="str">
        <f>_xlfn.IFNA(VLOOKUP($AI572,Programma!$F$3:$T$1107,15,0),"")</f>
        <v>2j</v>
      </c>
      <c r="AX572" s="300" t="str">
        <f>_xlfn.IFNA(VLOOKUP($AI572,Programma!$F$3:$U$1107,16,0),"")</f>
        <v>1j</v>
      </c>
      <c r="AY572" s="300" t="str">
        <f>_xlfn.IFNA(VLOOKUP($AI572,Programma!$F$3:$V$1107,17,0),"")</f>
        <v>_</v>
      </c>
      <c r="AZ572" s="300" t="str">
        <f>_xlfn.IFNA(VLOOKUP($AI572,Programma!$F$3:$W$1107,18,0),"")</f>
        <v>_</v>
      </c>
      <c r="BA572" s="300" t="str">
        <f>_xlfn.IFNA(VLOOKUP($AI572,Programma!$F$3:$X$1107,19,0),"")</f>
        <v>_</v>
      </c>
      <c r="BB572" s="300" t="str">
        <f>_xlfn.IFNA(VLOOKUP($AI572,Programma!$F$3:$Y$1107,20,0),"")</f>
        <v>_</v>
      </c>
      <c r="BC572" s="257"/>
      <c r="BD572" s="256" t="str">
        <f>IF(Ruimtestaat[[#This Row],[Frequentie weekend]]="","",_xlfn.CONCAT(Ruimtestaat[[#This Row],[Ruimte code]],"-",Ruimtestaat[[#This Row],[Frequentie weekend]]," ",Ruimtestaat[[#This Row],[Vloer code]]))</f>
        <v/>
      </c>
      <c r="BE572" s="300" t="str">
        <f>_xlfn.IFNA(VLOOKUP($BD572,Programma!$F$3:$G$1107,2,0),"")</f>
        <v/>
      </c>
      <c r="BF572" s="300" t="str">
        <f>_xlfn.IFNA(VLOOKUP($BD572,Programma!$F$3:$H$1107,3,0),"")</f>
        <v/>
      </c>
      <c r="BG572" s="300" t="str">
        <f>_xlfn.IFNA(VLOOKUP($BD572,Programma!$F$3:$I$1107,4,0),"")</f>
        <v/>
      </c>
      <c r="BH572" s="300" t="str">
        <f>_xlfn.IFNA(VLOOKUP($BD572,Programma!$F$3:$J$1107,5,0),"")</f>
        <v/>
      </c>
      <c r="BI572" s="300" t="str">
        <f>_xlfn.IFNA(VLOOKUP($BD572,Programma!$F$3:$K$1107,6,0),"")</f>
        <v/>
      </c>
      <c r="BJ572" s="300" t="str">
        <f>_xlfn.IFNA(VLOOKUP($BD572,Programma!$F$3:$L$1107,7,0),"")</f>
        <v/>
      </c>
      <c r="BK572" s="300" t="str">
        <f>_xlfn.IFNA(VLOOKUP($BD572,Programma!$F$3:$M$1107,8,0),"")</f>
        <v/>
      </c>
      <c r="BL572" s="300" t="str">
        <f>_xlfn.IFNA(VLOOKUP($BD572,Programma!$F$3:$N$1107,9,0),"")</f>
        <v/>
      </c>
      <c r="BM572" s="300" t="str">
        <f>_xlfn.IFNA(VLOOKUP($BD572,Programma!$F$3:$O$1107,10,0),"")</f>
        <v/>
      </c>
      <c r="BN572" s="300" t="str">
        <f>_xlfn.IFNA(VLOOKUP($BD572,Programma!$F$3:$P$1107,11,0),"")</f>
        <v/>
      </c>
      <c r="BO572" s="300" t="str">
        <f>_xlfn.IFNA(VLOOKUP($BD572,Programma!$F$3:$Q$1107,12,0),"")</f>
        <v/>
      </c>
      <c r="BP572" s="300" t="str">
        <f>_xlfn.IFNA(VLOOKUP($BD572,Programma!$F$3:$R$1107,13,0),"")</f>
        <v/>
      </c>
      <c r="BQ572" s="300" t="str">
        <f>_xlfn.IFNA(VLOOKUP($BD572,Programma!$F$3:$S$1107,14,0),"")</f>
        <v/>
      </c>
      <c r="BR572" s="300" t="str">
        <f>_xlfn.IFNA(VLOOKUP($BD572,Programma!$F$3:$T$1107,15,0),"")</f>
        <v/>
      </c>
      <c r="BS572" s="300" t="str">
        <f>_xlfn.IFNA(VLOOKUP($BD572,Programma!$F$3:$U$1107,16,0),"")</f>
        <v/>
      </c>
      <c r="BT572" s="300" t="str">
        <f>_xlfn.IFNA(VLOOKUP($BD572,Programma!$F$3:$V$1107,17,0),"")</f>
        <v/>
      </c>
      <c r="BU572" s="300" t="str">
        <f>_xlfn.IFNA(VLOOKUP($BD572,Programma!$F$3:$W$1107,18,0),"")</f>
        <v/>
      </c>
      <c r="BV572" s="300" t="str">
        <f>_xlfn.IFNA(VLOOKUP($BD572,Programma!$F$3:$X$1107,19,0),"")</f>
        <v/>
      </c>
      <c r="BW572" s="300" t="str">
        <f>_xlfn.IFNA(VLOOKUP($BD572,Programma!$F$3:$Y$1107,20,0),"")</f>
        <v/>
      </c>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c r="GK572" s="4"/>
      <c r="GL572" s="4"/>
      <c r="GM572" s="4"/>
      <c r="GN572" s="4"/>
      <c r="GO572" s="4"/>
      <c r="GP572" s="4"/>
      <c r="GQ572" s="4"/>
      <c r="GR572" s="4"/>
      <c r="GS572" s="4"/>
      <c r="GT572" s="4"/>
      <c r="GU572" s="4"/>
      <c r="GV572" s="4"/>
      <c r="GW572" s="4"/>
      <c r="GX572" s="4"/>
      <c r="GY572" s="4"/>
      <c r="GZ572" s="4"/>
      <c r="HA572" s="4"/>
      <c r="HB572" s="4"/>
      <c r="HC572" s="4"/>
      <c r="HD572" s="4"/>
      <c r="HE572" s="4"/>
      <c r="HF572" s="4"/>
      <c r="HG572" s="4"/>
      <c r="HH572" s="4"/>
      <c r="HI572" s="4"/>
      <c r="HJ572" s="4"/>
      <c r="HK572" s="4"/>
      <c r="HL572" s="4"/>
    </row>
    <row r="573" spans="1:220" ht="15" customHeight="1">
      <c r="A573" s="21">
        <v>7</v>
      </c>
      <c r="B573" s="157" t="str">
        <f>VLOOKUP(Ruimtestaat[[#This Row],[Code]],Locaties[[Code]:[Locatie]],2,FALSE)</f>
        <v>Gymnasium Novum</v>
      </c>
      <c r="C573" s="157" t="str">
        <f>VLOOKUP(Ruimtestaat[[#This Row],[Code]],Locaties[[#All],[Code]:[Adres]],4,FALSE)</f>
        <v>Aart v.d. Leeuwkade 1</v>
      </c>
      <c r="D573" s="157" t="str">
        <f>VLOOKUP(Ruimtestaat[[#This Row],[Code]],Locaties[[#All],[Code]:[Postcode]],5,FALSE)</f>
        <v>2274 KX</v>
      </c>
      <c r="E573" s="157" t="str">
        <f>VLOOKUP(Ruimtestaat[[#This Row],[Code]],Locaties[#All],6,FALSE)</f>
        <v>Voorburg</v>
      </c>
      <c r="F573" s="62"/>
      <c r="G573" s="21" t="s">
        <v>1632</v>
      </c>
      <c r="H573" s="21">
        <v>27</v>
      </c>
      <c r="I573" s="62" t="s">
        <v>1636</v>
      </c>
      <c r="J573" s="21">
        <v>12</v>
      </c>
      <c r="K573" s="62" t="str">
        <f>VLOOKUP(Ruimtestaat[[#This Row],[Ruimte code]],Ruimtegroepen[[#All],[Code]:[Ruimte omschrijving]],2,FALSE)</f>
        <v>Kantine</v>
      </c>
      <c r="L573" s="33" t="s">
        <v>101</v>
      </c>
      <c r="M573" s="367" t="s">
        <v>2495</v>
      </c>
      <c r="N573" s="140">
        <v>780</v>
      </c>
      <c r="O573" s="140"/>
      <c r="P573" s="125" t="str">
        <f>VLOOKUP(Ruimtestaat[[#This Row],[Ruimte code]],Ruimtegroepen[],4,FALSE)</f>
        <v>Ve</v>
      </c>
      <c r="R573" s="33">
        <v>40</v>
      </c>
      <c r="S573" s="33" t="s">
        <v>2</v>
      </c>
      <c r="T573" s="33">
        <f>IF(R573&gt;0,IF(RIGHT(Ruimtestaat[[#This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73" s="33">
        <f>IF(T573&gt;0,VLOOKUP($J573,Ruimtegroepen[],3,FALSE)*VLOOKUP($L573,Vloersoorten[],3,FALSE)*VLOOKUP($S573,Frequenties[],3,FALSE)*VLOOKUP($A573,Locaties[],3,FALSE),0)</f>
        <v>0</v>
      </c>
      <c r="V573" s="33">
        <f>Ruimtestaat[[#This Row],[Uitvoeringen werkdagen]]*Ruimtestaat[[#This Row],[Oppervlak (netto)]]</f>
        <v>156000</v>
      </c>
      <c r="W573" s="154">
        <f>IF(U573&gt;0,Ruimtestaat[[#This Row],[Prest. (m2 /jaar) werkdagen]]/Ruimtestaat[[#This Row],[Norm (m2/uur) werkdagen]],0)</f>
        <v>0</v>
      </c>
      <c r="X573" s="155">
        <f>Ruimtestaat[[#This Row],[uren / jaar werkdagen]]*Tariefsopbouw!$E$35</f>
        <v>0</v>
      </c>
      <c r="Y573" s="33"/>
      <c r="Z573" s="33">
        <f>IF(Ruimtestaat[[#This Row],[Frequentie weekend]]&gt;0,VALUE(LEFT(Y573,1))*R573,0)</f>
        <v>0</v>
      </c>
      <c r="AA573" s="97">
        <f>IF($Z573&gt;0,VLOOKUP($J573,Ruimtegroepen[],3,FALSE)*VLOOKUP($L573,Vloersoorten[],3,FALSE)*VLOOKUP($Y573,Frequenties[],3,FALSE)*VLOOKUP(Ruimtestaat[[#This Row],[Code]],Locaties[],3,FALSE),0)</f>
        <v>0</v>
      </c>
      <c r="AB573" s="97">
        <f>Ruimtestaat[[#This Row],[Uitvoeringen weekend]]*Ruimtestaat[[#This Row],[Oppervlak (netto)]]</f>
        <v>0</v>
      </c>
      <c r="AC573" s="97">
        <f>IF(AA573&gt;0,Ruimtestaat[[#This Row],[Prest. (m2 /jaar) weekend]]/Ruimtestaat[[#This Row],[Norm (m2/uur) weekend]],0)</f>
        <v>0</v>
      </c>
      <c r="AD573" s="155">
        <f>Ruimtestaat[[#This Row],[uren / jaar weekend]]*Tariefsopbouw!$D$40</f>
        <v>0</v>
      </c>
      <c r="AE573" s="154">
        <f>Ruimtestaat[[#This Row],[Prest. (m2 /jaar) weekend]]+Ruimtestaat[[#This Row],[Prest. (m2 /jaar) werkdagen]]</f>
        <v>156000</v>
      </c>
      <c r="AF573" s="154">
        <f>Ruimtestaat[[#This Row],[uren / jaar weekend]]+Ruimtestaat[[#This Row],[uren / jaar werkdagen]]</f>
        <v>0</v>
      </c>
      <c r="AG573" s="69">
        <f>Ruimtestaat[[#This Row],[kosten / jaar weekend]]+Ruimtestaat[[#This Row],[kosten / jaar werkdagen]]</f>
        <v>0</v>
      </c>
      <c r="AH573" s="69"/>
      <c r="AI573" s="256" t="str">
        <f>IF(Ruimtestaat[[#This Row],[Frequentie werkdagen]]="","",_xlfn.CONCAT(Ruimtestaat[[#This Row],[Ruimte code]],"-",Ruimtestaat[[#This Row],[Frequentie werkdagen]]," ",Ruimtestaat[[#This Row],[Vloer code]]))</f>
        <v>12-5w L</v>
      </c>
      <c r="AJ573" s="300" t="str">
        <f>_xlfn.IFNA(VLOOKUP($AI573,Programma!$F$3:$G$1107,2,0),"")</f>
        <v>_</v>
      </c>
      <c r="AK573" s="300" t="str">
        <f>_xlfn.IFNA(VLOOKUP($AI573,Programma!$F$3:$H$1107,3,0),"")</f>
        <v>_</v>
      </c>
      <c r="AL573" s="300" t="str">
        <f>_xlfn.IFNA(VLOOKUP($AI573,Programma!$F$3:$I$1107,4,0),"")</f>
        <v>_</v>
      </c>
      <c r="AM573" s="300" t="str">
        <f>_xlfn.IFNA(VLOOKUP($AI573,Programma!$F$3:$J$1107,5,0),"")</f>
        <v>5w</v>
      </c>
      <c r="AN573" s="300" t="str">
        <f>_xlfn.IFNA(VLOOKUP($AI573,Programma!$F$3:$K$1107,6,0),"")</f>
        <v>_</v>
      </c>
      <c r="AO573" s="300" t="str">
        <f>_xlfn.IFNA(VLOOKUP($AI573,Programma!$F$3:$L$1107,7,0),"")</f>
        <v>_</v>
      </c>
      <c r="AP573" s="300" t="str">
        <f>_xlfn.IFNA(VLOOKUP($AI573,Programma!$F$3:$M$1107,8,0),"")</f>
        <v>_</v>
      </c>
      <c r="AQ573" s="300" t="str">
        <f>_xlfn.IFNA(VLOOKUP($AI573,Programma!$F$3:$N$1107,9,0),"")</f>
        <v>_</v>
      </c>
      <c r="AR573" s="300" t="str">
        <f>_xlfn.IFNA(VLOOKUP($AI573,Programma!$F$3:$O$1107,10,0),"")</f>
        <v>5w</v>
      </c>
      <c r="AS573" s="300" t="str">
        <f>_xlfn.IFNA(VLOOKUP($AI573,Programma!$F$3:$P$1107,11,0),"")</f>
        <v>5w</v>
      </c>
      <c r="AT573" s="300" t="str">
        <f>_xlfn.IFNA(VLOOKUP($AI573,Programma!$F$3:$Q$1107,12,0),"")</f>
        <v>1w</v>
      </c>
      <c r="AU573" s="300" t="str">
        <f>_xlfn.IFNA(VLOOKUP($AI573,Programma!$F$3:$R$1107,13,0),"")</f>
        <v>1w</v>
      </c>
      <c r="AV573" s="300" t="str">
        <f>_xlfn.IFNA(VLOOKUP($AI573,Programma!$F$3:$S$1107,14,0),"")</f>
        <v>1m</v>
      </c>
      <c r="AW573" s="300" t="str">
        <f>_xlfn.IFNA(VLOOKUP($AI573,Programma!$F$3:$T$1107,15,0),"")</f>
        <v>2j</v>
      </c>
      <c r="AX573" s="300" t="str">
        <f>_xlfn.IFNA(VLOOKUP($AI573,Programma!$F$3:$U$1107,16,0),"")</f>
        <v>1j</v>
      </c>
      <c r="AY573" s="300" t="str">
        <f>_xlfn.IFNA(VLOOKUP($AI573,Programma!$F$3:$V$1107,17,0),"")</f>
        <v>_</v>
      </c>
      <c r="AZ573" s="300" t="str">
        <f>_xlfn.IFNA(VLOOKUP($AI573,Programma!$F$3:$W$1107,18,0),"")</f>
        <v>_</v>
      </c>
      <c r="BA573" s="300" t="str">
        <f>_xlfn.IFNA(VLOOKUP($AI573,Programma!$F$3:$X$1107,19,0),"")</f>
        <v>_</v>
      </c>
      <c r="BB573" s="300" t="str">
        <f>_xlfn.IFNA(VLOOKUP($AI573,Programma!$F$3:$Y$1107,20,0),"")</f>
        <v>_</v>
      </c>
      <c r="BC573" s="257"/>
      <c r="BD573" s="256" t="str">
        <f>IF(Ruimtestaat[[#This Row],[Frequentie weekend]]="","",_xlfn.CONCAT(Ruimtestaat[[#This Row],[Ruimte code]],"-",Ruimtestaat[[#This Row],[Frequentie weekend]]," ",Ruimtestaat[[#This Row],[Vloer code]]))</f>
        <v/>
      </c>
      <c r="BE573" s="300" t="str">
        <f>_xlfn.IFNA(VLOOKUP($BD573,Programma!$F$3:$G$1107,2,0),"")</f>
        <v/>
      </c>
      <c r="BF573" s="300" t="str">
        <f>_xlfn.IFNA(VLOOKUP($BD573,Programma!$F$3:$H$1107,3,0),"")</f>
        <v/>
      </c>
      <c r="BG573" s="300" t="str">
        <f>_xlfn.IFNA(VLOOKUP($BD573,Programma!$F$3:$I$1107,4,0),"")</f>
        <v/>
      </c>
      <c r="BH573" s="300" t="str">
        <f>_xlfn.IFNA(VLOOKUP($BD573,Programma!$F$3:$J$1107,5,0),"")</f>
        <v/>
      </c>
      <c r="BI573" s="300" t="str">
        <f>_xlfn.IFNA(VLOOKUP($BD573,Programma!$F$3:$K$1107,6,0),"")</f>
        <v/>
      </c>
      <c r="BJ573" s="300" t="str">
        <f>_xlfn.IFNA(VLOOKUP($BD573,Programma!$F$3:$L$1107,7,0),"")</f>
        <v/>
      </c>
      <c r="BK573" s="300" t="str">
        <f>_xlfn.IFNA(VLOOKUP($BD573,Programma!$F$3:$M$1107,8,0),"")</f>
        <v/>
      </c>
      <c r="BL573" s="300" t="str">
        <f>_xlfn.IFNA(VLOOKUP($BD573,Programma!$F$3:$N$1107,9,0),"")</f>
        <v/>
      </c>
      <c r="BM573" s="300" t="str">
        <f>_xlfn.IFNA(VLOOKUP($BD573,Programma!$F$3:$O$1107,10,0),"")</f>
        <v/>
      </c>
      <c r="BN573" s="300" t="str">
        <f>_xlfn.IFNA(VLOOKUP($BD573,Programma!$F$3:$P$1107,11,0),"")</f>
        <v/>
      </c>
      <c r="BO573" s="300" t="str">
        <f>_xlfn.IFNA(VLOOKUP($BD573,Programma!$F$3:$Q$1107,12,0),"")</f>
        <v/>
      </c>
      <c r="BP573" s="300" t="str">
        <f>_xlfn.IFNA(VLOOKUP($BD573,Programma!$F$3:$R$1107,13,0),"")</f>
        <v/>
      </c>
      <c r="BQ573" s="300" t="str">
        <f>_xlfn.IFNA(VLOOKUP($BD573,Programma!$F$3:$S$1107,14,0),"")</f>
        <v/>
      </c>
      <c r="BR573" s="300" t="str">
        <f>_xlfn.IFNA(VLOOKUP($BD573,Programma!$F$3:$T$1107,15,0),"")</f>
        <v/>
      </c>
      <c r="BS573" s="300" t="str">
        <f>_xlfn.IFNA(VLOOKUP($BD573,Programma!$F$3:$U$1107,16,0),"")</f>
        <v/>
      </c>
      <c r="BT573" s="300" t="str">
        <f>_xlfn.IFNA(VLOOKUP($BD573,Programma!$F$3:$V$1107,17,0),"")</f>
        <v/>
      </c>
      <c r="BU573" s="300" t="str">
        <f>_xlfn.IFNA(VLOOKUP($BD573,Programma!$F$3:$W$1107,18,0),"")</f>
        <v/>
      </c>
      <c r="BV573" s="300" t="str">
        <f>_xlfn.IFNA(VLOOKUP($BD573,Programma!$F$3:$X$1107,19,0),"")</f>
        <v/>
      </c>
      <c r="BW573" s="300" t="str">
        <f>_xlfn.IFNA(VLOOKUP($BD573,Programma!$F$3:$Y$1107,20,0),"")</f>
        <v/>
      </c>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c r="GK573" s="4"/>
      <c r="GL573" s="4"/>
      <c r="GM573" s="4"/>
      <c r="GN573" s="4"/>
      <c r="GO573" s="4"/>
      <c r="GP573" s="4"/>
      <c r="GQ573" s="4"/>
      <c r="GR573" s="4"/>
      <c r="GS573" s="4"/>
      <c r="GT573" s="4"/>
      <c r="GU573" s="4"/>
      <c r="GV573" s="4"/>
      <c r="GW573" s="4"/>
      <c r="GX573" s="4"/>
      <c r="GY573" s="4"/>
      <c r="GZ573" s="4"/>
      <c r="HA573" s="4"/>
      <c r="HB573" s="4"/>
      <c r="HC573" s="4"/>
      <c r="HD573" s="4"/>
      <c r="HE573" s="4"/>
      <c r="HF573" s="4"/>
      <c r="HG573" s="4"/>
      <c r="HH573" s="4"/>
      <c r="HI573" s="4"/>
      <c r="HJ573" s="4"/>
      <c r="HK573" s="4"/>
      <c r="HL573" s="4"/>
    </row>
    <row r="574" spans="1:220" ht="15" customHeight="1">
      <c r="A574" s="21">
        <v>7</v>
      </c>
      <c r="B574" s="157" t="str">
        <f>VLOOKUP(Ruimtestaat[[#This Row],[Code]],Locaties[[Code]:[Locatie]],2,FALSE)</f>
        <v>Gymnasium Novum</v>
      </c>
      <c r="C574" s="157" t="str">
        <f>VLOOKUP(Ruimtestaat[[#This Row],[Code]],Locaties[[#All],[Code]:[Adres]],4,FALSE)</f>
        <v>Aart v.d. Leeuwkade 1</v>
      </c>
      <c r="D574" s="157" t="str">
        <f>VLOOKUP(Ruimtestaat[[#This Row],[Code]],Locaties[[#All],[Code]:[Postcode]],5,FALSE)</f>
        <v>2274 KX</v>
      </c>
      <c r="E574" s="157" t="str">
        <f>VLOOKUP(Ruimtestaat[[#This Row],[Code]],Locaties[#All],6,FALSE)</f>
        <v>Voorburg</v>
      </c>
      <c r="F574" s="62"/>
      <c r="G574" s="21" t="s">
        <v>1632</v>
      </c>
      <c r="H574" s="21">
        <v>28</v>
      </c>
      <c r="I574" s="62" t="s">
        <v>2142</v>
      </c>
      <c r="J574" s="21">
        <v>12</v>
      </c>
      <c r="K574" s="62" t="str">
        <f>VLOOKUP(Ruimtestaat[[#This Row],[Ruimte code]],Ruimtegroepen[[#All],[Code]:[Ruimte omschrijving]],2,FALSE)</f>
        <v>Kantine</v>
      </c>
      <c r="L574" s="33" t="s">
        <v>102</v>
      </c>
      <c r="M574" s="367" t="s">
        <v>2499</v>
      </c>
      <c r="N574" s="140">
        <v>106</v>
      </c>
      <c r="O574" s="140"/>
      <c r="P574" s="125" t="str">
        <f>VLOOKUP(Ruimtestaat[[#This Row],[Ruimte code]],Ruimtegroepen[],4,FALSE)</f>
        <v>Ve</v>
      </c>
      <c r="R574" s="33">
        <v>40</v>
      </c>
      <c r="S574" s="33" t="s">
        <v>2</v>
      </c>
      <c r="T574" s="33">
        <f>IF(R574&gt;0,IF(RIGHT(Ruimtestaat[[#This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74" s="33">
        <f>IF(T574&gt;0,VLOOKUP($J574,Ruimtegroepen[],3,FALSE)*VLOOKUP($L574,Vloersoorten[],3,FALSE)*VLOOKUP($S574,Frequenties[],3,FALSE)*VLOOKUP($A574,Locaties[],3,FALSE),0)</f>
        <v>0</v>
      </c>
      <c r="V574" s="33">
        <f>Ruimtestaat[[#This Row],[Uitvoeringen werkdagen]]*Ruimtestaat[[#This Row],[Oppervlak (netto)]]</f>
        <v>21200</v>
      </c>
      <c r="W574" s="154">
        <f>IF(U574&gt;0,Ruimtestaat[[#This Row],[Prest. (m2 /jaar) werkdagen]]/Ruimtestaat[[#This Row],[Norm (m2/uur) werkdagen]],0)</f>
        <v>0</v>
      </c>
      <c r="X574" s="155">
        <f>Ruimtestaat[[#This Row],[uren / jaar werkdagen]]*Tariefsopbouw!$E$35</f>
        <v>0</v>
      </c>
      <c r="Y574" s="33"/>
      <c r="Z574" s="33">
        <f>IF(Ruimtestaat[[#This Row],[Frequentie weekend]]&gt;0,VALUE(LEFT(Y574,1))*R574,0)</f>
        <v>0</v>
      </c>
      <c r="AA574" s="97">
        <f>IF($Z574&gt;0,VLOOKUP($J574,Ruimtegroepen[],3,FALSE)*VLOOKUP($L574,Vloersoorten[],3,FALSE)*VLOOKUP($Y574,Frequenties[],3,FALSE)*VLOOKUP(Ruimtestaat[[#This Row],[Code]],Locaties[],3,FALSE),0)</f>
        <v>0</v>
      </c>
      <c r="AB574" s="97">
        <f>Ruimtestaat[[#This Row],[Uitvoeringen weekend]]*Ruimtestaat[[#This Row],[Oppervlak (netto)]]</f>
        <v>0</v>
      </c>
      <c r="AC574" s="97">
        <f>IF(AA574&gt;0,Ruimtestaat[[#This Row],[Prest. (m2 /jaar) weekend]]/Ruimtestaat[[#This Row],[Norm (m2/uur) weekend]],0)</f>
        <v>0</v>
      </c>
      <c r="AD574" s="155">
        <f>Ruimtestaat[[#This Row],[uren / jaar weekend]]*Tariefsopbouw!$D$40</f>
        <v>0</v>
      </c>
      <c r="AE574" s="154">
        <f>Ruimtestaat[[#This Row],[Prest. (m2 /jaar) weekend]]+Ruimtestaat[[#This Row],[Prest. (m2 /jaar) werkdagen]]</f>
        <v>21200</v>
      </c>
      <c r="AF574" s="154">
        <f>Ruimtestaat[[#This Row],[uren / jaar weekend]]+Ruimtestaat[[#This Row],[uren / jaar werkdagen]]</f>
        <v>0</v>
      </c>
      <c r="AG574" s="69">
        <f>Ruimtestaat[[#This Row],[kosten / jaar weekend]]+Ruimtestaat[[#This Row],[kosten / jaar werkdagen]]</f>
        <v>0</v>
      </c>
      <c r="AH574" s="69"/>
      <c r="AI574" s="256" t="str">
        <f>IF(Ruimtestaat[[#This Row],[Frequentie werkdagen]]="","",_xlfn.CONCAT(Ruimtestaat[[#This Row],[Ruimte code]],"-",Ruimtestaat[[#This Row],[Frequentie werkdagen]]," ",Ruimtestaat[[#This Row],[Vloer code]]))</f>
        <v>12-5w S</v>
      </c>
      <c r="AJ574" s="300" t="str">
        <f>_xlfn.IFNA(VLOOKUP($AI574,Programma!$F$3:$G$1107,2,0),"")</f>
        <v>_</v>
      </c>
      <c r="AK574" s="300" t="str">
        <f>_xlfn.IFNA(VLOOKUP($AI574,Programma!$F$3:$H$1107,3,0),"")</f>
        <v>_</v>
      </c>
      <c r="AL574" s="300" t="str">
        <f>_xlfn.IFNA(VLOOKUP($AI574,Programma!$F$3:$I$1107,4,0),"")</f>
        <v>5w</v>
      </c>
      <c r="AM574" s="300" t="str">
        <f>_xlfn.IFNA(VLOOKUP($AI574,Programma!$F$3:$J$1107,5,0),"")</f>
        <v>_</v>
      </c>
      <c r="AN574" s="300" t="str">
        <f>_xlfn.IFNA(VLOOKUP($AI574,Programma!$F$3:$K$1107,6,0),"")</f>
        <v>5w</v>
      </c>
      <c r="AO574" s="300" t="str">
        <f>_xlfn.IFNA(VLOOKUP($AI574,Programma!$F$3:$L$1107,7,0),"")</f>
        <v>_</v>
      </c>
      <c r="AP574" s="300" t="str">
        <f>_xlfn.IFNA(VLOOKUP($AI574,Programma!$F$3:$M$1107,8,0),"")</f>
        <v>_</v>
      </c>
      <c r="AQ574" s="300" t="str">
        <f>_xlfn.IFNA(VLOOKUP($AI574,Programma!$F$3:$N$1107,9,0),"")</f>
        <v>_</v>
      </c>
      <c r="AR574" s="300" t="str">
        <f>_xlfn.IFNA(VLOOKUP($AI574,Programma!$F$3:$O$1107,10,0),"")</f>
        <v>5w</v>
      </c>
      <c r="AS574" s="300" t="str">
        <f>_xlfn.IFNA(VLOOKUP($AI574,Programma!$F$3:$P$1107,11,0),"")</f>
        <v>5w</v>
      </c>
      <c r="AT574" s="300" t="str">
        <f>_xlfn.IFNA(VLOOKUP($AI574,Programma!$F$3:$Q$1107,12,0),"")</f>
        <v>1w</v>
      </c>
      <c r="AU574" s="300" t="str">
        <f>_xlfn.IFNA(VLOOKUP($AI574,Programma!$F$3:$R$1107,13,0),"")</f>
        <v>1w</v>
      </c>
      <c r="AV574" s="300" t="str">
        <f>_xlfn.IFNA(VLOOKUP($AI574,Programma!$F$3:$S$1107,14,0),"")</f>
        <v>1m</v>
      </c>
      <c r="AW574" s="300" t="str">
        <f>_xlfn.IFNA(VLOOKUP($AI574,Programma!$F$3:$T$1107,15,0),"")</f>
        <v>2j</v>
      </c>
      <c r="AX574" s="300" t="str">
        <f>_xlfn.IFNA(VLOOKUP($AI574,Programma!$F$3:$U$1107,16,0),"")</f>
        <v>1j</v>
      </c>
      <c r="AY574" s="300" t="str">
        <f>_xlfn.IFNA(VLOOKUP($AI574,Programma!$F$3:$V$1107,17,0),"")</f>
        <v>_</v>
      </c>
      <c r="AZ574" s="300" t="str">
        <f>_xlfn.IFNA(VLOOKUP($AI574,Programma!$F$3:$W$1107,18,0),"")</f>
        <v>_</v>
      </c>
      <c r="BA574" s="300" t="str">
        <f>_xlfn.IFNA(VLOOKUP($AI574,Programma!$F$3:$X$1107,19,0),"")</f>
        <v>_</v>
      </c>
      <c r="BB574" s="300" t="str">
        <f>_xlfn.IFNA(VLOOKUP($AI574,Programma!$F$3:$Y$1107,20,0),"")</f>
        <v>_</v>
      </c>
      <c r="BC574" s="257"/>
      <c r="BD574" s="256" t="str">
        <f>IF(Ruimtestaat[[#This Row],[Frequentie weekend]]="","",_xlfn.CONCAT(Ruimtestaat[[#This Row],[Ruimte code]],"-",Ruimtestaat[[#This Row],[Frequentie weekend]]," ",Ruimtestaat[[#This Row],[Vloer code]]))</f>
        <v/>
      </c>
      <c r="BE574" s="300" t="str">
        <f>_xlfn.IFNA(VLOOKUP($BD574,Programma!$F$3:$G$1107,2,0),"")</f>
        <v/>
      </c>
      <c r="BF574" s="300" t="str">
        <f>_xlfn.IFNA(VLOOKUP($BD574,Programma!$F$3:$H$1107,3,0),"")</f>
        <v/>
      </c>
      <c r="BG574" s="300" t="str">
        <f>_xlfn.IFNA(VLOOKUP($BD574,Programma!$F$3:$I$1107,4,0),"")</f>
        <v/>
      </c>
      <c r="BH574" s="300" t="str">
        <f>_xlfn.IFNA(VLOOKUP($BD574,Programma!$F$3:$J$1107,5,0),"")</f>
        <v/>
      </c>
      <c r="BI574" s="300" t="str">
        <f>_xlfn.IFNA(VLOOKUP($BD574,Programma!$F$3:$K$1107,6,0),"")</f>
        <v/>
      </c>
      <c r="BJ574" s="300" t="str">
        <f>_xlfn.IFNA(VLOOKUP($BD574,Programma!$F$3:$L$1107,7,0),"")</f>
        <v/>
      </c>
      <c r="BK574" s="300" t="str">
        <f>_xlfn.IFNA(VLOOKUP($BD574,Programma!$F$3:$M$1107,8,0),"")</f>
        <v/>
      </c>
      <c r="BL574" s="300" t="str">
        <f>_xlfn.IFNA(VLOOKUP($BD574,Programma!$F$3:$N$1107,9,0),"")</f>
        <v/>
      </c>
      <c r="BM574" s="300" t="str">
        <f>_xlfn.IFNA(VLOOKUP($BD574,Programma!$F$3:$O$1107,10,0),"")</f>
        <v/>
      </c>
      <c r="BN574" s="300" t="str">
        <f>_xlfn.IFNA(VLOOKUP($BD574,Programma!$F$3:$P$1107,11,0),"")</f>
        <v/>
      </c>
      <c r="BO574" s="300" t="str">
        <f>_xlfn.IFNA(VLOOKUP($BD574,Programma!$F$3:$Q$1107,12,0),"")</f>
        <v/>
      </c>
      <c r="BP574" s="300" t="str">
        <f>_xlfn.IFNA(VLOOKUP($BD574,Programma!$F$3:$R$1107,13,0),"")</f>
        <v/>
      </c>
      <c r="BQ574" s="300" t="str">
        <f>_xlfn.IFNA(VLOOKUP($BD574,Programma!$F$3:$S$1107,14,0),"")</f>
        <v/>
      </c>
      <c r="BR574" s="300" t="str">
        <f>_xlfn.IFNA(VLOOKUP($BD574,Programma!$F$3:$T$1107,15,0),"")</f>
        <v/>
      </c>
      <c r="BS574" s="300" t="str">
        <f>_xlfn.IFNA(VLOOKUP($BD574,Programma!$F$3:$U$1107,16,0),"")</f>
        <v/>
      </c>
      <c r="BT574" s="300" t="str">
        <f>_xlfn.IFNA(VLOOKUP($BD574,Programma!$F$3:$V$1107,17,0),"")</f>
        <v/>
      </c>
      <c r="BU574" s="300" t="str">
        <f>_xlfn.IFNA(VLOOKUP($BD574,Programma!$F$3:$W$1107,18,0),"")</f>
        <v/>
      </c>
      <c r="BV574" s="300" t="str">
        <f>_xlfn.IFNA(VLOOKUP($BD574,Programma!$F$3:$X$1107,19,0),"")</f>
        <v/>
      </c>
      <c r="BW574" s="300" t="str">
        <f>_xlfn.IFNA(VLOOKUP($BD574,Programma!$F$3:$Y$1107,20,0),"")</f>
        <v/>
      </c>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c r="GK574" s="4"/>
      <c r="GL574" s="4"/>
      <c r="GM574" s="4"/>
      <c r="GN574" s="4"/>
      <c r="GO574" s="4"/>
      <c r="GP574" s="4"/>
      <c r="GQ574" s="4"/>
      <c r="GR574" s="4"/>
      <c r="GS574" s="4"/>
      <c r="GT574" s="4"/>
      <c r="GU574" s="4"/>
      <c r="GV574" s="4"/>
      <c r="GW574" s="4"/>
      <c r="GX574" s="4"/>
      <c r="GY574" s="4"/>
      <c r="GZ574" s="4"/>
      <c r="HA574" s="4"/>
      <c r="HB574" s="4"/>
      <c r="HC574" s="4"/>
      <c r="HD574" s="4"/>
      <c r="HE574" s="4"/>
      <c r="HF574" s="4"/>
      <c r="HG574" s="4"/>
      <c r="HH574" s="4"/>
      <c r="HI574" s="4"/>
      <c r="HJ574" s="4"/>
      <c r="HK574" s="4"/>
      <c r="HL574" s="4"/>
    </row>
    <row r="575" spans="1:220" ht="15" customHeight="1">
      <c r="A575" s="21">
        <v>7</v>
      </c>
      <c r="B575" s="157" t="str">
        <f>VLOOKUP(Ruimtestaat[[#This Row],[Code]],Locaties[[Code]:[Locatie]],2,FALSE)</f>
        <v>Gymnasium Novum</v>
      </c>
      <c r="C575" s="157" t="str">
        <f>VLOOKUP(Ruimtestaat[[#This Row],[Code]],Locaties[[#All],[Code]:[Adres]],4,FALSE)</f>
        <v>Aart v.d. Leeuwkade 1</v>
      </c>
      <c r="D575" s="157" t="str">
        <f>VLOOKUP(Ruimtestaat[[#This Row],[Code]],Locaties[[#All],[Code]:[Postcode]],5,FALSE)</f>
        <v>2274 KX</v>
      </c>
      <c r="E575" s="157" t="str">
        <f>VLOOKUP(Ruimtestaat[[#This Row],[Code]],Locaties[#All],6,FALSE)</f>
        <v>Voorburg</v>
      </c>
      <c r="F575" s="62"/>
      <c r="G575" s="21" t="s">
        <v>1632</v>
      </c>
      <c r="H575" s="21">
        <v>29</v>
      </c>
      <c r="I575" s="62" t="s">
        <v>2143</v>
      </c>
      <c r="J575" s="21">
        <v>1</v>
      </c>
      <c r="K575" s="62" t="str">
        <f>VLOOKUP(Ruimtestaat[[#This Row],[Ruimte code]],Ruimtegroepen[[#All],[Code]:[Ruimte omschrijving]],2,FALSE)</f>
        <v>Magazijnen/bergingen</v>
      </c>
      <c r="L575" s="33" t="s">
        <v>102</v>
      </c>
      <c r="M575" s="367" t="s">
        <v>2499</v>
      </c>
      <c r="N575" s="140">
        <v>58</v>
      </c>
      <c r="O575" s="140"/>
      <c r="P575" s="125" t="str">
        <f>VLOOKUP(Ruimtestaat[[#This Row],[Ruimte code]],Ruimtegroepen[],4,FALSE)</f>
        <v>Ve</v>
      </c>
      <c r="R575" s="33">
        <v>40</v>
      </c>
      <c r="S575" s="33" t="s">
        <v>16</v>
      </c>
      <c r="T575" s="33">
        <f>IF(R575&gt;0,IF(RIGHT(Ruimtestaat[[#This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575" s="33">
        <f>IF(T575&gt;0,VLOOKUP($J575,Ruimtegroepen[],3,FALSE)*VLOOKUP($L575,Vloersoorten[],3,FALSE)*VLOOKUP($S575,Frequenties[],3,FALSE)*VLOOKUP($A575,Locaties[],3,FALSE),0)</f>
        <v>0</v>
      </c>
      <c r="V575" s="33">
        <f>Ruimtestaat[[#This Row],[Uitvoeringen werkdagen]]*Ruimtestaat[[#This Row],[Oppervlak (netto)]]</f>
        <v>696</v>
      </c>
      <c r="W575" s="154">
        <f>IF(U575&gt;0,Ruimtestaat[[#This Row],[Prest. (m2 /jaar) werkdagen]]/Ruimtestaat[[#This Row],[Norm (m2/uur) werkdagen]],0)</f>
        <v>0</v>
      </c>
      <c r="X575" s="155">
        <f>Ruimtestaat[[#This Row],[uren / jaar werkdagen]]*Tariefsopbouw!$E$35</f>
        <v>0</v>
      </c>
      <c r="Y575" s="33"/>
      <c r="Z575" s="33">
        <f>IF(Ruimtestaat[[#This Row],[Frequentie weekend]]&gt;0,VALUE(LEFT(Y575,1))*R575,0)</f>
        <v>0</v>
      </c>
      <c r="AA575" s="97">
        <f>IF($Z575&gt;0,VLOOKUP($J575,Ruimtegroepen[],3,FALSE)*VLOOKUP($L575,Vloersoorten[],3,FALSE)*VLOOKUP($Y575,Frequenties[],3,FALSE)*VLOOKUP(Ruimtestaat[[#This Row],[Code]],Locaties[],3,FALSE),0)</f>
        <v>0</v>
      </c>
      <c r="AB575" s="97">
        <f>Ruimtestaat[[#This Row],[Uitvoeringen weekend]]*Ruimtestaat[[#This Row],[Oppervlak (netto)]]</f>
        <v>0</v>
      </c>
      <c r="AC575" s="97">
        <f>IF(AA575&gt;0,Ruimtestaat[[#This Row],[Prest. (m2 /jaar) weekend]]/Ruimtestaat[[#This Row],[Norm (m2/uur) weekend]],0)</f>
        <v>0</v>
      </c>
      <c r="AD575" s="155">
        <f>Ruimtestaat[[#This Row],[uren / jaar weekend]]*Tariefsopbouw!$D$40</f>
        <v>0</v>
      </c>
      <c r="AE575" s="154">
        <f>Ruimtestaat[[#This Row],[Prest. (m2 /jaar) weekend]]+Ruimtestaat[[#This Row],[Prest. (m2 /jaar) werkdagen]]</f>
        <v>696</v>
      </c>
      <c r="AF575" s="154">
        <f>Ruimtestaat[[#This Row],[uren / jaar weekend]]+Ruimtestaat[[#This Row],[uren / jaar werkdagen]]</f>
        <v>0</v>
      </c>
      <c r="AG575" s="69">
        <f>Ruimtestaat[[#This Row],[kosten / jaar weekend]]+Ruimtestaat[[#This Row],[kosten / jaar werkdagen]]</f>
        <v>0</v>
      </c>
      <c r="AH575" s="69"/>
      <c r="AI575" s="256" t="str">
        <f>IF(Ruimtestaat[[#This Row],[Frequentie werkdagen]]="","",_xlfn.CONCAT(Ruimtestaat[[#This Row],[Ruimte code]],"-",Ruimtestaat[[#This Row],[Frequentie werkdagen]]," ",Ruimtestaat[[#This Row],[Vloer code]]))</f>
        <v>1-1m S</v>
      </c>
      <c r="AJ575" s="300" t="str">
        <f>_xlfn.IFNA(VLOOKUP($AI575,Programma!$F$3:$G$1107,2,0),"")</f>
        <v>_</v>
      </c>
      <c r="AK575" s="300" t="str">
        <f>_xlfn.IFNA(VLOOKUP($AI575,Programma!$F$3:$H$1107,3,0),"")</f>
        <v>_</v>
      </c>
      <c r="AL575" s="300" t="str">
        <f>_xlfn.IFNA(VLOOKUP($AI575,Programma!$F$3:$I$1107,4,0),"")</f>
        <v>_</v>
      </c>
      <c r="AM575" s="300" t="str">
        <f>_xlfn.IFNA(VLOOKUP($AI575,Programma!$F$3:$J$1107,5,0),"")</f>
        <v>1m</v>
      </c>
      <c r="AN575" s="300" t="str">
        <f>_xlfn.IFNA(VLOOKUP($AI575,Programma!$F$3:$K$1107,6,0),"")</f>
        <v>1j</v>
      </c>
      <c r="AO575" s="300" t="str">
        <f>_xlfn.IFNA(VLOOKUP($AI575,Programma!$F$3:$L$1107,7,0),"")</f>
        <v>_</v>
      </c>
      <c r="AP575" s="300" t="str">
        <f>_xlfn.IFNA(VLOOKUP($AI575,Programma!$F$3:$M$1107,8,0),"")</f>
        <v>_</v>
      </c>
      <c r="AQ575" s="300" t="str">
        <f>_xlfn.IFNA(VLOOKUP($AI575,Programma!$F$3:$N$1107,9,0),"")</f>
        <v>_</v>
      </c>
      <c r="AR575" s="300" t="str">
        <f>_xlfn.IFNA(VLOOKUP($AI575,Programma!$F$3:$O$1107,10,0),"")</f>
        <v>_</v>
      </c>
      <c r="AS575" s="300" t="str">
        <f>_xlfn.IFNA(VLOOKUP($AI575,Programma!$F$3:$P$1107,11,0),"")</f>
        <v>_</v>
      </c>
      <c r="AT575" s="300" t="str">
        <f>_xlfn.IFNA(VLOOKUP($AI575,Programma!$F$3:$Q$1107,12,0),"")</f>
        <v>_</v>
      </c>
      <c r="AU575" s="300" t="str">
        <f>_xlfn.IFNA(VLOOKUP($AI575,Programma!$F$3:$R$1107,13,0),"")</f>
        <v>_</v>
      </c>
      <c r="AV575" s="300" t="str">
        <f>_xlfn.IFNA(VLOOKUP($AI575,Programma!$F$3:$S$1107,14,0),"")</f>
        <v>1m</v>
      </c>
      <c r="AW575" s="300" t="str">
        <f>_xlfn.IFNA(VLOOKUP($AI575,Programma!$F$3:$T$1107,15,0),"")</f>
        <v>4j</v>
      </c>
      <c r="AX575" s="300" t="str">
        <f>_xlfn.IFNA(VLOOKUP($AI575,Programma!$F$3:$U$1107,16,0),"")</f>
        <v>4j</v>
      </c>
      <c r="AY575" s="300" t="str">
        <f>_xlfn.IFNA(VLOOKUP($AI575,Programma!$F$3:$V$1107,17,0),"")</f>
        <v>_</v>
      </c>
      <c r="AZ575" s="300" t="str">
        <f>_xlfn.IFNA(VLOOKUP($AI575,Programma!$F$3:$W$1107,18,0),"")</f>
        <v>_</v>
      </c>
      <c r="BA575" s="300" t="str">
        <f>_xlfn.IFNA(VLOOKUP($AI575,Programma!$F$3:$X$1107,19,0),"")</f>
        <v>_</v>
      </c>
      <c r="BB575" s="300" t="str">
        <f>_xlfn.IFNA(VLOOKUP($AI575,Programma!$F$3:$Y$1107,20,0),"")</f>
        <v>_</v>
      </c>
      <c r="BC575" s="257"/>
      <c r="BD575" s="256" t="str">
        <f>IF(Ruimtestaat[[#This Row],[Frequentie weekend]]="","",_xlfn.CONCAT(Ruimtestaat[[#This Row],[Ruimte code]],"-",Ruimtestaat[[#This Row],[Frequentie weekend]]," ",Ruimtestaat[[#This Row],[Vloer code]]))</f>
        <v/>
      </c>
      <c r="BE575" s="300" t="str">
        <f>_xlfn.IFNA(VLOOKUP($BD575,Programma!$F$3:$G$1107,2,0),"")</f>
        <v/>
      </c>
      <c r="BF575" s="300" t="str">
        <f>_xlfn.IFNA(VLOOKUP($BD575,Programma!$F$3:$H$1107,3,0),"")</f>
        <v/>
      </c>
      <c r="BG575" s="300" t="str">
        <f>_xlfn.IFNA(VLOOKUP($BD575,Programma!$F$3:$I$1107,4,0),"")</f>
        <v/>
      </c>
      <c r="BH575" s="300" t="str">
        <f>_xlfn.IFNA(VLOOKUP($BD575,Programma!$F$3:$J$1107,5,0),"")</f>
        <v/>
      </c>
      <c r="BI575" s="300" t="str">
        <f>_xlfn.IFNA(VLOOKUP($BD575,Programma!$F$3:$K$1107,6,0),"")</f>
        <v/>
      </c>
      <c r="BJ575" s="300" t="str">
        <f>_xlfn.IFNA(VLOOKUP($BD575,Programma!$F$3:$L$1107,7,0),"")</f>
        <v/>
      </c>
      <c r="BK575" s="300" t="str">
        <f>_xlfn.IFNA(VLOOKUP($BD575,Programma!$F$3:$M$1107,8,0),"")</f>
        <v/>
      </c>
      <c r="BL575" s="300" t="str">
        <f>_xlfn.IFNA(VLOOKUP($BD575,Programma!$F$3:$N$1107,9,0),"")</f>
        <v/>
      </c>
      <c r="BM575" s="300" t="str">
        <f>_xlfn.IFNA(VLOOKUP($BD575,Programma!$F$3:$O$1107,10,0),"")</f>
        <v/>
      </c>
      <c r="BN575" s="300" t="str">
        <f>_xlfn.IFNA(VLOOKUP($BD575,Programma!$F$3:$P$1107,11,0),"")</f>
        <v/>
      </c>
      <c r="BO575" s="300" t="str">
        <f>_xlfn.IFNA(VLOOKUP($BD575,Programma!$F$3:$Q$1107,12,0),"")</f>
        <v/>
      </c>
      <c r="BP575" s="300" t="str">
        <f>_xlfn.IFNA(VLOOKUP($BD575,Programma!$F$3:$R$1107,13,0),"")</f>
        <v/>
      </c>
      <c r="BQ575" s="300" t="str">
        <f>_xlfn.IFNA(VLOOKUP($BD575,Programma!$F$3:$S$1107,14,0),"")</f>
        <v/>
      </c>
      <c r="BR575" s="300" t="str">
        <f>_xlfn.IFNA(VLOOKUP($BD575,Programma!$F$3:$T$1107,15,0),"")</f>
        <v/>
      </c>
      <c r="BS575" s="300" t="str">
        <f>_xlfn.IFNA(VLOOKUP($BD575,Programma!$F$3:$U$1107,16,0),"")</f>
        <v/>
      </c>
      <c r="BT575" s="300" t="str">
        <f>_xlfn.IFNA(VLOOKUP($BD575,Programma!$F$3:$V$1107,17,0),"")</f>
        <v/>
      </c>
      <c r="BU575" s="300" t="str">
        <f>_xlfn.IFNA(VLOOKUP($BD575,Programma!$F$3:$W$1107,18,0),"")</f>
        <v/>
      </c>
      <c r="BV575" s="300" t="str">
        <f>_xlfn.IFNA(VLOOKUP($BD575,Programma!$F$3:$X$1107,19,0),"")</f>
        <v/>
      </c>
      <c r="BW575" s="300" t="str">
        <f>_xlfn.IFNA(VLOOKUP($BD575,Programma!$F$3:$Y$1107,20,0),"")</f>
        <v/>
      </c>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c r="GK575" s="4"/>
      <c r="GL575" s="4"/>
      <c r="GM575" s="4"/>
      <c r="GN575" s="4"/>
      <c r="GO575" s="4"/>
      <c r="GP575" s="4"/>
      <c r="GQ575" s="4"/>
      <c r="GR575" s="4"/>
      <c r="GS575" s="4"/>
      <c r="GT575" s="4"/>
      <c r="GU575" s="4"/>
      <c r="GV575" s="4"/>
      <c r="GW575" s="4"/>
      <c r="GX575" s="4"/>
      <c r="GY575" s="4"/>
      <c r="GZ575" s="4"/>
      <c r="HA575" s="4"/>
      <c r="HB575" s="4"/>
      <c r="HC575" s="4"/>
      <c r="HD575" s="4"/>
      <c r="HE575" s="4"/>
      <c r="HF575" s="4"/>
      <c r="HG575" s="4"/>
      <c r="HH575" s="4"/>
      <c r="HI575" s="4"/>
      <c r="HJ575" s="4"/>
      <c r="HK575" s="4"/>
      <c r="HL575" s="4"/>
    </row>
    <row r="576" spans="1:220" ht="15" customHeight="1">
      <c r="A576" s="21">
        <v>7</v>
      </c>
      <c r="B576" s="157" t="str">
        <f>VLOOKUP(Ruimtestaat[[#This Row],[Code]],Locaties[[Code]:[Locatie]],2,FALSE)</f>
        <v>Gymnasium Novum</v>
      </c>
      <c r="C576" s="157" t="str">
        <f>VLOOKUP(Ruimtestaat[[#This Row],[Code]],Locaties[[#All],[Code]:[Adres]],4,FALSE)</f>
        <v>Aart v.d. Leeuwkade 1</v>
      </c>
      <c r="D576" s="157" t="str">
        <f>VLOOKUP(Ruimtestaat[[#This Row],[Code]],Locaties[[#All],[Code]:[Postcode]],5,FALSE)</f>
        <v>2274 KX</v>
      </c>
      <c r="E576" s="157" t="str">
        <f>VLOOKUP(Ruimtestaat[[#This Row],[Code]],Locaties[#All],6,FALSE)</f>
        <v>Voorburg</v>
      </c>
      <c r="F576" s="62"/>
      <c r="G576" s="21" t="s">
        <v>1632</v>
      </c>
      <c r="H576" s="21">
        <v>30</v>
      </c>
      <c r="I576" s="62" t="s">
        <v>2144</v>
      </c>
      <c r="J576" s="21">
        <v>6</v>
      </c>
      <c r="K576" s="62" t="str">
        <f>VLOOKUP(Ruimtestaat[[#This Row],[Ruimte code]],Ruimtegroepen[[#All],[Code]:[Ruimte omschrijving]],2,FALSE)</f>
        <v>Gangen/hallen</v>
      </c>
      <c r="L576" s="33" t="s">
        <v>101</v>
      </c>
      <c r="M576" s="367" t="s">
        <v>2516</v>
      </c>
      <c r="N576" s="140">
        <v>75</v>
      </c>
      <c r="O576" s="140"/>
      <c r="P576" s="125" t="str">
        <f>VLOOKUP(Ruimtestaat[[#This Row],[Ruimte code]],Ruimtegroepen[],4,FALSE)</f>
        <v>Ve</v>
      </c>
      <c r="R576" s="33">
        <v>40</v>
      </c>
      <c r="S576" s="33" t="s">
        <v>2</v>
      </c>
      <c r="T576" s="33">
        <f>IF(R576&gt;0,IF(RIGHT(Ruimtestaat[[#This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76" s="33">
        <f>IF(T576&gt;0,VLOOKUP($J576,Ruimtegroepen[],3,FALSE)*VLOOKUP($L576,Vloersoorten[],3,FALSE)*VLOOKUP($S576,Frequenties[],3,FALSE)*VLOOKUP($A576,Locaties[],3,FALSE),0)</f>
        <v>0</v>
      </c>
      <c r="V576" s="33">
        <f>Ruimtestaat[[#This Row],[Uitvoeringen werkdagen]]*Ruimtestaat[[#This Row],[Oppervlak (netto)]]</f>
        <v>15000</v>
      </c>
      <c r="W576" s="154">
        <f>IF(U576&gt;0,Ruimtestaat[[#This Row],[Prest. (m2 /jaar) werkdagen]]/Ruimtestaat[[#This Row],[Norm (m2/uur) werkdagen]],0)</f>
        <v>0</v>
      </c>
      <c r="X576" s="155">
        <f>Ruimtestaat[[#This Row],[uren / jaar werkdagen]]*Tariefsopbouw!$E$35</f>
        <v>0</v>
      </c>
      <c r="Y576" s="33"/>
      <c r="Z576" s="33">
        <f>IF(Ruimtestaat[[#This Row],[Frequentie weekend]]&gt;0,VALUE(LEFT(Y576,1))*R576,0)</f>
        <v>0</v>
      </c>
      <c r="AA576" s="97">
        <f>IF($Z576&gt;0,VLOOKUP($J576,Ruimtegroepen[],3,FALSE)*VLOOKUP($L576,Vloersoorten[],3,FALSE)*VLOOKUP($Y576,Frequenties[],3,FALSE)*VLOOKUP(Ruimtestaat[[#This Row],[Code]],Locaties[],3,FALSE),0)</f>
        <v>0</v>
      </c>
      <c r="AB576" s="97">
        <f>Ruimtestaat[[#This Row],[Uitvoeringen weekend]]*Ruimtestaat[[#This Row],[Oppervlak (netto)]]</f>
        <v>0</v>
      </c>
      <c r="AC576" s="97">
        <f>IF(AA576&gt;0,Ruimtestaat[[#This Row],[Prest. (m2 /jaar) weekend]]/Ruimtestaat[[#This Row],[Norm (m2/uur) weekend]],0)</f>
        <v>0</v>
      </c>
      <c r="AD576" s="155">
        <f>Ruimtestaat[[#This Row],[uren / jaar weekend]]*Tariefsopbouw!$D$40</f>
        <v>0</v>
      </c>
      <c r="AE576" s="154">
        <f>Ruimtestaat[[#This Row],[Prest. (m2 /jaar) weekend]]+Ruimtestaat[[#This Row],[Prest. (m2 /jaar) werkdagen]]</f>
        <v>15000</v>
      </c>
      <c r="AF576" s="154">
        <f>Ruimtestaat[[#This Row],[uren / jaar weekend]]+Ruimtestaat[[#This Row],[uren / jaar werkdagen]]</f>
        <v>0</v>
      </c>
      <c r="AG576" s="69">
        <f>Ruimtestaat[[#This Row],[kosten / jaar weekend]]+Ruimtestaat[[#This Row],[kosten / jaar werkdagen]]</f>
        <v>0</v>
      </c>
      <c r="AH576" s="69"/>
      <c r="AI576" s="256" t="str">
        <f>IF(Ruimtestaat[[#This Row],[Frequentie werkdagen]]="","",_xlfn.CONCAT(Ruimtestaat[[#This Row],[Ruimte code]],"-",Ruimtestaat[[#This Row],[Frequentie werkdagen]]," ",Ruimtestaat[[#This Row],[Vloer code]]))</f>
        <v>6-5w L</v>
      </c>
      <c r="AJ576" s="300" t="str">
        <f>_xlfn.IFNA(VLOOKUP($AI576,Programma!$F$3:$G$1107,2,0),"")</f>
        <v>_</v>
      </c>
      <c r="AK576" s="300" t="str">
        <f>_xlfn.IFNA(VLOOKUP($AI576,Programma!$F$3:$H$1107,3,0),"")</f>
        <v>_</v>
      </c>
      <c r="AL576" s="300" t="str">
        <f>_xlfn.IFNA(VLOOKUP($AI576,Programma!$F$3:$I$1107,4,0),"")</f>
        <v>_</v>
      </c>
      <c r="AM576" s="300" t="str">
        <f>_xlfn.IFNA(VLOOKUP($AI576,Programma!$F$3:$J$1107,5,0),"")</f>
        <v>5w</v>
      </c>
      <c r="AN576" s="300" t="str">
        <f>_xlfn.IFNA(VLOOKUP($AI576,Programma!$F$3:$K$1107,6,0),"")</f>
        <v>_</v>
      </c>
      <c r="AO576" s="300" t="str">
        <f>_xlfn.IFNA(VLOOKUP($AI576,Programma!$F$3:$L$1107,7,0),"")</f>
        <v>_</v>
      </c>
      <c r="AP576" s="300" t="str">
        <f>_xlfn.IFNA(VLOOKUP($AI576,Programma!$F$3:$M$1107,8,0),"")</f>
        <v>_</v>
      </c>
      <c r="AQ576" s="300" t="str">
        <f>_xlfn.IFNA(VLOOKUP($AI576,Programma!$F$3:$N$1107,9,0),"")</f>
        <v>_</v>
      </c>
      <c r="AR576" s="300" t="str">
        <f>_xlfn.IFNA(VLOOKUP($AI576,Programma!$F$3:$O$1107,10,0),"")</f>
        <v>5w</v>
      </c>
      <c r="AS576" s="300" t="str">
        <f>_xlfn.IFNA(VLOOKUP($AI576,Programma!$F$3:$P$1107,11,0),"")</f>
        <v>5w</v>
      </c>
      <c r="AT576" s="300" t="str">
        <f>_xlfn.IFNA(VLOOKUP($AI576,Programma!$F$3:$Q$1107,12,0),"")</f>
        <v>1w</v>
      </c>
      <c r="AU576" s="300" t="str">
        <f>_xlfn.IFNA(VLOOKUP($AI576,Programma!$F$3:$R$1107,13,0),"")</f>
        <v>1w</v>
      </c>
      <c r="AV576" s="300" t="str">
        <f>_xlfn.IFNA(VLOOKUP($AI576,Programma!$F$3:$S$1107,14,0),"")</f>
        <v>1m</v>
      </c>
      <c r="AW576" s="300" t="str">
        <f>_xlfn.IFNA(VLOOKUP($AI576,Programma!$F$3:$T$1107,15,0),"")</f>
        <v>2j</v>
      </c>
      <c r="AX576" s="300" t="str">
        <f>_xlfn.IFNA(VLOOKUP($AI576,Programma!$F$3:$U$1107,16,0),"")</f>
        <v>1j</v>
      </c>
      <c r="AY576" s="300" t="str">
        <f>_xlfn.IFNA(VLOOKUP($AI576,Programma!$F$3:$V$1107,17,0),"")</f>
        <v>_</v>
      </c>
      <c r="AZ576" s="300" t="str">
        <f>_xlfn.IFNA(VLOOKUP($AI576,Programma!$F$3:$W$1107,18,0),"")</f>
        <v>_</v>
      </c>
      <c r="BA576" s="300" t="str">
        <f>_xlfn.IFNA(VLOOKUP($AI576,Programma!$F$3:$X$1107,19,0),"")</f>
        <v>_</v>
      </c>
      <c r="BB576" s="300" t="str">
        <f>_xlfn.IFNA(VLOOKUP($AI576,Programma!$F$3:$Y$1107,20,0),"")</f>
        <v>_</v>
      </c>
      <c r="BC576" s="257"/>
      <c r="BD576" s="256" t="str">
        <f>IF(Ruimtestaat[[#This Row],[Frequentie weekend]]="","",_xlfn.CONCAT(Ruimtestaat[[#This Row],[Ruimte code]],"-",Ruimtestaat[[#This Row],[Frequentie weekend]]," ",Ruimtestaat[[#This Row],[Vloer code]]))</f>
        <v/>
      </c>
      <c r="BE576" s="300" t="str">
        <f>_xlfn.IFNA(VLOOKUP($BD576,Programma!$F$3:$G$1107,2,0),"")</f>
        <v/>
      </c>
      <c r="BF576" s="300" t="str">
        <f>_xlfn.IFNA(VLOOKUP($BD576,Programma!$F$3:$H$1107,3,0),"")</f>
        <v/>
      </c>
      <c r="BG576" s="300" t="str">
        <f>_xlfn.IFNA(VLOOKUP($BD576,Programma!$F$3:$I$1107,4,0),"")</f>
        <v/>
      </c>
      <c r="BH576" s="300" t="str">
        <f>_xlfn.IFNA(VLOOKUP($BD576,Programma!$F$3:$J$1107,5,0),"")</f>
        <v/>
      </c>
      <c r="BI576" s="300" t="str">
        <f>_xlfn.IFNA(VLOOKUP($BD576,Programma!$F$3:$K$1107,6,0),"")</f>
        <v/>
      </c>
      <c r="BJ576" s="300" t="str">
        <f>_xlfn.IFNA(VLOOKUP($BD576,Programma!$F$3:$L$1107,7,0),"")</f>
        <v/>
      </c>
      <c r="BK576" s="300" t="str">
        <f>_xlfn.IFNA(VLOOKUP($BD576,Programma!$F$3:$M$1107,8,0),"")</f>
        <v/>
      </c>
      <c r="BL576" s="300" t="str">
        <f>_xlfn.IFNA(VLOOKUP($BD576,Programma!$F$3:$N$1107,9,0),"")</f>
        <v/>
      </c>
      <c r="BM576" s="300" t="str">
        <f>_xlfn.IFNA(VLOOKUP($BD576,Programma!$F$3:$O$1107,10,0),"")</f>
        <v/>
      </c>
      <c r="BN576" s="300" t="str">
        <f>_xlfn.IFNA(VLOOKUP($BD576,Programma!$F$3:$P$1107,11,0),"")</f>
        <v/>
      </c>
      <c r="BO576" s="300" t="str">
        <f>_xlfn.IFNA(VLOOKUP($BD576,Programma!$F$3:$Q$1107,12,0),"")</f>
        <v/>
      </c>
      <c r="BP576" s="300" t="str">
        <f>_xlfn.IFNA(VLOOKUP($BD576,Programma!$F$3:$R$1107,13,0),"")</f>
        <v/>
      </c>
      <c r="BQ576" s="300" t="str">
        <f>_xlfn.IFNA(VLOOKUP($BD576,Programma!$F$3:$S$1107,14,0),"")</f>
        <v/>
      </c>
      <c r="BR576" s="300" t="str">
        <f>_xlfn.IFNA(VLOOKUP($BD576,Programma!$F$3:$T$1107,15,0),"")</f>
        <v/>
      </c>
      <c r="BS576" s="300" t="str">
        <f>_xlfn.IFNA(VLOOKUP($BD576,Programma!$F$3:$U$1107,16,0),"")</f>
        <v/>
      </c>
      <c r="BT576" s="300" t="str">
        <f>_xlfn.IFNA(VLOOKUP($BD576,Programma!$F$3:$V$1107,17,0),"")</f>
        <v/>
      </c>
      <c r="BU576" s="300" t="str">
        <f>_xlfn.IFNA(VLOOKUP($BD576,Programma!$F$3:$W$1107,18,0),"")</f>
        <v/>
      </c>
      <c r="BV576" s="300" t="str">
        <f>_xlfn.IFNA(VLOOKUP($BD576,Programma!$F$3:$X$1107,19,0),"")</f>
        <v/>
      </c>
      <c r="BW576" s="300" t="str">
        <f>_xlfn.IFNA(VLOOKUP($BD576,Programma!$F$3:$Y$1107,20,0),"")</f>
        <v/>
      </c>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c r="GK576" s="4"/>
      <c r="GL576" s="4"/>
      <c r="GM576" s="4"/>
      <c r="GN576" s="4"/>
      <c r="GO576" s="4"/>
      <c r="GP576" s="4"/>
      <c r="GQ576" s="4"/>
      <c r="GR576" s="4"/>
      <c r="GS576" s="4"/>
      <c r="GT576" s="4"/>
      <c r="GU576" s="4"/>
      <c r="GV576" s="4"/>
      <c r="GW576" s="4"/>
      <c r="GX576" s="4"/>
      <c r="GY576" s="4"/>
      <c r="GZ576" s="4"/>
      <c r="HA576" s="4"/>
      <c r="HB576" s="4"/>
      <c r="HC576" s="4"/>
      <c r="HD576" s="4"/>
      <c r="HE576" s="4"/>
      <c r="HF576" s="4"/>
      <c r="HG576" s="4"/>
      <c r="HH576" s="4"/>
      <c r="HI576" s="4"/>
      <c r="HJ576" s="4"/>
      <c r="HK576" s="4"/>
      <c r="HL576" s="4"/>
    </row>
    <row r="577" spans="1:220" ht="15" customHeight="1">
      <c r="A577" s="21">
        <v>7</v>
      </c>
      <c r="B577" s="157" t="str">
        <f>VLOOKUP(Ruimtestaat[[#This Row],[Code]],Locaties[[Code]:[Locatie]],2,FALSE)</f>
        <v>Gymnasium Novum</v>
      </c>
      <c r="C577" s="157" t="str">
        <f>VLOOKUP(Ruimtestaat[[#This Row],[Code]],Locaties[[#All],[Code]:[Adres]],4,FALSE)</f>
        <v>Aart v.d. Leeuwkade 1</v>
      </c>
      <c r="D577" s="157" t="str">
        <f>VLOOKUP(Ruimtestaat[[#This Row],[Code]],Locaties[[#All],[Code]:[Postcode]],5,FALSE)</f>
        <v>2274 KX</v>
      </c>
      <c r="E577" s="157" t="str">
        <f>VLOOKUP(Ruimtestaat[[#This Row],[Code]],Locaties[#All],6,FALSE)</f>
        <v>Voorburg</v>
      </c>
      <c r="F577" s="62"/>
      <c r="G577" s="21" t="s">
        <v>1632</v>
      </c>
      <c r="H577" s="21">
        <v>31</v>
      </c>
      <c r="I577" s="62" t="s">
        <v>2145</v>
      </c>
      <c r="J577" s="21">
        <v>1</v>
      </c>
      <c r="K577" s="62" t="str">
        <f>VLOOKUP(Ruimtestaat[[#This Row],[Ruimte code]],Ruimtegroepen[[#All],[Code]:[Ruimte omschrijving]],2,FALSE)</f>
        <v>Magazijnen/bergingen</v>
      </c>
      <c r="L577" s="33" t="s">
        <v>101</v>
      </c>
      <c r="M577" s="367" t="s">
        <v>2495</v>
      </c>
      <c r="N577" s="140">
        <v>14</v>
      </c>
      <c r="O577" s="140"/>
      <c r="P577" s="125" t="str">
        <f>VLOOKUP(Ruimtestaat[[#This Row],[Ruimte code]],Ruimtegroepen[],4,FALSE)</f>
        <v>Ve</v>
      </c>
      <c r="R577" s="33">
        <v>40</v>
      </c>
      <c r="S577" s="33" t="s">
        <v>16</v>
      </c>
      <c r="T577" s="33">
        <f>IF(R577&gt;0,IF(RIGHT(Ruimtestaat[[#This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577" s="33">
        <f>IF(T577&gt;0,VLOOKUP($J577,Ruimtegroepen[],3,FALSE)*VLOOKUP($L577,Vloersoorten[],3,FALSE)*VLOOKUP($S577,Frequenties[],3,FALSE)*VLOOKUP($A577,Locaties[],3,FALSE),0)</f>
        <v>0</v>
      </c>
      <c r="V577" s="33">
        <f>Ruimtestaat[[#This Row],[Uitvoeringen werkdagen]]*Ruimtestaat[[#This Row],[Oppervlak (netto)]]</f>
        <v>168</v>
      </c>
      <c r="W577" s="154">
        <f>IF(U577&gt;0,Ruimtestaat[[#This Row],[Prest. (m2 /jaar) werkdagen]]/Ruimtestaat[[#This Row],[Norm (m2/uur) werkdagen]],0)</f>
        <v>0</v>
      </c>
      <c r="X577" s="155">
        <f>Ruimtestaat[[#This Row],[uren / jaar werkdagen]]*Tariefsopbouw!$E$35</f>
        <v>0</v>
      </c>
      <c r="Y577" s="33"/>
      <c r="Z577" s="33">
        <f>IF(Ruimtestaat[[#This Row],[Frequentie weekend]]&gt;0,VALUE(LEFT(Y577,1))*R577,0)</f>
        <v>0</v>
      </c>
      <c r="AA577" s="97">
        <f>IF($Z577&gt;0,VLOOKUP($J577,Ruimtegroepen[],3,FALSE)*VLOOKUP($L577,Vloersoorten[],3,FALSE)*VLOOKUP($Y577,Frequenties[],3,FALSE)*VLOOKUP(Ruimtestaat[[#This Row],[Code]],Locaties[],3,FALSE),0)</f>
        <v>0</v>
      </c>
      <c r="AB577" s="97">
        <f>Ruimtestaat[[#This Row],[Uitvoeringen weekend]]*Ruimtestaat[[#This Row],[Oppervlak (netto)]]</f>
        <v>0</v>
      </c>
      <c r="AC577" s="97">
        <f>IF(AA577&gt;0,Ruimtestaat[[#This Row],[Prest. (m2 /jaar) weekend]]/Ruimtestaat[[#This Row],[Norm (m2/uur) weekend]],0)</f>
        <v>0</v>
      </c>
      <c r="AD577" s="155">
        <f>Ruimtestaat[[#This Row],[uren / jaar weekend]]*Tariefsopbouw!$D$40</f>
        <v>0</v>
      </c>
      <c r="AE577" s="154">
        <f>Ruimtestaat[[#This Row],[Prest. (m2 /jaar) weekend]]+Ruimtestaat[[#This Row],[Prest. (m2 /jaar) werkdagen]]</f>
        <v>168</v>
      </c>
      <c r="AF577" s="154">
        <f>Ruimtestaat[[#This Row],[uren / jaar weekend]]+Ruimtestaat[[#This Row],[uren / jaar werkdagen]]</f>
        <v>0</v>
      </c>
      <c r="AG577" s="69">
        <f>Ruimtestaat[[#This Row],[kosten / jaar weekend]]+Ruimtestaat[[#This Row],[kosten / jaar werkdagen]]</f>
        <v>0</v>
      </c>
      <c r="AH577" s="69"/>
      <c r="AI577" s="256" t="str">
        <f>IF(Ruimtestaat[[#This Row],[Frequentie werkdagen]]="","",_xlfn.CONCAT(Ruimtestaat[[#This Row],[Ruimte code]],"-",Ruimtestaat[[#This Row],[Frequentie werkdagen]]," ",Ruimtestaat[[#This Row],[Vloer code]]))</f>
        <v>1-1m L</v>
      </c>
      <c r="AJ577" s="300" t="str">
        <f>_xlfn.IFNA(VLOOKUP($AI577,Programma!$F$3:$G$1107,2,0),"")</f>
        <v>_</v>
      </c>
      <c r="AK577" s="300" t="str">
        <f>_xlfn.IFNA(VLOOKUP($AI577,Programma!$F$3:$H$1107,3,0),"")</f>
        <v>_</v>
      </c>
      <c r="AL577" s="300" t="str">
        <f>_xlfn.IFNA(VLOOKUP($AI577,Programma!$F$3:$I$1107,4,0),"")</f>
        <v>1m</v>
      </c>
      <c r="AM577" s="300" t="str">
        <f>_xlfn.IFNA(VLOOKUP($AI577,Programma!$F$3:$J$1107,5,0),"")</f>
        <v>1m</v>
      </c>
      <c r="AN577" s="300" t="str">
        <f>_xlfn.IFNA(VLOOKUP($AI577,Programma!$F$3:$K$1107,6,0),"")</f>
        <v>_</v>
      </c>
      <c r="AO577" s="300" t="str">
        <f>_xlfn.IFNA(VLOOKUP($AI577,Programma!$F$3:$L$1107,7,0),"")</f>
        <v>_</v>
      </c>
      <c r="AP577" s="300" t="str">
        <f>_xlfn.IFNA(VLOOKUP($AI577,Programma!$F$3:$M$1107,8,0),"")</f>
        <v>_</v>
      </c>
      <c r="AQ577" s="300" t="str">
        <f>_xlfn.IFNA(VLOOKUP($AI577,Programma!$F$3:$N$1107,9,0),"")</f>
        <v>_</v>
      </c>
      <c r="AR577" s="300" t="str">
        <f>_xlfn.IFNA(VLOOKUP($AI577,Programma!$F$3:$O$1107,10,0),"")</f>
        <v>_</v>
      </c>
      <c r="AS577" s="300" t="str">
        <f>_xlfn.IFNA(VLOOKUP($AI577,Programma!$F$3:$P$1107,11,0),"")</f>
        <v>_</v>
      </c>
      <c r="AT577" s="300" t="str">
        <f>_xlfn.IFNA(VLOOKUP($AI577,Programma!$F$3:$Q$1107,12,0),"")</f>
        <v>_</v>
      </c>
      <c r="AU577" s="300" t="str">
        <f>_xlfn.IFNA(VLOOKUP($AI577,Programma!$F$3:$R$1107,13,0),"")</f>
        <v>_</v>
      </c>
      <c r="AV577" s="300" t="str">
        <f>_xlfn.IFNA(VLOOKUP($AI577,Programma!$F$3:$S$1107,14,0),"")</f>
        <v>1m</v>
      </c>
      <c r="AW577" s="300" t="str">
        <f>_xlfn.IFNA(VLOOKUP($AI577,Programma!$F$3:$T$1107,15,0),"")</f>
        <v>4j</v>
      </c>
      <c r="AX577" s="300" t="str">
        <f>_xlfn.IFNA(VLOOKUP($AI577,Programma!$F$3:$U$1107,16,0),"")</f>
        <v>4j</v>
      </c>
      <c r="AY577" s="300" t="str">
        <f>_xlfn.IFNA(VLOOKUP($AI577,Programma!$F$3:$V$1107,17,0),"")</f>
        <v>_</v>
      </c>
      <c r="AZ577" s="300" t="str">
        <f>_xlfn.IFNA(VLOOKUP($AI577,Programma!$F$3:$W$1107,18,0),"")</f>
        <v>_</v>
      </c>
      <c r="BA577" s="300" t="str">
        <f>_xlfn.IFNA(VLOOKUP($AI577,Programma!$F$3:$X$1107,19,0),"")</f>
        <v>_</v>
      </c>
      <c r="BB577" s="300" t="str">
        <f>_xlfn.IFNA(VLOOKUP($AI577,Programma!$F$3:$Y$1107,20,0),"")</f>
        <v>_</v>
      </c>
      <c r="BC577" s="257"/>
      <c r="BD577" s="256" t="str">
        <f>IF(Ruimtestaat[[#This Row],[Frequentie weekend]]="","",_xlfn.CONCAT(Ruimtestaat[[#This Row],[Ruimte code]],"-",Ruimtestaat[[#This Row],[Frequentie weekend]]," ",Ruimtestaat[[#This Row],[Vloer code]]))</f>
        <v/>
      </c>
      <c r="BE577" s="300" t="str">
        <f>_xlfn.IFNA(VLOOKUP($BD577,Programma!$F$3:$G$1107,2,0),"")</f>
        <v/>
      </c>
      <c r="BF577" s="300" t="str">
        <f>_xlfn.IFNA(VLOOKUP($BD577,Programma!$F$3:$H$1107,3,0),"")</f>
        <v/>
      </c>
      <c r="BG577" s="300" t="str">
        <f>_xlfn.IFNA(VLOOKUP($BD577,Programma!$F$3:$I$1107,4,0),"")</f>
        <v/>
      </c>
      <c r="BH577" s="300" t="str">
        <f>_xlfn.IFNA(VLOOKUP($BD577,Programma!$F$3:$J$1107,5,0),"")</f>
        <v/>
      </c>
      <c r="BI577" s="300" t="str">
        <f>_xlfn.IFNA(VLOOKUP($BD577,Programma!$F$3:$K$1107,6,0),"")</f>
        <v/>
      </c>
      <c r="BJ577" s="300" t="str">
        <f>_xlfn.IFNA(VLOOKUP($BD577,Programma!$F$3:$L$1107,7,0),"")</f>
        <v/>
      </c>
      <c r="BK577" s="300" t="str">
        <f>_xlfn.IFNA(VLOOKUP($BD577,Programma!$F$3:$M$1107,8,0),"")</f>
        <v/>
      </c>
      <c r="BL577" s="300" t="str">
        <f>_xlfn.IFNA(VLOOKUP($BD577,Programma!$F$3:$N$1107,9,0),"")</f>
        <v/>
      </c>
      <c r="BM577" s="300" t="str">
        <f>_xlfn.IFNA(VLOOKUP($BD577,Programma!$F$3:$O$1107,10,0),"")</f>
        <v/>
      </c>
      <c r="BN577" s="300" t="str">
        <f>_xlfn.IFNA(VLOOKUP($BD577,Programma!$F$3:$P$1107,11,0),"")</f>
        <v/>
      </c>
      <c r="BO577" s="300" t="str">
        <f>_xlfn.IFNA(VLOOKUP($BD577,Programma!$F$3:$Q$1107,12,0),"")</f>
        <v/>
      </c>
      <c r="BP577" s="300" t="str">
        <f>_xlfn.IFNA(VLOOKUP($BD577,Programma!$F$3:$R$1107,13,0),"")</f>
        <v/>
      </c>
      <c r="BQ577" s="300" t="str">
        <f>_xlfn.IFNA(VLOOKUP($BD577,Programma!$F$3:$S$1107,14,0),"")</f>
        <v/>
      </c>
      <c r="BR577" s="300" t="str">
        <f>_xlfn.IFNA(VLOOKUP($BD577,Programma!$F$3:$T$1107,15,0),"")</f>
        <v/>
      </c>
      <c r="BS577" s="300" t="str">
        <f>_xlfn.IFNA(VLOOKUP($BD577,Programma!$F$3:$U$1107,16,0),"")</f>
        <v/>
      </c>
      <c r="BT577" s="300" t="str">
        <f>_xlfn.IFNA(VLOOKUP($BD577,Programma!$F$3:$V$1107,17,0),"")</f>
        <v/>
      </c>
      <c r="BU577" s="300" t="str">
        <f>_xlfn.IFNA(VLOOKUP($BD577,Programma!$F$3:$W$1107,18,0),"")</f>
        <v/>
      </c>
      <c r="BV577" s="300" t="str">
        <f>_xlfn.IFNA(VLOOKUP($BD577,Programma!$F$3:$X$1107,19,0),"")</f>
        <v/>
      </c>
      <c r="BW577" s="300" t="str">
        <f>_xlfn.IFNA(VLOOKUP($BD577,Programma!$F$3:$Y$1107,20,0),"")</f>
        <v/>
      </c>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c r="GK577" s="4"/>
      <c r="GL577" s="4"/>
      <c r="GM577" s="4"/>
      <c r="GN577" s="4"/>
      <c r="GO577" s="4"/>
      <c r="GP577" s="4"/>
      <c r="GQ577" s="4"/>
      <c r="GR577" s="4"/>
      <c r="GS577" s="4"/>
      <c r="GT577" s="4"/>
      <c r="GU577" s="4"/>
      <c r="GV577" s="4"/>
      <c r="GW577" s="4"/>
      <c r="GX577" s="4"/>
      <c r="GY577" s="4"/>
      <c r="GZ577" s="4"/>
      <c r="HA577" s="4"/>
      <c r="HB577" s="4"/>
      <c r="HC577" s="4"/>
      <c r="HD577" s="4"/>
      <c r="HE577" s="4"/>
      <c r="HF577" s="4"/>
      <c r="HG577" s="4"/>
      <c r="HH577" s="4"/>
      <c r="HI577" s="4"/>
      <c r="HJ577" s="4"/>
      <c r="HK577" s="4"/>
      <c r="HL577" s="4"/>
    </row>
    <row r="578" spans="1:220" ht="15" customHeight="1">
      <c r="A578" s="21">
        <v>7</v>
      </c>
      <c r="B578" s="157" t="str">
        <f>VLOOKUP(Ruimtestaat[[#This Row],[Code]],Locaties[[Code]:[Locatie]],2,FALSE)</f>
        <v>Gymnasium Novum</v>
      </c>
      <c r="C578" s="157" t="str">
        <f>VLOOKUP(Ruimtestaat[[#This Row],[Code]],Locaties[[#All],[Code]:[Adres]],4,FALSE)</f>
        <v>Aart v.d. Leeuwkade 1</v>
      </c>
      <c r="D578" s="157" t="str">
        <f>VLOOKUP(Ruimtestaat[[#This Row],[Code]],Locaties[[#All],[Code]:[Postcode]],5,FALSE)</f>
        <v>2274 KX</v>
      </c>
      <c r="E578" s="157" t="str">
        <f>VLOOKUP(Ruimtestaat[[#This Row],[Code]],Locaties[#All],6,FALSE)</f>
        <v>Voorburg</v>
      </c>
      <c r="F578" s="62"/>
      <c r="G578" s="21" t="s">
        <v>1632</v>
      </c>
      <c r="H578" s="21">
        <v>32</v>
      </c>
      <c r="I578" s="62" t="s">
        <v>1625</v>
      </c>
      <c r="J578" s="21">
        <v>6</v>
      </c>
      <c r="K578" s="62" t="str">
        <f>VLOOKUP(Ruimtestaat[[#This Row],[Ruimte code]],Ruimtegroepen[[#All],[Code]:[Ruimte omschrijving]],2,FALSE)</f>
        <v>Gangen/hallen</v>
      </c>
      <c r="L578" s="33" t="s">
        <v>101</v>
      </c>
      <c r="M578" s="367" t="s">
        <v>2495</v>
      </c>
      <c r="N578" s="140">
        <v>95</v>
      </c>
      <c r="O578" s="140"/>
      <c r="P578" s="125" t="str">
        <f>VLOOKUP(Ruimtestaat[[#This Row],[Ruimte code]],Ruimtegroepen[],4,FALSE)</f>
        <v>Ve</v>
      </c>
      <c r="R578" s="33">
        <v>40</v>
      </c>
      <c r="S578" s="33" t="s">
        <v>2</v>
      </c>
      <c r="T578" s="33">
        <f>IF(R578&gt;0,IF(RIGHT(Ruimtestaat[[#This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78" s="33">
        <f>IF(T578&gt;0,VLOOKUP($J578,Ruimtegroepen[],3,FALSE)*VLOOKUP($L578,Vloersoorten[],3,FALSE)*VLOOKUP($S578,Frequenties[],3,FALSE)*VLOOKUP($A578,Locaties[],3,FALSE),0)</f>
        <v>0</v>
      </c>
      <c r="V578" s="33">
        <f>Ruimtestaat[[#This Row],[Uitvoeringen werkdagen]]*Ruimtestaat[[#This Row],[Oppervlak (netto)]]</f>
        <v>19000</v>
      </c>
      <c r="W578" s="154">
        <f>IF(U578&gt;0,Ruimtestaat[[#This Row],[Prest. (m2 /jaar) werkdagen]]/Ruimtestaat[[#This Row],[Norm (m2/uur) werkdagen]],0)</f>
        <v>0</v>
      </c>
      <c r="X578" s="155">
        <f>Ruimtestaat[[#This Row],[uren / jaar werkdagen]]*Tariefsopbouw!$E$35</f>
        <v>0</v>
      </c>
      <c r="Y578" s="33"/>
      <c r="Z578" s="33">
        <f>IF(Ruimtestaat[[#This Row],[Frequentie weekend]]&gt;0,VALUE(LEFT(Y578,1))*R578,0)</f>
        <v>0</v>
      </c>
      <c r="AA578" s="97">
        <f>IF($Z578&gt;0,VLOOKUP($J578,Ruimtegroepen[],3,FALSE)*VLOOKUP($L578,Vloersoorten[],3,FALSE)*VLOOKUP($Y578,Frequenties[],3,FALSE)*VLOOKUP(Ruimtestaat[[#This Row],[Code]],Locaties[],3,FALSE),0)</f>
        <v>0</v>
      </c>
      <c r="AB578" s="97">
        <f>Ruimtestaat[[#This Row],[Uitvoeringen weekend]]*Ruimtestaat[[#This Row],[Oppervlak (netto)]]</f>
        <v>0</v>
      </c>
      <c r="AC578" s="97">
        <f>IF(AA578&gt;0,Ruimtestaat[[#This Row],[Prest. (m2 /jaar) weekend]]/Ruimtestaat[[#This Row],[Norm (m2/uur) weekend]],0)</f>
        <v>0</v>
      </c>
      <c r="AD578" s="155">
        <f>Ruimtestaat[[#This Row],[uren / jaar weekend]]*Tariefsopbouw!$D$40</f>
        <v>0</v>
      </c>
      <c r="AE578" s="154">
        <f>Ruimtestaat[[#This Row],[Prest. (m2 /jaar) weekend]]+Ruimtestaat[[#This Row],[Prest. (m2 /jaar) werkdagen]]</f>
        <v>19000</v>
      </c>
      <c r="AF578" s="154">
        <f>Ruimtestaat[[#This Row],[uren / jaar weekend]]+Ruimtestaat[[#This Row],[uren / jaar werkdagen]]</f>
        <v>0</v>
      </c>
      <c r="AG578" s="69">
        <f>Ruimtestaat[[#This Row],[kosten / jaar weekend]]+Ruimtestaat[[#This Row],[kosten / jaar werkdagen]]</f>
        <v>0</v>
      </c>
      <c r="AH578" s="69"/>
      <c r="AI578" s="256" t="str">
        <f>IF(Ruimtestaat[[#This Row],[Frequentie werkdagen]]="","",_xlfn.CONCAT(Ruimtestaat[[#This Row],[Ruimte code]],"-",Ruimtestaat[[#This Row],[Frequentie werkdagen]]," ",Ruimtestaat[[#This Row],[Vloer code]]))</f>
        <v>6-5w L</v>
      </c>
      <c r="AJ578" s="300" t="str">
        <f>_xlfn.IFNA(VLOOKUP($AI578,Programma!$F$3:$G$1107,2,0),"")</f>
        <v>_</v>
      </c>
      <c r="AK578" s="300" t="str">
        <f>_xlfn.IFNA(VLOOKUP($AI578,Programma!$F$3:$H$1107,3,0),"")</f>
        <v>_</v>
      </c>
      <c r="AL578" s="300" t="str">
        <f>_xlfn.IFNA(VLOOKUP($AI578,Programma!$F$3:$I$1107,4,0),"")</f>
        <v>_</v>
      </c>
      <c r="AM578" s="300" t="str">
        <f>_xlfn.IFNA(VLOOKUP($AI578,Programma!$F$3:$J$1107,5,0),"")</f>
        <v>5w</v>
      </c>
      <c r="AN578" s="300" t="str">
        <f>_xlfn.IFNA(VLOOKUP($AI578,Programma!$F$3:$K$1107,6,0),"")</f>
        <v>_</v>
      </c>
      <c r="AO578" s="300" t="str">
        <f>_xlfn.IFNA(VLOOKUP($AI578,Programma!$F$3:$L$1107,7,0),"")</f>
        <v>_</v>
      </c>
      <c r="AP578" s="300" t="str">
        <f>_xlfn.IFNA(VLOOKUP($AI578,Programma!$F$3:$M$1107,8,0),"")</f>
        <v>_</v>
      </c>
      <c r="AQ578" s="300" t="str">
        <f>_xlfn.IFNA(VLOOKUP($AI578,Programma!$F$3:$N$1107,9,0),"")</f>
        <v>_</v>
      </c>
      <c r="AR578" s="300" t="str">
        <f>_xlfn.IFNA(VLOOKUP($AI578,Programma!$F$3:$O$1107,10,0),"")</f>
        <v>5w</v>
      </c>
      <c r="AS578" s="300" t="str">
        <f>_xlfn.IFNA(VLOOKUP($AI578,Programma!$F$3:$P$1107,11,0),"")</f>
        <v>5w</v>
      </c>
      <c r="AT578" s="300" t="str">
        <f>_xlfn.IFNA(VLOOKUP($AI578,Programma!$F$3:$Q$1107,12,0),"")</f>
        <v>1w</v>
      </c>
      <c r="AU578" s="300" t="str">
        <f>_xlfn.IFNA(VLOOKUP($AI578,Programma!$F$3:$R$1107,13,0),"")</f>
        <v>1w</v>
      </c>
      <c r="AV578" s="300" t="str">
        <f>_xlfn.IFNA(VLOOKUP($AI578,Programma!$F$3:$S$1107,14,0),"")</f>
        <v>1m</v>
      </c>
      <c r="AW578" s="300" t="str">
        <f>_xlfn.IFNA(VLOOKUP($AI578,Programma!$F$3:$T$1107,15,0),"")</f>
        <v>2j</v>
      </c>
      <c r="AX578" s="300" t="str">
        <f>_xlfn.IFNA(VLOOKUP($AI578,Programma!$F$3:$U$1107,16,0),"")</f>
        <v>1j</v>
      </c>
      <c r="AY578" s="300" t="str">
        <f>_xlfn.IFNA(VLOOKUP($AI578,Programma!$F$3:$V$1107,17,0),"")</f>
        <v>_</v>
      </c>
      <c r="AZ578" s="300" t="str">
        <f>_xlfn.IFNA(VLOOKUP($AI578,Programma!$F$3:$W$1107,18,0),"")</f>
        <v>_</v>
      </c>
      <c r="BA578" s="300" t="str">
        <f>_xlfn.IFNA(VLOOKUP($AI578,Programma!$F$3:$X$1107,19,0),"")</f>
        <v>_</v>
      </c>
      <c r="BB578" s="300" t="str">
        <f>_xlfn.IFNA(VLOOKUP($AI578,Programma!$F$3:$Y$1107,20,0),"")</f>
        <v>_</v>
      </c>
      <c r="BC578" s="257"/>
      <c r="BD578" s="256" t="str">
        <f>IF(Ruimtestaat[[#This Row],[Frequentie weekend]]="","",_xlfn.CONCAT(Ruimtestaat[[#This Row],[Ruimte code]],"-",Ruimtestaat[[#This Row],[Frequentie weekend]]," ",Ruimtestaat[[#This Row],[Vloer code]]))</f>
        <v/>
      </c>
      <c r="BE578" s="300" t="str">
        <f>_xlfn.IFNA(VLOOKUP($BD578,Programma!$F$3:$G$1107,2,0),"")</f>
        <v/>
      </c>
      <c r="BF578" s="300" t="str">
        <f>_xlfn.IFNA(VLOOKUP($BD578,Programma!$F$3:$H$1107,3,0),"")</f>
        <v/>
      </c>
      <c r="BG578" s="300" t="str">
        <f>_xlfn.IFNA(VLOOKUP($BD578,Programma!$F$3:$I$1107,4,0),"")</f>
        <v/>
      </c>
      <c r="BH578" s="300" t="str">
        <f>_xlfn.IFNA(VLOOKUP($BD578,Programma!$F$3:$J$1107,5,0),"")</f>
        <v/>
      </c>
      <c r="BI578" s="300" t="str">
        <f>_xlfn.IFNA(VLOOKUP($BD578,Programma!$F$3:$K$1107,6,0),"")</f>
        <v/>
      </c>
      <c r="BJ578" s="300" t="str">
        <f>_xlfn.IFNA(VLOOKUP($BD578,Programma!$F$3:$L$1107,7,0),"")</f>
        <v/>
      </c>
      <c r="BK578" s="300" t="str">
        <f>_xlfn.IFNA(VLOOKUP($BD578,Programma!$F$3:$M$1107,8,0),"")</f>
        <v/>
      </c>
      <c r="BL578" s="300" t="str">
        <f>_xlfn.IFNA(VLOOKUP($BD578,Programma!$F$3:$N$1107,9,0),"")</f>
        <v/>
      </c>
      <c r="BM578" s="300" t="str">
        <f>_xlfn.IFNA(VLOOKUP($BD578,Programma!$F$3:$O$1107,10,0),"")</f>
        <v/>
      </c>
      <c r="BN578" s="300" t="str">
        <f>_xlfn.IFNA(VLOOKUP($BD578,Programma!$F$3:$P$1107,11,0),"")</f>
        <v/>
      </c>
      <c r="BO578" s="300" t="str">
        <f>_xlfn.IFNA(VLOOKUP($BD578,Programma!$F$3:$Q$1107,12,0),"")</f>
        <v/>
      </c>
      <c r="BP578" s="300" t="str">
        <f>_xlfn.IFNA(VLOOKUP($BD578,Programma!$F$3:$R$1107,13,0),"")</f>
        <v/>
      </c>
      <c r="BQ578" s="300" t="str">
        <f>_xlfn.IFNA(VLOOKUP($BD578,Programma!$F$3:$S$1107,14,0),"")</f>
        <v/>
      </c>
      <c r="BR578" s="300" t="str">
        <f>_xlfn.IFNA(VLOOKUP($BD578,Programma!$F$3:$T$1107,15,0),"")</f>
        <v/>
      </c>
      <c r="BS578" s="300" t="str">
        <f>_xlfn.IFNA(VLOOKUP($BD578,Programma!$F$3:$U$1107,16,0),"")</f>
        <v/>
      </c>
      <c r="BT578" s="300" t="str">
        <f>_xlfn.IFNA(VLOOKUP($BD578,Programma!$F$3:$V$1107,17,0),"")</f>
        <v/>
      </c>
      <c r="BU578" s="300" t="str">
        <f>_xlfn.IFNA(VLOOKUP($BD578,Programma!$F$3:$W$1107,18,0),"")</f>
        <v/>
      </c>
      <c r="BV578" s="300" t="str">
        <f>_xlfn.IFNA(VLOOKUP($BD578,Programma!$F$3:$X$1107,19,0),"")</f>
        <v/>
      </c>
      <c r="BW578" s="300" t="str">
        <f>_xlfn.IFNA(VLOOKUP($BD578,Programma!$F$3:$Y$1107,20,0),"")</f>
        <v/>
      </c>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c r="GK578" s="4"/>
      <c r="GL578" s="4"/>
      <c r="GM578" s="4"/>
      <c r="GN578" s="4"/>
      <c r="GO578" s="4"/>
      <c r="GP578" s="4"/>
      <c r="GQ578" s="4"/>
      <c r="GR578" s="4"/>
      <c r="GS578" s="4"/>
      <c r="GT578" s="4"/>
      <c r="GU578" s="4"/>
      <c r="GV578" s="4"/>
      <c r="GW578" s="4"/>
      <c r="GX578" s="4"/>
      <c r="GY578" s="4"/>
      <c r="GZ578" s="4"/>
      <c r="HA578" s="4"/>
      <c r="HB578" s="4"/>
      <c r="HC578" s="4"/>
      <c r="HD578" s="4"/>
      <c r="HE578" s="4"/>
      <c r="HF578" s="4"/>
      <c r="HG578" s="4"/>
      <c r="HH578" s="4"/>
      <c r="HI578" s="4"/>
      <c r="HJ578" s="4"/>
      <c r="HK578" s="4"/>
      <c r="HL578" s="4"/>
    </row>
    <row r="579" spans="1:220" ht="15" customHeight="1">
      <c r="A579" s="21">
        <v>7</v>
      </c>
      <c r="B579" s="157" t="str">
        <f>VLOOKUP(Ruimtestaat[[#This Row],[Code]],Locaties[[Code]:[Locatie]],2,FALSE)</f>
        <v>Gymnasium Novum</v>
      </c>
      <c r="C579" s="157" t="str">
        <f>VLOOKUP(Ruimtestaat[[#This Row],[Code]],Locaties[[#All],[Code]:[Adres]],4,FALSE)</f>
        <v>Aart v.d. Leeuwkade 1</v>
      </c>
      <c r="D579" s="157" t="str">
        <f>VLOOKUP(Ruimtestaat[[#This Row],[Code]],Locaties[[#All],[Code]:[Postcode]],5,FALSE)</f>
        <v>2274 KX</v>
      </c>
      <c r="E579" s="157" t="str">
        <f>VLOOKUP(Ruimtestaat[[#This Row],[Code]],Locaties[#All],6,FALSE)</f>
        <v>Voorburg</v>
      </c>
      <c r="F579" s="62"/>
      <c r="G579" s="21" t="s">
        <v>1632</v>
      </c>
      <c r="H579" s="21">
        <v>33</v>
      </c>
      <c r="I579" s="62" t="s">
        <v>2146</v>
      </c>
      <c r="J579" s="21">
        <v>6</v>
      </c>
      <c r="K579" s="62" t="str">
        <f>VLOOKUP(Ruimtestaat[[#This Row],[Ruimte code]],Ruimtegroepen[[#All],[Code]:[Ruimte omschrijving]],2,FALSE)</f>
        <v>Gangen/hallen</v>
      </c>
      <c r="L579" s="33" t="s">
        <v>100</v>
      </c>
      <c r="M579" s="367" t="s">
        <v>2494</v>
      </c>
      <c r="N579" s="140">
        <v>8</v>
      </c>
      <c r="O579" s="140"/>
      <c r="P579" s="125" t="str">
        <f>VLOOKUP(Ruimtestaat[[#This Row],[Ruimte code]],Ruimtegroepen[],4,FALSE)</f>
        <v>Ve</v>
      </c>
      <c r="R579" s="33">
        <v>40</v>
      </c>
      <c r="S579" s="33" t="s">
        <v>2</v>
      </c>
      <c r="T579" s="33">
        <f>IF(R579&gt;0,IF(RIGHT(Ruimtestaat[[#This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79" s="33">
        <f>IF(T579&gt;0,VLOOKUP($J579,Ruimtegroepen[],3,FALSE)*VLOOKUP($L579,Vloersoorten[],3,FALSE)*VLOOKUP($S579,Frequenties[],3,FALSE)*VLOOKUP($A579,Locaties[],3,FALSE),0)</f>
        <v>0</v>
      </c>
      <c r="V579" s="33">
        <f>Ruimtestaat[[#This Row],[Uitvoeringen werkdagen]]*Ruimtestaat[[#This Row],[Oppervlak (netto)]]</f>
        <v>1600</v>
      </c>
      <c r="W579" s="154">
        <f>IF(U579&gt;0,Ruimtestaat[[#This Row],[Prest. (m2 /jaar) werkdagen]]/Ruimtestaat[[#This Row],[Norm (m2/uur) werkdagen]],0)</f>
        <v>0</v>
      </c>
      <c r="X579" s="155">
        <f>Ruimtestaat[[#This Row],[uren / jaar werkdagen]]*Tariefsopbouw!$E$35</f>
        <v>0</v>
      </c>
      <c r="Y579" s="33"/>
      <c r="Z579" s="33">
        <f>IF(Ruimtestaat[[#This Row],[Frequentie weekend]]&gt;0,VALUE(LEFT(Y579,1))*R579,0)</f>
        <v>0</v>
      </c>
      <c r="AA579" s="97">
        <f>IF($Z579&gt;0,VLOOKUP($J579,Ruimtegroepen[],3,FALSE)*VLOOKUP($L579,Vloersoorten[],3,FALSE)*VLOOKUP($Y579,Frequenties[],3,FALSE)*VLOOKUP(Ruimtestaat[[#This Row],[Code]],Locaties[],3,FALSE),0)</f>
        <v>0</v>
      </c>
      <c r="AB579" s="97">
        <f>Ruimtestaat[[#This Row],[Uitvoeringen weekend]]*Ruimtestaat[[#This Row],[Oppervlak (netto)]]</f>
        <v>0</v>
      </c>
      <c r="AC579" s="97">
        <f>IF(AA579&gt;0,Ruimtestaat[[#This Row],[Prest. (m2 /jaar) weekend]]/Ruimtestaat[[#This Row],[Norm (m2/uur) weekend]],0)</f>
        <v>0</v>
      </c>
      <c r="AD579" s="155">
        <f>Ruimtestaat[[#This Row],[uren / jaar weekend]]*Tariefsopbouw!$D$40</f>
        <v>0</v>
      </c>
      <c r="AE579" s="154">
        <f>Ruimtestaat[[#This Row],[Prest. (m2 /jaar) weekend]]+Ruimtestaat[[#This Row],[Prest. (m2 /jaar) werkdagen]]</f>
        <v>1600</v>
      </c>
      <c r="AF579" s="154">
        <f>Ruimtestaat[[#This Row],[uren / jaar weekend]]+Ruimtestaat[[#This Row],[uren / jaar werkdagen]]</f>
        <v>0</v>
      </c>
      <c r="AG579" s="69">
        <f>Ruimtestaat[[#This Row],[kosten / jaar weekend]]+Ruimtestaat[[#This Row],[kosten / jaar werkdagen]]</f>
        <v>0</v>
      </c>
      <c r="AH579" s="69"/>
      <c r="AI579" s="256" t="str">
        <f>IF(Ruimtestaat[[#This Row],[Frequentie werkdagen]]="","",_xlfn.CONCAT(Ruimtestaat[[#This Row],[Ruimte code]],"-",Ruimtestaat[[#This Row],[Frequentie werkdagen]]," ",Ruimtestaat[[#This Row],[Vloer code]]))</f>
        <v>6-5w T</v>
      </c>
      <c r="AJ579" s="300" t="str">
        <f>_xlfn.IFNA(VLOOKUP($AI579,Programma!$F$3:$G$1107,2,0),"")</f>
        <v>_</v>
      </c>
      <c r="AK579" s="300" t="str">
        <f>_xlfn.IFNA(VLOOKUP($AI579,Programma!$F$3:$H$1107,3,0),"")</f>
        <v>5w</v>
      </c>
      <c r="AL579" s="300" t="str">
        <f>_xlfn.IFNA(VLOOKUP($AI579,Programma!$F$3:$I$1107,4,0),"")</f>
        <v>_</v>
      </c>
      <c r="AM579" s="300" t="str">
        <f>_xlfn.IFNA(VLOOKUP($AI579,Programma!$F$3:$J$1107,5,0),"")</f>
        <v>_</v>
      </c>
      <c r="AN579" s="300" t="str">
        <f>_xlfn.IFNA(VLOOKUP($AI579,Programma!$F$3:$K$1107,6,0),"")</f>
        <v>_</v>
      </c>
      <c r="AO579" s="300" t="str">
        <f>_xlfn.IFNA(VLOOKUP($AI579,Programma!$F$3:$L$1107,7,0),"")</f>
        <v>_</v>
      </c>
      <c r="AP579" s="300" t="str">
        <f>_xlfn.IFNA(VLOOKUP($AI579,Programma!$F$3:$M$1107,8,0),"")</f>
        <v>_</v>
      </c>
      <c r="AQ579" s="300" t="str">
        <f>_xlfn.IFNA(VLOOKUP($AI579,Programma!$F$3:$N$1107,9,0),"")</f>
        <v>_</v>
      </c>
      <c r="AR579" s="300" t="str">
        <f>_xlfn.IFNA(VLOOKUP($AI579,Programma!$F$3:$O$1107,10,0),"")</f>
        <v>5w</v>
      </c>
      <c r="AS579" s="300" t="str">
        <f>_xlfn.IFNA(VLOOKUP($AI579,Programma!$F$3:$P$1107,11,0),"")</f>
        <v>5w</v>
      </c>
      <c r="AT579" s="300" t="str">
        <f>_xlfn.IFNA(VLOOKUP($AI579,Programma!$F$3:$Q$1107,12,0),"")</f>
        <v>1w</v>
      </c>
      <c r="AU579" s="300" t="str">
        <f>_xlfn.IFNA(VLOOKUP($AI579,Programma!$F$3:$R$1107,13,0),"")</f>
        <v>1w</v>
      </c>
      <c r="AV579" s="300" t="str">
        <f>_xlfn.IFNA(VLOOKUP($AI579,Programma!$F$3:$S$1107,14,0),"")</f>
        <v>1m</v>
      </c>
      <c r="AW579" s="300" t="str">
        <f>_xlfn.IFNA(VLOOKUP($AI579,Programma!$F$3:$T$1107,15,0),"")</f>
        <v>2j</v>
      </c>
      <c r="AX579" s="300" t="str">
        <f>_xlfn.IFNA(VLOOKUP($AI579,Programma!$F$3:$U$1107,16,0),"")</f>
        <v>1j</v>
      </c>
      <c r="AY579" s="300" t="str">
        <f>_xlfn.IFNA(VLOOKUP($AI579,Programma!$F$3:$V$1107,17,0),"")</f>
        <v>_</v>
      </c>
      <c r="AZ579" s="300" t="str">
        <f>_xlfn.IFNA(VLOOKUP($AI579,Programma!$F$3:$W$1107,18,0),"")</f>
        <v>_</v>
      </c>
      <c r="BA579" s="300" t="str">
        <f>_xlfn.IFNA(VLOOKUP($AI579,Programma!$F$3:$X$1107,19,0),"")</f>
        <v>_</v>
      </c>
      <c r="BB579" s="300" t="str">
        <f>_xlfn.IFNA(VLOOKUP($AI579,Programma!$F$3:$Y$1107,20,0),"")</f>
        <v>_</v>
      </c>
      <c r="BC579" s="257"/>
      <c r="BD579" s="256" t="str">
        <f>IF(Ruimtestaat[[#This Row],[Frequentie weekend]]="","",_xlfn.CONCAT(Ruimtestaat[[#This Row],[Ruimte code]],"-",Ruimtestaat[[#This Row],[Frequentie weekend]]," ",Ruimtestaat[[#This Row],[Vloer code]]))</f>
        <v/>
      </c>
      <c r="BE579" s="300" t="str">
        <f>_xlfn.IFNA(VLOOKUP($BD579,Programma!$F$3:$G$1107,2,0),"")</f>
        <v/>
      </c>
      <c r="BF579" s="300" t="str">
        <f>_xlfn.IFNA(VLOOKUP($BD579,Programma!$F$3:$H$1107,3,0),"")</f>
        <v/>
      </c>
      <c r="BG579" s="300" t="str">
        <f>_xlfn.IFNA(VLOOKUP($BD579,Programma!$F$3:$I$1107,4,0),"")</f>
        <v/>
      </c>
      <c r="BH579" s="300" t="str">
        <f>_xlfn.IFNA(VLOOKUP($BD579,Programma!$F$3:$J$1107,5,0),"")</f>
        <v/>
      </c>
      <c r="BI579" s="300" t="str">
        <f>_xlfn.IFNA(VLOOKUP($BD579,Programma!$F$3:$K$1107,6,0),"")</f>
        <v/>
      </c>
      <c r="BJ579" s="300" t="str">
        <f>_xlfn.IFNA(VLOOKUP($BD579,Programma!$F$3:$L$1107,7,0),"")</f>
        <v/>
      </c>
      <c r="BK579" s="300" t="str">
        <f>_xlfn.IFNA(VLOOKUP($BD579,Programma!$F$3:$M$1107,8,0),"")</f>
        <v/>
      </c>
      <c r="BL579" s="300" t="str">
        <f>_xlfn.IFNA(VLOOKUP($BD579,Programma!$F$3:$N$1107,9,0),"")</f>
        <v/>
      </c>
      <c r="BM579" s="300" t="str">
        <f>_xlfn.IFNA(VLOOKUP($BD579,Programma!$F$3:$O$1107,10,0),"")</f>
        <v/>
      </c>
      <c r="BN579" s="300" t="str">
        <f>_xlfn.IFNA(VLOOKUP($BD579,Programma!$F$3:$P$1107,11,0),"")</f>
        <v/>
      </c>
      <c r="BO579" s="300" t="str">
        <f>_xlfn.IFNA(VLOOKUP($BD579,Programma!$F$3:$Q$1107,12,0),"")</f>
        <v/>
      </c>
      <c r="BP579" s="300" t="str">
        <f>_xlfn.IFNA(VLOOKUP($BD579,Programma!$F$3:$R$1107,13,0),"")</f>
        <v/>
      </c>
      <c r="BQ579" s="300" t="str">
        <f>_xlfn.IFNA(VLOOKUP($BD579,Programma!$F$3:$S$1107,14,0),"")</f>
        <v/>
      </c>
      <c r="BR579" s="300" t="str">
        <f>_xlfn.IFNA(VLOOKUP($BD579,Programma!$F$3:$T$1107,15,0),"")</f>
        <v/>
      </c>
      <c r="BS579" s="300" t="str">
        <f>_xlfn.IFNA(VLOOKUP($BD579,Programma!$F$3:$U$1107,16,0),"")</f>
        <v/>
      </c>
      <c r="BT579" s="300" t="str">
        <f>_xlfn.IFNA(VLOOKUP($BD579,Programma!$F$3:$V$1107,17,0),"")</f>
        <v/>
      </c>
      <c r="BU579" s="300" t="str">
        <f>_xlfn.IFNA(VLOOKUP($BD579,Programma!$F$3:$W$1107,18,0),"")</f>
        <v/>
      </c>
      <c r="BV579" s="300" t="str">
        <f>_xlfn.IFNA(VLOOKUP($BD579,Programma!$F$3:$X$1107,19,0),"")</f>
        <v/>
      </c>
      <c r="BW579" s="300" t="str">
        <f>_xlfn.IFNA(VLOOKUP($BD579,Programma!$F$3:$Y$1107,20,0),"")</f>
        <v/>
      </c>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c r="GK579" s="4"/>
      <c r="GL579" s="4"/>
      <c r="GM579" s="4"/>
      <c r="GN579" s="4"/>
      <c r="GO579" s="4"/>
      <c r="GP579" s="4"/>
      <c r="GQ579" s="4"/>
      <c r="GR579" s="4"/>
      <c r="GS579" s="4"/>
      <c r="GT579" s="4"/>
      <c r="GU579" s="4"/>
      <c r="GV579" s="4"/>
      <c r="GW579" s="4"/>
      <c r="GX579" s="4"/>
      <c r="GY579" s="4"/>
      <c r="GZ579" s="4"/>
      <c r="HA579" s="4"/>
      <c r="HB579" s="4"/>
      <c r="HC579" s="4"/>
      <c r="HD579" s="4"/>
      <c r="HE579" s="4"/>
      <c r="HF579" s="4"/>
      <c r="HG579" s="4"/>
      <c r="HH579" s="4"/>
      <c r="HI579" s="4"/>
      <c r="HJ579" s="4"/>
      <c r="HK579" s="4"/>
      <c r="HL579" s="4"/>
    </row>
    <row r="580" spans="1:220" ht="15" customHeight="1">
      <c r="A580" s="21">
        <v>7</v>
      </c>
      <c r="B580" s="157" t="str">
        <f>VLOOKUP(Ruimtestaat[[#This Row],[Code]],Locaties[[Code]:[Locatie]],2,FALSE)</f>
        <v>Gymnasium Novum</v>
      </c>
      <c r="C580" s="157" t="str">
        <f>VLOOKUP(Ruimtestaat[[#This Row],[Code]],Locaties[[#All],[Code]:[Adres]],4,FALSE)</f>
        <v>Aart v.d. Leeuwkade 1</v>
      </c>
      <c r="D580" s="157" t="str">
        <f>VLOOKUP(Ruimtestaat[[#This Row],[Code]],Locaties[[#All],[Code]:[Postcode]],5,FALSE)</f>
        <v>2274 KX</v>
      </c>
      <c r="E580" s="157" t="str">
        <f>VLOOKUP(Ruimtestaat[[#This Row],[Code]],Locaties[#All],6,FALSE)</f>
        <v>Voorburg</v>
      </c>
      <c r="F580" s="62"/>
      <c r="G580" s="21" t="s">
        <v>1632</v>
      </c>
      <c r="H580" s="21">
        <v>34</v>
      </c>
      <c r="I580" s="62" t="s">
        <v>2147</v>
      </c>
      <c r="J580" s="21">
        <v>13</v>
      </c>
      <c r="K580" s="62" t="str">
        <f>VLOOKUP(Ruimtestaat[[#This Row],[Ruimte code]],Ruimtegroepen[[#All],[Code]:[Ruimte omschrijving]],2,FALSE)</f>
        <v>HV/Technieklokaal</v>
      </c>
      <c r="L580" s="33" t="s">
        <v>101</v>
      </c>
      <c r="M580" s="367" t="s">
        <v>2495</v>
      </c>
      <c r="N580" s="140">
        <v>87</v>
      </c>
      <c r="O580" s="140"/>
      <c r="P580" s="125" t="str">
        <f>VLOOKUP(Ruimtestaat[[#This Row],[Ruimte code]],Ruimtegroepen[],4,FALSE)</f>
        <v>Le</v>
      </c>
      <c r="R580" s="33">
        <v>40</v>
      </c>
      <c r="S580" s="33" t="s">
        <v>2</v>
      </c>
      <c r="T580" s="33">
        <f>IF(R580&gt;0,IF(RIGHT(Ruimtestaat[[#This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80" s="33">
        <f>IF(T580&gt;0,VLOOKUP($J580,Ruimtegroepen[],3,FALSE)*VLOOKUP($L580,Vloersoorten[],3,FALSE)*VLOOKUP($S580,Frequenties[],3,FALSE)*VLOOKUP($A580,Locaties[],3,FALSE),0)</f>
        <v>0</v>
      </c>
      <c r="V580" s="33">
        <f>Ruimtestaat[[#This Row],[Uitvoeringen werkdagen]]*Ruimtestaat[[#This Row],[Oppervlak (netto)]]</f>
        <v>17400</v>
      </c>
      <c r="W580" s="154">
        <f>IF(U580&gt;0,Ruimtestaat[[#This Row],[Prest. (m2 /jaar) werkdagen]]/Ruimtestaat[[#This Row],[Norm (m2/uur) werkdagen]],0)</f>
        <v>0</v>
      </c>
      <c r="X580" s="155">
        <f>Ruimtestaat[[#This Row],[uren / jaar werkdagen]]*Tariefsopbouw!$E$35</f>
        <v>0</v>
      </c>
      <c r="Y580" s="33"/>
      <c r="Z580" s="33">
        <f>IF(Ruimtestaat[[#This Row],[Frequentie weekend]]&gt;0,VALUE(LEFT(Y580,1))*R580,0)</f>
        <v>0</v>
      </c>
      <c r="AA580" s="97">
        <f>IF($Z580&gt;0,VLOOKUP($J580,Ruimtegroepen[],3,FALSE)*VLOOKUP($L580,Vloersoorten[],3,FALSE)*VLOOKUP($Y580,Frequenties[],3,FALSE)*VLOOKUP(Ruimtestaat[[#This Row],[Code]],Locaties[],3,FALSE),0)</f>
        <v>0</v>
      </c>
      <c r="AB580" s="97">
        <f>Ruimtestaat[[#This Row],[Uitvoeringen weekend]]*Ruimtestaat[[#This Row],[Oppervlak (netto)]]</f>
        <v>0</v>
      </c>
      <c r="AC580" s="97">
        <f>IF(AA580&gt;0,Ruimtestaat[[#This Row],[Prest. (m2 /jaar) weekend]]/Ruimtestaat[[#This Row],[Norm (m2/uur) weekend]],0)</f>
        <v>0</v>
      </c>
      <c r="AD580" s="155">
        <f>Ruimtestaat[[#This Row],[uren / jaar weekend]]*Tariefsopbouw!$D$40</f>
        <v>0</v>
      </c>
      <c r="AE580" s="154">
        <f>Ruimtestaat[[#This Row],[Prest. (m2 /jaar) weekend]]+Ruimtestaat[[#This Row],[Prest. (m2 /jaar) werkdagen]]</f>
        <v>17400</v>
      </c>
      <c r="AF580" s="154">
        <f>Ruimtestaat[[#This Row],[uren / jaar weekend]]+Ruimtestaat[[#This Row],[uren / jaar werkdagen]]</f>
        <v>0</v>
      </c>
      <c r="AG580" s="69">
        <f>Ruimtestaat[[#This Row],[kosten / jaar weekend]]+Ruimtestaat[[#This Row],[kosten / jaar werkdagen]]</f>
        <v>0</v>
      </c>
      <c r="AH580" s="69"/>
      <c r="AI580" s="256" t="str">
        <f>IF(Ruimtestaat[[#This Row],[Frequentie werkdagen]]="","",_xlfn.CONCAT(Ruimtestaat[[#This Row],[Ruimte code]],"-",Ruimtestaat[[#This Row],[Frequentie werkdagen]]," ",Ruimtestaat[[#This Row],[Vloer code]]))</f>
        <v>13-5w L</v>
      </c>
      <c r="AJ580" s="300" t="str">
        <f>_xlfn.IFNA(VLOOKUP($AI580,Programma!$F$3:$G$1107,2,0),"")</f>
        <v>_</v>
      </c>
      <c r="AK580" s="300" t="str">
        <f>_xlfn.IFNA(VLOOKUP($AI580,Programma!$F$3:$H$1107,3,0),"")</f>
        <v>_</v>
      </c>
      <c r="AL580" s="300" t="str">
        <f>_xlfn.IFNA(VLOOKUP($AI580,Programma!$F$3:$I$1107,4,0),"")</f>
        <v>4w</v>
      </c>
      <c r="AM580" s="300" t="str">
        <f>_xlfn.IFNA(VLOOKUP($AI580,Programma!$F$3:$J$1107,5,0),"")</f>
        <v>1w</v>
      </c>
      <c r="AN580" s="300" t="str">
        <f>_xlfn.IFNA(VLOOKUP($AI580,Programma!$F$3:$K$1107,6,0),"")</f>
        <v>_</v>
      </c>
      <c r="AO580" s="300" t="str">
        <f>_xlfn.IFNA(VLOOKUP($AI580,Programma!$F$3:$L$1107,7,0),"")</f>
        <v>_</v>
      </c>
      <c r="AP580" s="300" t="str">
        <f>_xlfn.IFNA(VLOOKUP($AI580,Programma!$F$3:$M$1107,8,0),"")</f>
        <v>_</v>
      </c>
      <c r="AQ580" s="300" t="str">
        <f>_xlfn.IFNA(VLOOKUP($AI580,Programma!$F$3:$N$1107,9,0),"")</f>
        <v>_</v>
      </c>
      <c r="AR580" s="300" t="str">
        <f>_xlfn.IFNA(VLOOKUP($AI580,Programma!$F$3:$O$1107,10,0),"")</f>
        <v>5w</v>
      </c>
      <c r="AS580" s="300" t="str">
        <f>_xlfn.IFNA(VLOOKUP($AI580,Programma!$F$3:$P$1107,11,0),"")</f>
        <v>5w</v>
      </c>
      <c r="AT580" s="300" t="str">
        <f>_xlfn.IFNA(VLOOKUP($AI580,Programma!$F$3:$Q$1107,12,0),"")</f>
        <v>1w</v>
      </c>
      <c r="AU580" s="300" t="str">
        <f>_xlfn.IFNA(VLOOKUP($AI580,Programma!$F$3:$R$1107,13,0),"")</f>
        <v>1w</v>
      </c>
      <c r="AV580" s="300" t="str">
        <f>_xlfn.IFNA(VLOOKUP($AI580,Programma!$F$3:$S$1107,14,0),"")</f>
        <v>1m</v>
      </c>
      <c r="AW580" s="300" t="str">
        <f>_xlfn.IFNA(VLOOKUP($AI580,Programma!$F$3:$T$1107,15,0),"")</f>
        <v>2j</v>
      </c>
      <c r="AX580" s="300" t="str">
        <f>_xlfn.IFNA(VLOOKUP($AI580,Programma!$F$3:$U$1107,16,0),"")</f>
        <v>1j</v>
      </c>
      <c r="AY580" s="300" t="str">
        <f>_xlfn.IFNA(VLOOKUP($AI580,Programma!$F$3:$V$1107,17,0),"")</f>
        <v>_</v>
      </c>
      <c r="AZ580" s="300" t="str">
        <f>_xlfn.IFNA(VLOOKUP($AI580,Programma!$F$3:$W$1107,18,0),"")</f>
        <v>_</v>
      </c>
      <c r="BA580" s="300" t="str">
        <f>_xlfn.IFNA(VLOOKUP($AI580,Programma!$F$3:$X$1107,19,0),"")</f>
        <v>_</v>
      </c>
      <c r="BB580" s="300" t="str">
        <f>_xlfn.IFNA(VLOOKUP($AI580,Programma!$F$3:$Y$1107,20,0),"")</f>
        <v>_</v>
      </c>
      <c r="BC580" s="257"/>
      <c r="BD580" s="256" t="str">
        <f>IF(Ruimtestaat[[#This Row],[Frequentie weekend]]="","",_xlfn.CONCAT(Ruimtestaat[[#This Row],[Ruimte code]],"-",Ruimtestaat[[#This Row],[Frequentie weekend]]," ",Ruimtestaat[[#This Row],[Vloer code]]))</f>
        <v/>
      </c>
      <c r="BE580" s="300" t="str">
        <f>_xlfn.IFNA(VLOOKUP($BD580,Programma!$F$3:$G$1107,2,0),"")</f>
        <v/>
      </c>
      <c r="BF580" s="300" t="str">
        <f>_xlfn.IFNA(VLOOKUP($BD580,Programma!$F$3:$H$1107,3,0),"")</f>
        <v/>
      </c>
      <c r="BG580" s="300" t="str">
        <f>_xlfn.IFNA(VLOOKUP($BD580,Programma!$F$3:$I$1107,4,0),"")</f>
        <v/>
      </c>
      <c r="BH580" s="300" t="str">
        <f>_xlfn.IFNA(VLOOKUP($BD580,Programma!$F$3:$J$1107,5,0),"")</f>
        <v/>
      </c>
      <c r="BI580" s="300" t="str">
        <f>_xlfn.IFNA(VLOOKUP($BD580,Programma!$F$3:$K$1107,6,0),"")</f>
        <v/>
      </c>
      <c r="BJ580" s="300" t="str">
        <f>_xlfn.IFNA(VLOOKUP($BD580,Programma!$F$3:$L$1107,7,0),"")</f>
        <v/>
      </c>
      <c r="BK580" s="300" t="str">
        <f>_xlfn.IFNA(VLOOKUP($BD580,Programma!$F$3:$M$1107,8,0),"")</f>
        <v/>
      </c>
      <c r="BL580" s="300" t="str">
        <f>_xlfn.IFNA(VLOOKUP($BD580,Programma!$F$3:$N$1107,9,0),"")</f>
        <v/>
      </c>
      <c r="BM580" s="300" t="str">
        <f>_xlfn.IFNA(VLOOKUP($BD580,Programma!$F$3:$O$1107,10,0),"")</f>
        <v/>
      </c>
      <c r="BN580" s="300" t="str">
        <f>_xlfn.IFNA(VLOOKUP($BD580,Programma!$F$3:$P$1107,11,0),"")</f>
        <v/>
      </c>
      <c r="BO580" s="300" t="str">
        <f>_xlfn.IFNA(VLOOKUP($BD580,Programma!$F$3:$Q$1107,12,0),"")</f>
        <v/>
      </c>
      <c r="BP580" s="300" t="str">
        <f>_xlfn.IFNA(VLOOKUP($BD580,Programma!$F$3:$R$1107,13,0),"")</f>
        <v/>
      </c>
      <c r="BQ580" s="300" t="str">
        <f>_xlfn.IFNA(VLOOKUP($BD580,Programma!$F$3:$S$1107,14,0),"")</f>
        <v/>
      </c>
      <c r="BR580" s="300" t="str">
        <f>_xlfn.IFNA(VLOOKUP($BD580,Programma!$F$3:$T$1107,15,0),"")</f>
        <v/>
      </c>
      <c r="BS580" s="300" t="str">
        <f>_xlfn.IFNA(VLOOKUP($BD580,Programma!$F$3:$U$1107,16,0),"")</f>
        <v/>
      </c>
      <c r="BT580" s="300" t="str">
        <f>_xlfn.IFNA(VLOOKUP($BD580,Programma!$F$3:$V$1107,17,0),"")</f>
        <v/>
      </c>
      <c r="BU580" s="300" t="str">
        <f>_xlfn.IFNA(VLOOKUP($BD580,Programma!$F$3:$W$1107,18,0),"")</f>
        <v/>
      </c>
      <c r="BV580" s="300" t="str">
        <f>_xlfn.IFNA(VLOOKUP($BD580,Programma!$F$3:$X$1107,19,0),"")</f>
        <v/>
      </c>
      <c r="BW580" s="300" t="str">
        <f>_xlfn.IFNA(VLOOKUP($BD580,Programma!$F$3:$Y$1107,20,0),"")</f>
        <v/>
      </c>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c r="GK580" s="4"/>
      <c r="GL580" s="4"/>
      <c r="GM580" s="4"/>
      <c r="GN580" s="4"/>
      <c r="GO580" s="4"/>
      <c r="GP580" s="4"/>
      <c r="GQ580" s="4"/>
      <c r="GR580" s="4"/>
      <c r="GS580" s="4"/>
      <c r="GT580" s="4"/>
      <c r="GU580" s="4"/>
      <c r="GV580" s="4"/>
      <c r="GW580" s="4"/>
      <c r="GX580" s="4"/>
      <c r="GY580" s="4"/>
      <c r="GZ580" s="4"/>
      <c r="HA580" s="4"/>
      <c r="HB580" s="4"/>
      <c r="HC580" s="4"/>
      <c r="HD580" s="4"/>
      <c r="HE580" s="4"/>
      <c r="HF580" s="4"/>
      <c r="HG580" s="4"/>
      <c r="HH580" s="4"/>
      <c r="HI580" s="4"/>
      <c r="HJ580" s="4"/>
      <c r="HK580" s="4"/>
      <c r="HL580" s="4"/>
    </row>
    <row r="581" spans="1:220" ht="15" customHeight="1">
      <c r="A581" s="21">
        <v>7</v>
      </c>
      <c r="B581" s="157" t="str">
        <f>VLOOKUP(Ruimtestaat[[#This Row],[Code]],Locaties[[Code]:[Locatie]],2,FALSE)</f>
        <v>Gymnasium Novum</v>
      </c>
      <c r="C581" s="157" t="str">
        <f>VLOOKUP(Ruimtestaat[[#This Row],[Code]],Locaties[[#All],[Code]:[Adres]],4,FALSE)</f>
        <v>Aart v.d. Leeuwkade 1</v>
      </c>
      <c r="D581" s="157" t="str">
        <f>VLOOKUP(Ruimtestaat[[#This Row],[Code]],Locaties[[#All],[Code]:[Postcode]],5,FALSE)</f>
        <v>2274 KX</v>
      </c>
      <c r="E581" s="157" t="str">
        <f>VLOOKUP(Ruimtestaat[[#This Row],[Code]],Locaties[#All],6,FALSE)</f>
        <v>Voorburg</v>
      </c>
      <c r="F581" s="62"/>
      <c r="G581" s="21" t="s">
        <v>1632</v>
      </c>
      <c r="H581" s="21">
        <v>35</v>
      </c>
      <c r="I581" s="62" t="s">
        <v>2148</v>
      </c>
      <c r="J581" s="21">
        <v>1</v>
      </c>
      <c r="K581" s="62" t="str">
        <f>VLOOKUP(Ruimtestaat[[#This Row],[Ruimte code]],Ruimtegroepen[[#All],[Code]:[Ruimte omschrijving]],2,FALSE)</f>
        <v>Magazijnen/bergingen</v>
      </c>
      <c r="L581" s="33" t="s">
        <v>101</v>
      </c>
      <c r="M581" s="367" t="s">
        <v>2495</v>
      </c>
      <c r="N581" s="140">
        <v>8</v>
      </c>
      <c r="O581" s="140"/>
      <c r="P581" s="125" t="str">
        <f>VLOOKUP(Ruimtestaat[[#This Row],[Ruimte code]],Ruimtegroepen[],4,FALSE)</f>
        <v>Ve</v>
      </c>
      <c r="R581" s="33">
        <v>40</v>
      </c>
      <c r="S581" s="33" t="s">
        <v>16</v>
      </c>
      <c r="T581" s="33">
        <f>IF(R581&gt;0,IF(RIGHT(Ruimtestaat[[#This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581" s="33">
        <f>IF(T581&gt;0,VLOOKUP($J581,Ruimtegroepen[],3,FALSE)*VLOOKUP($L581,Vloersoorten[],3,FALSE)*VLOOKUP($S581,Frequenties[],3,FALSE)*VLOOKUP($A581,Locaties[],3,FALSE),0)</f>
        <v>0</v>
      </c>
      <c r="V581" s="33">
        <f>Ruimtestaat[[#This Row],[Uitvoeringen werkdagen]]*Ruimtestaat[[#This Row],[Oppervlak (netto)]]</f>
        <v>96</v>
      </c>
      <c r="W581" s="154">
        <f>IF(U581&gt;0,Ruimtestaat[[#This Row],[Prest. (m2 /jaar) werkdagen]]/Ruimtestaat[[#This Row],[Norm (m2/uur) werkdagen]],0)</f>
        <v>0</v>
      </c>
      <c r="X581" s="155">
        <f>Ruimtestaat[[#This Row],[uren / jaar werkdagen]]*Tariefsopbouw!$E$35</f>
        <v>0</v>
      </c>
      <c r="Y581" s="33"/>
      <c r="Z581" s="33">
        <f>IF(Ruimtestaat[[#This Row],[Frequentie weekend]]&gt;0,VALUE(LEFT(Y581,1))*R581,0)</f>
        <v>0</v>
      </c>
      <c r="AA581" s="97">
        <f>IF($Z581&gt;0,VLOOKUP($J581,Ruimtegroepen[],3,FALSE)*VLOOKUP($L581,Vloersoorten[],3,FALSE)*VLOOKUP($Y581,Frequenties[],3,FALSE)*VLOOKUP(Ruimtestaat[[#This Row],[Code]],Locaties[],3,FALSE),0)</f>
        <v>0</v>
      </c>
      <c r="AB581" s="97">
        <f>Ruimtestaat[[#This Row],[Uitvoeringen weekend]]*Ruimtestaat[[#This Row],[Oppervlak (netto)]]</f>
        <v>0</v>
      </c>
      <c r="AC581" s="97">
        <f>IF(AA581&gt;0,Ruimtestaat[[#This Row],[Prest. (m2 /jaar) weekend]]/Ruimtestaat[[#This Row],[Norm (m2/uur) weekend]],0)</f>
        <v>0</v>
      </c>
      <c r="AD581" s="155">
        <f>Ruimtestaat[[#This Row],[uren / jaar weekend]]*Tariefsopbouw!$D$40</f>
        <v>0</v>
      </c>
      <c r="AE581" s="154">
        <f>Ruimtestaat[[#This Row],[Prest. (m2 /jaar) weekend]]+Ruimtestaat[[#This Row],[Prest. (m2 /jaar) werkdagen]]</f>
        <v>96</v>
      </c>
      <c r="AF581" s="154">
        <f>Ruimtestaat[[#This Row],[uren / jaar weekend]]+Ruimtestaat[[#This Row],[uren / jaar werkdagen]]</f>
        <v>0</v>
      </c>
      <c r="AG581" s="69">
        <f>Ruimtestaat[[#This Row],[kosten / jaar weekend]]+Ruimtestaat[[#This Row],[kosten / jaar werkdagen]]</f>
        <v>0</v>
      </c>
      <c r="AH581" s="69"/>
      <c r="AI581" s="256" t="str">
        <f>IF(Ruimtestaat[[#This Row],[Frequentie werkdagen]]="","",_xlfn.CONCAT(Ruimtestaat[[#This Row],[Ruimte code]],"-",Ruimtestaat[[#This Row],[Frequentie werkdagen]]," ",Ruimtestaat[[#This Row],[Vloer code]]))</f>
        <v>1-1m L</v>
      </c>
      <c r="AJ581" s="300" t="str">
        <f>_xlfn.IFNA(VLOOKUP($AI581,Programma!$F$3:$G$1107,2,0),"")</f>
        <v>_</v>
      </c>
      <c r="AK581" s="300" t="str">
        <f>_xlfn.IFNA(VLOOKUP($AI581,Programma!$F$3:$H$1107,3,0),"")</f>
        <v>_</v>
      </c>
      <c r="AL581" s="300" t="str">
        <f>_xlfn.IFNA(VLOOKUP($AI581,Programma!$F$3:$I$1107,4,0),"")</f>
        <v>1m</v>
      </c>
      <c r="AM581" s="300" t="str">
        <f>_xlfn.IFNA(VLOOKUP($AI581,Programma!$F$3:$J$1107,5,0),"")</f>
        <v>1m</v>
      </c>
      <c r="AN581" s="300" t="str">
        <f>_xlfn.IFNA(VLOOKUP($AI581,Programma!$F$3:$K$1107,6,0),"")</f>
        <v>_</v>
      </c>
      <c r="AO581" s="300" t="str">
        <f>_xlfn.IFNA(VLOOKUP($AI581,Programma!$F$3:$L$1107,7,0),"")</f>
        <v>_</v>
      </c>
      <c r="AP581" s="300" t="str">
        <f>_xlfn.IFNA(VLOOKUP($AI581,Programma!$F$3:$M$1107,8,0),"")</f>
        <v>_</v>
      </c>
      <c r="AQ581" s="300" t="str">
        <f>_xlfn.IFNA(VLOOKUP($AI581,Programma!$F$3:$N$1107,9,0),"")</f>
        <v>_</v>
      </c>
      <c r="AR581" s="300" t="str">
        <f>_xlfn.IFNA(VLOOKUP($AI581,Programma!$F$3:$O$1107,10,0),"")</f>
        <v>_</v>
      </c>
      <c r="AS581" s="300" t="str">
        <f>_xlfn.IFNA(VLOOKUP($AI581,Programma!$F$3:$P$1107,11,0),"")</f>
        <v>_</v>
      </c>
      <c r="AT581" s="300" t="str">
        <f>_xlfn.IFNA(VLOOKUP($AI581,Programma!$F$3:$Q$1107,12,0),"")</f>
        <v>_</v>
      </c>
      <c r="AU581" s="300" t="str">
        <f>_xlfn.IFNA(VLOOKUP($AI581,Programma!$F$3:$R$1107,13,0),"")</f>
        <v>_</v>
      </c>
      <c r="AV581" s="300" t="str">
        <f>_xlfn.IFNA(VLOOKUP($AI581,Programma!$F$3:$S$1107,14,0),"")</f>
        <v>1m</v>
      </c>
      <c r="AW581" s="300" t="str">
        <f>_xlfn.IFNA(VLOOKUP($AI581,Programma!$F$3:$T$1107,15,0),"")</f>
        <v>4j</v>
      </c>
      <c r="AX581" s="300" t="str">
        <f>_xlfn.IFNA(VLOOKUP($AI581,Programma!$F$3:$U$1107,16,0),"")</f>
        <v>4j</v>
      </c>
      <c r="AY581" s="300" t="str">
        <f>_xlfn.IFNA(VLOOKUP($AI581,Programma!$F$3:$V$1107,17,0),"")</f>
        <v>_</v>
      </c>
      <c r="AZ581" s="300" t="str">
        <f>_xlfn.IFNA(VLOOKUP($AI581,Programma!$F$3:$W$1107,18,0),"")</f>
        <v>_</v>
      </c>
      <c r="BA581" s="300" t="str">
        <f>_xlfn.IFNA(VLOOKUP($AI581,Programma!$F$3:$X$1107,19,0),"")</f>
        <v>_</v>
      </c>
      <c r="BB581" s="300" t="str">
        <f>_xlfn.IFNA(VLOOKUP($AI581,Programma!$F$3:$Y$1107,20,0),"")</f>
        <v>_</v>
      </c>
      <c r="BC581" s="257"/>
      <c r="BD581" s="256" t="str">
        <f>IF(Ruimtestaat[[#This Row],[Frequentie weekend]]="","",_xlfn.CONCAT(Ruimtestaat[[#This Row],[Ruimte code]],"-",Ruimtestaat[[#This Row],[Frequentie weekend]]," ",Ruimtestaat[[#This Row],[Vloer code]]))</f>
        <v/>
      </c>
      <c r="BE581" s="300" t="str">
        <f>_xlfn.IFNA(VLOOKUP($BD581,Programma!$F$3:$G$1107,2,0),"")</f>
        <v/>
      </c>
      <c r="BF581" s="300" t="str">
        <f>_xlfn.IFNA(VLOOKUP($BD581,Programma!$F$3:$H$1107,3,0),"")</f>
        <v/>
      </c>
      <c r="BG581" s="300" t="str">
        <f>_xlfn.IFNA(VLOOKUP($BD581,Programma!$F$3:$I$1107,4,0),"")</f>
        <v/>
      </c>
      <c r="BH581" s="300" t="str">
        <f>_xlfn.IFNA(VLOOKUP($BD581,Programma!$F$3:$J$1107,5,0),"")</f>
        <v/>
      </c>
      <c r="BI581" s="300" t="str">
        <f>_xlfn.IFNA(VLOOKUP($BD581,Programma!$F$3:$K$1107,6,0),"")</f>
        <v/>
      </c>
      <c r="BJ581" s="300" t="str">
        <f>_xlfn.IFNA(VLOOKUP($BD581,Programma!$F$3:$L$1107,7,0),"")</f>
        <v/>
      </c>
      <c r="BK581" s="300" t="str">
        <f>_xlfn.IFNA(VLOOKUP($BD581,Programma!$F$3:$M$1107,8,0),"")</f>
        <v/>
      </c>
      <c r="BL581" s="300" t="str">
        <f>_xlfn.IFNA(VLOOKUP($BD581,Programma!$F$3:$N$1107,9,0),"")</f>
        <v/>
      </c>
      <c r="BM581" s="300" t="str">
        <f>_xlfn.IFNA(VLOOKUP($BD581,Programma!$F$3:$O$1107,10,0),"")</f>
        <v/>
      </c>
      <c r="BN581" s="300" t="str">
        <f>_xlfn.IFNA(VLOOKUP($BD581,Programma!$F$3:$P$1107,11,0),"")</f>
        <v/>
      </c>
      <c r="BO581" s="300" t="str">
        <f>_xlfn.IFNA(VLOOKUP($BD581,Programma!$F$3:$Q$1107,12,0),"")</f>
        <v/>
      </c>
      <c r="BP581" s="300" t="str">
        <f>_xlfn.IFNA(VLOOKUP($BD581,Programma!$F$3:$R$1107,13,0),"")</f>
        <v/>
      </c>
      <c r="BQ581" s="300" t="str">
        <f>_xlfn.IFNA(VLOOKUP($BD581,Programma!$F$3:$S$1107,14,0),"")</f>
        <v/>
      </c>
      <c r="BR581" s="300" t="str">
        <f>_xlfn.IFNA(VLOOKUP($BD581,Programma!$F$3:$T$1107,15,0),"")</f>
        <v/>
      </c>
      <c r="BS581" s="300" t="str">
        <f>_xlfn.IFNA(VLOOKUP($BD581,Programma!$F$3:$U$1107,16,0),"")</f>
        <v/>
      </c>
      <c r="BT581" s="300" t="str">
        <f>_xlfn.IFNA(VLOOKUP($BD581,Programma!$F$3:$V$1107,17,0),"")</f>
        <v/>
      </c>
      <c r="BU581" s="300" t="str">
        <f>_xlfn.IFNA(VLOOKUP($BD581,Programma!$F$3:$W$1107,18,0),"")</f>
        <v/>
      </c>
      <c r="BV581" s="300" t="str">
        <f>_xlfn.IFNA(VLOOKUP($BD581,Programma!$F$3:$X$1107,19,0),"")</f>
        <v/>
      </c>
      <c r="BW581" s="300" t="str">
        <f>_xlfn.IFNA(VLOOKUP($BD581,Programma!$F$3:$Y$1107,20,0),"")</f>
        <v/>
      </c>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c r="GK581" s="4"/>
      <c r="GL581" s="4"/>
      <c r="GM581" s="4"/>
      <c r="GN581" s="4"/>
      <c r="GO581" s="4"/>
      <c r="GP581" s="4"/>
      <c r="GQ581" s="4"/>
      <c r="GR581" s="4"/>
      <c r="GS581" s="4"/>
      <c r="GT581" s="4"/>
      <c r="GU581" s="4"/>
      <c r="GV581" s="4"/>
      <c r="GW581" s="4"/>
      <c r="GX581" s="4"/>
      <c r="GY581" s="4"/>
      <c r="GZ581" s="4"/>
      <c r="HA581" s="4"/>
      <c r="HB581" s="4"/>
      <c r="HC581" s="4"/>
      <c r="HD581" s="4"/>
      <c r="HE581" s="4"/>
      <c r="HF581" s="4"/>
      <c r="HG581" s="4"/>
      <c r="HH581" s="4"/>
      <c r="HI581" s="4"/>
      <c r="HJ581" s="4"/>
      <c r="HK581" s="4"/>
      <c r="HL581" s="4"/>
    </row>
    <row r="582" spans="1:220" ht="15" customHeight="1">
      <c r="A582" s="21">
        <v>7</v>
      </c>
      <c r="B582" s="157" t="str">
        <f>VLOOKUP(Ruimtestaat[[#This Row],[Code]],Locaties[[Code]:[Locatie]],2,FALSE)</f>
        <v>Gymnasium Novum</v>
      </c>
      <c r="C582" s="157" t="str">
        <f>VLOOKUP(Ruimtestaat[[#This Row],[Code]],Locaties[[#All],[Code]:[Adres]],4,FALSE)</f>
        <v>Aart v.d. Leeuwkade 1</v>
      </c>
      <c r="D582" s="157" t="str">
        <f>VLOOKUP(Ruimtestaat[[#This Row],[Code]],Locaties[[#All],[Code]:[Postcode]],5,FALSE)</f>
        <v>2274 KX</v>
      </c>
      <c r="E582" s="157" t="str">
        <f>VLOOKUP(Ruimtestaat[[#This Row],[Code]],Locaties[#All],6,FALSE)</f>
        <v>Voorburg</v>
      </c>
      <c r="F582" s="62"/>
      <c r="G582" s="21" t="s">
        <v>1632</v>
      </c>
      <c r="H582" s="21">
        <v>36</v>
      </c>
      <c r="I582" s="62" t="s">
        <v>1702</v>
      </c>
      <c r="J582" s="21">
        <v>16</v>
      </c>
      <c r="K582" s="62" t="str">
        <f>VLOOKUP(Ruimtestaat[[#This Row],[Ruimte code]],Ruimtegroepen[[#All],[Code]:[Ruimte omschrijving]],2,FALSE)</f>
        <v>Leslokalen theorie</v>
      </c>
      <c r="L582" s="33" t="s">
        <v>101</v>
      </c>
      <c r="M582" s="367" t="s">
        <v>2495</v>
      </c>
      <c r="N582" s="140">
        <v>52</v>
      </c>
      <c r="O582" s="140"/>
      <c r="P582" s="125" t="str">
        <f>VLOOKUP(Ruimtestaat[[#This Row],[Ruimte code]],Ruimtegroepen[],4,FALSE)</f>
        <v>Le</v>
      </c>
      <c r="R582" s="33">
        <v>40</v>
      </c>
      <c r="S582" s="33" t="s">
        <v>2</v>
      </c>
      <c r="T582" s="33">
        <f>IF(R582&gt;0,IF(RIGHT(Ruimtestaat[[#This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82" s="33">
        <f>IF(T582&gt;0,VLOOKUP($J582,Ruimtegroepen[],3,FALSE)*VLOOKUP($L582,Vloersoorten[],3,FALSE)*VLOOKUP($S582,Frequenties[],3,FALSE)*VLOOKUP($A582,Locaties[],3,FALSE),0)</f>
        <v>0</v>
      </c>
      <c r="V582" s="33">
        <f>Ruimtestaat[[#This Row],[Uitvoeringen werkdagen]]*Ruimtestaat[[#This Row],[Oppervlak (netto)]]</f>
        <v>10400</v>
      </c>
      <c r="W582" s="154">
        <f>IF(U582&gt;0,Ruimtestaat[[#This Row],[Prest. (m2 /jaar) werkdagen]]/Ruimtestaat[[#This Row],[Norm (m2/uur) werkdagen]],0)</f>
        <v>0</v>
      </c>
      <c r="X582" s="155">
        <f>Ruimtestaat[[#This Row],[uren / jaar werkdagen]]*Tariefsopbouw!$E$35</f>
        <v>0</v>
      </c>
      <c r="Y582" s="33"/>
      <c r="Z582" s="33">
        <f>IF(Ruimtestaat[[#This Row],[Frequentie weekend]]&gt;0,VALUE(LEFT(Y582,1))*R582,0)</f>
        <v>0</v>
      </c>
      <c r="AA582" s="97">
        <f>IF($Z582&gt;0,VLOOKUP($J582,Ruimtegroepen[],3,FALSE)*VLOOKUP($L582,Vloersoorten[],3,FALSE)*VLOOKUP($Y582,Frequenties[],3,FALSE)*VLOOKUP(Ruimtestaat[[#This Row],[Code]],Locaties[],3,FALSE),0)</f>
        <v>0</v>
      </c>
      <c r="AB582" s="97">
        <f>Ruimtestaat[[#This Row],[Uitvoeringen weekend]]*Ruimtestaat[[#This Row],[Oppervlak (netto)]]</f>
        <v>0</v>
      </c>
      <c r="AC582" s="97">
        <f>IF(AA582&gt;0,Ruimtestaat[[#This Row],[Prest. (m2 /jaar) weekend]]/Ruimtestaat[[#This Row],[Norm (m2/uur) weekend]],0)</f>
        <v>0</v>
      </c>
      <c r="AD582" s="155">
        <f>Ruimtestaat[[#This Row],[uren / jaar weekend]]*Tariefsopbouw!$D$40</f>
        <v>0</v>
      </c>
      <c r="AE582" s="154">
        <f>Ruimtestaat[[#This Row],[Prest. (m2 /jaar) weekend]]+Ruimtestaat[[#This Row],[Prest. (m2 /jaar) werkdagen]]</f>
        <v>10400</v>
      </c>
      <c r="AF582" s="154">
        <f>Ruimtestaat[[#This Row],[uren / jaar weekend]]+Ruimtestaat[[#This Row],[uren / jaar werkdagen]]</f>
        <v>0</v>
      </c>
      <c r="AG582" s="69">
        <f>Ruimtestaat[[#This Row],[kosten / jaar weekend]]+Ruimtestaat[[#This Row],[kosten / jaar werkdagen]]</f>
        <v>0</v>
      </c>
      <c r="AH582" s="69"/>
      <c r="AI582" s="256" t="str">
        <f>IF(Ruimtestaat[[#This Row],[Frequentie werkdagen]]="","",_xlfn.CONCAT(Ruimtestaat[[#This Row],[Ruimte code]],"-",Ruimtestaat[[#This Row],[Frequentie werkdagen]]," ",Ruimtestaat[[#This Row],[Vloer code]]))</f>
        <v>16-5w L</v>
      </c>
      <c r="AJ582" s="300" t="str">
        <f>_xlfn.IFNA(VLOOKUP($AI582,Programma!$F$3:$G$1107,2,0),"")</f>
        <v>_</v>
      </c>
      <c r="AK582" s="300" t="str">
        <f>_xlfn.IFNA(VLOOKUP($AI582,Programma!$F$3:$H$1107,3,0),"")</f>
        <v>_</v>
      </c>
      <c r="AL582" s="300" t="str">
        <f>_xlfn.IFNA(VLOOKUP($AI582,Programma!$F$3:$I$1107,4,0),"")</f>
        <v>4w</v>
      </c>
      <c r="AM582" s="300" t="str">
        <f>_xlfn.IFNA(VLOOKUP($AI582,Programma!$F$3:$J$1107,5,0),"")</f>
        <v>1w</v>
      </c>
      <c r="AN582" s="300" t="str">
        <f>_xlfn.IFNA(VLOOKUP($AI582,Programma!$F$3:$K$1107,6,0),"")</f>
        <v>_</v>
      </c>
      <c r="AO582" s="300" t="str">
        <f>_xlfn.IFNA(VLOOKUP($AI582,Programma!$F$3:$L$1107,7,0),"")</f>
        <v>_</v>
      </c>
      <c r="AP582" s="300" t="str">
        <f>_xlfn.IFNA(VLOOKUP($AI582,Programma!$F$3:$M$1107,8,0),"")</f>
        <v>_</v>
      </c>
      <c r="AQ582" s="300" t="str">
        <f>_xlfn.IFNA(VLOOKUP($AI582,Programma!$F$3:$N$1107,9,0),"")</f>
        <v>_</v>
      </c>
      <c r="AR582" s="300" t="str">
        <f>_xlfn.IFNA(VLOOKUP($AI582,Programma!$F$3:$O$1107,10,0),"")</f>
        <v>5w</v>
      </c>
      <c r="AS582" s="300" t="str">
        <f>_xlfn.IFNA(VLOOKUP($AI582,Programma!$F$3:$P$1107,11,0),"")</f>
        <v>5w</v>
      </c>
      <c r="AT582" s="300" t="str">
        <f>_xlfn.IFNA(VLOOKUP($AI582,Programma!$F$3:$Q$1107,12,0),"")</f>
        <v>1w</v>
      </c>
      <c r="AU582" s="300" t="str">
        <f>_xlfn.IFNA(VLOOKUP($AI582,Programma!$F$3:$R$1107,13,0),"")</f>
        <v>1w</v>
      </c>
      <c r="AV582" s="300" t="str">
        <f>_xlfn.IFNA(VLOOKUP($AI582,Programma!$F$3:$S$1107,14,0),"")</f>
        <v>1m</v>
      </c>
      <c r="AW582" s="300" t="str">
        <f>_xlfn.IFNA(VLOOKUP($AI582,Programma!$F$3:$T$1107,15,0),"")</f>
        <v>2j</v>
      </c>
      <c r="AX582" s="300" t="str">
        <f>_xlfn.IFNA(VLOOKUP($AI582,Programma!$F$3:$U$1107,16,0),"")</f>
        <v>1j</v>
      </c>
      <c r="AY582" s="300" t="str">
        <f>_xlfn.IFNA(VLOOKUP($AI582,Programma!$F$3:$V$1107,17,0),"")</f>
        <v>_</v>
      </c>
      <c r="AZ582" s="300" t="str">
        <f>_xlfn.IFNA(VLOOKUP($AI582,Programma!$F$3:$W$1107,18,0),"")</f>
        <v>_</v>
      </c>
      <c r="BA582" s="300" t="str">
        <f>_xlfn.IFNA(VLOOKUP($AI582,Programma!$F$3:$X$1107,19,0),"")</f>
        <v>_</v>
      </c>
      <c r="BB582" s="300" t="str">
        <f>_xlfn.IFNA(VLOOKUP($AI582,Programma!$F$3:$Y$1107,20,0),"")</f>
        <v>_</v>
      </c>
      <c r="BC582" s="257"/>
      <c r="BD582" s="256" t="str">
        <f>IF(Ruimtestaat[[#This Row],[Frequentie weekend]]="","",_xlfn.CONCAT(Ruimtestaat[[#This Row],[Ruimte code]],"-",Ruimtestaat[[#This Row],[Frequentie weekend]]," ",Ruimtestaat[[#This Row],[Vloer code]]))</f>
        <v/>
      </c>
      <c r="BE582" s="300" t="str">
        <f>_xlfn.IFNA(VLOOKUP($BD582,Programma!$F$3:$G$1107,2,0),"")</f>
        <v/>
      </c>
      <c r="BF582" s="300" t="str">
        <f>_xlfn.IFNA(VLOOKUP($BD582,Programma!$F$3:$H$1107,3,0),"")</f>
        <v/>
      </c>
      <c r="BG582" s="300" t="str">
        <f>_xlfn.IFNA(VLOOKUP($BD582,Programma!$F$3:$I$1107,4,0),"")</f>
        <v/>
      </c>
      <c r="BH582" s="300" t="str">
        <f>_xlfn.IFNA(VLOOKUP($BD582,Programma!$F$3:$J$1107,5,0),"")</f>
        <v/>
      </c>
      <c r="BI582" s="300" t="str">
        <f>_xlfn.IFNA(VLOOKUP($BD582,Programma!$F$3:$K$1107,6,0),"")</f>
        <v/>
      </c>
      <c r="BJ582" s="300" t="str">
        <f>_xlfn.IFNA(VLOOKUP($BD582,Programma!$F$3:$L$1107,7,0),"")</f>
        <v/>
      </c>
      <c r="BK582" s="300" t="str">
        <f>_xlfn.IFNA(VLOOKUP($BD582,Programma!$F$3:$M$1107,8,0),"")</f>
        <v/>
      </c>
      <c r="BL582" s="300" t="str">
        <f>_xlfn.IFNA(VLOOKUP($BD582,Programma!$F$3:$N$1107,9,0),"")</f>
        <v/>
      </c>
      <c r="BM582" s="300" t="str">
        <f>_xlfn.IFNA(VLOOKUP($BD582,Programma!$F$3:$O$1107,10,0),"")</f>
        <v/>
      </c>
      <c r="BN582" s="300" t="str">
        <f>_xlfn.IFNA(VLOOKUP($BD582,Programma!$F$3:$P$1107,11,0),"")</f>
        <v/>
      </c>
      <c r="BO582" s="300" t="str">
        <f>_xlfn.IFNA(VLOOKUP($BD582,Programma!$F$3:$Q$1107,12,0),"")</f>
        <v/>
      </c>
      <c r="BP582" s="300" t="str">
        <f>_xlfn.IFNA(VLOOKUP($BD582,Programma!$F$3:$R$1107,13,0),"")</f>
        <v/>
      </c>
      <c r="BQ582" s="300" t="str">
        <f>_xlfn.IFNA(VLOOKUP($BD582,Programma!$F$3:$S$1107,14,0),"")</f>
        <v/>
      </c>
      <c r="BR582" s="300" t="str">
        <f>_xlfn.IFNA(VLOOKUP($BD582,Programma!$F$3:$T$1107,15,0),"")</f>
        <v/>
      </c>
      <c r="BS582" s="300" t="str">
        <f>_xlfn.IFNA(VLOOKUP($BD582,Programma!$F$3:$U$1107,16,0),"")</f>
        <v/>
      </c>
      <c r="BT582" s="300" t="str">
        <f>_xlfn.IFNA(VLOOKUP($BD582,Programma!$F$3:$V$1107,17,0),"")</f>
        <v/>
      </c>
      <c r="BU582" s="300" t="str">
        <f>_xlfn.IFNA(VLOOKUP($BD582,Programma!$F$3:$W$1107,18,0),"")</f>
        <v/>
      </c>
      <c r="BV582" s="300" t="str">
        <f>_xlfn.IFNA(VLOOKUP($BD582,Programma!$F$3:$X$1107,19,0),"")</f>
        <v/>
      </c>
      <c r="BW582" s="300" t="str">
        <f>_xlfn.IFNA(VLOOKUP($BD582,Programma!$F$3:$Y$1107,20,0),"")</f>
        <v/>
      </c>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c r="GK582" s="4"/>
      <c r="GL582" s="4"/>
      <c r="GM582" s="4"/>
      <c r="GN582" s="4"/>
      <c r="GO582" s="4"/>
      <c r="GP582" s="4"/>
      <c r="GQ582" s="4"/>
      <c r="GR582" s="4"/>
      <c r="GS582" s="4"/>
      <c r="GT582" s="4"/>
      <c r="GU582" s="4"/>
      <c r="GV582" s="4"/>
      <c r="GW582" s="4"/>
      <c r="GX582" s="4"/>
      <c r="GY582" s="4"/>
      <c r="GZ582" s="4"/>
      <c r="HA582" s="4"/>
      <c r="HB582" s="4"/>
      <c r="HC582" s="4"/>
      <c r="HD582" s="4"/>
      <c r="HE582" s="4"/>
      <c r="HF582" s="4"/>
      <c r="HG582" s="4"/>
      <c r="HH582" s="4"/>
      <c r="HI582" s="4"/>
      <c r="HJ582" s="4"/>
      <c r="HK582" s="4"/>
      <c r="HL582" s="4"/>
    </row>
    <row r="583" spans="1:220" ht="15" customHeight="1">
      <c r="A583" s="21">
        <v>7</v>
      </c>
      <c r="B583" s="157" t="str">
        <f>VLOOKUP(Ruimtestaat[[#This Row],[Code]],Locaties[[Code]:[Locatie]],2,FALSE)</f>
        <v>Gymnasium Novum</v>
      </c>
      <c r="C583" s="157" t="str">
        <f>VLOOKUP(Ruimtestaat[[#This Row],[Code]],Locaties[[#All],[Code]:[Adres]],4,FALSE)</f>
        <v>Aart v.d. Leeuwkade 1</v>
      </c>
      <c r="D583" s="157" t="str">
        <f>VLOOKUP(Ruimtestaat[[#This Row],[Code]],Locaties[[#All],[Code]:[Postcode]],5,FALSE)</f>
        <v>2274 KX</v>
      </c>
      <c r="E583" s="157" t="str">
        <f>VLOOKUP(Ruimtestaat[[#This Row],[Code]],Locaties[#All],6,FALSE)</f>
        <v>Voorburg</v>
      </c>
      <c r="F583" s="62"/>
      <c r="G583" s="21" t="s">
        <v>1632</v>
      </c>
      <c r="H583" s="21">
        <v>37</v>
      </c>
      <c r="I583" s="62" t="s">
        <v>1702</v>
      </c>
      <c r="J583" s="21">
        <v>16</v>
      </c>
      <c r="K583" s="62" t="str">
        <f>VLOOKUP(Ruimtestaat[[#This Row],[Ruimte code]],Ruimtegroepen[[#All],[Code]:[Ruimte omschrijving]],2,FALSE)</f>
        <v>Leslokalen theorie</v>
      </c>
      <c r="L583" s="33" t="s">
        <v>101</v>
      </c>
      <c r="M583" s="367" t="s">
        <v>2495</v>
      </c>
      <c r="N583" s="140">
        <v>52</v>
      </c>
      <c r="O583" s="140"/>
      <c r="P583" s="125" t="str">
        <f>VLOOKUP(Ruimtestaat[[#This Row],[Ruimte code]],Ruimtegroepen[],4,FALSE)</f>
        <v>Le</v>
      </c>
      <c r="R583" s="33">
        <v>40</v>
      </c>
      <c r="S583" s="33" t="s">
        <v>2</v>
      </c>
      <c r="T583" s="33">
        <f>IF(R583&gt;0,IF(RIGHT(Ruimtestaat[[#This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83" s="33">
        <f>IF(T583&gt;0,VLOOKUP($J583,Ruimtegroepen[],3,FALSE)*VLOOKUP($L583,Vloersoorten[],3,FALSE)*VLOOKUP($S583,Frequenties[],3,FALSE)*VLOOKUP($A583,Locaties[],3,FALSE),0)</f>
        <v>0</v>
      </c>
      <c r="V583" s="33">
        <f>Ruimtestaat[[#This Row],[Uitvoeringen werkdagen]]*Ruimtestaat[[#This Row],[Oppervlak (netto)]]</f>
        <v>10400</v>
      </c>
      <c r="W583" s="154">
        <f>IF(U583&gt;0,Ruimtestaat[[#This Row],[Prest. (m2 /jaar) werkdagen]]/Ruimtestaat[[#This Row],[Norm (m2/uur) werkdagen]],0)</f>
        <v>0</v>
      </c>
      <c r="X583" s="155">
        <f>Ruimtestaat[[#This Row],[uren / jaar werkdagen]]*Tariefsopbouw!$E$35</f>
        <v>0</v>
      </c>
      <c r="Y583" s="33"/>
      <c r="Z583" s="33">
        <f>IF(Ruimtestaat[[#This Row],[Frequentie weekend]]&gt;0,VALUE(LEFT(Y583,1))*R583,0)</f>
        <v>0</v>
      </c>
      <c r="AA583" s="97">
        <f>IF($Z583&gt;0,VLOOKUP($J583,Ruimtegroepen[],3,FALSE)*VLOOKUP($L583,Vloersoorten[],3,FALSE)*VLOOKUP($Y583,Frequenties[],3,FALSE)*VLOOKUP(Ruimtestaat[[#This Row],[Code]],Locaties[],3,FALSE),0)</f>
        <v>0</v>
      </c>
      <c r="AB583" s="97">
        <f>Ruimtestaat[[#This Row],[Uitvoeringen weekend]]*Ruimtestaat[[#This Row],[Oppervlak (netto)]]</f>
        <v>0</v>
      </c>
      <c r="AC583" s="97">
        <f>IF(AA583&gt;0,Ruimtestaat[[#This Row],[Prest. (m2 /jaar) weekend]]/Ruimtestaat[[#This Row],[Norm (m2/uur) weekend]],0)</f>
        <v>0</v>
      </c>
      <c r="AD583" s="155">
        <f>Ruimtestaat[[#This Row],[uren / jaar weekend]]*Tariefsopbouw!$D$40</f>
        <v>0</v>
      </c>
      <c r="AE583" s="154">
        <f>Ruimtestaat[[#This Row],[Prest. (m2 /jaar) weekend]]+Ruimtestaat[[#This Row],[Prest. (m2 /jaar) werkdagen]]</f>
        <v>10400</v>
      </c>
      <c r="AF583" s="154">
        <f>Ruimtestaat[[#This Row],[uren / jaar weekend]]+Ruimtestaat[[#This Row],[uren / jaar werkdagen]]</f>
        <v>0</v>
      </c>
      <c r="AG583" s="69">
        <f>Ruimtestaat[[#This Row],[kosten / jaar weekend]]+Ruimtestaat[[#This Row],[kosten / jaar werkdagen]]</f>
        <v>0</v>
      </c>
      <c r="AH583" s="69"/>
      <c r="AI583" s="256" t="str">
        <f>IF(Ruimtestaat[[#This Row],[Frequentie werkdagen]]="","",_xlfn.CONCAT(Ruimtestaat[[#This Row],[Ruimte code]],"-",Ruimtestaat[[#This Row],[Frequentie werkdagen]]," ",Ruimtestaat[[#This Row],[Vloer code]]))</f>
        <v>16-5w L</v>
      </c>
      <c r="AJ583" s="300" t="str">
        <f>_xlfn.IFNA(VLOOKUP($AI583,Programma!$F$3:$G$1107,2,0),"")</f>
        <v>_</v>
      </c>
      <c r="AK583" s="300" t="str">
        <f>_xlfn.IFNA(VLOOKUP($AI583,Programma!$F$3:$H$1107,3,0),"")</f>
        <v>_</v>
      </c>
      <c r="AL583" s="300" t="str">
        <f>_xlfn.IFNA(VLOOKUP($AI583,Programma!$F$3:$I$1107,4,0),"")</f>
        <v>4w</v>
      </c>
      <c r="AM583" s="300" t="str">
        <f>_xlfn.IFNA(VLOOKUP($AI583,Programma!$F$3:$J$1107,5,0),"")</f>
        <v>1w</v>
      </c>
      <c r="AN583" s="300" t="str">
        <f>_xlfn.IFNA(VLOOKUP($AI583,Programma!$F$3:$K$1107,6,0),"")</f>
        <v>_</v>
      </c>
      <c r="AO583" s="300" t="str">
        <f>_xlfn.IFNA(VLOOKUP($AI583,Programma!$F$3:$L$1107,7,0),"")</f>
        <v>_</v>
      </c>
      <c r="AP583" s="300" t="str">
        <f>_xlfn.IFNA(VLOOKUP($AI583,Programma!$F$3:$M$1107,8,0),"")</f>
        <v>_</v>
      </c>
      <c r="AQ583" s="300" t="str">
        <f>_xlfn.IFNA(VLOOKUP($AI583,Programma!$F$3:$N$1107,9,0),"")</f>
        <v>_</v>
      </c>
      <c r="AR583" s="300" t="str">
        <f>_xlfn.IFNA(VLOOKUP($AI583,Programma!$F$3:$O$1107,10,0),"")</f>
        <v>5w</v>
      </c>
      <c r="AS583" s="300" t="str">
        <f>_xlfn.IFNA(VLOOKUP($AI583,Programma!$F$3:$P$1107,11,0),"")</f>
        <v>5w</v>
      </c>
      <c r="AT583" s="300" t="str">
        <f>_xlfn.IFNA(VLOOKUP($AI583,Programma!$F$3:$Q$1107,12,0),"")</f>
        <v>1w</v>
      </c>
      <c r="AU583" s="300" t="str">
        <f>_xlfn.IFNA(VLOOKUP($AI583,Programma!$F$3:$R$1107,13,0),"")</f>
        <v>1w</v>
      </c>
      <c r="AV583" s="300" t="str">
        <f>_xlfn.IFNA(VLOOKUP($AI583,Programma!$F$3:$S$1107,14,0),"")</f>
        <v>1m</v>
      </c>
      <c r="AW583" s="300" t="str">
        <f>_xlfn.IFNA(VLOOKUP($AI583,Programma!$F$3:$T$1107,15,0),"")</f>
        <v>2j</v>
      </c>
      <c r="AX583" s="300" t="str">
        <f>_xlfn.IFNA(VLOOKUP($AI583,Programma!$F$3:$U$1107,16,0),"")</f>
        <v>1j</v>
      </c>
      <c r="AY583" s="300" t="str">
        <f>_xlfn.IFNA(VLOOKUP($AI583,Programma!$F$3:$V$1107,17,0),"")</f>
        <v>_</v>
      </c>
      <c r="AZ583" s="300" t="str">
        <f>_xlfn.IFNA(VLOOKUP($AI583,Programma!$F$3:$W$1107,18,0),"")</f>
        <v>_</v>
      </c>
      <c r="BA583" s="300" t="str">
        <f>_xlfn.IFNA(VLOOKUP($AI583,Programma!$F$3:$X$1107,19,0),"")</f>
        <v>_</v>
      </c>
      <c r="BB583" s="300" t="str">
        <f>_xlfn.IFNA(VLOOKUP($AI583,Programma!$F$3:$Y$1107,20,0),"")</f>
        <v>_</v>
      </c>
      <c r="BC583" s="257"/>
      <c r="BD583" s="256" t="str">
        <f>IF(Ruimtestaat[[#This Row],[Frequentie weekend]]="","",_xlfn.CONCAT(Ruimtestaat[[#This Row],[Ruimte code]],"-",Ruimtestaat[[#This Row],[Frequentie weekend]]," ",Ruimtestaat[[#This Row],[Vloer code]]))</f>
        <v/>
      </c>
      <c r="BE583" s="300" t="str">
        <f>_xlfn.IFNA(VLOOKUP($BD583,Programma!$F$3:$G$1107,2,0),"")</f>
        <v/>
      </c>
      <c r="BF583" s="300" t="str">
        <f>_xlfn.IFNA(VLOOKUP($BD583,Programma!$F$3:$H$1107,3,0),"")</f>
        <v/>
      </c>
      <c r="BG583" s="300" t="str">
        <f>_xlfn.IFNA(VLOOKUP($BD583,Programma!$F$3:$I$1107,4,0),"")</f>
        <v/>
      </c>
      <c r="BH583" s="300" t="str">
        <f>_xlfn.IFNA(VLOOKUP($BD583,Programma!$F$3:$J$1107,5,0),"")</f>
        <v/>
      </c>
      <c r="BI583" s="300" t="str">
        <f>_xlfn.IFNA(VLOOKUP($BD583,Programma!$F$3:$K$1107,6,0),"")</f>
        <v/>
      </c>
      <c r="BJ583" s="300" t="str">
        <f>_xlfn.IFNA(VLOOKUP($BD583,Programma!$F$3:$L$1107,7,0),"")</f>
        <v/>
      </c>
      <c r="BK583" s="300" t="str">
        <f>_xlfn.IFNA(VLOOKUP($BD583,Programma!$F$3:$M$1107,8,0),"")</f>
        <v/>
      </c>
      <c r="BL583" s="300" t="str">
        <f>_xlfn.IFNA(VLOOKUP($BD583,Programma!$F$3:$N$1107,9,0),"")</f>
        <v/>
      </c>
      <c r="BM583" s="300" t="str">
        <f>_xlfn.IFNA(VLOOKUP($BD583,Programma!$F$3:$O$1107,10,0),"")</f>
        <v/>
      </c>
      <c r="BN583" s="300" t="str">
        <f>_xlfn.IFNA(VLOOKUP($BD583,Programma!$F$3:$P$1107,11,0),"")</f>
        <v/>
      </c>
      <c r="BO583" s="300" t="str">
        <f>_xlfn.IFNA(VLOOKUP($BD583,Programma!$F$3:$Q$1107,12,0),"")</f>
        <v/>
      </c>
      <c r="BP583" s="300" t="str">
        <f>_xlfn.IFNA(VLOOKUP($BD583,Programma!$F$3:$R$1107,13,0),"")</f>
        <v/>
      </c>
      <c r="BQ583" s="300" t="str">
        <f>_xlfn.IFNA(VLOOKUP($BD583,Programma!$F$3:$S$1107,14,0),"")</f>
        <v/>
      </c>
      <c r="BR583" s="300" t="str">
        <f>_xlfn.IFNA(VLOOKUP($BD583,Programma!$F$3:$T$1107,15,0),"")</f>
        <v/>
      </c>
      <c r="BS583" s="300" t="str">
        <f>_xlfn.IFNA(VLOOKUP($BD583,Programma!$F$3:$U$1107,16,0),"")</f>
        <v/>
      </c>
      <c r="BT583" s="300" t="str">
        <f>_xlfn.IFNA(VLOOKUP($BD583,Programma!$F$3:$V$1107,17,0),"")</f>
        <v/>
      </c>
      <c r="BU583" s="300" t="str">
        <f>_xlfn.IFNA(VLOOKUP($BD583,Programma!$F$3:$W$1107,18,0),"")</f>
        <v/>
      </c>
      <c r="BV583" s="300" t="str">
        <f>_xlfn.IFNA(VLOOKUP($BD583,Programma!$F$3:$X$1107,19,0),"")</f>
        <v/>
      </c>
      <c r="BW583" s="300" t="str">
        <f>_xlfn.IFNA(VLOOKUP($BD583,Programma!$F$3:$Y$1107,20,0),"")</f>
        <v/>
      </c>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c r="GK583" s="4"/>
      <c r="GL583" s="4"/>
      <c r="GM583" s="4"/>
      <c r="GN583" s="4"/>
      <c r="GO583" s="4"/>
      <c r="GP583" s="4"/>
      <c r="GQ583" s="4"/>
      <c r="GR583" s="4"/>
      <c r="GS583" s="4"/>
      <c r="GT583" s="4"/>
      <c r="GU583" s="4"/>
      <c r="GV583" s="4"/>
      <c r="GW583" s="4"/>
      <c r="GX583" s="4"/>
      <c r="GY583" s="4"/>
      <c r="GZ583" s="4"/>
      <c r="HA583" s="4"/>
      <c r="HB583" s="4"/>
      <c r="HC583" s="4"/>
      <c r="HD583" s="4"/>
      <c r="HE583" s="4"/>
      <c r="HF583" s="4"/>
      <c r="HG583" s="4"/>
      <c r="HH583" s="4"/>
      <c r="HI583" s="4"/>
      <c r="HJ583" s="4"/>
      <c r="HK583" s="4"/>
      <c r="HL583" s="4"/>
    </row>
    <row r="584" spans="1:220" ht="15" customHeight="1">
      <c r="A584" s="21">
        <v>7</v>
      </c>
      <c r="B584" s="157" t="str">
        <f>VLOOKUP(Ruimtestaat[[#This Row],[Code]],Locaties[[Code]:[Locatie]],2,FALSE)</f>
        <v>Gymnasium Novum</v>
      </c>
      <c r="C584" s="157" t="str">
        <f>VLOOKUP(Ruimtestaat[[#This Row],[Code]],Locaties[[#All],[Code]:[Adres]],4,FALSE)</f>
        <v>Aart v.d. Leeuwkade 1</v>
      </c>
      <c r="D584" s="157" t="str">
        <f>VLOOKUP(Ruimtestaat[[#This Row],[Code]],Locaties[[#All],[Code]:[Postcode]],5,FALSE)</f>
        <v>2274 KX</v>
      </c>
      <c r="E584" s="157" t="str">
        <f>VLOOKUP(Ruimtestaat[[#This Row],[Code]],Locaties[#All],6,FALSE)</f>
        <v>Voorburg</v>
      </c>
      <c r="F584" s="62"/>
      <c r="G584" s="21" t="s">
        <v>1632</v>
      </c>
      <c r="H584" s="21">
        <v>38</v>
      </c>
      <c r="I584" s="62" t="s">
        <v>1702</v>
      </c>
      <c r="J584" s="21">
        <v>16</v>
      </c>
      <c r="K584" s="62" t="str">
        <f>VLOOKUP(Ruimtestaat[[#This Row],[Ruimte code]],Ruimtegroepen[[#All],[Code]:[Ruimte omschrijving]],2,FALSE)</f>
        <v>Leslokalen theorie</v>
      </c>
      <c r="L584" s="33" t="s">
        <v>101</v>
      </c>
      <c r="M584" s="367" t="s">
        <v>2495</v>
      </c>
      <c r="N584" s="140">
        <v>53</v>
      </c>
      <c r="O584" s="140"/>
      <c r="P584" s="125" t="str">
        <f>VLOOKUP(Ruimtestaat[[#This Row],[Ruimte code]],Ruimtegroepen[],4,FALSE)</f>
        <v>Le</v>
      </c>
      <c r="R584" s="33">
        <v>40</v>
      </c>
      <c r="S584" s="33" t="s">
        <v>2</v>
      </c>
      <c r="T584" s="33">
        <f>IF(R584&gt;0,IF(RIGHT(Ruimtestaat[[#This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84" s="33">
        <f>IF(T584&gt;0,VLOOKUP($J584,Ruimtegroepen[],3,FALSE)*VLOOKUP($L584,Vloersoorten[],3,FALSE)*VLOOKUP($S584,Frequenties[],3,FALSE)*VLOOKUP($A584,Locaties[],3,FALSE),0)</f>
        <v>0</v>
      </c>
      <c r="V584" s="33">
        <f>Ruimtestaat[[#This Row],[Uitvoeringen werkdagen]]*Ruimtestaat[[#This Row],[Oppervlak (netto)]]</f>
        <v>10600</v>
      </c>
      <c r="W584" s="154">
        <f>IF(U584&gt;0,Ruimtestaat[[#This Row],[Prest. (m2 /jaar) werkdagen]]/Ruimtestaat[[#This Row],[Norm (m2/uur) werkdagen]],0)</f>
        <v>0</v>
      </c>
      <c r="X584" s="155">
        <f>Ruimtestaat[[#This Row],[uren / jaar werkdagen]]*Tariefsopbouw!$E$35</f>
        <v>0</v>
      </c>
      <c r="Y584" s="33"/>
      <c r="Z584" s="33">
        <f>IF(Ruimtestaat[[#This Row],[Frequentie weekend]]&gt;0,VALUE(LEFT(Y584,1))*R584,0)</f>
        <v>0</v>
      </c>
      <c r="AA584" s="97">
        <f>IF($Z584&gt;0,VLOOKUP($J584,Ruimtegroepen[],3,FALSE)*VLOOKUP($L584,Vloersoorten[],3,FALSE)*VLOOKUP($Y584,Frequenties[],3,FALSE)*VLOOKUP(Ruimtestaat[[#This Row],[Code]],Locaties[],3,FALSE),0)</f>
        <v>0</v>
      </c>
      <c r="AB584" s="97">
        <f>Ruimtestaat[[#This Row],[Uitvoeringen weekend]]*Ruimtestaat[[#This Row],[Oppervlak (netto)]]</f>
        <v>0</v>
      </c>
      <c r="AC584" s="97">
        <f>IF(AA584&gt;0,Ruimtestaat[[#This Row],[Prest. (m2 /jaar) weekend]]/Ruimtestaat[[#This Row],[Norm (m2/uur) weekend]],0)</f>
        <v>0</v>
      </c>
      <c r="AD584" s="155">
        <f>Ruimtestaat[[#This Row],[uren / jaar weekend]]*Tariefsopbouw!$D$40</f>
        <v>0</v>
      </c>
      <c r="AE584" s="154">
        <f>Ruimtestaat[[#This Row],[Prest. (m2 /jaar) weekend]]+Ruimtestaat[[#This Row],[Prest. (m2 /jaar) werkdagen]]</f>
        <v>10600</v>
      </c>
      <c r="AF584" s="154">
        <f>Ruimtestaat[[#This Row],[uren / jaar weekend]]+Ruimtestaat[[#This Row],[uren / jaar werkdagen]]</f>
        <v>0</v>
      </c>
      <c r="AG584" s="69">
        <f>Ruimtestaat[[#This Row],[kosten / jaar weekend]]+Ruimtestaat[[#This Row],[kosten / jaar werkdagen]]</f>
        <v>0</v>
      </c>
      <c r="AH584" s="69"/>
      <c r="AI584" s="256" t="str">
        <f>IF(Ruimtestaat[[#This Row],[Frequentie werkdagen]]="","",_xlfn.CONCAT(Ruimtestaat[[#This Row],[Ruimte code]],"-",Ruimtestaat[[#This Row],[Frequentie werkdagen]]," ",Ruimtestaat[[#This Row],[Vloer code]]))</f>
        <v>16-5w L</v>
      </c>
      <c r="AJ584" s="300" t="str">
        <f>_xlfn.IFNA(VLOOKUP($AI584,Programma!$F$3:$G$1107,2,0),"")</f>
        <v>_</v>
      </c>
      <c r="AK584" s="300" t="str">
        <f>_xlfn.IFNA(VLOOKUP($AI584,Programma!$F$3:$H$1107,3,0),"")</f>
        <v>_</v>
      </c>
      <c r="AL584" s="300" t="str">
        <f>_xlfn.IFNA(VLOOKUP($AI584,Programma!$F$3:$I$1107,4,0),"")</f>
        <v>4w</v>
      </c>
      <c r="AM584" s="300" t="str">
        <f>_xlfn.IFNA(VLOOKUP($AI584,Programma!$F$3:$J$1107,5,0),"")</f>
        <v>1w</v>
      </c>
      <c r="AN584" s="300" t="str">
        <f>_xlfn.IFNA(VLOOKUP($AI584,Programma!$F$3:$K$1107,6,0),"")</f>
        <v>_</v>
      </c>
      <c r="AO584" s="300" t="str">
        <f>_xlfn.IFNA(VLOOKUP($AI584,Programma!$F$3:$L$1107,7,0),"")</f>
        <v>_</v>
      </c>
      <c r="AP584" s="300" t="str">
        <f>_xlfn.IFNA(VLOOKUP($AI584,Programma!$F$3:$M$1107,8,0),"")</f>
        <v>_</v>
      </c>
      <c r="AQ584" s="300" t="str">
        <f>_xlfn.IFNA(VLOOKUP($AI584,Programma!$F$3:$N$1107,9,0),"")</f>
        <v>_</v>
      </c>
      <c r="AR584" s="300" t="str">
        <f>_xlfn.IFNA(VLOOKUP($AI584,Programma!$F$3:$O$1107,10,0),"")</f>
        <v>5w</v>
      </c>
      <c r="AS584" s="300" t="str">
        <f>_xlfn.IFNA(VLOOKUP($AI584,Programma!$F$3:$P$1107,11,0),"")</f>
        <v>5w</v>
      </c>
      <c r="AT584" s="300" t="str">
        <f>_xlfn.IFNA(VLOOKUP($AI584,Programma!$F$3:$Q$1107,12,0),"")</f>
        <v>1w</v>
      </c>
      <c r="AU584" s="300" t="str">
        <f>_xlfn.IFNA(VLOOKUP($AI584,Programma!$F$3:$R$1107,13,0),"")</f>
        <v>1w</v>
      </c>
      <c r="AV584" s="300" t="str">
        <f>_xlfn.IFNA(VLOOKUP($AI584,Programma!$F$3:$S$1107,14,0),"")</f>
        <v>1m</v>
      </c>
      <c r="AW584" s="300" t="str">
        <f>_xlfn.IFNA(VLOOKUP($AI584,Programma!$F$3:$T$1107,15,0),"")</f>
        <v>2j</v>
      </c>
      <c r="AX584" s="300" t="str">
        <f>_xlfn.IFNA(VLOOKUP($AI584,Programma!$F$3:$U$1107,16,0),"")</f>
        <v>1j</v>
      </c>
      <c r="AY584" s="300" t="str">
        <f>_xlfn.IFNA(VLOOKUP($AI584,Programma!$F$3:$V$1107,17,0),"")</f>
        <v>_</v>
      </c>
      <c r="AZ584" s="300" t="str">
        <f>_xlfn.IFNA(VLOOKUP($AI584,Programma!$F$3:$W$1107,18,0),"")</f>
        <v>_</v>
      </c>
      <c r="BA584" s="300" t="str">
        <f>_xlfn.IFNA(VLOOKUP($AI584,Programma!$F$3:$X$1107,19,0),"")</f>
        <v>_</v>
      </c>
      <c r="BB584" s="300" t="str">
        <f>_xlfn.IFNA(VLOOKUP($AI584,Programma!$F$3:$Y$1107,20,0),"")</f>
        <v>_</v>
      </c>
      <c r="BC584" s="257"/>
      <c r="BD584" s="256" t="str">
        <f>IF(Ruimtestaat[[#This Row],[Frequentie weekend]]="","",_xlfn.CONCAT(Ruimtestaat[[#This Row],[Ruimte code]],"-",Ruimtestaat[[#This Row],[Frequentie weekend]]," ",Ruimtestaat[[#This Row],[Vloer code]]))</f>
        <v/>
      </c>
      <c r="BE584" s="300" t="str">
        <f>_xlfn.IFNA(VLOOKUP($BD584,Programma!$F$3:$G$1107,2,0),"")</f>
        <v/>
      </c>
      <c r="BF584" s="300" t="str">
        <f>_xlfn.IFNA(VLOOKUP($BD584,Programma!$F$3:$H$1107,3,0),"")</f>
        <v/>
      </c>
      <c r="BG584" s="300" t="str">
        <f>_xlfn.IFNA(VLOOKUP($BD584,Programma!$F$3:$I$1107,4,0),"")</f>
        <v/>
      </c>
      <c r="BH584" s="300" t="str">
        <f>_xlfn.IFNA(VLOOKUP($BD584,Programma!$F$3:$J$1107,5,0),"")</f>
        <v/>
      </c>
      <c r="BI584" s="300" t="str">
        <f>_xlfn.IFNA(VLOOKUP($BD584,Programma!$F$3:$K$1107,6,0),"")</f>
        <v/>
      </c>
      <c r="BJ584" s="300" t="str">
        <f>_xlfn.IFNA(VLOOKUP($BD584,Programma!$F$3:$L$1107,7,0),"")</f>
        <v/>
      </c>
      <c r="BK584" s="300" t="str">
        <f>_xlfn.IFNA(VLOOKUP($BD584,Programma!$F$3:$M$1107,8,0),"")</f>
        <v/>
      </c>
      <c r="BL584" s="300" t="str">
        <f>_xlfn.IFNA(VLOOKUP($BD584,Programma!$F$3:$N$1107,9,0),"")</f>
        <v/>
      </c>
      <c r="BM584" s="300" t="str">
        <f>_xlfn.IFNA(VLOOKUP($BD584,Programma!$F$3:$O$1107,10,0),"")</f>
        <v/>
      </c>
      <c r="BN584" s="300" t="str">
        <f>_xlfn.IFNA(VLOOKUP($BD584,Programma!$F$3:$P$1107,11,0),"")</f>
        <v/>
      </c>
      <c r="BO584" s="300" t="str">
        <f>_xlfn.IFNA(VLOOKUP($BD584,Programma!$F$3:$Q$1107,12,0),"")</f>
        <v/>
      </c>
      <c r="BP584" s="300" t="str">
        <f>_xlfn.IFNA(VLOOKUP($BD584,Programma!$F$3:$R$1107,13,0),"")</f>
        <v/>
      </c>
      <c r="BQ584" s="300" t="str">
        <f>_xlfn.IFNA(VLOOKUP($BD584,Programma!$F$3:$S$1107,14,0),"")</f>
        <v/>
      </c>
      <c r="BR584" s="300" t="str">
        <f>_xlfn.IFNA(VLOOKUP($BD584,Programma!$F$3:$T$1107,15,0),"")</f>
        <v/>
      </c>
      <c r="BS584" s="300" t="str">
        <f>_xlfn.IFNA(VLOOKUP($BD584,Programma!$F$3:$U$1107,16,0),"")</f>
        <v/>
      </c>
      <c r="BT584" s="300" t="str">
        <f>_xlfn.IFNA(VLOOKUP($BD584,Programma!$F$3:$V$1107,17,0),"")</f>
        <v/>
      </c>
      <c r="BU584" s="300" t="str">
        <f>_xlfn.IFNA(VLOOKUP($BD584,Programma!$F$3:$W$1107,18,0),"")</f>
        <v/>
      </c>
      <c r="BV584" s="300" t="str">
        <f>_xlfn.IFNA(VLOOKUP($BD584,Programma!$F$3:$X$1107,19,0),"")</f>
        <v/>
      </c>
      <c r="BW584" s="300" t="str">
        <f>_xlfn.IFNA(VLOOKUP($BD584,Programma!$F$3:$Y$1107,20,0),"")</f>
        <v/>
      </c>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c r="GK584" s="4"/>
      <c r="GL584" s="4"/>
      <c r="GM584" s="4"/>
      <c r="GN584" s="4"/>
      <c r="GO584" s="4"/>
      <c r="GP584" s="4"/>
      <c r="GQ584" s="4"/>
      <c r="GR584" s="4"/>
      <c r="GS584" s="4"/>
      <c r="GT584" s="4"/>
      <c r="GU584" s="4"/>
      <c r="GV584" s="4"/>
      <c r="GW584" s="4"/>
      <c r="GX584" s="4"/>
      <c r="GY584" s="4"/>
      <c r="GZ584" s="4"/>
      <c r="HA584" s="4"/>
      <c r="HB584" s="4"/>
      <c r="HC584" s="4"/>
      <c r="HD584" s="4"/>
      <c r="HE584" s="4"/>
      <c r="HF584" s="4"/>
      <c r="HG584" s="4"/>
      <c r="HH584" s="4"/>
      <c r="HI584" s="4"/>
      <c r="HJ584" s="4"/>
      <c r="HK584" s="4"/>
      <c r="HL584" s="4"/>
    </row>
    <row r="585" spans="1:220" ht="15" customHeight="1">
      <c r="A585" s="21">
        <v>7</v>
      </c>
      <c r="B585" s="157" t="str">
        <f>VLOOKUP(Ruimtestaat[[#This Row],[Code]],Locaties[[Code]:[Locatie]],2,FALSE)</f>
        <v>Gymnasium Novum</v>
      </c>
      <c r="C585" s="157" t="str">
        <f>VLOOKUP(Ruimtestaat[[#This Row],[Code]],Locaties[[#All],[Code]:[Adres]],4,FALSE)</f>
        <v>Aart v.d. Leeuwkade 1</v>
      </c>
      <c r="D585" s="157" t="str">
        <f>VLOOKUP(Ruimtestaat[[#This Row],[Code]],Locaties[[#All],[Code]:[Postcode]],5,FALSE)</f>
        <v>2274 KX</v>
      </c>
      <c r="E585" s="157" t="str">
        <f>VLOOKUP(Ruimtestaat[[#This Row],[Code]],Locaties[#All],6,FALSE)</f>
        <v>Voorburg</v>
      </c>
      <c r="F585" s="62"/>
      <c r="G585" s="21" t="s">
        <v>1632</v>
      </c>
      <c r="H585" s="21">
        <v>39</v>
      </c>
      <c r="I585" s="62" t="s">
        <v>1702</v>
      </c>
      <c r="J585" s="21">
        <v>16</v>
      </c>
      <c r="K585" s="62" t="str">
        <f>VLOOKUP(Ruimtestaat[[#This Row],[Ruimte code]],Ruimtegroepen[[#All],[Code]:[Ruimte omschrijving]],2,FALSE)</f>
        <v>Leslokalen theorie</v>
      </c>
      <c r="L585" s="33" t="s">
        <v>101</v>
      </c>
      <c r="M585" s="367" t="s">
        <v>2523</v>
      </c>
      <c r="N585" s="140">
        <v>51</v>
      </c>
      <c r="O585" s="140"/>
      <c r="P585" s="125" t="str">
        <f>VLOOKUP(Ruimtestaat[[#This Row],[Ruimte code]],Ruimtegroepen[],4,FALSE)</f>
        <v>Le</v>
      </c>
      <c r="R585" s="33">
        <v>40</v>
      </c>
      <c r="S585" s="33" t="s">
        <v>2</v>
      </c>
      <c r="T585" s="33">
        <f>IF(R585&gt;0,IF(RIGHT(Ruimtestaat[[#This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85" s="33">
        <f>IF(T585&gt;0,VLOOKUP($J585,Ruimtegroepen[],3,FALSE)*VLOOKUP($L585,Vloersoorten[],3,FALSE)*VLOOKUP($S585,Frequenties[],3,FALSE)*VLOOKUP($A585,Locaties[],3,FALSE),0)</f>
        <v>0</v>
      </c>
      <c r="V585" s="33">
        <f>Ruimtestaat[[#This Row],[Uitvoeringen werkdagen]]*Ruimtestaat[[#This Row],[Oppervlak (netto)]]</f>
        <v>10200</v>
      </c>
      <c r="W585" s="154">
        <f>IF(U585&gt;0,Ruimtestaat[[#This Row],[Prest. (m2 /jaar) werkdagen]]/Ruimtestaat[[#This Row],[Norm (m2/uur) werkdagen]],0)</f>
        <v>0</v>
      </c>
      <c r="X585" s="155">
        <f>Ruimtestaat[[#This Row],[uren / jaar werkdagen]]*Tariefsopbouw!$E$35</f>
        <v>0</v>
      </c>
      <c r="Y585" s="33"/>
      <c r="Z585" s="33">
        <f>IF(Ruimtestaat[[#This Row],[Frequentie weekend]]&gt;0,VALUE(LEFT(Y585,1))*R585,0)</f>
        <v>0</v>
      </c>
      <c r="AA585" s="97">
        <f>IF($Z585&gt;0,VLOOKUP($J585,Ruimtegroepen[],3,FALSE)*VLOOKUP($L585,Vloersoorten[],3,FALSE)*VLOOKUP($Y585,Frequenties[],3,FALSE)*VLOOKUP(Ruimtestaat[[#This Row],[Code]],Locaties[],3,FALSE),0)</f>
        <v>0</v>
      </c>
      <c r="AB585" s="97">
        <f>Ruimtestaat[[#This Row],[Uitvoeringen weekend]]*Ruimtestaat[[#This Row],[Oppervlak (netto)]]</f>
        <v>0</v>
      </c>
      <c r="AC585" s="97">
        <f>IF(AA585&gt;0,Ruimtestaat[[#This Row],[Prest. (m2 /jaar) weekend]]/Ruimtestaat[[#This Row],[Norm (m2/uur) weekend]],0)</f>
        <v>0</v>
      </c>
      <c r="AD585" s="155">
        <f>Ruimtestaat[[#This Row],[uren / jaar weekend]]*Tariefsopbouw!$D$40</f>
        <v>0</v>
      </c>
      <c r="AE585" s="154">
        <f>Ruimtestaat[[#This Row],[Prest. (m2 /jaar) weekend]]+Ruimtestaat[[#This Row],[Prest. (m2 /jaar) werkdagen]]</f>
        <v>10200</v>
      </c>
      <c r="AF585" s="154">
        <f>Ruimtestaat[[#This Row],[uren / jaar weekend]]+Ruimtestaat[[#This Row],[uren / jaar werkdagen]]</f>
        <v>0</v>
      </c>
      <c r="AG585" s="69">
        <f>Ruimtestaat[[#This Row],[kosten / jaar weekend]]+Ruimtestaat[[#This Row],[kosten / jaar werkdagen]]</f>
        <v>0</v>
      </c>
      <c r="AH585" s="69"/>
      <c r="AI585" s="256" t="str">
        <f>IF(Ruimtestaat[[#This Row],[Frequentie werkdagen]]="","",_xlfn.CONCAT(Ruimtestaat[[#This Row],[Ruimte code]],"-",Ruimtestaat[[#This Row],[Frequentie werkdagen]]," ",Ruimtestaat[[#This Row],[Vloer code]]))</f>
        <v>16-5w L</v>
      </c>
      <c r="AJ585" s="300" t="str">
        <f>_xlfn.IFNA(VLOOKUP($AI585,Programma!$F$3:$G$1107,2,0),"")</f>
        <v>_</v>
      </c>
      <c r="AK585" s="300" t="str">
        <f>_xlfn.IFNA(VLOOKUP($AI585,Programma!$F$3:$H$1107,3,0),"")</f>
        <v>_</v>
      </c>
      <c r="AL585" s="300" t="str">
        <f>_xlfn.IFNA(VLOOKUP($AI585,Programma!$F$3:$I$1107,4,0),"")</f>
        <v>4w</v>
      </c>
      <c r="AM585" s="300" t="str">
        <f>_xlfn.IFNA(VLOOKUP($AI585,Programma!$F$3:$J$1107,5,0),"")</f>
        <v>1w</v>
      </c>
      <c r="AN585" s="300" t="str">
        <f>_xlfn.IFNA(VLOOKUP($AI585,Programma!$F$3:$K$1107,6,0),"")</f>
        <v>_</v>
      </c>
      <c r="AO585" s="300" t="str">
        <f>_xlfn.IFNA(VLOOKUP($AI585,Programma!$F$3:$L$1107,7,0),"")</f>
        <v>_</v>
      </c>
      <c r="AP585" s="300" t="str">
        <f>_xlfn.IFNA(VLOOKUP($AI585,Programma!$F$3:$M$1107,8,0),"")</f>
        <v>_</v>
      </c>
      <c r="AQ585" s="300" t="str">
        <f>_xlfn.IFNA(VLOOKUP($AI585,Programma!$F$3:$N$1107,9,0),"")</f>
        <v>_</v>
      </c>
      <c r="AR585" s="300" t="str">
        <f>_xlfn.IFNA(VLOOKUP($AI585,Programma!$F$3:$O$1107,10,0),"")</f>
        <v>5w</v>
      </c>
      <c r="AS585" s="300" t="str">
        <f>_xlfn.IFNA(VLOOKUP($AI585,Programma!$F$3:$P$1107,11,0),"")</f>
        <v>5w</v>
      </c>
      <c r="AT585" s="300" t="str">
        <f>_xlfn.IFNA(VLOOKUP($AI585,Programma!$F$3:$Q$1107,12,0),"")</f>
        <v>1w</v>
      </c>
      <c r="AU585" s="300" t="str">
        <f>_xlfn.IFNA(VLOOKUP($AI585,Programma!$F$3:$R$1107,13,0),"")</f>
        <v>1w</v>
      </c>
      <c r="AV585" s="300" t="str">
        <f>_xlfn.IFNA(VLOOKUP($AI585,Programma!$F$3:$S$1107,14,0),"")</f>
        <v>1m</v>
      </c>
      <c r="AW585" s="300" t="str">
        <f>_xlfn.IFNA(VLOOKUP($AI585,Programma!$F$3:$T$1107,15,0),"")</f>
        <v>2j</v>
      </c>
      <c r="AX585" s="300" t="str">
        <f>_xlfn.IFNA(VLOOKUP($AI585,Programma!$F$3:$U$1107,16,0),"")</f>
        <v>1j</v>
      </c>
      <c r="AY585" s="300" t="str">
        <f>_xlfn.IFNA(VLOOKUP($AI585,Programma!$F$3:$V$1107,17,0),"")</f>
        <v>_</v>
      </c>
      <c r="AZ585" s="300" t="str">
        <f>_xlfn.IFNA(VLOOKUP($AI585,Programma!$F$3:$W$1107,18,0),"")</f>
        <v>_</v>
      </c>
      <c r="BA585" s="300" t="str">
        <f>_xlfn.IFNA(VLOOKUP($AI585,Programma!$F$3:$X$1107,19,0),"")</f>
        <v>_</v>
      </c>
      <c r="BB585" s="300" t="str">
        <f>_xlfn.IFNA(VLOOKUP($AI585,Programma!$F$3:$Y$1107,20,0),"")</f>
        <v>_</v>
      </c>
      <c r="BC585" s="257"/>
      <c r="BD585" s="256" t="str">
        <f>IF(Ruimtestaat[[#This Row],[Frequentie weekend]]="","",_xlfn.CONCAT(Ruimtestaat[[#This Row],[Ruimte code]],"-",Ruimtestaat[[#This Row],[Frequentie weekend]]," ",Ruimtestaat[[#This Row],[Vloer code]]))</f>
        <v/>
      </c>
      <c r="BE585" s="300" t="str">
        <f>_xlfn.IFNA(VLOOKUP($BD585,Programma!$F$3:$G$1107,2,0),"")</f>
        <v/>
      </c>
      <c r="BF585" s="300" t="str">
        <f>_xlfn.IFNA(VLOOKUP($BD585,Programma!$F$3:$H$1107,3,0),"")</f>
        <v/>
      </c>
      <c r="BG585" s="300" t="str">
        <f>_xlfn.IFNA(VLOOKUP($BD585,Programma!$F$3:$I$1107,4,0),"")</f>
        <v/>
      </c>
      <c r="BH585" s="300" t="str">
        <f>_xlfn.IFNA(VLOOKUP($BD585,Programma!$F$3:$J$1107,5,0),"")</f>
        <v/>
      </c>
      <c r="BI585" s="300" t="str">
        <f>_xlfn.IFNA(VLOOKUP($BD585,Programma!$F$3:$K$1107,6,0),"")</f>
        <v/>
      </c>
      <c r="BJ585" s="300" t="str">
        <f>_xlfn.IFNA(VLOOKUP($BD585,Programma!$F$3:$L$1107,7,0),"")</f>
        <v/>
      </c>
      <c r="BK585" s="300" t="str">
        <f>_xlfn.IFNA(VLOOKUP($BD585,Programma!$F$3:$M$1107,8,0),"")</f>
        <v/>
      </c>
      <c r="BL585" s="300" t="str">
        <f>_xlfn.IFNA(VLOOKUP($BD585,Programma!$F$3:$N$1107,9,0),"")</f>
        <v/>
      </c>
      <c r="BM585" s="300" t="str">
        <f>_xlfn.IFNA(VLOOKUP($BD585,Programma!$F$3:$O$1107,10,0),"")</f>
        <v/>
      </c>
      <c r="BN585" s="300" t="str">
        <f>_xlfn.IFNA(VLOOKUP($BD585,Programma!$F$3:$P$1107,11,0),"")</f>
        <v/>
      </c>
      <c r="BO585" s="300" t="str">
        <f>_xlfn.IFNA(VLOOKUP($BD585,Programma!$F$3:$Q$1107,12,0),"")</f>
        <v/>
      </c>
      <c r="BP585" s="300" t="str">
        <f>_xlfn.IFNA(VLOOKUP($BD585,Programma!$F$3:$R$1107,13,0),"")</f>
        <v/>
      </c>
      <c r="BQ585" s="300" t="str">
        <f>_xlfn.IFNA(VLOOKUP($BD585,Programma!$F$3:$S$1107,14,0),"")</f>
        <v/>
      </c>
      <c r="BR585" s="300" t="str">
        <f>_xlfn.IFNA(VLOOKUP($BD585,Programma!$F$3:$T$1107,15,0),"")</f>
        <v/>
      </c>
      <c r="BS585" s="300" t="str">
        <f>_xlfn.IFNA(VLOOKUP($BD585,Programma!$F$3:$U$1107,16,0),"")</f>
        <v/>
      </c>
      <c r="BT585" s="300" t="str">
        <f>_xlfn.IFNA(VLOOKUP($BD585,Programma!$F$3:$V$1107,17,0),"")</f>
        <v/>
      </c>
      <c r="BU585" s="300" t="str">
        <f>_xlfn.IFNA(VLOOKUP($BD585,Programma!$F$3:$W$1107,18,0),"")</f>
        <v/>
      </c>
      <c r="BV585" s="300" t="str">
        <f>_xlfn.IFNA(VLOOKUP($BD585,Programma!$F$3:$X$1107,19,0),"")</f>
        <v/>
      </c>
      <c r="BW585" s="300" t="str">
        <f>_xlfn.IFNA(VLOOKUP($BD585,Programma!$F$3:$Y$1107,20,0),"")</f>
        <v/>
      </c>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c r="GK585" s="4"/>
      <c r="GL585" s="4"/>
      <c r="GM585" s="4"/>
      <c r="GN585" s="4"/>
      <c r="GO585" s="4"/>
      <c r="GP585" s="4"/>
      <c r="GQ585" s="4"/>
      <c r="GR585" s="4"/>
      <c r="GS585" s="4"/>
      <c r="GT585" s="4"/>
      <c r="GU585" s="4"/>
      <c r="GV585" s="4"/>
      <c r="GW585" s="4"/>
      <c r="GX585" s="4"/>
      <c r="GY585" s="4"/>
      <c r="GZ585" s="4"/>
      <c r="HA585" s="4"/>
      <c r="HB585" s="4"/>
      <c r="HC585" s="4"/>
      <c r="HD585" s="4"/>
      <c r="HE585" s="4"/>
      <c r="HF585" s="4"/>
      <c r="HG585" s="4"/>
      <c r="HH585" s="4"/>
      <c r="HI585" s="4"/>
      <c r="HJ585" s="4"/>
      <c r="HK585" s="4"/>
      <c r="HL585" s="4"/>
    </row>
    <row r="586" spans="1:220" ht="15" customHeight="1">
      <c r="A586" s="21">
        <v>7</v>
      </c>
      <c r="B586" s="157" t="str">
        <f>VLOOKUP(Ruimtestaat[[#This Row],[Code]],Locaties[[Code]:[Locatie]],2,FALSE)</f>
        <v>Gymnasium Novum</v>
      </c>
      <c r="C586" s="157" t="str">
        <f>VLOOKUP(Ruimtestaat[[#This Row],[Code]],Locaties[[#All],[Code]:[Adres]],4,FALSE)</f>
        <v>Aart v.d. Leeuwkade 1</v>
      </c>
      <c r="D586" s="157" t="str">
        <f>VLOOKUP(Ruimtestaat[[#This Row],[Code]],Locaties[[#All],[Code]:[Postcode]],5,FALSE)</f>
        <v>2274 KX</v>
      </c>
      <c r="E586" s="157" t="str">
        <f>VLOOKUP(Ruimtestaat[[#This Row],[Code]],Locaties[#All],6,FALSE)</f>
        <v>Voorburg</v>
      </c>
      <c r="F586" s="62"/>
      <c r="G586" s="21" t="s">
        <v>1632</v>
      </c>
      <c r="H586" s="21">
        <v>40</v>
      </c>
      <c r="I586" s="62" t="s">
        <v>2149</v>
      </c>
      <c r="J586" s="21">
        <v>8</v>
      </c>
      <c r="K586" s="62" t="str">
        <f>VLOOKUP(Ruimtestaat[[#This Row],[Ruimte code]],Ruimtegroepen[[#All],[Code]:[Ruimte omschrijving]],2,FALSE)</f>
        <v>Mediatheek / OLC</v>
      </c>
      <c r="L586" s="33" t="s">
        <v>101</v>
      </c>
      <c r="M586" s="367" t="s">
        <v>2495</v>
      </c>
      <c r="N586" s="140">
        <v>103</v>
      </c>
      <c r="O586" s="140"/>
      <c r="P586" s="125" t="str">
        <f>VLOOKUP(Ruimtestaat[[#This Row],[Ruimte code]],Ruimtegroepen[],4,FALSE)</f>
        <v>Le</v>
      </c>
      <c r="R586" s="33">
        <v>40</v>
      </c>
      <c r="S586" s="33" t="s">
        <v>2</v>
      </c>
      <c r="T586" s="33">
        <f>IF(R586&gt;0,IF(RIGHT(Ruimtestaat[[#This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86" s="33">
        <f>IF(T586&gt;0,VLOOKUP($J586,Ruimtegroepen[],3,FALSE)*VLOOKUP($L586,Vloersoorten[],3,FALSE)*VLOOKUP($S586,Frequenties[],3,FALSE)*VLOOKUP($A586,Locaties[],3,FALSE),0)</f>
        <v>0</v>
      </c>
      <c r="V586" s="33">
        <f>Ruimtestaat[[#This Row],[Uitvoeringen werkdagen]]*Ruimtestaat[[#This Row],[Oppervlak (netto)]]</f>
        <v>20600</v>
      </c>
      <c r="W586" s="154">
        <f>IF(U586&gt;0,Ruimtestaat[[#This Row],[Prest. (m2 /jaar) werkdagen]]/Ruimtestaat[[#This Row],[Norm (m2/uur) werkdagen]],0)</f>
        <v>0</v>
      </c>
      <c r="X586" s="155">
        <f>Ruimtestaat[[#This Row],[uren / jaar werkdagen]]*Tariefsopbouw!$E$35</f>
        <v>0</v>
      </c>
      <c r="Y586" s="33"/>
      <c r="Z586" s="33">
        <f>IF(Ruimtestaat[[#This Row],[Frequentie weekend]]&gt;0,VALUE(LEFT(Y586,1))*R586,0)</f>
        <v>0</v>
      </c>
      <c r="AA586" s="97">
        <f>IF($Z586&gt;0,VLOOKUP($J586,Ruimtegroepen[],3,FALSE)*VLOOKUP($L586,Vloersoorten[],3,FALSE)*VLOOKUP($Y586,Frequenties[],3,FALSE)*VLOOKUP(Ruimtestaat[[#This Row],[Code]],Locaties[],3,FALSE),0)</f>
        <v>0</v>
      </c>
      <c r="AB586" s="97">
        <f>Ruimtestaat[[#This Row],[Uitvoeringen weekend]]*Ruimtestaat[[#This Row],[Oppervlak (netto)]]</f>
        <v>0</v>
      </c>
      <c r="AC586" s="97">
        <f>IF(AA586&gt;0,Ruimtestaat[[#This Row],[Prest. (m2 /jaar) weekend]]/Ruimtestaat[[#This Row],[Norm (m2/uur) weekend]],0)</f>
        <v>0</v>
      </c>
      <c r="AD586" s="155">
        <f>Ruimtestaat[[#This Row],[uren / jaar weekend]]*Tariefsopbouw!$D$40</f>
        <v>0</v>
      </c>
      <c r="AE586" s="154">
        <f>Ruimtestaat[[#This Row],[Prest. (m2 /jaar) weekend]]+Ruimtestaat[[#This Row],[Prest. (m2 /jaar) werkdagen]]</f>
        <v>20600</v>
      </c>
      <c r="AF586" s="154">
        <f>Ruimtestaat[[#This Row],[uren / jaar weekend]]+Ruimtestaat[[#This Row],[uren / jaar werkdagen]]</f>
        <v>0</v>
      </c>
      <c r="AG586" s="69">
        <f>Ruimtestaat[[#This Row],[kosten / jaar weekend]]+Ruimtestaat[[#This Row],[kosten / jaar werkdagen]]</f>
        <v>0</v>
      </c>
      <c r="AH586" s="69"/>
      <c r="AI586" s="256" t="str">
        <f>IF(Ruimtestaat[[#This Row],[Frequentie werkdagen]]="","",_xlfn.CONCAT(Ruimtestaat[[#This Row],[Ruimte code]],"-",Ruimtestaat[[#This Row],[Frequentie werkdagen]]," ",Ruimtestaat[[#This Row],[Vloer code]]))</f>
        <v>8-5w L</v>
      </c>
      <c r="AJ586" s="300" t="str">
        <f>_xlfn.IFNA(VLOOKUP($AI586,Programma!$F$3:$G$1107,2,0),"")</f>
        <v>_</v>
      </c>
      <c r="AK586" s="300" t="str">
        <f>_xlfn.IFNA(VLOOKUP($AI586,Programma!$F$3:$H$1107,3,0),"")</f>
        <v>_</v>
      </c>
      <c r="AL586" s="300" t="str">
        <f>_xlfn.IFNA(VLOOKUP($AI586,Programma!$F$3:$I$1107,4,0),"")</f>
        <v>4w</v>
      </c>
      <c r="AM586" s="300" t="str">
        <f>_xlfn.IFNA(VLOOKUP($AI586,Programma!$F$3:$J$1107,5,0),"")</f>
        <v>1w</v>
      </c>
      <c r="AN586" s="300" t="str">
        <f>_xlfn.IFNA(VLOOKUP($AI586,Programma!$F$3:$K$1107,6,0),"")</f>
        <v>_</v>
      </c>
      <c r="AO586" s="300" t="str">
        <f>_xlfn.IFNA(VLOOKUP($AI586,Programma!$F$3:$L$1107,7,0),"")</f>
        <v>_</v>
      </c>
      <c r="AP586" s="300" t="str">
        <f>_xlfn.IFNA(VLOOKUP($AI586,Programma!$F$3:$M$1107,8,0),"")</f>
        <v>_</v>
      </c>
      <c r="AQ586" s="300" t="str">
        <f>_xlfn.IFNA(VLOOKUP($AI586,Programma!$F$3:$N$1107,9,0),"")</f>
        <v>_</v>
      </c>
      <c r="AR586" s="300" t="str">
        <f>_xlfn.IFNA(VLOOKUP($AI586,Programma!$F$3:$O$1107,10,0),"")</f>
        <v>5w</v>
      </c>
      <c r="AS586" s="300" t="str">
        <f>_xlfn.IFNA(VLOOKUP($AI586,Programma!$F$3:$P$1107,11,0),"")</f>
        <v>5w</v>
      </c>
      <c r="AT586" s="300" t="str">
        <f>_xlfn.IFNA(VLOOKUP($AI586,Programma!$F$3:$Q$1107,12,0),"")</f>
        <v>1w</v>
      </c>
      <c r="AU586" s="300" t="str">
        <f>_xlfn.IFNA(VLOOKUP($AI586,Programma!$F$3:$R$1107,13,0),"")</f>
        <v>1w</v>
      </c>
      <c r="AV586" s="300" t="str">
        <f>_xlfn.IFNA(VLOOKUP($AI586,Programma!$F$3:$S$1107,14,0),"")</f>
        <v>1m</v>
      </c>
      <c r="AW586" s="300" t="str">
        <f>_xlfn.IFNA(VLOOKUP($AI586,Programma!$F$3:$T$1107,15,0),"")</f>
        <v>2j</v>
      </c>
      <c r="AX586" s="300" t="str">
        <f>_xlfn.IFNA(VLOOKUP($AI586,Programma!$F$3:$U$1107,16,0),"")</f>
        <v>1j</v>
      </c>
      <c r="AY586" s="300" t="str">
        <f>_xlfn.IFNA(VLOOKUP($AI586,Programma!$F$3:$V$1107,17,0),"")</f>
        <v>_</v>
      </c>
      <c r="AZ586" s="300" t="str">
        <f>_xlfn.IFNA(VLOOKUP($AI586,Programma!$F$3:$W$1107,18,0),"")</f>
        <v>_</v>
      </c>
      <c r="BA586" s="300" t="str">
        <f>_xlfn.IFNA(VLOOKUP($AI586,Programma!$F$3:$X$1107,19,0),"")</f>
        <v>_</v>
      </c>
      <c r="BB586" s="300" t="str">
        <f>_xlfn.IFNA(VLOOKUP($AI586,Programma!$F$3:$Y$1107,20,0),"")</f>
        <v>_</v>
      </c>
      <c r="BC586" s="257"/>
      <c r="BD586" s="256" t="str">
        <f>IF(Ruimtestaat[[#This Row],[Frequentie weekend]]="","",_xlfn.CONCAT(Ruimtestaat[[#This Row],[Ruimte code]],"-",Ruimtestaat[[#This Row],[Frequentie weekend]]," ",Ruimtestaat[[#This Row],[Vloer code]]))</f>
        <v/>
      </c>
      <c r="BE586" s="300" t="str">
        <f>_xlfn.IFNA(VLOOKUP($BD586,Programma!$F$3:$G$1107,2,0),"")</f>
        <v/>
      </c>
      <c r="BF586" s="300" t="str">
        <f>_xlfn.IFNA(VLOOKUP($BD586,Programma!$F$3:$H$1107,3,0),"")</f>
        <v/>
      </c>
      <c r="BG586" s="300" t="str">
        <f>_xlfn.IFNA(VLOOKUP($BD586,Programma!$F$3:$I$1107,4,0),"")</f>
        <v/>
      </c>
      <c r="BH586" s="300" t="str">
        <f>_xlfn.IFNA(VLOOKUP($BD586,Programma!$F$3:$J$1107,5,0),"")</f>
        <v/>
      </c>
      <c r="BI586" s="300" t="str">
        <f>_xlfn.IFNA(VLOOKUP($BD586,Programma!$F$3:$K$1107,6,0),"")</f>
        <v/>
      </c>
      <c r="BJ586" s="300" t="str">
        <f>_xlfn.IFNA(VLOOKUP($BD586,Programma!$F$3:$L$1107,7,0),"")</f>
        <v/>
      </c>
      <c r="BK586" s="300" t="str">
        <f>_xlfn.IFNA(VLOOKUP($BD586,Programma!$F$3:$M$1107,8,0),"")</f>
        <v/>
      </c>
      <c r="BL586" s="300" t="str">
        <f>_xlfn.IFNA(VLOOKUP($BD586,Programma!$F$3:$N$1107,9,0),"")</f>
        <v/>
      </c>
      <c r="BM586" s="300" t="str">
        <f>_xlfn.IFNA(VLOOKUP($BD586,Programma!$F$3:$O$1107,10,0),"")</f>
        <v/>
      </c>
      <c r="BN586" s="300" t="str">
        <f>_xlfn.IFNA(VLOOKUP($BD586,Programma!$F$3:$P$1107,11,0),"")</f>
        <v/>
      </c>
      <c r="BO586" s="300" t="str">
        <f>_xlfn.IFNA(VLOOKUP($BD586,Programma!$F$3:$Q$1107,12,0),"")</f>
        <v/>
      </c>
      <c r="BP586" s="300" t="str">
        <f>_xlfn.IFNA(VLOOKUP($BD586,Programma!$F$3:$R$1107,13,0),"")</f>
        <v/>
      </c>
      <c r="BQ586" s="300" t="str">
        <f>_xlfn.IFNA(VLOOKUP($BD586,Programma!$F$3:$S$1107,14,0),"")</f>
        <v/>
      </c>
      <c r="BR586" s="300" t="str">
        <f>_xlfn.IFNA(VLOOKUP($BD586,Programma!$F$3:$T$1107,15,0),"")</f>
        <v/>
      </c>
      <c r="BS586" s="300" t="str">
        <f>_xlfn.IFNA(VLOOKUP($BD586,Programma!$F$3:$U$1107,16,0),"")</f>
        <v/>
      </c>
      <c r="BT586" s="300" t="str">
        <f>_xlfn.IFNA(VLOOKUP($BD586,Programma!$F$3:$V$1107,17,0),"")</f>
        <v/>
      </c>
      <c r="BU586" s="300" t="str">
        <f>_xlfn.IFNA(VLOOKUP($BD586,Programma!$F$3:$W$1107,18,0),"")</f>
        <v/>
      </c>
      <c r="BV586" s="300" t="str">
        <f>_xlfn.IFNA(VLOOKUP($BD586,Programma!$F$3:$X$1107,19,0),"")</f>
        <v/>
      </c>
      <c r="BW586" s="300" t="str">
        <f>_xlfn.IFNA(VLOOKUP($BD586,Programma!$F$3:$Y$1107,20,0),"")</f>
        <v/>
      </c>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c r="GK586" s="4"/>
      <c r="GL586" s="4"/>
      <c r="GM586" s="4"/>
      <c r="GN586" s="4"/>
      <c r="GO586" s="4"/>
      <c r="GP586" s="4"/>
      <c r="GQ586" s="4"/>
      <c r="GR586" s="4"/>
      <c r="GS586" s="4"/>
      <c r="GT586" s="4"/>
      <c r="GU586" s="4"/>
      <c r="GV586" s="4"/>
      <c r="GW586" s="4"/>
      <c r="GX586" s="4"/>
      <c r="GY586" s="4"/>
      <c r="GZ586" s="4"/>
      <c r="HA586" s="4"/>
      <c r="HB586" s="4"/>
      <c r="HC586" s="4"/>
      <c r="HD586" s="4"/>
      <c r="HE586" s="4"/>
      <c r="HF586" s="4"/>
      <c r="HG586" s="4"/>
      <c r="HH586" s="4"/>
      <c r="HI586" s="4"/>
      <c r="HJ586" s="4"/>
      <c r="HK586" s="4"/>
      <c r="HL586" s="4"/>
    </row>
    <row r="587" spans="1:220" ht="15" customHeight="1">
      <c r="A587" s="21">
        <v>7</v>
      </c>
      <c r="B587" s="157" t="str">
        <f>VLOOKUP(Ruimtestaat[[#This Row],[Code]],Locaties[[Code]:[Locatie]],2,FALSE)</f>
        <v>Gymnasium Novum</v>
      </c>
      <c r="C587" s="157" t="str">
        <f>VLOOKUP(Ruimtestaat[[#This Row],[Code]],Locaties[[#All],[Code]:[Adres]],4,FALSE)</f>
        <v>Aart v.d. Leeuwkade 1</v>
      </c>
      <c r="D587" s="157" t="str">
        <f>VLOOKUP(Ruimtestaat[[#This Row],[Code]],Locaties[[#All],[Code]:[Postcode]],5,FALSE)</f>
        <v>2274 KX</v>
      </c>
      <c r="E587" s="157" t="str">
        <f>VLOOKUP(Ruimtestaat[[#This Row],[Code]],Locaties[#All],6,FALSE)</f>
        <v>Voorburg</v>
      </c>
      <c r="F587" s="62"/>
      <c r="G587" s="21" t="s">
        <v>1632</v>
      </c>
      <c r="H587" s="21">
        <v>41</v>
      </c>
      <c r="I587" s="62" t="s">
        <v>1754</v>
      </c>
      <c r="J587" s="21">
        <v>2</v>
      </c>
      <c r="K587" s="62" t="str">
        <f>VLOOKUP(Ruimtestaat[[#This Row],[Ruimte code]],Ruimtegroepen[[#All],[Code]:[Ruimte omschrijving]],2,FALSE)</f>
        <v>Kantoren</v>
      </c>
      <c r="L587" s="33" t="s">
        <v>101</v>
      </c>
      <c r="M587" s="367" t="s">
        <v>2495</v>
      </c>
      <c r="N587" s="140">
        <v>18</v>
      </c>
      <c r="O587" s="140"/>
      <c r="P587" s="125" t="str">
        <f>VLOOKUP(Ruimtestaat[[#This Row],[Ruimte code]],Ruimtegroepen[],4,FALSE)</f>
        <v>Bu</v>
      </c>
      <c r="R587" s="33">
        <v>42</v>
      </c>
      <c r="S587" s="33" t="s">
        <v>18</v>
      </c>
      <c r="T587" s="33">
        <f>IF(R587&gt;0,IF(RIGHT(Ruimtestaat[[#This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87" s="33">
        <f>IF(T587&gt;0,VLOOKUP($J587,Ruimtegroepen[],3,FALSE)*VLOOKUP($L587,Vloersoorten[],3,FALSE)*VLOOKUP($S587,Frequenties[],3,FALSE)*VLOOKUP($A587,Locaties[],3,FALSE),0)</f>
        <v>0</v>
      </c>
      <c r="V587" s="33">
        <f>Ruimtestaat[[#This Row],[Uitvoeringen werkdagen]]*Ruimtestaat[[#This Row],[Oppervlak (netto)]]</f>
        <v>2268</v>
      </c>
      <c r="W587" s="154">
        <f>IF(U587&gt;0,Ruimtestaat[[#This Row],[Prest. (m2 /jaar) werkdagen]]/Ruimtestaat[[#This Row],[Norm (m2/uur) werkdagen]],0)</f>
        <v>0</v>
      </c>
      <c r="X587" s="155">
        <f>Ruimtestaat[[#This Row],[uren / jaar werkdagen]]*Tariefsopbouw!$E$35</f>
        <v>0</v>
      </c>
      <c r="Y587" s="33"/>
      <c r="Z587" s="33">
        <f>IF(Ruimtestaat[[#This Row],[Frequentie weekend]]&gt;0,VALUE(LEFT(Y587,1))*R587,0)</f>
        <v>0</v>
      </c>
      <c r="AA587" s="97">
        <f>IF($Z587&gt;0,VLOOKUP($J587,Ruimtegroepen[],3,FALSE)*VLOOKUP($L587,Vloersoorten[],3,FALSE)*VLOOKUP($Y587,Frequenties[],3,FALSE)*VLOOKUP(Ruimtestaat[[#This Row],[Code]],Locaties[],3,FALSE),0)</f>
        <v>0</v>
      </c>
      <c r="AB587" s="97">
        <f>Ruimtestaat[[#This Row],[Uitvoeringen weekend]]*Ruimtestaat[[#This Row],[Oppervlak (netto)]]</f>
        <v>0</v>
      </c>
      <c r="AC587" s="97">
        <f>IF(AA587&gt;0,Ruimtestaat[[#This Row],[Prest. (m2 /jaar) weekend]]/Ruimtestaat[[#This Row],[Norm (m2/uur) weekend]],0)</f>
        <v>0</v>
      </c>
      <c r="AD587" s="155">
        <f>Ruimtestaat[[#This Row],[uren / jaar weekend]]*Tariefsopbouw!$D$40</f>
        <v>0</v>
      </c>
      <c r="AE587" s="154">
        <f>Ruimtestaat[[#This Row],[Prest. (m2 /jaar) weekend]]+Ruimtestaat[[#This Row],[Prest. (m2 /jaar) werkdagen]]</f>
        <v>2268</v>
      </c>
      <c r="AF587" s="154">
        <f>Ruimtestaat[[#This Row],[uren / jaar weekend]]+Ruimtestaat[[#This Row],[uren / jaar werkdagen]]</f>
        <v>0</v>
      </c>
      <c r="AG587" s="69">
        <f>Ruimtestaat[[#This Row],[kosten / jaar weekend]]+Ruimtestaat[[#This Row],[kosten / jaar werkdagen]]</f>
        <v>0</v>
      </c>
      <c r="AH587" s="69"/>
      <c r="AI587" s="256" t="str">
        <f>IF(Ruimtestaat[[#This Row],[Frequentie werkdagen]]="","",_xlfn.CONCAT(Ruimtestaat[[#This Row],[Ruimte code]],"-",Ruimtestaat[[#This Row],[Frequentie werkdagen]]," ",Ruimtestaat[[#This Row],[Vloer code]]))</f>
        <v>2-3w L</v>
      </c>
      <c r="AJ587" s="300" t="str">
        <f>_xlfn.IFNA(VLOOKUP($AI587,Programma!$F$3:$G$1107,2,0),"")</f>
        <v>_</v>
      </c>
      <c r="AK587" s="300" t="str">
        <f>_xlfn.IFNA(VLOOKUP($AI587,Programma!$F$3:$H$1107,3,0),"")</f>
        <v>_</v>
      </c>
      <c r="AL587" s="300" t="str">
        <f>_xlfn.IFNA(VLOOKUP($AI587,Programma!$F$3:$I$1107,4,0),"")</f>
        <v>2w</v>
      </c>
      <c r="AM587" s="300" t="str">
        <f>_xlfn.IFNA(VLOOKUP($AI587,Programma!$F$3:$J$1107,5,0),"")</f>
        <v>1w</v>
      </c>
      <c r="AN587" s="300" t="str">
        <f>_xlfn.IFNA(VLOOKUP($AI587,Programma!$F$3:$K$1107,6,0),"")</f>
        <v>_</v>
      </c>
      <c r="AO587" s="300" t="str">
        <f>_xlfn.IFNA(VLOOKUP($AI587,Programma!$F$3:$L$1107,7,0),"")</f>
        <v>_</v>
      </c>
      <c r="AP587" s="300" t="str">
        <f>_xlfn.IFNA(VLOOKUP($AI587,Programma!$F$3:$M$1107,8,0),"")</f>
        <v>_</v>
      </c>
      <c r="AQ587" s="300" t="str">
        <f>_xlfn.IFNA(VLOOKUP($AI587,Programma!$F$3:$N$1107,9,0),"")</f>
        <v>_</v>
      </c>
      <c r="AR587" s="300" t="str">
        <f>_xlfn.IFNA(VLOOKUP($AI587,Programma!$F$3:$O$1107,10,0),"")</f>
        <v>3w</v>
      </c>
      <c r="AS587" s="300" t="str">
        <f>_xlfn.IFNA(VLOOKUP($AI587,Programma!$F$3:$P$1107,11,0),"")</f>
        <v>3w</v>
      </c>
      <c r="AT587" s="300" t="str">
        <f>_xlfn.IFNA(VLOOKUP($AI587,Programma!$F$3:$Q$1107,12,0),"")</f>
        <v>1w</v>
      </c>
      <c r="AU587" s="300" t="str">
        <f>_xlfn.IFNA(VLOOKUP($AI587,Programma!$F$3:$R$1107,13,0),"")</f>
        <v>1w</v>
      </c>
      <c r="AV587" s="300" t="str">
        <f>_xlfn.IFNA(VLOOKUP($AI587,Programma!$F$3:$S$1107,14,0),"")</f>
        <v>1m</v>
      </c>
      <c r="AW587" s="300" t="str">
        <f>_xlfn.IFNA(VLOOKUP($AI587,Programma!$F$3:$T$1107,15,0),"")</f>
        <v>2j</v>
      </c>
      <c r="AX587" s="300" t="str">
        <f>_xlfn.IFNA(VLOOKUP($AI587,Programma!$F$3:$U$1107,16,0),"")</f>
        <v>1j</v>
      </c>
      <c r="AY587" s="300" t="str">
        <f>_xlfn.IFNA(VLOOKUP($AI587,Programma!$F$3:$V$1107,17,0),"")</f>
        <v>_</v>
      </c>
      <c r="AZ587" s="300" t="str">
        <f>_xlfn.IFNA(VLOOKUP($AI587,Programma!$F$3:$W$1107,18,0),"")</f>
        <v>_</v>
      </c>
      <c r="BA587" s="300" t="str">
        <f>_xlfn.IFNA(VLOOKUP($AI587,Programma!$F$3:$X$1107,19,0),"")</f>
        <v>_</v>
      </c>
      <c r="BB587" s="300" t="str">
        <f>_xlfn.IFNA(VLOOKUP($AI587,Programma!$F$3:$Y$1107,20,0),"")</f>
        <v>_</v>
      </c>
      <c r="BC587" s="257"/>
      <c r="BD587" s="256" t="str">
        <f>IF(Ruimtestaat[[#This Row],[Frequentie weekend]]="","",_xlfn.CONCAT(Ruimtestaat[[#This Row],[Ruimte code]],"-",Ruimtestaat[[#This Row],[Frequentie weekend]]," ",Ruimtestaat[[#This Row],[Vloer code]]))</f>
        <v/>
      </c>
      <c r="BE587" s="300" t="str">
        <f>_xlfn.IFNA(VLOOKUP($BD587,Programma!$F$3:$G$1107,2,0),"")</f>
        <v/>
      </c>
      <c r="BF587" s="300" t="str">
        <f>_xlfn.IFNA(VLOOKUP($BD587,Programma!$F$3:$H$1107,3,0),"")</f>
        <v/>
      </c>
      <c r="BG587" s="300" t="str">
        <f>_xlfn.IFNA(VLOOKUP($BD587,Programma!$F$3:$I$1107,4,0),"")</f>
        <v/>
      </c>
      <c r="BH587" s="300" t="str">
        <f>_xlfn.IFNA(VLOOKUP($BD587,Programma!$F$3:$J$1107,5,0),"")</f>
        <v/>
      </c>
      <c r="BI587" s="300" t="str">
        <f>_xlfn.IFNA(VLOOKUP($BD587,Programma!$F$3:$K$1107,6,0),"")</f>
        <v/>
      </c>
      <c r="BJ587" s="300" t="str">
        <f>_xlfn.IFNA(VLOOKUP($BD587,Programma!$F$3:$L$1107,7,0),"")</f>
        <v/>
      </c>
      <c r="BK587" s="300" t="str">
        <f>_xlfn.IFNA(VLOOKUP($BD587,Programma!$F$3:$M$1107,8,0),"")</f>
        <v/>
      </c>
      <c r="BL587" s="300" t="str">
        <f>_xlfn.IFNA(VLOOKUP($BD587,Programma!$F$3:$N$1107,9,0),"")</f>
        <v/>
      </c>
      <c r="BM587" s="300" t="str">
        <f>_xlfn.IFNA(VLOOKUP($BD587,Programma!$F$3:$O$1107,10,0),"")</f>
        <v/>
      </c>
      <c r="BN587" s="300" t="str">
        <f>_xlfn.IFNA(VLOOKUP($BD587,Programma!$F$3:$P$1107,11,0),"")</f>
        <v/>
      </c>
      <c r="BO587" s="300" t="str">
        <f>_xlfn.IFNA(VLOOKUP($BD587,Programma!$F$3:$Q$1107,12,0),"")</f>
        <v/>
      </c>
      <c r="BP587" s="300" t="str">
        <f>_xlfn.IFNA(VLOOKUP($BD587,Programma!$F$3:$R$1107,13,0),"")</f>
        <v/>
      </c>
      <c r="BQ587" s="300" t="str">
        <f>_xlfn.IFNA(VLOOKUP($BD587,Programma!$F$3:$S$1107,14,0),"")</f>
        <v/>
      </c>
      <c r="BR587" s="300" t="str">
        <f>_xlfn.IFNA(VLOOKUP($BD587,Programma!$F$3:$T$1107,15,0),"")</f>
        <v/>
      </c>
      <c r="BS587" s="300" t="str">
        <f>_xlfn.IFNA(VLOOKUP($BD587,Programma!$F$3:$U$1107,16,0),"")</f>
        <v/>
      </c>
      <c r="BT587" s="300" t="str">
        <f>_xlfn.IFNA(VLOOKUP($BD587,Programma!$F$3:$V$1107,17,0),"")</f>
        <v/>
      </c>
      <c r="BU587" s="300" t="str">
        <f>_xlfn.IFNA(VLOOKUP($BD587,Programma!$F$3:$W$1107,18,0),"")</f>
        <v/>
      </c>
      <c r="BV587" s="300" t="str">
        <f>_xlfn.IFNA(VLOOKUP($BD587,Programma!$F$3:$X$1107,19,0),"")</f>
        <v/>
      </c>
      <c r="BW587" s="300" t="str">
        <f>_xlfn.IFNA(VLOOKUP($BD587,Programma!$F$3:$Y$1107,20,0),"")</f>
        <v/>
      </c>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c r="GK587" s="4"/>
      <c r="GL587" s="4"/>
      <c r="GM587" s="4"/>
      <c r="GN587" s="4"/>
      <c r="GO587" s="4"/>
      <c r="GP587" s="4"/>
      <c r="GQ587" s="4"/>
      <c r="GR587" s="4"/>
      <c r="GS587" s="4"/>
      <c r="GT587" s="4"/>
      <c r="GU587" s="4"/>
      <c r="GV587" s="4"/>
      <c r="GW587" s="4"/>
      <c r="GX587" s="4"/>
      <c r="GY587" s="4"/>
      <c r="GZ587" s="4"/>
      <c r="HA587" s="4"/>
      <c r="HB587" s="4"/>
      <c r="HC587" s="4"/>
      <c r="HD587" s="4"/>
      <c r="HE587" s="4"/>
      <c r="HF587" s="4"/>
      <c r="HG587" s="4"/>
      <c r="HH587" s="4"/>
      <c r="HI587" s="4"/>
      <c r="HJ587" s="4"/>
      <c r="HK587" s="4"/>
      <c r="HL587" s="4"/>
    </row>
    <row r="588" spans="1:220" ht="15" customHeight="1">
      <c r="A588" s="21">
        <v>7</v>
      </c>
      <c r="B588" s="157" t="str">
        <f>VLOOKUP(Ruimtestaat[[#This Row],[Code]],Locaties[[Code]:[Locatie]],2,FALSE)</f>
        <v>Gymnasium Novum</v>
      </c>
      <c r="C588" s="157" t="str">
        <f>VLOOKUP(Ruimtestaat[[#This Row],[Code]],Locaties[[#All],[Code]:[Adres]],4,FALSE)</f>
        <v>Aart v.d. Leeuwkade 1</v>
      </c>
      <c r="D588" s="157" t="str">
        <f>VLOOKUP(Ruimtestaat[[#This Row],[Code]],Locaties[[#All],[Code]:[Postcode]],5,FALSE)</f>
        <v>2274 KX</v>
      </c>
      <c r="E588" s="157" t="str">
        <f>VLOOKUP(Ruimtestaat[[#This Row],[Code]],Locaties[#All],6,FALSE)</f>
        <v>Voorburg</v>
      </c>
      <c r="F588" s="62"/>
      <c r="G588" s="21" t="s">
        <v>1632</v>
      </c>
      <c r="H588" s="21">
        <v>42</v>
      </c>
      <c r="I588" s="62" t="s">
        <v>2150</v>
      </c>
      <c r="J588" s="21">
        <v>2</v>
      </c>
      <c r="K588" s="62" t="str">
        <f>VLOOKUP(Ruimtestaat[[#This Row],[Ruimte code]],Ruimtegroepen[[#All],[Code]:[Ruimte omschrijving]],2,FALSE)</f>
        <v>Kantoren</v>
      </c>
      <c r="L588" s="33" t="s">
        <v>101</v>
      </c>
      <c r="M588" s="367" t="s">
        <v>2495</v>
      </c>
      <c r="N588" s="140">
        <v>15</v>
      </c>
      <c r="O588" s="140"/>
      <c r="P588" s="125" t="str">
        <f>VLOOKUP(Ruimtestaat[[#This Row],[Ruimte code]],Ruimtegroepen[],4,FALSE)</f>
        <v>Bu</v>
      </c>
      <c r="R588" s="33">
        <v>42</v>
      </c>
      <c r="S588" s="33" t="s">
        <v>18</v>
      </c>
      <c r="T588" s="33">
        <f>IF(R588&gt;0,IF(RIGHT(Ruimtestaat[[#This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88" s="33">
        <f>IF(T588&gt;0,VLOOKUP($J588,Ruimtegroepen[],3,FALSE)*VLOOKUP($L588,Vloersoorten[],3,FALSE)*VLOOKUP($S588,Frequenties[],3,FALSE)*VLOOKUP($A588,Locaties[],3,FALSE),0)</f>
        <v>0</v>
      </c>
      <c r="V588" s="33">
        <f>Ruimtestaat[[#This Row],[Uitvoeringen werkdagen]]*Ruimtestaat[[#This Row],[Oppervlak (netto)]]</f>
        <v>1890</v>
      </c>
      <c r="W588" s="154">
        <f>IF(U588&gt;0,Ruimtestaat[[#This Row],[Prest. (m2 /jaar) werkdagen]]/Ruimtestaat[[#This Row],[Norm (m2/uur) werkdagen]],0)</f>
        <v>0</v>
      </c>
      <c r="X588" s="155">
        <f>Ruimtestaat[[#This Row],[uren / jaar werkdagen]]*Tariefsopbouw!$E$35</f>
        <v>0</v>
      </c>
      <c r="Y588" s="33"/>
      <c r="Z588" s="33">
        <f>IF(Ruimtestaat[[#This Row],[Frequentie weekend]]&gt;0,VALUE(LEFT(Y588,1))*R588,0)</f>
        <v>0</v>
      </c>
      <c r="AA588" s="97">
        <f>IF($Z588&gt;0,VLOOKUP($J588,Ruimtegroepen[],3,FALSE)*VLOOKUP($L588,Vloersoorten[],3,FALSE)*VLOOKUP($Y588,Frequenties[],3,FALSE)*VLOOKUP(Ruimtestaat[[#This Row],[Code]],Locaties[],3,FALSE),0)</f>
        <v>0</v>
      </c>
      <c r="AB588" s="97">
        <f>Ruimtestaat[[#This Row],[Uitvoeringen weekend]]*Ruimtestaat[[#This Row],[Oppervlak (netto)]]</f>
        <v>0</v>
      </c>
      <c r="AC588" s="97">
        <f>IF(AA588&gt;0,Ruimtestaat[[#This Row],[Prest. (m2 /jaar) weekend]]/Ruimtestaat[[#This Row],[Norm (m2/uur) weekend]],0)</f>
        <v>0</v>
      </c>
      <c r="AD588" s="155">
        <f>Ruimtestaat[[#This Row],[uren / jaar weekend]]*Tariefsopbouw!$D$40</f>
        <v>0</v>
      </c>
      <c r="AE588" s="154">
        <f>Ruimtestaat[[#This Row],[Prest. (m2 /jaar) weekend]]+Ruimtestaat[[#This Row],[Prest. (m2 /jaar) werkdagen]]</f>
        <v>1890</v>
      </c>
      <c r="AF588" s="154">
        <f>Ruimtestaat[[#This Row],[uren / jaar weekend]]+Ruimtestaat[[#This Row],[uren / jaar werkdagen]]</f>
        <v>0</v>
      </c>
      <c r="AG588" s="69">
        <f>Ruimtestaat[[#This Row],[kosten / jaar weekend]]+Ruimtestaat[[#This Row],[kosten / jaar werkdagen]]</f>
        <v>0</v>
      </c>
      <c r="AH588" s="69"/>
      <c r="AI588" s="256" t="str">
        <f>IF(Ruimtestaat[[#This Row],[Frequentie werkdagen]]="","",_xlfn.CONCAT(Ruimtestaat[[#This Row],[Ruimte code]],"-",Ruimtestaat[[#This Row],[Frequentie werkdagen]]," ",Ruimtestaat[[#This Row],[Vloer code]]))</f>
        <v>2-3w L</v>
      </c>
      <c r="AJ588" s="300" t="str">
        <f>_xlfn.IFNA(VLOOKUP($AI588,Programma!$F$3:$G$1107,2,0),"")</f>
        <v>_</v>
      </c>
      <c r="AK588" s="300" t="str">
        <f>_xlfn.IFNA(VLOOKUP($AI588,Programma!$F$3:$H$1107,3,0),"")</f>
        <v>_</v>
      </c>
      <c r="AL588" s="300" t="str">
        <f>_xlfn.IFNA(VLOOKUP($AI588,Programma!$F$3:$I$1107,4,0),"")</f>
        <v>2w</v>
      </c>
      <c r="AM588" s="300" t="str">
        <f>_xlfn.IFNA(VLOOKUP($AI588,Programma!$F$3:$J$1107,5,0),"")</f>
        <v>1w</v>
      </c>
      <c r="AN588" s="300" t="str">
        <f>_xlfn.IFNA(VLOOKUP($AI588,Programma!$F$3:$K$1107,6,0),"")</f>
        <v>_</v>
      </c>
      <c r="AO588" s="300" t="str">
        <f>_xlfn.IFNA(VLOOKUP($AI588,Programma!$F$3:$L$1107,7,0),"")</f>
        <v>_</v>
      </c>
      <c r="AP588" s="300" t="str">
        <f>_xlfn.IFNA(VLOOKUP($AI588,Programma!$F$3:$M$1107,8,0),"")</f>
        <v>_</v>
      </c>
      <c r="AQ588" s="300" t="str">
        <f>_xlfn.IFNA(VLOOKUP($AI588,Programma!$F$3:$N$1107,9,0),"")</f>
        <v>_</v>
      </c>
      <c r="AR588" s="300" t="str">
        <f>_xlfn.IFNA(VLOOKUP($AI588,Programma!$F$3:$O$1107,10,0),"")</f>
        <v>3w</v>
      </c>
      <c r="AS588" s="300" t="str">
        <f>_xlfn.IFNA(VLOOKUP($AI588,Programma!$F$3:$P$1107,11,0),"")</f>
        <v>3w</v>
      </c>
      <c r="AT588" s="300" t="str">
        <f>_xlfn.IFNA(VLOOKUP($AI588,Programma!$F$3:$Q$1107,12,0),"")</f>
        <v>1w</v>
      </c>
      <c r="AU588" s="300" t="str">
        <f>_xlfn.IFNA(VLOOKUP($AI588,Programma!$F$3:$R$1107,13,0),"")</f>
        <v>1w</v>
      </c>
      <c r="AV588" s="300" t="str">
        <f>_xlfn.IFNA(VLOOKUP($AI588,Programma!$F$3:$S$1107,14,0),"")</f>
        <v>1m</v>
      </c>
      <c r="AW588" s="300" t="str">
        <f>_xlfn.IFNA(VLOOKUP($AI588,Programma!$F$3:$T$1107,15,0),"")</f>
        <v>2j</v>
      </c>
      <c r="AX588" s="300" t="str">
        <f>_xlfn.IFNA(VLOOKUP($AI588,Programma!$F$3:$U$1107,16,0),"")</f>
        <v>1j</v>
      </c>
      <c r="AY588" s="300" t="str">
        <f>_xlfn.IFNA(VLOOKUP($AI588,Programma!$F$3:$V$1107,17,0),"")</f>
        <v>_</v>
      </c>
      <c r="AZ588" s="300" t="str">
        <f>_xlfn.IFNA(VLOOKUP($AI588,Programma!$F$3:$W$1107,18,0),"")</f>
        <v>_</v>
      </c>
      <c r="BA588" s="300" t="str">
        <f>_xlfn.IFNA(VLOOKUP($AI588,Programma!$F$3:$X$1107,19,0),"")</f>
        <v>_</v>
      </c>
      <c r="BB588" s="300" t="str">
        <f>_xlfn.IFNA(VLOOKUP($AI588,Programma!$F$3:$Y$1107,20,0),"")</f>
        <v>_</v>
      </c>
      <c r="BC588" s="257"/>
      <c r="BD588" s="256" t="str">
        <f>IF(Ruimtestaat[[#This Row],[Frequentie weekend]]="","",_xlfn.CONCAT(Ruimtestaat[[#This Row],[Ruimte code]],"-",Ruimtestaat[[#This Row],[Frequentie weekend]]," ",Ruimtestaat[[#This Row],[Vloer code]]))</f>
        <v/>
      </c>
      <c r="BE588" s="300" t="str">
        <f>_xlfn.IFNA(VLOOKUP($BD588,Programma!$F$3:$G$1107,2,0),"")</f>
        <v/>
      </c>
      <c r="BF588" s="300" t="str">
        <f>_xlfn.IFNA(VLOOKUP($BD588,Programma!$F$3:$H$1107,3,0),"")</f>
        <v/>
      </c>
      <c r="BG588" s="300" t="str">
        <f>_xlfn.IFNA(VLOOKUP($BD588,Programma!$F$3:$I$1107,4,0),"")</f>
        <v/>
      </c>
      <c r="BH588" s="300" t="str">
        <f>_xlfn.IFNA(VLOOKUP($BD588,Programma!$F$3:$J$1107,5,0),"")</f>
        <v/>
      </c>
      <c r="BI588" s="300" t="str">
        <f>_xlfn.IFNA(VLOOKUP($BD588,Programma!$F$3:$K$1107,6,0),"")</f>
        <v/>
      </c>
      <c r="BJ588" s="300" t="str">
        <f>_xlfn.IFNA(VLOOKUP($BD588,Programma!$F$3:$L$1107,7,0),"")</f>
        <v/>
      </c>
      <c r="BK588" s="300" t="str">
        <f>_xlfn.IFNA(VLOOKUP($BD588,Programma!$F$3:$M$1107,8,0),"")</f>
        <v/>
      </c>
      <c r="BL588" s="300" t="str">
        <f>_xlfn.IFNA(VLOOKUP($BD588,Programma!$F$3:$N$1107,9,0),"")</f>
        <v/>
      </c>
      <c r="BM588" s="300" t="str">
        <f>_xlfn.IFNA(VLOOKUP($BD588,Programma!$F$3:$O$1107,10,0),"")</f>
        <v/>
      </c>
      <c r="BN588" s="300" t="str">
        <f>_xlfn.IFNA(VLOOKUP($BD588,Programma!$F$3:$P$1107,11,0),"")</f>
        <v/>
      </c>
      <c r="BO588" s="300" t="str">
        <f>_xlfn.IFNA(VLOOKUP($BD588,Programma!$F$3:$Q$1107,12,0),"")</f>
        <v/>
      </c>
      <c r="BP588" s="300" t="str">
        <f>_xlfn.IFNA(VLOOKUP($BD588,Programma!$F$3:$R$1107,13,0),"")</f>
        <v/>
      </c>
      <c r="BQ588" s="300" t="str">
        <f>_xlfn.IFNA(VLOOKUP($BD588,Programma!$F$3:$S$1107,14,0),"")</f>
        <v/>
      </c>
      <c r="BR588" s="300" t="str">
        <f>_xlfn.IFNA(VLOOKUP($BD588,Programma!$F$3:$T$1107,15,0),"")</f>
        <v/>
      </c>
      <c r="BS588" s="300" t="str">
        <f>_xlfn.IFNA(VLOOKUP($BD588,Programma!$F$3:$U$1107,16,0),"")</f>
        <v/>
      </c>
      <c r="BT588" s="300" t="str">
        <f>_xlfn.IFNA(VLOOKUP($BD588,Programma!$F$3:$V$1107,17,0),"")</f>
        <v/>
      </c>
      <c r="BU588" s="300" t="str">
        <f>_xlfn.IFNA(VLOOKUP($BD588,Programma!$F$3:$W$1107,18,0),"")</f>
        <v/>
      </c>
      <c r="BV588" s="300" t="str">
        <f>_xlfn.IFNA(VLOOKUP($BD588,Programma!$F$3:$X$1107,19,0),"")</f>
        <v/>
      </c>
      <c r="BW588" s="300" t="str">
        <f>_xlfn.IFNA(VLOOKUP($BD588,Programma!$F$3:$Y$1107,20,0),"")</f>
        <v/>
      </c>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c r="GK588" s="4"/>
      <c r="GL588" s="4"/>
      <c r="GM588" s="4"/>
      <c r="GN588" s="4"/>
      <c r="GO588" s="4"/>
      <c r="GP588" s="4"/>
      <c r="GQ588" s="4"/>
      <c r="GR588" s="4"/>
      <c r="GS588" s="4"/>
      <c r="GT588" s="4"/>
      <c r="GU588" s="4"/>
      <c r="GV588" s="4"/>
      <c r="GW588" s="4"/>
      <c r="GX588" s="4"/>
      <c r="GY588" s="4"/>
      <c r="GZ588" s="4"/>
      <c r="HA588" s="4"/>
      <c r="HB588" s="4"/>
      <c r="HC588" s="4"/>
      <c r="HD588" s="4"/>
      <c r="HE588" s="4"/>
      <c r="HF588" s="4"/>
      <c r="HG588" s="4"/>
      <c r="HH588" s="4"/>
      <c r="HI588" s="4"/>
      <c r="HJ588" s="4"/>
      <c r="HK588" s="4"/>
      <c r="HL588" s="4"/>
    </row>
    <row r="589" spans="1:220" ht="15" customHeight="1">
      <c r="A589" s="21">
        <v>7</v>
      </c>
      <c r="B589" s="157" t="str">
        <f>VLOOKUP(Ruimtestaat[[#This Row],[Code]],Locaties[[Code]:[Locatie]],2,FALSE)</f>
        <v>Gymnasium Novum</v>
      </c>
      <c r="C589" s="157" t="str">
        <f>VLOOKUP(Ruimtestaat[[#This Row],[Code]],Locaties[[#All],[Code]:[Adres]],4,FALSE)</f>
        <v>Aart v.d. Leeuwkade 1</v>
      </c>
      <c r="D589" s="157" t="str">
        <f>VLOOKUP(Ruimtestaat[[#This Row],[Code]],Locaties[[#All],[Code]:[Postcode]],5,FALSE)</f>
        <v>2274 KX</v>
      </c>
      <c r="E589" s="157" t="str">
        <f>VLOOKUP(Ruimtestaat[[#This Row],[Code]],Locaties[#All],6,FALSE)</f>
        <v>Voorburg</v>
      </c>
      <c r="F589" s="62"/>
      <c r="G589" s="21" t="s">
        <v>1632</v>
      </c>
      <c r="H589" s="21">
        <v>43</v>
      </c>
      <c r="I589" s="62" t="s">
        <v>2151</v>
      </c>
      <c r="J589" s="21">
        <v>2</v>
      </c>
      <c r="K589" s="62" t="str">
        <f>VLOOKUP(Ruimtestaat[[#This Row],[Ruimte code]],Ruimtegroepen[[#All],[Code]:[Ruimte omschrijving]],2,FALSE)</f>
        <v>Kantoren</v>
      </c>
      <c r="L589" s="33" t="s">
        <v>101</v>
      </c>
      <c r="M589" s="367" t="s">
        <v>2495</v>
      </c>
      <c r="N589" s="140">
        <v>15</v>
      </c>
      <c r="O589" s="140"/>
      <c r="P589" s="125" t="str">
        <f>VLOOKUP(Ruimtestaat[[#This Row],[Ruimte code]],Ruimtegroepen[],4,FALSE)</f>
        <v>Bu</v>
      </c>
      <c r="R589" s="33">
        <v>42</v>
      </c>
      <c r="S589" s="33" t="s">
        <v>18</v>
      </c>
      <c r="T589" s="33">
        <f>IF(R589&gt;0,IF(RIGHT(Ruimtestaat[[#This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89" s="33">
        <f>IF(T589&gt;0,VLOOKUP($J589,Ruimtegroepen[],3,FALSE)*VLOOKUP($L589,Vloersoorten[],3,FALSE)*VLOOKUP($S589,Frequenties[],3,FALSE)*VLOOKUP($A589,Locaties[],3,FALSE),0)</f>
        <v>0</v>
      </c>
      <c r="V589" s="33">
        <f>Ruimtestaat[[#This Row],[Uitvoeringen werkdagen]]*Ruimtestaat[[#This Row],[Oppervlak (netto)]]</f>
        <v>1890</v>
      </c>
      <c r="W589" s="154">
        <f>IF(U589&gt;0,Ruimtestaat[[#This Row],[Prest. (m2 /jaar) werkdagen]]/Ruimtestaat[[#This Row],[Norm (m2/uur) werkdagen]],0)</f>
        <v>0</v>
      </c>
      <c r="X589" s="155">
        <f>Ruimtestaat[[#This Row],[uren / jaar werkdagen]]*Tariefsopbouw!$E$35</f>
        <v>0</v>
      </c>
      <c r="Y589" s="33"/>
      <c r="Z589" s="33">
        <f>IF(Ruimtestaat[[#This Row],[Frequentie weekend]]&gt;0,VALUE(LEFT(Y589,1))*R589,0)</f>
        <v>0</v>
      </c>
      <c r="AA589" s="97">
        <f>IF($Z589&gt;0,VLOOKUP($J589,Ruimtegroepen[],3,FALSE)*VLOOKUP($L589,Vloersoorten[],3,FALSE)*VLOOKUP($Y589,Frequenties[],3,FALSE)*VLOOKUP(Ruimtestaat[[#This Row],[Code]],Locaties[],3,FALSE),0)</f>
        <v>0</v>
      </c>
      <c r="AB589" s="97">
        <f>Ruimtestaat[[#This Row],[Uitvoeringen weekend]]*Ruimtestaat[[#This Row],[Oppervlak (netto)]]</f>
        <v>0</v>
      </c>
      <c r="AC589" s="97">
        <f>IF(AA589&gt;0,Ruimtestaat[[#This Row],[Prest. (m2 /jaar) weekend]]/Ruimtestaat[[#This Row],[Norm (m2/uur) weekend]],0)</f>
        <v>0</v>
      </c>
      <c r="AD589" s="155">
        <f>Ruimtestaat[[#This Row],[uren / jaar weekend]]*Tariefsopbouw!$D$40</f>
        <v>0</v>
      </c>
      <c r="AE589" s="154">
        <f>Ruimtestaat[[#This Row],[Prest. (m2 /jaar) weekend]]+Ruimtestaat[[#This Row],[Prest. (m2 /jaar) werkdagen]]</f>
        <v>1890</v>
      </c>
      <c r="AF589" s="154">
        <f>Ruimtestaat[[#This Row],[uren / jaar weekend]]+Ruimtestaat[[#This Row],[uren / jaar werkdagen]]</f>
        <v>0</v>
      </c>
      <c r="AG589" s="69">
        <f>Ruimtestaat[[#This Row],[kosten / jaar weekend]]+Ruimtestaat[[#This Row],[kosten / jaar werkdagen]]</f>
        <v>0</v>
      </c>
      <c r="AH589" s="69"/>
      <c r="AI589" s="256" t="str">
        <f>IF(Ruimtestaat[[#This Row],[Frequentie werkdagen]]="","",_xlfn.CONCAT(Ruimtestaat[[#This Row],[Ruimte code]],"-",Ruimtestaat[[#This Row],[Frequentie werkdagen]]," ",Ruimtestaat[[#This Row],[Vloer code]]))</f>
        <v>2-3w L</v>
      </c>
      <c r="AJ589" s="300" t="str">
        <f>_xlfn.IFNA(VLOOKUP($AI589,Programma!$F$3:$G$1107,2,0),"")</f>
        <v>_</v>
      </c>
      <c r="AK589" s="300" t="str">
        <f>_xlfn.IFNA(VLOOKUP($AI589,Programma!$F$3:$H$1107,3,0),"")</f>
        <v>_</v>
      </c>
      <c r="AL589" s="300" t="str">
        <f>_xlfn.IFNA(VLOOKUP($AI589,Programma!$F$3:$I$1107,4,0),"")</f>
        <v>2w</v>
      </c>
      <c r="AM589" s="300" t="str">
        <f>_xlfn.IFNA(VLOOKUP($AI589,Programma!$F$3:$J$1107,5,0),"")</f>
        <v>1w</v>
      </c>
      <c r="AN589" s="300" t="str">
        <f>_xlfn.IFNA(VLOOKUP($AI589,Programma!$F$3:$K$1107,6,0),"")</f>
        <v>_</v>
      </c>
      <c r="AO589" s="300" t="str">
        <f>_xlfn.IFNA(VLOOKUP($AI589,Programma!$F$3:$L$1107,7,0),"")</f>
        <v>_</v>
      </c>
      <c r="AP589" s="300" t="str">
        <f>_xlfn.IFNA(VLOOKUP($AI589,Programma!$F$3:$M$1107,8,0),"")</f>
        <v>_</v>
      </c>
      <c r="AQ589" s="300" t="str">
        <f>_xlfn.IFNA(VLOOKUP($AI589,Programma!$F$3:$N$1107,9,0),"")</f>
        <v>_</v>
      </c>
      <c r="AR589" s="300" t="str">
        <f>_xlfn.IFNA(VLOOKUP($AI589,Programma!$F$3:$O$1107,10,0),"")</f>
        <v>3w</v>
      </c>
      <c r="AS589" s="300" t="str">
        <f>_xlfn.IFNA(VLOOKUP($AI589,Programma!$F$3:$P$1107,11,0),"")</f>
        <v>3w</v>
      </c>
      <c r="AT589" s="300" t="str">
        <f>_xlfn.IFNA(VLOOKUP($AI589,Programma!$F$3:$Q$1107,12,0),"")</f>
        <v>1w</v>
      </c>
      <c r="AU589" s="300" t="str">
        <f>_xlfn.IFNA(VLOOKUP($AI589,Programma!$F$3:$R$1107,13,0),"")</f>
        <v>1w</v>
      </c>
      <c r="AV589" s="300" t="str">
        <f>_xlfn.IFNA(VLOOKUP($AI589,Programma!$F$3:$S$1107,14,0),"")</f>
        <v>1m</v>
      </c>
      <c r="AW589" s="300" t="str">
        <f>_xlfn.IFNA(VLOOKUP($AI589,Programma!$F$3:$T$1107,15,0),"")</f>
        <v>2j</v>
      </c>
      <c r="AX589" s="300" t="str">
        <f>_xlfn.IFNA(VLOOKUP($AI589,Programma!$F$3:$U$1107,16,0),"")</f>
        <v>1j</v>
      </c>
      <c r="AY589" s="300" t="str">
        <f>_xlfn.IFNA(VLOOKUP($AI589,Programma!$F$3:$V$1107,17,0),"")</f>
        <v>_</v>
      </c>
      <c r="AZ589" s="300" t="str">
        <f>_xlfn.IFNA(VLOOKUP($AI589,Programma!$F$3:$W$1107,18,0),"")</f>
        <v>_</v>
      </c>
      <c r="BA589" s="300" t="str">
        <f>_xlfn.IFNA(VLOOKUP($AI589,Programma!$F$3:$X$1107,19,0),"")</f>
        <v>_</v>
      </c>
      <c r="BB589" s="300" t="str">
        <f>_xlfn.IFNA(VLOOKUP($AI589,Programma!$F$3:$Y$1107,20,0),"")</f>
        <v>_</v>
      </c>
      <c r="BC589" s="257"/>
      <c r="BD589" s="256" t="str">
        <f>IF(Ruimtestaat[[#This Row],[Frequentie weekend]]="","",_xlfn.CONCAT(Ruimtestaat[[#This Row],[Ruimte code]],"-",Ruimtestaat[[#This Row],[Frequentie weekend]]," ",Ruimtestaat[[#This Row],[Vloer code]]))</f>
        <v/>
      </c>
      <c r="BE589" s="300" t="str">
        <f>_xlfn.IFNA(VLOOKUP($BD589,Programma!$F$3:$G$1107,2,0),"")</f>
        <v/>
      </c>
      <c r="BF589" s="300" t="str">
        <f>_xlfn.IFNA(VLOOKUP($BD589,Programma!$F$3:$H$1107,3,0),"")</f>
        <v/>
      </c>
      <c r="BG589" s="300" t="str">
        <f>_xlfn.IFNA(VLOOKUP($BD589,Programma!$F$3:$I$1107,4,0),"")</f>
        <v/>
      </c>
      <c r="BH589" s="300" t="str">
        <f>_xlfn.IFNA(VLOOKUP($BD589,Programma!$F$3:$J$1107,5,0),"")</f>
        <v/>
      </c>
      <c r="BI589" s="300" t="str">
        <f>_xlfn.IFNA(VLOOKUP($BD589,Programma!$F$3:$K$1107,6,0),"")</f>
        <v/>
      </c>
      <c r="BJ589" s="300" t="str">
        <f>_xlfn.IFNA(VLOOKUP($BD589,Programma!$F$3:$L$1107,7,0),"")</f>
        <v/>
      </c>
      <c r="BK589" s="300" t="str">
        <f>_xlfn.IFNA(VLOOKUP($BD589,Programma!$F$3:$M$1107,8,0),"")</f>
        <v/>
      </c>
      <c r="BL589" s="300" t="str">
        <f>_xlfn.IFNA(VLOOKUP($BD589,Programma!$F$3:$N$1107,9,0),"")</f>
        <v/>
      </c>
      <c r="BM589" s="300" t="str">
        <f>_xlfn.IFNA(VLOOKUP($BD589,Programma!$F$3:$O$1107,10,0),"")</f>
        <v/>
      </c>
      <c r="BN589" s="300" t="str">
        <f>_xlfn.IFNA(VLOOKUP($BD589,Programma!$F$3:$P$1107,11,0),"")</f>
        <v/>
      </c>
      <c r="BO589" s="300" t="str">
        <f>_xlfn.IFNA(VLOOKUP($BD589,Programma!$F$3:$Q$1107,12,0),"")</f>
        <v/>
      </c>
      <c r="BP589" s="300" t="str">
        <f>_xlfn.IFNA(VLOOKUP($BD589,Programma!$F$3:$R$1107,13,0),"")</f>
        <v/>
      </c>
      <c r="BQ589" s="300" t="str">
        <f>_xlfn.IFNA(VLOOKUP($BD589,Programma!$F$3:$S$1107,14,0),"")</f>
        <v/>
      </c>
      <c r="BR589" s="300" t="str">
        <f>_xlfn.IFNA(VLOOKUP($BD589,Programma!$F$3:$T$1107,15,0),"")</f>
        <v/>
      </c>
      <c r="BS589" s="300" t="str">
        <f>_xlfn.IFNA(VLOOKUP($BD589,Programma!$F$3:$U$1107,16,0),"")</f>
        <v/>
      </c>
      <c r="BT589" s="300" t="str">
        <f>_xlfn.IFNA(VLOOKUP($BD589,Programma!$F$3:$V$1107,17,0),"")</f>
        <v/>
      </c>
      <c r="BU589" s="300" t="str">
        <f>_xlfn.IFNA(VLOOKUP($BD589,Programma!$F$3:$W$1107,18,0),"")</f>
        <v/>
      </c>
      <c r="BV589" s="300" t="str">
        <f>_xlfn.IFNA(VLOOKUP($BD589,Programma!$F$3:$X$1107,19,0),"")</f>
        <v/>
      </c>
      <c r="BW589" s="300" t="str">
        <f>_xlfn.IFNA(VLOOKUP($BD589,Programma!$F$3:$Y$1107,20,0),"")</f>
        <v/>
      </c>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c r="GK589" s="4"/>
      <c r="GL589" s="4"/>
      <c r="GM589" s="4"/>
      <c r="GN589" s="4"/>
      <c r="GO589" s="4"/>
      <c r="GP589" s="4"/>
      <c r="GQ589" s="4"/>
      <c r="GR589" s="4"/>
      <c r="GS589" s="4"/>
      <c r="GT589" s="4"/>
      <c r="GU589" s="4"/>
      <c r="GV589" s="4"/>
      <c r="GW589" s="4"/>
      <c r="GX589" s="4"/>
      <c r="GY589" s="4"/>
      <c r="GZ589" s="4"/>
      <c r="HA589" s="4"/>
      <c r="HB589" s="4"/>
      <c r="HC589" s="4"/>
      <c r="HD589" s="4"/>
      <c r="HE589" s="4"/>
      <c r="HF589" s="4"/>
      <c r="HG589" s="4"/>
      <c r="HH589" s="4"/>
      <c r="HI589" s="4"/>
      <c r="HJ589" s="4"/>
      <c r="HK589" s="4"/>
      <c r="HL589" s="4"/>
    </row>
    <row r="590" spans="1:220" ht="15" customHeight="1">
      <c r="A590" s="21">
        <v>7</v>
      </c>
      <c r="B590" s="157" t="str">
        <f>VLOOKUP(Ruimtestaat[[#This Row],[Code]],Locaties[[Code]:[Locatie]],2,FALSE)</f>
        <v>Gymnasium Novum</v>
      </c>
      <c r="C590" s="157" t="str">
        <f>VLOOKUP(Ruimtestaat[[#This Row],[Code]],Locaties[[#All],[Code]:[Adres]],4,FALSE)</f>
        <v>Aart v.d. Leeuwkade 1</v>
      </c>
      <c r="D590" s="157" t="str">
        <f>VLOOKUP(Ruimtestaat[[#This Row],[Code]],Locaties[[#All],[Code]:[Postcode]],5,FALSE)</f>
        <v>2274 KX</v>
      </c>
      <c r="E590" s="157" t="str">
        <f>VLOOKUP(Ruimtestaat[[#This Row],[Code]],Locaties[#All],6,FALSE)</f>
        <v>Voorburg</v>
      </c>
      <c r="F590" s="62"/>
      <c r="G590" s="21" t="s">
        <v>1632</v>
      </c>
      <c r="H590" s="21">
        <v>44</v>
      </c>
      <c r="I590" s="62" t="s">
        <v>2152</v>
      </c>
      <c r="J590" s="21">
        <v>2</v>
      </c>
      <c r="K590" s="62" t="str">
        <f>VLOOKUP(Ruimtestaat[[#This Row],[Ruimte code]],Ruimtegroepen[[#All],[Code]:[Ruimte omschrijving]],2,FALSE)</f>
        <v>Kantoren</v>
      </c>
      <c r="L590" s="33" t="s">
        <v>101</v>
      </c>
      <c r="M590" s="367" t="s">
        <v>2495</v>
      </c>
      <c r="N590" s="140">
        <v>14</v>
      </c>
      <c r="O590" s="140"/>
      <c r="P590" s="125" t="str">
        <f>VLOOKUP(Ruimtestaat[[#This Row],[Ruimte code]],Ruimtegroepen[],4,FALSE)</f>
        <v>Bu</v>
      </c>
      <c r="R590" s="33">
        <v>42</v>
      </c>
      <c r="S590" s="33" t="s">
        <v>18</v>
      </c>
      <c r="T590" s="33">
        <f>IF(R590&gt;0,IF(RIGHT(Ruimtestaat[[#This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90" s="33">
        <f>IF(T590&gt;0,VLOOKUP($J590,Ruimtegroepen[],3,FALSE)*VLOOKUP($L590,Vloersoorten[],3,FALSE)*VLOOKUP($S590,Frequenties[],3,FALSE)*VLOOKUP($A590,Locaties[],3,FALSE),0)</f>
        <v>0</v>
      </c>
      <c r="V590" s="33">
        <f>Ruimtestaat[[#This Row],[Uitvoeringen werkdagen]]*Ruimtestaat[[#This Row],[Oppervlak (netto)]]</f>
        <v>1764</v>
      </c>
      <c r="W590" s="154">
        <f>IF(U590&gt;0,Ruimtestaat[[#This Row],[Prest. (m2 /jaar) werkdagen]]/Ruimtestaat[[#This Row],[Norm (m2/uur) werkdagen]],0)</f>
        <v>0</v>
      </c>
      <c r="X590" s="155">
        <f>Ruimtestaat[[#This Row],[uren / jaar werkdagen]]*Tariefsopbouw!$E$35</f>
        <v>0</v>
      </c>
      <c r="Y590" s="33"/>
      <c r="Z590" s="33">
        <f>IF(Ruimtestaat[[#This Row],[Frequentie weekend]]&gt;0,VALUE(LEFT(Y590,1))*R590,0)</f>
        <v>0</v>
      </c>
      <c r="AA590" s="97">
        <f>IF($Z590&gt;0,VLOOKUP($J590,Ruimtegroepen[],3,FALSE)*VLOOKUP($L590,Vloersoorten[],3,FALSE)*VLOOKUP($Y590,Frequenties[],3,FALSE)*VLOOKUP(Ruimtestaat[[#This Row],[Code]],Locaties[],3,FALSE),0)</f>
        <v>0</v>
      </c>
      <c r="AB590" s="97">
        <f>Ruimtestaat[[#This Row],[Uitvoeringen weekend]]*Ruimtestaat[[#This Row],[Oppervlak (netto)]]</f>
        <v>0</v>
      </c>
      <c r="AC590" s="97">
        <f>IF(AA590&gt;0,Ruimtestaat[[#This Row],[Prest. (m2 /jaar) weekend]]/Ruimtestaat[[#This Row],[Norm (m2/uur) weekend]],0)</f>
        <v>0</v>
      </c>
      <c r="AD590" s="155">
        <f>Ruimtestaat[[#This Row],[uren / jaar weekend]]*Tariefsopbouw!$D$40</f>
        <v>0</v>
      </c>
      <c r="AE590" s="154">
        <f>Ruimtestaat[[#This Row],[Prest. (m2 /jaar) weekend]]+Ruimtestaat[[#This Row],[Prest. (m2 /jaar) werkdagen]]</f>
        <v>1764</v>
      </c>
      <c r="AF590" s="154">
        <f>Ruimtestaat[[#This Row],[uren / jaar weekend]]+Ruimtestaat[[#This Row],[uren / jaar werkdagen]]</f>
        <v>0</v>
      </c>
      <c r="AG590" s="69">
        <f>Ruimtestaat[[#This Row],[kosten / jaar weekend]]+Ruimtestaat[[#This Row],[kosten / jaar werkdagen]]</f>
        <v>0</v>
      </c>
      <c r="AH590" s="69"/>
      <c r="AI590" s="256" t="str">
        <f>IF(Ruimtestaat[[#This Row],[Frequentie werkdagen]]="","",_xlfn.CONCAT(Ruimtestaat[[#This Row],[Ruimte code]],"-",Ruimtestaat[[#This Row],[Frequentie werkdagen]]," ",Ruimtestaat[[#This Row],[Vloer code]]))</f>
        <v>2-3w L</v>
      </c>
      <c r="AJ590" s="300" t="str">
        <f>_xlfn.IFNA(VLOOKUP($AI590,Programma!$F$3:$G$1107,2,0),"")</f>
        <v>_</v>
      </c>
      <c r="AK590" s="300" t="str">
        <f>_xlfn.IFNA(VLOOKUP($AI590,Programma!$F$3:$H$1107,3,0),"")</f>
        <v>_</v>
      </c>
      <c r="AL590" s="300" t="str">
        <f>_xlfn.IFNA(VLOOKUP($AI590,Programma!$F$3:$I$1107,4,0),"")</f>
        <v>2w</v>
      </c>
      <c r="AM590" s="300" t="str">
        <f>_xlfn.IFNA(VLOOKUP($AI590,Programma!$F$3:$J$1107,5,0),"")</f>
        <v>1w</v>
      </c>
      <c r="AN590" s="300" t="str">
        <f>_xlfn.IFNA(VLOOKUP($AI590,Programma!$F$3:$K$1107,6,0),"")</f>
        <v>_</v>
      </c>
      <c r="AO590" s="300" t="str">
        <f>_xlfn.IFNA(VLOOKUP($AI590,Programma!$F$3:$L$1107,7,0),"")</f>
        <v>_</v>
      </c>
      <c r="AP590" s="300" t="str">
        <f>_xlfn.IFNA(VLOOKUP($AI590,Programma!$F$3:$M$1107,8,0),"")</f>
        <v>_</v>
      </c>
      <c r="AQ590" s="300" t="str">
        <f>_xlfn.IFNA(VLOOKUP($AI590,Programma!$F$3:$N$1107,9,0),"")</f>
        <v>_</v>
      </c>
      <c r="AR590" s="300" t="str">
        <f>_xlfn.IFNA(VLOOKUP($AI590,Programma!$F$3:$O$1107,10,0),"")</f>
        <v>3w</v>
      </c>
      <c r="AS590" s="300" t="str">
        <f>_xlfn.IFNA(VLOOKUP($AI590,Programma!$F$3:$P$1107,11,0),"")</f>
        <v>3w</v>
      </c>
      <c r="AT590" s="300" t="str">
        <f>_xlfn.IFNA(VLOOKUP($AI590,Programma!$F$3:$Q$1107,12,0),"")</f>
        <v>1w</v>
      </c>
      <c r="AU590" s="300" t="str">
        <f>_xlfn.IFNA(VLOOKUP($AI590,Programma!$F$3:$R$1107,13,0),"")</f>
        <v>1w</v>
      </c>
      <c r="AV590" s="300" t="str">
        <f>_xlfn.IFNA(VLOOKUP($AI590,Programma!$F$3:$S$1107,14,0),"")</f>
        <v>1m</v>
      </c>
      <c r="AW590" s="300" t="str">
        <f>_xlfn.IFNA(VLOOKUP($AI590,Programma!$F$3:$T$1107,15,0),"")</f>
        <v>2j</v>
      </c>
      <c r="AX590" s="300" t="str">
        <f>_xlfn.IFNA(VLOOKUP($AI590,Programma!$F$3:$U$1107,16,0),"")</f>
        <v>1j</v>
      </c>
      <c r="AY590" s="300" t="str">
        <f>_xlfn.IFNA(VLOOKUP($AI590,Programma!$F$3:$V$1107,17,0),"")</f>
        <v>_</v>
      </c>
      <c r="AZ590" s="300" t="str">
        <f>_xlfn.IFNA(VLOOKUP($AI590,Programma!$F$3:$W$1107,18,0),"")</f>
        <v>_</v>
      </c>
      <c r="BA590" s="300" t="str">
        <f>_xlfn.IFNA(VLOOKUP($AI590,Programma!$F$3:$X$1107,19,0),"")</f>
        <v>_</v>
      </c>
      <c r="BB590" s="300" t="str">
        <f>_xlfn.IFNA(VLOOKUP($AI590,Programma!$F$3:$Y$1107,20,0),"")</f>
        <v>_</v>
      </c>
      <c r="BC590" s="257"/>
      <c r="BD590" s="256" t="str">
        <f>IF(Ruimtestaat[[#This Row],[Frequentie weekend]]="","",_xlfn.CONCAT(Ruimtestaat[[#This Row],[Ruimte code]],"-",Ruimtestaat[[#This Row],[Frequentie weekend]]," ",Ruimtestaat[[#This Row],[Vloer code]]))</f>
        <v/>
      </c>
      <c r="BE590" s="300" t="str">
        <f>_xlfn.IFNA(VLOOKUP($BD590,Programma!$F$3:$G$1107,2,0),"")</f>
        <v/>
      </c>
      <c r="BF590" s="300" t="str">
        <f>_xlfn.IFNA(VLOOKUP($BD590,Programma!$F$3:$H$1107,3,0),"")</f>
        <v/>
      </c>
      <c r="BG590" s="300" t="str">
        <f>_xlfn.IFNA(VLOOKUP($BD590,Programma!$F$3:$I$1107,4,0),"")</f>
        <v/>
      </c>
      <c r="BH590" s="300" t="str">
        <f>_xlfn.IFNA(VLOOKUP($BD590,Programma!$F$3:$J$1107,5,0),"")</f>
        <v/>
      </c>
      <c r="BI590" s="300" t="str">
        <f>_xlfn.IFNA(VLOOKUP($BD590,Programma!$F$3:$K$1107,6,0),"")</f>
        <v/>
      </c>
      <c r="BJ590" s="300" t="str">
        <f>_xlfn.IFNA(VLOOKUP($BD590,Programma!$F$3:$L$1107,7,0),"")</f>
        <v/>
      </c>
      <c r="BK590" s="300" t="str">
        <f>_xlfn.IFNA(VLOOKUP($BD590,Programma!$F$3:$M$1107,8,0),"")</f>
        <v/>
      </c>
      <c r="BL590" s="300" t="str">
        <f>_xlfn.IFNA(VLOOKUP($BD590,Programma!$F$3:$N$1107,9,0),"")</f>
        <v/>
      </c>
      <c r="BM590" s="300" t="str">
        <f>_xlfn.IFNA(VLOOKUP($BD590,Programma!$F$3:$O$1107,10,0),"")</f>
        <v/>
      </c>
      <c r="BN590" s="300" t="str">
        <f>_xlfn.IFNA(VLOOKUP($BD590,Programma!$F$3:$P$1107,11,0),"")</f>
        <v/>
      </c>
      <c r="BO590" s="300" t="str">
        <f>_xlfn.IFNA(VLOOKUP($BD590,Programma!$F$3:$Q$1107,12,0),"")</f>
        <v/>
      </c>
      <c r="BP590" s="300" t="str">
        <f>_xlfn.IFNA(VLOOKUP($BD590,Programma!$F$3:$R$1107,13,0),"")</f>
        <v/>
      </c>
      <c r="BQ590" s="300" t="str">
        <f>_xlfn.IFNA(VLOOKUP($BD590,Programma!$F$3:$S$1107,14,0),"")</f>
        <v/>
      </c>
      <c r="BR590" s="300" t="str">
        <f>_xlfn.IFNA(VLOOKUP($BD590,Programma!$F$3:$T$1107,15,0),"")</f>
        <v/>
      </c>
      <c r="BS590" s="300" t="str">
        <f>_xlfn.IFNA(VLOOKUP($BD590,Programma!$F$3:$U$1107,16,0),"")</f>
        <v/>
      </c>
      <c r="BT590" s="300" t="str">
        <f>_xlfn.IFNA(VLOOKUP($BD590,Programma!$F$3:$V$1107,17,0),"")</f>
        <v/>
      </c>
      <c r="BU590" s="300" t="str">
        <f>_xlfn.IFNA(VLOOKUP($BD590,Programma!$F$3:$W$1107,18,0),"")</f>
        <v/>
      </c>
      <c r="BV590" s="300" t="str">
        <f>_xlfn.IFNA(VLOOKUP($BD590,Programma!$F$3:$X$1107,19,0),"")</f>
        <v/>
      </c>
      <c r="BW590" s="300" t="str">
        <f>_xlfn.IFNA(VLOOKUP($BD590,Programma!$F$3:$Y$1107,20,0),"")</f>
        <v/>
      </c>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c r="GK590" s="4"/>
      <c r="GL590" s="4"/>
      <c r="GM590" s="4"/>
      <c r="GN590" s="4"/>
      <c r="GO590" s="4"/>
      <c r="GP590" s="4"/>
      <c r="GQ590" s="4"/>
      <c r="GR590" s="4"/>
      <c r="GS590" s="4"/>
      <c r="GT590" s="4"/>
      <c r="GU590" s="4"/>
      <c r="GV590" s="4"/>
      <c r="GW590" s="4"/>
      <c r="GX590" s="4"/>
      <c r="GY590" s="4"/>
      <c r="GZ590" s="4"/>
      <c r="HA590" s="4"/>
      <c r="HB590" s="4"/>
      <c r="HC590" s="4"/>
      <c r="HD590" s="4"/>
      <c r="HE590" s="4"/>
      <c r="HF590" s="4"/>
      <c r="HG590" s="4"/>
      <c r="HH590" s="4"/>
      <c r="HI590" s="4"/>
      <c r="HJ590" s="4"/>
      <c r="HK590" s="4"/>
      <c r="HL590" s="4"/>
    </row>
    <row r="591" spans="1:220" ht="15" customHeight="1">
      <c r="A591" s="21">
        <v>7</v>
      </c>
      <c r="B591" s="157" t="str">
        <f>VLOOKUP(Ruimtestaat[[#This Row],[Code]],Locaties[[Code]:[Locatie]],2,FALSE)</f>
        <v>Gymnasium Novum</v>
      </c>
      <c r="C591" s="157" t="str">
        <f>VLOOKUP(Ruimtestaat[[#This Row],[Code]],Locaties[[#All],[Code]:[Adres]],4,FALSE)</f>
        <v>Aart v.d. Leeuwkade 1</v>
      </c>
      <c r="D591" s="157" t="str">
        <f>VLOOKUP(Ruimtestaat[[#This Row],[Code]],Locaties[[#All],[Code]:[Postcode]],5,FALSE)</f>
        <v>2274 KX</v>
      </c>
      <c r="E591" s="157" t="str">
        <f>VLOOKUP(Ruimtestaat[[#This Row],[Code]],Locaties[#All],6,FALSE)</f>
        <v>Voorburg</v>
      </c>
      <c r="F591" s="62"/>
      <c r="G591" s="21" t="s">
        <v>1632</v>
      </c>
      <c r="H591" s="21">
        <v>45</v>
      </c>
      <c r="I591" s="62" t="s">
        <v>2153</v>
      </c>
      <c r="J591" s="21">
        <v>2</v>
      </c>
      <c r="K591" s="62" t="str">
        <f>VLOOKUP(Ruimtestaat[[#This Row],[Ruimte code]],Ruimtegroepen[[#All],[Code]:[Ruimte omschrijving]],2,FALSE)</f>
        <v>Kantoren</v>
      </c>
      <c r="L591" s="33" t="s">
        <v>101</v>
      </c>
      <c r="M591" s="367" t="s">
        <v>2495</v>
      </c>
      <c r="N591" s="140">
        <v>13</v>
      </c>
      <c r="O591" s="140"/>
      <c r="P591" s="125" t="str">
        <f>VLOOKUP(Ruimtestaat[[#This Row],[Ruimte code]],Ruimtegroepen[],4,FALSE)</f>
        <v>Bu</v>
      </c>
      <c r="R591" s="33">
        <v>42</v>
      </c>
      <c r="S591" s="33" t="s">
        <v>18</v>
      </c>
      <c r="T591" s="33">
        <f>IF(R591&gt;0,IF(RIGHT(Ruimtestaat[[#This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91" s="33">
        <f>IF(T591&gt;0,VLOOKUP($J591,Ruimtegroepen[],3,FALSE)*VLOOKUP($L591,Vloersoorten[],3,FALSE)*VLOOKUP($S591,Frequenties[],3,FALSE)*VLOOKUP($A591,Locaties[],3,FALSE),0)</f>
        <v>0</v>
      </c>
      <c r="V591" s="33">
        <f>Ruimtestaat[[#This Row],[Uitvoeringen werkdagen]]*Ruimtestaat[[#This Row],[Oppervlak (netto)]]</f>
        <v>1638</v>
      </c>
      <c r="W591" s="154">
        <f>IF(U591&gt;0,Ruimtestaat[[#This Row],[Prest. (m2 /jaar) werkdagen]]/Ruimtestaat[[#This Row],[Norm (m2/uur) werkdagen]],0)</f>
        <v>0</v>
      </c>
      <c r="X591" s="155">
        <f>Ruimtestaat[[#This Row],[uren / jaar werkdagen]]*Tariefsopbouw!$E$35</f>
        <v>0</v>
      </c>
      <c r="Y591" s="33"/>
      <c r="Z591" s="33">
        <f>IF(Ruimtestaat[[#This Row],[Frequentie weekend]]&gt;0,VALUE(LEFT(Y591,1))*R591,0)</f>
        <v>0</v>
      </c>
      <c r="AA591" s="97">
        <f>IF($Z591&gt;0,VLOOKUP($J591,Ruimtegroepen[],3,FALSE)*VLOOKUP($L591,Vloersoorten[],3,FALSE)*VLOOKUP($Y591,Frequenties[],3,FALSE)*VLOOKUP(Ruimtestaat[[#This Row],[Code]],Locaties[],3,FALSE),0)</f>
        <v>0</v>
      </c>
      <c r="AB591" s="97">
        <f>Ruimtestaat[[#This Row],[Uitvoeringen weekend]]*Ruimtestaat[[#This Row],[Oppervlak (netto)]]</f>
        <v>0</v>
      </c>
      <c r="AC591" s="97">
        <f>IF(AA591&gt;0,Ruimtestaat[[#This Row],[Prest. (m2 /jaar) weekend]]/Ruimtestaat[[#This Row],[Norm (m2/uur) weekend]],0)</f>
        <v>0</v>
      </c>
      <c r="AD591" s="155">
        <f>Ruimtestaat[[#This Row],[uren / jaar weekend]]*Tariefsopbouw!$D$40</f>
        <v>0</v>
      </c>
      <c r="AE591" s="154">
        <f>Ruimtestaat[[#This Row],[Prest. (m2 /jaar) weekend]]+Ruimtestaat[[#This Row],[Prest. (m2 /jaar) werkdagen]]</f>
        <v>1638</v>
      </c>
      <c r="AF591" s="154">
        <f>Ruimtestaat[[#This Row],[uren / jaar weekend]]+Ruimtestaat[[#This Row],[uren / jaar werkdagen]]</f>
        <v>0</v>
      </c>
      <c r="AG591" s="69">
        <f>Ruimtestaat[[#This Row],[kosten / jaar weekend]]+Ruimtestaat[[#This Row],[kosten / jaar werkdagen]]</f>
        <v>0</v>
      </c>
      <c r="AH591" s="69"/>
      <c r="AI591" s="256" t="str">
        <f>IF(Ruimtestaat[[#This Row],[Frequentie werkdagen]]="","",_xlfn.CONCAT(Ruimtestaat[[#This Row],[Ruimte code]],"-",Ruimtestaat[[#This Row],[Frequentie werkdagen]]," ",Ruimtestaat[[#This Row],[Vloer code]]))</f>
        <v>2-3w L</v>
      </c>
      <c r="AJ591" s="300" t="str">
        <f>_xlfn.IFNA(VLOOKUP($AI591,Programma!$F$3:$G$1107,2,0),"")</f>
        <v>_</v>
      </c>
      <c r="AK591" s="300" t="str">
        <f>_xlfn.IFNA(VLOOKUP($AI591,Programma!$F$3:$H$1107,3,0),"")</f>
        <v>_</v>
      </c>
      <c r="AL591" s="300" t="str">
        <f>_xlfn.IFNA(VLOOKUP($AI591,Programma!$F$3:$I$1107,4,0),"")</f>
        <v>2w</v>
      </c>
      <c r="AM591" s="300" t="str">
        <f>_xlfn.IFNA(VLOOKUP($AI591,Programma!$F$3:$J$1107,5,0),"")</f>
        <v>1w</v>
      </c>
      <c r="AN591" s="300" t="str">
        <f>_xlfn.IFNA(VLOOKUP($AI591,Programma!$F$3:$K$1107,6,0),"")</f>
        <v>_</v>
      </c>
      <c r="AO591" s="300" t="str">
        <f>_xlfn.IFNA(VLOOKUP($AI591,Programma!$F$3:$L$1107,7,0),"")</f>
        <v>_</v>
      </c>
      <c r="AP591" s="300" t="str">
        <f>_xlfn.IFNA(VLOOKUP($AI591,Programma!$F$3:$M$1107,8,0),"")</f>
        <v>_</v>
      </c>
      <c r="AQ591" s="300" t="str">
        <f>_xlfn.IFNA(VLOOKUP($AI591,Programma!$F$3:$N$1107,9,0),"")</f>
        <v>_</v>
      </c>
      <c r="AR591" s="300" t="str">
        <f>_xlfn.IFNA(VLOOKUP($AI591,Programma!$F$3:$O$1107,10,0),"")</f>
        <v>3w</v>
      </c>
      <c r="AS591" s="300" t="str">
        <f>_xlfn.IFNA(VLOOKUP($AI591,Programma!$F$3:$P$1107,11,0),"")</f>
        <v>3w</v>
      </c>
      <c r="AT591" s="300" t="str">
        <f>_xlfn.IFNA(VLOOKUP($AI591,Programma!$F$3:$Q$1107,12,0),"")</f>
        <v>1w</v>
      </c>
      <c r="AU591" s="300" t="str">
        <f>_xlfn.IFNA(VLOOKUP($AI591,Programma!$F$3:$R$1107,13,0),"")</f>
        <v>1w</v>
      </c>
      <c r="AV591" s="300" t="str">
        <f>_xlfn.IFNA(VLOOKUP($AI591,Programma!$F$3:$S$1107,14,0),"")</f>
        <v>1m</v>
      </c>
      <c r="AW591" s="300" t="str">
        <f>_xlfn.IFNA(VLOOKUP($AI591,Programma!$F$3:$T$1107,15,0),"")</f>
        <v>2j</v>
      </c>
      <c r="AX591" s="300" t="str">
        <f>_xlfn.IFNA(VLOOKUP($AI591,Programma!$F$3:$U$1107,16,0),"")</f>
        <v>1j</v>
      </c>
      <c r="AY591" s="300" t="str">
        <f>_xlfn.IFNA(VLOOKUP($AI591,Programma!$F$3:$V$1107,17,0),"")</f>
        <v>_</v>
      </c>
      <c r="AZ591" s="300" t="str">
        <f>_xlfn.IFNA(VLOOKUP($AI591,Programma!$F$3:$W$1107,18,0),"")</f>
        <v>_</v>
      </c>
      <c r="BA591" s="300" t="str">
        <f>_xlfn.IFNA(VLOOKUP($AI591,Programma!$F$3:$X$1107,19,0),"")</f>
        <v>_</v>
      </c>
      <c r="BB591" s="300" t="str">
        <f>_xlfn.IFNA(VLOOKUP($AI591,Programma!$F$3:$Y$1107,20,0),"")</f>
        <v>_</v>
      </c>
      <c r="BC591" s="257"/>
      <c r="BD591" s="256" t="str">
        <f>IF(Ruimtestaat[[#This Row],[Frequentie weekend]]="","",_xlfn.CONCAT(Ruimtestaat[[#This Row],[Ruimte code]],"-",Ruimtestaat[[#This Row],[Frequentie weekend]]," ",Ruimtestaat[[#This Row],[Vloer code]]))</f>
        <v/>
      </c>
      <c r="BE591" s="300" t="str">
        <f>_xlfn.IFNA(VLOOKUP($BD591,Programma!$F$3:$G$1107,2,0),"")</f>
        <v/>
      </c>
      <c r="BF591" s="300" t="str">
        <f>_xlfn.IFNA(VLOOKUP($BD591,Programma!$F$3:$H$1107,3,0),"")</f>
        <v/>
      </c>
      <c r="BG591" s="300" t="str">
        <f>_xlfn.IFNA(VLOOKUP($BD591,Programma!$F$3:$I$1107,4,0),"")</f>
        <v/>
      </c>
      <c r="BH591" s="300" t="str">
        <f>_xlfn.IFNA(VLOOKUP($BD591,Programma!$F$3:$J$1107,5,0),"")</f>
        <v/>
      </c>
      <c r="BI591" s="300" t="str">
        <f>_xlfn.IFNA(VLOOKUP($BD591,Programma!$F$3:$K$1107,6,0),"")</f>
        <v/>
      </c>
      <c r="BJ591" s="300" t="str">
        <f>_xlfn.IFNA(VLOOKUP($BD591,Programma!$F$3:$L$1107,7,0),"")</f>
        <v/>
      </c>
      <c r="BK591" s="300" t="str">
        <f>_xlfn.IFNA(VLOOKUP($BD591,Programma!$F$3:$M$1107,8,0),"")</f>
        <v/>
      </c>
      <c r="BL591" s="300" t="str">
        <f>_xlfn.IFNA(VLOOKUP($BD591,Programma!$F$3:$N$1107,9,0),"")</f>
        <v/>
      </c>
      <c r="BM591" s="300" t="str">
        <f>_xlfn.IFNA(VLOOKUP($BD591,Programma!$F$3:$O$1107,10,0),"")</f>
        <v/>
      </c>
      <c r="BN591" s="300" t="str">
        <f>_xlfn.IFNA(VLOOKUP($BD591,Programma!$F$3:$P$1107,11,0),"")</f>
        <v/>
      </c>
      <c r="BO591" s="300" t="str">
        <f>_xlfn.IFNA(VLOOKUP($BD591,Programma!$F$3:$Q$1107,12,0),"")</f>
        <v/>
      </c>
      <c r="BP591" s="300" t="str">
        <f>_xlfn.IFNA(VLOOKUP($BD591,Programma!$F$3:$R$1107,13,0),"")</f>
        <v/>
      </c>
      <c r="BQ591" s="300" t="str">
        <f>_xlfn.IFNA(VLOOKUP($BD591,Programma!$F$3:$S$1107,14,0),"")</f>
        <v/>
      </c>
      <c r="BR591" s="300" t="str">
        <f>_xlfn.IFNA(VLOOKUP($BD591,Programma!$F$3:$T$1107,15,0),"")</f>
        <v/>
      </c>
      <c r="BS591" s="300" t="str">
        <f>_xlfn.IFNA(VLOOKUP($BD591,Programma!$F$3:$U$1107,16,0),"")</f>
        <v/>
      </c>
      <c r="BT591" s="300" t="str">
        <f>_xlfn.IFNA(VLOOKUP($BD591,Programma!$F$3:$V$1107,17,0),"")</f>
        <v/>
      </c>
      <c r="BU591" s="300" t="str">
        <f>_xlfn.IFNA(VLOOKUP($BD591,Programma!$F$3:$W$1107,18,0),"")</f>
        <v/>
      </c>
      <c r="BV591" s="300" t="str">
        <f>_xlfn.IFNA(VLOOKUP($BD591,Programma!$F$3:$X$1107,19,0),"")</f>
        <v/>
      </c>
      <c r="BW591" s="300" t="str">
        <f>_xlfn.IFNA(VLOOKUP($BD591,Programma!$F$3:$Y$1107,20,0),"")</f>
        <v/>
      </c>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c r="GK591" s="4"/>
      <c r="GL591" s="4"/>
      <c r="GM591" s="4"/>
      <c r="GN591" s="4"/>
      <c r="GO591" s="4"/>
      <c r="GP591" s="4"/>
      <c r="GQ591" s="4"/>
      <c r="GR591" s="4"/>
      <c r="GS591" s="4"/>
      <c r="GT591" s="4"/>
      <c r="GU591" s="4"/>
      <c r="GV591" s="4"/>
      <c r="GW591" s="4"/>
      <c r="GX591" s="4"/>
      <c r="GY591" s="4"/>
      <c r="GZ591" s="4"/>
      <c r="HA591" s="4"/>
      <c r="HB591" s="4"/>
      <c r="HC591" s="4"/>
      <c r="HD591" s="4"/>
      <c r="HE591" s="4"/>
      <c r="HF591" s="4"/>
      <c r="HG591" s="4"/>
      <c r="HH591" s="4"/>
      <c r="HI591" s="4"/>
      <c r="HJ591" s="4"/>
      <c r="HK591" s="4"/>
      <c r="HL591" s="4"/>
    </row>
    <row r="592" spans="1:220" ht="15" customHeight="1">
      <c r="A592" s="21">
        <v>7</v>
      </c>
      <c r="B592" s="157" t="str">
        <f>VLOOKUP(Ruimtestaat[[#This Row],[Code]],Locaties[[Code]:[Locatie]],2,FALSE)</f>
        <v>Gymnasium Novum</v>
      </c>
      <c r="C592" s="157" t="str">
        <f>VLOOKUP(Ruimtestaat[[#This Row],[Code]],Locaties[[#All],[Code]:[Adres]],4,FALSE)</f>
        <v>Aart v.d. Leeuwkade 1</v>
      </c>
      <c r="D592" s="157" t="str">
        <f>VLOOKUP(Ruimtestaat[[#This Row],[Code]],Locaties[[#All],[Code]:[Postcode]],5,FALSE)</f>
        <v>2274 KX</v>
      </c>
      <c r="E592" s="157" t="str">
        <f>VLOOKUP(Ruimtestaat[[#This Row],[Code]],Locaties[#All],6,FALSE)</f>
        <v>Voorburg</v>
      </c>
      <c r="F592" s="62"/>
      <c r="G592" s="21" t="s">
        <v>1632</v>
      </c>
      <c r="H592" s="21">
        <v>46</v>
      </c>
      <c r="I592" s="62" t="s">
        <v>2154</v>
      </c>
      <c r="J592" s="21">
        <v>2</v>
      </c>
      <c r="K592" s="62" t="str">
        <f>VLOOKUP(Ruimtestaat[[#This Row],[Ruimte code]],Ruimtegroepen[[#All],[Code]:[Ruimte omschrijving]],2,FALSE)</f>
        <v>Kantoren</v>
      </c>
      <c r="L592" s="33" t="s">
        <v>101</v>
      </c>
      <c r="M592" s="367" t="s">
        <v>2495</v>
      </c>
      <c r="N592" s="140">
        <v>14</v>
      </c>
      <c r="O592" s="140"/>
      <c r="P592" s="125" t="str">
        <f>VLOOKUP(Ruimtestaat[[#This Row],[Ruimte code]],Ruimtegroepen[],4,FALSE)</f>
        <v>Bu</v>
      </c>
      <c r="R592" s="33">
        <v>42</v>
      </c>
      <c r="S592" s="33" t="s">
        <v>18</v>
      </c>
      <c r="T592" s="33">
        <f>IF(R592&gt;0,IF(RIGHT(Ruimtestaat[[#This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92" s="33">
        <f>IF(T592&gt;0,VLOOKUP($J592,Ruimtegroepen[],3,FALSE)*VLOOKUP($L592,Vloersoorten[],3,FALSE)*VLOOKUP($S592,Frequenties[],3,FALSE)*VLOOKUP($A592,Locaties[],3,FALSE),0)</f>
        <v>0</v>
      </c>
      <c r="V592" s="33">
        <f>Ruimtestaat[[#This Row],[Uitvoeringen werkdagen]]*Ruimtestaat[[#This Row],[Oppervlak (netto)]]</f>
        <v>1764</v>
      </c>
      <c r="W592" s="154">
        <f>IF(U592&gt;0,Ruimtestaat[[#This Row],[Prest. (m2 /jaar) werkdagen]]/Ruimtestaat[[#This Row],[Norm (m2/uur) werkdagen]],0)</f>
        <v>0</v>
      </c>
      <c r="X592" s="155">
        <f>Ruimtestaat[[#This Row],[uren / jaar werkdagen]]*Tariefsopbouw!$E$35</f>
        <v>0</v>
      </c>
      <c r="Y592" s="33"/>
      <c r="Z592" s="33">
        <f>IF(Ruimtestaat[[#This Row],[Frequentie weekend]]&gt;0,VALUE(LEFT(Y592,1))*R592,0)</f>
        <v>0</v>
      </c>
      <c r="AA592" s="97">
        <f>IF($Z592&gt;0,VLOOKUP($J592,Ruimtegroepen[],3,FALSE)*VLOOKUP($L592,Vloersoorten[],3,FALSE)*VLOOKUP($Y592,Frequenties[],3,FALSE)*VLOOKUP(Ruimtestaat[[#This Row],[Code]],Locaties[],3,FALSE),0)</f>
        <v>0</v>
      </c>
      <c r="AB592" s="97">
        <f>Ruimtestaat[[#This Row],[Uitvoeringen weekend]]*Ruimtestaat[[#This Row],[Oppervlak (netto)]]</f>
        <v>0</v>
      </c>
      <c r="AC592" s="97">
        <f>IF(AA592&gt;0,Ruimtestaat[[#This Row],[Prest. (m2 /jaar) weekend]]/Ruimtestaat[[#This Row],[Norm (m2/uur) weekend]],0)</f>
        <v>0</v>
      </c>
      <c r="AD592" s="155">
        <f>Ruimtestaat[[#This Row],[uren / jaar weekend]]*Tariefsopbouw!$D$40</f>
        <v>0</v>
      </c>
      <c r="AE592" s="154">
        <f>Ruimtestaat[[#This Row],[Prest. (m2 /jaar) weekend]]+Ruimtestaat[[#This Row],[Prest. (m2 /jaar) werkdagen]]</f>
        <v>1764</v>
      </c>
      <c r="AF592" s="154">
        <f>Ruimtestaat[[#This Row],[uren / jaar weekend]]+Ruimtestaat[[#This Row],[uren / jaar werkdagen]]</f>
        <v>0</v>
      </c>
      <c r="AG592" s="69">
        <f>Ruimtestaat[[#This Row],[kosten / jaar weekend]]+Ruimtestaat[[#This Row],[kosten / jaar werkdagen]]</f>
        <v>0</v>
      </c>
      <c r="AH592" s="69"/>
      <c r="AI592" s="256" t="str">
        <f>IF(Ruimtestaat[[#This Row],[Frequentie werkdagen]]="","",_xlfn.CONCAT(Ruimtestaat[[#This Row],[Ruimte code]],"-",Ruimtestaat[[#This Row],[Frequentie werkdagen]]," ",Ruimtestaat[[#This Row],[Vloer code]]))</f>
        <v>2-3w L</v>
      </c>
      <c r="AJ592" s="300" t="str">
        <f>_xlfn.IFNA(VLOOKUP($AI592,Programma!$F$3:$G$1107,2,0),"")</f>
        <v>_</v>
      </c>
      <c r="AK592" s="300" t="str">
        <f>_xlfn.IFNA(VLOOKUP($AI592,Programma!$F$3:$H$1107,3,0),"")</f>
        <v>_</v>
      </c>
      <c r="AL592" s="300" t="str">
        <f>_xlfn.IFNA(VLOOKUP($AI592,Programma!$F$3:$I$1107,4,0),"")</f>
        <v>2w</v>
      </c>
      <c r="AM592" s="300" t="str">
        <f>_xlfn.IFNA(VLOOKUP($AI592,Programma!$F$3:$J$1107,5,0),"")</f>
        <v>1w</v>
      </c>
      <c r="AN592" s="300" t="str">
        <f>_xlfn.IFNA(VLOOKUP($AI592,Programma!$F$3:$K$1107,6,0),"")</f>
        <v>_</v>
      </c>
      <c r="AO592" s="300" t="str">
        <f>_xlfn.IFNA(VLOOKUP($AI592,Programma!$F$3:$L$1107,7,0),"")</f>
        <v>_</v>
      </c>
      <c r="AP592" s="300" t="str">
        <f>_xlfn.IFNA(VLOOKUP($AI592,Programma!$F$3:$M$1107,8,0),"")</f>
        <v>_</v>
      </c>
      <c r="AQ592" s="300" t="str">
        <f>_xlfn.IFNA(VLOOKUP($AI592,Programma!$F$3:$N$1107,9,0),"")</f>
        <v>_</v>
      </c>
      <c r="AR592" s="300" t="str">
        <f>_xlfn.IFNA(VLOOKUP($AI592,Programma!$F$3:$O$1107,10,0),"")</f>
        <v>3w</v>
      </c>
      <c r="AS592" s="300" t="str">
        <f>_xlfn.IFNA(VLOOKUP($AI592,Programma!$F$3:$P$1107,11,0),"")</f>
        <v>3w</v>
      </c>
      <c r="AT592" s="300" t="str">
        <f>_xlfn.IFNA(VLOOKUP($AI592,Programma!$F$3:$Q$1107,12,0),"")</f>
        <v>1w</v>
      </c>
      <c r="AU592" s="300" t="str">
        <f>_xlfn.IFNA(VLOOKUP($AI592,Programma!$F$3:$R$1107,13,0),"")</f>
        <v>1w</v>
      </c>
      <c r="AV592" s="300" t="str">
        <f>_xlfn.IFNA(VLOOKUP($AI592,Programma!$F$3:$S$1107,14,0),"")</f>
        <v>1m</v>
      </c>
      <c r="AW592" s="300" t="str">
        <f>_xlfn.IFNA(VLOOKUP($AI592,Programma!$F$3:$T$1107,15,0),"")</f>
        <v>2j</v>
      </c>
      <c r="AX592" s="300" t="str">
        <f>_xlfn.IFNA(VLOOKUP($AI592,Programma!$F$3:$U$1107,16,0),"")</f>
        <v>1j</v>
      </c>
      <c r="AY592" s="300" t="str">
        <f>_xlfn.IFNA(VLOOKUP($AI592,Programma!$F$3:$V$1107,17,0),"")</f>
        <v>_</v>
      </c>
      <c r="AZ592" s="300" t="str">
        <f>_xlfn.IFNA(VLOOKUP($AI592,Programma!$F$3:$W$1107,18,0),"")</f>
        <v>_</v>
      </c>
      <c r="BA592" s="300" t="str">
        <f>_xlfn.IFNA(VLOOKUP($AI592,Programma!$F$3:$X$1107,19,0),"")</f>
        <v>_</v>
      </c>
      <c r="BB592" s="300" t="str">
        <f>_xlfn.IFNA(VLOOKUP($AI592,Programma!$F$3:$Y$1107,20,0),"")</f>
        <v>_</v>
      </c>
      <c r="BC592" s="257"/>
      <c r="BD592" s="256" t="str">
        <f>IF(Ruimtestaat[[#This Row],[Frequentie weekend]]="","",_xlfn.CONCAT(Ruimtestaat[[#This Row],[Ruimte code]],"-",Ruimtestaat[[#This Row],[Frequentie weekend]]," ",Ruimtestaat[[#This Row],[Vloer code]]))</f>
        <v/>
      </c>
      <c r="BE592" s="300" t="str">
        <f>_xlfn.IFNA(VLOOKUP($BD592,Programma!$F$3:$G$1107,2,0),"")</f>
        <v/>
      </c>
      <c r="BF592" s="300" t="str">
        <f>_xlfn.IFNA(VLOOKUP($BD592,Programma!$F$3:$H$1107,3,0),"")</f>
        <v/>
      </c>
      <c r="BG592" s="300" t="str">
        <f>_xlfn.IFNA(VLOOKUP($BD592,Programma!$F$3:$I$1107,4,0),"")</f>
        <v/>
      </c>
      <c r="BH592" s="300" t="str">
        <f>_xlfn.IFNA(VLOOKUP($BD592,Programma!$F$3:$J$1107,5,0),"")</f>
        <v/>
      </c>
      <c r="BI592" s="300" t="str">
        <f>_xlfn.IFNA(VLOOKUP($BD592,Programma!$F$3:$K$1107,6,0),"")</f>
        <v/>
      </c>
      <c r="BJ592" s="300" t="str">
        <f>_xlfn.IFNA(VLOOKUP($BD592,Programma!$F$3:$L$1107,7,0),"")</f>
        <v/>
      </c>
      <c r="BK592" s="300" t="str">
        <f>_xlfn.IFNA(VLOOKUP($BD592,Programma!$F$3:$M$1107,8,0),"")</f>
        <v/>
      </c>
      <c r="BL592" s="300" t="str">
        <f>_xlfn.IFNA(VLOOKUP($BD592,Programma!$F$3:$N$1107,9,0),"")</f>
        <v/>
      </c>
      <c r="BM592" s="300" t="str">
        <f>_xlfn.IFNA(VLOOKUP($BD592,Programma!$F$3:$O$1107,10,0),"")</f>
        <v/>
      </c>
      <c r="BN592" s="300" t="str">
        <f>_xlfn.IFNA(VLOOKUP($BD592,Programma!$F$3:$P$1107,11,0),"")</f>
        <v/>
      </c>
      <c r="BO592" s="300" t="str">
        <f>_xlfn.IFNA(VLOOKUP($BD592,Programma!$F$3:$Q$1107,12,0),"")</f>
        <v/>
      </c>
      <c r="BP592" s="300" t="str">
        <f>_xlfn.IFNA(VLOOKUP($BD592,Programma!$F$3:$R$1107,13,0),"")</f>
        <v/>
      </c>
      <c r="BQ592" s="300" t="str">
        <f>_xlfn.IFNA(VLOOKUP($BD592,Programma!$F$3:$S$1107,14,0),"")</f>
        <v/>
      </c>
      <c r="BR592" s="300" t="str">
        <f>_xlfn.IFNA(VLOOKUP($BD592,Programma!$F$3:$T$1107,15,0),"")</f>
        <v/>
      </c>
      <c r="BS592" s="300" t="str">
        <f>_xlfn.IFNA(VLOOKUP($BD592,Programma!$F$3:$U$1107,16,0),"")</f>
        <v/>
      </c>
      <c r="BT592" s="300" t="str">
        <f>_xlfn.IFNA(VLOOKUP($BD592,Programma!$F$3:$V$1107,17,0),"")</f>
        <v/>
      </c>
      <c r="BU592" s="300" t="str">
        <f>_xlfn.IFNA(VLOOKUP($BD592,Programma!$F$3:$W$1107,18,0),"")</f>
        <v/>
      </c>
      <c r="BV592" s="300" t="str">
        <f>_xlfn.IFNA(VLOOKUP($BD592,Programma!$F$3:$X$1107,19,0),"")</f>
        <v/>
      </c>
      <c r="BW592" s="300" t="str">
        <f>_xlfn.IFNA(VLOOKUP($BD592,Programma!$F$3:$Y$1107,20,0),"")</f>
        <v/>
      </c>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c r="GK592" s="4"/>
      <c r="GL592" s="4"/>
      <c r="GM592" s="4"/>
      <c r="GN592" s="4"/>
      <c r="GO592" s="4"/>
      <c r="GP592" s="4"/>
      <c r="GQ592" s="4"/>
      <c r="GR592" s="4"/>
      <c r="GS592" s="4"/>
      <c r="GT592" s="4"/>
      <c r="GU592" s="4"/>
      <c r="GV592" s="4"/>
      <c r="GW592" s="4"/>
      <c r="GX592" s="4"/>
      <c r="GY592" s="4"/>
      <c r="GZ592" s="4"/>
      <c r="HA592" s="4"/>
      <c r="HB592" s="4"/>
      <c r="HC592" s="4"/>
      <c r="HD592" s="4"/>
      <c r="HE592" s="4"/>
      <c r="HF592" s="4"/>
      <c r="HG592" s="4"/>
      <c r="HH592" s="4"/>
      <c r="HI592" s="4"/>
      <c r="HJ592" s="4"/>
      <c r="HK592" s="4"/>
      <c r="HL592" s="4"/>
    </row>
    <row r="593" spans="1:220" ht="15" customHeight="1">
      <c r="A593" s="21">
        <v>7</v>
      </c>
      <c r="B593" s="157" t="str">
        <f>VLOOKUP(Ruimtestaat[[#This Row],[Code]],Locaties[[Code]:[Locatie]],2,FALSE)</f>
        <v>Gymnasium Novum</v>
      </c>
      <c r="C593" s="157" t="str">
        <f>VLOOKUP(Ruimtestaat[[#This Row],[Code]],Locaties[[#All],[Code]:[Adres]],4,FALSE)</f>
        <v>Aart v.d. Leeuwkade 1</v>
      </c>
      <c r="D593" s="157" t="str">
        <f>VLOOKUP(Ruimtestaat[[#This Row],[Code]],Locaties[[#All],[Code]:[Postcode]],5,FALSE)</f>
        <v>2274 KX</v>
      </c>
      <c r="E593" s="157" t="str">
        <f>VLOOKUP(Ruimtestaat[[#This Row],[Code]],Locaties[#All],6,FALSE)</f>
        <v>Voorburg</v>
      </c>
      <c r="F593" s="62"/>
      <c r="G593" s="21" t="s">
        <v>1632</v>
      </c>
      <c r="H593" s="21">
        <v>47</v>
      </c>
      <c r="I593" s="62" t="s">
        <v>2155</v>
      </c>
      <c r="J593" s="21">
        <v>2</v>
      </c>
      <c r="K593" s="62" t="str">
        <f>VLOOKUP(Ruimtestaat[[#This Row],[Ruimte code]],Ruimtegroepen[[#All],[Code]:[Ruimte omschrijving]],2,FALSE)</f>
        <v>Kantoren</v>
      </c>
      <c r="L593" s="33" t="s">
        <v>101</v>
      </c>
      <c r="M593" s="367" t="s">
        <v>2495</v>
      </c>
      <c r="N593" s="140">
        <v>14</v>
      </c>
      <c r="O593" s="140"/>
      <c r="P593" s="125" t="str">
        <f>VLOOKUP(Ruimtestaat[[#This Row],[Ruimte code]],Ruimtegroepen[],4,FALSE)</f>
        <v>Bu</v>
      </c>
      <c r="R593" s="33">
        <v>42</v>
      </c>
      <c r="S593" s="33" t="s">
        <v>18</v>
      </c>
      <c r="T593" s="33">
        <f>IF(R593&gt;0,IF(RIGHT(Ruimtestaat[[#This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93" s="33">
        <f>IF(T593&gt;0,VLOOKUP($J593,Ruimtegroepen[],3,FALSE)*VLOOKUP($L593,Vloersoorten[],3,FALSE)*VLOOKUP($S593,Frequenties[],3,FALSE)*VLOOKUP($A593,Locaties[],3,FALSE),0)</f>
        <v>0</v>
      </c>
      <c r="V593" s="33">
        <f>Ruimtestaat[[#This Row],[Uitvoeringen werkdagen]]*Ruimtestaat[[#This Row],[Oppervlak (netto)]]</f>
        <v>1764</v>
      </c>
      <c r="W593" s="154">
        <f>IF(U593&gt;0,Ruimtestaat[[#This Row],[Prest. (m2 /jaar) werkdagen]]/Ruimtestaat[[#This Row],[Norm (m2/uur) werkdagen]],0)</f>
        <v>0</v>
      </c>
      <c r="X593" s="155">
        <f>Ruimtestaat[[#This Row],[uren / jaar werkdagen]]*Tariefsopbouw!$E$35</f>
        <v>0</v>
      </c>
      <c r="Y593" s="33"/>
      <c r="Z593" s="33">
        <f>IF(Ruimtestaat[[#This Row],[Frequentie weekend]]&gt;0,VALUE(LEFT(Y593,1))*R593,0)</f>
        <v>0</v>
      </c>
      <c r="AA593" s="97">
        <f>IF($Z593&gt;0,VLOOKUP($J593,Ruimtegroepen[],3,FALSE)*VLOOKUP($L593,Vloersoorten[],3,FALSE)*VLOOKUP($Y593,Frequenties[],3,FALSE)*VLOOKUP(Ruimtestaat[[#This Row],[Code]],Locaties[],3,FALSE),0)</f>
        <v>0</v>
      </c>
      <c r="AB593" s="97">
        <f>Ruimtestaat[[#This Row],[Uitvoeringen weekend]]*Ruimtestaat[[#This Row],[Oppervlak (netto)]]</f>
        <v>0</v>
      </c>
      <c r="AC593" s="97">
        <f>IF(AA593&gt;0,Ruimtestaat[[#This Row],[Prest. (m2 /jaar) weekend]]/Ruimtestaat[[#This Row],[Norm (m2/uur) weekend]],0)</f>
        <v>0</v>
      </c>
      <c r="AD593" s="155">
        <f>Ruimtestaat[[#This Row],[uren / jaar weekend]]*Tariefsopbouw!$D$40</f>
        <v>0</v>
      </c>
      <c r="AE593" s="154">
        <f>Ruimtestaat[[#This Row],[Prest. (m2 /jaar) weekend]]+Ruimtestaat[[#This Row],[Prest. (m2 /jaar) werkdagen]]</f>
        <v>1764</v>
      </c>
      <c r="AF593" s="154">
        <f>Ruimtestaat[[#This Row],[uren / jaar weekend]]+Ruimtestaat[[#This Row],[uren / jaar werkdagen]]</f>
        <v>0</v>
      </c>
      <c r="AG593" s="69">
        <f>Ruimtestaat[[#This Row],[kosten / jaar weekend]]+Ruimtestaat[[#This Row],[kosten / jaar werkdagen]]</f>
        <v>0</v>
      </c>
      <c r="AH593" s="69"/>
      <c r="AI593" s="256" t="str">
        <f>IF(Ruimtestaat[[#This Row],[Frequentie werkdagen]]="","",_xlfn.CONCAT(Ruimtestaat[[#This Row],[Ruimte code]],"-",Ruimtestaat[[#This Row],[Frequentie werkdagen]]," ",Ruimtestaat[[#This Row],[Vloer code]]))</f>
        <v>2-3w L</v>
      </c>
      <c r="AJ593" s="300" t="str">
        <f>_xlfn.IFNA(VLOOKUP($AI593,Programma!$F$3:$G$1107,2,0),"")</f>
        <v>_</v>
      </c>
      <c r="AK593" s="300" t="str">
        <f>_xlfn.IFNA(VLOOKUP($AI593,Programma!$F$3:$H$1107,3,0),"")</f>
        <v>_</v>
      </c>
      <c r="AL593" s="300" t="str">
        <f>_xlfn.IFNA(VLOOKUP($AI593,Programma!$F$3:$I$1107,4,0),"")</f>
        <v>2w</v>
      </c>
      <c r="AM593" s="300" t="str">
        <f>_xlfn.IFNA(VLOOKUP($AI593,Programma!$F$3:$J$1107,5,0),"")</f>
        <v>1w</v>
      </c>
      <c r="AN593" s="300" t="str">
        <f>_xlfn.IFNA(VLOOKUP($AI593,Programma!$F$3:$K$1107,6,0),"")</f>
        <v>_</v>
      </c>
      <c r="AO593" s="300" t="str">
        <f>_xlfn.IFNA(VLOOKUP($AI593,Programma!$F$3:$L$1107,7,0),"")</f>
        <v>_</v>
      </c>
      <c r="AP593" s="300" t="str">
        <f>_xlfn.IFNA(VLOOKUP($AI593,Programma!$F$3:$M$1107,8,0),"")</f>
        <v>_</v>
      </c>
      <c r="AQ593" s="300" t="str">
        <f>_xlfn.IFNA(VLOOKUP($AI593,Programma!$F$3:$N$1107,9,0),"")</f>
        <v>_</v>
      </c>
      <c r="AR593" s="300" t="str">
        <f>_xlfn.IFNA(VLOOKUP($AI593,Programma!$F$3:$O$1107,10,0),"")</f>
        <v>3w</v>
      </c>
      <c r="AS593" s="300" t="str">
        <f>_xlfn.IFNA(VLOOKUP($AI593,Programma!$F$3:$P$1107,11,0),"")</f>
        <v>3w</v>
      </c>
      <c r="AT593" s="300" t="str">
        <f>_xlfn.IFNA(VLOOKUP($AI593,Programma!$F$3:$Q$1107,12,0),"")</f>
        <v>1w</v>
      </c>
      <c r="AU593" s="300" t="str">
        <f>_xlfn.IFNA(VLOOKUP($AI593,Programma!$F$3:$R$1107,13,0),"")</f>
        <v>1w</v>
      </c>
      <c r="AV593" s="300" t="str">
        <f>_xlfn.IFNA(VLOOKUP($AI593,Programma!$F$3:$S$1107,14,0),"")</f>
        <v>1m</v>
      </c>
      <c r="AW593" s="300" t="str">
        <f>_xlfn.IFNA(VLOOKUP($AI593,Programma!$F$3:$T$1107,15,0),"")</f>
        <v>2j</v>
      </c>
      <c r="AX593" s="300" t="str">
        <f>_xlfn.IFNA(VLOOKUP($AI593,Programma!$F$3:$U$1107,16,0),"")</f>
        <v>1j</v>
      </c>
      <c r="AY593" s="300" t="str">
        <f>_xlfn.IFNA(VLOOKUP($AI593,Programma!$F$3:$V$1107,17,0),"")</f>
        <v>_</v>
      </c>
      <c r="AZ593" s="300" t="str">
        <f>_xlfn.IFNA(VLOOKUP($AI593,Programma!$F$3:$W$1107,18,0),"")</f>
        <v>_</v>
      </c>
      <c r="BA593" s="300" t="str">
        <f>_xlfn.IFNA(VLOOKUP($AI593,Programma!$F$3:$X$1107,19,0),"")</f>
        <v>_</v>
      </c>
      <c r="BB593" s="300" t="str">
        <f>_xlfn.IFNA(VLOOKUP($AI593,Programma!$F$3:$Y$1107,20,0),"")</f>
        <v>_</v>
      </c>
      <c r="BC593" s="257"/>
      <c r="BD593" s="256" t="str">
        <f>IF(Ruimtestaat[[#This Row],[Frequentie weekend]]="","",_xlfn.CONCAT(Ruimtestaat[[#This Row],[Ruimte code]],"-",Ruimtestaat[[#This Row],[Frequentie weekend]]," ",Ruimtestaat[[#This Row],[Vloer code]]))</f>
        <v/>
      </c>
      <c r="BE593" s="300" t="str">
        <f>_xlfn.IFNA(VLOOKUP($BD593,Programma!$F$3:$G$1107,2,0),"")</f>
        <v/>
      </c>
      <c r="BF593" s="300" t="str">
        <f>_xlfn.IFNA(VLOOKUP($BD593,Programma!$F$3:$H$1107,3,0),"")</f>
        <v/>
      </c>
      <c r="BG593" s="300" t="str">
        <f>_xlfn.IFNA(VLOOKUP($BD593,Programma!$F$3:$I$1107,4,0),"")</f>
        <v/>
      </c>
      <c r="BH593" s="300" t="str">
        <f>_xlfn.IFNA(VLOOKUP($BD593,Programma!$F$3:$J$1107,5,0),"")</f>
        <v/>
      </c>
      <c r="BI593" s="300" t="str">
        <f>_xlfn.IFNA(VLOOKUP($BD593,Programma!$F$3:$K$1107,6,0),"")</f>
        <v/>
      </c>
      <c r="BJ593" s="300" t="str">
        <f>_xlfn.IFNA(VLOOKUP($BD593,Programma!$F$3:$L$1107,7,0),"")</f>
        <v/>
      </c>
      <c r="BK593" s="300" t="str">
        <f>_xlfn.IFNA(VLOOKUP($BD593,Programma!$F$3:$M$1107,8,0),"")</f>
        <v/>
      </c>
      <c r="BL593" s="300" t="str">
        <f>_xlfn.IFNA(VLOOKUP($BD593,Programma!$F$3:$N$1107,9,0),"")</f>
        <v/>
      </c>
      <c r="BM593" s="300" t="str">
        <f>_xlfn.IFNA(VLOOKUP($BD593,Programma!$F$3:$O$1107,10,0),"")</f>
        <v/>
      </c>
      <c r="BN593" s="300" t="str">
        <f>_xlfn.IFNA(VLOOKUP($BD593,Programma!$F$3:$P$1107,11,0),"")</f>
        <v/>
      </c>
      <c r="BO593" s="300" t="str">
        <f>_xlfn.IFNA(VLOOKUP($BD593,Programma!$F$3:$Q$1107,12,0),"")</f>
        <v/>
      </c>
      <c r="BP593" s="300" t="str">
        <f>_xlfn.IFNA(VLOOKUP($BD593,Programma!$F$3:$R$1107,13,0),"")</f>
        <v/>
      </c>
      <c r="BQ593" s="300" t="str">
        <f>_xlfn.IFNA(VLOOKUP($BD593,Programma!$F$3:$S$1107,14,0),"")</f>
        <v/>
      </c>
      <c r="BR593" s="300" t="str">
        <f>_xlfn.IFNA(VLOOKUP($BD593,Programma!$F$3:$T$1107,15,0),"")</f>
        <v/>
      </c>
      <c r="BS593" s="300" t="str">
        <f>_xlfn.IFNA(VLOOKUP($BD593,Programma!$F$3:$U$1107,16,0),"")</f>
        <v/>
      </c>
      <c r="BT593" s="300" t="str">
        <f>_xlfn.IFNA(VLOOKUP($BD593,Programma!$F$3:$V$1107,17,0),"")</f>
        <v/>
      </c>
      <c r="BU593" s="300" t="str">
        <f>_xlfn.IFNA(VLOOKUP($BD593,Programma!$F$3:$W$1107,18,0),"")</f>
        <v/>
      </c>
      <c r="BV593" s="300" t="str">
        <f>_xlfn.IFNA(VLOOKUP($BD593,Programma!$F$3:$X$1107,19,0),"")</f>
        <v/>
      </c>
      <c r="BW593" s="300" t="str">
        <f>_xlfn.IFNA(VLOOKUP($BD593,Programma!$F$3:$Y$1107,20,0),"")</f>
        <v/>
      </c>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c r="GK593" s="4"/>
      <c r="GL593" s="4"/>
      <c r="GM593" s="4"/>
      <c r="GN593" s="4"/>
      <c r="GO593" s="4"/>
      <c r="GP593" s="4"/>
      <c r="GQ593" s="4"/>
      <c r="GR593" s="4"/>
      <c r="GS593" s="4"/>
      <c r="GT593" s="4"/>
      <c r="GU593" s="4"/>
      <c r="GV593" s="4"/>
      <c r="GW593" s="4"/>
      <c r="GX593" s="4"/>
      <c r="GY593" s="4"/>
      <c r="GZ593" s="4"/>
      <c r="HA593" s="4"/>
      <c r="HB593" s="4"/>
      <c r="HC593" s="4"/>
      <c r="HD593" s="4"/>
      <c r="HE593" s="4"/>
      <c r="HF593" s="4"/>
      <c r="HG593" s="4"/>
      <c r="HH593" s="4"/>
      <c r="HI593" s="4"/>
      <c r="HJ593" s="4"/>
      <c r="HK593" s="4"/>
      <c r="HL593" s="4"/>
    </row>
    <row r="594" spans="1:220" ht="15" customHeight="1">
      <c r="A594" s="21">
        <v>7</v>
      </c>
      <c r="B594" s="157" t="str">
        <f>VLOOKUP(Ruimtestaat[[#This Row],[Code]],Locaties[[Code]:[Locatie]],2,FALSE)</f>
        <v>Gymnasium Novum</v>
      </c>
      <c r="C594" s="157" t="str">
        <f>VLOOKUP(Ruimtestaat[[#This Row],[Code]],Locaties[[#All],[Code]:[Adres]],4,FALSE)</f>
        <v>Aart v.d. Leeuwkade 1</v>
      </c>
      <c r="D594" s="157" t="str">
        <f>VLOOKUP(Ruimtestaat[[#This Row],[Code]],Locaties[[#All],[Code]:[Postcode]],5,FALSE)</f>
        <v>2274 KX</v>
      </c>
      <c r="E594" s="157" t="str">
        <f>VLOOKUP(Ruimtestaat[[#This Row],[Code]],Locaties[#All],6,FALSE)</f>
        <v>Voorburg</v>
      </c>
      <c r="F594" s="62"/>
      <c r="G594" s="21" t="s">
        <v>1632</v>
      </c>
      <c r="H594" s="21">
        <v>48</v>
      </c>
      <c r="I594" s="62" t="s">
        <v>1625</v>
      </c>
      <c r="J594" s="21">
        <v>6</v>
      </c>
      <c r="K594" s="62" t="str">
        <f>VLOOKUP(Ruimtestaat[[#This Row],[Ruimte code]],Ruimtegroepen[[#All],[Code]:[Ruimte omschrijving]],2,FALSE)</f>
        <v>Gangen/hallen</v>
      </c>
      <c r="L594" s="33" t="s">
        <v>101</v>
      </c>
      <c r="M594" s="367" t="s">
        <v>2495</v>
      </c>
      <c r="N594" s="140">
        <v>35</v>
      </c>
      <c r="O594" s="140"/>
      <c r="P594" s="125" t="str">
        <f>VLOOKUP(Ruimtestaat[[#This Row],[Ruimte code]],Ruimtegroepen[],4,FALSE)</f>
        <v>Ve</v>
      </c>
      <c r="R594" s="33">
        <v>40</v>
      </c>
      <c r="S594" s="33" t="s">
        <v>2</v>
      </c>
      <c r="T594" s="33">
        <f>IF(R594&gt;0,IF(RIGHT(Ruimtestaat[[#This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94" s="33">
        <f>IF(T594&gt;0,VLOOKUP($J594,Ruimtegroepen[],3,FALSE)*VLOOKUP($L594,Vloersoorten[],3,FALSE)*VLOOKUP($S594,Frequenties[],3,FALSE)*VLOOKUP($A594,Locaties[],3,FALSE),0)</f>
        <v>0</v>
      </c>
      <c r="V594" s="33">
        <f>Ruimtestaat[[#This Row],[Uitvoeringen werkdagen]]*Ruimtestaat[[#This Row],[Oppervlak (netto)]]</f>
        <v>7000</v>
      </c>
      <c r="W594" s="154">
        <f>IF(U594&gt;0,Ruimtestaat[[#This Row],[Prest. (m2 /jaar) werkdagen]]/Ruimtestaat[[#This Row],[Norm (m2/uur) werkdagen]],0)</f>
        <v>0</v>
      </c>
      <c r="X594" s="155">
        <f>Ruimtestaat[[#This Row],[uren / jaar werkdagen]]*Tariefsopbouw!$E$35</f>
        <v>0</v>
      </c>
      <c r="Y594" s="33"/>
      <c r="Z594" s="33">
        <f>IF(Ruimtestaat[[#This Row],[Frequentie weekend]]&gt;0,VALUE(LEFT(Y594,1))*R594,0)</f>
        <v>0</v>
      </c>
      <c r="AA594" s="97">
        <f>IF($Z594&gt;0,VLOOKUP($J594,Ruimtegroepen[],3,FALSE)*VLOOKUP($L594,Vloersoorten[],3,FALSE)*VLOOKUP($Y594,Frequenties[],3,FALSE)*VLOOKUP(Ruimtestaat[[#This Row],[Code]],Locaties[],3,FALSE),0)</f>
        <v>0</v>
      </c>
      <c r="AB594" s="97">
        <f>Ruimtestaat[[#This Row],[Uitvoeringen weekend]]*Ruimtestaat[[#This Row],[Oppervlak (netto)]]</f>
        <v>0</v>
      </c>
      <c r="AC594" s="97">
        <f>IF(AA594&gt;0,Ruimtestaat[[#This Row],[Prest. (m2 /jaar) weekend]]/Ruimtestaat[[#This Row],[Norm (m2/uur) weekend]],0)</f>
        <v>0</v>
      </c>
      <c r="AD594" s="155">
        <f>Ruimtestaat[[#This Row],[uren / jaar weekend]]*Tariefsopbouw!$D$40</f>
        <v>0</v>
      </c>
      <c r="AE594" s="154">
        <f>Ruimtestaat[[#This Row],[Prest. (m2 /jaar) weekend]]+Ruimtestaat[[#This Row],[Prest. (m2 /jaar) werkdagen]]</f>
        <v>7000</v>
      </c>
      <c r="AF594" s="154">
        <f>Ruimtestaat[[#This Row],[uren / jaar weekend]]+Ruimtestaat[[#This Row],[uren / jaar werkdagen]]</f>
        <v>0</v>
      </c>
      <c r="AG594" s="69">
        <f>Ruimtestaat[[#This Row],[kosten / jaar weekend]]+Ruimtestaat[[#This Row],[kosten / jaar werkdagen]]</f>
        <v>0</v>
      </c>
      <c r="AH594" s="69"/>
      <c r="AI594" s="256" t="str">
        <f>IF(Ruimtestaat[[#This Row],[Frequentie werkdagen]]="","",_xlfn.CONCAT(Ruimtestaat[[#This Row],[Ruimte code]],"-",Ruimtestaat[[#This Row],[Frequentie werkdagen]]," ",Ruimtestaat[[#This Row],[Vloer code]]))</f>
        <v>6-5w L</v>
      </c>
      <c r="AJ594" s="300" t="str">
        <f>_xlfn.IFNA(VLOOKUP($AI594,Programma!$F$3:$G$1107,2,0),"")</f>
        <v>_</v>
      </c>
      <c r="AK594" s="300" t="str">
        <f>_xlfn.IFNA(VLOOKUP($AI594,Programma!$F$3:$H$1107,3,0),"")</f>
        <v>_</v>
      </c>
      <c r="AL594" s="300" t="str">
        <f>_xlfn.IFNA(VLOOKUP($AI594,Programma!$F$3:$I$1107,4,0),"")</f>
        <v>_</v>
      </c>
      <c r="AM594" s="300" t="str">
        <f>_xlfn.IFNA(VLOOKUP($AI594,Programma!$F$3:$J$1107,5,0),"")</f>
        <v>5w</v>
      </c>
      <c r="AN594" s="300" t="str">
        <f>_xlfn.IFNA(VLOOKUP($AI594,Programma!$F$3:$K$1107,6,0),"")</f>
        <v>_</v>
      </c>
      <c r="AO594" s="300" t="str">
        <f>_xlfn.IFNA(VLOOKUP($AI594,Programma!$F$3:$L$1107,7,0),"")</f>
        <v>_</v>
      </c>
      <c r="AP594" s="300" t="str">
        <f>_xlfn.IFNA(VLOOKUP($AI594,Programma!$F$3:$M$1107,8,0),"")</f>
        <v>_</v>
      </c>
      <c r="AQ594" s="300" t="str">
        <f>_xlfn.IFNA(VLOOKUP($AI594,Programma!$F$3:$N$1107,9,0),"")</f>
        <v>_</v>
      </c>
      <c r="AR594" s="300" t="str">
        <f>_xlfn.IFNA(VLOOKUP($AI594,Programma!$F$3:$O$1107,10,0),"")</f>
        <v>5w</v>
      </c>
      <c r="AS594" s="300" t="str">
        <f>_xlfn.IFNA(VLOOKUP($AI594,Programma!$F$3:$P$1107,11,0),"")</f>
        <v>5w</v>
      </c>
      <c r="AT594" s="300" t="str">
        <f>_xlfn.IFNA(VLOOKUP($AI594,Programma!$F$3:$Q$1107,12,0),"")</f>
        <v>1w</v>
      </c>
      <c r="AU594" s="300" t="str">
        <f>_xlfn.IFNA(VLOOKUP($AI594,Programma!$F$3:$R$1107,13,0),"")</f>
        <v>1w</v>
      </c>
      <c r="AV594" s="300" t="str">
        <f>_xlfn.IFNA(VLOOKUP($AI594,Programma!$F$3:$S$1107,14,0),"")</f>
        <v>1m</v>
      </c>
      <c r="AW594" s="300" t="str">
        <f>_xlfn.IFNA(VLOOKUP($AI594,Programma!$F$3:$T$1107,15,0),"")</f>
        <v>2j</v>
      </c>
      <c r="AX594" s="300" t="str">
        <f>_xlfn.IFNA(VLOOKUP($AI594,Programma!$F$3:$U$1107,16,0),"")</f>
        <v>1j</v>
      </c>
      <c r="AY594" s="300" t="str">
        <f>_xlfn.IFNA(VLOOKUP($AI594,Programma!$F$3:$V$1107,17,0),"")</f>
        <v>_</v>
      </c>
      <c r="AZ594" s="300" t="str">
        <f>_xlfn.IFNA(VLOOKUP($AI594,Programma!$F$3:$W$1107,18,0),"")</f>
        <v>_</v>
      </c>
      <c r="BA594" s="300" t="str">
        <f>_xlfn.IFNA(VLOOKUP($AI594,Programma!$F$3:$X$1107,19,0),"")</f>
        <v>_</v>
      </c>
      <c r="BB594" s="300" t="str">
        <f>_xlfn.IFNA(VLOOKUP($AI594,Programma!$F$3:$Y$1107,20,0),"")</f>
        <v>_</v>
      </c>
      <c r="BC594" s="257"/>
      <c r="BD594" s="256" t="str">
        <f>IF(Ruimtestaat[[#This Row],[Frequentie weekend]]="","",_xlfn.CONCAT(Ruimtestaat[[#This Row],[Ruimte code]],"-",Ruimtestaat[[#This Row],[Frequentie weekend]]," ",Ruimtestaat[[#This Row],[Vloer code]]))</f>
        <v/>
      </c>
      <c r="BE594" s="300" t="str">
        <f>_xlfn.IFNA(VLOOKUP($BD594,Programma!$F$3:$G$1107,2,0),"")</f>
        <v/>
      </c>
      <c r="BF594" s="300" t="str">
        <f>_xlfn.IFNA(VLOOKUP($BD594,Programma!$F$3:$H$1107,3,0),"")</f>
        <v/>
      </c>
      <c r="BG594" s="300" t="str">
        <f>_xlfn.IFNA(VLOOKUP($BD594,Programma!$F$3:$I$1107,4,0),"")</f>
        <v/>
      </c>
      <c r="BH594" s="300" t="str">
        <f>_xlfn.IFNA(VLOOKUP($BD594,Programma!$F$3:$J$1107,5,0),"")</f>
        <v/>
      </c>
      <c r="BI594" s="300" t="str">
        <f>_xlfn.IFNA(VLOOKUP($BD594,Programma!$F$3:$K$1107,6,0),"")</f>
        <v/>
      </c>
      <c r="BJ594" s="300" t="str">
        <f>_xlfn.IFNA(VLOOKUP($BD594,Programma!$F$3:$L$1107,7,0),"")</f>
        <v/>
      </c>
      <c r="BK594" s="300" t="str">
        <f>_xlfn.IFNA(VLOOKUP($BD594,Programma!$F$3:$M$1107,8,0),"")</f>
        <v/>
      </c>
      <c r="BL594" s="300" t="str">
        <f>_xlfn.IFNA(VLOOKUP($BD594,Programma!$F$3:$N$1107,9,0),"")</f>
        <v/>
      </c>
      <c r="BM594" s="300" t="str">
        <f>_xlfn.IFNA(VLOOKUP($BD594,Programma!$F$3:$O$1107,10,0),"")</f>
        <v/>
      </c>
      <c r="BN594" s="300" t="str">
        <f>_xlfn.IFNA(VLOOKUP($BD594,Programma!$F$3:$P$1107,11,0),"")</f>
        <v/>
      </c>
      <c r="BO594" s="300" t="str">
        <f>_xlfn.IFNA(VLOOKUP($BD594,Programma!$F$3:$Q$1107,12,0),"")</f>
        <v/>
      </c>
      <c r="BP594" s="300" t="str">
        <f>_xlfn.IFNA(VLOOKUP($BD594,Programma!$F$3:$R$1107,13,0),"")</f>
        <v/>
      </c>
      <c r="BQ594" s="300" t="str">
        <f>_xlfn.IFNA(VLOOKUP($BD594,Programma!$F$3:$S$1107,14,0),"")</f>
        <v/>
      </c>
      <c r="BR594" s="300" t="str">
        <f>_xlfn.IFNA(VLOOKUP($BD594,Programma!$F$3:$T$1107,15,0),"")</f>
        <v/>
      </c>
      <c r="BS594" s="300" t="str">
        <f>_xlfn.IFNA(VLOOKUP($BD594,Programma!$F$3:$U$1107,16,0),"")</f>
        <v/>
      </c>
      <c r="BT594" s="300" t="str">
        <f>_xlfn.IFNA(VLOOKUP($BD594,Programma!$F$3:$V$1107,17,0),"")</f>
        <v/>
      </c>
      <c r="BU594" s="300" t="str">
        <f>_xlfn.IFNA(VLOOKUP($BD594,Programma!$F$3:$W$1107,18,0),"")</f>
        <v/>
      </c>
      <c r="BV594" s="300" t="str">
        <f>_xlfn.IFNA(VLOOKUP($BD594,Programma!$F$3:$X$1107,19,0),"")</f>
        <v/>
      </c>
      <c r="BW594" s="300" t="str">
        <f>_xlfn.IFNA(VLOOKUP($BD594,Programma!$F$3:$Y$1107,20,0),"")</f>
        <v/>
      </c>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c r="GK594" s="4"/>
      <c r="GL594" s="4"/>
      <c r="GM594" s="4"/>
      <c r="GN594" s="4"/>
      <c r="GO594" s="4"/>
      <c r="GP594" s="4"/>
      <c r="GQ594" s="4"/>
      <c r="GR594" s="4"/>
      <c r="GS594" s="4"/>
      <c r="GT594" s="4"/>
      <c r="GU594" s="4"/>
      <c r="GV594" s="4"/>
      <c r="GW594" s="4"/>
      <c r="GX594" s="4"/>
      <c r="GY594" s="4"/>
      <c r="GZ594" s="4"/>
      <c r="HA594" s="4"/>
      <c r="HB594" s="4"/>
      <c r="HC594" s="4"/>
      <c r="HD594" s="4"/>
      <c r="HE594" s="4"/>
      <c r="HF594" s="4"/>
      <c r="HG594" s="4"/>
      <c r="HH594" s="4"/>
      <c r="HI594" s="4"/>
      <c r="HJ594" s="4"/>
      <c r="HK594" s="4"/>
      <c r="HL594" s="4"/>
    </row>
    <row r="595" spans="1:220" ht="15" customHeight="1">
      <c r="A595" s="21">
        <v>7</v>
      </c>
      <c r="B595" s="157" t="str">
        <f>VLOOKUP(Ruimtestaat[[#This Row],[Code]],Locaties[[Code]:[Locatie]],2,FALSE)</f>
        <v>Gymnasium Novum</v>
      </c>
      <c r="C595" s="157" t="str">
        <f>VLOOKUP(Ruimtestaat[[#This Row],[Code]],Locaties[[#All],[Code]:[Adres]],4,FALSE)</f>
        <v>Aart v.d. Leeuwkade 1</v>
      </c>
      <c r="D595" s="157" t="str">
        <f>VLOOKUP(Ruimtestaat[[#This Row],[Code]],Locaties[[#All],[Code]:[Postcode]],5,FALSE)</f>
        <v>2274 KX</v>
      </c>
      <c r="E595" s="157" t="str">
        <f>VLOOKUP(Ruimtestaat[[#This Row],[Code]],Locaties[#All],6,FALSE)</f>
        <v>Voorburg</v>
      </c>
      <c r="F595" s="62"/>
      <c r="G595" s="21" t="s">
        <v>1632</v>
      </c>
      <c r="H595" s="21">
        <v>49</v>
      </c>
      <c r="I595" s="62" t="s">
        <v>1652</v>
      </c>
      <c r="J595" s="21">
        <v>3</v>
      </c>
      <c r="K595" s="62" t="str">
        <f>VLOOKUP(Ruimtestaat[[#This Row],[Ruimte code]],Ruimtegroepen[[#All],[Code]:[Ruimte omschrijving]],2,FALSE)</f>
        <v>Reproruimte</v>
      </c>
      <c r="L595" s="33" t="s">
        <v>101</v>
      </c>
      <c r="M595" s="367" t="s">
        <v>2495</v>
      </c>
      <c r="N595" s="140">
        <v>14</v>
      </c>
      <c r="O595" s="140"/>
      <c r="P595" s="125" t="str">
        <f>VLOOKUP(Ruimtestaat[[#This Row],[Ruimte code]],Ruimtegroepen[],4,FALSE)</f>
        <v>Ve</v>
      </c>
      <c r="R595" s="33">
        <v>40</v>
      </c>
      <c r="S595" s="33" t="s">
        <v>2</v>
      </c>
      <c r="T595" s="33">
        <f>IF(R595&gt;0,IF(RIGHT(Ruimtestaat[[#This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95" s="33">
        <f>IF(T595&gt;0,VLOOKUP($J595,Ruimtegroepen[],3,FALSE)*VLOOKUP($L595,Vloersoorten[],3,FALSE)*VLOOKUP($S595,Frequenties[],3,FALSE)*VLOOKUP($A595,Locaties[],3,FALSE),0)</f>
        <v>0</v>
      </c>
      <c r="V595" s="33">
        <f>Ruimtestaat[[#This Row],[Uitvoeringen werkdagen]]*Ruimtestaat[[#This Row],[Oppervlak (netto)]]</f>
        <v>2800</v>
      </c>
      <c r="W595" s="154">
        <f>IF(U595&gt;0,Ruimtestaat[[#This Row],[Prest. (m2 /jaar) werkdagen]]/Ruimtestaat[[#This Row],[Norm (m2/uur) werkdagen]],0)</f>
        <v>0</v>
      </c>
      <c r="X595" s="155">
        <f>Ruimtestaat[[#This Row],[uren / jaar werkdagen]]*Tariefsopbouw!$E$35</f>
        <v>0</v>
      </c>
      <c r="Y595" s="33"/>
      <c r="Z595" s="33">
        <f>IF(Ruimtestaat[[#This Row],[Frequentie weekend]]&gt;0,VALUE(LEFT(Y595,1))*R595,0)</f>
        <v>0</v>
      </c>
      <c r="AA595" s="97">
        <f>IF($Z595&gt;0,VLOOKUP($J595,Ruimtegroepen[],3,FALSE)*VLOOKUP($L595,Vloersoorten[],3,FALSE)*VLOOKUP($Y595,Frequenties[],3,FALSE)*VLOOKUP(Ruimtestaat[[#This Row],[Code]],Locaties[],3,FALSE),0)</f>
        <v>0</v>
      </c>
      <c r="AB595" s="97">
        <f>Ruimtestaat[[#This Row],[Uitvoeringen weekend]]*Ruimtestaat[[#This Row],[Oppervlak (netto)]]</f>
        <v>0</v>
      </c>
      <c r="AC595" s="97">
        <f>IF(AA595&gt;0,Ruimtestaat[[#This Row],[Prest. (m2 /jaar) weekend]]/Ruimtestaat[[#This Row],[Norm (m2/uur) weekend]],0)</f>
        <v>0</v>
      </c>
      <c r="AD595" s="155">
        <f>Ruimtestaat[[#This Row],[uren / jaar weekend]]*Tariefsopbouw!$D$40</f>
        <v>0</v>
      </c>
      <c r="AE595" s="154">
        <f>Ruimtestaat[[#This Row],[Prest. (m2 /jaar) weekend]]+Ruimtestaat[[#This Row],[Prest. (m2 /jaar) werkdagen]]</f>
        <v>2800</v>
      </c>
      <c r="AF595" s="154">
        <f>Ruimtestaat[[#This Row],[uren / jaar weekend]]+Ruimtestaat[[#This Row],[uren / jaar werkdagen]]</f>
        <v>0</v>
      </c>
      <c r="AG595" s="69">
        <f>Ruimtestaat[[#This Row],[kosten / jaar weekend]]+Ruimtestaat[[#This Row],[kosten / jaar werkdagen]]</f>
        <v>0</v>
      </c>
      <c r="AH595" s="69"/>
      <c r="AI595" s="256" t="str">
        <f>IF(Ruimtestaat[[#This Row],[Frequentie werkdagen]]="","",_xlfn.CONCAT(Ruimtestaat[[#This Row],[Ruimte code]],"-",Ruimtestaat[[#This Row],[Frequentie werkdagen]]," ",Ruimtestaat[[#This Row],[Vloer code]]))</f>
        <v>3-5w L</v>
      </c>
      <c r="AJ595" s="300" t="str">
        <f>_xlfn.IFNA(VLOOKUP($AI595,Programma!$F$3:$G$1107,2,0),"")</f>
        <v>_</v>
      </c>
      <c r="AK595" s="300" t="str">
        <f>_xlfn.IFNA(VLOOKUP($AI595,Programma!$F$3:$H$1107,3,0),"")</f>
        <v>_</v>
      </c>
      <c r="AL595" s="300" t="str">
        <f>_xlfn.IFNA(VLOOKUP($AI595,Programma!$F$3:$I$1107,4,0),"")</f>
        <v>4w</v>
      </c>
      <c r="AM595" s="300" t="str">
        <f>_xlfn.IFNA(VLOOKUP($AI595,Programma!$F$3:$J$1107,5,0),"")</f>
        <v>1w</v>
      </c>
      <c r="AN595" s="300" t="str">
        <f>_xlfn.IFNA(VLOOKUP($AI595,Programma!$F$3:$K$1107,6,0),"")</f>
        <v>_</v>
      </c>
      <c r="AO595" s="300" t="str">
        <f>_xlfn.IFNA(VLOOKUP($AI595,Programma!$F$3:$L$1107,7,0),"")</f>
        <v>_</v>
      </c>
      <c r="AP595" s="300" t="str">
        <f>_xlfn.IFNA(VLOOKUP($AI595,Programma!$F$3:$M$1107,8,0),"")</f>
        <v>_</v>
      </c>
      <c r="AQ595" s="300" t="str">
        <f>_xlfn.IFNA(VLOOKUP($AI595,Programma!$F$3:$N$1107,9,0),"")</f>
        <v>_</v>
      </c>
      <c r="AR595" s="300" t="str">
        <f>_xlfn.IFNA(VLOOKUP($AI595,Programma!$F$3:$O$1107,10,0),"")</f>
        <v>5w</v>
      </c>
      <c r="AS595" s="300" t="str">
        <f>_xlfn.IFNA(VLOOKUP($AI595,Programma!$F$3:$P$1107,11,0),"")</f>
        <v>5w</v>
      </c>
      <c r="AT595" s="300" t="str">
        <f>_xlfn.IFNA(VLOOKUP($AI595,Programma!$F$3:$Q$1107,12,0),"")</f>
        <v>1w</v>
      </c>
      <c r="AU595" s="300" t="str">
        <f>_xlfn.IFNA(VLOOKUP($AI595,Programma!$F$3:$R$1107,13,0),"")</f>
        <v>1w</v>
      </c>
      <c r="AV595" s="300" t="str">
        <f>_xlfn.IFNA(VLOOKUP($AI595,Programma!$F$3:$S$1107,14,0),"")</f>
        <v>1m</v>
      </c>
      <c r="AW595" s="300" t="str">
        <f>_xlfn.IFNA(VLOOKUP($AI595,Programma!$F$3:$T$1107,15,0),"")</f>
        <v>4j</v>
      </c>
      <c r="AX595" s="300" t="str">
        <f>_xlfn.IFNA(VLOOKUP($AI595,Programma!$F$3:$U$1107,16,0),"")</f>
        <v>1j</v>
      </c>
      <c r="AY595" s="300" t="str">
        <f>_xlfn.IFNA(VLOOKUP($AI595,Programma!$F$3:$V$1107,17,0),"")</f>
        <v>_</v>
      </c>
      <c r="AZ595" s="300" t="str">
        <f>_xlfn.IFNA(VLOOKUP($AI595,Programma!$F$3:$W$1107,18,0),"")</f>
        <v>_</v>
      </c>
      <c r="BA595" s="300" t="str">
        <f>_xlfn.IFNA(VLOOKUP($AI595,Programma!$F$3:$X$1107,19,0),"")</f>
        <v>_</v>
      </c>
      <c r="BB595" s="300" t="str">
        <f>_xlfn.IFNA(VLOOKUP($AI595,Programma!$F$3:$Y$1107,20,0),"")</f>
        <v>_</v>
      </c>
      <c r="BC595" s="257"/>
      <c r="BD595" s="256" t="str">
        <f>IF(Ruimtestaat[[#This Row],[Frequentie weekend]]="","",_xlfn.CONCAT(Ruimtestaat[[#This Row],[Ruimte code]],"-",Ruimtestaat[[#This Row],[Frequentie weekend]]," ",Ruimtestaat[[#This Row],[Vloer code]]))</f>
        <v/>
      </c>
      <c r="BE595" s="300" t="str">
        <f>_xlfn.IFNA(VLOOKUP($BD595,Programma!$F$3:$G$1107,2,0),"")</f>
        <v/>
      </c>
      <c r="BF595" s="300" t="str">
        <f>_xlfn.IFNA(VLOOKUP($BD595,Programma!$F$3:$H$1107,3,0),"")</f>
        <v/>
      </c>
      <c r="BG595" s="300" t="str">
        <f>_xlfn.IFNA(VLOOKUP($BD595,Programma!$F$3:$I$1107,4,0),"")</f>
        <v/>
      </c>
      <c r="BH595" s="300" t="str">
        <f>_xlfn.IFNA(VLOOKUP($BD595,Programma!$F$3:$J$1107,5,0),"")</f>
        <v/>
      </c>
      <c r="BI595" s="300" t="str">
        <f>_xlfn.IFNA(VLOOKUP($BD595,Programma!$F$3:$K$1107,6,0),"")</f>
        <v/>
      </c>
      <c r="BJ595" s="300" t="str">
        <f>_xlfn.IFNA(VLOOKUP($BD595,Programma!$F$3:$L$1107,7,0),"")</f>
        <v/>
      </c>
      <c r="BK595" s="300" t="str">
        <f>_xlfn.IFNA(VLOOKUP($BD595,Programma!$F$3:$M$1107,8,0),"")</f>
        <v/>
      </c>
      <c r="BL595" s="300" t="str">
        <f>_xlfn.IFNA(VLOOKUP($BD595,Programma!$F$3:$N$1107,9,0),"")</f>
        <v/>
      </c>
      <c r="BM595" s="300" t="str">
        <f>_xlfn.IFNA(VLOOKUP($BD595,Programma!$F$3:$O$1107,10,0),"")</f>
        <v/>
      </c>
      <c r="BN595" s="300" t="str">
        <f>_xlfn.IFNA(VLOOKUP($BD595,Programma!$F$3:$P$1107,11,0),"")</f>
        <v/>
      </c>
      <c r="BO595" s="300" t="str">
        <f>_xlfn.IFNA(VLOOKUP($BD595,Programma!$F$3:$Q$1107,12,0),"")</f>
        <v/>
      </c>
      <c r="BP595" s="300" t="str">
        <f>_xlfn.IFNA(VLOOKUP($BD595,Programma!$F$3:$R$1107,13,0),"")</f>
        <v/>
      </c>
      <c r="BQ595" s="300" t="str">
        <f>_xlfn.IFNA(VLOOKUP($BD595,Programma!$F$3:$S$1107,14,0),"")</f>
        <v/>
      </c>
      <c r="BR595" s="300" t="str">
        <f>_xlfn.IFNA(VLOOKUP($BD595,Programma!$F$3:$T$1107,15,0),"")</f>
        <v/>
      </c>
      <c r="BS595" s="300" t="str">
        <f>_xlfn.IFNA(VLOOKUP($BD595,Programma!$F$3:$U$1107,16,0),"")</f>
        <v/>
      </c>
      <c r="BT595" s="300" t="str">
        <f>_xlfn.IFNA(VLOOKUP($BD595,Programma!$F$3:$V$1107,17,0),"")</f>
        <v/>
      </c>
      <c r="BU595" s="300" t="str">
        <f>_xlfn.IFNA(VLOOKUP($BD595,Programma!$F$3:$W$1107,18,0),"")</f>
        <v/>
      </c>
      <c r="BV595" s="300" t="str">
        <f>_xlfn.IFNA(VLOOKUP($BD595,Programma!$F$3:$X$1107,19,0),"")</f>
        <v/>
      </c>
      <c r="BW595" s="300" t="str">
        <f>_xlfn.IFNA(VLOOKUP($BD595,Programma!$F$3:$Y$1107,20,0),"")</f>
        <v/>
      </c>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c r="GK595" s="4"/>
      <c r="GL595" s="4"/>
      <c r="GM595" s="4"/>
      <c r="GN595" s="4"/>
      <c r="GO595" s="4"/>
      <c r="GP595" s="4"/>
      <c r="GQ595" s="4"/>
      <c r="GR595" s="4"/>
      <c r="GS595" s="4"/>
      <c r="GT595" s="4"/>
      <c r="GU595" s="4"/>
      <c r="GV595" s="4"/>
      <c r="GW595" s="4"/>
      <c r="GX595" s="4"/>
      <c r="GY595" s="4"/>
      <c r="GZ595" s="4"/>
      <c r="HA595" s="4"/>
      <c r="HB595" s="4"/>
      <c r="HC595" s="4"/>
      <c r="HD595" s="4"/>
      <c r="HE595" s="4"/>
      <c r="HF595" s="4"/>
      <c r="HG595" s="4"/>
      <c r="HH595" s="4"/>
      <c r="HI595" s="4"/>
      <c r="HJ595" s="4"/>
      <c r="HK595" s="4"/>
      <c r="HL595" s="4"/>
    </row>
    <row r="596" spans="1:220" ht="15" customHeight="1">
      <c r="A596" s="21">
        <v>7</v>
      </c>
      <c r="B596" s="157" t="str">
        <f>VLOOKUP(Ruimtestaat[[#This Row],[Code]],Locaties[[Code]:[Locatie]],2,FALSE)</f>
        <v>Gymnasium Novum</v>
      </c>
      <c r="C596" s="157" t="str">
        <f>VLOOKUP(Ruimtestaat[[#This Row],[Code]],Locaties[[#All],[Code]:[Adres]],4,FALSE)</f>
        <v>Aart v.d. Leeuwkade 1</v>
      </c>
      <c r="D596" s="157" t="str">
        <f>VLOOKUP(Ruimtestaat[[#This Row],[Code]],Locaties[[#All],[Code]:[Postcode]],5,FALSE)</f>
        <v>2274 KX</v>
      </c>
      <c r="E596" s="157" t="str">
        <f>VLOOKUP(Ruimtestaat[[#This Row],[Code]],Locaties[#All],6,FALSE)</f>
        <v>Voorburg</v>
      </c>
      <c r="F596" s="62"/>
      <c r="G596" s="21" t="s">
        <v>1632</v>
      </c>
      <c r="H596" s="21">
        <v>50</v>
      </c>
      <c r="I596" s="62" t="s">
        <v>2156</v>
      </c>
      <c r="J596" s="21">
        <v>15</v>
      </c>
      <c r="K596" s="62" t="str">
        <f>VLOOKUP(Ruimtestaat[[#This Row],[Ruimte code]],Ruimtegroepen[[#All],[Code]:[Ruimte omschrijving]],2,FALSE)</f>
        <v>Keuken/pantry</v>
      </c>
      <c r="L596" s="33" t="s">
        <v>102</v>
      </c>
      <c r="M596" s="367" t="s">
        <v>2509</v>
      </c>
      <c r="N596" s="140">
        <v>25</v>
      </c>
      <c r="O596" s="140"/>
      <c r="P596" s="125" t="str">
        <f>VLOOKUP(Ruimtestaat[[#This Row],[Ruimte code]],Ruimtegroepen[],4,FALSE)</f>
        <v>Ve</v>
      </c>
      <c r="R596" s="33">
        <v>40</v>
      </c>
      <c r="S596" s="33" t="s">
        <v>2</v>
      </c>
      <c r="T596" s="33">
        <f>IF(R596&gt;0,IF(RIGHT(Ruimtestaat[[#This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96" s="33">
        <f>IF(T596&gt;0,VLOOKUP($J596,Ruimtegroepen[],3,FALSE)*VLOOKUP($L596,Vloersoorten[],3,FALSE)*VLOOKUP($S596,Frequenties[],3,FALSE)*VLOOKUP($A596,Locaties[],3,FALSE),0)</f>
        <v>0</v>
      </c>
      <c r="V596" s="33">
        <f>Ruimtestaat[[#This Row],[Uitvoeringen werkdagen]]*Ruimtestaat[[#This Row],[Oppervlak (netto)]]</f>
        <v>5000</v>
      </c>
      <c r="W596" s="154">
        <f>IF(U596&gt;0,Ruimtestaat[[#This Row],[Prest. (m2 /jaar) werkdagen]]/Ruimtestaat[[#This Row],[Norm (m2/uur) werkdagen]],0)</f>
        <v>0</v>
      </c>
      <c r="X596" s="155">
        <f>Ruimtestaat[[#This Row],[uren / jaar werkdagen]]*Tariefsopbouw!$E$35</f>
        <v>0</v>
      </c>
      <c r="Y596" s="33"/>
      <c r="Z596" s="33">
        <f>IF(Ruimtestaat[[#This Row],[Frequentie weekend]]&gt;0,VALUE(LEFT(Y596,1))*R596,0)</f>
        <v>0</v>
      </c>
      <c r="AA596" s="97">
        <f>IF($Z596&gt;0,VLOOKUP($J596,Ruimtegroepen[],3,FALSE)*VLOOKUP($L596,Vloersoorten[],3,FALSE)*VLOOKUP($Y596,Frequenties[],3,FALSE)*VLOOKUP(Ruimtestaat[[#This Row],[Code]],Locaties[],3,FALSE),0)</f>
        <v>0</v>
      </c>
      <c r="AB596" s="97">
        <f>Ruimtestaat[[#This Row],[Uitvoeringen weekend]]*Ruimtestaat[[#This Row],[Oppervlak (netto)]]</f>
        <v>0</v>
      </c>
      <c r="AC596" s="97">
        <f>IF(AA596&gt;0,Ruimtestaat[[#This Row],[Prest. (m2 /jaar) weekend]]/Ruimtestaat[[#This Row],[Norm (m2/uur) weekend]],0)</f>
        <v>0</v>
      </c>
      <c r="AD596" s="155">
        <f>Ruimtestaat[[#This Row],[uren / jaar weekend]]*Tariefsopbouw!$D$40</f>
        <v>0</v>
      </c>
      <c r="AE596" s="154">
        <f>Ruimtestaat[[#This Row],[Prest. (m2 /jaar) weekend]]+Ruimtestaat[[#This Row],[Prest. (m2 /jaar) werkdagen]]</f>
        <v>5000</v>
      </c>
      <c r="AF596" s="154">
        <f>Ruimtestaat[[#This Row],[uren / jaar weekend]]+Ruimtestaat[[#This Row],[uren / jaar werkdagen]]</f>
        <v>0</v>
      </c>
      <c r="AG596" s="69">
        <f>Ruimtestaat[[#This Row],[kosten / jaar weekend]]+Ruimtestaat[[#This Row],[kosten / jaar werkdagen]]</f>
        <v>0</v>
      </c>
      <c r="AH596" s="69"/>
      <c r="AI596" s="256" t="str">
        <f>IF(Ruimtestaat[[#This Row],[Frequentie werkdagen]]="","",_xlfn.CONCAT(Ruimtestaat[[#This Row],[Ruimte code]],"-",Ruimtestaat[[#This Row],[Frequentie werkdagen]]," ",Ruimtestaat[[#This Row],[Vloer code]]))</f>
        <v>15-5w S</v>
      </c>
      <c r="AJ596" s="300" t="str">
        <f>_xlfn.IFNA(VLOOKUP($AI596,Programma!$F$3:$G$1107,2,0),"")</f>
        <v>_</v>
      </c>
      <c r="AK596" s="300" t="str">
        <f>_xlfn.IFNA(VLOOKUP($AI596,Programma!$F$3:$H$1107,3,0),"")</f>
        <v>_</v>
      </c>
      <c r="AL596" s="300" t="str">
        <f>_xlfn.IFNA(VLOOKUP($AI596,Programma!$F$3:$I$1107,4,0),"")</f>
        <v>5w</v>
      </c>
      <c r="AM596" s="300" t="str">
        <f>_xlfn.IFNA(VLOOKUP($AI596,Programma!$F$3:$J$1107,5,0),"")</f>
        <v>_</v>
      </c>
      <c r="AN596" s="300" t="str">
        <f>_xlfn.IFNA(VLOOKUP($AI596,Programma!$F$3:$K$1107,6,0),"")</f>
        <v>5w</v>
      </c>
      <c r="AO596" s="300" t="str">
        <f>_xlfn.IFNA(VLOOKUP($AI596,Programma!$F$3:$L$1107,7,0),"")</f>
        <v>_</v>
      </c>
      <c r="AP596" s="300" t="str">
        <f>_xlfn.IFNA(VLOOKUP($AI596,Programma!$F$3:$M$1107,8,0),"")</f>
        <v>_</v>
      </c>
      <c r="AQ596" s="300" t="str">
        <f>_xlfn.IFNA(VLOOKUP($AI596,Programma!$F$3:$N$1107,9,0),"")</f>
        <v>_</v>
      </c>
      <c r="AR596" s="300" t="str">
        <f>_xlfn.IFNA(VLOOKUP($AI596,Programma!$F$3:$O$1107,10,0),"")</f>
        <v>5w</v>
      </c>
      <c r="AS596" s="300" t="str">
        <f>_xlfn.IFNA(VLOOKUP($AI596,Programma!$F$3:$P$1107,11,0),"")</f>
        <v>5w</v>
      </c>
      <c r="AT596" s="300" t="str">
        <f>_xlfn.IFNA(VLOOKUP($AI596,Programma!$F$3:$Q$1107,12,0),"")</f>
        <v>1w</v>
      </c>
      <c r="AU596" s="300" t="str">
        <f>_xlfn.IFNA(VLOOKUP($AI596,Programma!$F$3:$R$1107,13,0),"")</f>
        <v>1w</v>
      </c>
      <c r="AV596" s="300" t="str">
        <f>_xlfn.IFNA(VLOOKUP($AI596,Programma!$F$3:$S$1107,14,0),"")</f>
        <v>1m</v>
      </c>
      <c r="AW596" s="300" t="str">
        <f>_xlfn.IFNA(VLOOKUP($AI596,Programma!$F$3:$T$1107,15,0),"")</f>
        <v>2j</v>
      </c>
      <c r="AX596" s="300" t="str">
        <f>_xlfn.IFNA(VLOOKUP($AI596,Programma!$F$3:$U$1107,16,0),"")</f>
        <v>1j</v>
      </c>
      <c r="AY596" s="300" t="str">
        <f>_xlfn.IFNA(VLOOKUP($AI596,Programma!$F$3:$V$1107,17,0),"")</f>
        <v>_</v>
      </c>
      <c r="AZ596" s="300" t="str">
        <f>_xlfn.IFNA(VLOOKUP($AI596,Programma!$F$3:$W$1107,18,0),"")</f>
        <v>_</v>
      </c>
      <c r="BA596" s="300" t="str">
        <f>_xlfn.IFNA(VLOOKUP($AI596,Programma!$F$3:$X$1107,19,0),"")</f>
        <v>_</v>
      </c>
      <c r="BB596" s="300" t="str">
        <f>_xlfn.IFNA(VLOOKUP($AI596,Programma!$F$3:$Y$1107,20,0),"")</f>
        <v>_</v>
      </c>
      <c r="BC596" s="257"/>
      <c r="BD596" s="256" t="str">
        <f>IF(Ruimtestaat[[#This Row],[Frequentie weekend]]="","",_xlfn.CONCAT(Ruimtestaat[[#This Row],[Ruimte code]],"-",Ruimtestaat[[#This Row],[Frequentie weekend]]," ",Ruimtestaat[[#This Row],[Vloer code]]))</f>
        <v/>
      </c>
      <c r="BE596" s="300" t="str">
        <f>_xlfn.IFNA(VLOOKUP($BD596,Programma!$F$3:$G$1107,2,0),"")</f>
        <v/>
      </c>
      <c r="BF596" s="300" t="str">
        <f>_xlfn.IFNA(VLOOKUP($BD596,Programma!$F$3:$H$1107,3,0),"")</f>
        <v/>
      </c>
      <c r="BG596" s="300" t="str">
        <f>_xlfn.IFNA(VLOOKUP($BD596,Programma!$F$3:$I$1107,4,0),"")</f>
        <v/>
      </c>
      <c r="BH596" s="300" t="str">
        <f>_xlfn.IFNA(VLOOKUP($BD596,Programma!$F$3:$J$1107,5,0),"")</f>
        <v/>
      </c>
      <c r="BI596" s="300" t="str">
        <f>_xlfn.IFNA(VLOOKUP($BD596,Programma!$F$3:$K$1107,6,0),"")</f>
        <v/>
      </c>
      <c r="BJ596" s="300" t="str">
        <f>_xlfn.IFNA(VLOOKUP($BD596,Programma!$F$3:$L$1107,7,0),"")</f>
        <v/>
      </c>
      <c r="BK596" s="300" t="str">
        <f>_xlfn.IFNA(VLOOKUP($BD596,Programma!$F$3:$M$1107,8,0),"")</f>
        <v/>
      </c>
      <c r="BL596" s="300" t="str">
        <f>_xlfn.IFNA(VLOOKUP($BD596,Programma!$F$3:$N$1107,9,0),"")</f>
        <v/>
      </c>
      <c r="BM596" s="300" t="str">
        <f>_xlfn.IFNA(VLOOKUP($BD596,Programma!$F$3:$O$1107,10,0),"")</f>
        <v/>
      </c>
      <c r="BN596" s="300" t="str">
        <f>_xlfn.IFNA(VLOOKUP($BD596,Programma!$F$3:$P$1107,11,0),"")</f>
        <v/>
      </c>
      <c r="BO596" s="300" t="str">
        <f>_xlfn.IFNA(VLOOKUP($BD596,Programma!$F$3:$Q$1107,12,0),"")</f>
        <v/>
      </c>
      <c r="BP596" s="300" t="str">
        <f>_xlfn.IFNA(VLOOKUP($BD596,Programma!$F$3:$R$1107,13,0),"")</f>
        <v/>
      </c>
      <c r="BQ596" s="300" t="str">
        <f>_xlfn.IFNA(VLOOKUP($BD596,Programma!$F$3:$S$1107,14,0),"")</f>
        <v/>
      </c>
      <c r="BR596" s="300" t="str">
        <f>_xlfn.IFNA(VLOOKUP($BD596,Programma!$F$3:$T$1107,15,0),"")</f>
        <v/>
      </c>
      <c r="BS596" s="300" t="str">
        <f>_xlfn.IFNA(VLOOKUP($BD596,Programma!$F$3:$U$1107,16,0),"")</f>
        <v/>
      </c>
      <c r="BT596" s="300" t="str">
        <f>_xlfn.IFNA(VLOOKUP($BD596,Programma!$F$3:$V$1107,17,0),"")</f>
        <v/>
      </c>
      <c r="BU596" s="300" t="str">
        <f>_xlfn.IFNA(VLOOKUP($BD596,Programma!$F$3:$W$1107,18,0),"")</f>
        <v/>
      </c>
      <c r="BV596" s="300" t="str">
        <f>_xlfn.IFNA(VLOOKUP($BD596,Programma!$F$3:$X$1107,19,0),"")</f>
        <v/>
      </c>
      <c r="BW596" s="300" t="str">
        <f>_xlfn.IFNA(VLOOKUP($BD596,Programma!$F$3:$Y$1107,20,0),"")</f>
        <v/>
      </c>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c r="GK596" s="4"/>
      <c r="GL596" s="4"/>
      <c r="GM596" s="4"/>
      <c r="GN596" s="4"/>
      <c r="GO596" s="4"/>
      <c r="GP596" s="4"/>
      <c r="GQ596" s="4"/>
      <c r="GR596" s="4"/>
      <c r="GS596" s="4"/>
      <c r="GT596" s="4"/>
      <c r="GU596" s="4"/>
      <c r="GV596" s="4"/>
      <c r="GW596" s="4"/>
      <c r="GX596" s="4"/>
      <c r="GY596" s="4"/>
      <c r="GZ596" s="4"/>
      <c r="HA596" s="4"/>
      <c r="HB596" s="4"/>
      <c r="HC596" s="4"/>
      <c r="HD596" s="4"/>
      <c r="HE596" s="4"/>
      <c r="HF596" s="4"/>
      <c r="HG596" s="4"/>
      <c r="HH596" s="4"/>
      <c r="HI596" s="4"/>
      <c r="HJ596" s="4"/>
      <c r="HK596" s="4"/>
      <c r="HL596" s="4"/>
    </row>
    <row r="597" spans="1:220" ht="15" customHeight="1">
      <c r="A597" s="21">
        <v>7</v>
      </c>
      <c r="B597" s="157" t="str">
        <f>VLOOKUP(Ruimtestaat[[#This Row],[Code]],Locaties[[Code]:[Locatie]],2,FALSE)</f>
        <v>Gymnasium Novum</v>
      </c>
      <c r="C597" s="157" t="str">
        <f>VLOOKUP(Ruimtestaat[[#This Row],[Code]],Locaties[[#All],[Code]:[Adres]],4,FALSE)</f>
        <v>Aart v.d. Leeuwkade 1</v>
      </c>
      <c r="D597" s="157" t="str">
        <f>VLOOKUP(Ruimtestaat[[#This Row],[Code]],Locaties[[#All],[Code]:[Postcode]],5,FALSE)</f>
        <v>2274 KX</v>
      </c>
      <c r="E597" s="157" t="str">
        <f>VLOOKUP(Ruimtestaat[[#This Row],[Code]],Locaties[#All],6,FALSE)</f>
        <v>Voorburg</v>
      </c>
      <c r="F597" s="62"/>
      <c r="G597" s="21" t="s">
        <v>1632</v>
      </c>
      <c r="H597" s="21">
        <v>51</v>
      </c>
      <c r="I597" s="62" t="s">
        <v>2157</v>
      </c>
      <c r="J597" s="21">
        <v>1</v>
      </c>
      <c r="K597" s="62" t="str">
        <f>VLOOKUP(Ruimtestaat[[#This Row],[Ruimte code]],Ruimtegroepen[[#All],[Code]:[Ruimte omschrijving]],2,FALSE)</f>
        <v>Magazijnen/bergingen</v>
      </c>
      <c r="L597" s="33" t="s">
        <v>101</v>
      </c>
      <c r="M597" s="367" t="s">
        <v>2495</v>
      </c>
      <c r="N597" s="140">
        <v>10</v>
      </c>
      <c r="O597" s="140"/>
      <c r="P597" s="125" t="str">
        <f>VLOOKUP(Ruimtestaat[[#This Row],[Ruimte code]],Ruimtegroepen[],4,FALSE)</f>
        <v>Ve</v>
      </c>
      <c r="R597" s="33">
        <v>40</v>
      </c>
      <c r="S597" s="33" t="s">
        <v>16</v>
      </c>
      <c r="T597" s="33">
        <f>IF(R597&gt;0,IF(RIGHT(Ruimtestaat[[#This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597" s="33">
        <f>IF(T597&gt;0,VLOOKUP($J597,Ruimtegroepen[],3,FALSE)*VLOOKUP($L597,Vloersoorten[],3,FALSE)*VLOOKUP($S597,Frequenties[],3,FALSE)*VLOOKUP($A597,Locaties[],3,FALSE),0)</f>
        <v>0</v>
      </c>
      <c r="V597" s="33">
        <f>Ruimtestaat[[#This Row],[Uitvoeringen werkdagen]]*Ruimtestaat[[#This Row],[Oppervlak (netto)]]</f>
        <v>120</v>
      </c>
      <c r="W597" s="154">
        <f>IF(U597&gt;0,Ruimtestaat[[#This Row],[Prest. (m2 /jaar) werkdagen]]/Ruimtestaat[[#This Row],[Norm (m2/uur) werkdagen]],0)</f>
        <v>0</v>
      </c>
      <c r="X597" s="155">
        <f>Ruimtestaat[[#This Row],[uren / jaar werkdagen]]*Tariefsopbouw!$E$35</f>
        <v>0</v>
      </c>
      <c r="Y597" s="33"/>
      <c r="Z597" s="33">
        <f>IF(Ruimtestaat[[#This Row],[Frequentie weekend]]&gt;0,VALUE(LEFT(Y597,1))*R597,0)</f>
        <v>0</v>
      </c>
      <c r="AA597" s="97">
        <f>IF($Z597&gt;0,VLOOKUP($J597,Ruimtegroepen[],3,FALSE)*VLOOKUP($L597,Vloersoorten[],3,FALSE)*VLOOKUP($Y597,Frequenties[],3,FALSE)*VLOOKUP(Ruimtestaat[[#This Row],[Code]],Locaties[],3,FALSE),0)</f>
        <v>0</v>
      </c>
      <c r="AB597" s="97">
        <f>Ruimtestaat[[#This Row],[Uitvoeringen weekend]]*Ruimtestaat[[#This Row],[Oppervlak (netto)]]</f>
        <v>0</v>
      </c>
      <c r="AC597" s="97">
        <f>IF(AA597&gt;0,Ruimtestaat[[#This Row],[Prest. (m2 /jaar) weekend]]/Ruimtestaat[[#This Row],[Norm (m2/uur) weekend]],0)</f>
        <v>0</v>
      </c>
      <c r="AD597" s="155">
        <f>Ruimtestaat[[#This Row],[uren / jaar weekend]]*Tariefsopbouw!$D$40</f>
        <v>0</v>
      </c>
      <c r="AE597" s="154">
        <f>Ruimtestaat[[#This Row],[Prest. (m2 /jaar) weekend]]+Ruimtestaat[[#This Row],[Prest. (m2 /jaar) werkdagen]]</f>
        <v>120</v>
      </c>
      <c r="AF597" s="154">
        <f>Ruimtestaat[[#This Row],[uren / jaar weekend]]+Ruimtestaat[[#This Row],[uren / jaar werkdagen]]</f>
        <v>0</v>
      </c>
      <c r="AG597" s="69">
        <f>Ruimtestaat[[#This Row],[kosten / jaar weekend]]+Ruimtestaat[[#This Row],[kosten / jaar werkdagen]]</f>
        <v>0</v>
      </c>
      <c r="AH597" s="69"/>
      <c r="AI597" s="256" t="str">
        <f>IF(Ruimtestaat[[#This Row],[Frequentie werkdagen]]="","",_xlfn.CONCAT(Ruimtestaat[[#This Row],[Ruimte code]],"-",Ruimtestaat[[#This Row],[Frequentie werkdagen]]," ",Ruimtestaat[[#This Row],[Vloer code]]))</f>
        <v>1-1m L</v>
      </c>
      <c r="AJ597" s="300" t="str">
        <f>_xlfn.IFNA(VLOOKUP($AI597,Programma!$F$3:$G$1107,2,0),"")</f>
        <v>_</v>
      </c>
      <c r="AK597" s="300" t="str">
        <f>_xlfn.IFNA(VLOOKUP($AI597,Programma!$F$3:$H$1107,3,0),"")</f>
        <v>_</v>
      </c>
      <c r="AL597" s="300" t="str">
        <f>_xlfn.IFNA(VLOOKUP($AI597,Programma!$F$3:$I$1107,4,0),"")</f>
        <v>1m</v>
      </c>
      <c r="AM597" s="300" t="str">
        <f>_xlfn.IFNA(VLOOKUP($AI597,Programma!$F$3:$J$1107,5,0),"")</f>
        <v>1m</v>
      </c>
      <c r="AN597" s="300" t="str">
        <f>_xlfn.IFNA(VLOOKUP($AI597,Programma!$F$3:$K$1107,6,0),"")</f>
        <v>_</v>
      </c>
      <c r="AO597" s="300" t="str">
        <f>_xlfn.IFNA(VLOOKUP($AI597,Programma!$F$3:$L$1107,7,0),"")</f>
        <v>_</v>
      </c>
      <c r="AP597" s="300" t="str">
        <f>_xlfn.IFNA(VLOOKUP($AI597,Programma!$F$3:$M$1107,8,0),"")</f>
        <v>_</v>
      </c>
      <c r="AQ597" s="300" t="str">
        <f>_xlfn.IFNA(VLOOKUP($AI597,Programma!$F$3:$N$1107,9,0),"")</f>
        <v>_</v>
      </c>
      <c r="AR597" s="300" t="str">
        <f>_xlfn.IFNA(VLOOKUP($AI597,Programma!$F$3:$O$1107,10,0),"")</f>
        <v>_</v>
      </c>
      <c r="AS597" s="300" t="str">
        <f>_xlfn.IFNA(VLOOKUP($AI597,Programma!$F$3:$P$1107,11,0),"")</f>
        <v>_</v>
      </c>
      <c r="AT597" s="300" t="str">
        <f>_xlfn.IFNA(VLOOKUP($AI597,Programma!$F$3:$Q$1107,12,0),"")</f>
        <v>_</v>
      </c>
      <c r="AU597" s="300" t="str">
        <f>_xlfn.IFNA(VLOOKUP($AI597,Programma!$F$3:$R$1107,13,0),"")</f>
        <v>_</v>
      </c>
      <c r="AV597" s="300" t="str">
        <f>_xlfn.IFNA(VLOOKUP($AI597,Programma!$F$3:$S$1107,14,0),"")</f>
        <v>1m</v>
      </c>
      <c r="AW597" s="300" t="str">
        <f>_xlfn.IFNA(VLOOKUP($AI597,Programma!$F$3:$T$1107,15,0),"")</f>
        <v>4j</v>
      </c>
      <c r="AX597" s="300" t="str">
        <f>_xlfn.IFNA(VLOOKUP($AI597,Programma!$F$3:$U$1107,16,0),"")</f>
        <v>4j</v>
      </c>
      <c r="AY597" s="300" t="str">
        <f>_xlfn.IFNA(VLOOKUP($AI597,Programma!$F$3:$V$1107,17,0),"")</f>
        <v>_</v>
      </c>
      <c r="AZ597" s="300" t="str">
        <f>_xlfn.IFNA(VLOOKUP($AI597,Programma!$F$3:$W$1107,18,0),"")</f>
        <v>_</v>
      </c>
      <c r="BA597" s="300" t="str">
        <f>_xlfn.IFNA(VLOOKUP($AI597,Programma!$F$3:$X$1107,19,0),"")</f>
        <v>_</v>
      </c>
      <c r="BB597" s="300" t="str">
        <f>_xlfn.IFNA(VLOOKUP($AI597,Programma!$F$3:$Y$1107,20,0),"")</f>
        <v>_</v>
      </c>
      <c r="BC597" s="257"/>
      <c r="BD597" s="256" t="str">
        <f>IF(Ruimtestaat[[#This Row],[Frequentie weekend]]="","",_xlfn.CONCAT(Ruimtestaat[[#This Row],[Ruimte code]],"-",Ruimtestaat[[#This Row],[Frequentie weekend]]," ",Ruimtestaat[[#This Row],[Vloer code]]))</f>
        <v/>
      </c>
      <c r="BE597" s="300" t="str">
        <f>_xlfn.IFNA(VLOOKUP($BD597,Programma!$F$3:$G$1107,2,0),"")</f>
        <v/>
      </c>
      <c r="BF597" s="300" t="str">
        <f>_xlfn.IFNA(VLOOKUP($BD597,Programma!$F$3:$H$1107,3,0),"")</f>
        <v/>
      </c>
      <c r="BG597" s="300" t="str">
        <f>_xlfn.IFNA(VLOOKUP($BD597,Programma!$F$3:$I$1107,4,0),"")</f>
        <v/>
      </c>
      <c r="BH597" s="300" t="str">
        <f>_xlfn.IFNA(VLOOKUP($BD597,Programma!$F$3:$J$1107,5,0),"")</f>
        <v/>
      </c>
      <c r="BI597" s="300" t="str">
        <f>_xlfn.IFNA(VLOOKUP($BD597,Programma!$F$3:$K$1107,6,0),"")</f>
        <v/>
      </c>
      <c r="BJ597" s="300" t="str">
        <f>_xlfn.IFNA(VLOOKUP($BD597,Programma!$F$3:$L$1107,7,0),"")</f>
        <v/>
      </c>
      <c r="BK597" s="300" t="str">
        <f>_xlfn.IFNA(VLOOKUP($BD597,Programma!$F$3:$M$1107,8,0),"")</f>
        <v/>
      </c>
      <c r="BL597" s="300" t="str">
        <f>_xlfn.IFNA(VLOOKUP($BD597,Programma!$F$3:$N$1107,9,0),"")</f>
        <v/>
      </c>
      <c r="BM597" s="300" t="str">
        <f>_xlfn.IFNA(VLOOKUP($BD597,Programma!$F$3:$O$1107,10,0),"")</f>
        <v/>
      </c>
      <c r="BN597" s="300" t="str">
        <f>_xlfn.IFNA(VLOOKUP($BD597,Programma!$F$3:$P$1107,11,0),"")</f>
        <v/>
      </c>
      <c r="BO597" s="300" t="str">
        <f>_xlfn.IFNA(VLOOKUP($BD597,Programma!$F$3:$Q$1107,12,0),"")</f>
        <v/>
      </c>
      <c r="BP597" s="300" t="str">
        <f>_xlfn.IFNA(VLOOKUP($BD597,Programma!$F$3:$R$1107,13,0),"")</f>
        <v/>
      </c>
      <c r="BQ597" s="300" t="str">
        <f>_xlfn.IFNA(VLOOKUP($BD597,Programma!$F$3:$S$1107,14,0),"")</f>
        <v/>
      </c>
      <c r="BR597" s="300" t="str">
        <f>_xlfn.IFNA(VLOOKUP($BD597,Programma!$F$3:$T$1107,15,0),"")</f>
        <v/>
      </c>
      <c r="BS597" s="300" t="str">
        <f>_xlfn.IFNA(VLOOKUP($BD597,Programma!$F$3:$U$1107,16,0),"")</f>
        <v/>
      </c>
      <c r="BT597" s="300" t="str">
        <f>_xlfn.IFNA(VLOOKUP($BD597,Programma!$F$3:$V$1107,17,0),"")</f>
        <v/>
      </c>
      <c r="BU597" s="300" t="str">
        <f>_xlfn.IFNA(VLOOKUP($BD597,Programma!$F$3:$W$1107,18,0),"")</f>
        <v/>
      </c>
      <c r="BV597" s="300" t="str">
        <f>_xlfn.IFNA(VLOOKUP($BD597,Programma!$F$3:$X$1107,19,0),"")</f>
        <v/>
      </c>
      <c r="BW597" s="300" t="str">
        <f>_xlfn.IFNA(VLOOKUP($BD597,Programma!$F$3:$Y$1107,20,0),"")</f>
        <v/>
      </c>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c r="GK597" s="4"/>
      <c r="GL597" s="4"/>
      <c r="GM597" s="4"/>
      <c r="GN597" s="4"/>
      <c r="GO597" s="4"/>
      <c r="GP597" s="4"/>
      <c r="GQ597" s="4"/>
      <c r="GR597" s="4"/>
      <c r="GS597" s="4"/>
      <c r="GT597" s="4"/>
      <c r="GU597" s="4"/>
      <c r="GV597" s="4"/>
      <c r="GW597" s="4"/>
      <c r="GX597" s="4"/>
      <c r="GY597" s="4"/>
      <c r="GZ597" s="4"/>
      <c r="HA597" s="4"/>
      <c r="HB597" s="4"/>
      <c r="HC597" s="4"/>
      <c r="HD597" s="4"/>
      <c r="HE597" s="4"/>
      <c r="HF597" s="4"/>
      <c r="HG597" s="4"/>
      <c r="HH597" s="4"/>
      <c r="HI597" s="4"/>
      <c r="HJ597" s="4"/>
      <c r="HK597" s="4"/>
      <c r="HL597" s="4"/>
    </row>
    <row r="598" spans="1:220" ht="15" customHeight="1">
      <c r="A598" s="21">
        <v>7</v>
      </c>
      <c r="B598" s="157" t="str">
        <f>VLOOKUP(Ruimtestaat[[#This Row],[Code]],Locaties[[Code]:[Locatie]],2,FALSE)</f>
        <v>Gymnasium Novum</v>
      </c>
      <c r="C598" s="157" t="str">
        <f>VLOOKUP(Ruimtestaat[[#This Row],[Code]],Locaties[[#All],[Code]:[Adres]],4,FALSE)</f>
        <v>Aart v.d. Leeuwkade 1</v>
      </c>
      <c r="D598" s="157" t="str">
        <f>VLOOKUP(Ruimtestaat[[#This Row],[Code]],Locaties[[#All],[Code]:[Postcode]],5,FALSE)</f>
        <v>2274 KX</v>
      </c>
      <c r="E598" s="157" t="str">
        <f>VLOOKUP(Ruimtestaat[[#This Row],[Code]],Locaties[#All],6,FALSE)</f>
        <v>Voorburg</v>
      </c>
      <c r="F598" s="62"/>
      <c r="G598" s="21" t="s">
        <v>1632</v>
      </c>
      <c r="H598" s="21">
        <v>52</v>
      </c>
      <c r="I598" s="62" t="s">
        <v>1892</v>
      </c>
      <c r="J598" s="21">
        <v>4</v>
      </c>
      <c r="K598" s="62" t="str">
        <f>VLOOKUP(Ruimtestaat[[#This Row],[Ruimte code]],Ruimtegroepen[[#All],[Code]:[Ruimte omschrijving]],2,FALSE)</f>
        <v>Vergader/spreekkamers</v>
      </c>
      <c r="L598" s="33" t="s">
        <v>101</v>
      </c>
      <c r="M598" s="367" t="s">
        <v>2495</v>
      </c>
      <c r="N598" s="140">
        <v>21</v>
      </c>
      <c r="O598" s="140"/>
      <c r="P598" s="125" t="str">
        <f>VLOOKUP(Ruimtestaat[[#This Row],[Ruimte code]],Ruimtegroepen[],4,FALSE)</f>
        <v>Bu</v>
      </c>
      <c r="R598" s="33">
        <v>40</v>
      </c>
      <c r="S598" s="33" t="s">
        <v>18</v>
      </c>
      <c r="T598" s="33">
        <f>IF(R598&gt;0,IF(RIGHT(Ruimtestaat[[#This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598" s="33">
        <f>IF(T598&gt;0,VLOOKUP($J598,Ruimtegroepen[],3,FALSE)*VLOOKUP($L598,Vloersoorten[],3,FALSE)*VLOOKUP($S598,Frequenties[],3,FALSE)*VLOOKUP($A598,Locaties[],3,FALSE),0)</f>
        <v>0</v>
      </c>
      <c r="V598" s="33">
        <f>Ruimtestaat[[#This Row],[Uitvoeringen werkdagen]]*Ruimtestaat[[#This Row],[Oppervlak (netto)]]</f>
        <v>2520</v>
      </c>
      <c r="W598" s="154">
        <f>IF(U598&gt;0,Ruimtestaat[[#This Row],[Prest. (m2 /jaar) werkdagen]]/Ruimtestaat[[#This Row],[Norm (m2/uur) werkdagen]],0)</f>
        <v>0</v>
      </c>
      <c r="X598" s="155">
        <f>Ruimtestaat[[#This Row],[uren / jaar werkdagen]]*Tariefsopbouw!$E$35</f>
        <v>0</v>
      </c>
      <c r="Y598" s="33"/>
      <c r="Z598" s="33">
        <f>IF(Ruimtestaat[[#This Row],[Frequentie weekend]]&gt;0,VALUE(LEFT(Y598,1))*R598,0)</f>
        <v>0</v>
      </c>
      <c r="AA598" s="97">
        <f>IF($Z598&gt;0,VLOOKUP($J598,Ruimtegroepen[],3,FALSE)*VLOOKUP($L598,Vloersoorten[],3,FALSE)*VLOOKUP($Y598,Frequenties[],3,FALSE)*VLOOKUP(Ruimtestaat[[#This Row],[Code]],Locaties[],3,FALSE),0)</f>
        <v>0</v>
      </c>
      <c r="AB598" s="97">
        <f>Ruimtestaat[[#This Row],[Uitvoeringen weekend]]*Ruimtestaat[[#This Row],[Oppervlak (netto)]]</f>
        <v>0</v>
      </c>
      <c r="AC598" s="97">
        <f>IF(AA598&gt;0,Ruimtestaat[[#This Row],[Prest. (m2 /jaar) weekend]]/Ruimtestaat[[#This Row],[Norm (m2/uur) weekend]],0)</f>
        <v>0</v>
      </c>
      <c r="AD598" s="155">
        <f>Ruimtestaat[[#This Row],[uren / jaar weekend]]*Tariefsopbouw!$D$40</f>
        <v>0</v>
      </c>
      <c r="AE598" s="154">
        <f>Ruimtestaat[[#This Row],[Prest. (m2 /jaar) weekend]]+Ruimtestaat[[#This Row],[Prest. (m2 /jaar) werkdagen]]</f>
        <v>2520</v>
      </c>
      <c r="AF598" s="154">
        <f>Ruimtestaat[[#This Row],[uren / jaar weekend]]+Ruimtestaat[[#This Row],[uren / jaar werkdagen]]</f>
        <v>0</v>
      </c>
      <c r="AG598" s="69">
        <f>Ruimtestaat[[#This Row],[kosten / jaar weekend]]+Ruimtestaat[[#This Row],[kosten / jaar werkdagen]]</f>
        <v>0</v>
      </c>
      <c r="AH598" s="69"/>
      <c r="AI598" s="256" t="str">
        <f>IF(Ruimtestaat[[#This Row],[Frequentie werkdagen]]="","",_xlfn.CONCAT(Ruimtestaat[[#This Row],[Ruimte code]],"-",Ruimtestaat[[#This Row],[Frequentie werkdagen]]," ",Ruimtestaat[[#This Row],[Vloer code]]))</f>
        <v>4-3w L</v>
      </c>
      <c r="AJ598" s="300" t="str">
        <f>_xlfn.IFNA(VLOOKUP($AI598,Programma!$F$3:$G$1107,2,0),"")</f>
        <v>_</v>
      </c>
      <c r="AK598" s="300" t="str">
        <f>_xlfn.IFNA(VLOOKUP($AI598,Programma!$F$3:$H$1107,3,0),"")</f>
        <v>_</v>
      </c>
      <c r="AL598" s="300" t="str">
        <f>_xlfn.IFNA(VLOOKUP($AI598,Programma!$F$3:$I$1107,4,0),"")</f>
        <v>2w</v>
      </c>
      <c r="AM598" s="300" t="str">
        <f>_xlfn.IFNA(VLOOKUP($AI598,Programma!$F$3:$J$1107,5,0),"")</f>
        <v>1w</v>
      </c>
      <c r="AN598" s="300" t="str">
        <f>_xlfn.IFNA(VLOOKUP($AI598,Programma!$F$3:$K$1107,6,0),"")</f>
        <v>_</v>
      </c>
      <c r="AO598" s="300" t="str">
        <f>_xlfn.IFNA(VLOOKUP($AI598,Programma!$F$3:$L$1107,7,0),"")</f>
        <v>_</v>
      </c>
      <c r="AP598" s="300" t="str">
        <f>_xlfn.IFNA(VLOOKUP($AI598,Programma!$F$3:$M$1107,8,0),"")</f>
        <v>_</v>
      </c>
      <c r="AQ598" s="300" t="str">
        <f>_xlfn.IFNA(VLOOKUP($AI598,Programma!$F$3:$N$1107,9,0),"")</f>
        <v>_</v>
      </c>
      <c r="AR598" s="300" t="str">
        <f>_xlfn.IFNA(VLOOKUP($AI598,Programma!$F$3:$O$1107,10,0),"")</f>
        <v>3w</v>
      </c>
      <c r="AS598" s="300" t="str">
        <f>_xlfn.IFNA(VLOOKUP($AI598,Programma!$F$3:$P$1107,11,0),"")</f>
        <v>3w</v>
      </c>
      <c r="AT598" s="300" t="str">
        <f>_xlfn.IFNA(VLOOKUP($AI598,Programma!$F$3:$Q$1107,12,0),"")</f>
        <v>1w</v>
      </c>
      <c r="AU598" s="300" t="str">
        <f>_xlfn.IFNA(VLOOKUP($AI598,Programma!$F$3:$R$1107,13,0),"")</f>
        <v>1w</v>
      </c>
      <c r="AV598" s="300" t="str">
        <f>_xlfn.IFNA(VLOOKUP($AI598,Programma!$F$3:$S$1107,14,0),"")</f>
        <v>1m</v>
      </c>
      <c r="AW598" s="300" t="str">
        <f>_xlfn.IFNA(VLOOKUP($AI598,Programma!$F$3:$T$1107,15,0),"")</f>
        <v>2j</v>
      </c>
      <c r="AX598" s="300" t="str">
        <f>_xlfn.IFNA(VLOOKUP($AI598,Programma!$F$3:$U$1107,16,0),"")</f>
        <v>1j</v>
      </c>
      <c r="AY598" s="300" t="str">
        <f>_xlfn.IFNA(VLOOKUP($AI598,Programma!$F$3:$V$1107,17,0),"")</f>
        <v>_</v>
      </c>
      <c r="AZ598" s="300" t="str">
        <f>_xlfn.IFNA(VLOOKUP($AI598,Programma!$F$3:$W$1107,18,0),"")</f>
        <v>_</v>
      </c>
      <c r="BA598" s="300" t="str">
        <f>_xlfn.IFNA(VLOOKUP($AI598,Programma!$F$3:$X$1107,19,0),"")</f>
        <v>_</v>
      </c>
      <c r="BB598" s="300" t="str">
        <f>_xlfn.IFNA(VLOOKUP($AI598,Programma!$F$3:$Y$1107,20,0),"")</f>
        <v>_</v>
      </c>
      <c r="BC598" s="257"/>
      <c r="BD598" s="256" t="str">
        <f>IF(Ruimtestaat[[#This Row],[Frequentie weekend]]="","",_xlfn.CONCAT(Ruimtestaat[[#This Row],[Ruimte code]],"-",Ruimtestaat[[#This Row],[Frequentie weekend]]," ",Ruimtestaat[[#This Row],[Vloer code]]))</f>
        <v/>
      </c>
      <c r="BE598" s="300" t="str">
        <f>_xlfn.IFNA(VLOOKUP($BD598,Programma!$F$3:$G$1107,2,0),"")</f>
        <v/>
      </c>
      <c r="BF598" s="300" t="str">
        <f>_xlfn.IFNA(VLOOKUP($BD598,Programma!$F$3:$H$1107,3,0),"")</f>
        <v/>
      </c>
      <c r="BG598" s="300" t="str">
        <f>_xlfn.IFNA(VLOOKUP($BD598,Programma!$F$3:$I$1107,4,0),"")</f>
        <v/>
      </c>
      <c r="BH598" s="300" t="str">
        <f>_xlfn.IFNA(VLOOKUP($BD598,Programma!$F$3:$J$1107,5,0),"")</f>
        <v/>
      </c>
      <c r="BI598" s="300" t="str">
        <f>_xlfn.IFNA(VLOOKUP($BD598,Programma!$F$3:$K$1107,6,0),"")</f>
        <v/>
      </c>
      <c r="BJ598" s="300" t="str">
        <f>_xlfn.IFNA(VLOOKUP($BD598,Programma!$F$3:$L$1107,7,0),"")</f>
        <v/>
      </c>
      <c r="BK598" s="300" t="str">
        <f>_xlfn.IFNA(VLOOKUP($BD598,Programma!$F$3:$M$1107,8,0),"")</f>
        <v/>
      </c>
      <c r="BL598" s="300" t="str">
        <f>_xlfn.IFNA(VLOOKUP($BD598,Programma!$F$3:$N$1107,9,0),"")</f>
        <v/>
      </c>
      <c r="BM598" s="300" t="str">
        <f>_xlfn.IFNA(VLOOKUP($BD598,Programma!$F$3:$O$1107,10,0),"")</f>
        <v/>
      </c>
      <c r="BN598" s="300" t="str">
        <f>_xlfn.IFNA(VLOOKUP($BD598,Programma!$F$3:$P$1107,11,0),"")</f>
        <v/>
      </c>
      <c r="BO598" s="300" t="str">
        <f>_xlfn.IFNA(VLOOKUP($BD598,Programma!$F$3:$Q$1107,12,0),"")</f>
        <v/>
      </c>
      <c r="BP598" s="300" t="str">
        <f>_xlfn.IFNA(VLOOKUP($BD598,Programma!$F$3:$R$1107,13,0),"")</f>
        <v/>
      </c>
      <c r="BQ598" s="300" t="str">
        <f>_xlfn.IFNA(VLOOKUP($BD598,Programma!$F$3:$S$1107,14,0),"")</f>
        <v/>
      </c>
      <c r="BR598" s="300" t="str">
        <f>_xlfn.IFNA(VLOOKUP($BD598,Programma!$F$3:$T$1107,15,0),"")</f>
        <v/>
      </c>
      <c r="BS598" s="300" t="str">
        <f>_xlfn.IFNA(VLOOKUP($BD598,Programma!$F$3:$U$1107,16,0),"")</f>
        <v/>
      </c>
      <c r="BT598" s="300" t="str">
        <f>_xlfn.IFNA(VLOOKUP($BD598,Programma!$F$3:$V$1107,17,0),"")</f>
        <v/>
      </c>
      <c r="BU598" s="300" t="str">
        <f>_xlfn.IFNA(VLOOKUP($BD598,Programma!$F$3:$W$1107,18,0),"")</f>
        <v/>
      </c>
      <c r="BV598" s="300" t="str">
        <f>_xlfn.IFNA(VLOOKUP($BD598,Programma!$F$3:$X$1107,19,0),"")</f>
        <v/>
      </c>
      <c r="BW598" s="300" t="str">
        <f>_xlfn.IFNA(VLOOKUP($BD598,Programma!$F$3:$Y$1107,20,0),"")</f>
        <v/>
      </c>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c r="GK598" s="4"/>
      <c r="GL598" s="4"/>
      <c r="GM598" s="4"/>
      <c r="GN598" s="4"/>
      <c r="GO598" s="4"/>
      <c r="GP598" s="4"/>
      <c r="GQ598" s="4"/>
      <c r="GR598" s="4"/>
      <c r="GS598" s="4"/>
      <c r="GT598" s="4"/>
      <c r="GU598" s="4"/>
      <c r="GV598" s="4"/>
      <c r="GW598" s="4"/>
      <c r="GX598" s="4"/>
      <c r="GY598" s="4"/>
      <c r="GZ598" s="4"/>
      <c r="HA598" s="4"/>
      <c r="HB598" s="4"/>
      <c r="HC598" s="4"/>
      <c r="HD598" s="4"/>
      <c r="HE598" s="4"/>
      <c r="HF598" s="4"/>
      <c r="HG598" s="4"/>
      <c r="HH598" s="4"/>
      <c r="HI598" s="4"/>
      <c r="HJ598" s="4"/>
      <c r="HK598" s="4"/>
      <c r="HL598" s="4"/>
    </row>
    <row r="599" spans="1:220" ht="15" customHeight="1">
      <c r="A599" s="21">
        <v>7</v>
      </c>
      <c r="B599" s="157" t="str">
        <f>VLOOKUP(Ruimtestaat[[#This Row],[Code]],Locaties[[Code]:[Locatie]],2,FALSE)</f>
        <v>Gymnasium Novum</v>
      </c>
      <c r="C599" s="157" t="str">
        <f>VLOOKUP(Ruimtestaat[[#This Row],[Code]],Locaties[[#All],[Code]:[Adres]],4,FALSE)</f>
        <v>Aart v.d. Leeuwkade 1</v>
      </c>
      <c r="D599" s="157" t="str">
        <f>VLOOKUP(Ruimtestaat[[#This Row],[Code]],Locaties[[#All],[Code]:[Postcode]],5,FALSE)</f>
        <v>2274 KX</v>
      </c>
      <c r="E599" s="157" t="str">
        <f>VLOOKUP(Ruimtestaat[[#This Row],[Code]],Locaties[#All],6,FALSE)</f>
        <v>Voorburg</v>
      </c>
      <c r="F599" s="62"/>
      <c r="G599" s="21" t="s">
        <v>1632</v>
      </c>
      <c r="H599" s="21">
        <v>53</v>
      </c>
      <c r="I599" s="62" t="s">
        <v>1892</v>
      </c>
      <c r="J599" s="21">
        <v>4</v>
      </c>
      <c r="K599" s="62" t="str">
        <f>VLOOKUP(Ruimtestaat[[#This Row],[Ruimte code]],Ruimtegroepen[[#All],[Code]:[Ruimte omschrijving]],2,FALSE)</f>
        <v>Vergader/spreekkamers</v>
      </c>
      <c r="L599" s="33" t="s">
        <v>101</v>
      </c>
      <c r="M599" s="367" t="s">
        <v>2495</v>
      </c>
      <c r="N599" s="140">
        <v>7</v>
      </c>
      <c r="O599" s="140"/>
      <c r="P599" s="125" t="str">
        <f>VLOOKUP(Ruimtestaat[[#This Row],[Ruimte code]],Ruimtegroepen[],4,FALSE)</f>
        <v>Bu</v>
      </c>
      <c r="R599" s="33">
        <v>40</v>
      </c>
      <c r="S599" s="33" t="s">
        <v>18</v>
      </c>
      <c r="T599" s="33">
        <f>IF(R599&gt;0,IF(RIGHT(Ruimtestaat[[#This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599" s="33">
        <f>IF(T599&gt;0,VLOOKUP($J599,Ruimtegroepen[],3,FALSE)*VLOOKUP($L599,Vloersoorten[],3,FALSE)*VLOOKUP($S599,Frequenties[],3,FALSE)*VLOOKUP($A599,Locaties[],3,FALSE),0)</f>
        <v>0</v>
      </c>
      <c r="V599" s="33">
        <f>Ruimtestaat[[#This Row],[Uitvoeringen werkdagen]]*Ruimtestaat[[#This Row],[Oppervlak (netto)]]</f>
        <v>840</v>
      </c>
      <c r="W599" s="154">
        <f>IF(U599&gt;0,Ruimtestaat[[#This Row],[Prest. (m2 /jaar) werkdagen]]/Ruimtestaat[[#This Row],[Norm (m2/uur) werkdagen]],0)</f>
        <v>0</v>
      </c>
      <c r="X599" s="155">
        <f>Ruimtestaat[[#This Row],[uren / jaar werkdagen]]*Tariefsopbouw!$E$35</f>
        <v>0</v>
      </c>
      <c r="Y599" s="33"/>
      <c r="Z599" s="33">
        <f>IF(Ruimtestaat[[#This Row],[Frequentie weekend]]&gt;0,VALUE(LEFT(Y599,1))*R599,0)</f>
        <v>0</v>
      </c>
      <c r="AA599" s="97">
        <f>IF($Z599&gt;0,VLOOKUP($J599,Ruimtegroepen[],3,FALSE)*VLOOKUP($L599,Vloersoorten[],3,FALSE)*VLOOKUP($Y599,Frequenties[],3,FALSE)*VLOOKUP(Ruimtestaat[[#This Row],[Code]],Locaties[],3,FALSE),0)</f>
        <v>0</v>
      </c>
      <c r="AB599" s="97">
        <f>Ruimtestaat[[#This Row],[Uitvoeringen weekend]]*Ruimtestaat[[#This Row],[Oppervlak (netto)]]</f>
        <v>0</v>
      </c>
      <c r="AC599" s="97">
        <f>IF(AA599&gt;0,Ruimtestaat[[#This Row],[Prest. (m2 /jaar) weekend]]/Ruimtestaat[[#This Row],[Norm (m2/uur) weekend]],0)</f>
        <v>0</v>
      </c>
      <c r="AD599" s="155">
        <f>Ruimtestaat[[#This Row],[uren / jaar weekend]]*Tariefsopbouw!$D$40</f>
        <v>0</v>
      </c>
      <c r="AE599" s="154">
        <f>Ruimtestaat[[#This Row],[Prest. (m2 /jaar) weekend]]+Ruimtestaat[[#This Row],[Prest. (m2 /jaar) werkdagen]]</f>
        <v>840</v>
      </c>
      <c r="AF599" s="154">
        <f>Ruimtestaat[[#This Row],[uren / jaar weekend]]+Ruimtestaat[[#This Row],[uren / jaar werkdagen]]</f>
        <v>0</v>
      </c>
      <c r="AG599" s="69">
        <f>Ruimtestaat[[#This Row],[kosten / jaar weekend]]+Ruimtestaat[[#This Row],[kosten / jaar werkdagen]]</f>
        <v>0</v>
      </c>
      <c r="AH599" s="69"/>
      <c r="AI599" s="256" t="str">
        <f>IF(Ruimtestaat[[#This Row],[Frequentie werkdagen]]="","",_xlfn.CONCAT(Ruimtestaat[[#This Row],[Ruimte code]],"-",Ruimtestaat[[#This Row],[Frequentie werkdagen]]," ",Ruimtestaat[[#This Row],[Vloer code]]))</f>
        <v>4-3w L</v>
      </c>
      <c r="AJ599" s="300" t="str">
        <f>_xlfn.IFNA(VLOOKUP($AI599,Programma!$F$3:$G$1107,2,0),"")</f>
        <v>_</v>
      </c>
      <c r="AK599" s="300" t="str">
        <f>_xlfn.IFNA(VLOOKUP($AI599,Programma!$F$3:$H$1107,3,0),"")</f>
        <v>_</v>
      </c>
      <c r="AL599" s="300" t="str">
        <f>_xlfn.IFNA(VLOOKUP($AI599,Programma!$F$3:$I$1107,4,0),"")</f>
        <v>2w</v>
      </c>
      <c r="AM599" s="300" t="str">
        <f>_xlfn.IFNA(VLOOKUP($AI599,Programma!$F$3:$J$1107,5,0),"")</f>
        <v>1w</v>
      </c>
      <c r="AN599" s="300" t="str">
        <f>_xlfn.IFNA(VLOOKUP($AI599,Programma!$F$3:$K$1107,6,0),"")</f>
        <v>_</v>
      </c>
      <c r="AO599" s="300" t="str">
        <f>_xlfn.IFNA(VLOOKUP($AI599,Programma!$F$3:$L$1107,7,0),"")</f>
        <v>_</v>
      </c>
      <c r="AP599" s="300" t="str">
        <f>_xlfn.IFNA(VLOOKUP($AI599,Programma!$F$3:$M$1107,8,0),"")</f>
        <v>_</v>
      </c>
      <c r="AQ599" s="300" t="str">
        <f>_xlfn.IFNA(VLOOKUP($AI599,Programma!$F$3:$N$1107,9,0),"")</f>
        <v>_</v>
      </c>
      <c r="AR599" s="300" t="str">
        <f>_xlfn.IFNA(VLOOKUP($AI599,Programma!$F$3:$O$1107,10,0),"")</f>
        <v>3w</v>
      </c>
      <c r="AS599" s="300" t="str">
        <f>_xlfn.IFNA(VLOOKUP($AI599,Programma!$F$3:$P$1107,11,0),"")</f>
        <v>3w</v>
      </c>
      <c r="AT599" s="300" t="str">
        <f>_xlfn.IFNA(VLOOKUP($AI599,Programma!$F$3:$Q$1107,12,0),"")</f>
        <v>1w</v>
      </c>
      <c r="AU599" s="300" t="str">
        <f>_xlfn.IFNA(VLOOKUP($AI599,Programma!$F$3:$R$1107,13,0),"")</f>
        <v>1w</v>
      </c>
      <c r="AV599" s="300" t="str">
        <f>_xlfn.IFNA(VLOOKUP($AI599,Programma!$F$3:$S$1107,14,0),"")</f>
        <v>1m</v>
      </c>
      <c r="AW599" s="300" t="str">
        <f>_xlfn.IFNA(VLOOKUP($AI599,Programma!$F$3:$T$1107,15,0),"")</f>
        <v>2j</v>
      </c>
      <c r="AX599" s="300" t="str">
        <f>_xlfn.IFNA(VLOOKUP($AI599,Programma!$F$3:$U$1107,16,0),"")</f>
        <v>1j</v>
      </c>
      <c r="AY599" s="300" t="str">
        <f>_xlfn.IFNA(VLOOKUP($AI599,Programma!$F$3:$V$1107,17,0),"")</f>
        <v>_</v>
      </c>
      <c r="AZ599" s="300" t="str">
        <f>_xlfn.IFNA(VLOOKUP($AI599,Programma!$F$3:$W$1107,18,0),"")</f>
        <v>_</v>
      </c>
      <c r="BA599" s="300" t="str">
        <f>_xlfn.IFNA(VLOOKUP($AI599,Programma!$F$3:$X$1107,19,0),"")</f>
        <v>_</v>
      </c>
      <c r="BB599" s="300" t="str">
        <f>_xlfn.IFNA(VLOOKUP($AI599,Programma!$F$3:$Y$1107,20,0),"")</f>
        <v>_</v>
      </c>
      <c r="BC599" s="257"/>
      <c r="BD599" s="256" t="str">
        <f>IF(Ruimtestaat[[#This Row],[Frequentie weekend]]="","",_xlfn.CONCAT(Ruimtestaat[[#This Row],[Ruimte code]],"-",Ruimtestaat[[#This Row],[Frequentie weekend]]," ",Ruimtestaat[[#This Row],[Vloer code]]))</f>
        <v/>
      </c>
      <c r="BE599" s="300" t="str">
        <f>_xlfn.IFNA(VLOOKUP($BD599,Programma!$F$3:$G$1107,2,0),"")</f>
        <v/>
      </c>
      <c r="BF599" s="300" t="str">
        <f>_xlfn.IFNA(VLOOKUP($BD599,Programma!$F$3:$H$1107,3,0),"")</f>
        <v/>
      </c>
      <c r="BG599" s="300" t="str">
        <f>_xlfn.IFNA(VLOOKUP($BD599,Programma!$F$3:$I$1107,4,0),"")</f>
        <v/>
      </c>
      <c r="BH599" s="300" t="str">
        <f>_xlfn.IFNA(VLOOKUP($BD599,Programma!$F$3:$J$1107,5,0),"")</f>
        <v/>
      </c>
      <c r="BI599" s="300" t="str">
        <f>_xlfn.IFNA(VLOOKUP($BD599,Programma!$F$3:$K$1107,6,0),"")</f>
        <v/>
      </c>
      <c r="BJ599" s="300" t="str">
        <f>_xlfn.IFNA(VLOOKUP($BD599,Programma!$F$3:$L$1107,7,0),"")</f>
        <v/>
      </c>
      <c r="BK599" s="300" t="str">
        <f>_xlfn.IFNA(VLOOKUP($BD599,Programma!$F$3:$M$1107,8,0),"")</f>
        <v/>
      </c>
      <c r="BL599" s="300" t="str">
        <f>_xlfn.IFNA(VLOOKUP($BD599,Programma!$F$3:$N$1107,9,0),"")</f>
        <v/>
      </c>
      <c r="BM599" s="300" t="str">
        <f>_xlfn.IFNA(VLOOKUP($BD599,Programma!$F$3:$O$1107,10,0),"")</f>
        <v/>
      </c>
      <c r="BN599" s="300" t="str">
        <f>_xlfn.IFNA(VLOOKUP($BD599,Programma!$F$3:$P$1107,11,0),"")</f>
        <v/>
      </c>
      <c r="BO599" s="300" t="str">
        <f>_xlfn.IFNA(VLOOKUP($BD599,Programma!$F$3:$Q$1107,12,0),"")</f>
        <v/>
      </c>
      <c r="BP599" s="300" t="str">
        <f>_xlfn.IFNA(VLOOKUP($BD599,Programma!$F$3:$R$1107,13,0),"")</f>
        <v/>
      </c>
      <c r="BQ599" s="300" t="str">
        <f>_xlfn.IFNA(VLOOKUP($BD599,Programma!$F$3:$S$1107,14,0),"")</f>
        <v/>
      </c>
      <c r="BR599" s="300" t="str">
        <f>_xlfn.IFNA(VLOOKUP($BD599,Programma!$F$3:$T$1107,15,0),"")</f>
        <v/>
      </c>
      <c r="BS599" s="300" t="str">
        <f>_xlfn.IFNA(VLOOKUP($BD599,Programma!$F$3:$U$1107,16,0),"")</f>
        <v/>
      </c>
      <c r="BT599" s="300" t="str">
        <f>_xlfn.IFNA(VLOOKUP($BD599,Programma!$F$3:$V$1107,17,0),"")</f>
        <v/>
      </c>
      <c r="BU599" s="300" t="str">
        <f>_xlfn.IFNA(VLOOKUP($BD599,Programma!$F$3:$W$1107,18,0),"")</f>
        <v/>
      </c>
      <c r="BV599" s="300" t="str">
        <f>_xlfn.IFNA(VLOOKUP($BD599,Programma!$F$3:$X$1107,19,0),"")</f>
        <v/>
      </c>
      <c r="BW599" s="300" t="str">
        <f>_xlfn.IFNA(VLOOKUP($BD599,Programma!$F$3:$Y$1107,20,0),"")</f>
        <v/>
      </c>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c r="GK599" s="4"/>
      <c r="GL599" s="4"/>
      <c r="GM599" s="4"/>
      <c r="GN599" s="4"/>
      <c r="GO599" s="4"/>
      <c r="GP599" s="4"/>
      <c r="GQ599" s="4"/>
      <c r="GR599" s="4"/>
      <c r="GS599" s="4"/>
      <c r="GT599" s="4"/>
      <c r="GU599" s="4"/>
      <c r="GV599" s="4"/>
      <c r="GW599" s="4"/>
      <c r="GX599" s="4"/>
      <c r="GY599" s="4"/>
      <c r="GZ599" s="4"/>
      <c r="HA599" s="4"/>
      <c r="HB599" s="4"/>
      <c r="HC599" s="4"/>
      <c r="HD599" s="4"/>
      <c r="HE599" s="4"/>
      <c r="HF599" s="4"/>
      <c r="HG599" s="4"/>
      <c r="HH599" s="4"/>
      <c r="HI599" s="4"/>
      <c r="HJ599" s="4"/>
      <c r="HK599" s="4"/>
      <c r="HL599" s="4"/>
    </row>
    <row r="600" spans="1:220" ht="15" customHeight="1">
      <c r="A600" s="21">
        <v>7</v>
      </c>
      <c r="B600" s="157" t="str">
        <f>VLOOKUP(Ruimtestaat[[#This Row],[Code]],Locaties[[Code]:[Locatie]],2,FALSE)</f>
        <v>Gymnasium Novum</v>
      </c>
      <c r="C600" s="157" t="str">
        <f>VLOOKUP(Ruimtestaat[[#This Row],[Code]],Locaties[[#All],[Code]:[Adres]],4,FALSE)</f>
        <v>Aart v.d. Leeuwkade 1</v>
      </c>
      <c r="D600" s="157" t="str">
        <f>VLOOKUP(Ruimtestaat[[#This Row],[Code]],Locaties[[#All],[Code]:[Postcode]],5,FALSE)</f>
        <v>2274 KX</v>
      </c>
      <c r="E600" s="157" t="str">
        <f>VLOOKUP(Ruimtestaat[[#This Row],[Code]],Locaties[#All],6,FALSE)</f>
        <v>Voorburg</v>
      </c>
      <c r="F600" s="62"/>
      <c r="G600" s="21" t="s">
        <v>1632</v>
      </c>
      <c r="H600" s="21">
        <v>54</v>
      </c>
      <c r="I600" s="62" t="s">
        <v>1627</v>
      </c>
      <c r="J600" s="21">
        <v>5</v>
      </c>
      <c r="K600" s="62" t="str">
        <f>VLOOKUP(Ruimtestaat[[#This Row],[Ruimte code]],Ruimtegroepen[[#All],[Code]:[Ruimte omschrijving]],2,FALSE)</f>
        <v>Sanitair</v>
      </c>
      <c r="L600" s="33" t="s">
        <v>102</v>
      </c>
      <c r="M600" s="367" t="s">
        <v>2524</v>
      </c>
      <c r="N600" s="140">
        <v>3</v>
      </c>
      <c r="O600" s="140"/>
      <c r="P600" s="125" t="str">
        <f>VLOOKUP(Ruimtestaat[[#This Row],[Ruimte code]],Ruimtegroepen[],4,FALSE)</f>
        <v>Sa</v>
      </c>
      <c r="R600" s="33">
        <v>40</v>
      </c>
      <c r="S600" s="33" t="s">
        <v>2</v>
      </c>
      <c r="T600" s="33">
        <f>IF(R600&gt;0,IF(RIGHT(Ruimtestaat[[#This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00" s="33">
        <f>IF(T600&gt;0,VLOOKUP($J600,Ruimtegroepen[],3,FALSE)*VLOOKUP($L600,Vloersoorten[],3,FALSE)*VLOOKUP($S600,Frequenties[],3,FALSE)*VLOOKUP($A600,Locaties[],3,FALSE),0)</f>
        <v>0</v>
      </c>
      <c r="V600" s="33">
        <f>Ruimtestaat[[#This Row],[Uitvoeringen werkdagen]]*Ruimtestaat[[#This Row],[Oppervlak (netto)]]</f>
        <v>600</v>
      </c>
      <c r="W600" s="154">
        <f>IF(U600&gt;0,Ruimtestaat[[#This Row],[Prest. (m2 /jaar) werkdagen]]/Ruimtestaat[[#This Row],[Norm (m2/uur) werkdagen]],0)</f>
        <v>0</v>
      </c>
      <c r="X600" s="155">
        <f>Ruimtestaat[[#This Row],[uren / jaar werkdagen]]*Tariefsopbouw!$E$35</f>
        <v>0</v>
      </c>
      <c r="Y600" s="33"/>
      <c r="Z600" s="33">
        <f>IF(Ruimtestaat[[#This Row],[Frequentie weekend]]&gt;0,VALUE(LEFT(Y600,1))*R600,0)</f>
        <v>0</v>
      </c>
      <c r="AA600" s="97">
        <f>IF($Z600&gt;0,VLOOKUP($J600,Ruimtegroepen[],3,FALSE)*VLOOKUP($L600,Vloersoorten[],3,FALSE)*VLOOKUP($Y600,Frequenties[],3,FALSE)*VLOOKUP(Ruimtestaat[[#This Row],[Code]],Locaties[],3,FALSE),0)</f>
        <v>0</v>
      </c>
      <c r="AB600" s="97">
        <f>Ruimtestaat[[#This Row],[Uitvoeringen weekend]]*Ruimtestaat[[#This Row],[Oppervlak (netto)]]</f>
        <v>0</v>
      </c>
      <c r="AC600" s="97">
        <f>IF(AA600&gt;0,Ruimtestaat[[#This Row],[Prest. (m2 /jaar) weekend]]/Ruimtestaat[[#This Row],[Norm (m2/uur) weekend]],0)</f>
        <v>0</v>
      </c>
      <c r="AD600" s="155">
        <f>Ruimtestaat[[#This Row],[uren / jaar weekend]]*Tariefsopbouw!$D$40</f>
        <v>0</v>
      </c>
      <c r="AE600" s="154">
        <f>Ruimtestaat[[#This Row],[Prest. (m2 /jaar) weekend]]+Ruimtestaat[[#This Row],[Prest. (m2 /jaar) werkdagen]]</f>
        <v>600</v>
      </c>
      <c r="AF600" s="154">
        <f>Ruimtestaat[[#This Row],[uren / jaar weekend]]+Ruimtestaat[[#This Row],[uren / jaar werkdagen]]</f>
        <v>0</v>
      </c>
      <c r="AG600" s="69">
        <f>Ruimtestaat[[#This Row],[kosten / jaar weekend]]+Ruimtestaat[[#This Row],[kosten / jaar werkdagen]]</f>
        <v>0</v>
      </c>
      <c r="AH600" s="69"/>
      <c r="AI600" s="256" t="str">
        <f>IF(Ruimtestaat[[#This Row],[Frequentie werkdagen]]="","",_xlfn.CONCAT(Ruimtestaat[[#This Row],[Ruimte code]],"-",Ruimtestaat[[#This Row],[Frequentie werkdagen]]," ",Ruimtestaat[[#This Row],[Vloer code]]))</f>
        <v>5-5w S</v>
      </c>
      <c r="AJ600" s="300" t="str">
        <f>_xlfn.IFNA(VLOOKUP($AI600,Programma!$F$3:$G$1107,2,0),"")</f>
        <v>_</v>
      </c>
      <c r="AK600" s="300" t="str">
        <f>_xlfn.IFNA(VLOOKUP($AI600,Programma!$F$3:$H$1107,3,0),"")</f>
        <v>_</v>
      </c>
      <c r="AL600" s="300" t="str">
        <f>_xlfn.IFNA(VLOOKUP($AI600,Programma!$F$3:$I$1107,4,0),"")</f>
        <v>_</v>
      </c>
      <c r="AM600" s="300" t="str">
        <f>_xlfn.IFNA(VLOOKUP($AI600,Programma!$F$3:$J$1107,5,0),"")</f>
        <v>4w</v>
      </c>
      <c r="AN600" s="300" t="str">
        <f>_xlfn.IFNA(VLOOKUP($AI600,Programma!$F$3:$K$1107,6,0),"")</f>
        <v>1w</v>
      </c>
      <c r="AO600" s="300" t="str">
        <f>_xlfn.IFNA(VLOOKUP($AI600,Programma!$F$3:$L$1107,7,0),"")</f>
        <v>_</v>
      </c>
      <c r="AP600" s="300" t="str">
        <f>_xlfn.IFNA(VLOOKUP($AI600,Programma!$F$3:$M$1107,8,0),"")</f>
        <v>_</v>
      </c>
      <c r="AQ600" s="300" t="str">
        <f>_xlfn.IFNA(VLOOKUP($AI600,Programma!$F$3:$N$1107,9,0),"")</f>
        <v>_</v>
      </c>
      <c r="AR600" s="300" t="str">
        <f>_xlfn.IFNA(VLOOKUP($AI600,Programma!$F$3:$O$1107,10,0),"")</f>
        <v>_</v>
      </c>
      <c r="AS600" s="300" t="str">
        <f>_xlfn.IFNA(VLOOKUP($AI600,Programma!$F$3:$P$1107,11,0),"")</f>
        <v>_</v>
      </c>
      <c r="AT600" s="300" t="str">
        <f>_xlfn.IFNA(VLOOKUP($AI600,Programma!$F$3:$Q$1107,12,0),"")</f>
        <v>_</v>
      </c>
      <c r="AU600" s="300" t="str">
        <f>_xlfn.IFNA(VLOOKUP($AI600,Programma!$F$3:$R$1107,13,0),"")</f>
        <v>_</v>
      </c>
      <c r="AV600" s="300" t="str">
        <f>_xlfn.IFNA(VLOOKUP($AI600,Programma!$F$3:$S$1107,14,0),"")</f>
        <v>_</v>
      </c>
      <c r="AW600" s="300" t="str">
        <f>_xlfn.IFNA(VLOOKUP($AI600,Programma!$F$3:$T$1107,15,0),"")</f>
        <v>_</v>
      </c>
      <c r="AX600" s="300" t="str">
        <f>_xlfn.IFNA(VLOOKUP($AI600,Programma!$F$3:$U$1107,16,0),"")</f>
        <v>_</v>
      </c>
      <c r="AY600" s="300" t="str">
        <f>_xlfn.IFNA(VLOOKUP($AI600,Programma!$F$3:$V$1107,17,0),"")</f>
        <v>_</v>
      </c>
      <c r="AZ600" s="300" t="str">
        <f>_xlfn.IFNA(VLOOKUP($AI600,Programma!$F$3:$W$1107,18,0),"")</f>
        <v>4w</v>
      </c>
      <c r="BA600" s="300" t="str">
        <f>_xlfn.IFNA(VLOOKUP($AI600,Programma!$F$3:$X$1107,19,0),"")</f>
        <v>1w</v>
      </c>
      <c r="BB600" s="300" t="str">
        <f>_xlfn.IFNA(VLOOKUP($AI600,Programma!$F$3:$Y$1107,20,0),"")</f>
        <v>_</v>
      </c>
      <c r="BC600" s="257"/>
      <c r="BD600" s="256" t="str">
        <f>IF(Ruimtestaat[[#This Row],[Frequentie weekend]]="","",_xlfn.CONCAT(Ruimtestaat[[#This Row],[Ruimte code]],"-",Ruimtestaat[[#This Row],[Frequentie weekend]]," ",Ruimtestaat[[#This Row],[Vloer code]]))</f>
        <v/>
      </c>
      <c r="BE600" s="300" t="str">
        <f>_xlfn.IFNA(VLOOKUP($BD600,Programma!$F$3:$G$1107,2,0),"")</f>
        <v/>
      </c>
      <c r="BF600" s="300" t="str">
        <f>_xlfn.IFNA(VLOOKUP($BD600,Programma!$F$3:$H$1107,3,0),"")</f>
        <v/>
      </c>
      <c r="BG600" s="300" t="str">
        <f>_xlfn.IFNA(VLOOKUP($BD600,Programma!$F$3:$I$1107,4,0),"")</f>
        <v/>
      </c>
      <c r="BH600" s="300" t="str">
        <f>_xlfn.IFNA(VLOOKUP($BD600,Programma!$F$3:$J$1107,5,0),"")</f>
        <v/>
      </c>
      <c r="BI600" s="300" t="str">
        <f>_xlfn.IFNA(VLOOKUP($BD600,Programma!$F$3:$K$1107,6,0),"")</f>
        <v/>
      </c>
      <c r="BJ600" s="300" t="str">
        <f>_xlfn.IFNA(VLOOKUP($BD600,Programma!$F$3:$L$1107,7,0),"")</f>
        <v/>
      </c>
      <c r="BK600" s="300" t="str">
        <f>_xlfn.IFNA(VLOOKUP($BD600,Programma!$F$3:$M$1107,8,0),"")</f>
        <v/>
      </c>
      <c r="BL600" s="300" t="str">
        <f>_xlfn.IFNA(VLOOKUP($BD600,Programma!$F$3:$N$1107,9,0),"")</f>
        <v/>
      </c>
      <c r="BM600" s="300" t="str">
        <f>_xlfn.IFNA(VLOOKUP($BD600,Programma!$F$3:$O$1107,10,0),"")</f>
        <v/>
      </c>
      <c r="BN600" s="300" t="str">
        <f>_xlfn.IFNA(VLOOKUP($BD600,Programma!$F$3:$P$1107,11,0),"")</f>
        <v/>
      </c>
      <c r="BO600" s="300" t="str">
        <f>_xlfn.IFNA(VLOOKUP($BD600,Programma!$F$3:$Q$1107,12,0),"")</f>
        <v/>
      </c>
      <c r="BP600" s="300" t="str">
        <f>_xlfn.IFNA(VLOOKUP($BD600,Programma!$F$3:$R$1107,13,0),"")</f>
        <v/>
      </c>
      <c r="BQ600" s="300" t="str">
        <f>_xlfn.IFNA(VLOOKUP($BD600,Programma!$F$3:$S$1107,14,0),"")</f>
        <v/>
      </c>
      <c r="BR600" s="300" t="str">
        <f>_xlfn.IFNA(VLOOKUP($BD600,Programma!$F$3:$T$1107,15,0),"")</f>
        <v/>
      </c>
      <c r="BS600" s="300" t="str">
        <f>_xlfn.IFNA(VLOOKUP($BD600,Programma!$F$3:$U$1107,16,0),"")</f>
        <v/>
      </c>
      <c r="BT600" s="300" t="str">
        <f>_xlfn.IFNA(VLOOKUP($BD600,Programma!$F$3:$V$1107,17,0),"")</f>
        <v/>
      </c>
      <c r="BU600" s="300" t="str">
        <f>_xlfn.IFNA(VLOOKUP($BD600,Programma!$F$3:$W$1107,18,0),"")</f>
        <v/>
      </c>
      <c r="BV600" s="300" t="str">
        <f>_xlfn.IFNA(VLOOKUP($BD600,Programma!$F$3:$X$1107,19,0),"")</f>
        <v/>
      </c>
      <c r="BW600" s="300" t="str">
        <f>_xlfn.IFNA(VLOOKUP($BD600,Programma!$F$3:$Y$1107,20,0),"")</f>
        <v/>
      </c>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c r="GK600" s="4"/>
      <c r="GL600" s="4"/>
      <c r="GM600" s="4"/>
      <c r="GN600" s="4"/>
      <c r="GO600" s="4"/>
      <c r="GP600" s="4"/>
      <c r="GQ600" s="4"/>
      <c r="GR600" s="4"/>
      <c r="GS600" s="4"/>
      <c r="GT600" s="4"/>
      <c r="GU600" s="4"/>
      <c r="GV600" s="4"/>
      <c r="GW600" s="4"/>
      <c r="GX600" s="4"/>
      <c r="GY600" s="4"/>
      <c r="GZ600" s="4"/>
      <c r="HA600" s="4"/>
      <c r="HB600" s="4"/>
      <c r="HC600" s="4"/>
      <c r="HD600" s="4"/>
      <c r="HE600" s="4"/>
      <c r="HF600" s="4"/>
      <c r="HG600" s="4"/>
      <c r="HH600" s="4"/>
      <c r="HI600" s="4"/>
      <c r="HJ600" s="4"/>
      <c r="HK600" s="4"/>
      <c r="HL600" s="4"/>
    </row>
    <row r="601" spans="1:220" ht="15" customHeight="1">
      <c r="A601" s="21">
        <v>7</v>
      </c>
      <c r="B601" s="157" t="str">
        <f>VLOOKUP(Ruimtestaat[[#This Row],[Code]],Locaties[[Code]:[Locatie]],2,FALSE)</f>
        <v>Gymnasium Novum</v>
      </c>
      <c r="C601" s="157" t="str">
        <f>VLOOKUP(Ruimtestaat[[#This Row],[Code]],Locaties[[#All],[Code]:[Adres]],4,FALSE)</f>
        <v>Aart v.d. Leeuwkade 1</v>
      </c>
      <c r="D601" s="157" t="str">
        <f>VLOOKUP(Ruimtestaat[[#This Row],[Code]],Locaties[[#All],[Code]:[Postcode]],5,FALSE)</f>
        <v>2274 KX</v>
      </c>
      <c r="E601" s="157" t="str">
        <f>VLOOKUP(Ruimtestaat[[#This Row],[Code]],Locaties[#All],6,FALSE)</f>
        <v>Voorburg</v>
      </c>
      <c r="F601" s="62"/>
      <c r="G601" s="21" t="s">
        <v>1632</v>
      </c>
      <c r="H601" s="21">
        <v>55</v>
      </c>
      <c r="I601" s="62" t="s">
        <v>1627</v>
      </c>
      <c r="J601" s="21">
        <v>5</v>
      </c>
      <c r="K601" s="62" t="str">
        <f>VLOOKUP(Ruimtestaat[[#This Row],[Ruimte code]],Ruimtegroepen[[#All],[Code]:[Ruimte omschrijving]],2,FALSE)</f>
        <v>Sanitair</v>
      </c>
      <c r="L601" s="33" t="s">
        <v>102</v>
      </c>
      <c r="M601" s="367" t="s">
        <v>2524</v>
      </c>
      <c r="N601" s="140">
        <v>3</v>
      </c>
      <c r="O601" s="140"/>
      <c r="P601" s="125" t="str">
        <f>VLOOKUP(Ruimtestaat[[#This Row],[Ruimte code]],Ruimtegroepen[],4,FALSE)</f>
        <v>Sa</v>
      </c>
      <c r="R601" s="33">
        <v>40</v>
      </c>
      <c r="S601" s="33" t="s">
        <v>2</v>
      </c>
      <c r="T601" s="33">
        <f>IF(R601&gt;0,IF(RIGHT(Ruimtestaat[[#This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01" s="33">
        <f>IF(T601&gt;0,VLOOKUP($J601,Ruimtegroepen[],3,FALSE)*VLOOKUP($L601,Vloersoorten[],3,FALSE)*VLOOKUP($S601,Frequenties[],3,FALSE)*VLOOKUP($A601,Locaties[],3,FALSE),0)</f>
        <v>0</v>
      </c>
      <c r="V601" s="33">
        <f>Ruimtestaat[[#This Row],[Uitvoeringen werkdagen]]*Ruimtestaat[[#This Row],[Oppervlak (netto)]]</f>
        <v>600</v>
      </c>
      <c r="W601" s="154">
        <f>IF(U601&gt;0,Ruimtestaat[[#This Row],[Prest. (m2 /jaar) werkdagen]]/Ruimtestaat[[#This Row],[Norm (m2/uur) werkdagen]],0)</f>
        <v>0</v>
      </c>
      <c r="X601" s="155">
        <f>Ruimtestaat[[#This Row],[uren / jaar werkdagen]]*Tariefsopbouw!$E$35</f>
        <v>0</v>
      </c>
      <c r="Y601" s="33"/>
      <c r="Z601" s="33">
        <f>IF(Ruimtestaat[[#This Row],[Frequentie weekend]]&gt;0,VALUE(LEFT(Y601,1))*R601,0)</f>
        <v>0</v>
      </c>
      <c r="AA601" s="97">
        <f>IF($Z601&gt;0,VLOOKUP($J601,Ruimtegroepen[],3,FALSE)*VLOOKUP($L601,Vloersoorten[],3,FALSE)*VLOOKUP($Y601,Frequenties[],3,FALSE)*VLOOKUP(Ruimtestaat[[#This Row],[Code]],Locaties[],3,FALSE),0)</f>
        <v>0</v>
      </c>
      <c r="AB601" s="97">
        <f>Ruimtestaat[[#This Row],[Uitvoeringen weekend]]*Ruimtestaat[[#This Row],[Oppervlak (netto)]]</f>
        <v>0</v>
      </c>
      <c r="AC601" s="97">
        <f>IF(AA601&gt;0,Ruimtestaat[[#This Row],[Prest. (m2 /jaar) weekend]]/Ruimtestaat[[#This Row],[Norm (m2/uur) weekend]],0)</f>
        <v>0</v>
      </c>
      <c r="AD601" s="155">
        <f>Ruimtestaat[[#This Row],[uren / jaar weekend]]*Tariefsopbouw!$D$40</f>
        <v>0</v>
      </c>
      <c r="AE601" s="154">
        <f>Ruimtestaat[[#This Row],[Prest. (m2 /jaar) weekend]]+Ruimtestaat[[#This Row],[Prest. (m2 /jaar) werkdagen]]</f>
        <v>600</v>
      </c>
      <c r="AF601" s="154">
        <f>Ruimtestaat[[#This Row],[uren / jaar weekend]]+Ruimtestaat[[#This Row],[uren / jaar werkdagen]]</f>
        <v>0</v>
      </c>
      <c r="AG601" s="69">
        <f>Ruimtestaat[[#This Row],[kosten / jaar weekend]]+Ruimtestaat[[#This Row],[kosten / jaar werkdagen]]</f>
        <v>0</v>
      </c>
      <c r="AH601" s="69"/>
      <c r="AI601" s="256" t="str">
        <f>IF(Ruimtestaat[[#This Row],[Frequentie werkdagen]]="","",_xlfn.CONCAT(Ruimtestaat[[#This Row],[Ruimte code]],"-",Ruimtestaat[[#This Row],[Frequentie werkdagen]]," ",Ruimtestaat[[#This Row],[Vloer code]]))</f>
        <v>5-5w S</v>
      </c>
      <c r="AJ601" s="300" t="str">
        <f>_xlfn.IFNA(VLOOKUP($AI601,Programma!$F$3:$G$1107,2,0),"")</f>
        <v>_</v>
      </c>
      <c r="AK601" s="300" t="str">
        <f>_xlfn.IFNA(VLOOKUP($AI601,Programma!$F$3:$H$1107,3,0),"")</f>
        <v>_</v>
      </c>
      <c r="AL601" s="300" t="str">
        <f>_xlfn.IFNA(VLOOKUP($AI601,Programma!$F$3:$I$1107,4,0),"")</f>
        <v>_</v>
      </c>
      <c r="AM601" s="300" t="str">
        <f>_xlfn.IFNA(VLOOKUP($AI601,Programma!$F$3:$J$1107,5,0),"")</f>
        <v>4w</v>
      </c>
      <c r="AN601" s="300" t="str">
        <f>_xlfn.IFNA(VLOOKUP($AI601,Programma!$F$3:$K$1107,6,0),"")</f>
        <v>1w</v>
      </c>
      <c r="AO601" s="300" t="str">
        <f>_xlfn.IFNA(VLOOKUP($AI601,Programma!$F$3:$L$1107,7,0),"")</f>
        <v>_</v>
      </c>
      <c r="AP601" s="300" t="str">
        <f>_xlfn.IFNA(VLOOKUP($AI601,Programma!$F$3:$M$1107,8,0),"")</f>
        <v>_</v>
      </c>
      <c r="AQ601" s="300" t="str">
        <f>_xlfn.IFNA(VLOOKUP($AI601,Programma!$F$3:$N$1107,9,0),"")</f>
        <v>_</v>
      </c>
      <c r="AR601" s="300" t="str">
        <f>_xlfn.IFNA(VLOOKUP($AI601,Programma!$F$3:$O$1107,10,0),"")</f>
        <v>_</v>
      </c>
      <c r="AS601" s="300" t="str">
        <f>_xlfn.IFNA(VLOOKUP($AI601,Programma!$F$3:$P$1107,11,0),"")</f>
        <v>_</v>
      </c>
      <c r="AT601" s="300" t="str">
        <f>_xlfn.IFNA(VLOOKUP($AI601,Programma!$F$3:$Q$1107,12,0),"")</f>
        <v>_</v>
      </c>
      <c r="AU601" s="300" t="str">
        <f>_xlfn.IFNA(VLOOKUP($AI601,Programma!$F$3:$R$1107,13,0),"")</f>
        <v>_</v>
      </c>
      <c r="AV601" s="300" t="str">
        <f>_xlfn.IFNA(VLOOKUP($AI601,Programma!$F$3:$S$1107,14,0),"")</f>
        <v>_</v>
      </c>
      <c r="AW601" s="300" t="str">
        <f>_xlfn.IFNA(VLOOKUP($AI601,Programma!$F$3:$T$1107,15,0),"")</f>
        <v>_</v>
      </c>
      <c r="AX601" s="300" t="str">
        <f>_xlfn.IFNA(VLOOKUP($AI601,Programma!$F$3:$U$1107,16,0),"")</f>
        <v>_</v>
      </c>
      <c r="AY601" s="300" t="str">
        <f>_xlfn.IFNA(VLOOKUP($AI601,Programma!$F$3:$V$1107,17,0),"")</f>
        <v>_</v>
      </c>
      <c r="AZ601" s="300" t="str">
        <f>_xlfn.IFNA(VLOOKUP($AI601,Programma!$F$3:$W$1107,18,0),"")</f>
        <v>4w</v>
      </c>
      <c r="BA601" s="300" t="str">
        <f>_xlfn.IFNA(VLOOKUP($AI601,Programma!$F$3:$X$1107,19,0),"")</f>
        <v>1w</v>
      </c>
      <c r="BB601" s="300" t="str">
        <f>_xlfn.IFNA(VLOOKUP($AI601,Programma!$F$3:$Y$1107,20,0),"")</f>
        <v>_</v>
      </c>
      <c r="BC601" s="257"/>
      <c r="BD601" s="256" t="str">
        <f>IF(Ruimtestaat[[#This Row],[Frequentie weekend]]="","",_xlfn.CONCAT(Ruimtestaat[[#This Row],[Ruimte code]],"-",Ruimtestaat[[#This Row],[Frequentie weekend]]," ",Ruimtestaat[[#This Row],[Vloer code]]))</f>
        <v/>
      </c>
      <c r="BE601" s="300" t="str">
        <f>_xlfn.IFNA(VLOOKUP($BD601,Programma!$F$3:$G$1107,2,0),"")</f>
        <v/>
      </c>
      <c r="BF601" s="300" t="str">
        <f>_xlfn.IFNA(VLOOKUP($BD601,Programma!$F$3:$H$1107,3,0),"")</f>
        <v/>
      </c>
      <c r="BG601" s="300" t="str">
        <f>_xlfn.IFNA(VLOOKUP($BD601,Programma!$F$3:$I$1107,4,0),"")</f>
        <v/>
      </c>
      <c r="BH601" s="300" t="str">
        <f>_xlfn.IFNA(VLOOKUP($BD601,Programma!$F$3:$J$1107,5,0),"")</f>
        <v/>
      </c>
      <c r="BI601" s="300" t="str">
        <f>_xlfn.IFNA(VLOOKUP($BD601,Programma!$F$3:$K$1107,6,0),"")</f>
        <v/>
      </c>
      <c r="BJ601" s="300" t="str">
        <f>_xlfn.IFNA(VLOOKUP($BD601,Programma!$F$3:$L$1107,7,0),"")</f>
        <v/>
      </c>
      <c r="BK601" s="300" t="str">
        <f>_xlfn.IFNA(VLOOKUP($BD601,Programma!$F$3:$M$1107,8,0),"")</f>
        <v/>
      </c>
      <c r="BL601" s="300" t="str">
        <f>_xlfn.IFNA(VLOOKUP($BD601,Programma!$F$3:$N$1107,9,0),"")</f>
        <v/>
      </c>
      <c r="BM601" s="300" t="str">
        <f>_xlfn.IFNA(VLOOKUP($BD601,Programma!$F$3:$O$1107,10,0),"")</f>
        <v/>
      </c>
      <c r="BN601" s="300" t="str">
        <f>_xlfn.IFNA(VLOOKUP($BD601,Programma!$F$3:$P$1107,11,0),"")</f>
        <v/>
      </c>
      <c r="BO601" s="300" t="str">
        <f>_xlfn.IFNA(VLOOKUP($BD601,Programma!$F$3:$Q$1107,12,0),"")</f>
        <v/>
      </c>
      <c r="BP601" s="300" t="str">
        <f>_xlfn.IFNA(VLOOKUP($BD601,Programma!$F$3:$R$1107,13,0),"")</f>
        <v/>
      </c>
      <c r="BQ601" s="300" t="str">
        <f>_xlfn.IFNA(VLOOKUP($BD601,Programma!$F$3:$S$1107,14,0),"")</f>
        <v/>
      </c>
      <c r="BR601" s="300" t="str">
        <f>_xlfn.IFNA(VLOOKUP($BD601,Programma!$F$3:$T$1107,15,0),"")</f>
        <v/>
      </c>
      <c r="BS601" s="300" t="str">
        <f>_xlfn.IFNA(VLOOKUP($BD601,Programma!$F$3:$U$1107,16,0),"")</f>
        <v/>
      </c>
      <c r="BT601" s="300" t="str">
        <f>_xlfn.IFNA(VLOOKUP($BD601,Programma!$F$3:$V$1107,17,0),"")</f>
        <v/>
      </c>
      <c r="BU601" s="300" t="str">
        <f>_xlfn.IFNA(VLOOKUP($BD601,Programma!$F$3:$W$1107,18,0),"")</f>
        <v/>
      </c>
      <c r="BV601" s="300" t="str">
        <f>_xlfn.IFNA(VLOOKUP($BD601,Programma!$F$3:$X$1107,19,0),"")</f>
        <v/>
      </c>
      <c r="BW601" s="300" t="str">
        <f>_xlfn.IFNA(VLOOKUP($BD601,Programma!$F$3:$Y$1107,20,0),"")</f>
        <v/>
      </c>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c r="GK601" s="4"/>
      <c r="GL601" s="4"/>
      <c r="GM601" s="4"/>
      <c r="GN601" s="4"/>
      <c r="GO601" s="4"/>
      <c r="GP601" s="4"/>
      <c r="GQ601" s="4"/>
      <c r="GR601" s="4"/>
      <c r="GS601" s="4"/>
      <c r="GT601" s="4"/>
      <c r="GU601" s="4"/>
      <c r="GV601" s="4"/>
      <c r="GW601" s="4"/>
      <c r="GX601" s="4"/>
      <c r="GY601" s="4"/>
      <c r="GZ601" s="4"/>
      <c r="HA601" s="4"/>
      <c r="HB601" s="4"/>
      <c r="HC601" s="4"/>
      <c r="HD601" s="4"/>
      <c r="HE601" s="4"/>
      <c r="HF601" s="4"/>
      <c r="HG601" s="4"/>
      <c r="HH601" s="4"/>
      <c r="HI601" s="4"/>
      <c r="HJ601" s="4"/>
      <c r="HK601" s="4"/>
      <c r="HL601" s="4"/>
    </row>
    <row r="602" spans="1:220" ht="15" customHeight="1">
      <c r="A602" s="21">
        <v>7</v>
      </c>
      <c r="B602" s="157" t="str">
        <f>VLOOKUP(Ruimtestaat[[#This Row],[Code]],Locaties[[Code]:[Locatie]],2,FALSE)</f>
        <v>Gymnasium Novum</v>
      </c>
      <c r="C602" s="157" t="str">
        <f>VLOOKUP(Ruimtestaat[[#This Row],[Code]],Locaties[[#All],[Code]:[Adres]],4,FALSE)</f>
        <v>Aart v.d. Leeuwkade 1</v>
      </c>
      <c r="D602" s="157" t="str">
        <f>VLOOKUP(Ruimtestaat[[#This Row],[Code]],Locaties[[#All],[Code]:[Postcode]],5,FALSE)</f>
        <v>2274 KX</v>
      </c>
      <c r="E602" s="157" t="str">
        <f>VLOOKUP(Ruimtestaat[[#This Row],[Code]],Locaties[#All],6,FALSE)</f>
        <v>Voorburg</v>
      </c>
      <c r="F602" s="62"/>
      <c r="G602" s="21" t="s">
        <v>1632</v>
      </c>
      <c r="H602" s="21">
        <v>56</v>
      </c>
      <c r="I602" s="62" t="s">
        <v>1807</v>
      </c>
      <c r="J602" s="21">
        <v>6</v>
      </c>
      <c r="K602" s="62" t="str">
        <f>VLOOKUP(Ruimtestaat[[#This Row],[Ruimte code]],Ruimtegroepen[[#All],[Code]:[Ruimte omschrijving]],2,FALSE)</f>
        <v>Gangen/hallen</v>
      </c>
      <c r="L602" s="33" t="s">
        <v>101</v>
      </c>
      <c r="M602" s="367" t="s">
        <v>2495</v>
      </c>
      <c r="N602" s="140">
        <v>95</v>
      </c>
      <c r="O602" s="140"/>
      <c r="P602" s="125" t="str">
        <f>VLOOKUP(Ruimtestaat[[#This Row],[Ruimte code]],Ruimtegroepen[],4,FALSE)</f>
        <v>Ve</v>
      </c>
      <c r="R602" s="33">
        <v>40</v>
      </c>
      <c r="S602" s="33" t="s">
        <v>2</v>
      </c>
      <c r="T602" s="33">
        <f>IF(R602&gt;0,IF(RIGHT(Ruimtestaat[[#This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02" s="33">
        <f>IF(T602&gt;0,VLOOKUP($J602,Ruimtegroepen[],3,FALSE)*VLOOKUP($L602,Vloersoorten[],3,FALSE)*VLOOKUP($S602,Frequenties[],3,FALSE)*VLOOKUP($A602,Locaties[],3,FALSE),0)</f>
        <v>0</v>
      </c>
      <c r="V602" s="33">
        <f>Ruimtestaat[[#This Row],[Uitvoeringen werkdagen]]*Ruimtestaat[[#This Row],[Oppervlak (netto)]]</f>
        <v>19000</v>
      </c>
      <c r="W602" s="154">
        <f>IF(U602&gt;0,Ruimtestaat[[#This Row],[Prest. (m2 /jaar) werkdagen]]/Ruimtestaat[[#This Row],[Norm (m2/uur) werkdagen]],0)</f>
        <v>0</v>
      </c>
      <c r="X602" s="155">
        <f>Ruimtestaat[[#This Row],[uren / jaar werkdagen]]*Tariefsopbouw!$E$35</f>
        <v>0</v>
      </c>
      <c r="Y602" s="33"/>
      <c r="Z602" s="33">
        <f>IF(Ruimtestaat[[#This Row],[Frequentie weekend]]&gt;0,VALUE(LEFT(Y602,1))*R602,0)</f>
        <v>0</v>
      </c>
      <c r="AA602" s="97">
        <f>IF($Z602&gt;0,VLOOKUP($J602,Ruimtegroepen[],3,FALSE)*VLOOKUP($L602,Vloersoorten[],3,FALSE)*VLOOKUP($Y602,Frequenties[],3,FALSE)*VLOOKUP(Ruimtestaat[[#This Row],[Code]],Locaties[],3,FALSE),0)</f>
        <v>0</v>
      </c>
      <c r="AB602" s="97">
        <f>Ruimtestaat[[#This Row],[Uitvoeringen weekend]]*Ruimtestaat[[#This Row],[Oppervlak (netto)]]</f>
        <v>0</v>
      </c>
      <c r="AC602" s="97">
        <f>IF(AA602&gt;0,Ruimtestaat[[#This Row],[Prest. (m2 /jaar) weekend]]/Ruimtestaat[[#This Row],[Norm (m2/uur) weekend]],0)</f>
        <v>0</v>
      </c>
      <c r="AD602" s="155">
        <f>Ruimtestaat[[#This Row],[uren / jaar weekend]]*Tariefsopbouw!$D$40</f>
        <v>0</v>
      </c>
      <c r="AE602" s="154">
        <f>Ruimtestaat[[#This Row],[Prest. (m2 /jaar) weekend]]+Ruimtestaat[[#This Row],[Prest. (m2 /jaar) werkdagen]]</f>
        <v>19000</v>
      </c>
      <c r="AF602" s="154">
        <f>Ruimtestaat[[#This Row],[uren / jaar weekend]]+Ruimtestaat[[#This Row],[uren / jaar werkdagen]]</f>
        <v>0</v>
      </c>
      <c r="AG602" s="69">
        <f>Ruimtestaat[[#This Row],[kosten / jaar weekend]]+Ruimtestaat[[#This Row],[kosten / jaar werkdagen]]</f>
        <v>0</v>
      </c>
      <c r="AH602" s="69"/>
      <c r="AI602" s="256" t="str">
        <f>IF(Ruimtestaat[[#This Row],[Frequentie werkdagen]]="","",_xlfn.CONCAT(Ruimtestaat[[#This Row],[Ruimte code]],"-",Ruimtestaat[[#This Row],[Frequentie werkdagen]]," ",Ruimtestaat[[#This Row],[Vloer code]]))</f>
        <v>6-5w L</v>
      </c>
      <c r="AJ602" s="300" t="str">
        <f>_xlfn.IFNA(VLOOKUP($AI602,Programma!$F$3:$G$1107,2,0),"")</f>
        <v>_</v>
      </c>
      <c r="AK602" s="300" t="str">
        <f>_xlfn.IFNA(VLOOKUP($AI602,Programma!$F$3:$H$1107,3,0),"")</f>
        <v>_</v>
      </c>
      <c r="AL602" s="300" t="str">
        <f>_xlfn.IFNA(VLOOKUP($AI602,Programma!$F$3:$I$1107,4,0),"")</f>
        <v>_</v>
      </c>
      <c r="AM602" s="300" t="str">
        <f>_xlfn.IFNA(VLOOKUP($AI602,Programma!$F$3:$J$1107,5,0),"")</f>
        <v>5w</v>
      </c>
      <c r="AN602" s="300" t="str">
        <f>_xlfn.IFNA(VLOOKUP($AI602,Programma!$F$3:$K$1107,6,0),"")</f>
        <v>_</v>
      </c>
      <c r="AO602" s="300" t="str">
        <f>_xlfn.IFNA(VLOOKUP($AI602,Programma!$F$3:$L$1107,7,0),"")</f>
        <v>_</v>
      </c>
      <c r="AP602" s="300" t="str">
        <f>_xlfn.IFNA(VLOOKUP($AI602,Programma!$F$3:$M$1107,8,0),"")</f>
        <v>_</v>
      </c>
      <c r="AQ602" s="300" t="str">
        <f>_xlfn.IFNA(VLOOKUP($AI602,Programma!$F$3:$N$1107,9,0),"")</f>
        <v>_</v>
      </c>
      <c r="AR602" s="300" t="str">
        <f>_xlfn.IFNA(VLOOKUP($AI602,Programma!$F$3:$O$1107,10,0),"")</f>
        <v>5w</v>
      </c>
      <c r="AS602" s="300" t="str">
        <f>_xlfn.IFNA(VLOOKUP($AI602,Programma!$F$3:$P$1107,11,0),"")</f>
        <v>5w</v>
      </c>
      <c r="AT602" s="300" t="str">
        <f>_xlfn.IFNA(VLOOKUP($AI602,Programma!$F$3:$Q$1107,12,0),"")</f>
        <v>1w</v>
      </c>
      <c r="AU602" s="300" t="str">
        <f>_xlfn.IFNA(VLOOKUP($AI602,Programma!$F$3:$R$1107,13,0),"")</f>
        <v>1w</v>
      </c>
      <c r="AV602" s="300" t="str">
        <f>_xlfn.IFNA(VLOOKUP($AI602,Programma!$F$3:$S$1107,14,0),"")</f>
        <v>1m</v>
      </c>
      <c r="AW602" s="300" t="str">
        <f>_xlfn.IFNA(VLOOKUP($AI602,Programma!$F$3:$T$1107,15,0),"")</f>
        <v>2j</v>
      </c>
      <c r="AX602" s="300" t="str">
        <f>_xlfn.IFNA(VLOOKUP($AI602,Programma!$F$3:$U$1107,16,0),"")</f>
        <v>1j</v>
      </c>
      <c r="AY602" s="300" t="str">
        <f>_xlfn.IFNA(VLOOKUP($AI602,Programma!$F$3:$V$1107,17,0),"")</f>
        <v>_</v>
      </c>
      <c r="AZ602" s="300" t="str">
        <f>_xlfn.IFNA(VLOOKUP($AI602,Programma!$F$3:$W$1107,18,0),"")</f>
        <v>_</v>
      </c>
      <c r="BA602" s="300" t="str">
        <f>_xlfn.IFNA(VLOOKUP($AI602,Programma!$F$3:$X$1107,19,0),"")</f>
        <v>_</v>
      </c>
      <c r="BB602" s="300" t="str">
        <f>_xlfn.IFNA(VLOOKUP($AI602,Programma!$F$3:$Y$1107,20,0),"")</f>
        <v>_</v>
      </c>
      <c r="BC602" s="257"/>
      <c r="BD602" s="256" t="str">
        <f>IF(Ruimtestaat[[#This Row],[Frequentie weekend]]="","",_xlfn.CONCAT(Ruimtestaat[[#This Row],[Ruimte code]],"-",Ruimtestaat[[#This Row],[Frequentie weekend]]," ",Ruimtestaat[[#This Row],[Vloer code]]))</f>
        <v/>
      </c>
      <c r="BE602" s="300" t="str">
        <f>_xlfn.IFNA(VLOOKUP($BD602,Programma!$F$3:$G$1107,2,0),"")</f>
        <v/>
      </c>
      <c r="BF602" s="300" t="str">
        <f>_xlfn.IFNA(VLOOKUP($BD602,Programma!$F$3:$H$1107,3,0),"")</f>
        <v/>
      </c>
      <c r="BG602" s="300" t="str">
        <f>_xlfn.IFNA(VLOOKUP($BD602,Programma!$F$3:$I$1107,4,0),"")</f>
        <v/>
      </c>
      <c r="BH602" s="300" t="str">
        <f>_xlfn.IFNA(VLOOKUP($BD602,Programma!$F$3:$J$1107,5,0),"")</f>
        <v/>
      </c>
      <c r="BI602" s="300" t="str">
        <f>_xlfn.IFNA(VLOOKUP($BD602,Programma!$F$3:$K$1107,6,0),"")</f>
        <v/>
      </c>
      <c r="BJ602" s="300" t="str">
        <f>_xlfn.IFNA(VLOOKUP($BD602,Programma!$F$3:$L$1107,7,0),"")</f>
        <v/>
      </c>
      <c r="BK602" s="300" t="str">
        <f>_xlfn.IFNA(VLOOKUP($BD602,Programma!$F$3:$M$1107,8,0),"")</f>
        <v/>
      </c>
      <c r="BL602" s="300" t="str">
        <f>_xlfn.IFNA(VLOOKUP($BD602,Programma!$F$3:$N$1107,9,0),"")</f>
        <v/>
      </c>
      <c r="BM602" s="300" t="str">
        <f>_xlfn.IFNA(VLOOKUP($BD602,Programma!$F$3:$O$1107,10,0),"")</f>
        <v/>
      </c>
      <c r="BN602" s="300" t="str">
        <f>_xlfn.IFNA(VLOOKUP($BD602,Programma!$F$3:$P$1107,11,0),"")</f>
        <v/>
      </c>
      <c r="BO602" s="300" t="str">
        <f>_xlfn.IFNA(VLOOKUP($BD602,Programma!$F$3:$Q$1107,12,0),"")</f>
        <v/>
      </c>
      <c r="BP602" s="300" t="str">
        <f>_xlfn.IFNA(VLOOKUP($BD602,Programma!$F$3:$R$1107,13,0),"")</f>
        <v/>
      </c>
      <c r="BQ602" s="300" t="str">
        <f>_xlfn.IFNA(VLOOKUP($BD602,Programma!$F$3:$S$1107,14,0),"")</f>
        <v/>
      </c>
      <c r="BR602" s="300" t="str">
        <f>_xlfn.IFNA(VLOOKUP($BD602,Programma!$F$3:$T$1107,15,0),"")</f>
        <v/>
      </c>
      <c r="BS602" s="300" t="str">
        <f>_xlfn.IFNA(VLOOKUP($BD602,Programma!$F$3:$U$1107,16,0),"")</f>
        <v/>
      </c>
      <c r="BT602" s="300" t="str">
        <f>_xlfn.IFNA(VLOOKUP($BD602,Programma!$F$3:$V$1107,17,0),"")</f>
        <v/>
      </c>
      <c r="BU602" s="300" t="str">
        <f>_xlfn.IFNA(VLOOKUP($BD602,Programma!$F$3:$W$1107,18,0),"")</f>
        <v/>
      </c>
      <c r="BV602" s="300" t="str">
        <f>_xlfn.IFNA(VLOOKUP($BD602,Programma!$F$3:$X$1107,19,0),"")</f>
        <v/>
      </c>
      <c r="BW602" s="300" t="str">
        <f>_xlfn.IFNA(VLOOKUP($BD602,Programma!$F$3:$Y$1107,20,0),"")</f>
        <v/>
      </c>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c r="GK602" s="4"/>
      <c r="GL602" s="4"/>
      <c r="GM602" s="4"/>
      <c r="GN602" s="4"/>
      <c r="GO602" s="4"/>
      <c r="GP602" s="4"/>
      <c r="GQ602" s="4"/>
      <c r="GR602" s="4"/>
      <c r="GS602" s="4"/>
      <c r="GT602" s="4"/>
      <c r="GU602" s="4"/>
      <c r="GV602" s="4"/>
      <c r="GW602" s="4"/>
      <c r="GX602" s="4"/>
      <c r="GY602" s="4"/>
      <c r="GZ602" s="4"/>
      <c r="HA602" s="4"/>
      <c r="HB602" s="4"/>
      <c r="HC602" s="4"/>
      <c r="HD602" s="4"/>
      <c r="HE602" s="4"/>
      <c r="HF602" s="4"/>
      <c r="HG602" s="4"/>
      <c r="HH602" s="4"/>
      <c r="HI602" s="4"/>
      <c r="HJ602" s="4"/>
      <c r="HK602" s="4"/>
      <c r="HL602" s="4"/>
    </row>
    <row r="603" spans="1:220" ht="15" customHeight="1">
      <c r="A603" s="21">
        <v>7</v>
      </c>
      <c r="B603" s="157" t="str">
        <f>VLOOKUP(Ruimtestaat[[#This Row],[Code]],Locaties[[Code]:[Locatie]],2,FALSE)</f>
        <v>Gymnasium Novum</v>
      </c>
      <c r="C603" s="157" t="str">
        <f>VLOOKUP(Ruimtestaat[[#This Row],[Code]],Locaties[[#All],[Code]:[Adres]],4,FALSE)</f>
        <v>Aart v.d. Leeuwkade 1</v>
      </c>
      <c r="D603" s="157" t="str">
        <f>VLOOKUP(Ruimtestaat[[#This Row],[Code]],Locaties[[#All],[Code]:[Postcode]],5,FALSE)</f>
        <v>2274 KX</v>
      </c>
      <c r="E603" s="157" t="str">
        <f>VLOOKUP(Ruimtestaat[[#This Row],[Code]],Locaties[#All],6,FALSE)</f>
        <v>Voorburg</v>
      </c>
      <c r="F603" s="62"/>
      <c r="G603" s="21" t="s">
        <v>1632</v>
      </c>
      <c r="H603" s="21">
        <v>57</v>
      </c>
      <c r="I603" s="62" t="s">
        <v>1653</v>
      </c>
      <c r="J603" s="21">
        <v>2</v>
      </c>
      <c r="K603" s="62" t="str">
        <f>VLOOKUP(Ruimtestaat[[#This Row],[Ruimte code]],Ruimtegroepen[[#All],[Code]:[Ruimte omschrijving]],2,FALSE)</f>
        <v>Kantoren</v>
      </c>
      <c r="L603" s="33" t="s">
        <v>101</v>
      </c>
      <c r="M603" s="367" t="s">
        <v>2495</v>
      </c>
      <c r="N603" s="140">
        <v>17</v>
      </c>
      <c r="O603" s="140"/>
      <c r="P603" s="125" t="str">
        <f>VLOOKUP(Ruimtestaat[[#This Row],[Ruimte code]],Ruimtegroepen[],4,FALSE)</f>
        <v>Bu</v>
      </c>
      <c r="R603" s="33">
        <v>42</v>
      </c>
      <c r="S603" s="33" t="s">
        <v>18</v>
      </c>
      <c r="T603" s="33">
        <f>IF(R603&gt;0,IF(RIGHT(Ruimtestaat[[#This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03" s="33">
        <f>IF(T603&gt;0,VLOOKUP($J603,Ruimtegroepen[],3,FALSE)*VLOOKUP($L603,Vloersoorten[],3,FALSE)*VLOOKUP($S603,Frequenties[],3,FALSE)*VLOOKUP($A603,Locaties[],3,FALSE),0)</f>
        <v>0</v>
      </c>
      <c r="V603" s="33">
        <f>Ruimtestaat[[#This Row],[Uitvoeringen werkdagen]]*Ruimtestaat[[#This Row],[Oppervlak (netto)]]</f>
        <v>2142</v>
      </c>
      <c r="W603" s="154">
        <f>IF(U603&gt;0,Ruimtestaat[[#This Row],[Prest. (m2 /jaar) werkdagen]]/Ruimtestaat[[#This Row],[Norm (m2/uur) werkdagen]],0)</f>
        <v>0</v>
      </c>
      <c r="X603" s="155">
        <f>Ruimtestaat[[#This Row],[uren / jaar werkdagen]]*Tariefsopbouw!$E$35</f>
        <v>0</v>
      </c>
      <c r="Y603" s="33"/>
      <c r="Z603" s="33">
        <f>IF(Ruimtestaat[[#This Row],[Frequentie weekend]]&gt;0,VALUE(LEFT(Y603,1))*R603,0)</f>
        <v>0</v>
      </c>
      <c r="AA603" s="97">
        <f>IF($Z603&gt;0,VLOOKUP($J603,Ruimtegroepen[],3,FALSE)*VLOOKUP($L603,Vloersoorten[],3,FALSE)*VLOOKUP($Y603,Frequenties[],3,FALSE)*VLOOKUP(Ruimtestaat[[#This Row],[Code]],Locaties[],3,FALSE),0)</f>
        <v>0</v>
      </c>
      <c r="AB603" s="97">
        <f>Ruimtestaat[[#This Row],[Uitvoeringen weekend]]*Ruimtestaat[[#This Row],[Oppervlak (netto)]]</f>
        <v>0</v>
      </c>
      <c r="AC603" s="97">
        <f>IF(AA603&gt;0,Ruimtestaat[[#This Row],[Prest. (m2 /jaar) weekend]]/Ruimtestaat[[#This Row],[Norm (m2/uur) weekend]],0)</f>
        <v>0</v>
      </c>
      <c r="AD603" s="155">
        <f>Ruimtestaat[[#This Row],[uren / jaar weekend]]*Tariefsopbouw!$D$40</f>
        <v>0</v>
      </c>
      <c r="AE603" s="154">
        <f>Ruimtestaat[[#This Row],[Prest. (m2 /jaar) weekend]]+Ruimtestaat[[#This Row],[Prest. (m2 /jaar) werkdagen]]</f>
        <v>2142</v>
      </c>
      <c r="AF603" s="154">
        <f>Ruimtestaat[[#This Row],[uren / jaar weekend]]+Ruimtestaat[[#This Row],[uren / jaar werkdagen]]</f>
        <v>0</v>
      </c>
      <c r="AG603" s="69">
        <f>Ruimtestaat[[#This Row],[kosten / jaar weekend]]+Ruimtestaat[[#This Row],[kosten / jaar werkdagen]]</f>
        <v>0</v>
      </c>
      <c r="AH603" s="69"/>
      <c r="AI603" s="256" t="str">
        <f>IF(Ruimtestaat[[#This Row],[Frequentie werkdagen]]="","",_xlfn.CONCAT(Ruimtestaat[[#This Row],[Ruimte code]],"-",Ruimtestaat[[#This Row],[Frequentie werkdagen]]," ",Ruimtestaat[[#This Row],[Vloer code]]))</f>
        <v>2-3w L</v>
      </c>
      <c r="AJ603" s="300" t="str">
        <f>_xlfn.IFNA(VLOOKUP($AI603,Programma!$F$3:$G$1107,2,0),"")</f>
        <v>_</v>
      </c>
      <c r="AK603" s="300" t="str">
        <f>_xlfn.IFNA(VLOOKUP($AI603,Programma!$F$3:$H$1107,3,0),"")</f>
        <v>_</v>
      </c>
      <c r="AL603" s="300" t="str">
        <f>_xlfn.IFNA(VLOOKUP($AI603,Programma!$F$3:$I$1107,4,0),"")</f>
        <v>2w</v>
      </c>
      <c r="AM603" s="300" t="str">
        <f>_xlfn.IFNA(VLOOKUP($AI603,Programma!$F$3:$J$1107,5,0),"")</f>
        <v>1w</v>
      </c>
      <c r="AN603" s="300" t="str">
        <f>_xlfn.IFNA(VLOOKUP($AI603,Programma!$F$3:$K$1107,6,0),"")</f>
        <v>_</v>
      </c>
      <c r="AO603" s="300" t="str">
        <f>_xlfn.IFNA(VLOOKUP($AI603,Programma!$F$3:$L$1107,7,0),"")</f>
        <v>_</v>
      </c>
      <c r="AP603" s="300" t="str">
        <f>_xlfn.IFNA(VLOOKUP($AI603,Programma!$F$3:$M$1107,8,0),"")</f>
        <v>_</v>
      </c>
      <c r="AQ603" s="300" t="str">
        <f>_xlfn.IFNA(VLOOKUP($AI603,Programma!$F$3:$N$1107,9,0),"")</f>
        <v>_</v>
      </c>
      <c r="AR603" s="300" t="str">
        <f>_xlfn.IFNA(VLOOKUP($AI603,Programma!$F$3:$O$1107,10,0),"")</f>
        <v>3w</v>
      </c>
      <c r="AS603" s="300" t="str">
        <f>_xlfn.IFNA(VLOOKUP($AI603,Programma!$F$3:$P$1107,11,0),"")</f>
        <v>3w</v>
      </c>
      <c r="AT603" s="300" t="str">
        <f>_xlfn.IFNA(VLOOKUP($AI603,Programma!$F$3:$Q$1107,12,0),"")</f>
        <v>1w</v>
      </c>
      <c r="AU603" s="300" t="str">
        <f>_xlfn.IFNA(VLOOKUP($AI603,Programma!$F$3:$R$1107,13,0),"")</f>
        <v>1w</v>
      </c>
      <c r="AV603" s="300" t="str">
        <f>_xlfn.IFNA(VLOOKUP($AI603,Programma!$F$3:$S$1107,14,0),"")</f>
        <v>1m</v>
      </c>
      <c r="AW603" s="300" t="str">
        <f>_xlfn.IFNA(VLOOKUP($AI603,Programma!$F$3:$T$1107,15,0),"")</f>
        <v>2j</v>
      </c>
      <c r="AX603" s="300" t="str">
        <f>_xlfn.IFNA(VLOOKUP($AI603,Programma!$F$3:$U$1107,16,0),"")</f>
        <v>1j</v>
      </c>
      <c r="AY603" s="300" t="str">
        <f>_xlfn.IFNA(VLOOKUP($AI603,Programma!$F$3:$V$1107,17,0),"")</f>
        <v>_</v>
      </c>
      <c r="AZ603" s="300" t="str">
        <f>_xlfn.IFNA(VLOOKUP($AI603,Programma!$F$3:$W$1107,18,0),"")</f>
        <v>_</v>
      </c>
      <c r="BA603" s="300" t="str">
        <f>_xlfn.IFNA(VLOOKUP($AI603,Programma!$F$3:$X$1107,19,0),"")</f>
        <v>_</v>
      </c>
      <c r="BB603" s="300" t="str">
        <f>_xlfn.IFNA(VLOOKUP($AI603,Programma!$F$3:$Y$1107,20,0),"")</f>
        <v>_</v>
      </c>
      <c r="BC603" s="257"/>
      <c r="BD603" s="256" t="str">
        <f>IF(Ruimtestaat[[#This Row],[Frequentie weekend]]="","",_xlfn.CONCAT(Ruimtestaat[[#This Row],[Ruimte code]],"-",Ruimtestaat[[#This Row],[Frequentie weekend]]," ",Ruimtestaat[[#This Row],[Vloer code]]))</f>
        <v/>
      </c>
      <c r="BE603" s="300" t="str">
        <f>_xlfn.IFNA(VLOOKUP($BD603,Programma!$F$3:$G$1107,2,0),"")</f>
        <v/>
      </c>
      <c r="BF603" s="300" t="str">
        <f>_xlfn.IFNA(VLOOKUP($BD603,Programma!$F$3:$H$1107,3,0),"")</f>
        <v/>
      </c>
      <c r="BG603" s="300" t="str">
        <f>_xlfn.IFNA(VLOOKUP($BD603,Programma!$F$3:$I$1107,4,0),"")</f>
        <v/>
      </c>
      <c r="BH603" s="300" t="str">
        <f>_xlfn.IFNA(VLOOKUP($BD603,Programma!$F$3:$J$1107,5,0),"")</f>
        <v/>
      </c>
      <c r="BI603" s="300" t="str">
        <f>_xlfn.IFNA(VLOOKUP($BD603,Programma!$F$3:$K$1107,6,0),"")</f>
        <v/>
      </c>
      <c r="BJ603" s="300" t="str">
        <f>_xlfn.IFNA(VLOOKUP($BD603,Programma!$F$3:$L$1107,7,0),"")</f>
        <v/>
      </c>
      <c r="BK603" s="300" t="str">
        <f>_xlfn.IFNA(VLOOKUP($BD603,Programma!$F$3:$M$1107,8,0),"")</f>
        <v/>
      </c>
      <c r="BL603" s="300" t="str">
        <f>_xlfn.IFNA(VLOOKUP($BD603,Programma!$F$3:$N$1107,9,0),"")</f>
        <v/>
      </c>
      <c r="BM603" s="300" t="str">
        <f>_xlfn.IFNA(VLOOKUP($BD603,Programma!$F$3:$O$1107,10,0),"")</f>
        <v/>
      </c>
      <c r="BN603" s="300" t="str">
        <f>_xlfn.IFNA(VLOOKUP($BD603,Programma!$F$3:$P$1107,11,0),"")</f>
        <v/>
      </c>
      <c r="BO603" s="300" t="str">
        <f>_xlfn.IFNA(VLOOKUP($BD603,Programma!$F$3:$Q$1107,12,0),"")</f>
        <v/>
      </c>
      <c r="BP603" s="300" t="str">
        <f>_xlfn.IFNA(VLOOKUP($BD603,Programma!$F$3:$R$1107,13,0),"")</f>
        <v/>
      </c>
      <c r="BQ603" s="300" t="str">
        <f>_xlfn.IFNA(VLOOKUP($BD603,Programma!$F$3:$S$1107,14,0),"")</f>
        <v/>
      </c>
      <c r="BR603" s="300" t="str">
        <f>_xlfn.IFNA(VLOOKUP($BD603,Programma!$F$3:$T$1107,15,0),"")</f>
        <v/>
      </c>
      <c r="BS603" s="300" t="str">
        <f>_xlfn.IFNA(VLOOKUP($BD603,Programma!$F$3:$U$1107,16,0),"")</f>
        <v/>
      </c>
      <c r="BT603" s="300" t="str">
        <f>_xlfn.IFNA(VLOOKUP($BD603,Programma!$F$3:$V$1107,17,0),"")</f>
        <v/>
      </c>
      <c r="BU603" s="300" t="str">
        <f>_xlfn.IFNA(VLOOKUP($BD603,Programma!$F$3:$W$1107,18,0),"")</f>
        <v/>
      </c>
      <c r="BV603" s="300" t="str">
        <f>_xlfn.IFNA(VLOOKUP($BD603,Programma!$F$3:$X$1107,19,0),"")</f>
        <v/>
      </c>
      <c r="BW603" s="300" t="str">
        <f>_xlfn.IFNA(VLOOKUP($BD603,Programma!$F$3:$Y$1107,20,0),"")</f>
        <v/>
      </c>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c r="GK603" s="4"/>
      <c r="GL603" s="4"/>
      <c r="GM603" s="4"/>
      <c r="GN603" s="4"/>
      <c r="GO603" s="4"/>
      <c r="GP603" s="4"/>
      <c r="GQ603" s="4"/>
      <c r="GR603" s="4"/>
      <c r="GS603" s="4"/>
      <c r="GT603" s="4"/>
      <c r="GU603" s="4"/>
      <c r="GV603" s="4"/>
      <c r="GW603" s="4"/>
      <c r="GX603" s="4"/>
      <c r="GY603" s="4"/>
      <c r="GZ603" s="4"/>
      <c r="HA603" s="4"/>
      <c r="HB603" s="4"/>
      <c r="HC603" s="4"/>
      <c r="HD603" s="4"/>
      <c r="HE603" s="4"/>
      <c r="HF603" s="4"/>
      <c r="HG603" s="4"/>
      <c r="HH603" s="4"/>
      <c r="HI603" s="4"/>
      <c r="HJ603" s="4"/>
      <c r="HK603" s="4"/>
      <c r="HL603" s="4"/>
    </row>
    <row r="604" spans="1:220" ht="15" customHeight="1">
      <c r="A604" s="21">
        <v>7</v>
      </c>
      <c r="B604" s="157" t="str">
        <f>VLOOKUP(Ruimtestaat[[#This Row],[Code]],Locaties[[Code]:[Locatie]],2,FALSE)</f>
        <v>Gymnasium Novum</v>
      </c>
      <c r="C604" s="157" t="str">
        <f>VLOOKUP(Ruimtestaat[[#This Row],[Code]],Locaties[[#All],[Code]:[Adres]],4,FALSE)</f>
        <v>Aart v.d. Leeuwkade 1</v>
      </c>
      <c r="D604" s="157" t="str">
        <f>VLOOKUP(Ruimtestaat[[#This Row],[Code]],Locaties[[#All],[Code]:[Postcode]],5,FALSE)</f>
        <v>2274 KX</v>
      </c>
      <c r="E604" s="157" t="str">
        <f>VLOOKUP(Ruimtestaat[[#This Row],[Code]],Locaties[#All],6,FALSE)</f>
        <v>Voorburg</v>
      </c>
      <c r="F604" s="62"/>
      <c r="G604" s="21" t="s">
        <v>1624</v>
      </c>
      <c r="H604" s="21" t="s">
        <v>1654</v>
      </c>
      <c r="I604" s="62" t="s">
        <v>1657</v>
      </c>
      <c r="J604" s="21">
        <v>10</v>
      </c>
      <c r="K604" s="62" t="str">
        <f>VLOOKUP(Ruimtestaat[[#This Row],[Ruimte code]],Ruimtegroepen[[#All],[Code]:[Ruimte omschrijving]],2,FALSE)</f>
        <v>Trappenhuizen/lift</v>
      </c>
      <c r="L604" s="33" t="s">
        <v>1325</v>
      </c>
      <c r="M604" s="367" t="s">
        <v>2505</v>
      </c>
      <c r="N604" s="140">
        <v>8</v>
      </c>
      <c r="O604" s="140"/>
      <c r="P604" s="125" t="str">
        <f>VLOOKUP(Ruimtestaat[[#This Row],[Ruimte code]],Ruimtegroepen[],4,FALSE)</f>
        <v>Ve</v>
      </c>
      <c r="R604" s="33">
        <v>40</v>
      </c>
      <c r="S604" s="33" t="s">
        <v>2</v>
      </c>
      <c r="T604" s="33">
        <f>IF(R604&gt;0,IF(RIGHT(Ruimtestaat[[#This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04" s="33">
        <f>IF(T604&gt;0,VLOOKUP($J604,Ruimtegroepen[],3,FALSE)*VLOOKUP($L604,Vloersoorten[],3,FALSE)*VLOOKUP($S604,Frequenties[],3,FALSE)*VLOOKUP($A604,Locaties[],3,FALSE),0)</f>
        <v>0</v>
      </c>
      <c r="V604" s="33">
        <f>Ruimtestaat[[#This Row],[Uitvoeringen werkdagen]]*Ruimtestaat[[#This Row],[Oppervlak (netto)]]</f>
        <v>1600</v>
      </c>
      <c r="W604" s="154">
        <f>IF(U604&gt;0,Ruimtestaat[[#This Row],[Prest. (m2 /jaar) werkdagen]]/Ruimtestaat[[#This Row],[Norm (m2/uur) werkdagen]],0)</f>
        <v>0</v>
      </c>
      <c r="X604" s="155">
        <f>Ruimtestaat[[#This Row],[uren / jaar werkdagen]]*Tariefsopbouw!$E$35</f>
        <v>0</v>
      </c>
      <c r="Y604" s="33"/>
      <c r="Z604" s="33">
        <f>IF(Ruimtestaat[[#This Row],[Frequentie weekend]]&gt;0,VALUE(LEFT(Y604,1))*R604,0)</f>
        <v>0</v>
      </c>
      <c r="AA604" s="97">
        <f>IF($Z604&gt;0,VLOOKUP($J604,Ruimtegroepen[],3,FALSE)*VLOOKUP($L604,Vloersoorten[],3,FALSE)*VLOOKUP($Y604,Frequenties[],3,FALSE)*VLOOKUP(Ruimtestaat[[#This Row],[Code]],Locaties[],3,FALSE),0)</f>
        <v>0</v>
      </c>
      <c r="AB604" s="97">
        <f>Ruimtestaat[[#This Row],[Uitvoeringen weekend]]*Ruimtestaat[[#This Row],[Oppervlak (netto)]]</f>
        <v>0</v>
      </c>
      <c r="AC604" s="97">
        <f>IF(AA604&gt;0,Ruimtestaat[[#This Row],[Prest. (m2 /jaar) weekend]]/Ruimtestaat[[#This Row],[Norm (m2/uur) weekend]],0)</f>
        <v>0</v>
      </c>
      <c r="AD604" s="155">
        <f>Ruimtestaat[[#This Row],[uren / jaar weekend]]*Tariefsopbouw!$D$40</f>
        <v>0</v>
      </c>
      <c r="AE604" s="154">
        <f>Ruimtestaat[[#This Row],[Prest. (m2 /jaar) weekend]]+Ruimtestaat[[#This Row],[Prest. (m2 /jaar) werkdagen]]</f>
        <v>1600</v>
      </c>
      <c r="AF604" s="154">
        <f>Ruimtestaat[[#This Row],[uren / jaar weekend]]+Ruimtestaat[[#This Row],[uren / jaar werkdagen]]</f>
        <v>0</v>
      </c>
      <c r="AG604" s="69">
        <f>Ruimtestaat[[#This Row],[kosten / jaar weekend]]+Ruimtestaat[[#This Row],[kosten / jaar werkdagen]]</f>
        <v>0</v>
      </c>
      <c r="AH604" s="69"/>
      <c r="AI604" s="256" t="str">
        <f>IF(Ruimtestaat[[#This Row],[Frequentie werkdagen]]="","",_xlfn.CONCAT(Ruimtestaat[[#This Row],[Ruimte code]],"-",Ruimtestaat[[#This Row],[Frequentie werkdagen]]," ",Ruimtestaat[[#This Row],[Vloer code]]))</f>
        <v>10-5w H</v>
      </c>
      <c r="AJ604" s="300" t="str">
        <f>_xlfn.IFNA(VLOOKUP($AI604,Programma!$F$3:$G$1107,2,0),"")</f>
        <v>_</v>
      </c>
      <c r="AK604" s="300" t="str">
        <f>_xlfn.IFNA(VLOOKUP($AI604,Programma!$F$3:$H$1107,3,0),"")</f>
        <v>_</v>
      </c>
      <c r="AL604" s="300" t="str">
        <f>_xlfn.IFNA(VLOOKUP($AI604,Programma!$F$3:$I$1107,4,0),"")</f>
        <v>5w</v>
      </c>
      <c r="AM604" s="300" t="str">
        <f>_xlfn.IFNA(VLOOKUP($AI604,Programma!$F$3:$J$1107,5,0),"")</f>
        <v>_</v>
      </c>
      <c r="AN604" s="300" t="str">
        <f>_xlfn.IFNA(VLOOKUP($AI604,Programma!$F$3:$K$1107,6,0),"")</f>
        <v>4j</v>
      </c>
      <c r="AO604" s="300" t="str">
        <f>_xlfn.IFNA(VLOOKUP($AI604,Programma!$F$3:$L$1107,7,0),"")</f>
        <v>_</v>
      </c>
      <c r="AP604" s="300" t="str">
        <f>_xlfn.IFNA(VLOOKUP($AI604,Programma!$F$3:$M$1107,8,0),"")</f>
        <v>_</v>
      </c>
      <c r="AQ604" s="300" t="str">
        <f>_xlfn.IFNA(VLOOKUP($AI604,Programma!$F$3:$N$1107,9,0),"")</f>
        <v>_</v>
      </c>
      <c r="AR604" s="300" t="str">
        <f>_xlfn.IFNA(VLOOKUP($AI604,Programma!$F$3:$O$1107,10,0),"")</f>
        <v>5w</v>
      </c>
      <c r="AS604" s="300" t="str">
        <f>_xlfn.IFNA(VLOOKUP($AI604,Programma!$F$3:$P$1107,11,0),"")</f>
        <v>5w</v>
      </c>
      <c r="AT604" s="300" t="str">
        <f>_xlfn.IFNA(VLOOKUP($AI604,Programma!$F$3:$Q$1107,12,0),"")</f>
        <v>1w</v>
      </c>
      <c r="AU604" s="300" t="str">
        <f>_xlfn.IFNA(VLOOKUP($AI604,Programma!$F$3:$R$1107,13,0),"")</f>
        <v>1w</v>
      </c>
      <c r="AV604" s="300" t="str">
        <f>_xlfn.IFNA(VLOOKUP($AI604,Programma!$F$3:$S$1107,14,0),"")</f>
        <v>1m</v>
      </c>
      <c r="AW604" s="300" t="str">
        <f>_xlfn.IFNA(VLOOKUP($AI604,Programma!$F$3:$T$1107,15,0),"")</f>
        <v>2j</v>
      </c>
      <c r="AX604" s="300" t="str">
        <f>_xlfn.IFNA(VLOOKUP($AI604,Programma!$F$3:$U$1107,16,0),"")</f>
        <v>1j</v>
      </c>
      <c r="AY604" s="300" t="str">
        <f>_xlfn.IFNA(VLOOKUP($AI604,Programma!$F$3:$V$1107,17,0),"")</f>
        <v>_</v>
      </c>
      <c r="AZ604" s="300" t="str">
        <f>_xlfn.IFNA(VLOOKUP($AI604,Programma!$F$3:$W$1107,18,0),"")</f>
        <v>_</v>
      </c>
      <c r="BA604" s="300" t="str">
        <f>_xlfn.IFNA(VLOOKUP($AI604,Programma!$F$3:$X$1107,19,0),"")</f>
        <v>_</v>
      </c>
      <c r="BB604" s="300" t="str">
        <f>_xlfn.IFNA(VLOOKUP($AI604,Programma!$F$3:$Y$1107,20,0),"")</f>
        <v>_</v>
      </c>
      <c r="BC604" s="257"/>
      <c r="BD604" s="256" t="str">
        <f>IF(Ruimtestaat[[#This Row],[Frequentie weekend]]="","",_xlfn.CONCAT(Ruimtestaat[[#This Row],[Ruimte code]],"-",Ruimtestaat[[#This Row],[Frequentie weekend]]," ",Ruimtestaat[[#This Row],[Vloer code]]))</f>
        <v/>
      </c>
      <c r="BE604" s="300" t="str">
        <f>_xlfn.IFNA(VLOOKUP($BD604,Programma!$F$3:$G$1107,2,0),"")</f>
        <v/>
      </c>
      <c r="BF604" s="300" t="str">
        <f>_xlfn.IFNA(VLOOKUP($BD604,Programma!$F$3:$H$1107,3,0),"")</f>
        <v/>
      </c>
      <c r="BG604" s="300" t="str">
        <f>_xlfn.IFNA(VLOOKUP($BD604,Programma!$F$3:$I$1107,4,0),"")</f>
        <v/>
      </c>
      <c r="BH604" s="300" t="str">
        <f>_xlfn.IFNA(VLOOKUP($BD604,Programma!$F$3:$J$1107,5,0),"")</f>
        <v/>
      </c>
      <c r="BI604" s="300" t="str">
        <f>_xlfn.IFNA(VLOOKUP($BD604,Programma!$F$3:$K$1107,6,0),"")</f>
        <v/>
      </c>
      <c r="BJ604" s="300" t="str">
        <f>_xlfn.IFNA(VLOOKUP($BD604,Programma!$F$3:$L$1107,7,0),"")</f>
        <v/>
      </c>
      <c r="BK604" s="300" t="str">
        <f>_xlfn.IFNA(VLOOKUP($BD604,Programma!$F$3:$M$1107,8,0),"")</f>
        <v/>
      </c>
      <c r="BL604" s="300" t="str">
        <f>_xlfn.IFNA(VLOOKUP($BD604,Programma!$F$3:$N$1107,9,0),"")</f>
        <v/>
      </c>
      <c r="BM604" s="300" t="str">
        <f>_xlfn.IFNA(VLOOKUP($BD604,Programma!$F$3:$O$1107,10,0),"")</f>
        <v/>
      </c>
      <c r="BN604" s="300" t="str">
        <f>_xlfn.IFNA(VLOOKUP($BD604,Programma!$F$3:$P$1107,11,0),"")</f>
        <v/>
      </c>
      <c r="BO604" s="300" t="str">
        <f>_xlfn.IFNA(VLOOKUP($BD604,Programma!$F$3:$Q$1107,12,0),"")</f>
        <v/>
      </c>
      <c r="BP604" s="300" t="str">
        <f>_xlfn.IFNA(VLOOKUP($BD604,Programma!$F$3:$R$1107,13,0),"")</f>
        <v/>
      </c>
      <c r="BQ604" s="300" t="str">
        <f>_xlfn.IFNA(VLOOKUP($BD604,Programma!$F$3:$S$1107,14,0),"")</f>
        <v/>
      </c>
      <c r="BR604" s="300" t="str">
        <f>_xlfn.IFNA(VLOOKUP($BD604,Programma!$F$3:$T$1107,15,0),"")</f>
        <v/>
      </c>
      <c r="BS604" s="300" t="str">
        <f>_xlfn.IFNA(VLOOKUP($BD604,Programma!$F$3:$U$1107,16,0),"")</f>
        <v/>
      </c>
      <c r="BT604" s="300" t="str">
        <f>_xlfn.IFNA(VLOOKUP($BD604,Programma!$F$3:$V$1107,17,0),"")</f>
        <v/>
      </c>
      <c r="BU604" s="300" t="str">
        <f>_xlfn.IFNA(VLOOKUP($BD604,Programma!$F$3:$W$1107,18,0),"")</f>
        <v/>
      </c>
      <c r="BV604" s="300" t="str">
        <f>_xlfn.IFNA(VLOOKUP($BD604,Programma!$F$3:$X$1107,19,0),"")</f>
        <v/>
      </c>
      <c r="BW604" s="300" t="str">
        <f>_xlfn.IFNA(VLOOKUP($BD604,Programma!$F$3:$Y$1107,20,0),"")</f>
        <v/>
      </c>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c r="GK604" s="4"/>
      <c r="GL604" s="4"/>
      <c r="GM604" s="4"/>
      <c r="GN604" s="4"/>
      <c r="GO604" s="4"/>
      <c r="GP604" s="4"/>
      <c r="GQ604" s="4"/>
      <c r="GR604" s="4"/>
      <c r="GS604" s="4"/>
      <c r="GT604" s="4"/>
      <c r="GU604" s="4"/>
      <c r="GV604" s="4"/>
      <c r="GW604" s="4"/>
      <c r="GX604" s="4"/>
      <c r="GY604" s="4"/>
      <c r="GZ604" s="4"/>
      <c r="HA604" s="4"/>
      <c r="HB604" s="4"/>
      <c r="HC604" s="4"/>
      <c r="HD604" s="4"/>
      <c r="HE604" s="4"/>
      <c r="HF604" s="4"/>
      <c r="HG604" s="4"/>
      <c r="HH604" s="4"/>
      <c r="HI604" s="4"/>
      <c r="HJ604" s="4"/>
      <c r="HK604" s="4"/>
      <c r="HL604" s="4"/>
    </row>
    <row r="605" spans="1:220" ht="15" customHeight="1">
      <c r="A605" s="21">
        <v>7</v>
      </c>
      <c r="B605" s="157" t="str">
        <f>VLOOKUP(Ruimtestaat[[#This Row],[Code]],Locaties[[Code]:[Locatie]],2,FALSE)</f>
        <v>Gymnasium Novum</v>
      </c>
      <c r="C605" s="157" t="str">
        <f>VLOOKUP(Ruimtestaat[[#This Row],[Code]],Locaties[[#All],[Code]:[Adres]],4,FALSE)</f>
        <v>Aart v.d. Leeuwkade 1</v>
      </c>
      <c r="D605" s="157" t="str">
        <f>VLOOKUP(Ruimtestaat[[#This Row],[Code]],Locaties[[#All],[Code]:[Postcode]],5,FALSE)</f>
        <v>2274 KX</v>
      </c>
      <c r="E605" s="157" t="str">
        <f>VLOOKUP(Ruimtestaat[[#This Row],[Code]],Locaties[#All],6,FALSE)</f>
        <v>Voorburg</v>
      </c>
      <c r="F605" s="62"/>
      <c r="G605" s="21" t="s">
        <v>1624</v>
      </c>
      <c r="H605" s="21" t="s">
        <v>1656</v>
      </c>
      <c r="I605" s="62" t="s">
        <v>1657</v>
      </c>
      <c r="J605" s="21">
        <v>10</v>
      </c>
      <c r="K605" s="62" t="str">
        <f>VLOOKUP(Ruimtestaat[[#This Row],[Ruimte code]],Ruimtegroepen[[#All],[Code]:[Ruimte omschrijving]],2,FALSE)</f>
        <v>Trappenhuizen/lift</v>
      </c>
      <c r="L605" s="33" t="s">
        <v>102</v>
      </c>
      <c r="M605" s="367" t="s">
        <v>2499</v>
      </c>
      <c r="N605" s="140">
        <v>16</v>
      </c>
      <c r="O605" s="140"/>
      <c r="P605" s="125" t="str">
        <f>VLOOKUP(Ruimtestaat[[#This Row],[Ruimte code]],Ruimtegroepen[],4,FALSE)</f>
        <v>Ve</v>
      </c>
      <c r="R605" s="33">
        <v>40</v>
      </c>
      <c r="S605" s="33" t="s">
        <v>2</v>
      </c>
      <c r="T605" s="33">
        <f>IF(R605&gt;0,IF(RIGHT(Ruimtestaat[[#This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05" s="33">
        <f>IF(T605&gt;0,VLOOKUP($J605,Ruimtegroepen[],3,FALSE)*VLOOKUP($L605,Vloersoorten[],3,FALSE)*VLOOKUP($S605,Frequenties[],3,FALSE)*VLOOKUP($A605,Locaties[],3,FALSE),0)</f>
        <v>0</v>
      </c>
      <c r="V605" s="33">
        <f>Ruimtestaat[[#This Row],[Uitvoeringen werkdagen]]*Ruimtestaat[[#This Row],[Oppervlak (netto)]]</f>
        <v>3200</v>
      </c>
      <c r="W605" s="154">
        <f>IF(U605&gt;0,Ruimtestaat[[#This Row],[Prest. (m2 /jaar) werkdagen]]/Ruimtestaat[[#This Row],[Norm (m2/uur) werkdagen]],0)</f>
        <v>0</v>
      </c>
      <c r="X605" s="155">
        <f>Ruimtestaat[[#This Row],[uren / jaar werkdagen]]*Tariefsopbouw!$E$35</f>
        <v>0</v>
      </c>
      <c r="Y605" s="33"/>
      <c r="Z605" s="33">
        <f>IF(Ruimtestaat[[#This Row],[Frequentie weekend]]&gt;0,VALUE(LEFT(Y605,1))*R605,0)</f>
        <v>0</v>
      </c>
      <c r="AA605" s="97">
        <f>IF($Z605&gt;0,VLOOKUP($J605,Ruimtegroepen[],3,FALSE)*VLOOKUP($L605,Vloersoorten[],3,FALSE)*VLOOKUP($Y605,Frequenties[],3,FALSE)*VLOOKUP(Ruimtestaat[[#This Row],[Code]],Locaties[],3,FALSE),0)</f>
        <v>0</v>
      </c>
      <c r="AB605" s="97">
        <f>Ruimtestaat[[#This Row],[Uitvoeringen weekend]]*Ruimtestaat[[#This Row],[Oppervlak (netto)]]</f>
        <v>0</v>
      </c>
      <c r="AC605" s="97">
        <f>IF(AA605&gt;0,Ruimtestaat[[#This Row],[Prest. (m2 /jaar) weekend]]/Ruimtestaat[[#This Row],[Norm (m2/uur) weekend]],0)</f>
        <v>0</v>
      </c>
      <c r="AD605" s="155">
        <f>Ruimtestaat[[#This Row],[uren / jaar weekend]]*Tariefsopbouw!$D$40</f>
        <v>0</v>
      </c>
      <c r="AE605" s="154">
        <f>Ruimtestaat[[#This Row],[Prest. (m2 /jaar) weekend]]+Ruimtestaat[[#This Row],[Prest. (m2 /jaar) werkdagen]]</f>
        <v>3200</v>
      </c>
      <c r="AF605" s="154">
        <f>Ruimtestaat[[#This Row],[uren / jaar weekend]]+Ruimtestaat[[#This Row],[uren / jaar werkdagen]]</f>
        <v>0</v>
      </c>
      <c r="AG605" s="69">
        <f>Ruimtestaat[[#This Row],[kosten / jaar weekend]]+Ruimtestaat[[#This Row],[kosten / jaar werkdagen]]</f>
        <v>0</v>
      </c>
      <c r="AH605" s="69"/>
      <c r="AI605" s="256" t="str">
        <f>IF(Ruimtestaat[[#This Row],[Frequentie werkdagen]]="","",_xlfn.CONCAT(Ruimtestaat[[#This Row],[Ruimte code]],"-",Ruimtestaat[[#This Row],[Frequentie werkdagen]]," ",Ruimtestaat[[#This Row],[Vloer code]]))</f>
        <v>10-5w S</v>
      </c>
      <c r="AJ605" s="300" t="str">
        <f>_xlfn.IFNA(VLOOKUP($AI605,Programma!$F$3:$G$1107,2,0),"")</f>
        <v>_</v>
      </c>
      <c r="AK605" s="300" t="str">
        <f>_xlfn.IFNA(VLOOKUP($AI605,Programma!$F$3:$H$1107,3,0),"")</f>
        <v>_</v>
      </c>
      <c r="AL605" s="300" t="str">
        <f>_xlfn.IFNA(VLOOKUP($AI605,Programma!$F$3:$I$1107,4,0),"")</f>
        <v>4w</v>
      </c>
      <c r="AM605" s="300" t="str">
        <f>_xlfn.IFNA(VLOOKUP($AI605,Programma!$F$3:$J$1107,5,0),"")</f>
        <v>1w</v>
      </c>
      <c r="AN605" s="300" t="str">
        <f>_xlfn.IFNA(VLOOKUP($AI605,Programma!$F$3:$K$1107,6,0),"")</f>
        <v>4j</v>
      </c>
      <c r="AO605" s="300" t="str">
        <f>_xlfn.IFNA(VLOOKUP($AI605,Programma!$F$3:$L$1107,7,0),"")</f>
        <v>_</v>
      </c>
      <c r="AP605" s="300" t="str">
        <f>_xlfn.IFNA(VLOOKUP($AI605,Programma!$F$3:$M$1107,8,0),"")</f>
        <v>_</v>
      </c>
      <c r="AQ605" s="300" t="str">
        <f>_xlfn.IFNA(VLOOKUP($AI605,Programma!$F$3:$N$1107,9,0),"")</f>
        <v>_</v>
      </c>
      <c r="AR605" s="300" t="str">
        <f>_xlfn.IFNA(VLOOKUP($AI605,Programma!$F$3:$O$1107,10,0),"")</f>
        <v>5w</v>
      </c>
      <c r="AS605" s="300" t="str">
        <f>_xlfn.IFNA(VLOOKUP($AI605,Programma!$F$3:$P$1107,11,0),"")</f>
        <v>5w</v>
      </c>
      <c r="AT605" s="300" t="str">
        <f>_xlfn.IFNA(VLOOKUP($AI605,Programma!$F$3:$Q$1107,12,0),"")</f>
        <v>1w</v>
      </c>
      <c r="AU605" s="300" t="str">
        <f>_xlfn.IFNA(VLOOKUP($AI605,Programma!$F$3:$R$1107,13,0),"")</f>
        <v>1w</v>
      </c>
      <c r="AV605" s="300" t="str">
        <f>_xlfn.IFNA(VLOOKUP($AI605,Programma!$F$3:$S$1107,14,0),"")</f>
        <v>1m</v>
      </c>
      <c r="AW605" s="300" t="str">
        <f>_xlfn.IFNA(VLOOKUP($AI605,Programma!$F$3:$T$1107,15,0),"")</f>
        <v>2j</v>
      </c>
      <c r="AX605" s="300" t="str">
        <f>_xlfn.IFNA(VLOOKUP($AI605,Programma!$F$3:$U$1107,16,0),"")</f>
        <v>1j</v>
      </c>
      <c r="AY605" s="300" t="str">
        <f>_xlfn.IFNA(VLOOKUP($AI605,Programma!$F$3:$V$1107,17,0),"")</f>
        <v>_</v>
      </c>
      <c r="AZ605" s="300" t="str">
        <f>_xlfn.IFNA(VLOOKUP($AI605,Programma!$F$3:$W$1107,18,0),"")</f>
        <v>_</v>
      </c>
      <c r="BA605" s="300" t="str">
        <f>_xlfn.IFNA(VLOOKUP($AI605,Programma!$F$3:$X$1107,19,0),"")</f>
        <v>_</v>
      </c>
      <c r="BB605" s="300" t="str">
        <f>_xlfn.IFNA(VLOOKUP($AI605,Programma!$F$3:$Y$1107,20,0),"")</f>
        <v>_</v>
      </c>
      <c r="BC605" s="257"/>
      <c r="BD605" s="256" t="str">
        <f>IF(Ruimtestaat[[#This Row],[Frequentie weekend]]="","",_xlfn.CONCAT(Ruimtestaat[[#This Row],[Ruimte code]],"-",Ruimtestaat[[#This Row],[Frequentie weekend]]," ",Ruimtestaat[[#This Row],[Vloer code]]))</f>
        <v/>
      </c>
      <c r="BE605" s="300" t="str">
        <f>_xlfn.IFNA(VLOOKUP($BD605,Programma!$F$3:$G$1107,2,0),"")</f>
        <v/>
      </c>
      <c r="BF605" s="300" t="str">
        <f>_xlfn.IFNA(VLOOKUP($BD605,Programma!$F$3:$H$1107,3,0),"")</f>
        <v/>
      </c>
      <c r="BG605" s="300" t="str">
        <f>_xlfn.IFNA(VLOOKUP($BD605,Programma!$F$3:$I$1107,4,0),"")</f>
        <v/>
      </c>
      <c r="BH605" s="300" t="str">
        <f>_xlfn.IFNA(VLOOKUP($BD605,Programma!$F$3:$J$1107,5,0),"")</f>
        <v/>
      </c>
      <c r="BI605" s="300" t="str">
        <f>_xlfn.IFNA(VLOOKUP($BD605,Programma!$F$3:$K$1107,6,0),"")</f>
        <v/>
      </c>
      <c r="BJ605" s="300" t="str">
        <f>_xlfn.IFNA(VLOOKUP($BD605,Programma!$F$3:$L$1107,7,0),"")</f>
        <v/>
      </c>
      <c r="BK605" s="300" t="str">
        <f>_xlfn.IFNA(VLOOKUP($BD605,Programma!$F$3:$M$1107,8,0),"")</f>
        <v/>
      </c>
      <c r="BL605" s="300" t="str">
        <f>_xlfn.IFNA(VLOOKUP($BD605,Programma!$F$3:$N$1107,9,0),"")</f>
        <v/>
      </c>
      <c r="BM605" s="300" t="str">
        <f>_xlfn.IFNA(VLOOKUP($BD605,Programma!$F$3:$O$1107,10,0),"")</f>
        <v/>
      </c>
      <c r="BN605" s="300" t="str">
        <f>_xlfn.IFNA(VLOOKUP($BD605,Programma!$F$3:$P$1107,11,0),"")</f>
        <v/>
      </c>
      <c r="BO605" s="300" t="str">
        <f>_xlfn.IFNA(VLOOKUP($BD605,Programma!$F$3:$Q$1107,12,0),"")</f>
        <v/>
      </c>
      <c r="BP605" s="300" t="str">
        <f>_xlfn.IFNA(VLOOKUP($BD605,Programma!$F$3:$R$1107,13,0),"")</f>
        <v/>
      </c>
      <c r="BQ605" s="300" t="str">
        <f>_xlfn.IFNA(VLOOKUP($BD605,Programma!$F$3:$S$1107,14,0),"")</f>
        <v/>
      </c>
      <c r="BR605" s="300" t="str">
        <f>_xlfn.IFNA(VLOOKUP($BD605,Programma!$F$3:$T$1107,15,0),"")</f>
        <v/>
      </c>
      <c r="BS605" s="300" t="str">
        <f>_xlfn.IFNA(VLOOKUP($BD605,Programma!$F$3:$U$1107,16,0),"")</f>
        <v/>
      </c>
      <c r="BT605" s="300" t="str">
        <f>_xlfn.IFNA(VLOOKUP($BD605,Programma!$F$3:$V$1107,17,0),"")</f>
        <v/>
      </c>
      <c r="BU605" s="300" t="str">
        <f>_xlfn.IFNA(VLOOKUP($BD605,Programma!$F$3:$W$1107,18,0),"")</f>
        <v/>
      </c>
      <c r="BV605" s="300" t="str">
        <f>_xlfn.IFNA(VLOOKUP($BD605,Programma!$F$3:$X$1107,19,0),"")</f>
        <v/>
      </c>
      <c r="BW605" s="300" t="str">
        <f>_xlfn.IFNA(VLOOKUP($BD605,Programma!$F$3:$Y$1107,20,0),"")</f>
        <v/>
      </c>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c r="GK605" s="4"/>
      <c r="GL605" s="4"/>
      <c r="GM605" s="4"/>
      <c r="GN605" s="4"/>
      <c r="GO605" s="4"/>
      <c r="GP605" s="4"/>
      <c r="GQ605" s="4"/>
      <c r="GR605" s="4"/>
      <c r="GS605" s="4"/>
      <c r="GT605" s="4"/>
      <c r="GU605" s="4"/>
      <c r="GV605" s="4"/>
      <c r="GW605" s="4"/>
      <c r="GX605" s="4"/>
      <c r="GY605" s="4"/>
      <c r="GZ605" s="4"/>
      <c r="HA605" s="4"/>
      <c r="HB605" s="4"/>
      <c r="HC605" s="4"/>
      <c r="HD605" s="4"/>
      <c r="HE605" s="4"/>
      <c r="HF605" s="4"/>
      <c r="HG605" s="4"/>
      <c r="HH605" s="4"/>
      <c r="HI605" s="4"/>
      <c r="HJ605" s="4"/>
      <c r="HK605" s="4"/>
      <c r="HL605" s="4"/>
    </row>
    <row r="606" spans="1:220" ht="15" customHeight="1">
      <c r="A606" s="21">
        <v>7</v>
      </c>
      <c r="B606" s="157" t="str">
        <f>VLOOKUP(Ruimtestaat[[#This Row],[Code]],Locaties[[Code]:[Locatie]],2,FALSE)</f>
        <v>Gymnasium Novum</v>
      </c>
      <c r="C606" s="157" t="str">
        <f>VLOOKUP(Ruimtestaat[[#This Row],[Code]],Locaties[[#All],[Code]:[Adres]],4,FALSE)</f>
        <v>Aart v.d. Leeuwkade 1</v>
      </c>
      <c r="D606" s="157" t="str">
        <f>VLOOKUP(Ruimtestaat[[#This Row],[Code]],Locaties[[#All],[Code]:[Postcode]],5,FALSE)</f>
        <v>2274 KX</v>
      </c>
      <c r="E606" s="157" t="str">
        <f>VLOOKUP(Ruimtestaat[[#This Row],[Code]],Locaties[#All],6,FALSE)</f>
        <v>Voorburg</v>
      </c>
      <c r="F606" s="62"/>
      <c r="G606" s="21" t="s">
        <v>1624</v>
      </c>
      <c r="H606" s="21" t="s">
        <v>1658</v>
      </c>
      <c r="I606" s="62" t="s">
        <v>1657</v>
      </c>
      <c r="J606" s="21">
        <v>10</v>
      </c>
      <c r="K606" s="62" t="str">
        <f>VLOOKUP(Ruimtestaat[[#This Row],[Ruimte code]],Ruimtegroepen[[#All],[Code]:[Ruimte omschrijving]],2,FALSE)</f>
        <v>Trappenhuizen/lift</v>
      </c>
      <c r="L606" s="33" t="s">
        <v>102</v>
      </c>
      <c r="M606" s="367" t="s">
        <v>2499</v>
      </c>
      <c r="N606" s="140">
        <v>12</v>
      </c>
      <c r="O606" s="140"/>
      <c r="P606" s="125" t="str">
        <f>VLOOKUP(Ruimtestaat[[#This Row],[Ruimte code]],Ruimtegroepen[],4,FALSE)</f>
        <v>Ve</v>
      </c>
      <c r="R606" s="33">
        <v>40</v>
      </c>
      <c r="S606" s="33" t="s">
        <v>2</v>
      </c>
      <c r="T606" s="33">
        <f>IF(R606&gt;0,IF(RIGHT(Ruimtestaat[[#This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06" s="33">
        <f>IF(T606&gt;0,VLOOKUP($J606,Ruimtegroepen[],3,FALSE)*VLOOKUP($L606,Vloersoorten[],3,FALSE)*VLOOKUP($S606,Frequenties[],3,FALSE)*VLOOKUP($A606,Locaties[],3,FALSE),0)</f>
        <v>0</v>
      </c>
      <c r="V606" s="33">
        <f>Ruimtestaat[[#This Row],[Uitvoeringen werkdagen]]*Ruimtestaat[[#This Row],[Oppervlak (netto)]]</f>
        <v>2400</v>
      </c>
      <c r="W606" s="154">
        <f>IF(U606&gt;0,Ruimtestaat[[#This Row],[Prest. (m2 /jaar) werkdagen]]/Ruimtestaat[[#This Row],[Norm (m2/uur) werkdagen]],0)</f>
        <v>0</v>
      </c>
      <c r="X606" s="155">
        <f>Ruimtestaat[[#This Row],[uren / jaar werkdagen]]*Tariefsopbouw!$E$35</f>
        <v>0</v>
      </c>
      <c r="Y606" s="33"/>
      <c r="Z606" s="33">
        <f>IF(Ruimtestaat[[#This Row],[Frequentie weekend]]&gt;0,VALUE(LEFT(Y606,1))*R606,0)</f>
        <v>0</v>
      </c>
      <c r="AA606" s="97">
        <f>IF($Z606&gt;0,VLOOKUP($J606,Ruimtegroepen[],3,FALSE)*VLOOKUP($L606,Vloersoorten[],3,FALSE)*VLOOKUP($Y606,Frequenties[],3,FALSE)*VLOOKUP(Ruimtestaat[[#This Row],[Code]],Locaties[],3,FALSE),0)</f>
        <v>0</v>
      </c>
      <c r="AB606" s="97">
        <f>Ruimtestaat[[#This Row],[Uitvoeringen weekend]]*Ruimtestaat[[#This Row],[Oppervlak (netto)]]</f>
        <v>0</v>
      </c>
      <c r="AC606" s="97">
        <f>IF(AA606&gt;0,Ruimtestaat[[#This Row],[Prest. (m2 /jaar) weekend]]/Ruimtestaat[[#This Row],[Norm (m2/uur) weekend]],0)</f>
        <v>0</v>
      </c>
      <c r="AD606" s="155">
        <f>Ruimtestaat[[#This Row],[uren / jaar weekend]]*Tariefsopbouw!$D$40</f>
        <v>0</v>
      </c>
      <c r="AE606" s="154">
        <f>Ruimtestaat[[#This Row],[Prest. (m2 /jaar) weekend]]+Ruimtestaat[[#This Row],[Prest. (m2 /jaar) werkdagen]]</f>
        <v>2400</v>
      </c>
      <c r="AF606" s="154">
        <f>Ruimtestaat[[#This Row],[uren / jaar weekend]]+Ruimtestaat[[#This Row],[uren / jaar werkdagen]]</f>
        <v>0</v>
      </c>
      <c r="AG606" s="69">
        <f>Ruimtestaat[[#This Row],[kosten / jaar weekend]]+Ruimtestaat[[#This Row],[kosten / jaar werkdagen]]</f>
        <v>0</v>
      </c>
      <c r="AH606" s="69"/>
      <c r="AI606" s="256" t="str">
        <f>IF(Ruimtestaat[[#This Row],[Frequentie werkdagen]]="","",_xlfn.CONCAT(Ruimtestaat[[#This Row],[Ruimte code]],"-",Ruimtestaat[[#This Row],[Frequentie werkdagen]]," ",Ruimtestaat[[#This Row],[Vloer code]]))</f>
        <v>10-5w S</v>
      </c>
      <c r="AJ606" s="300" t="str">
        <f>_xlfn.IFNA(VLOOKUP($AI606,Programma!$F$3:$G$1107,2,0),"")</f>
        <v>_</v>
      </c>
      <c r="AK606" s="300" t="str">
        <f>_xlfn.IFNA(VLOOKUP($AI606,Programma!$F$3:$H$1107,3,0),"")</f>
        <v>_</v>
      </c>
      <c r="AL606" s="300" t="str">
        <f>_xlfn.IFNA(VLOOKUP($AI606,Programma!$F$3:$I$1107,4,0),"")</f>
        <v>4w</v>
      </c>
      <c r="AM606" s="300" t="str">
        <f>_xlfn.IFNA(VLOOKUP($AI606,Programma!$F$3:$J$1107,5,0),"")</f>
        <v>1w</v>
      </c>
      <c r="AN606" s="300" t="str">
        <f>_xlfn.IFNA(VLOOKUP($AI606,Programma!$F$3:$K$1107,6,0),"")</f>
        <v>4j</v>
      </c>
      <c r="AO606" s="300" t="str">
        <f>_xlfn.IFNA(VLOOKUP($AI606,Programma!$F$3:$L$1107,7,0),"")</f>
        <v>_</v>
      </c>
      <c r="AP606" s="300" t="str">
        <f>_xlfn.IFNA(VLOOKUP($AI606,Programma!$F$3:$M$1107,8,0),"")</f>
        <v>_</v>
      </c>
      <c r="AQ606" s="300" t="str">
        <f>_xlfn.IFNA(VLOOKUP($AI606,Programma!$F$3:$N$1107,9,0),"")</f>
        <v>_</v>
      </c>
      <c r="AR606" s="300" t="str">
        <f>_xlfn.IFNA(VLOOKUP($AI606,Programma!$F$3:$O$1107,10,0),"")</f>
        <v>5w</v>
      </c>
      <c r="AS606" s="300" t="str">
        <f>_xlfn.IFNA(VLOOKUP($AI606,Programma!$F$3:$P$1107,11,0),"")</f>
        <v>5w</v>
      </c>
      <c r="AT606" s="300" t="str">
        <f>_xlfn.IFNA(VLOOKUP($AI606,Programma!$F$3:$Q$1107,12,0),"")</f>
        <v>1w</v>
      </c>
      <c r="AU606" s="300" t="str">
        <f>_xlfn.IFNA(VLOOKUP($AI606,Programma!$F$3:$R$1107,13,0),"")</f>
        <v>1w</v>
      </c>
      <c r="AV606" s="300" t="str">
        <f>_xlfn.IFNA(VLOOKUP($AI606,Programma!$F$3:$S$1107,14,0),"")</f>
        <v>1m</v>
      </c>
      <c r="AW606" s="300" t="str">
        <f>_xlfn.IFNA(VLOOKUP($AI606,Programma!$F$3:$T$1107,15,0),"")</f>
        <v>2j</v>
      </c>
      <c r="AX606" s="300" t="str">
        <f>_xlfn.IFNA(VLOOKUP($AI606,Programma!$F$3:$U$1107,16,0),"")</f>
        <v>1j</v>
      </c>
      <c r="AY606" s="300" t="str">
        <f>_xlfn.IFNA(VLOOKUP($AI606,Programma!$F$3:$V$1107,17,0),"")</f>
        <v>_</v>
      </c>
      <c r="AZ606" s="300" t="str">
        <f>_xlfn.IFNA(VLOOKUP($AI606,Programma!$F$3:$W$1107,18,0),"")</f>
        <v>_</v>
      </c>
      <c r="BA606" s="300" t="str">
        <f>_xlfn.IFNA(VLOOKUP($AI606,Programma!$F$3:$X$1107,19,0),"")</f>
        <v>_</v>
      </c>
      <c r="BB606" s="300" t="str">
        <f>_xlfn.IFNA(VLOOKUP($AI606,Programma!$F$3:$Y$1107,20,0),"")</f>
        <v>_</v>
      </c>
      <c r="BC606" s="257"/>
      <c r="BD606" s="256" t="str">
        <f>IF(Ruimtestaat[[#This Row],[Frequentie weekend]]="","",_xlfn.CONCAT(Ruimtestaat[[#This Row],[Ruimte code]],"-",Ruimtestaat[[#This Row],[Frequentie weekend]]," ",Ruimtestaat[[#This Row],[Vloer code]]))</f>
        <v/>
      </c>
      <c r="BE606" s="300" t="str">
        <f>_xlfn.IFNA(VLOOKUP($BD606,Programma!$F$3:$G$1107,2,0),"")</f>
        <v/>
      </c>
      <c r="BF606" s="300" t="str">
        <f>_xlfn.IFNA(VLOOKUP($BD606,Programma!$F$3:$H$1107,3,0),"")</f>
        <v/>
      </c>
      <c r="BG606" s="300" t="str">
        <f>_xlfn.IFNA(VLOOKUP($BD606,Programma!$F$3:$I$1107,4,0),"")</f>
        <v/>
      </c>
      <c r="BH606" s="300" t="str">
        <f>_xlfn.IFNA(VLOOKUP($BD606,Programma!$F$3:$J$1107,5,0),"")</f>
        <v/>
      </c>
      <c r="BI606" s="300" t="str">
        <f>_xlfn.IFNA(VLOOKUP($BD606,Programma!$F$3:$K$1107,6,0),"")</f>
        <v/>
      </c>
      <c r="BJ606" s="300" t="str">
        <f>_xlfn.IFNA(VLOOKUP($BD606,Programma!$F$3:$L$1107,7,0),"")</f>
        <v/>
      </c>
      <c r="BK606" s="300" t="str">
        <f>_xlfn.IFNA(VLOOKUP($BD606,Programma!$F$3:$M$1107,8,0),"")</f>
        <v/>
      </c>
      <c r="BL606" s="300" t="str">
        <f>_xlfn.IFNA(VLOOKUP($BD606,Programma!$F$3:$N$1107,9,0),"")</f>
        <v/>
      </c>
      <c r="BM606" s="300" t="str">
        <f>_xlfn.IFNA(VLOOKUP($BD606,Programma!$F$3:$O$1107,10,0),"")</f>
        <v/>
      </c>
      <c r="BN606" s="300" t="str">
        <f>_xlfn.IFNA(VLOOKUP($BD606,Programma!$F$3:$P$1107,11,0),"")</f>
        <v/>
      </c>
      <c r="BO606" s="300" t="str">
        <f>_xlfn.IFNA(VLOOKUP($BD606,Programma!$F$3:$Q$1107,12,0),"")</f>
        <v/>
      </c>
      <c r="BP606" s="300" t="str">
        <f>_xlfn.IFNA(VLOOKUP($BD606,Programma!$F$3:$R$1107,13,0),"")</f>
        <v/>
      </c>
      <c r="BQ606" s="300" t="str">
        <f>_xlfn.IFNA(VLOOKUP($BD606,Programma!$F$3:$S$1107,14,0),"")</f>
        <v/>
      </c>
      <c r="BR606" s="300" t="str">
        <f>_xlfn.IFNA(VLOOKUP($BD606,Programma!$F$3:$T$1107,15,0),"")</f>
        <v/>
      </c>
      <c r="BS606" s="300" t="str">
        <f>_xlfn.IFNA(VLOOKUP($BD606,Programma!$F$3:$U$1107,16,0),"")</f>
        <v/>
      </c>
      <c r="BT606" s="300" t="str">
        <f>_xlfn.IFNA(VLOOKUP($BD606,Programma!$F$3:$V$1107,17,0),"")</f>
        <v/>
      </c>
      <c r="BU606" s="300" t="str">
        <f>_xlfn.IFNA(VLOOKUP($BD606,Programma!$F$3:$W$1107,18,0),"")</f>
        <v/>
      </c>
      <c r="BV606" s="300" t="str">
        <f>_xlfn.IFNA(VLOOKUP($BD606,Programma!$F$3:$X$1107,19,0),"")</f>
        <v/>
      </c>
      <c r="BW606" s="300" t="str">
        <f>_xlfn.IFNA(VLOOKUP($BD606,Programma!$F$3:$Y$1107,20,0),"")</f>
        <v/>
      </c>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c r="GL606" s="4"/>
      <c r="GM606" s="4"/>
      <c r="GN606" s="4"/>
      <c r="GO606" s="4"/>
      <c r="GP606" s="4"/>
      <c r="GQ606" s="4"/>
      <c r="GR606" s="4"/>
      <c r="GS606" s="4"/>
      <c r="GT606" s="4"/>
      <c r="GU606" s="4"/>
      <c r="GV606" s="4"/>
      <c r="GW606" s="4"/>
      <c r="GX606" s="4"/>
      <c r="GY606" s="4"/>
      <c r="GZ606" s="4"/>
      <c r="HA606" s="4"/>
      <c r="HB606" s="4"/>
      <c r="HC606" s="4"/>
      <c r="HD606" s="4"/>
      <c r="HE606" s="4"/>
      <c r="HF606" s="4"/>
      <c r="HG606" s="4"/>
      <c r="HH606" s="4"/>
      <c r="HI606" s="4"/>
      <c r="HJ606" s="4"/>
      <c r="HK606" s="4"/>
      <c r="HL606" s="4"/>
    </row>
    <row r="607" spans="1:220" ht="15" customHeight="1">
      <c r="A607" s="21">
        <v>7</v>
      </c>
      <c r="B607" s="157" t="str">
        <f>VLOOKUP(Ruimtestaat[[#This Row],[Code]],Locaties[[Code]:[Locatie]],2,FALSE)</f>
        <v>Gymnasium Novum</v>
      </c>
      <c r="C607" s="157" t="str">
        <f>VLOOKUP(Ruimtestaat[[#This Row],[Code]],Locaties[[#All],[Code]:[Adres]],4,FALSE)</f>
        <v>Aart v.d. Leeuwkade 1</v>
      </c>
      <c r="D607" s="157" t="str">
        <f>VLOOKUP(Ruimtestaat[[#This Row],[Code]],Locaties[[#All],[Code]:[Postcode]],5,FALSE)</f>
        <v>2274 KX</v>
      </c>
      <c r="E607" s="157" t="str">
        <f>VLOOKUP(Ruimtestaat[[#This Row],[Code]],Locaties[#All],6,FALSE)</f>
        <v>Voorburg</v>
      </c>
      <c r="F607" s="62"/>
      <c r="G607" s="21" t="s">
        <v>1624</v>
      </c>
      <c r="H607" s="21" t="s">
        <v>1659</v>
      </c>
      <c r="I607" s="62" t="s">
        <v>1807</v>
      </c>
      <c r="J607" s="21">
        <v>6</v>
      </c>
      <c r="K607" s="62" t="str">
        <f>VLOOKUP(Ruimtestaat[[#This Row],[Ruimte code]],Ruimtegroepen[[#All],[Code]:[Ruimte omschrijving]],2,FALSE)</f>
        <v>Gangen/hallen</v>
      </c>
      <c r="L607" s="33" t="s">
        <v>101</v>
      </c>
      <c r="M607" s="367" t="s">
        <v>2495</v>
      </c>
      <c r="N607" s="140">
        <v>69</v>
      </c>
      <c r="O607" s="140"/>
      <c r="P607" s="125" t="str">
        <f>VLOOKUP(Ruimtestaat[[#This Row],[Ruimte code]],Ruimtegroepen[],4,FALSE)</f>
        <v>Ve</v>
      </c>
      <c r="R607" s="33">
        <v>40</v>
      </c>
      <c r="S607" s="33" t="s">
        <v>2</v>
      </c>
      <c r="T607" s="33">
        <f>IF(R607&gt;0,IF(RIGHT(Ruimtestaat[[#This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07" s="33">
        <f>IF(T607&gt;0,VLOOKUP($J607,Ruimtegroepen[],3,FALSE)*VLOOKUP($L607,Vloersoorten[],3,FALSE)*VLOOKUP($S607,Frequenties[],3,FALSE)*VLOOKUP($A607,Locaties[],3,FALSE),0)</f>
        <v>0</v>
      </c>
      <c r="V607" s="33">
        <f>Ruimtestaat[[#This Row],[Uitvoeringen werkdagen]]*Ruimtestaat[[#This Row],[Oppervlak (netto)]]</f>
        <v>13800</v>
      </c>
      <c r="W607" s="154">
        <f>IF(U607&gt;0,Ruimtestaat[[#This Row],[Prest. (m2 /jaar) werkdagen]]/Ruimtestaat[[#This Row],[Norm (m2/uur) werkdagen]],0)</f>
        <v>0</v>
      </c>
      <c r="X607" s="155">
        <f>Ruimtestaat[[#This Row],[uren / jaar werkdagen]]*Tariefsopbouw!$E$35</f>
        <v>0</v>
      </c>
      <c r="Y607" s="33"/>
      <c r="Z607" s="33">
        <f>IF(Ruimtestaat[[#This Row],[Frequentie weekend]]&gt;0,VALUE(LEFT(Y607,1))*R607,0)</f>
        <v>0</v>
      </c>
      <c r="AA607" s="97">
        <f>IF($Z607&gt;0,VLOOKUP($J607,Ruimtegroepen[],3,FALSE)*VLOOKUP($L607,Vloersoorten[],3,FALSE)*VLOOKUP($Y607,Frequenties[],3,FALSE)*VLOOKUP(Ruimtestaat[[#This Row],[Code]],Locaties[],3,FALSE),0)</f>
        <v>0</v>
      </c>
      <c r="AB607" s="97">
        <f>Ruimtestaat[[#This Row],[Uitvoeringen weekend]]*Ruimtestaat[[#This Row],[Oppervlak (netto)]]</f>
        <v>0</v>
      </c>
      <c r="AC607" s="97">
        <f>IF(AA607&gt;0,Ruimtestaat[[#This Row],[Prest. (m2 /jaar) weekend]]/Ruimtestaat[[#This Row],[Norm (m2/uur) weekend]],0)</f>
        <v>0</v>
      </c>
      <c r="AD607" s="155">
        <f>Ruimtestaat[[#This Row],[uren / jaar weekend]]*Tariefsopbouw!$D$40</f>
        <v>0</v>
      </c>
      <c r="AE607" s="154">
        <f>Ruimtestaat[[#This Row],[Prest. (m2 /jaar) weekend]]+Ruimtestaat[[#This Row],[Prest. (m2 /jaar) werkdagen]]</f>
        <v>13800</v>
      </c>
      <c r="AF607" s="154">
        <f>Ruimtestaat[[#This Row],[uren / jaar weekend]]+Ruimtestaat[[#This Row],[uren / jaar werkdagen]]</f>
        <v>0</v>
      </c>
      <c r="AG607" s="69">
        <f>Ruimtestaat[[#This Row],[kosten / jaar weekend]]+Ruimtestaat[[#This Row],[kosten / jaar werkdagen]]</f>
        <v>0</v>
      </c>
      <c r="AH607" s="69"/>
      <c r="AI607" s="256" t="str">
        <f>IF(Ruimtestaat[[#This Row],[Frequentie werkdagen]]="","",_xlfn.CONCAT(Ruimtestaat[[#This Row],[Ruimte code]],"-",Ruimtestaat[[#This Row],[Frequentie werkdagen]]," ",Ruimtestaat[[#This Row],[Vloer code]]))</f>
        <v>6-5w L</v>
      </c>
      <c r="AJ607" s="300" t="str">
        <f>_xlfn.IFNA(VLOOKUP($AI607,Programma!$F$3:$G$1107,2,0),"")</f>
        <v>_</v>
      </c>
      <c r="AK607" s="300" t="str">
        <f>_xlfn.IFNA(VLOOKUP($AI607,Programma!$F$3:$H$1107,3,0),"")</f>
        <v>_</v>
      </c>
      <c r="AL607" s="300" t="str">
        <f>_xlfn.IFNA(VLOOKUP($AI607,Programma!$F$3:$I$1107,4,0),"")</f>
        <v>_</v>
      </c>
      <c r="AM607" s="300" t="str">
        <f>_xlfn.IFNA(VLOOKUP($AI607,Programma!$F$3:$J$1107,5,0),"")</f>
        <v>5w</v>
      </c>
      <c r="AN607" s="300" t="str">
        <f>_xlfn.IFNA(VLOOKUP($AI607,Programma!$F$3:$K$1107,6,0),"")</f>
        <v>_</v>
      </c>
      <c r="AO607" s="300" t="str">
        <f>_xlfn.IFNA(VLOOKUP($AI607,Programma!$F$3:$L$1107,7,0),"")</f>
        <v>_</v>
      </c>
      <c r="AP607" s="300" t="str">
        <f>_xlfn.IFNA(VLOOKUP($AI607,Programma!$F$3:$M$1107,8,0),"")</f>
        <v>_</v>
      </c>
      <c r="AQ607" s="300" t="str">
        <f>_xlfn.IFNA(VLOOKUP($AI607,Programma!$F$3:$N$1107,9,0),"")</f>
        <v>_</v>
      </c>
      <c r="AR607" s="300" t="str">
        <f>_xlfn.IFNA(VLOOKUP($AI607,Programma!$F$3:$O$1107,10,0),"")</f>
        <v>5w</v>
      </c>
      <c r="AS607" s="300" t="str">
        <f>_xlfn.IFNA(VLOOKUP($AI607,Programma!$F$3:$P$1107,11,0),"")</f>
        <v>5w</v>
      </c>
      <c r="AT607" s="300" t="str">
        <f>_xlfn.IFNA(VLOOKUP($AI607,Programma!$F$3:$Q$1107,12,0),"")</f>
        <v>1w</v>
      </c>
      <c r="AU607" s="300" t="str">
        <f>_xlfn.IFNA(VLOOKUP($AI607,Programma!$F$3:$R$1107,13,0),"")</f>
        <v>1w</v>
      </c>
      <c r="AV607" s="300" t="str">
        <f>_xlfn.IFNA(VLOOKUP($AI607,Programma!$F$3:$S$1107,14,0),"")</f>
        <v>1m</v>
      </c>
      <c r="AW607" s="300" t="str">
        <f>_xlfn.IFNA(VLOOKUP($AI607,Programma!$F$3:$T$1107,15,0),"")</f>
        <v>2j</v>
      </c>
      <c r="AX607" s="300" t="str">
        <f>_xlfn.IFNA(VLOOKUP($AI607,Programma!$F$3:$U$1107,16,0),"")</f>
        <v>1j</v>
      </c>
      <c r="AY607" s="300" t="str">
        <f>_xlfn.IFNA(VLOOKUP($AI607,Programma!$F$3:$V$1107,17,0),"")</f>
        <v>_</v>
      </c>
      <c r="AZ607" s="300" t="str">
        <f>_xlfn.IFNA(VLOOKUP($AI607,Programma!$F$3:$W$1107,18,0),"")</f>
        <v>_</v>
      </c>
      <c r="BA607" s="300" t="str">
        <f>_xlfn.IFNA(VLOOKUP($AI607,Programma!$F$3:$X$1107,19,0),"")</f>
        <v>_</v>
      </c>
      <c r="BB607" s="300" t="str">
        <f>_xlfn.IFNA(VLOOKUP($AI607,Programma!$F$3:$Y$1107,20,0),"")</f>
        <v>_</v>
      </c>
      <c r="BC607" s="257"/>
      <c r="BD607" s="256" t="str">
        <f>IF(Ruimtestaat[[#This Row],[Frequentie weekend]]="","",_xlfn.CONCAT(Ruimtestaat[[#This Row],[Ruimte code]],"-",Ruimtestaat[[#This Row],[Frequentie weekend]]," ",Ruimtestaat[[#This Row],[Vloer code]]))</f>
        <v/>
      </c>
      <c r="BE607" s="300" t="str">
        <f>_xlfn.IFNA(VLOOKUP($BD607,Programma!$F$3:$G$1107,2,0),"")</f>
        <v/>
      </c>
      <c r="BF607" s="300" t="str">
        <f>_xlfn.IFNA(VLOOKUP($BD607,Programma!$F$3:$H$1107,3,0),"")</f>
        <v/>
      </c>
      <c r="BG607" s="300" t="str">
        <f>_xlfn.IFNA(VLOOKUP($BD607,Programma!$F$3:$I$1107,4,0),"")</f>
        <v/>
      </c>
      <c r="BH607" s="300" t="str">
        <f>_xlfn.IFNA(VLOOKUP($BD607,Programma!$F$3:$J$1107,5,0),"")</f>
        <v/>
      </c>
      <c r="BI607" s="300" t="str">
        <f>_xlfn.IFNA(VLOOKUP($BD607,Programma!$F$3:$K$1107,6,0),"")</f>
        <v/>
      </c>
      <c r="BJ607" s="300" t="str">
        <f>_xlfn.IFNA(VLOOKUP($BD607,Programma!$F$3:$L$1107,7,0),"")</f>
        <v/>
      </c>
      <c r="BK607" s="300" t="str">
        <f>_xlfn.IFNA(VLOOKUP($BD607,Programma!$F$3:$M$1107,8,0),"")</f>
        <v/>
      </c>
      <c r="BL607" s="300" t="str">
        <f>_xlfn.IFNA(VLOOKUP($BD607,Programma!$F$3:$N$1107,9,0),"")</f>
        <v/>
      </c>
      <c r="BM607" s="300" t="str">
        <f>_xlfn.IFNA(VLOOKUP($BD607,Programma!$F$3:$O$1107,10,0),"")</f>
        <v/>
      </c>
      <c r="BN607" s="300" t="str">
        <f>_xlfn.IFNA(VLOOKUP($BD607,Programma!$F$3:$P$1107,11,0),"")</f>
        <v/>
      </c>
      <c r="BO607" s="300" t="str">
        <f>_xlfn.IFNA(VLOOKUP($BD607,Programma!$F$3:$Q$1107,12,0),"")</f>
        <v/>
      </c>
      <c r="BP607" s="300" t="str">
        <f>_xlfn.IFNA(VLOOKUP($BD607,Programma!$F$3:$R$1107,13,0),"")</f>
        <v/>
      </c>
      <c r="BQ607" s="300" t="str">
        <f>_xlfn.IFNA(VLOOKUP($BD607,Programma!$F$3:$S$1107,14,0),"")</f>
        <v/>
      </c>
      <c r="BR607" s="300" t="str">
        <f>_xlfn.IFNA(VLOOKUP($BD607,Programma!$F$3:$T$1107,15,0),"")</f>
        <v/>
      </c>
      <c r="BS607" s="300" t="str">
        <f>_xlfn.IFNA(VLOOKUP($BD607,Programma!$F$3:$U$1107,16,0),"")</f>
        <v/>
      </c>
      <c r="BT607" s="300" t="str">
        <f>_xlfn.IFNA(VLOOKUP($BD607,Programma!$F$3:$V$1107,17,0),"")</f>
        <v/>
      </c>
      <c r="BU607" s="300" t="str">
        <f>_xlfn.IFNA(VLOOKUP($BD607,Programma!$F$3:$W$1107,18,0),"")</f>
        <v/>
      </c>
      <c r="BV607" s="300" t="str">
        <f>_xlfn.IFNA(VLOOKUP($BD607,Programma!$F$3:$X$1107,19,0),"")</f>
        <v/>
      </c>
      <c r="BW607" s="300" t="str">
        <f>_xlfn.IFNA(VLOOKUP($BD607,Programma!$F$3:$Y$1107,20,0),"")</f>
        <v/>
      </c>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c r="GL607" s="4"/>
      <c r="GM607" s="4"/>
      <c r="GN607" s="4"/>
      <c r="GO607" s="4"/>
      <c r="GP607" s="4"/>
      <c r="GQ607" s="4"/>
      <c r="GR607" s="4"/>
      <c r="GS607" s="4"/>
      <c r="GT607" s="4"/>
      <c r="GU607" s="4"/>
      <c r="GV607" s="4"/>
      <c r="GW607" s="4"/>
      <c r="GX607" s="4"/>
      <c r="GY607" s="4"/>
      <c r="GZ607" s="4"/>
      <c r="HA607" s="4"/>
      <c r="HB607" s="4"/>
      <c r="HC607" s="4"/>
      <c r="HD607" s="4"/>
      <c r="HE607" s="4"/>
      <c r="HF607" s="4"/>
      <c r="HG607" s="4"/>
      <c r="HH607" s="4"/>
      <c r="HI607" s="4"/>
      <c r="HJ607" s="4"/>
      <c r="HK607" s="4"/>
      <c r="HL607" s="4"/>
    </row>
    <row r="608" spans="1:220" ht="15" customHeight="1">
      <c r="A608" s="21">
        <v>7</v>
      </c>
      <c r="B608" s="157" t="str">
        <f>VLOOKUP(Ruimtestaat[[#This Row],[Code]],Locaties[[Code]:[Locatie]],2,FALSE)</f>
        <v>Gymnasium Novum</v>
      </c>
      <c r="C608" s="157" t="str">
        <f>VLOOKUP(Ruimtestaat[[#This Row],[Code]],Locaties[[#All],[Code]:[Adres]],4,FALSE)</f>
        <v>Aart v.d. Leeuwkade 1</v>
      </c>
      <c r="D608" s="157" t="str">
        <f>VLOOKUP(Ruimtestaat[[#This Row],[Code]],Locaties[[#All],[Code]:[Postcode]],5,FALSE)</f>
        <v>2274 KX</v>
      </c>
      <c r="E608" s="157" t="str">
        <f>VLOOKUP(Ruimtestaat[[#This Row],[Code]],Locaties[#All],6,FALSE)</f>
        <v>Voorburg</v>
      </c>
      <c r="F608" s="62"/>
      <c r="G608" s="21" t="s">
        <v>1624</v>
      </c>
      <c r="H608" s="21" t="s">
        <v>1661</v>
      </c>
      <c r="I608" s="62" t="s">
        <v>2158</v>
      </c>
      <c r="J608" s="21">
        <v>2</v>
      </c>
      <c r="K608" s="62" t="str">
        <f>VLOOKUP(Ruimtestaat[[#This Row],[Ruimte code]],Ruimtegroepen[[#All],[Code]:[Ruimte omschrijving]],2,FALSE)</f>
        <v>Kantoren</v>
      </c>
      <c r="L608" s="33" t="s">
        <v>101</v>
      </c>
      <c r="M608" s="367" t="s">
        <v>2495</v>
      </c>
      <c r="N608" s="140">
        <v>13</v>
      </c>
      <c r="O608" s="140"/>
      <c r="P608" s="125" t="str">
        <f>VLOOKUP(Ruimtestaat[[#This Row],[Ruimte code]],Ruimtegroepen[],4,FALSE)</f>
        <v>Bu</v>
      </c>
      <c r="R608" s="33">
        <v>42</v>
      </c>
      <c r="S608" s="33" t="s">
        <v>18</v>
      </c>
      <c r="T608" s="33">
        <f>IF(R608&gt;0,IF(RIGHT(Ruimtestaat[[#This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08" s="33">
        <f>IF(T608&gt;0,VLOOKUP($J608,Ruimtegroepen[],3,FALSE)*VLOOKUP($L608,Vloersoorten[],3,FALSE)*VLOOKUP($S608,Frequenties[],3,FALSE)*VLOOKUP($A608,Locaties[],3,FALSE),0)</f>
        <v>0</v>
      </c>
      <c r="V608" s="33">
        <f>Ruimtestaat[[#This Row],[Uitvoeringen werkdagen]]*Ruimtestaat[[#This Row],[Oppervlak (netto)]]</f>
        <v>1638</v>
      </c>
      <c r="W608" s="154">
        <f>IF(U608&gt;0,Ruimtestaat[[#This Row],[Prest. (m2 /jaar) werkdagen]]/Ruimtestaat[[#This Row],[Norm (m2/uur) werkdagen]],0)</f>
        <v>0</v>
      </c>
      <c r="X608" s="155">
        <f>Ruimtestaat[[#This Row],[uren / jaar werkdagen]]*Tariefsopbouw!$E$35</f>
        <v>0</v>
      </c>
      <c r="Y608" s="33"/>
      <c r="Z608" s="33">
        <f>IF(Ruimtestaat[[#This Row],[Frequentie weekend]]&gt;0,VALUE(LEFT(Y608,1))*R608,0)</f>
        <v>0</v>
      </c>
      <c r="AA608" s="97">
        <f>IF($Z608&gt;0,VLOOKUP($J608,Ruimtegroepen[],3,FALSE)*VLOOKUP($L608,Vloersoorten[],3,FALSE)*VLOOKUP($Y608,Frequenties[],3,FALSE)*VLOOKUP(Ruimtestaat[[#This Row],[Code]],Locaties[],3,FALSE),0)</f>
        <v>0</v>
      </c>
      <c r="AB608" s="97">
        <f>Ruimtestaat[[#This Row],[Uitvoeringen weekend]]*Ruimtestaat[[#This Row],[Oppervlak (netto)]]</f>
        <v>0</v>
      </c>
      <c r="AC608" s="97">
        <f>IF(AA608&gt;0,Ruimtestaat[[#This Row],[Prest. (m2 /jaar) weekend]]/Ruimtestaat[[#This Row],[Norm (m2/uur) weekend]],0)</f>
        <v>0</v>
      </c>
      <c r="AD608" s="155">
        <f>Ruimtestaat[[#This Row],[uren / jaar weekend]]*Tariefsopbouw!$D$40</f>
        <v>0</v>
      </c>
      <c r="AE608" s="154">
        <f>Ruimtestaat[[#This Row],[Prest. (m2 /jaar) weekend]]+Ruimtestaat[[#This Row],[Prest. (m2 /jaar) werkdagen]]</f>
        <v>1638</v>
      </c>
      <c r="AF608" s="154">
        <f>Ruimtestaat[[#This Row],[uren / jaar weekend]]+Ruimtestaat[[#This Row],[uren / jaar werkdagen]]</f>
        <v>0</v>
      </c>
      <c r="AG608" s="69">
        <f>Ruimtestaat[[#This Row],[kosten / jaar weekend]]+Ruimtestaat[[#This Row],[kosten / jaar werkdagen]]</f>
        <v>0</v>
      </c>
      <c r="AH608" s="69"/>
      <c r="AI608" s="256" t="str">
        <f>IF(Ruimtestaat[[#This Row],[Frequentie werkdagen]]="","",_xlfn.CONCAT(Ruimtestaat[[#This Row],[Ruimte code]],"-",Ruimtestaat[[#This Row],[Frequentie werkdagen]]," ",Ruimtestaat[[#This Row],[Vloer code]]))</f>
        <v>2-3w L</v>
      </c>
      <c r="AJ608" s="300" t="str">
        <f>_xlfn.IFNA(VLOOKUP($AI608,Programma!$F$3:$G$1107,2,0),"")</f>
        <v>_</v>
      </c>
      <c r="AK608" s="300" t="str">
        <f>_xlfn.IFNA(VLOOKUP($AI608,Programma!$F$3:$H$1107,3,0),"")</f>
        <v>_</v>
      </c>
      <c r="AL608" s="300" t="str">
        <f>_xlfn.IFNA(VLOOKUP($AI608,Programma!$F$3:$I$1107,4,0),"")</f>
        <v>2w</v>
      </c>
      <c r="AM608" s="300" t="str">
        <f>_xlfn.IFNA(VLOOKUP($AI608,Programma!$F$3:$J$1107,5,0),"")</f>
        <v>1w</v>
      </c>
      <c r="AN608" s="300" t="str">
        <f>_xlfn.IFNA(VLOOKUP($AI608,Programma!$F$3:$K$1107,6,0),"")</f>
        <v>_</v>
      </c>
      <c r="AO608" s="300" t="str">
        <f>_xlfn.IFNA(VLOOKUP($AI608,Programma!$F$3:$L$1107,7,0),"")</f>
        <v>_</v>
      </c>
      <c r="AP608" s="300" t="str">
        <f>_xlfn.IFNA(VLOOKUP($AI608,Programma!$F$3:$M$1107,8,0),"")</f>
        <v>_</v>
      </c>
      <c r="AQ608" s="300" t="str">
        <f>_xlfn.IFNA(VLOOKUP($AI608,Programma!$F$3:$N$1107,9,0),"")</f>
        <v>_</v>
      </c>
      <c r="AR608" s="300" t="str">
        <f>_xlfn.IFNA(VLOOKUP($AI608,Programma!$F$3:$O$1107,10,0),"")</f>
        <v>3w</v>
      </c>
      <c r="AS608" s="300" t="str">
        <f>_xlfn.IFNA(VLOOKUP($AI608,Programma!$F$3:$P$1107,11,0),"")</f>
        <v>3w</v>
      </c>
      <c r="AT608" s="300" t="str">
        <f>_xlfn.IFNA(VLOOKUP($AI608,Programma!$F$3:$Q$1107,12,0),"")</f>
        <v>1w</v>
      </c>
      <c r="AU608" s="300" t="str">
        <f>_xlfn.IFNA(VLOOKUP($AI608,Programma!$F$3:$R$1107,13,0),"")</f>
        <v>1w</v>
      </c>
      <c r="AV608" s="300" t="str">
        <f>_xlfn.IFNA(VLOOKUP($AI608,Programma!$F$3:$S$1107,14,0),"")</f>
        <v>1m</v>
      </c>
      <c r="AW608" s="300" t="str">
        <f>_xlfn.IFNA(VLOOKUP($AI608,Programma!$F$3:$T$1107,15,0),"")</f>
        <v>2j</v>
      </c>
      <c r="AX608" s="300" t="str">
        <f>_xlfn.IFNA(VLOOKUP($AI608,Programma!$F$3:$U$1107,16,0),"")</f>
        <v>1j</v>
      </c>
      <c r="AY608" s="300" t="str">
        <f>_xlfn.IFNA(VLOOKUP($AI608,Programma!$F$3:$V$1107,17,0),"")</f>
        <v>_</v>
      </c>
      <c r="AZ608" s="300" t="str">
        <f>_xlfn.IFNA(VLOOKUP($AI608,Programma!$F$3:$W$1107,18,0),"")</f>
        <v>_</v>
      </c>
      <c r="BA608" s="300" t="str">
        <f>_xlfn.IFNA(VLOOKUP($AI608,Programma!$F$3:$X$1107,19,0),"")</f>
        <v>_</v>
      </c>
      <c r="BB608" s="300" t="str">
        <f>_xlfn.IFNA(VLOOKUP($AI608,Programma!$F$3:$Y$1107,20,0),"")</f>
        <v>_</v>
      </c>
      <c r="BC608" s="257"/>
      <c r="BD608" s="256" t="str">
        <f>IF(Ruimtestaat[[#This Row],[Frequentie weekend]]="","",_xlfn.CONCAT(Ruimtestaat[[#This Row],[Ruimte code]],"-",Ruimtestaat[[#This Row],[Frequentie weekend]]," ",Ruimtestaat[[#This Row],[Vloer code]]))</f>
        <v/>
      </c>
      <c r="BE608" s="300" t="str">
        <f>_xlfn.IFNA(VLOOKUP($BD608,Programma!$F$3:$G$1107,2,0),"")</f>
        <v/>
      </c>
      <c r="BF608" s="300" t="str">
        <f>_xlfn.IFNA(VLOOKUP($BD608,Programma!$F$3:$H$1107,3,0),"")</f>
        <v/>
      </c>
      <c r="BG608" s="300" t="str">
        <f>_xlfn.IFNA(VLOOKUP($BD608,Programma!$F$3:$I$1107,4,0),"")</f>
        <v/>
      </c>
      <c r="BH608" s="300" t="str">
        <f>_xlfn.IFNA(VLOOKUP($BD608,Programma!$F$3:$J$1107,5,0),"")</f>
        <v/>
      </c>
      <c r="BI608" s="300" t="str">
        <f>_xlfn.IFNA(VLOOKUP($BD608,Programma!$F$3:$K$1107,6,0),"")</f>
        <v/>
      </c>
      <c r="BJ608" s="300" t="str">
        <f>_xlfn.IFNA(VLOOKUP($BD608,Programma!$F$3:$L$1107,7,0),"")</f>
        <v/>
      </c>
      <c r="BK608" s="300" t="str">
        <f>_xlfn.IFNA(VLOOKUP($BD608,Programma!$F$3:$M$1107,8,0),"")</f>
        <v/>
      </c>
      <c r="BL608" s="300" t="str">
        <f>_xlfn.IFNA(VLOOKUP($BD608,Programma!$F$3:$N$1107,9,0),"")</f>
        <v/>
      </c>
      <c r="BM608" s="300" t="str">
        <f>_xlfn.IFNA(VLOOKUP($BD608,Programma!$F$3:$O$1107,10,0),"")</f>
        <v/>
      </c>
      <c r="BN608" s="300" t="str">
        <f>_xlfn.IFNA(VLOOKUP($BD608,Programma!$F$3:$P$1107,11,0),"")</f>
        <v/>
      </c>
      <c r="BO608" s="300" t="str">
        <f>_xlfn.IFNA(VLOOKUP($BD608,Programma!$F$3:$Q$1107,12,0),"")</f>
        <v/>
      </c>
      <c r="BP608" s="300" t="str">
        <f>_xlfn.IFNA(VLOOKUP($BD608,Programma!$F$3:$R$1107,13,0),"")</f>
        <v/>
      </c>
      <c r="BQ608" s="300" t="str">
        <f>_xlfn.IFNA(VLOOKUP($BD608,Programma!$F$3:$S$1107,14,0),"")</f>
        <v/>
      </c>
      <c r="BR608" s="300" t="str">
        <f>_xlfn.IFNA(VLOOKUP($BD608,Programma!$F$3:$T$1107,15,0),"")</f>
        <v/>
      </c>
      <c r="BS608" s="300" t="str">
        <f>_xlfn.IFNA(VLOOKUP($BD608,Programma!$F$3:$U$1107,16,0),"")</f>
        <v/>
      </c>
      <c r="BT608" s="300" t="str">
        <f>_xlfn.IFNA(VLOOKUP($BD608,Programma!$F$3:$V$1107,17,0),"")</f>
        <v/>
      </c>
      <c r="BU608" s="300" t="str">
        <f>_xlfn.IFNA(VLOOKUP($BD608,Programma!$F$3:$W$1107,18,0),"")</f>
        <v/>
      </c>
      <c r="BV608" s="300" t="str">
        <f>_xlfn.IFNA(VLOOKUP($BD608,Programma!$F$3:$X$1107,19,0),"")</f>
        <v/>
      </c>
      <c r="BW608" s="300" t="str">
        <f>_xlfn.IFNA(VLOOKUP($BD608,Programma!$F$3:$Y$1107,20,0),"")</f>
        <v/>
      </c>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c r="GL608" s="4"/>
      <c r="GM608" s="4"/>
      <c r="GN608" s="4"/>
      <c r="GO608" s="4"/>
      <c r="GP608" s="4"/>
      <c r="GQ608" s="4"/>
      <c r="GR608" s="4"/>
      <c r="GS608" s="4"/>
      <c r="GT608" s="4"/>
      <c r="GU608" s="4"/>
      <c r="GV608" s="4"/>
      <c r="GW608" s="4"/>
      <c r="GX608" s="4"/>
      <c r="GY608" s="4"/>
      <c r="GZ608" s="4"/>
      <c r="HA608" s="4"/>
      <c r="HB608" s="4"/>
      <c r="HC608" s="4"/>
      <c r="HD608" s="4"/>
      <c r="HE608" s="4"/>
      <c r="HF608" s="4"/>
      <c r="HG608" s="4"/>
      <c r="HH608" s="4"/>
      <c r="HI608" s="4"/>
      <c r="HJ608" s="4"/>
      <c r="HK608" s="4"/>
      <c r="HL608" s="4"/>
    </row>
    <row r="609" spans="1:220" ht="15" customHeight="1">
      <c r="A609" s="21">
        <v>7</v>
      </c>
      <c r="B609" s="157" t="str">
        <f>VLOOKUP(Ruimtestaat[[#This Row],[Code]],Locaties[[Code]:[Locatie]],2,FALSE)</f>
        <v>Gymnasium Novum</v>
      </c>
      <c r="C609" s="157" t="str">
        <f>VLOOKUP(Ruimtestaat[[#This Row],[Code]],Locaties[[#All],[Code]:[Adres]],4,FALSE)</f>
        <v>Aart v.d. Leeuwkade 1</v>
      </c>
      <c r="D609" s="157" t="str">
        <f>VLOOKUP(Ruimtestaat[[#This Row],[Code]],Locaties[[#All],[Code]:[Postcode]],5,FALSE)</f>
        <v>2274 KX</v>
      </c>
      <c r="E609" s="157" t="str">
        <f>VLOOKUP(Ruimtestaat[[#This Row],[Code]],Locaties[#All],6,FALSE)</f>
        <v>Voorburg</v>
      </c>
      <c r="F609" s="62"/>
      <c r="G609" s="21" t="s">
        <v>1624</v>
      </c>
      <c r="H609" s="21" t="s">
        <v>1663</v>
      </c>
      <c r="I609" s="62" t="s">
        <v>2159</v>
      </c>
      <c r="J609" s="21">
        <v>2</v>
      </c>
      <c r="K609" s="62" t="str">
        <f>VLOOKUP(Ruimtestaat[[#This Row],[Ruimte code]],Ruimtegroepen[[#All],[Code]:[Ruimte omschrijving]],2,FALSE)</f>
        <v>Kantoren</v>
      </c>
      <c r="L609" s="33" t="s">
        <v>101</v>
      </c>
      <c r="M609" s="367" t="s">
        <v>2495</v>
      </c>
      <c r="N609" s="140">
        <v>20</v>
      </c>
      <c r="O609" s="140"/>
      <c r="P609" s="125" t="str">
        <f>VLOOKUP(Ruimtestaat[[#This Row],[Ruimte code]],Ruimtegroepen[],4,FALSE)</f>
        <v>Bu</v>
      </c>
      <c r="R609" s="33">
        <v>42</v>
      </c>
      <c r="S609" s="33" t="s">
        <v>18</v>
      </c>
      <c r="T609" s="33">
        <f>IF(R609&gt;0,IF(RIGHT(Ruimtestaat[[#This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09" s="33">
        <f>IF(T609&gt;0,VLOOKUP($J609,Ruimtegroepen[],3,FALSE)*VLOOKUP($L609,Vloersoorten[],3,FALSE)*VLOOKUP($S609,Frequenties[],3,FALSE)*VLOOKUP($A609,Locaties[],3,FALSE),0)</f>
        <v>0</v>
      </c>
      <c r="V609" s="33">
        <f>Ruimtestaat[[#This Row],[Uitvoeringen werkdagen]]*Ruimtestaat[[#This Row],[Oppervlak (netto)]]</f>
        <v>2520</v>
      </c>
      <c r="W609" s="154">
        <f>IF(U609&gt;0,Ruimtestaat[[#This Row],[Prest. (m2 /jaar) werkdagen]]/Ruimtestaat[[#This Row],[Norm (m2/uur) werkdagen]],0)</f>
        <v>0</v>
      </c>
      <c r="X609" s="155">
        <f>Ruimtestaat[[#This Row],[uren / jaar werkdagen]]*Tariefsopbouw!$E$35</f>
        <v>0</v>
      </c>
      <c r="Y609" s="33"/>
      <c r="Z609" s="33">
        <f>IF(Ruimtestaat[[#This Row],[Frequentie weekend]]&gt;0,VALUE(LEFT(Y609,1))*R609,0)</f>
        <v>0</v>
      </c>
      <c r="AA609" s="97">
        <f>IF($Z609&gt;0,VLOOKUP($J609,Ruimtegroepen[],3,FALSE)*VLOOKUP($L609,Vloersoorten[],3,FALSE)*VLOOKUP($Y609,Frequenties[],3,FALSE)*VLOOKUP(Ruimtestaat[[#This Row],[Code]],Locaties[],3,FALSE),0)</f>
        <v>0</v>
      </c>
      <c r="AB609" s="97">
        <f>Ruimtestaat[[#This Row],[Uitvoeringen weekend]]*Ruimtestaat[[#This Row],[Oppervlak (netto)]]</f>
        <v>0</v>
      </c>
      <c r="AC609" s="97">
        <f>IF(AA609&gt;0,Ruimtestaat[[#This Row],[Prest. (m2 /jaar) weekend]]/Ruimtestaat[[#This Row],[Norm (m2/uur) weekend]],0)</f>
        <v>0</v>
      </c>
      <c r="AD609" s="155">
        <f>Ruimtestaat[[#This Row],[uren / jaar weekend]]*Tariefsopbouw!$D$40</f>
        <v>0</v>
      </c>
      <c r="AE609" s="154">
        <f>Ruimtestaat[[#This Row],[Prest. (m2 /jaar) weekend]]+Ruimtestaat[[#This Row],[Prest. (m2 /jaar) werkdagen]]</f>
        <v>2520</v>
      </c>
      <c r="AF609" s="154">
        <f>Ruimtestaat[[#This Row],[uren / jaar weekend]]+Ruimtestaat[[#This Row],[uren / jaar werkdagen]]</f>
        <v>0</v>
      </c>
      <c r="AG609" s="69">
        <f>Ruimtestaat[[#This Row],[kosten / jaar weekend]]+Ruimtestaat[[#This Row],[kosten / jaar werkdagen]]</f>
        <v>0</v>
      </c>
      <c r="AH609" s="69"/>
      <c r="AI609" s="256" t="str">
        <f>IF(Ruimtestaat[[#This Row],[Frequentie werkdagen]]="","",_xlfn.CONCAT(Ruimtestaat[[#This Row],[Ruimte code]],"-",Ruimtestaat[[#This Row],[Frequentie werkdagen]]," ",Ruimtestaat[[#This Row],[Vloer code]]))</f>
        <v>2-3w L</v>
      </c>
      <c r="AJ609" s="300" t="str">
        <f>_xlfn.IFNA(VLOOKUP($AI609,Programma!$F$3:$G$1107,2,0),"")</f>
        <v>_</v>
      </c>
      <c r="AK609" s="300" t="str">
        <f>_xlfn.IFNA(VLOOKUP($AI609,Programma!$F$3:$H$1107,3,0),"")</f>
        <v>_</v>
      </c>
      <c r="AL609" s="300" t="str">
        <f>_xlfn.IFNA(VLOOKUP($AI609,Programma!$F$3:$I$1107,4,0),"")</f>
        <v>2w</v>
      </c>
      <c r="AM609" s="300" t="str">
        <f>_xlfn.IFNA(VLOOKUP($AI609,Programma!$F$3:$J$1107,5,0),"")</f>
        <v>1w</v>
      </c>
      <c r="AN609" s="300" t="str">
        <f>_xlfn.IFNA(VLOOKUP($AI609,Programma!$F$3:$K$1107,6,0),"")</f>
        <v>_</v>
      </c>
      <c r="AO609" s="300" t="str">
        <f>_xlfn.IFNA(VLOOKUP($AI609,Programma!$F$3:$L$1107,7,0),"")</f>
        <v>_</v>
      </c>
      <c r="AP609" s="300" t="str">
        <f>_xlfn.IFNA(VLOOKUP($AI609,Programma!$F$3:$M$1107,8,0),"")</f>
        <v>_</v>
      </c>
      <c r="AQ609" s="300" t="str">
        <f>_xlfn.IFNA(VLOOKUP($AI609,Programma!$F$3:$N$1107,9,0),"")</f>
        <v>_</v>
      </c>
      <c r="AR609" s="300" t="str">
        <f>_xlfn.IFNA(VLOOKUP($AI609,Programma!$F$3:$O$1107,10,0),"")</f>
        <v>3w</v>
      </c>
      <c r="AS609" s="300" t="str">
        <f>_xlfn.IFNA(VLOOKUP($AI609,Programma!$F$3:$P$1107,11,0),"")</f>
        <v>3w</v>
      </c>
      <c r="AT609" s="300" t="str">
        <f>_xlfn.IFNA(VLOOKUP($AI609,Programma!$F$3:$Q$1107,12,0),"")</f>
        <v>1w</v>
      </c>
      <c r="AU609" s="300" t="str">
        <f>_xlfn.IFNA(VLOOKUP($AI609,Programma!$F$3:$R$1107,13,0),"")</f>
        <v>1w</v>
      </c>
      <c r="AV609" s="300" t="str">
        <f>_xlfn.IFNA(VLOOKUP($AI609,Programma!$F$3:$S$1107,14,0),"")</f>
        <v>1m</v>
      </c>
      <c r="AW609" s="300" t="str">
        <f>_xlfn.IFNA(VLOOKUP($AI609,Programma!$F$3:$T$1107,15,0),"")</f>
        <v>2j</v>
      </c>
      <c r="AX609" s="300" t="str">
        <f>_xlfn.IFNA(VLOOKUP($AI609,Programma!$F$3:$U$1107,16,0),"")</f>
        <v>1j</v>
      </c>
      <c r="AY609" s="300" t="str">
        <f>_xlfn.IFNA(VLOOKUP($AI609,Programma!$F$3:$V$1107,17,0),"")</f>
        <v>_</v>
      </c>
      <c r="AZ609" s="300" t="str">
        <f>_xlfn.IFNA(VLOOKUP($AI609,Programma!$F$3:$W$1107,18,0),"")</f>
        <v>_</v>
      </c>
      <c r="BA609" s="300" t="str">
        <f>_xlfn.IFNA(VLOOKUP($AI609,Programma!$F$3:$X$1107,19,0),"")</f>
        <v>_</v>
      </c>
      <c r="BB609" s="300" t="str">
        <f>_xlfn.IFNA(VLOOKUP($AI609,Programma!$F$3:$Y$1107,20,0),"")</f>
        <v>_</v>
      </c>
      <c r="BC609" s="257"/>
      <c r="BD609" s="256" t="str">
        <f>IF(Ruimtestaat[[#This Row],[Frequentie weekend]]="","",_xlfn.CONCAT(Ruimtestaat[[#This Row],[Ruimte code]],"-",Ruimtestaat[[#This Row],[Frequentie weekend]]," ",Ruimtestaat[[#This Row],[Vloer code]]))</f>
        <v/>
      </c>
      <c r="BE609" s="300" t="str">
        <f>_xlfn.IFNA(VLOOKUP($BD609,Programma!$F$3:$G$1107,2,0),"")</f>
        <v/>
      </c>
      <c r="BF609" s="300" t="str">
        <f>_xlfn.IFNA(VLOOKUP($BD609,Programma!$F$3:$H$1107,3,0),"")</f>
        <v/>
      </c>
      <c r="BG609" s="300" t="str">
        <f>_xlfn.IFNA(VLOOKUP($BD609,Programma!$F$3:$I$1107,4,0),"")</f>
        <v/>
      </c>
      <c r="BH609" s="300" t="str">
        <f>_xlfn.IFNA(VLOOKUP($BD609,Programma!$F$3:$J$1107,5,0),"")</f>
        <v/>
      </c>
      <c r="BI609" s="300" t="str">
        <f>_xlfn.IFNA(VLOOKUP($BD609,Programma!$F$3:$K$1107,6,0),"")</f>
        <v/>
      </c>
      <c r="BJ609" s="300" t="str">
        <f>_xlfn.IFNA(VLOOKUP($BD609,Programma!$F$3:$L$1107,7,0),"")</f>
        <v/>
      </c>
      <c r="BK609" s="300" t="str">
        <f>_xlfn.IFNA(VLOOKUP($BD609,Programma!$F$3:$M$1107,8,0),"")</f>
        <v/>
      </c>
      <c r="BL609" s="300" t="str">
        <f>_xlfn.IFNA(VLOOKUP($BD609,Programma!$F$3:$N$1107,9,0),"")</f>
        <v/>
      </c>
      <c r="BM609" s="300" t="str">
        <f>_xlfn.IFNA(VLOOKUP($BD609,Programma!$F$3:$O$1107,10,0),"")</f>
        <v/>
      </c>
      <c r="BN609" s="300" t="str">
        <f>_xlfn.IFNA(VLOOKUP($BD609,Programma!$F$3:$P$1107,11,0),"")</f>
        <v/>
      </c>
      <c r="BO609" s="300" t="str">
        <f>_xlfn.IFNA(VLOOKUP($BD609,Programma!$F$3:$Q$1107,12,0),"")</f>
        <v/>
      </c>
      <c r="BP609" s="300" t="str">
        <f>_xlfn.IFNA(VLOOKUP($BD609,Programma!$F$3:$R$1107,13,0),"")</f>
        <v/>
      </c>
      <c r="BQ609" s="300" t="str">
        <f>_xlfn.IFNA(VLOOKUP($BD609,Programma!$F$3:$S$1107,14,0),"")</f>
        <v/>
      </c>
      <c r="BR609" s="300" t="str">
        <f>_xlfn.IFNA(VLOOKUP($BD609,Programma!$F$3:$T$1107,15,0),"")</f>
        <v/>
      </c>
      <c r="BS609" s="300" t="str">
        <f>_xlfn.IFNA(VLOOKUP($BD609,Programma!$F$3:$U$1107,16,0),"")</f>
        <v/>
      </c>
      <c r="BT609" s="300" t="str">
        <f>_xlfn.IFNA(VLOOKUP($BD609,Programma!$F$3:$V$1107,17,0),"")</f>
        <v/>
      </c>
      <c r="BU609" s="300" t="str">
        <f>_xlfn.IFNA(VLOOKUP($BD609,Programma!$F$3:$W$1107,18,0),"")</f>
        <v/>
      </c>
      <c r="BV609" s="300" t="str">
        <f>_xlfn.IFNA(VLOOKUP($BD609,Programma!$F$3:$X$1107,19,0),"")</f>
        <v/>
      </c>
      <c r="BW609" s="300" t="str">
        <f>_xlfn.IFNA(VLOOKUP($BD609,Programma!$F$3:$Y$1107,20,0),"")</f>
        <v/>
      </c>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c r="GL609" s="4"/>
      <c r="GM609" s="4"/>
      <c r="GN609" s="4"/>
      <c r="GO609" s="4"/>
      <c r="GP609" s="4"/>
      <c r="GQ609" s="4"/>
      <c r="GR609" s="4"/>
      <c r="GS609" s="4"/>
      <c r="GT609" s="4"/>
      <c r="GU609" s="4"/>
      <c r="GV609" s="4"/>
      <c r="GW609" s="4"/>
      <c r="GX609" s="4"/>
      <c r="GY609" s="4"/>
      <c r="GZ609" s="4"/>
      <c r="HA609" s="4"/>
      <c r="HB609" s="4"/>
      <c r="HC609" s="4"/>
      <c r="HD609" s="4"/>
      <c r="HE609" s="4"/>
      <c r="HF609" s="4"/>
      <c r="HG609" s="4"/>
      <c r="HH609" s="4"/>
      <c r="HI609" s="4"/>
      <c r="HJ609" s="4"/>
      <c r="HK609" s="4"/>
      <c r="HL609" s="4"/>
    </row>
    <row r="610" spans="1:220" ht="15" customHeight="1">
      <c r="A610" s="21">
        <v>7</v>
      </c>
      <c r="B610" s="157" t="str">
        <f>VLOOKUP(Ruimtestaat[[#This Row],[Code]],Locaties[[Code]:[Locatie]],2,FALSE)</f>
        <v>Gymnasium Novum</v>
      </c>
      <c r="C610" s="157" t="str">
        <f>VLOOKUP(Ruimtestaat[[#This Row],[Code]],Locaties[[#All],[Code]:[Adres]],4,FALSE)</f>
        <v>Aart v.d. Leeuwkade 1</v>
      </c>
      <c r="D610" s="157" t="str">
        <f>VLOOKUP(Ruimtestaat[[#This Row],[Code]],Locaties[[#All],[Code]:[Postcode]],5,FALSE)</f>
        <v>2274 KX</v>
      </c>
      <c r="E610" s="157" t="str">
        <f>VLOOKUP(Ruimtestaat[[#This Row],[Code]],Locaties[#All],6,FALSE)</f>
        <v>Voorburg</v>
      </c>
      <c r="F610" s="62"/>
      <c r="G610" s="21" t="s">
        <v>1624</v>
      </c>
      <c r="H610" s="21" t="s">
        <v>1664</v>
      </c>
      <c r="I610" s="62" t="s">
        <v>2160</v>
      </c>
      <c r="J610" s="21">
        <v>2</v>
      </c>
      <c r="K610" s="62" t="str">
        <f>VLOOKUP(Ruimtestaat[[#This Row],[Ruimte code]],Ruimtegroepen[[#All],[Code]:[Ruimte omschrijving]],2,FALSE)</f>
        <v>Kantoren</v>
      </c>
      <c r="L610" s="33" t="s">
        <v>101</v>
      </c>
      <c r="M610" s="367" t="s">
        <v>2495</v>
      </c>
      <c r="N610" s="140">
        <v>12</v>
      </c>
      <c r="O610" s="140"/>
      <c r="P610" s="125" t="str">
        <f>VLOOKUP(Ruimtestaat[[#This Row],[Ruimte code]],Ruimtegroepen[],4,FALSE)</f>
        <v>Bu</v>
      </c>
      <c r="R610" s="33">
        <v>42</v>
      </c>
      <c r="S610" s="33" t="s">
        <v>18</v>
      </c>
      <c r="T610" s="33">
        <f>IF(R610&gt;0,IF(RIGHT(Ruimtestaat[[#This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10" s="33">
        <f>IF(T610&gt;0,VLOOKUP($J610,Ruimtegroepen[],3,FALSE)*VLOOKUP($L610,Vloersoorten[],3,FALSE)*VLOOKUP($S610,Frequenties[],3,FALSE)*VLOOKUP($A610,Locaties[],3,FALSE),0)</f>
        <v>0</v>
      </c>
      <c r="V610" s="33">
        <f>Ruimtestaat[[#This Row],[Uitvoeringen werkdagen]]*Ruimtestaat[[#This Row],[Oppervlak (netto)]]</f>
        <v>1512</v>
      </c>
      <c r="W610" s="154">
        <f>IF(U610&gt;0,Ruimtestaat[[#This Row],[Prest. (m2 /jaar) werkdagen]]/Ruimtestaat[[#This Row],[Norm (m2/uur) werkdagen]],0)</f>
        <v>0</v>
      </c>
      <c r="X610" s="155">
        <f>Ruimtestaat[[#This Row],[uren / jaar werkdagen]]*Tariefsopbouw!$E$35</f>
        <v>0</v>
      </c>
      <c r="Y610" s="33"/>
      <c r="Z610" s="33">
        <f>IF(Ruimtestaat[[#This Row],[Frequentie weekend]]&gt;0,VALUE(LEFT(Y610,1))*R610,0)</f>
        <v>0</v>
      </c>
      <c r="AA610" s="97">
        <f>IF($Z610&gt;0,VLOOKUP($J610,Ruimtegroepen[],3,FALSE)*VLOOKUP($L610,Vloersoorten[],3,FALSE)*VLOOKUP($Y610,Frequenties[],3,FALSE)*VLOOKUP(Ruimtestaat[[#This Row],[Code]],Locaties[],3,FALSE),0)</f>
        <v>0</v>
      </c>
      <c r="AB610" s="97">
        <f>Ruimtestaat[[#This Row],[Uitvoeringen weekend]]*Ruimtestaat[[#This Row],[Oppervlak (netto)]]</f>
        <v>0</v>
      </c>
      <c r="AC610" s="97">
        <f>IF(AA610&gt;0,Ruimtestaat[[#This Row],[Prest. (m2 /jaar) weekend]]/Ruimtestaat[[#This Row],[Norm (m2/uur) weekend]],0)</f>
        <v>0</v>
      </c>
      <c r="AD610" s="155">
        <f>Ruimtestaat[[#This Row],[uren / jaar weekend]]*Tariefsopbouw!$D$40</f>
        <v>0</v>
      </c>
      <c r="AE610" s="154">
        <f>Ruimtestaat[[#This Row],[Prest. (m2 /jaar) weekend]]+Ruimtestaat[[#This Row],[Prest. (m2 /jaar) werkdagen]]</f>
        <v>1512</v>
      </c>
      <c r="AF610" s="154">
        <f>Ruimtestaat[[#This Row],[uren / jaar weekend]]+Ruimtestaat[[#This Row],[uren / jaar werkdagen]]</f>
        <v>0</v>
      </c>
      <c r="AG610" s="69">
        <f>Ruimtestaat[[#This Row],[kosten / jaar weekend]]+Ruimtestaat[[#This Row],[kosten / jaar werkdagen]]</f>
        <v>0</v>
      </c>
      <c r="AH610" s="69"/>
      <c r="AI610" s="256" t="str">
        <f>IF(Ruimtestaat[[#This Row],[Frequentie werkdagen]]="","",_xlfn.CONCAT(Ruimtestaat[[#This Row],[Ruimte code]],"-",Ruimtestaat[[#This Row],[Frequentie werkdagen]]," ",Ruimtestaat[[#This Row],[Vloer code]]))</f>
        <v>2-3w L</v>
      </c>
      <c r="AJ610" s="300" t="str">
        <f>_xlfn.IFNA(VLOOKUP($AI610,Programma!$F$3:$G$1107,2,0),"")</f>
        <v>_</v>
      </c>
      <c r="AK610" s="300" t="str">
        <f>_xlfn.IFNA(VLOOKUP($AI610,Programma!$F$3:$H$1107,3,0),"")</f>
        <v>_</v>
      </c>
      <c r="AL610" s="300" t="str">
        <f>_xlfn.IFNA(VLOOKUP($AI610,Programma!$F$3:$I$1107,4,0),"")</f>
        <v>2w</v>
      </c>
      <c r="AM610" s="300" t="str">
        <f>_xlfn.IFNA(VLOOKUP($AI610,Programma!$F$3:$J$1107,5,0),"")</f>
        <v>1w</v>
      </c>
      <c r="AN610" s="300" t="str">
        <f>_xlfn.IFNA(VLOOKUP($AI610,Programma!$F$3:$K$1107,6,0),"")</f>
        <v>_</v>
      </c>
      <c r="AO610" s="300" t="str">
        <f>_xlfn.IFNA(VLOOKUP($AI610,Programma!$F$3:$L$1107,7,0),"")</f>
        <v>_</v>
      </c>
      <c r="AP610" s="300" t="str">
        <f>_xlfn.IFNA(VLOOKUP($AI610,Programma!$F$3:$M$1107,8,0),"")</f>
        <v>_</v>
      </c>
      <c r="AQ610" s="300" t="str">
        <f>_xlfn.IFNA(VLOOKUP($AI610,Programma!$F$3:$N$1107,9,0),"")</f>
        <v>_</v>
      </c>
      <c r="AR610" s="300" t="str">
        <f>_xlfn.IFNA(VLOOKUP($AI610,Programma!$F$3:$O$1107,10,0),"")</f>
        <v>3w</v>
      </c>
      <c r="AS610" s="300" t="str">
        <f>_xlfn.IFNA(VLOOKUP($AI610,Programma!$F$3:$P$1107,11,0),"")</f>
        <v>3w</v>
      </c>
      <c r="AT610" s="300" t="str">
        <f>_xlfn.IFNA(VLOOKUP($AI610,Programma!$F$3:$Q$1107,12,0),"")</f>
        <v>1w</v>
      </c>
      <c r="AU610" s="300" t="str">
        <f>_xlfn.IFNA(VLOOKUP($AI610,Programma!$F$3:$R$1107,13,0),"")</f>
        <v>1w</v>
      </c>
      <c r="AV610" s="300" t="str">
        <f>_xlfn.IFNA(VLOOKUP($AI610,Programma!$F$3:$S$1107,14,0),"")</f>
        <v>1m</v>
      </c>
      <c r="AW610" s="300" t="str">
        <f>_xlfn.IFNA(VLOOKUP($AI610,Programma!$F$3:$T$1107,15,0),"")</f>
        <v>2j</v>
      </c>
      <c r="AX610" s="300" t="str">
        <f>_xlfn.IFNA(VLOOKUP($AI610,Programma!$F$3:$U$1107,16,0),"")</f>
        <v>1j</v>
      </c>
      <c r="AY610" s="300" t="str">
        <f>_xlfn.IFNA(VLOOKUP($AI610,Programma!$F$3:$V$1107,17,0),"")</f>
        <v>_</v>
      </c>
      <c r="AZ610" s="300" t="str">
        <f>_xlfn.IFNA(VLOOKUP($AI610,Programma!$F$3:$W$1107,18,0),"")</f>
        <v>_</v>
      </c>
      <c r="BA610" s="300" t="str">
        <f>_xlfn.IFNA(VLOOKUP($AI610,Programma!$F$3:$X$1107,19,0),"")</f>
        <v>_</v>
      </c>
      <c r="BB610" s="300" t="str">
        <f>_xlfn.IFNA(VLOOKUP($AI610,Programma!$F$3:$Y$1107,20,0),"")</f>
        <v>_</v>
      </c>
      <c r="BC610" s="257"/>
      <c r="BD610" s="256" t="str">
        <f>IF(Ruimtestaat[[#This Row],[Frequentie weekend]]="","",_xlfn.CONCAT(Ruimtestaat[[#This Row],[Ruimte code]],"-",Ruimtestaat[[#This Row],[Frequentie weekend]]," ",Ruimtestaat[[#This Row],[Vloer code]]))</f>
        <v/>
      </c>
      <c r="BE610" s="300" t="str">
        <f>_xlfn.IFNA(VLOOKUP($BD610,Programma!$F$3:$G$1107,2,0),"")</f>
        <v/>
      </c>
      <c r="BF610" s="300" t="str">
        <f>_xlfn.IFNA(VLOOKUP($BD610,Programma!$F$3:$H$1107,3,0),"")</f>
        <v/>
      </c>
      <c r="BG610" s="300" t="str">
        <f>_xlfn.IFNA(VLOOKUP($BD610,Programma!$F$3:$I$1107,4,0),"")</f>
        <v/>
      </c>
      <c r="BH610" s="300" t="str">
        <f>_xlfn.IFNA(VLOOKUP($BD610,Programma!$F$3:$J$1107,5,0),"")</f>
        <v/>
      </c>
      <c r="BI610" s="300" t="str">
        <f>_xlfn.IFNA(VLOOKUP($BD610,Programma!$F$3:$K$1107,6,0),"")</f>
        <v/>
      </c>
      <c r="BJ610" s="300" t="str">
        <f>_xlfn.IFNA(VLOOKUP($BD610,Programma!$F$3:$L$1107,7,0),"")</f>
        <v/>
      </c>
      <c r="BK610" s="300" t="str">
        <f>_xlfn.IFNA(VLOOKUP($BD610,Programma!$F$3:$M$1107,8,0),"")</f>
        <v/>
      </c>
      <c r="BL610" s="300" t="str">
        <f>_xlfn.IFNA(VLOOKUP($BD610,Programma!$F$3:$N$1107,9,0),"")</f>
        <v/>
      </c>
      <c r="BM610" s="300" t="str">
        <f>_xlfn.IFNA(VLOOKUP($BD610,Programma!$F$3:$O$1107,10,0),"")</f>
        <v/>
      </c>
      <c r="BN610" s="300" t="str">
        <f>_xlfn.IFNA(VLOOKUP($BD610,Programma!$F$3:$P$1107,11,0),"")</f>
        <v/>
      </c>
      <c r="BO610" s="300" t="str">
        <f>_xlfn.IFNA(VLOOKUP($BD610,Programma!$F$3:$Q$1107,12,0),"")</f>
        <v/>
      </c>
      <c r="BP610" s="300" t="str">
        <f>_xlfn.IFNA(VLOOKUP($BD610,Programma!$F$3:$R$1107,13,0),"")</f>
        <v/>
      </c>
      <c r="BQ610" s="300" t="str">
        <f>_xlfn.IFNA(VLOOKUP($BD610,Programma!$F$3:$S$1107,14,0),"")</f>
        <v/>
      </c>
      <c r="BR610" s="300" t="str">
        <f>_xlfn.IFNA(VLOOKUP($BD610,Programma!$F$3:$T$1107,15,0),"")</f>
        <v/>
      </c>
      <c r="BS610" s="300" t="str">
        <f>_xlfn.IFNA(VLOOKUP($BD610,Programma!$F$3:$U$1107,16,0),"")</f>
        <v/>
      </c>
      <c r="BT610" s="300" t="str">
        <f>_xlfn.IFNA(VLOOKUP($BD610,Programma!$F$3:$V$1107,17,0),"")</f>
        <v/>
      </c>
      <c r="BU610" s="300" t="str">
        <f>_xlfn.IFNA(VLOOKUP($BD610,Programma!$F$3:$W$1107,18,0),"")</f>
        <v/>
      </c>
      <c r="BV610" s="300" t="str">
        <f>_xlfn.IFNA(VLOOKUP($BD610,Programma!$F$3:$X$1107,19,0),"")</f>
        <v/>
      </c>
      <c r="BW610" s="300" t="str">
        <f>_xlfn.IFNA(VLOOKUP($BD610,Programma!$F$3:$Y$1107,20,0),"")</f>
        <v/>
      </c>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c r="GK610" s="4"/>
      <c r="GL610" s="4"/>
      <c r="GM610" s="4"/>
      <c r="GN610" s="4"/>
      <c r="GO610" s="4"/>
      <c r="GP610" s="4"/>
      <c r="GQ610" s="4"/>
      <c r="GR610" s="4"/>
      <c r="GS610" s="4"/>
      <c r="GT610" s="4"/>
      <c r="GU610" s="4"/>
      <c r="GV610" s="4"/>
      <c r="GW610" s="4"/>
      <c r="GX610" s="4"/>
      <c r="GY610" s="4"/>
      <c r="GZ610" s="4"/>
      <c r="HA610" s="4"/>
      <c r="HB610" s="4"/>
      <c r="HC610" s="4"/>
      <c r="HD610" s="4"/>
      <c r="HE610" s="4"/>
      <c r="HF610" s="4"/>
      <c r="HG610" s="4"/>
      <c r="HH610" s="4"/>
      <c r="HI610" s="4"/>
      <c r="HJ610" s="4"/>
      <c r="HK610" s="4"/>
      <c r="HL610" s="4"/>
    </row>
    <row r="611" spans="1:220" ht="15" customHeight="1">
      <c r="A611" s="21">
        <v>7</v>
      </c>
      <c r="B611" s="157" t="str">
        <f>VLOOKUP(Ruimtestaat[[#This Row],[Code]],Locaties[[Code]:[Locatie]],2,FALSE)</f>
        <v>Gymnasium Novum</v>
      </c>
      <c r="C611" s="157" t="str">
        <f>VLOOKUP(Ruimtestaat[[#This Row],[Code]],Locaties[[#All],[Code]:[Adres]],4,FALSE)</f>
        <v>Aart v.d. Leeuwkade 1</v>
      </c>
      <c r="D611" s="157" t="str">
        <f>VLOOKUP(Ruimtestaat[[#This Row],[Code]],Locaties[[#All],[Code]:[Postcode]],5,FALSE)</f>
        <v>2274 KX</v>
      </c>
      <c r="E611" s="157" t="str">
        <f>VLOOKUP(Ruimtestaat[[#This Row],[Code]],Locaties[#All],6,FALSE)</f>
        <v>Voorburg</v>
      </c>
      <c r="F611" s="62"/>
      <c r="G611" s="21" t="s">
        <v>1624</v>
      </c>
      <c r="H611" s="21" t="s">
        <v>1665</v>
      </c>
      <c r="I611" s="62" t="s">
        <v>2161</v>
      </c>
      <c r="J611" s="21">
        <v>2</v>
      </c>
      <c r="K611" s="62" t="str">
        <f>VLOOKUP(Ruimtestaat[[#This Row],[Ruimte code]],Ruimtegroepen[[#All],[Code]:[Ruimte omschrijving]],2,FALSE)</f>
        <v>Kantoren</v>
      </c>
      <c r="L611" s="33" t="s">
        <v>101</v>
      </c>
      <c r="M611" s="367" t="s">
        <v>2495</v>
      </c>
      <c r="N611" s="140">
        <v>12</v>
      </c>
      <c r="O611" s="140"/>
      <c r="P611" s="125" t="str">
        <f>VLOOKUP(Ruimtestaat[[#This Row],[Ruimte code]],Ruimtegroepen[],4,FALSE)</f>
        <v>Bu</v>
      </c>
      <c r="R611" s="33">
        <v>42</v>
      </c>
      <c r="S611" s="33" t="s">
        <v>18</v>
      </c>
      <c r="T611" s="33">
        <f>IF(R611&gt;0,IF(RIGHT(Ruimtestaat[[#This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11" s="33">
        <f>IF(T611&gt;0,VLOOKUP($J611,Ruimtegroepen[],3,FALSE)*VLOOKUP($L611,Vloersoorten[],3,FALSE)*VLOOKUP($S611,Frequenties[],3,FALSE)*VLOOKUP($A611,Locaties[],3,FALSE),0)</f>
        <v>0</v>
      </c>
      <c r="V611" s="33">
        <f>Ruimtestaat[[#This Row],[Uitvoeringen werkdagen]]*Ruimtestaat[[#This Row],[Oppervlak (netto)]]</f>
        <v>1512</v>
      </c>
      <c r="W611" s="154">
        <f>IF(U611&gt;0,Ruimtestaat[[#This Row],[Prest. (m2 /jaar) werkdagen]]/Ruimtestaat[[#This Row],[Norm (m2/uur) werkdagen]],0)</f>
        <v>0</v>
      </c>
      <c r="X611" s="155">
        <f>Ruimtestaat[[#This Row],[uren / jaar werkdagen]]*Tariefsopbouw!$E$35</f>
        <v>0</v>
      </c>
      <c r="Y611" s="33"/>
      <c r="Z611" s="33">
        <f>IF(Ruimtestaat[[#This Row],[Frequentie weekend]]&gt;0,VALUE(LEFT(Y611,1))*R611,0)</f>
        <v>0</v>
      </c>
      <c r="AA611" s="97">
        <f>IF($Z611&gt;0,VLOOKUP($J611,Ruimtegroepen[],3,FALSE)*VLOOKUP($L611,Vloersoorten[],3,FALSE)*VLOOKUP($Y611,Frequenties[],3,FALSE)*VLOOKUP(Ruimtestaat[[#This Row],[Code]],Locaties[],3,FALSE),0)</f>
        <v>0</v>
      </c>
      <c r="AB611" s="97">
        <f>Ruimtestaat[[#This Row],[Uitvoeringen weekend]]*Ruimtestaat[[#This Row],[Oppervlak (netto)]]</f>
        <v>0</v>
      </c>
      <c r="AC611" s="97">
        <f>IF(AA611&gt;0,Ruimtestaat[[#This Row],[Prest. (m2 /jaar) weekend]]/Ruimtestaat[[#This Row],[Norm (m2/uur) weekend]],0)</f>
        <v>0</v>
      </c>
      <c r="AD611" s="155">
        <f>Ruimtestaat[[#This Row],[uren / jaar weekend]]*Tariefsopbouw!$D$40</f>
        <v>0</v>
      </c>
      <c r="AE611" s="154">
        <f>Ruimtestaat[[#This Row],[Prest. (m2 /jaar) weekend]]+Ruimtestaat[[#This Row],[Prest. (m2 /jaar) werkdagen]]</f>
        <v>1512</v>
      </c>
      <c r="AF611" s="154">
        <f>Ruimtestaat[[#This Row],[uren / jaar weekend]]+Ruimtestaat[[#This Row],[uren / jaar werkdagen]]</f>
        <v>0</v>
      </c>
      <c r="AG611" s="69">
        <f>Ruimtestaat[[#This Row],[kosten / jaar weekend]]+Ruimtestaat[[#This Row],[kosten / jaar werkdagen]]</f>
        <v>0</v>
      </c>
      <c r="AH611" s="69"/>
      <c r="AI611" s="256" t="str">
        <f>IF(Ruimtestaat[[#This Row],[Frequentie werkdagen]]="","",_xlfn.CONCAT(Ruimtestaat[[#This Row],[Ruimte code]],"-",Ruimtestaat[[#This Row],[Frequentie werkdagen]]," ",Ruimtestaat[[#This Row],[Vloer code]]))</f>
        <v>2-3w L</v>
      </c>
      <c r="AJ611" s="300" t="str">
        <f>_xlfn.IFNA(VLOOKUP($AI611,Programma!$F$3:$G$1107,2,0),"")</f>
        <v>_</v>
      </c>
      <c r="AK611" s="300" t="str">
        <f>_xlfn.IFNA(VLOOKUP($AI611,Programma!$F$3:$H$1107,3,0),"")</f>
        <v>_</v>
      </c>
      <c r="AL611" s="300" t="str">
        <f>_xlfn.IFNA(VLOOKUP($AI611,Programma!$F$3:$I$1107,4,0),"")</f>
        <v>2w</v>
      </c>
      <c r="AM611" s="300" t="str">
        <f>_xlfn.IFNA(VLOOKUP($AI611,Programma!$F$3:$J$1107,5,0),"")</f>
        <v>1w</v>
      </c>
      <c r="AN611" s="300" t="str">
        <f>_xlfn.IFNA(VLOOKUP($AI611,Programma!$F$3:$K$1107,6,0),"")</f>
        <v>_</v>
      </c>
      <c r="AO611" s="300" t="str">
        <f>_xlfn.IFNA(VLOOKUP($AI611,Programma!$F$3:$L$1107,7,0),"")</f>
        <v>_</v>
      </c>
      <c r="AP611" s="300" t="str">
        <f>_xlfn.IFNA(VLOOKUP($AI611,Programma!$F$3:$M$1107,8,0),"")</f>
        <v>_</v>
      </c>
      <c r="AQ611" s="300" t="str">
        <f>_xlfn.IFNA(VLOOKUP($AI611,Programma!$F$3:$N$1107,9,0),"")</f>
        <v>_</v>
      </c>
      <c r="AR611" s="300" t="str">
        <f>_xlfn.IFNA(VLOOKUP($AI611,Programma!$F$3:$O$1107,10,0),"")</f>
        <v>3w</v>
      </c>
      <c r="AS611" s="300" t="str">
        <f>_xlfn.IFNA(VLOOKUP($AI611,Programma!$F$3:$P$1107,11,0),"")</f>
        <v>3w</v>
      </c>
      <c r="AT611" s="300" t="str">
        <f>_xlfn.IFNA(VLOOKUP($AI611,Programma!$F$3:$Q$1107,12,0),"")</f>
        <v>1w</v>
      </c>
      <c r="AU611" s="300" t="str">
        <f>_xlfn.IFNA(VLOOKUP($AI611,Programma!$F$3:$R$1107,13,0),"")</f>
        <v>1w</v>
      </c>
      <c r="AV611" s="300" t="str">
        <f>_xlfn.IFNA(VLOOKUP($AI611,Programma!$F$3:$S$1107,14,0),"")</f>
        <v>1m</v>
      </c>
      <c r="AW611" s="300" t="str">
        <f>_xlfn.IFNA(VLOOKUP($AI611,Programma!$F$3:$T$1107,15,0),"")</f>
        <v>2j</v>
      </c>
      <c r="AX611" s="300" t="str">
        <f>_xlfn.IFNA(VLOOKUP($AI611,Programma!$F$3:$U$1107,16,0),"")</f>
        <v>1j</v>
      </c>
      <c r="AY611" s="300" t="str">
        <f>_xlfn.IFNA(VLOOKUP($AI611,Programma!$F$3:$V$1107,17,0),"")</f>
        <v>_</v>
      </c>
      <c r="AZ611" s="300" t="str">
        <f>_xlfn.IFNA(VLOOKUP($AI611,Programma!$F$3:$W$1107,18,0),"")</f>
        <v>_</v>
      </c>
      <c r="BA611" s="300" t="str">
        <f>_xlfn.IFNA(VLOOKUP($AI611,Programma!$F$3:$X$1107,19,0),"")</f>
        <v>_</v>
      </c>
      <c r="BB611" s="300" t="str">
        <f>_xlfn.IFNA(VLOOKUP($AI611,Programma!$F$3:$Y$1107,20,0),"")</f>
        <v>_</v>
      </c>
      <c r="BC611" s="257"/>
      <c r="BD611" s="256" t="str">
        <f>IF(Ruimtestaat[[#This Row],[Frequentie weekend]]="","",_xlfn.CONCAT(Ruimtestaat[[#This Row],[Ruimte code]],"-",Ruimtestaat[[#This Row],[Frequentie weekend]]," ",Ruimtestaat[[#This Row],[Vloer code]]))</f>
        <v/>
      </c>
      <c r="BE611" s="300" t="str">
        <f>_xlfn.IFNA(VLOOKUP($BD611,Programma!$F$3:$G$1107,2,0),"")</f>
        <v/>
      </c>
      <c r="BF611" s="300" t="str">
        <f>_xlfn.IFNA(VLOOKUP($BD611,Programma!$F$3:$H$1107,3,0),"")</f>
        <v/>
      </c>
      <c r="BG611" s="300" t="str">
        <f>_xlfn.IFNA(VLOOKUP($BD611,Programma!$F$3:$I$1107,4,0),"")</f>
        <v/>
      </c>
      <c r="BH611" s="300" t="str">
        <f>_xlfn.IFNA(VLOOKUP($BD611,Programma!$F$3:$J$1107,5,0),"")</f>
        <v/>
      </c>
      <c r="BI611" s="300" t="str">
        <f>_xlfn.IFNA(VLOOKUP($BD611,Programma!$F$3:$K$1107,6,0),"")</f>
        <v/>
      </c>
      <c r="BJ611" s="300" t="str">
        <f>_xlfn.IFNA(VLOOKUP($BD611,Programma!$F$3:$L$1107,7,0),"")</f>
        <v/>
      </c>
      <c r="BK611" s="300" t="str">
        <f>_xlfn.IFNA(VLOOKUP($BD611,Programma!$F$3:$M$1107,8,0),"")</f>
        <v/>
      </c>
      <c r="BL611" s="300" t="str">
        <f>_xlfn.IFNA(VLOOKUP($BD611,Programma!$F$3:$N$1107,9,0),"")</f>
        <v/>
      </c>
      <c r="BM611" s="300" t="str">
        <f>_xlfn.IFNA(VLOOKUP($BD611,Programma!$F$3:$O$1107,10,0),"")</f>
        <v/>
      </c>
      <c r="BN611" s="300" t="str">
        <f>_xlfn.IFNA(VLOOKUP($BD611,Programma!$F$3:$P$1107,11,0),"")</f>
        <v/>
      </c>
      <c r="BO611" s="300" t="str">
        <f>_xlfn.IFNA(VLOOKUP($BD611,Programma!$F$3:$Q$1107,12,0),"")</f>
        <v/>
      </c>
      <c r="BP611" s="300" t="str">
        <f>_xlfn.IFNA(VLOOKUP($BD611,Programma!$F$3:$R$1107,13,0),"")</f>
        <v/>
      </c>
      <c r="BQ611" s="300" t="str">
        <f>_xlfn.IFNA(VLOOKUP($BD611,Programma!$F$3:$S$1107,14,0),"")</f>
        <v/>
      </c>
      <c r="BR611" s="300" t="str">
        <f>_xlfn.IFNA(VLOOKUP($BD611,Programma!$F$3:$T$1107,15,0),"")</f>
        <v/>
      </c>
      <c r="BS611" s="300" t="str">
        <f>_xlfn.IFNA(VLOOKUP($BD611,Programma!$F$3:$U$1107,16,0),"")</f>
        <v/>
      </c>
      <c r="BT611" s="300" t="str">
        <f>_xlfn.IFNA(VLOOKUP($BD611,Programma!$F$3:$V$1107,17,0),"")</f>
        <v/>
      </c>
      <c r="BU611" s="300" t="str">
        <f>_xlfn.IFNA(VLOOKUP($BD611,Programma!$F$3:$W$1107,18,0),"")</f>
        <v/>
      </c>
      <c r="BV611" s="300" t="str">
        <f>_xlfn.IFNA(VLOOKUP($BD611,Programma!$F$3:$X$1107,19,0),"")</f>
        <v/>
      </c>
      <c r="BW611" s="300" t="str">
        <f>_xlfn.IFNA(VLOOKUP($BD611,Programma!$F$3:$Y$1107,20,0),"")</f>
        <v/>
      </c>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c r="GK611" s="4"/>
      <c r="GL611" s="4"/>
      <c r="GM611" s="4"/>
      <c r="GN611" s="4"/>
      <c r="GO611" s="4"/>
      <c r="GP611" s="4"/>
      <c r="GQ611" s="4"/>
      <c r="GR611" s="4"/>
      <c r="GS611" s="4"/>
      <c r="GT611" s="4"/>
      <c r="GU611" s="4"/>
      <c r="GV611" s="4"/>
      <c r="GW611" s="4"/>
      <c r="GX611" s="4"/>
      <c r="GY611" s="4"/>
      <c r="GZ611" s="4"/>
      <c r="HA611" s="4"/>
      <c r="HB611" s="4"/>
      <c r="HC611" s="4"/>
      <c r="HD611" s="4"/>
      <c r="HE611" s="4"/>
      <c r="HF611" s="4"/>
      <c r="HG611" s="4"/>
      <c r="HH611" s="4"/>
      <c r="HI611" s="4"/>
      <c r="HJ611" s="4"/>
      <c r="HK611" s="4"/>
      <c r="HL611" s="4"/>
    </row>
    <row r="612" spans="1:220" ht="15" customHeight="1">
      <c r="A612" s="21">
        <v>7</v>
      </c>
      <c r="B612" s="157" t="str">
        <f>VLOOKUP(Ruimtestaat[[#This Row],[Code]],Locaties[[Code]:[Locatie]],2,FALSE)</f>
        <v>Gymnasium Novum</v>
      </c>
      <c r="C612" s="157" t="str">
        <f>VLOOKUP(Ruimtestaat[[#This Row],[Code]],Locaties[[#All],[Code]:[Adres]],4,FALSE)</f>
        <v>Aart v.d. Leeuwkade 1</v>
      </c>
      <c r="D612" s="157" t="str">
        <f>VLOOKUP(Ruimtestaat[[#This Row],[Code]],Locaties[[#All],[Code]:[Postcode]],5,FALSE)</f>
        <v>2274 KX</v>
      </c>
      <c r="E612" s="157" t="str">
        <f>VLOOKUP(Ruimtestaat[[#This Row],[Code]],Locaties[#All],6,FALSE)</f>
        <v>Voorburg</v>
      </c>
      <c r="F612" s="62"/>
      <c r="G612" s="21" t="s">
        <v>1624</v>
      </c>
      <c r="H612" s="21" t="s">
        <v>1666</v>
      </c>
      <c r="I612" s="62" t="s">
        <v>1625</v>
      </c>
      <c r="J612" s="21">
        <v>6</v>
      </c>
      <c r="K612" s="62" t="str">
        <f>VLOOKUP(Ruimtestaat[[#This Row],[Ruimte code]],Ruimtegroepen[[#All],[Code]:[Ruimte omschrijving]],2,FALSE)</f>
        <v>Gangen/hallen</v>
      </c>
      <c r="L612" s="33" t="s">
        <v>101</v>
      </c>
      <c r="M612" s="367" t="s">
        <v>2495</v>
      </c>
      <c r="N612" s="140">
        <v>10</v>
      </c>
      <c r="O612" s="140"/>
      <c r="P612" s="125" t="str">
        <f>VLOOKUP(Ruimtestaat[[#This Row],[Ruimte code]],Ruimtegroepen[],4,FALSE)</f>
        <v>Ve</v>
      </c>
      <c r="R612" s="33">
        <v>40</v>
      </c>
      <c r="S612" s="33" t="s">
        <v>2</v>
      </c>
      <c r="T612" s="33">
        <f>IF(R612&gt;0,IF(RIGHT(Ruimtestaat[[#This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12" s="33">
        <f>IF(T612&gt;0,VLOOKUP($J612,Ruimtegroepen[],3,FALSE)*VLOOKUP($L612,Vloersoorten[],3,FALSE)*VLOOKUP($S612,Frequenties[],3,FALSE)*VLOOKUP($A612,Locaties[],3,FALSE),0)</f>
        <v>0</v>
      </c>
      <c r="V612" s="33">
        <f>Ruimtestaat[[#This Row],[Uitvoeringen werkdagen]]*Ruimtestaat[[#This Row],[Oppervlak (netto)]]</f>
        <v>2000</v>
      </c>
      <c r="W612" s="154">
        <f>IF(U612&gt;0,Ruimtestaat[[#This Row],[Prest. (m2 /jaar) werkdagen]]/Ruimtestaat[[#This Row],[Norm (m2/uur) werkdagen]],0)</f>
        <v>0</v>
      </c>
      <c r="X612" s="155">
        <f>Ruimtestaat[[#This Row],[uren / jaar werkdagen]]*Tariefsopbouw!$E$35</f>
        <v>0</v>
      </c>
      <c r="Y612" s="33"/>
      <c r="Z612" s="33">
        <f>IF(Ruimtestaat[[#This Row],[Frequentie weekend]]&gt;0,VALUE(LEFT(Y612,1))*R612,0)</f>
        <v>0</v>
      </c>
      <c r="AA612" s="97">
        <f>IF($Z612&gt;0,VLOOKUP($J612,Ruimtegroepen[],3,FALSE)*VLOOKUP($L612,Vloersoorten[],3,FALSE)*VLOOKUP($Y612,Frequenties[],3,FALSE)*VLOOKUP(Ruimtestaat[[#This Row],[Code]],Locaties[],3,FALSE),0)</f>
        <v>0</v>
      </c>
      <c r="AB612" s="97">
        <f>Ruimtestaat[[#This Row],[Uitvoeringen weekend]]*Ruimtestaat[[#This Row],[Oppervlak (netto)]]</f>
        <v>0</v>
      </c>
      <c r="AC612" s="97">
        <f>IF(AA612&gt;0,Ruimtestaat[[#This Row],[Prest. (m2 /jaar) weekend]]/Ruimtestaat[[#This Row],[Norm (m2/uur) weekend]],0)</f>
        <v>0</v>
      </c>
      <c r="AD612" s="155">
        <f>Ruimtestaat[[#This Row],[uren / jaar weekend]]*Tariefsopbouw!$D$40</f>
        <v>0</v>
      </c>
      <c r="AE612" s="154">
        <f>Ruimtestaat[[#This Row],[Prest. (m2 /jaar) weekend]]+Ruimtestaat[[#This Row],[Prest. (m2 /jaar) werkdagen]]</f>
        <v>2000</v>
      </c>
      <c r="AF612" s="154">
        <f>Ruimtestaat[[#This Row],[uren / jaar weekend]]+Ruimtestaat[[#This Row],[uren / jaar werkdagen]]</f>
        <v>0</v>
      </c>
      <c r="AG612" s="69">
        <f>Ruimtestaat[[#This Row],[kosten / jaar weekend]]+Ruimtestaat[[#This Row],[kosten / jaar werkdagen]]</f>
        <v>0</v>
      </c>
      <c r="AH612" s="69"/>
      <c r="AI612" s="256" t="str">
        <f>IF(Ruimtestaat[[#This Row],[Frequentie werkdagen]]="","",_xlfn.CONCAT(Ruimtestaat[[#This Row],[Ruimte code]],"-",Ruimtestaat[[#This Row],[Frequentie werkdagen]]," ",Ruimtestaat[[#This Row],[Vloer code]]))</f>
        <v>6-5w L</v>
      </c>
      <c r="AJ612" s="300" t="str">
        <f>_xlfn.IFNA(VLOOKUP($AI612,Programma!$F$3:$G$1107,2,0),"")</f>
        <v>_</v>
      </c>
      <c r="AK612" s="300" t="str">
        <f>_xlfn.IFNA(VLOOKUP($AI612,Programma!$F$3:$H$1107,3,0),"")</f>
        <v>_</v>
      </c>
      <c r="AL612" s="300" t="str">
        <f>_xlfn.IFNA(VLOOKUP($AI612,Programma!$F$3:$I$1107,4,0),"")</f>
        <v>_</v>
      </c>
      <c r="AM612" s="300" t="str">
        <f>_xlfn.IFNA(VLOOKUP($AI612,Programma!$F$3:$J$1107,5,0),"")</f>
        <v>5w</v>
      </c>
      <c r="AN612" s="300" t="str">
        <f>_xlfn.IFNA(VLOOKUP($AI612,Programma!$F$3:$K$1107,6,0),"")</f>
        <v>_</v>
      </c>
      <c r="AO612" s="300" t="str">
        <f>_xlfn.IFNA(VLOOKUP($AI612,Programma!$F$3:$L$1107,7,0),"")</f>
        <v>_</v>
      </c>
      <c r="AP612" s="300" t="str">
        <f>_xlfn.IFNA(VLOOKUP($AI612,Programma!$F$3:$M$1107,8,0),"")</f>
        <v>_</v>
      </c>
      <c r="AQ612" s="300" t="str">
        <f>_xlfn.IFNA(VLOOKUP($AI612,Programma!$F$3:$N$1107,9,0),"")</f>
        <v>_</v>
      </c>
      <c r="AR612" s="300" t="str">
        <f>_xlfn.IFNA(VLOOKUP($AI612,Programma!$F$3:$O$1107,10,0),"")</f>
        <v>5w</v>
      </c>
      <c r="AS612" s="300" t="str">
        <f>_xlfn.IFNA(VLOOKUP($AI612,Programma!$F$3:$P$1107,11,0),"")</f>
        <v>5w</v>
      </c>
      <c r="AT612" s="300" t="str">
        <f>_xlfn.IFNA(VLOOKUP($AI612,Programma!$F$3:$Q$1107,12,0),"")</f>
        <v>1w</v>
      </c>
      <c r="AU612" s="300" t="str">
        <f>_xlfn.IFNA(VLOOKUP($AI612,Programma!$F$3:$R$1107,13,0),"")</f>
        <v>1w</v>
      </c>
      <c r="AV612" s="300" t="str">
        <f>_xlfn.IFNA(VLOOKUP($AI612,Programma!$F$3:$S$1107,14,0),"")</f>
        <v>1m</v>
      </c>
      <c r="AW612" s="300" t="str">
        <f>_xlfn.IFNA(VLOOKUP($AI612,Programma!$F$3:$T$1107,15,0),"")</f>
        <v>2j</v>
      </c>
      <c r="AX612" s="300" t="str">
        <f>_xlfn.IFNA(VLOOKUP($AI612,Programma!$F$3:$U$1107,16,0),"")</f>
        <v>1j</v>
      </c>
      <c r="AY612" s="300" t="str">
        <f>_xlfn.IFNA(VLOOKUP($AI612,Programma!$F$3:$V$1107,17,0),"")</f>
        <v>_</v>
      </c>
      <c r="AZ612" s="300" t="str">
        <f>_xlfn.IFNA(VLOOKUP($AI612,Programma!$F$3:$W$1107,18,0),"")</f>
        <v>_</v>
      </c>
      <c r="BA612" s="300" t="str">
        <f>_xlfn.IFNA(VLOOKUP($AI612,Programma!$F$3:$X$1107,19,0),"")</f>
        <v>_</v>
      </c>
      <c r="BB612" s="300" t="str">
        <f>_xlfn.IFNA(VLOOKUP($AI612,Programma!$F$3:$Y$1107,20,0),"")</f>
        <v>_</v>
      </c>
      <c r="BC612" s="257"/>
      <c r="BD612" s="256" t="str">
        <f>IF(Ruimtestaat[[#This Row],[Frequentie weekend]]="","",_xlfn.CONCAT(Ruimtestaat[[#This Row],[Ruimte code]],"-",Ruimtestaat[[#This Row],[Frequentie weekend]]," ",Ruimtestaat[[#This Row],[Vloer code]]))</f>
        <v/>
      </c>
      <c r="BE612" s="300" t="str">
        <f>_xlfn.IFNA(VLOOKUP($BD612,Programma!$F$3:$G$1107,2,0),"")</f>
        <v/>
      </c>
      <c r="BF612" s="300" t="str">
        <f>_xlfn.IFNA(VLOOKUP($BD612,Programma!$F$3:$H$1107,3,0),"")</f>
        <v/>
      </c>
      <c r="BG612" s="300" t="str">
        <f>_xlfn.IFNA(VLOOKUP($BD612,Programma!$F$3:$I$1107,4,0),"")</f>
        <v/>
      </c>
      <c r="BH612" s="300" t="str">
        <f>_xlfn.IFNA(VLOOKUP($BD612,Programma!$F$3:$J$1107,5,0),"")</f>
        <v/>
      </c>
      <c r="BI612" s="300" t="str">
        <f>_xlfn.IFNA(VLOOKUP($BD612,Programma!$F$3:$K$1107,6,0),"")</f>
        <v/>
      </c>
      <c r="BJ612" s="300" t="str">
        <f>_xlfn.IFNA(VLOOKUP($BD612,Programma!$F$3:$L$1107,7,0),"")</f>
        <v/>
      </c>
      <c r="BK612" s="300" t="str">
        <f>_xlfn.IFNA(VLOOKUP($BD612,Programma!$F$3:$M$1107,8,0),"")</f>
        <v/>
      </c>
      <c r="BL612" s="300" t="str">
        <f>_xlfn.IFNA(VLOOKUP($BD612,Programma!$F$3:$N$1107,9,0),"")</f>
        <v/>
      </c>
      <c r="BM612" s="300" t="str">
        <f>_xlfn.IFNA(VLOOKUP($BD612,Programma!$F$3:$O$1107,10,0),"")</f>
        <v/>
      </c>
      <c r="BN612" s="300" t="str">
        <f>_xlfn.IFNA(VLOOKUP($BD612,Programma!$F$3:$P$1107,11,0),"")</f>
        <v/>
      </c>
      <c r="BO612" s="300" t="str">
        <f>_xlfn.IFNA(VLOOKUP($BD612,Programma!$F$3:$Q$1107,12,0),"")</f>
        <v/>
      </c>
      <c r="BP612" s="300" t="str">
        <f>_xlfn.IFNA(VLOOKUP($BD612,Programma!$F$3:$R$1107,13,0),"")</f>
        <v/>
      </c>
      <c r="BQ612" s="300" t="str">
        <f>_xlfn.IFNA(VLOOKUP($BD612,Programma!$F$3:$S$1107,14,0),"")</f>
        <v/>
      </c>
      <c r="BR612" s="300" t="str">
        <f>_xlfn.IFNA(VLOOKUP($BD612,Programma!$F$3:$T$1107,15,0),"")</f>
        <v/>
      </c>
      <c r="BS612" s="300" t="str">
        <f>_xlfn.IFNA(VLOOKUP($BD612,Programma!$F$3:$U$1107,16,0),"")</f>
        <v/>
      </c>
      <c r="BT612" s="300" t="str">
        <f>_xlfn.IFNA(VLOOKUP($BD612,Programma!$F$3:$V$1107,17,0),"")</f>
        <v/>
      </c>
      <c r="BU612" s="300" t="str">
        <f>_xlfn.IFNA(VLOOKUP($BD612,Programma!$F$3:$W$1107,18,0),"")</f>
        <v/>
      </c>
      <c r="BV612" s="300" t="str">
        <f>_xlfn.IFNA(VLOOKUP($BD612,Programma!$F$3:$X$1107,19,0),"")</f>
        <v/>
      </c>
      <c r="BW612" s="300" t="str">
        <f>_xlfn.IFNA(VLOOKUP($BD612,Programma!$F$3:$Y$1107,20,0),"")</f>
        <v/>
      </c>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c r="GK612" s="4"/>
      <c r="GL612" s="4"/>
      <c r="GM612" s="4"/>
      <c r="GN612" s="4"/>
      <c r="GO612" s="4"/>
      <c r="GP612" s="4"/>
      <c r="GQ612" s="4"/>
      <c r="GR612" s="4"/>
      <c r="GS612" s="4"/>
      <c r="GT612" s="4"/>
      <c r="GU612" s="4"/>
      <c r="GV612" s="4"/>
      <c r="GW612" s="4"/>
      <c r="GX612" s="4"/>
      <c r="GY612" s="4"/>
      <c r="GZ612" s="4"/>
      <c r="HA612" s="4"/>
      <c r="HB612" s="4"/>
      <c r="HC612" s="4"/>
      <c r="HD612" s="4"/>
      <c r="HE612" s="4"/>
      <c r="HF612" s="4"/>
      <c r="HG612" s="4"/>
      <c r="HH612" s="4"/>
      <c r="HI612" s="4"/>
      <c r="HJ612" s="4"/>
      <c r="HK612" s="4"/>
      <c r="HL612" s="4"/>
    </row>
    <row r="613" spans="1:220" ht="15" customHeight="1">
      <c r="A613" s="21">
        <v>7</v>
      </c>
      <c r="B613" s="157" t="str">
        <f>VLOOKUP(Ruimtestaat[[#This Row],[Code]],Locaties[[Code]:[Locatie]],2,FALSE)</f>
        <v>Gymnasium Novum</v>
      </c>
      <c r="C613" s="157" t="str">
        <f>VLOOKUP(Ruimtestaat[[#This Row],[Code]],Locaties[[#All],[Code]:[Adres]],4,FALSE)</f>
        <v>Aart v.d. Leeuwkade 1</v>
      </c>
      <c r="D613" s="157" t="str">
        <f>VLOOKUP(Ruimtestaat[[#This Row],[Code]],Locaties[[#All],[Code]:[Postcode]],5,FALSE)</f>
        <v>2274 KX</v>
      </c>
      <c r="E613" s="157" t="str">
        <f>VLOOKUP(Ruimtestaat[[#This Row],[Code]],Locaties[#All],6,FALSE)</f>
        <v>Voorburg</v>
      </c>
      <c r="F613" s="62"/>
      <c r="G613" s="21" t="s">
        <v>1624</v>
      </c>
      <c r="H613" s="21" t="s">
        <v>1667</v>
      </c>
      <c r="I613" s="62" t="s">
        <v>1908</v>
      </c>
      <c r="J613" s="21">
        <v>5</v>
      </c>
      <c r="K613" s="62" t="str">
        <f>VLOOKUP(Ruimtestaat[[#This Row],[Ruimte code]],Ruimtegroepen[[#All],[Code]:[Ruimte omschrijving]],2,FALSE)</f>
        <v>Sanitair</v>
      </c>
      <c r="L613" s="33" t="s">
        <v>102</v>
      </c>
      <c r="M613" s="367" t="s">
        <v>2492</v>
      </c>
      <c r="N613" s="140">
        <v>10</v>
      </c>
      <c r="O613" s="140"/>
      <c r="P613" s="125" t="str">
        <f>VLOOKUP(Ruimtestaat[[#This Row],[Ruimte code]],Ruimtegroepen[],4,FALSE)</f>
        <v>Sa</v>
      </c>
      <c r="R613" s="33">
        <v>40</v>
      </c>
      <c r="S613" s="33" t="s">
        <v>2</v>
      </c>
      <c r="T613" s="33">
        <f>IF(R613&gt;0,IF(RIGHT(Ruimtestaat[[#This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13" s="33">
        <f>IF(T613&gt;0,VLOOKUP($J613,Ruimtegroepen[],3,FALSE)*VLOOKUP($L613,Vloersoorten[],3,FALSE)*VLOOKUP($S613,Frequenties[],3,FALSE)*VLOOKUP($A613,Locaties[],3,FALSE),0)</f>
        <v>0</v>
      </c>
      <c r="V613" s="33">
        <f>Ruimtestaat[[#This Row],[Uitvoeringen werkdagen]]*Ruimtestaat[[#This Row],[Oppervlak (netto)]]</f>
        <v>2000</v>
      </c>
      <c r="W613" s="154">
        <f>IF(U613&gt;0,Ruimtestaat[[#This Row],[Prest. (m2 /jaar) werkdagen]]/Ruimtestaat[[#This Row],[Norm (m2/uur) werkdagen]],0)</f>
        <v>0</v>
      </c>
      <c r="X613" s="155">
        <f>Ruimtestaat[[#This Row],[uren / jaar werkdagen]]*Tariefsopbouw!$E$35</f>
        <v>0</v>
      </c>
      <c r="Y613" s="33"/>
      <c r="Z613" s="33">
        <f>IF(Ruimtestaat[[#This Row],[Frequentie weekend]]&gt;0,VALUE(LEFT(Y613,1))*R613,0)</f>
        <v>0</v>
      </c>
      <c r="AA613" s="97">
        <f>IF($Z613&gt;0,VLOOKUP($J613,Ruimtegroepen[],3,FALSE)*VLOOKUP($L613,Vloersoorten[],3,FALSE)*VLOOKUP($Y613,Frequenties[],3,FALSE)*VLOOKUP(Ruimtestaat[[#This Row],[Code]],Locaties[],3,FALSE),0)</f>
        <v>0</v>
      </c>
      <c r="AB613" s="97">
        <f>Ruimtestaat[[#This Row],[Uitvoeringen weekend]]*Ruimtestaat[[#This Row],[Oppervlak (netto)]]</f>
        <v>0</v>
      </c>
      <c r="AC613" s="97">
        <f>IF(AA613&gt;0,Ruimtestaat[[#This Row],[Prest. (m2 /jaar) weekend]]/Ruimtestaat[[#This Row],[Norm (m2/uur) weekend]],0)</f>
        <v>0</v>
      </c>
      <c r="AD613" s="155">
        <f>Ruimtestaat[[#This Row],[uren / jaar weekend]]*Tariefsopbouw!$D$40</f>
        <v>0</v>
      </c>
      <c r="AE613" s="154">
        <f>Ruimtestaat[[#This Row],[Prest. (m2 /jaar) weekend]]+Ruimtestaat[[#This Row],[Prest. (m2 /jaar) werkdagen]]</f>
        <v>2000</v>
      </c>
      <c r="AF613" s="154">
        <f>Ruimtestaat[[#This Row],[uren / jaar weekend]]+Ruimtestaat[[#This Row],[uren / jaar werkdagen]]</f>
        <v>0</v>
      </c>
      <c r="AG613" s="69">
        <f>Ruimtestaat[[#This Row],[kosten / jaar weekend]]+Ruimtestaat[[#This Row],[kosten / jaar werkdagen]]</f>
        <v>0</v>
      </c>
      <c r="AH613" s="69"/>
      <c r="AI613" s="256" t="str">
        <f>IF(Ruimtestaat[[#This Row],[Frequentie werkdagen]]="","",_xlfn.CONCAT(Ruimtestaat[[#This Row],[Ruimte code]],"-",Ruimtestaat[[#This Row],[Frequentie werkdagen]]," ",Ruimtestaat[[#This Row],[Vloer code]]))</f>
        <v>5-5w S</v>
      </c>
      <c r="AJ613" s="300" t="str">
        <f>_xlfn.IFNA(VLOOKUP($AI613,Programma!$F$3:$G$1107,2,0),"")</f>
        <v>_</v>
      </c>
      <c r="AK613" s="300" t="str">
        <f>_xlfn.IFNA(VLOOKUP($AI613,Programma!$F$3:$H$1107,3,0),"")</f>
        <v>_</v>
      </c>
      <c r="AL613" s="300" t="str">
        <f>_xlfn.IFNA(VLOOKUP($AI613,Programma!$F$3:$I$1107,4,0),"")</f>
        <v>_</v>
      </c>
      <c r="AM613" s="300" t="str">
        <f>_xlfn.IFNA(VLOOKUP($AI613,Programma!$F$3:$J$1107,5,0),"")</f>
        <v>4w</v>
      </c>
      <c r="AN613" s="300" t="str">
        <f>_xlfn.IFNA(VLOOKUP($AI613,Programma!$F$3:$K$1107,6,0),"")</f>
        <v>1w</v>
      </c>
      <c r="AO613" s="300" t="str">
        <f>_xlfn.IFNA(VLOOKUP($AI613,Programma!$F$3:$L$1107,7,0),"")</f>
        <v>_</v>
      </c>
      <c r="AP613" s="300" t="str">
        <f>_xlfn.IFNA(VLOOKUP($AI613,Programma!$F$3:$M$1107,8,0),"")</f>
        <v>_</v>
      </c>
      <c r="AQ613" s="300" t="str">
        <f>_xlfn.IFNA(VLOOKUP($AI613,Programma!$F$3:$N$1107,9,0),"")</f>
        <v>_</v>
      </c>
      <c r="AR613" s="300" t="str">
        <f>_xlfn.IFNA(VLOOKUP($AI613,Programma!$F$3:$O$1107,10,0),"")</f>
        <v>_</v>
      </c>
      <c r="AS613" s="300" t="str">
        <f>_xlfn.IFNA(VLOOKUP($AI613,Programma!$F$3:$P$1107,11,0),"")</f>
        <v>_</v>
      </c>
      <c r="AT613" s="300" t="str">
        <f>_xlfn.IFNA(VLOOKUP($AI613,Programma!$F$3:$Q$1107,12,0),"")</f>
        <v>_</v>
      </c>
      <c r="AU613" s="300" t="str">
        <f>_xlfn.IFNA(VLOOKUP($AI613,Programma!$F$3:$R$1107,13,0),"")</f>
        <v>_</v>
      </c>
      <c r="AV613" s="300" t="str">
        <f>_xlfn.IFNA(VLOOKUP($AI613,Programma!$F$3:$S$1107,14,0),"")</f>
        <v>_</v>
      </c>
      <c r="AW613" s="300" t="str">
        <f>_xlfn.IFNA(VLOOKUP($AI613,Programma!$F$3:$T$1107,15,0),"")</f>
        <v>_</v>
      </c>
      <c r="AX613" s="300" t="str">
        <f>_xlfn.IFNA(VLOOKUP($AI613,Programma!$F$3:$U$1107,16,0),"")</f>
        <v>_</v>
      </c>
      <c r="AY613" s="300" t="str">
        <f>_xlfn.IFNA(VLOOKUP($AI613,Programma!$F$3:$V$1107,17,0),"")</f>
        <v>_</v>
      </c>
      <c r="AZ613" s="300" t="str">
        <f>_xlfn.IFNA(VLOOKUP($AI613,Programma!$F$3:$W$1107,18,0),"")</f>
        <v>4w</v>
      </c>
      <c r="BA613" s="300" t="str">
        <f>_xlfn.IFNA(VLOOKUP($AI613,Programma!$F$3:$X$1107,19,0),"")</f>
        <v>1w</v>
      </c>
      <c r="BB613" s="300" t="str">
        <f>_xlfn.IFNA(VLOOKUP($AI613,Programma!$F$3:$Y$1107,20,0),"")</f>
        <v>_</v>
      </c>
      <c r="BC613" s="257"/>
      <c r="BD613" s="256" t="str">
        <f>IF(Ruimtestaat[[#This Row],[Frequentie weekend]]="","",_xlfn.CONCAT(Ruimtestaat[[#This Row],[Ruimte code]],"-",Ruimtestaat[[#This Row],[Frequentie weekend]]," ",Ruimtestaat[[#This Row],[Vloer code]]))</f>
        <v/>
      </c>
      <c r="BE613" s="300" t="str">
        <f>_xlfn.IFNA(VLOOKUP($BD613,Programma!$F$3:$G$1107,2,0),"")</f>
        <v/>
      </c>
      <c r="BF613" s="300" t="str">
        <f>_xlfn.IFNA(VLOOKUP($BD613,Programma!$F$3:$H$1107,3,0),"")</f>
        <v/>
      </c>
      <c r="BG613" s="300" t="str">
        <f>_xlfn.IFNA(VLOOKUP($BD613,Programma!$F$3:$I$1107,4,0),"")</f>
        <v/>
      </c>
      <c r="BH613" s="300" t="str">
        <f>_xlfn.IFNA(VLOOKUP($BD613,Programma!$F$3:$J$1107,5,0),"")</f>
        <v/>
      </c>
      <c r="BI613" s="300" t="str">
        <f>_xlfn.IFNA(VLOOKUP($BD613,Programma!$F$3:$K$1107,6,0),"")</f>
        <v/>
      </c>
      <c r="BJ613" s="300" t="str">
        <f>_xlfn.IFNA(VLOOKUP($BD613,Programma!$F$3:$L$1107,7,0),"")</f>
        <v/>
      </c>
      <c r="BK613" s="300" t="str">
        <f>_xlfn.IFNA(VLOOKUP($BD613,Programma!$F$3:$M$1107,8,0),"")</f>
        <v/>
      </c>
      <c r="BL613" s="300" t="str">
        <f>_xlfn.IFNA(VLOOKUP($BD613,Programma!$F$3:$N$1107,9,0),"")</f>
        <v/>
      </c>
      <c r="BM613" s="300" t="str">
        <f>_xlfn.IFNA(VLOOKUP($BD613,Programma!$F$3:$O$1107,10,0),"")</f>
        <v/>
      </c>
      <c r="BN613" s="300" t="str">
        <f>_xlfn.IFNA(VLOOKUP($BD613,Programma!$F$3:$P$1107,11,0),"")</f>
        <v/>
      </c>
      <c r="BO613" s="300" t="str">
        <f>_xlfn.IFNA(VLOOKUP($BD613,Programma!$F$3:$Q$1107,12,0),"")</f>
        <v/>
      </c>
      <c r="BP613" s="300" t="str">
        <f>_xlfn.IFNA(VLOOKUP($BD613,Programma!$F$3:$R$1107,13,0),"")</f>
        <v/>
      </c>
      <c r="BQ613" s="300" t="str">
        <f>_xlfn.IFNA(VLOOKUP($BD613,Programma!$F$3:$S$1107,14,0),"")</f>
        <v/>
      </c>
      <c r="BR613" s="300" t="str">
        <f>_xlfn.IFNA(VLOOKUP($BD613,Programma!$F$3:$T$1107,15,0),"")</f>
        <v/>
      </c>
      <c r="BS613" s="300" t="str">
        <f>_xlfn.IFNA(VLOOKUP($BD613,Programma!$F$3:$U$1107,16,0),"")</f>
        <v/>
      </c>
      <c r="BT613" s="300" t="str">
        <f>_xlfn.IFNA(VLOOKUP($BD613,Programma!$F$3:$V$1107,17,0),"")</f>
        <v/>
      </c>
      <c r="BU613" s="300" t="str">
        <f>_xlfn.IFNA(VLOOKUP($BD613,Programma!$F$3:$W$1107,18,0),"")</f>
        <v/>
      </c>
      <c r="BV613" s="300" t="str">
        <f>_xlfn.IFNA(VLOOKUP($BD613,Programma!$F$3:$X$1107,19,0),"")</f>
        <v/>
      </c>
      <c r="BW613" s="300" t="str">
        <f>_xlfn.IFNA(VLOOKUP($BD613,Programma!$F$3:$Y$1107,20,0),"")</f>
        <v/>
      </c>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c r="GL613" s="4"/>
      <c r="GM613" s="4"/>
      <c r="GN613" s="4"/>
      <c r="GO613" s="4"/>
      <c r="GP613" s="4"/>
      <c r="GQ613" s="4"/>
      <c r="GR613" s="4"/>
      <c r="GS613" s="4"/>
      <c r="GT613" s="4"/>
      <c r="GU613" s="4"/>
      <c r="GV613" s="4"/>
      <c r="GW613" s="4"/>
      <c r="GX613" s="4"/>
      <c r="GY613" s="4"/>
      <c r="GZ613" s="4"/>
      <c r="HA613" s="4"/>
      <c r="HB613" s="4"/>
      <c r="HC613" s="4"/>
      <c r="HD613" s="4"/>
      <c r="HE613" s="4"/>
      <c r="HF613" s="4"/>
      <c r="HG613" s="4"/>
      <c r="HH613" s="4"/>
      <c r="HI613" s="4"/>
      <c r="HJ613" s="4"/>
      <c r="HK613" s="4"/>
      <c r="HL613" s="4"/>
    </row>
    <row r="614" spans="1:220" ht="15" customHeight="1">
      <c r="A614" s="21">
        <v>7</v>
      </c>
      <c r="B614" s="157" t="str">
        <f>VLOOKUP(Ruimtestaat[[#This Row],[Code]],Locaties[[Code]:[Locatie]],2,FALSE)</f>
        <v>Gymnasium Novum</v>
      </c>
      <c r="C614" s="157" t="str">
        <f>VLOOKUP(Ruimtestaat[[#This Row],[Code]],Locaties[[#All],[Code]:[Adres]],4,FALSE)</f>
        <v>Aart v.d. Leeuwkade 1</v>
      </c>
      <c r="D614" s="157" t="str">
        <f>VLOOKUP(Ruimtestaat[[#This Row],[Code]],Locaties[[#All],[Code]:[Postcode]],5,FALSE)</f>
        <v>2274 KX</v>
      </c>
      <c r="E614" s="157" t="str">
        <f>VLOOKUP(Ruimtestaat[[#This Row],[Code]],Locaties[#All],6,FALSE)</f>
        <v>Voorburg</v>
      </c>
      <c r="F614" s="62"/>
      <c r="G614" s="21" t="s">
        <v>1624</v>
      </c>
      <c r="H614" s="21" t="s">
        <v>1668</v>
      </c>
      <c r="I614" s="62" t="s">
        <v>1907</v>
      </c>
      <c r="J614" s="21">
        <v>5</v>
      </c>
      <c r="K614" s="62" t="str">
        <f>VLOOKUP(Ruimtestaat[[#This Row],[Ruimte code]],Ruimtegroepen[[#All],[Code]:[Ruimte omschrijving]],2,FALSE)</f>
        <v>Sanitair</v>
      </c>
      <c r="L614" s="33" t="s">
        <v>102</v>
      </c>
      <c r="M614" s="367" t="s">
        <v>2492</v>
      </c>
      <c r="N614" s="140">
        <v>11</v>
      </c>
      <c r="O614" s="140"/>
      <c r="P614" s="125" t="str">
        <f>VLOOKUP(Ruimtestaat[[#This Row],[Ruimte code]],Ruimtegroepen[],4,FALSE)</f>
        <v>Sa</v>
      </c>
      <c r="R614" s="33">
        <v>40</v>
      </c>
      <c r="S614" s="33" t="s">
        <v>2</v>
      </c>
      <c r="T614" s="33">
        <f>IF(R614&gt;0,IF(RIGHT(Ruimtestaat[[#This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14" s="33">
        <f>IF(T614&gt;0,VLOOKUP($J614,Ruimtegroepen[],3,FALSE)*VLOOKUP($L614,Vloersoorten[],3,FALSE)*VLOOKUP($S614,Frequenties[],3,FALSE)*VLOOKUP($A614,Locaties[],3,FALSE),0)</f>
        <v>0</v>
      </c>
      <c r="V614" s="33">
        <f>Ruimtestaat[[#This Row],[Uitvoeringen werkdagen]]*Ruimtestaat[[#This Row],[Oppervlak (netto)]]</f>
        <v>2200</v>
      </c>
      <c r="W614" s="154">
        <f>IF(U614&gt;0,Ruimtestaat[[#This Row],[Prest. (m2 /jaar) werkdagen]]/Ruimtestaat[[#This Row],[Norm (m2/uur) werkdagen]],0)</f>
        <v>0</v>
      </c>
      <c r="X614" s="155">
        <f>Ruimtestaat[[#This Row],[uren / jaar werkdagen]]*Tariefsopbouw!$E$35</f>
        <v>0</v>
      </c>
      <c r="Y614" s="33"/>
      <c r="Z614" s="33">
        <f>IF(Ruimtestaat[[#This Row],[Frequentie weekend]]&gt;0,VALUE(LEFT(Y614,1))*R614,0)</f>
        <v>0</v>
      </c>
      <c r="AA614" s="97">
        <f>IF($Z614&gt;0,VLOOKUP($J614,Ruimtegroepen[],3,FALSE)*VLOOKUP($L614,Vloersoorten[],3,FALSE)*VLOOKUP($Y614,Frequenties[],3,FALSE)*VLOOKUP(Ruimtestaat[[#This Row],[Code]],Locaties[],3,FALSE),0)</f>
        <v>0</v>
      </c>
      <c r="AB614" s="97">
        <f>Ruimtestaat[[#This Row],[Uitvoeringen weekend]]*Ruimtestaat[[#This Row],[Oppervlak (netto)]]</f>
        <v>0</v>
      </c>
      <c r="AC614" s="97">
        <f>IF(AA614&gt;0,Ruimtestaat[[#This Row],[Prest. (m2 /jaar) weekend]]/Ruimtestaat[[#This Row],[Norm (m2/uur) weekend]],0)</f>
        <v>0</v>
      </c>
      <c r="AD614" s="155">
        <f>Ruimtestaat[[#This Row],[uren / jaar weekend]]*Tariefsopbouw!$D$40</f>
        <v>0</v>
      </c>
      <c r="AE614" s="154">
        <f>Ruimtestaat[[#This Row],[Prest. (m2 /jaar) weekend]]+Ruimtestaat[[#This Row],[Prest. (m2 /jaar) werkdagen]]</f>
        <v>2200</v>
      </c>
      <c r="AF614" s="154">
        <f>Ruimtestaat[[#This Row],[uren / jaar weekend]]+Ruimtestaat[[#This Row],[uren / jaar werkdagen]]</f>
        <v>0</v>
      </c>
      <c r="AG614" s="69">
        <f>Ruimtestaat[[#This Row],[kosten / jaar weekend]]+Ruimtestaat[[#This Row],[kosten / jaar werkdagen]]</f>
        <v>0</v>
      </c>
      <c r="AH614" s="69"/>
      <c r="AI614" s="256" t="str">
        <f>IF(Ruimtestaat[[#This Row],[Frequentie werkdagen]]="","",_xlfn.CONCAT(Ruimtestaat[[#This Row],[Ruimte code]],"-",Ruimtestaat[[#This Row],[Frequentie werkdagen]]," ",Ruimtestaat[[#This Row],[Vloer code]]))</f>
        <v>5-5w S</v>
      </c>
      <c r="AJ614" s="300" t="str">
        <f>_xlfn.IFNA(VLOOKUP($AI614,Programma!$F$3:$G$1107,2,0),"")</f>
        <v>_</v>
      </c>
      <c r="AK614" s="300" t="str">
        <f>_xlfn.IFNA(VLOOKUP($AI614,Programma!$F$3:$H$1107,3,0),"")</f>
        <v>_</v>
      </c>
      <c r="AL614" s="300" t="str">
        <f>_xlfn.IFNA(VLOOKUP($AI614,Programma!$F$3:$I$1107,4,0),"")</f>
        <v>_</v>
      </c>
      <c r="AM614" s="300" t="str">
        <f>_xlfn.IFNA(VLOOKUP($AI614,Programma!$F$3:$J$1107,5,0),"")</f>
        <v>4w</v>
      </c>
      <c r="AN614" s="300" t="str">
        <f>_xlfn.IFNA(VLOOKUP($AI614,Programma!$F$3:$K$1107,6,0),"")</f>
        <v>1w</v>
      </c>
      <c r="AO614" s="300" t="str">
        <f>_xlfn.IFNA(VLOOKUP($AI614,Programma!$F$3:$L$1107,7,0),"")</f>
        <v>_</v>
      </c>
      <c r="AP614" s="300" t="str">
        <f>_xlfn.IFNA(VLOOKUP($AI614,Programma!$F$3:$M$1107,8,0),"")</f>
        <v>_</v>
      </c>
      <c r="AQ614" s="300" t="str">
        <f>_xlfn.IFNA(VLOOKUP($AI614,Programma!$F$3:$N$1107,9,0),"")</f>
        <v>_</v>
      </c>
      <c r="AR614" s="300" t="str">
        <f>_xlfn.IFNA(VLOOKUP($AI614,Programma!$F$3:$O$1107,10,0),"")</f>
        <v>_</v>
      </c>
      <c r="AS614" s="300" t="str">
        <f>_xlfn.IFNA(VLOOKUP($AI614,Programma!$F$3:$P$1107,11,0),"")</f>
        <v>_</v>
      </c>
      <c r="AT614" s="300" t="str">
        <f>_xlfn.IFNA(VLOOKUP($AI614,Programma!$F$3:$Q$1107,12,0),"")</f>
        <v>_</v>
      </c>
      <c r="AU614" s="300" t="str">
        <f>_xlfn.IFNA(VLOOKUP($AI614,Programma!$F$3:$R$1107,13,0),"")</f>
        <v>_</v>
      </c>
      <c r="AV614" s="300" t="str">
        <f>_xlfn.IFNA(VLOOKUP($AI614,Programma!$F$3:$S$1107,14,0),"")</f>
        <v>_</v>
      </c>
      <c r="AW614" s="300" t="str">
        <f>_xlfn.IFNA(VLOOKUP($AI614,Programma!$F$3:$T$1107,15,0),"")</f>
        <v>_</v>
      </c>
      <c r="AX614" s="300" t="str">
        <f>_xlfn.IFNA(VLOOKUP($AI614,Programma!$F$3:$U$1107,16,0),"")</f>
        <v>_</v>
      </c>
      <c r="AY614" s="300" t="str">
        <f>_xlfn.IFNA(VLOOKUP($AI614,Programma!$F$3:$V$1107,17,0),"")</f>
        <v>_</v>
      </c>
      <c r="AZ614" s="300" t="str">
        <f>_xlfn.IFNA(VLOOKUP($AI614,Programma!$F$3:$W$1107,18,0),"")</f>
        <v>4w</v>
      </c>
      <c r="BA614" s="300" t="str">
        <f>_xlfn.IFNA(VLOOKUP($AI614,Programma!$F$3:$X$1107,19,0),"")</f>
        <v>1w</v>
      </c>
      <c r="BB614" s="300" t="str">
        <f>_xlfn.IFNA(VLOOKUP($AI614,Programma!$F$3:$Y$1107,20,0),"")</f>
        <v>_</v>
      </c>
      <c r="BC614" s="257"/>
      <c r="BD614" s="256" t="str">
        <f>IF(Ruimtestaat[[#This Row],[Frequentie weekend]]="","",_xlfn.CONCAT(Ruimtestaat[[#This Row],[Ruimte code]],"-",Ruimtestaat[[#This Row],[Frequentie weekend]]," ",Ruimtestaat[[#This Row],[Vloer code]]))</f>
        <v/>
      </c>
      <c r="BE614" s="300" t="str">
        <f>_xlfn.IFNA(VLOOKUP($BD614,Programma!$F$3:$G$1107,2,0),"")</f>
        <v/>
      </c>
      <c r="BF614" s="300" t="str">
        <f>_xlfn.IFNA(VLOOKUP($BD614,Programma!$F$3:$H$1107,3,0),"")</f>
        <v/>
      </c>
      <c r="BG614" s="300" t="str">
        <f>_xlfn.IFNA(VLOOKUP($BD614,Programma!$F$3:$I$1107,4,0),"")</f>
        <v/>
      </c>
      <c r="BH614" s="300" t="str">
        <f>_xlfn.IFNA(VLOOKUP($BD614,Programma!$F$3:$J$1107,5,0),"")</f>
        <v/>
      </c>
      <c r="BI614" s="300" t="str">
        <f>_xlfn.IFNA(VLOOKUP($BD614,Programma!$F$3:$K$1107,6,0),"")</f>
        <v/>
      </c>
      <c r="BJ614" s="300" t="str">
        <f>_xlfn.IFNA(VLOOKUP($BD614,Programma!$F$3:$L$1107,7,0),"")</f>
        <v/>
      </c>
      <c r="BK614" s="300" t="str">
        <f>_xlfn.IFNA(VLOOKUP($BD614,Programma!$F$3:$M$1107,8,0),"")</f>
        <v/>
      </c>
      <c r="BL614" s="300" t="str">
        <f>_xlfn.IFNA(VLOOKUP($BD614,Programma!$F$3:$N$1107,9,0),"")</f>
        <v/>
      </c>
      <c r="BM614" s="300" t="str">
        <f>_xlfn.IFNA(VLOOKUP($BD614,Programma!$F$3:$O$1107,10,0),"")</f>
        <v/>
      </c>
      <c r="BN614" s="300" t="str">
        <f>_xlfn.IFNA(VLOOKUP($BD614,Programma!$F$3:$P$1107,11,0),"")</f>
        <v/>
      </c>
      <c r="BO614" s="300" t="str">
        <f>_xlfn.IFNA(VLOOKUP($BD614,Programma!$F$3:$Q$1107,12,0),"")</f>
        <v/>
      </c>
      <c r="BP614" s="300" t="str">
        <f>_xlfn.IFNA(VLOOKUP($BD614,Programma!$F$3:$R$1107,13,0),"")</f>
        <v/>
      </c>
      <c r="BQ614" s="300" t="str">
        <f>_xlfn.IFNA(VLOOKUP($BD614,Programma!$F$3:$S$1107,14,0),"")</f>
        <v/>
      </c>
      <c r="BR614" s="300" t="str">
        <f>_xlfn.IFNA(VLOOKUP($BD614,Programma!$F$3:$T$1107,15,0),"")</f>
        <v/>
      </c>
      <c r="BS614" s="300" t="str">
        <f>_xlfn.IFNA(VLOOKUP($BD614,Programma!$F$3:$U$1107,16,0),"")</f>
        <v/>
      </c>
      <c r="BT614" s="300" t="str">
        <f>_xlfn.IFNA(VLOOKUP($BD614,Programma!$F$3:$V$1107,17,0),"")</f>
        <v/>
      </c>
      <c r="BU614" s="300" t="str">
        <f>_xlfn.IFNA(VLOOKUP($BD614,Programma!$F$3:$W$1107,18,0),"")</f>
        <v/>
      </c>
      <c r="BV614" s="300" t="str">
        <f>_xlfn.IFNA(VLOOKUP($BD614,Programma!$F$3:$X$1107,19,0),"")</f>
        <v/>
      </c>
      <c r="BW614" s="300" t="str">
        <f>_xlfn.IFNA(VLOOKUP($BD614,Programma!$F$3:$Y$1107,20,0),"")</f>
        <v/>
      </c>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c r="GK614" s="4"/>
      <c r="GL614" s="4"/>
      <c r="GM614" s="4"/>
      <c r="GN614" s="4"/>
      <c r="GO614" s="4"/>
      <c r="GP614" s="4"/>
      <c r="GQ614" s="4"/>
      <c r="GR614" s="4"/>
      <c r="GS614" s="4"/>
      <c r="GT614" s="4"/>
      <c r="GU614" s="4"/>
      <c r="GV614" s="4"/>
      <c r="GW614" s="4"/>
      <c r="GX614" s="4"/>
      <c r="GY614" s="4"/>
      <c r="GZ614" s="4"/>
      <c r="HA614" s="4"/>
      <c r="HB614" s="4"/>
      <c r="HC614" s="4"/>
      <c r="HD614" s="4"/>
      <c r="HE614" s="4"/>
      <c r="HF614" s="4"/>
      <c r="HG614" s="4"/>
      <c r="HH614" s="4"/>
      <c r="HI614" s="4"/>
      <c r="HJ614" s="4"/>
      <c r="HK614" s="4"/>
      <c r="HL614" s="4"/>
    </row>
    <row r="615" spans="1:220" ht="15" customHeight="1">
      <c r="A615" s="21">
        <v>7</v>
      </c>
      <c r="B615" s="157" t="str">
        <f>VLOOKUP(Ruimtestaat[[#This Row],[Code]],Locaties[[Code]:[Locatie]],2,FALSE)</f>
        <v>Gymnasium Novum</v>
      </c>
      <c r="C615" s="157" t="str">
        <f>VLOOKUP(Ruimtestaat[[#This Row],[Code]],Locaties[[#All],[Code]:[Adres]],4,FALSE)</f>
        <v>Aart v.d. Leeuwkade 1</v>
      </c>
      <c r="D615" s="157" t="str">
        <f>VLOOKUP(Ruimtestaat[[#This Row],[Code]],Locaties[[#All],[Code]:[Postcode]],5,FALSE)</f>
        <v>2274 KX</v>
      </c>
      <c r="E615" s="157" t="str">
        <f>VLOOKUP(Ruimtestaat[[#This Row],[Code]],Locaties[#All],6,FALSE)</f>
        <v>Voorburg</v>
      </c>
      <c r="F615" s="62"/>
      <c r="G615" s="21" t="s">
        <v>1624</v>
      </c>
      <c r="H615" s="21" t="s">
        <v>1670</v>
      </c>
      <c r="I615" s="62" t="s">
        <v>2162</v>
      </c>
      <c r="J615" s="21">
        <v>1</v>
      </c>
      <c r="K615" s="62" t="str">
        <f>VLOOKUP(Ruimtestaat[[#This Row],[Ruimte code]],Ruimtegroepen[[#All],[Code]:[Ruimte omschrijving]],2,FALSE)</f>
        <v>Magazijnen/bergingen</v>
      </c>
      <c r="L615" s="33" t="s">
        <v>101</v>
      </c>
      <c r="M615" s="367" t="s">
        <v>2495</v>
      </c>
      <c r="N615" s="140">
        <v>16</v>
      </c>
      <c r="O615" s="140"/>
      <c r="P615" s="125" t="str">
        <f>VLOOKUP(Ruimtestaat[[#This Row],[Ruimte code]],Ruimtegroepen[],4,FALSE)</f>
        <v>Ve</v>
      </c>
      <c r="R615" s="33">
        <v>40</v>
      </c>
      <c r="S615" s="33" t="s">
        <v>16</v>
      </c>
      <c r="T615" s="33">
        <f>IF(R615&gt;0,IF(RIGHT(Ruimtestaat[[#This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615" s="33">
        <f>IF(T615&gt;0,VLOOKUP($J615,Ruimtegroepen[],3,FALSE)*VLOOKUP($L615,Vloersoorten[],3,FALSE)*VLOOKUP($S615,Frequenties[],3,FALSE)*VLOOKUP($A615,Locaties[],3,FALSE),0)</f>
        <v>0</v>
      </c>
      <c r="V615" s="33">
        <f>Ruimtestaat[[#This Row],[Uitvoeringen werkdagen]]*Ruimtestaat[[#This Row],[Oppervlak (netto)]]</f>
        <v>192</v>
      </c>
      <c r="W615" s="154">
        <f>IF(U615&gt;0,Ruimtestaat[[#This Row],[Prest. (m2 /jaar) werkdagen]]/Ruimtestaat[[#This Row],[Norm (m2/uur) werkdagen]],0)</f>
        <v>0</v>
      </c>
      <c r="X615" s="155">
        <f>Ruimtestaat[[#This Row],[uren / jaar werkdagen]]*Tariefsopbouw!$E$35</f>
        <v>0</v>
      </c>
      <c r="Y615" s="33"/>
      <c r="Z615" s="33">
        <f>IF(Ruimtestaat[[#This Row],[Frequentie weekend]]&gt;0,VALUE(LEFT(Y615,1))*R615,0)</f>
        <v>0</v>
      </c>
      <c r="AA615" s="97">
        <f>IF($Z615&gt;0,VLOOKUP($J615,Ruimtegroepen[],3,FALSE)*VLOOKUP($L615,Vloersoorten[],3,FALSE)*VLOOKUP($Y615,Frequenties[],3,FALSE)*VLOOKUP(Ruimtestaat[[#This Row],[Code]],Locaties[],3,FALSE),0)</f>
        <v>0</v>
      </c>
      <c r="AB615" s="97">
        <f>Ruimtestaat[[#This Row],[Uitvoeringen weekend]]*Ruimtestaat[[#This Row],[Oppervlak (netto)]]</f>
        <v>0</v>
      </c>
      <c r="AC615" s="97">
        <f>IF(AA615&gt;0,Ruimtestaat[[#This Row],[Prest. (m2 /jaar) weekend]]/Ruimtestaat[[#This Row],[Norm (m2/uur) weekend]],0)</f>
        <v>0</v>
      </c>
      <c r="AD615" s="155">
        <f>Ruimtestaat[[#This Row],[uren / jaar weekend]]*Tariefsopbouw!$D$40</f>
        <v>0</v>
      </c>
      <c r="AE615" s="154">
        <f>Ruimtestaat[[#This Row],[Prest. (m2 /jaar) weekend]]+Ruimtestaat[[#This Row],[Prest. (m2 /jaar) werkdagen]]</f>
        <v>192</v>
      </c>
      <c r="AF615" s="154">
        <f>Ruimtestaat[[#This Row],[uren / jaar weekend]]+Ruimtestaat[[#This Row],[uren / jaar werkdagen]]</f>
        <v>0</v>
      </c>
      <c r="AG615" s="69">
        <f>Ruimtestaat[[#This Row],[kosten / jaar weekend]]+Ruimtestaat[[#This Row],[kosten / jaar werkdagen]]</f>
        <v>0</v>
      </c>
      <c r="AH615" s="69"/>
      <c r="AI615" s="256" t="str">
        <f>IF(Ruimtestaat[[#This Row],[Frequentie werkdagen]]="","",_xlfn.CONCAT(Ruimtestaat[[#This Row],[Ruimte code]],"-",Ruimtestaat[[#This Row],[Frequentie werkdagen]]," ",Ruimtestaat[[#This Row],[Vloer code]]))</f>
        <v>1-1m L</v>
      </c>
      <c r="AJ615" s="300" t="str">
        <f>_xlfn.IFNA(VLOOKUP($AI615,Programma!$F$3:$G$1107,2,0),"")</f>
        <v>_</v>
      </c>
      <c r="AK615" s="300" t="str">
        <f>_xlfn.IFNA(VLOOKUP($AI615,Programma!$F$3:$H$1107,3,0),"")</f>
        <v>_</v>
      </c>
      <c r="AL615" s="300" t="str">
        <f>_xlfn.IFNA(VLOOKUP($AI615,Programma!$F$3:$I$1107,4,0),"")</f>
        <v>1m</v>
      </c>
      <c r="AM615" s="300" t="str">
        <f>_xlfn.IFNA(VLOOKUP($AI615,Programma!$F$3:$J$1107,5,0),"")</f>
        <v>1m</v>
      </c>
      <c r="AN615" s="300" t="str">
        <f>_xlfn.IFNA(VLOOKUP($AI615,Programma!$F$3:$K$1107,6,0),"")</f>
        <v>_</v>
      </c>
      <c r="AO615" s="300" t="str">
        <f>_xlfn.IFNA(VLOOKUP($AI615,Programma!$F$3:$L$1107,7,0),"")</f>
        <v>_</v>
      </c>
      <c r="AP615" s="300" t="str">
        <f>_xlfn.IFNA(VLOOKUP($AI615,Programma!$F$3:$M$1107,8,0),"")</f>
        <v>_</v>
      </c>
      <c r="AQ615" s="300" t="str">
        <f>_xlfn.IFNA(VLOOKUP($AI615,Programma!$F$3:$N$1107,9,0),"")</f>
        <v>_</v>
      </c>
      <c r="AR615" s="300" t="str">
        <f>_xlfn.IFNA(VLOOKUP($AI615,Programma!$F$3:$O$1107,10,0),"")</f>
        <v>_</v>
      </c>
      <c r="AS615" s="300" t="str">
        <f>_xlfn.IFNA(VLOOKUP($AI615,Programma!$F$3:$P$1107,11,0),"")</f>
        <v>_</v>
      </c>
      <c r="AT615" s="300" t="str">
        <f>_xlfn.IFNA(VLOOKUP($AI615,Programma!$F$3:$Q$1107,12,0),"")</f>
        <v>_</v>
      </c>
      <c r="AU615" s="300" t="str">
        <f>_xlfn.IFNA(VLOOKUP($AI615,Programma!$F$3:$R$1107,13,0),"")</f>
        <v>_</v>
      </c>
      <c r="AV615" s="300" t="str">
        <f>_xlfn.IFNA(VLOOKUP($AI615,Programma!$F$3:$S$1107,14,0),"")</f>
        <v>1m</v>
      </c>
      <c r="AW615" s="300" t="str">
        <f>_xlfn.IFNA(VLOOKUP($AI615,Programma!$F$3:$T$1107,15,0),"")</f>
        <v>4j</v>
      </c>
      <c r="AX615" s="300" t="str">
        <f>_xlfn.IFNA(VLOOKUP($AI615,Programma!$F$3:$U$1107,16,0),"")</f>
        <v>4j</v>
      </c>
      <c r="AY615" s="300" t="str">
        <f>_xlfn.IFNA(VLOOKUP($AI615,Programma!$F$3:$V$1107,17,0),"")</f>
        <v>_</v>
      </c>
      <c r="AZ615" s="300" t="str">
        <f>_xlfn.IFNA(VLOOKUP($AI615,Programma!$F$3:$W$1107,18,0),"")</f>
        <v>_</v>
      </c>
      <c r="BA615" s="300" t="str">
        <f>_xlfn.IFNA(VLOOKUP($AI615,Programma!$F$3:$X$1107,19,0),"")</f>
        <v>_</v>
      </c>
      <c r="BB615" s="300" t="str">
        <f>_xlfn.IFNA(VLOOKUP($AI615,Programma!$F$3:$Y$1107,20,0),"")</f>
        <v>_</v>
      </c>
      <c r="BC615" s="257"/>
      <c r="BD615" s="256" t="str">
        <f>IF(Ruimtestaat[[#This Row],[Frequentie weekend]]="","",_xlfn.CONCAT(Ruimtestaat[[#This Row],[Ruimte code]],"-",Ruimtestaat[[#This Row],[Frequentie weekend]]," ",Ruimtestaat[[#This Row],[Vloer code]]))</f>
        <v/>
      </c>
      <c r="BE615" s="300" t="str">
        <f>_xlfn.IFNA(VLOOKUP($BD615,Programma!$F$3:$G$1107,2,0),"")</f>
        <v/>
      </c>
      <c r="BF615" s="300" t="str">
        <f>_xlfn.IFNA(VLOOKUP($BD615,Programma!$F$3:$H$1107,3,0),"")</f>
        <v/>
      </c>
      <c r="BG615" s="300" t="str">
        <f>_xlfn.IFNA(VLOOKUP($BD615,Programma!$F$3:$I$1107,4,0),"")</f>
        <v/>
      </c>
      <c r="BH615" s="300" t="str">
        <f>_xlfn.IFNA(VLOOKUP($BD615,Programma!$F$3:$J$1107,5,0),"")</f>
        <v/>
      </c>
      <c r="BI615" s="300" t="str">
        <f>_xlfn.IFNA(VLOOKUP($BD615,Programma!$F$3:$K$1107,6,0),"")</f>
        <v/>
      </c>
      <c r="BJ615" s="300" t="str">
        <f>_xlfn.IFNA(VLOOKUP($BD615,Programma!$F$3:$L$1107,7,0),"")</f>
        <v/>
      </c>
      <c r="BK615" s="300" t="str">
        <f>_xlfn.IFNA(VLOOKUP($BD615,Programma!$F$3:$M$1107,8,0),"")</f>
        <v/>
      </c>
      <c r="BL615" s="300" t="str">
        <f>_xlfn.IFNA(VLOOKUP($BD615,Programma!$F$3:$N$1107,9,0),"")</f>
        <v/>
      </c>
      <c r="BM615" s="300" t="str">
        <f>_xlfn.IFNA(VLOOKUP($BD615,Programma!$F$3:$O$1107,10,0),"")</f>
        <v/>
      </c>
      <c r="BN615" s="300" t="str">
        <f>_xlfn.IFNA(VLOOKUP($BD615,Programma!$F$3:$P$1107,11,0),"")</f>
        <v/>
      </c>
      <c r="BO615" s="300" t="str">
        <f>_xlfn.IFNA(VLOOKUP($BD615,Programma!$F$3:$Q$1107,12,0),"")</f>
        <v/>
      </c>
      <c r="BP615" s="300" t="str">
        <f>_xlfn.IFNA(VLOOKUP($BD615,Programma!$F$3:$R$1107,13,0),"")</f>
        <v/>
      </c>
      <c r="BQ615" s="300" t="str">
        <f>_xlfn.IFNA(VLOOKUP($BD615,Programma!$F$3:$S$1107,14,0),"")</f>
        <v/>
      </c>
      <c r="BR615" s="300" t="str">
        <f>_xlfn.IFNA(VLOOKUP($BD615,Programma!$F$3:$T$1107,15,0),"")</f>
        <v/>
      </c>
      <c r="BS615" s="300" t="str">
        <f>_xlfn.IFNA(VLOOKUP($BD615,Programma!$F$3:$U$1107,16,0),"")</f>
        <v/>
      </c>
      <c r="BT615" s="300" t="str">
        <f>_xlfn.IFNA(VLOOKUP($BD615,Programma!$F$3:$V$1107,17,0),"")</f>
        <v/>
      </c>
      <c r="BU615" s="300" t="str">
        <f>_xlfn.IFNA(VLOOKUP($BD615,Programma!$F$3:$W$1107,18,0),"")</f>
        <v/>
      </c>
      <c r="BV615" s="300" t="str">
        <f>_xlfn.IFNA(VLOOKUP($BD615,Programma!$F$3:$X$1107,19,0),"")</f>
        <v/>
      </c>
      <c r="BW615" s="300" t="str">
        <f>_xlfn.IFNA(VLOOKUP($BD615,Programma!$F$3:$Y$1107,20,0),"")</f>
        <v/>
      </c>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c r="GK615" s="4"/>
      <c r="GL615" s="4"/>
      <c r="GM615" s="4"/>
      <c r="GN615" s="4"/>
      <c r="GO615" s="4"/>
      <c r="GP615" s="4"/>
      <c r="GQ615" s="4"/>
      <c r="GR615" s="4"/>
      <c r="GS615" s="4"/>
      <c r="GT615" s="4"/>
      <c r="GU615" s="4"/>
      <c r="GV615" s="4"/>
      <c r="GW615" s="4"/>
      <c r="GX615" s="4"/>
      <c r="GY615" s="4"/>
      <c r="GZ615" s="4"/>
      <c r="HA615" s="4"/>
      <c r="HB615" s="4"/>
      <c r="HC615" s="4"/>
      <c r="HD615" s="4"/>
      <c r="HE615" s="4"/>
      <c r="HF615" s="4"/>
      <c r="HG615" s="4"/>
      <c r="HH615" s="4"/>
      <c r="HI615" s="4"/>
      <c r="HJ615" s="4"/>
      <c r="HK615" s="4"/>
      <c r="HL615" s="4"/>
    </row>
    <row r="616" spans="1:220" ht="15" customHeight="1">
      <c r="A616" s="21">
        <v>7</v>
      </c>
      <c r="B616" s="157" t="str">
        <f>VLOOKUP(Ruimtestaat[[#This Row],[Code]],Locaties[[Code]:[Locatie]],2,FALSE)</f>
        <v>Gymnasium Novum</v>
      </c>
      <c r="C616" s="157" t="str">
        <f>VLOOKUP(Ruimtestaat[[#This Row],[Code]],Locaties[[#All],[Code]:[Adres]],4,FALSE)</f>
        <v>Aart v.d. Leeuwkade 1</v>
      </c>
      <c r="D616" s="157" t="str">
        <f>VLOOKUP(Ruimtestaat[[#This Row],[Code]],Locaties[[#All],[Code]:[Postcode]],5,FALSE)</f>
        <v>2274 KX</v>
      </c>
      <c r="E616" s="157" t="str">
        <f>VLOOKUP(Ruimtestaat[[#This Row],[Code]],Locaties[#All],6,FALSE)</f>
        <v>Voorburg</v>
      </c>
      <c r="F616" s="62"/>
      <c r="G616" s="21" t="s">
        <v>1624</v>
      </c>
      <c r="H616" s="21" t="s">
        <v>1672</v>
      </c>
      <c r="I616" s="62" t="s">
        <v>2163</v>
      </c>
      <c r="J616" s="21">
        <v>16</v>
      </c>
      <c r="K616" s="62" t="str">
        <f>VLOOKUP(Ruimtestaat[[#This Row],[Ruimte code]],Ruimtegroepen[[#All],[Code]:[Ruimte omschrijving]],2,FALSE)</f>
        <v>Leslokalen theorie</v>
      </c>
      <c r="L616" s="33" t="s">
        <v>101</v>
      </c>
      <c r="M616" s="367" t="s">
        <v>2495</v>
      </c>
      <c r="N616" s="140">
        <v>53</v>
      </c>
      <c r="O616" s="140"/>
      <c r="P616" s="125" t="str">
        <f>VLOOKUP(Ruimtestaat[[#This Row],[Ruimte code]],Ruimtegroepen[],4,FALSE)</f>
        <v>Le</v>
      </c>
      <c r="R616" s="33">
        <v>40</v>
      </c>
      <c r="S616" s="33" t="s">
        <v>2</v>
      </c>
      <c r="T616" s="33">
        <f>IF(R616&gt;0,IF(RIGHT(Ruimtestaat[[#This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16" s="33">
        <f>IF(T616&gt;0,VLOOKUP($J616,Ruimtegroepen[],3,FALSE)*VLOOKUP($L616,Vloersoorten[],3,FALSE)*VLOOKUP($S616,Frequenties[],3,FALSE)*VLOOKUP($A616,Locaties[],3,FALSE),0)</f>
        <v>0</v>
      </c>
      <c r="V616" s="33">
        <f>Ruimtestaat[[#This Row],[Uitvoeringen werkdagen]]*Ruimtestaat[[#This Row],[Oppervlak (netto)]]</f>
        <v>10600</v>
      </c>
      <c r="W616" s="154">
        <f>IF(U616&gt;0,Ruimtestaat[[#This Row],[Prest. (m2 /jaar) werkdagen]]/Ruimtestaat[[#This Row],[Norm (m2/uur) werkdagen]],0)</f>
        <v>0</v>
      </c>
      <c r="X616" s="155">
        <f>Ruimtestaat[[#This Row],[uren / jaar werkdagen]]*Tariefsopbouw!$E$35</f>
        <v>0</v>
      </c>
      <c r="Y616" s="33"/>
      <c r="Z616" s="33">
        <f>IF(Ruimtestaat[[#This Row],[Frequentie weekend]]&gt;0,VALUE(LEFT(Y616,1))*R616,0)</f>
        <v>0</v>
      </c>
      <c r="AA616" s="97">
        <f>IF($Z616&gt;0,VLOOKUP($J616,Ruimtegroepen[],3,FALSE)*VLOOKUP($L616,Vloersoorten[],3,FALSE)*VLOOKUP($Y616,Frequenties[],3,FALSE)*VLOOKUP(Ruimtestaat[[#This Row],[Code]],Locaties[],3,FALSE),0)</f>
        <v>0</v>
      </c>
      <c r="AB616" s="97">
        <f>Ruimtestaat[[#This Row],[Uitvoeringen weekend]]*Ruimtestaat[[#This Row],[Oppervlak (netto)]]</f>
        <v>0</v>
      </c>
      <c r="AC616" s="97">
        <f>IF(AA616&gt;0,Ruimtestaat[[#This Row],[Prest. (m2 /jaar) weekend]]/Ruimtestaat[[#This Row],[Norm (m2/uur) weekend]],0)</f>
        <v>0</v>
      </c>
      <c r="AD616" s="155">
        <f>Ruimtestaat[[#This Row],[uren / jaar weekend]]*Tariefsopbouw!$D$40</f>
        <v>0</v>
      </c>
      <c r="AE616" s="154">
        <f>Ruimtestaat[[#This Row],[Prest. (m2 /jaar) weekend]]+Ruimtestaat[[#This Row],[Prest. (m2 /jaar) werkdagen]]</f>
        <v>10600</v>
      </c>
      <c r="AF616" s="154">
        <f>Ruimtestaat[[#This Row],[uren / jaar weekend]]+Ruimtestaat[[#This Row],[uren / jaar werkdagen]]</f>
        <v>0</v>
      </c>
      <c r="AG616" s="69">
        <f>Ruimtestaat[[#This Row],[kosten / jaar weekend]]+Ruimtestaat[[#This Row],[kosten / jaar werkdagen]]</f>
        <v>0</v>
      </c>
      <c r="AH616" s="69"/>
      <c r="AI616" s="256" t="str">
        <f>IF(Ruimtestaat[[#This Row],[Frequentie werkdagen]]="","",_xlfn.CONCAT(Ruimtestaat[[#This Row],[Ruimte code]],"-",Ruimtestaat[[#This Row],[Frequentie werkdagen]]," ",Ruimtestaat[[#This Row],[Vloer code]]))</f>
        <v>16-5w L</v>
      </c>
      <c r="AJ616" s="300" t="str">
        <f>_xlfn.IFNA(VLOOKUP($AI616,Programma!$F$3:$G$1107,2,0),"")</f>
        <v>_</v>
      </c>
      <c r="AK616" s="300" t="str">
        <f>_xlfn.IFNA(VLOOKUP($AI616,Programma!$F$3:$H$1107,3,0),"")</f>
        <v>_</v>
      </c>
      <c r="AL616" s="300" t="str">
        <f>_xlfn.IFNA(VLOOKUP($AI616,Programma!$F$3:$I$1107,4,0),"")</f>
        <v>4w</v>
      </c>
      <c r="AM616" s="300" t="str">
        <f>_xlfn.IFNA(VLOOKUP($AI616,Programma!$F$3:$J$1107,5,0),"")</f>
        <v>1w</v>
      </c>
      <c r="AN616" s="300" t="str">
        <f>_xlfn.IFNA(VLOOKUP($AI616,Programma!$F$3:$K$1107,6,0),"")</f>
        <v>_</v>
      </c>
      <c r="AO616" s="300" t="str">
        <f>_xlfn.IFNA(VLOOKUP($AI616,Programma!$F$3:$L$1107,7,0),"")</f>
        <v>_</v>
      </c>
      <c r="AP616" s="300" t="str">
        <f>_xlfn.IFNA(VLOOKUP($AI616,Programma!$F$3:$M$1107,8,0),"")</f>
        <v>_</v>
      </c>
      <c r="AQ616" s="300" t="str">
        <f>_xlfn.IFNA(VLOOKUP($AI616,Programma!$F$3:$N$1107,9,0),"")</f>
        <v>_</v>
      </c>
      <c r="AR616" s="300" t="str">
        <f>_xlfn.IFNA(VLOOKUP($AI616,Programma!$F$3:$O$1107,10,0),"")</f>
        <v>5w</v>
      </c>
      <c r="AS616" s="300" t="str">
        <f>_xlfn.IFNA(VLOOKUP($AI616,Programma!$F$3:$P$1107,11,0),"")</f>
        <v>5w</v>
      </c>
      <c r="AT616" s="300" t="str">
        <f>_xlfn.IFNA(VLOOKUP($AI616,Programma!$F$3:$Q$1107,12,0),"")</f>
        <v>1w</v>
      </c>
      <c r="AU616" s="300" t="str">
        <f>_xlfn.IFNA(VLOOKUP($AI616,Programma!$F$3:$R$1107,13,0),"")</f>
        <v>1w</v>
      </c>
      <c r="AV616" s="300" t="str">
        <f>_xlfn.IFNA(VLOOKUP($AI616,Programma!$F$3:$S$1107,14,0),"")</f>
        <v>1m</v>
      </c>
      <c r="AW616" s="300" t="str">
        <f>_xlfn.IFNA(VLOOKUP($AI616,Programma!$F$3:$T$1107,15,0),"")</f>
        <v>2j</v>
      </c>
      <c r="AX616" s="300" t="str">
        <f>_xlfn.IFNA(VLOOKUP($AI616,Programma!$F$3:$U$1107,16,0),"")</f>
        <v>1j</v>
      </c>
      <c r="AY616" s="300" t="str">
        <f>_xlfn.IFNA(VLOOKUP($AI616,Programma!$F$3:$V$1107,17,0),"")</f>
        <v>_</v>
      </c>
      <c r="AZ616" s="300" t="str">
        <f>_xlfn.IFNA(VLOOKUP($AI616,Programma!$F$3:$W$1107,18,0),"")</f>
        <v>_</v>
      </c>
      <c r="BA616" s="300" t="str">
        <f>_xlfn.IFNA(VLOOKUP($AI616,Programma!$F$3:$X$1107,19,0),"")</f>
        <v>_</v>
      </c>
      <c r="BB616" s="300" t="str">
        <f>_xlfn.IFNA(VLOOKUP($AI616,Programma!$F$3:$Y$1107,20,0),"")</f>
        <v>_</v>
      </c>
      <c r="BC616" s="257"/>
      <c r="BD616" s="256" t="str">
        <f>IF(Ruimtestaat[[#This Row],[Frequentie weekend]]="","",_xlfn.CONCAT(Ruimtestaat[[#This Row],[Ruimte code]],"-",Ruimtestaat[[#This Row],[Frequentie weekend]]," ",Ruimtestaat[[#This Row],[Vloer code]]))</f>
        <v/>
      </c>
      <c r="BE616" s="300" t="str">
        <f>_xlfn.IFNA(VLOOKUP($BD616,Programma!$F$3:$G$1107,2,0),"")</f>
        <v/>
      </c>
      <c r="BF616" s="300" t="str">
        <f>_xlfn.IFNA(VLOOKUP($BD616,Programma!$F$3:$H$1107,3,0),"")</f>
        <v/>
      </c>
      <c r="BG616" s="300" t="str">
        <f>_xlfn.IFNA(VLOOKUP($BD616,Programma!$F$3:$I$1107,4,0),"")</f>
        <v/>
      </c>
      <c r="BH616" s="300" t="str">
        <f>_xlfn.IFNA(VLOOKUP($BD616,Programma!$F$3:$J$1107,5,0),"")</f>
        <v/>
      </c>
      <c r="BI616" s="300" t="str">
        <f>_xlfn.IFNA(VLOOKUP($BD616,Programma!$F$3:$K$1107,6,0),"")</f>
        <v/>
      </c>
      <c r="BJ616" s="300" t="str">
        <f>_xlfn.IFNA(VLOOKUP($BD616,Programma!$F$3:$L$1107,7,0),"")</f>
        <v/>
      </c>
      <c r="BK616" s="300" t="str">
        <f>_xlfn.IFNA(VLOOKUP($BD616,Programma!$F$3:$M$1107,8,0),"")</f>
        <v/>
      </c>
      <c r="BL616" s="300" t="str">
        <f>_xlfn.IFNA(VLOOKUP($BD616,Programma!$F$3:$N$1107,9,0),"")</f>
        <v/>
      </c>
      <c r="BM616" s="300" t="str">
        <f>_xlfn.IFNA(VLOOKUP($BD616,Programma!$F$3:$O$1107,10,0),"")</f>
        <v/>
      </c>
      <c r="BN616" s="300" t="str">
        <f>_xlfn.IFNA(VLOOKUP($BD616,Programma!$F$3:$P$1107,11,0),"")</f>
        <v/>
      </c>
      <c r="BO616" s="300" t="str">
        <f>_xlfn.IFNA(VLOOKUP($BD616,Programma!$F$3:$Q$1107,12,0),"")</f>
        <v/>
      </c>
      <c r="BP616" s="300" t="str">
        <f>_xlfn.IFNA(VLOOKUP($BD616,Programma!$F$3:$R$1107,13,0),"")</f>
        <v/>
      </c>
      <c r="BQ616" s="300" t="str">
        <f>_xlfn.IFNA(VLOOKUP($BD616,Programma!$F$3:$S$1107,14,0),"")</f>
        <v/>
      </c>
      <c r="BR616" s="300" t="str">
        <f>_xlfn.IFNA(VLOOKUP($BD616,Programma!$F$3:$T$1107,15,0),"")</f>
        <v/>
      </c>
      <c r="BS616" s="300" t="str">
        <f>_xlfn.IFNA(VLOOKUP($BD616,Programma!$F$3:$U$1107,16,0),"")</f>
        <v/>
      </c>
      <c r="BT616" s="300" t="str">
        <f>_xlfn.IFNA(VLOOKUP($BD616,Programma!$F$3:$V$1107,17,0),"")</f>
        <v/>
      </c>
      <c r="BU616" s="300" t="str">
        <f>_xlfn.IFNA(VLOOKUP($BD616,Programma!$F$3:$W$1107,18,0),"")</f>
        <v/>
      </c>
      <c r="BV616" s="300" t="str">
        <f>_xlfn.IFNA(VLOOKUP($BD616,Programma!$F$3:$X$1107,19,0),"")</f>
        <v/>
      </c>
      <c r="BW616" s="300" t="str">
        <f>_xlfn.IFNA(VLOOKUP($BD616,Programma!$F$3:$Y$1107,20,0),"")</f>
        <v/>
      </c>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c r="GL616" s="4"/>
      <c r="GM616" s="4"/>
      <c r="GN616" s="4"/>
      <c r="GO616" s="4"/>
      <c r="GP616" s="4"/>
      <c r="GQ616" s="4"/>
      <c r="GR616" s="4"/>
      <c r="GS616" s="4"/>
      <c r="GT616" s="4"/>
      <c r="GU616" s="4"/>
      <c r="GV616" s="4"/>
      <c r="GW616" s="4"/>
      <c r="GX616" s="4"/>
      <c r="GY616" s="4"/>
      <c r="GZ616" s="4"/>
      <c r="HA616" s="4"/>
      <c r="HB616" s="4"/>
      <c r="HC616" s="4"/>
      <c r="HD616" s="4"/>
      <c r="HE616" s="4"/>
      <c r="HF616" s="4"/>
      <c r="HG616" s="4"/>
      <c r="HH616" s="4"/>
      <c r="HI616" s="4"/>
      <c r="HJ616" s="4"/>
      <c r="HK616" s="4"/>
      <c r="HL616" s="4"/>
    </row>
    <row r="617" spans="1:220" ht="15" customHeight="1">
      <c r="A617" s="21">
        <v>7</v>
      </c>
      <c r="B617" s="157" t="str">
        <f>VLOOKUP(Ruimtestaat[[#This Row],[Code]],Locaties[[Code]:[Locatie]],2,FALSE)</f>
        <v>Gymnasium Novum</v>
      </c>
      <c r="C617" s="157" t="str">
        <f>VLOOKUP(Ruimtestaat[[#This Row],[Code]],Locaties[[#All],[Code]:[Adres]],4,FALSE)</f>
        <v>Aart v.d. Leeuwkade 1</v>
      </c>
      <c r="D617" s="157" t="str">
        <f>VLOOKUP(Ruimtestaat[[#This Row],[Code]],Locaties[[#All],[Code]:[Postcode]],5,FALSE)</f>
        <v>2274 KX</v>
      </c>
      <c r="E617" s="157" t="str">
        <f>VLOOKUP(Ruimtestaat[[#This Row],[Code]],Locaties[#All],6,FALSE)</f>
        <v>Voorburg</v>
      </c>
      <c r="F617" s="62"/>
      <c r="G617" s="21" t="s">
        <v>1624</v>
      </c>
      <c r="H617" s="21" t="s">
        <v>1674</v>
      </c>
      <c r="I617" s="62" t="s">
        <v>2164</v>
      </c>
      <c r="J617" s="21">
        <v>16</v>
      </c>
      <c r="K617" s="62" t="str">
        <f>VLOOKUP(Ruimtestaat[[#This Row],[Ruimte code]],Ruimtegroepen[[#All],[Code]:[Ruimte omschrijving]],2,FALSE)</f>
        <v>Leslokalen theorie</v>
      </c>
      <c r="L617" s="33" t="s">
        <v>101</v>
      </c>
      <c r="M617" s="367" t="s">
        <v>2495</v>
      </c>
      <c r="N617" s="140">
        <v>51</v>
      </c>
      <c r="O617" s="140"/>
      <c r="P617" s="125" t="str">
        <f>VLOOKUP(Ruimtestaat[[#This Row],[Ruimte code]],Ruimtegroepen[],4,FALSE)</f>
        <v>Le</v>
      </c>
      <c r="R617" s="33">
        <v>40</v>
      </c>
      <c r="S617" s="33" t="s">
        <v>2</v>
      </c>
      <c r="T617" s="33">
        <f>IF(R617&gt;0,IF(RIGHT(Ruimtestaat[[#This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17" s="33">
        <f>IF(T617&gt;0,VLOOKUP($J617,Ruimtegroepen[],3,FALSE)*VLOOKUP($L617,Vloersoorten[],3,FALSE)*VLOOKUP($S617,Frequenties[],3,FALSE)*VLOOKUP($A617,Locaties[],3,FALSE),0)</f>
        <v>0</v>
      </c>
      <c r="V617" s="33">
        <f>Ruimtestaat[[#This Row],[Uitvoeringen werkdagen]]*Ruimtestaat[[#This Row],[Oppervlak (netto)]]</f>
        <v>10200</v>
      </c>
      <c r="W617" s="154">
        <f>IF(U617&gt;0,Ruimtestaat[[#This Row],[Prest. (m2 /jaar) werkdagen]]/Ruimtestaat[[#This Row],[Norm (m2/uur) werkdagen]],0)</f>
        <v>0</v>
      </c>
      <c r="X617" s="155">
        <f>Ruimtestaat[[#This Row],[uren / jaar werkdagen]]*Tariefsopbouw!$E$35</f>
        <v>0</v>
      </c>
      <c r="Y617" s="33"/>
      <c r="Z617" s="33">
        <f>IF(Ruimtestaat[[#This Row],[Frequentie weekend]]&gt;0,VALUE(LEFT(Y617,1))*R617,0)</f>
        <v>0</v>
      </c>
      <c r="AA617" s="97">
        <f>IF($Z617&gt;0,VLOOKUP($J617,Ruimtegroepen[],3,FALSE)*VLOOKUP($L617,Vloersoorten[],3,FALSE)*VLOOKUP($Y617,Frequenties[],3,FALSE)*VLOOKUP(Ruimtestaat[[#This Row],[Code]],Locaties[],3,FALSE),0)</f>
        <v>0</v>
      </c>
      <c r="AB617" s="97">
        <f>Ruimtestaat[[#This Row],[Uitvoeringen weekend]]*Ruimtestaat[[#This Row],[Oppervlak (netto)]]</f>
        <v>0</v>
      </c>
      <c r="AC617" s="97">
        <f>IF(AA617&gt;0,Ruimtestaat[[#This Row],[Prest. (m2 /jaar) weekend]]/Ruimtestaat[[#This Row],[Norm (m2/uur) weekend]],0)</f>
        <v>0</v>
      </c>
      <c r="AD617" s="155">
        <f>Ruimtestaat[[#This Row],[uren / jaar weekend]]*Tariefsopbouw!$D$40</f>
        <v>0</v>
      </c>
      <c r="AE617" s="154">
        <f>Ruimtestaat[[#This Row],[Prest. (m2 /jaar) weekend]]+Ruimtestaat[[#This Row],[Prest. (m2 /jaar) werkdagen]]</f>
        <v>10200</v>
      </c>
      <c r="AF617" s="154">
        <f>Ruimtestaat[[#This Row],[uren / jaar weekend]]+Ruimtestaat[[#This Row],[uren / jaar werkdagen]]</f>
        <v>0</v>
      </c>
      <c r="AG617" s="69">
        <f>Ruimtestaat[[#This Row],[kosten / jaar weekend]]+Ruimtestaat[[#This Row],[kosten / jaar werkdagen]]</f>
        <v>0</v>
      </c>
      <c r="AH617" s="69"/>
      <c r="AI617" s="256" t="str">
        <f>IF(Ruimtestaat[[#This Row],[Frequentie werkdagen]]="","",_xlfn.CONCAT(Ruimtestaat[[#This Row],[Ruimte code]],"-",Ruimtestaat[[#This Row],[Frequentie werkdagen]]," ",Ruimtestaat[[#This Row],[Vloer code]]))</f>
        <v>16-5w L</v>
      </c>
      <c r="AJ617" s="300" t="str">
        <f>_xlfn.IFNA(VLOOKUP($AI617,Programma!$F$3:$G$1107,2,0),"")</f>
        <v>_</v>
      </c>
      <c r="AK617" s="300" t="str">
        <f>_xlfn.IFNA(VLOOKUP($AI617,Programma!$F$3:$H$1107,3,0),"")</f>
        <v>_</v>
      </c>
      <c r="AL617" s="300" t="str">
        <f>_xlfn.IFNA(VLOOKUP($AI617,Programma!$F$3:$I$1107,4,0),"")</f>
        <v>4w</v>
      </c>
      <c r="AM617" s="300" t="str">
        <f>_xlfn.IFNA(VLOOKUP($AI617,Programma!$F$3:$J$1107,5,0),"")</f>
        <v>1w</v>
      </c>
      <c r="AN617" s="300" t="str">
        <f>_xlfn.IFNA(VLOOKUP($AI617,Programma!$F$3:$K$1107,6,0),"")</f>
        <v>_</v>
      </c>
      <c r="AO617" s="300" t="str">
        <f>_xlfn.IFNA(VLOOKUP($AI617,Programma!$F$3:$L$1107,7,0),"")</f>
        <v>_</v>
      </c>
      <c r="AP617" s="300" t="str">
        <f>_xlfn.IFNA(VLOOKUP($AI617,Programma!$F$3:$M$1107,8,0),"")</f>
        <v>_</v>
      </c>
      <c r="AQ617" s="300" t="str">
        <f>_xlfn.IFNA(VLOOKUP($AI617,Programma!$F$3:$N$1107,9,0),"")</f>
        <v>_</v>
      </c>
      <c r="AR617" s="300" t="str">
        <f>_xlfn.IFNA(VLOOKUP($AI617,Programma!$F$3:$O$1107,10,0),"")</f>
        <v>5w</v>
      </c>
      <c r="AS617" s="300" t="str">
        <f>_xlfn.IFNA(VLOOKUP($AI617,Programma!$F$3:$P$1107,11,0),"")</f>
        <v>5w</v>
      </c>
      <c r="AT617" s="300" t="str">
        <f>_xlfn.IFNA(VLOOKUP($AI617,Programma!$F$3:$Q$1107,12,0),"")</f>
        <v>1w</v>
      </c>
      <c r="AU617" s="300" t="str">
        <f>_xlfn.IFNA(VLOOKUP($AI617,Programma!$F$3:$R$1107,13,0),"")</f>
        <v>1w</v>
      </c>
      <c r="AV617" s="300" t="str">
        <f>_xlfn.IFNA(VLOOKUP($AI617,Programma!$F$3:$S$1107,14,0),"")</f>
        <v>1m</v>
      </c>
      <c r="AW617" s="300" t="str">
        <f>_xlfn.IFNA(VLOOKUP($AI617,Programma!$F$3:$T$1107,15,0),"")</f>
        <v>2j</v>
      </c>
      <c r="AX617" s="300" t="str">
        <f>_xlfn.IFNA(VLOOKUP($AI617,Programma!$F$3:$U$1107,16,0),"")</f>
        <v>1j</v>
      </c>
      <c r="AY617" s="300" t="str">
        <f>_xlfn.IFNA(VLOOKUP($AI617,Programma!$F$3:$V$1107,17,0),"")</f>
        <v>_</v>
      </c>
      <c r="AZ617" s="300" t="str">
        <f>_xlfn.IFNA(VLOOKUP($AI617,Programma!$F$3:$W$1107,18,0),"")</f>
        <v>_</v>
      </c>
      <c r="BA617" s="300" t="str">
        <f>_xlfn.IFNA(VLOOKUP($AI617,Programma!$F$3:$X$1107,19,0),"")</f>
        <v>_</v>
      </c>
      <c r="BB617" s="300" t="str">
        <f>_xlfn.IFNA(VLOOKUP($AI617,Programma!$F$3:$Y$1107,20,0),"")</f>
        <v>_</v>
      </c>
      <c r="BC617" s="257"/>
      <c r="BD617" s="256" t="str">
        <f>IF(Ruimtestaat[[#This Row],[Frequentie weekend]]="","",_xlfn.CONCAT(Ruimtestaat[[#This Row],[Ruimte code]],"-",Ruimtestaat[[#This Row],[Frequentie weekend]]," ",Ruimtestaat[[#This Row],[Vloer code]]))</f>
        <v/>
      </c>
      <c r="BE617" s="300" t="str">
        <f>_xlfn.IFNA(VLOOKUP($BD617,Programma!$F$3:$G$1107,2,0),"")</f>
        <v/>
      </c>
      <c r="BF617" s="300" t="str">
        <f>_xlfn.IFNA(VLOOKUP($BD617,Programma!$F$3:$H$1107,3,0),"")</f>
        <v/>
      </c>
      <c r="BG617" s="300" t="str">
        <f>_xlfn.IFNA(VLOOKUP($BD617,Programma!$F$3:$I$1107,4,0),"")</f>
        <v/>
      </c>
      <c r="BH617" s="300" t="str">
        <f>_xlfn.IFNA(VLOOKUP($BD617,Programma!$F$3:$J$1107,5,0),"")</f>
        <v/>
      </c>
      <c r="BI617" s="300" t="str">
        <f>_xlfn.IFNA(VLOOKUP($BD617,Programma!$F$3:$K$1107,6,0),"")</f>
        <v/>
      </c>
      <c r="BJ617" s="300" t="str">
        <f>_xlfn.IFNA(VLOOKUP($BD617,Programma!$F$3:$L$1107,7,0),"")</f>
        <v/>
      </c>
      <c r="BK617" s="300" t="str">
        <f>_xlfn.IFNA(VLOOKUP($BD617,Programma!$F$3:$M$1107,8,0),"")</f>
        <v/>
      </c>
      <c r="BL617" s="300" t="str">
        <f>_xlfn.IFNA(VLOOKUP($BD617,Programma!$F$3:$N$1107,9,0),"")</f>
        <v/>
      </c>
      <c r="BM617" s="300" t="str">
        <f>_xlfn.IFNA(VLOOKUP($BD617,Programma!$F$3:$O$1107,10,0),"")</f>
        <v/>
      </c>
      <c r="BN617" s="300" t="str">
        <f>_xlfn.IFNA(VLOOKUP($BD617,Programma!$F$3:$P$1107,11,0),"")</f>
        <v/>
      </c>
      <c r="BO617" s="300" t="str">
        <f>_xlfn.IFNA(VLOOKUP($BD617,Programma!$F$3:$Q$1107,12,0),"")</f>
        <v/>
      </c>
      <c r="BP617" s="300" t="str">
        <f>_xlfn.IFNA(VLOOKUP($BD617,Programma!$F$3:$R$1107,13,0),"")</f>
        <v/>
      </c>
      <c r="BQ617" s="300" t="str">
        <f>_xlfn.IFNA(VLOOKUP($BD617,Programma!$F$3:$S$1107,14,0),"")</f>
        <v/>
      </c>
      <c r="BR617" s="300" t="str">
        <f>_xlfn.IFNA(VLOOKUP($BD617,Programma!$F$3:$T$1107,15,0),"")</f>
        <v/>
      </c>
      <c r="BS617" s="300" t="str">
        <f>_xlfn.IFNA(VLOOKUP($BD617,Programma!$F$3:$U$1107,16,0),"")</f>
        <v/>
      </c>
      <c r="BT617" s="300" t="str">
        <f>_xlfn.IFNA(VLOOKUP($BD617,Programma!$F$3:$V$1107,17,0),"")</f>
        <v/>
      </c>
      <c r="BU617" s="300" t="str">
        <f>_xlfn.IFNA(VLOOKUP($BD617,Programma!$F$3:$W$1107,18,0),"")</f>
        <v/>
      </c>
      <c r="BV617" s="300" t="str">
        <f>_xlfn.IFNA(VLOOKUP($BD617,Programma!$F$3:$X$1107,19,0),"")</f>
        <v/>
      </c>
      <c r="BW617" s="300" t="str">
        <f>_xlfn.IFNA(VLOOKUP($BD617,Programma!$F$3:$Y$1107,20,0),"")</f>
        <v/>
      </c>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c r="GL617" s="4"/>
      <c r="GM617" s="4"/>
      <c r="GN617" s="4"/>
      <c r="GO617" s="4"/>
      <c r="GP617" s="4"/>
      <c r="GQ617" s="4"/>
      <c r="GR617" s="4"/>
      <c r="GS617" s="4"/>
      <c r="GT617" s="4"/>
      <c r="GU617" s="4"/>
      <c r="GV617" s="4"/>
      <c r="GW617" s="4"/>
      <c r="GX617" s="4"/>
      <c r="GY617" s="4"/>
      <c r="GZ617" s="4"/>
      <c r="HA617" s="4"/>
      <c r="HB617" s="4"/>
      <c r="HC617" s="4"/>
      <c r="HD617" s="4"/>
      <c r="HE617" s="4"/>
      <c r="HF617" s="4"/>
      <c r="HG617" s="4"/>
      <c r="HH617" s="4"/>
      <c r="HI617" s="4"/>
      <c r="HJ617" s="4"/>
      <c r="HK617" s="4"/>
      <c r="HL617" s="4"/>
    </row>
    <row r="618" spans="1:220" ht="15" customHeight="1">
      <c r="A618" s="21">
        <v>7</v>
      </c>
      <c r="B618" s="157" t="str">
        <f>VLOOKUP(Ruimtestaat[[#This Row],[Code]],Locaties[[Code]:[Locatie]],2,FALSE)</f>
        <v>Gymnasium Novum</v>
      </c>
      <c r="C618" s="157" t="str">
        <f>VLOOKUP(Ruimtestaat[[#This Row],[Code]],Locaties[[#All],[Code]:[Adres]],4,FALSE)</f>
        <v>Aart v.d. Leeuwkade 1</v>
      </c>
      <c r="D618" s="157" t="str">
        <f>VLOOKUP(Ruimtestaat[[#This Row],[Code]],Locaties[[#All],[Code]:[Postcode]],5,FALSE)</f>
        <v>2274 KX</v>
      </c>
      <c r="E618" s="157" t="str">
        <f>VLOOKUP(Ruimtestaat[[#This Row],[Code]],Locaties[#All],6,FALSE)</f>
        <v>Voorburg</v>
      </c>
      <c r="F618" s="62"/>
      <c r="G618" s="21" t="s">
        <v>1624</v>
      </c>
      <c r="H618" s="21" t="s">
        <v>1676</v>
      </c>
      <c r="I618" s="62" t="s">
        <v>2165</v>
      </c>
      <c r="J618" s="21">
        <v>16</v>
      </c>
      <c r="K618" s="62" t="str">
        <f>VLOOKUP(Ruimtestaat[[#This Row],[Ruimte code]],Ruimtegroepen[[#All],[Code]:[Ruimte omschrijving]],2,FALSE)</f>
        <v>Leslokalen theorie</v>
      </c>
      <c r="L618" s="33" t="s">
        <v>101</v>
      </c>
      <c r="M618" s="367" t="s">
        <v>2495</v>
      </c>
      <c r="N618" s="140">
        <v>53</v>
      </c>
      <c r="O618" s="140"/>
      <c r="P618" s="125" t="str">
        <f>VLOOKUP(Ruimtestaat[[#This Row],[Ruimte code]],Ruimtegroepen[],4,FALSE)</f>
        <v>Le</v>
      </c>
      <c r="R618" s="33">
        <v>40</v>
      </c>
      <c r="S618" s="33" t="s">
        <v>2</v>
      </c>
      <c r="T618" s="33">
        <f>IF(R618&gt;0,IF(RIGHT(Ruimtestaat[[#This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18" s="33">
        <f>IF(T618&gt;0,VLOOKUP($J618,Ruimtegroepen[],3,FALSE)*VLOOKUP($L618,Vloersoorten[],3,FALSE)*VLOOKUP($S618,Frequenties[],3,FALSE)*VLOOKUP($A618,Locaties[],3,FALSE),0)</f>
        <v>0</v>
      </c>
      <c r="V618" s="33">
        <f>Ruimtestaat[[#This Row],[Uitvoeringen werkdagen]]*Ruimtestaat[[#This Row],[Oppervlak (netto)]]</f>
        <v>10600</v>
      </c>
      <c r="W618" s="154">
        <f>IF(U618&gt;0,Ruimtestaat[[#This Row],[Prest. (m2 /jaar) werkdagen]]/Ruimtestaat[[#This Row],[Norm (m2/uur) werkdagen]],0)</f>
        <v>0</v>
      </c>
      <c r="X618" s="155">
        <f>Ruimtestaat[[#This Row],[uren / jaar werkdagen]]*Tariefsopbouw!$E$35</f>
        <v>0</v>
      </c>
      <c r="Y618" s="33"/>
      <c r="Z618" s="33">
        <f>IF(Ruimtestaat[[#This Row],[Frequentie weekend]]&gt;0,VALUE(LEFT(Y618,1))*R618,0)</f>
        <v>0</v>
      </c>
      <c r="AA618" s="97">
        <f>IF($Z618&gt;0,VLOOKUP($J618,Ruimtegroepen[],3,FALSE)*VLOOKUP($L618,Vloersoorten[],3,FALSE)*VLOOKUP($Y618,Frequenties[],3,FALSE)*VLOOKUP(Ruimtestaat[[#This Row],[Code]],Locaties[],3,FALSE),0)</f>
        <v>0</v>
      </c>
      <c r="AB618" s="97">
        <f>Ruimtestaat[[#This Row],[Uitvoeringen weekend]]*Ruimtestaat[[#This Row],[Oppervlak (netto)]]</f>
        <v>0</v>
      </c>
      <c r="AC618" s="97">
        <f>IF(AA618&gt;0,Ruimtestaat[[#This Row],[Prest. (m2 /jaar) weekend]]/Ruimtestaat[[#This Row],[Norm (m2/uur) weekend]],0)</f>
        <v>0</v>
      </c>
      <c r="AD618" s="155">
        <f>Ruimtestaat[[#This Row],[uren / jaar weekend]]*Tariefsopbouw!$D$40</f>
        <v>0</v>
      </c>
      <c r="AE618" s="154">
        <f>Ruimtestaat[[#This Row],[Prest. (m2 /jaar) weekend]]+Ruimtestaat[[#This Row],[Prest. (m2 /jaar) werkdagen]]</f>
        <v>10600</v>
      </c>
      <c r="AF618" s="154">
        <f>Ruimtestaat[[#This Row],[uren / jaar weekend]]+Ruimtestaat[[#This Row],[uren / jaar werkdagen]]</f>
        <v>0</v>
      </c>
      <c r="AG618" s="69">
        <f>Ruimtestaat[[#This Row],[kosten / jaar weekend]]+Ruimtestaat[[#This Row],[kosten / jaar werkdagen]]</f>
        <v>0</v>
      </c>
      <c r="AH618" s="69"/>
      <c r="AI618" s="256" t="str">
        <f>IF(Ruimtestaat[[#This Row],[Frequentie werkdagen]]="","",_xlfn.CONCAT(Ruimtestaat[[#This Row],[Ruimte code]],"-",Ruimtestaat[[#This Row],[Frequentie werkdagen]]," ",Ruimtestaat[[#This Row],[Vloer code]]))</f>
        <v>16-5w L</v>
      </c>
      <c r="AJ618" s="300" t="str">
        <f>_xlfn.IFNA(VLOOKUP($AI618,Programma!$F$3:$G$1107,2,0),"")</f>
        <v>_</v>
      </c>
      <c r="AK618" s="300" t="str">
        <f>_xlfn.IFNA(VLOOKUP($AI618,Programma!$F$3:$H$1107,3,0),"")</f>
        <v>_</v>
      </c>
      <c r="AL618" s="300" t="str">
        <f>_xlfn.IFNA(VLOOKUP($AI618,Programma!$F$3:$I$1107,4,0),"")</f>
        <v>4w</v>
      </c>
      <c r="AM618" s="300" t="str">
        <f>_xlfn.IFNA(VLOOKUP($AI618,Programma!$F$3:$J$1107,5,0),"")</f>
        <v>1w</v>
      </c>
      <c r="AN618" s="300" t="str">
        <f>_xlfn.IFNA(VLOOKUP($AI618,Programma!$F$3:$K$1107,6,0),"")</f>
        <v>_</v>
      </c>
      <c r="AO618" s="300" t="str">
        <f>_xlfn.IFNA(VLOOKUP($AI618,Programma!$F$3:$L$1107,7,0),"")</f>
        <v>_</v>
      </c>
      <c r="AP618" s="300" t="str">
        <f>_xlfn.IFNA(VLOOKUP($AI618,Programma!$F$3:$M$1107,8,0),"")</f>
        <v>_</v>
      </c>
      <c r="AQ618" s="300" t="str">
        <f>_xlfn.IFNA(VLOOKUP($AI618,Programma!$F$3:$N$1107,9,0),"")</f>
        <v>_</v>
      </c>
      <c r="AR618" s="300" t="str">
        <f>_xlfn.IFNA(VLOOKUP($AI618,Programma!$F$3:$O$1107,10,0),"")</f>
        <v>5w</v>
      </c>
      <c r="AS618" s="300" t="str">
        <f>_xlfn.IFNA(VLOOKUP($AI618,Programma!$F$3:$P$1107,11,0),"")</f>
        <v>5w</v>
      </c>
      <c r="AT618" s="300" t="str">
        <f>_xlfn.IFNA(VLOOKUP($AI618,Programma!$F$3:$Q$1107,12,0),"")</f>
        <v>1w</v>
      </c>
      <c r="AU618" s="300" t="str">
        <f>_xlfn.IFNA(VLOOKUP($AI618,Programma!$F$3:$R$1107,13,0),"")</f>
        <v>1w</v>
      </c>
      <c r="AV618" s="300" t="str">
        <f>_xlfn.IFNA(VLOOKUP($AI618,Programma!$F$3:$S$1107,14,0),"")</f>
        <v>1m</v>
      </c>
      <c r="AW618" s="300" t="str">
        <f>_xlfn.IFNA(VLOOKUP($AI618,Programma!$F$3:$T$1107,15,0),"")</f>
        <v>2j</v>
      </c>
      <c r="AX618" s="300" t="str">
        <f>_xlfn.IFNA(VLOOKUP($AI618,Programma!$F$3:$U$1107,16,0),"")</f>
        <v>1j</v>
      </c>
      <c r="AY618" s="300" t="str">
        <f>_xlfn.IFNA(VLOOKUP($AI618,Programma!$F$3:$V$1107,17,0),"")</f>
        <v>_</v>
      </c>
      <c r="AZ618" s="300" t="str">
        <f>_xlfn.IFNA(VLOOKUP($AI618,Programma!$F$3:$W$1107,18,0),"")</f>
        <v>_</v>
      </c>
      <c r="BA618" s="300" t="str">
        <f>_xlfn.IFNA(VLOOKUP($AI618,Programma!$F$3:$X$1107,19,0),"")</f>
        <v>_</v>
      </c>
      <c r="BB618" s="300" t="str">
        <f>_xlfn.IFNA(VLOOKUP($AI618,Programma!$F$3:$Y$1107,20,0),"")</f>
        <v>_</v>
      </c>
      <c r="BC618" s="257"/>
      <c r="BD618" s="256" t="str">
        <f>IF(Ruimtestaat[[#This Row],[Frequentie weekend]]="","",_xlfn.CONCAT(Ruimtestaat[[#This Row],[Ruimte code]],"-",Ruimtestaat[[#This Row],[Frequentie weekend]]," ",Ruimtestaat[[#This Row],[Vloer code]]))</f>
        <v/>
      </c>
      <c r="BE618" s="300" t="str">
        <f>_xlfn.IFNA(VLOOKUP($BD618,Programma!$F$3:$G$1107,2,0),"")</f>
        <v/>
      </c>
      <c r="BF618" s="300" t="str">
        <f>_xlfn.IFNA(VLOOKUP($BD618,Programma!$F$3:$H$1107,3,0),"")</f>
        <v/>
      </c>
      <c r="BG618" s="300" t="str">
        <f>_xlfn.IFNA(VLOOKUP($BD618,Programma!$F$3:$I$1107,4,0),"")</f>
        <v/>
      </c>
      <c r="BH618" s="300" t="str">
        <f>_xlfn.IFNA(VLOOKUP($BD618,Programma!$F$3:$J$1107,5,0),"")</f>
        <v/>
      </c>
      <c r="BI618" s="300" t="str">
        <f>_xlfn.IFNA(VLOOKUP($BD618,Programma!$F$3:$K$1107,6,0),"")</f>
        <v/>
      </c>
      <c r="BJ618" s="300" t="str">
        <f>_xlfn.IFNA(VLOOKUP($BD618,Programma!$F$3:$L$1107,7,0),"")</f>
        <v/>
      </c>
      <c r="BK618" s="300" t="str">
        <f>_xlfn.IFNA(VLOOKUP($BD618,Programma!$F$3:$M$1107,8,0),"")</f>
        <v/>
      </c>
      <c r="BL618" s="300" t="str">
        <f>_xlfn.IFNA(VLOOKUP($BD618,Programma!$F$3:$N$1107,9,0),"")</f>
        <v/>
      </c>
      <c r="BM618" s="300" t="str">
        <f>_xlfn.IFNA(VLOOKUP($BD618,Programma!$F$3:$O$1107,10,0),"")</f>
        <v/>
      </c>
      <c r="BN618" s="300" t="str">
        <f>_xlfn.IFNA(VLOOKUP($BD618,Programma!$F$3:$P$1107,11,0),"")</f>
        <v/>
      </c>
      <c r="BO618" s="300" t="str">
        <f>_xlfn.IFNA(VLOOKUP($BD618,Programma!$F$3:$Q$1107,12,0),"")</f>
        <v/>
      </c>
      <c r="BP618" s="300" t="str">
        <f>_xlfn.IFNA(VLOOKUP($BD618,Programma!$F$3:$R$1107,13,0),"")</f>
        <v/>
      </c>
      <c r="BQ618" s="300" t="str">
        <f>_xlfn.IFNA(VLOOKUP($BD618,Programma!$F$3:$S$1107,14,0),"")</f>
        <v/>
      </c>
      <c r="BR618" s="300" t="str">
        <f>_xlfn.IFNA(VLOOKUP($BD618,Programma!$F$3:$T$1107,15,0),"")</f>
        <v/>
      </c>
      <c r="BS618" s="300" t="str">
        <f>_xlfn.IFNA(VLOOKUP($BD618,Programma!$F$3:$U$1107,16,0),"")</f>
        <v/>
      </c>
      <c r="BT618" s="300" t="str">
        <f>_xlfn.IFNA(VLOOKUP($BD618,Programma!$F$3:$V$1107,17,0),"")</f>
        <v/>
      </c>
      <c r="BU618" s="300" t="str">
        <f>_xlfn.IFNA(VLOOKUP($BD618,Programma!$F$3:$W$1107,18,0),"")</f>
        <v/>
      </c>
      <c r="BV618" s="300" t="str">
        <f>_xlfn.IFNA(VLOOKUP($BD618,Programma!$F$3:$X$1107,19,0),"")</f>
        <v/>
      </c>
      <c r="BW618" s="300" t="str">
        <f>_xlfn.IFNA(VLOOKUP($BD618,Programma!$F$3:$Y$1107,20,0),"")</f>
        <v/>
      </c>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c r="GK618" s="4"/>
      <c r="GL618" s="4"/>
      <c r="GM618" s="4"/>
      <c r="GN618" s="4"/>
      <c r="GO618" s="4"/>
      <c r="GP618" s="4"/>
      <c r="GQ618" s="4"/>
      <c r="GR618" s="4"/>
      <c r="GS618" s="4"/>
      <c r="GT618" s="4"/>
      <c r="GU618" s="4"/>
      <c r="GV618" s="4"/>
      <c r="GW618" s="4"/>
      <c r="GX618" s="4"/>
      <c r="GY618" s="4"/>
      <c r="GZ618" s="4"/>
      <c r="HA618" s="4"/>
      <c r="HB618" s="4"/>
      <c r="HC618" s="4"/>
      <c r="HD618" s="4"/>
      <c r="HE618" s="4"/>
      <c r="HF618" s="4"/>
      <c r="HG618" s="4"/>
      <c r="HH618" s="4"/>
      <c r="HI618" s="4"/>
      <c r="HJ618" s="4"/>
      <c r="HK618" s="4"/>
      <c r="HL618" s="4"/>
    </row>
    <row r="619" spans="1:220" ht="15" customHeight="1">
      <c r="A619" s="21">
        <v>7</v>
      </c>
      <c r="B619" s="157" t="str">
        <f>VLOOKUP(Ruimtestaat[[#This Row],[Code]],Locaties[[Code]:[Locatie]],2,FALSE)</f>
        <v>Gymnasium Novum</v>
      </c>
      <c r="C619" s="157" t="str">
        <f>VLOOKUP(Ruimtestaat[[#This Row],[Code]],Locaties[[#All],[Code]:[Adres]],4,FALSE)</f>
        <v>Aart v.d. Leeuwkade 1</v>
      </c>
      <c r="D619" s="157" t="str">
        <f>VLOOKUP(Ruimtestaat[[#This Row],[Code]],Locaties[[#All],[Code]:[Postcode]],5,FALSE)</f>
        <v>2274 KX</v>
      </c>
      <c r="E619" s="157" t="str">
        <f>VLOOKUP(Ruimtestaat[[#This Row],[Code]],Locaties[#All],6,FALSE)</f>
        <v>Voorburg</v>
      </c>
      <c r="F619" s="62"/>
      <c r="G619" s="21" t="s">
        <v>1624</v>
      </c>
      <c r="H619" s="21" t="s">
        <v>1678</v>
      </c>
      <c r="I619" s="62" t="s">
        <v>2166</v>
      </c>
      <c r="J619" s="21">
        <v>16</v>
      </c>
      <c r="K619" s="62" t="str">
        <f>VLOOKUP(Ruimtestaat[[#This Row],[Ruimte code]],Ruimtegroepen[[#All],[Code]:[Ruimte omschrijving]],2,FALSE)</f>
        <v>Leslokalen theorie</v>
      </c>
      <c r="L619" s="33" t="s">
        <v>101</v>
      </c>
      <c r="M619" s="367" t="s">
        <v>2495</v>
      </c>
      <c r="N619" s="140">
        <v>52</v>
      </c>
      <c r="O619" s="140"/>
      <c r="P619" s="125" t="str">
        <f>VLOOKUP(Ruimtestaat[[#This Row],[Ruimte code]],Ruimtegroepen[],4,FALSE)</f>
        <v>Le</v>
      </c>
      <c r="R619" s="33">
        <v>40</v>
      </c>
      <c r="S619" s="33" t="s">
        <v>2</v>
      </c>
      <c r="T619" s="33">
        <f>IF(R619&gt;0,IF(RIGHT(Ruimtestaat[[#This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19" s="33">
        <f>IF(T619&gt;0,VLOOKUP($J619,Ruimtegroepen[],3,FALSE)*VLOOKUP($L619,Vloersoorten[],3,FALSE)*VLOOKUP($S619,Frequenties[],3,FALSE)*VLOOKUP($A619,Locaties[],3,FALSE),0)</f>
        <v>0</v>
      </c>
      <c r="V619" s="33">
        <f>Ruimtestaat[[#This Row],[Uitvoeringen werkdagen]]*Ruimtestaat[[#This Row],[Oppervlak (netto)]]</f>
        <v>10400</v>
      </c>
      <c r="W619" s="154">
        <f>IF(U619&gt;0,Ruimtestaat[[#This Row],[Prest. (m2 /jaar) werkdagen]]/Ruimtestaat[[#This Row],[Norm (m2/uur) werkdagen]],0)</f>
        <v>0</v>
      </c>
      <c r="X619" s="155">
        <f>Ruimtestaat[[#This Row],[uren / jaar werkdagen]]*Tariefsopbouw!$E$35</f>
        <v>0</v>
      </c>
      <c r="Y619" s="33"/>
      <c r="Z619" s="33">
        <f>IF(Ruimtestaat[[#This Row],[Frequentie weekend]]&gt;0,VALUE(LEFT(Y619,1))*R619,0)</f>
        <v>0</v>
      </c>
      <c r="AA619" s="97">
        <f>IF($Z619&gt;0,VLOOKUP($J619,Ruimtegroepen[],3,FALSE)*VLOOKUP($L619,Vloersoorten[],3,FALSE)*VLOOKUP($Y619,Frequenties[],3,FALSE)*VLOOKUP(Ruimtestaat[[#This Row],[Code]],Locaties[],3,FALSE),0)</f>
        <v>0</v>
      </c>
      <c r="AB619" s="97">
        <f>Ruimtestaat[[#This Row],[Uitvoeringen weekend]]*Ruimtestaat[[#This Row],[Oppervlak (netto)]]</f>
        <v>0</v>
      </c>
      <c r="AC619" s="97">
        <f>IF(AA619&gt;0,Ruimtestaat[[#This Row],[Prest. (m2 /jaar) weekend]]/Ruimtestaat[[#This Row],[Norm (m2/uur) weekend]],0)</f>
        <v>0</v>
      </c>
      <c r="AD619" s="155">
        <f>Ruimtestaat[[#This Row],[uren / jaar weekend]]*Tariefsopbouw!$D$40</f>
        <v>0</v>
      </c>
      <c r="AE619" s="154">
        <f>Ruimtestaat[[#This Row],[Prest. (m2 /jaar) weekend]]+Ruimtestaat[[#This Row],[Prest. (m2 /jaar) werkdagen]]</f>
        <v>10400</v>
      </c>
      <c r="AF619" s="154">
        <f>Ruimtestaat[[#This Row],[uren / jaar weekend]]+Ruimtestaat[[#This Row],[uren / jaar werkdagen]]</f>
        <v>0</v>
      </c>
      <c r="AG619" s="69">
        <f>Ruimtestaat[[#This Row],[kosten / jaar weekend]]+Ruimtestaat[[#This Row],[kosten / jaar werkdagen]]</f>
        <v>0</v>
      </c>
      <c r="AH619" s="69"/>
      <c r="AI619" s="256" t="str">
        <f>IF(Ruimtestaat[[#This Row],[Frequentie werkdagen]]="","",_xlfn.CONCAT(Ruimtestaat[[#This Row],[Ruimte code]],"-",Ruimtestaat[[#This Row],[Frequentie werkdagen]]," ",Ruimtestaat[[#This Row],[Vloer code]]))</f>
        <v>16-5w L</v>
      </c>
      <c r="AJ619" s="300" t="str">
        <f>_xlfn.IFNA(VLOOKUP($AI619,Programma!$F$3:$G$1107,2,0),"")</f>
        <v>_</v>
      </c>
      <c r="AK619" s="300" t="str">
        <f>_xlfn.IFNA(VLOOKUP($AI619,Programma!$F$3:$H$1107,3,0),"")</f>
        <v>_</v>
      </c>
      <c r="AL619" s="300" t="str">
        <f>_xlfn.IFNA(VLOOKUP($AI619,Programma!$F$3:$I$1107,4,0),"")</f>
        <v>4w</v>
      </c>
      <c r="AM619" s="300" t="str">
        <f>_xlfn.IFNA(VLOOKUP($AI619,Programma!$F$3:$J$1107,5,0),"")</f>
        <v>1w</v>
      </c>
      <c r="AN619" s="300" t="str">
        <f>_xlfn.IFNA(VLOOKUP($AI619,Programma!$F$3:$K$1107,6,0),"")</f>
        <v>_</v>
      </c>
      <c r="AO619" s="300" t="str">
        <f>_xlfn.IFNA(VLOOKUP($AI619,Programma!$F$3:$L$1107,7,0),"")</f>
        <v>_</v>
      </c>
      <c r="AP619" s="300" t="str">
        <f>_xlfn.IFNA(VLOOKUP($AI619,Programma!$F$3:$M$1107,8,0),"")</f>
        <v>_</v>
      </c>
      <c r="AQ619" s="300" t="str">
        <f>_xlfn.IFNA(VLOOKUP($AI619,Programma!$F$3:$N$1107,9,0),"")</f>
        <v>_</v>
      </c>
      <c r="AR619" s="300" t="str">
        <f>_xlfn.IFNA(VLOOKUP($AI619,Programma!$F$3:$O$1107,10,0),"")</f>
        <v>5w</v>
      </c>
      <c r="AS619" s="300" t="str">
        <f>_xlfn.IFNA(VLOOKUP($AI619,Programma!$F$3:$P$1107,11,0),"")</f>
        <v>5w</v>
      </c>
      <c r="AT619" s="300" t="str">
        <f>_xlfn.IFNA(VLOOKUP($AI619,Programma!$F$3:$Q$1107,12,0),"")</f>
        <v>1w</v>
      </c>
      <c r="AU619" s="300" t="str">
        <f>_xlfn.IFNA(VLOOKUP($AI619,Programma!$F$3:$R$1107,13,0),"")</f>
        <v>1w</v>
      </c>
      <c r="AV619" s="300" t="str">
        <f>_xlfn.IFNA(VLOOKUP($AI619,Programma!$F$3:$S$1107,14,0),"")</f>
        <v>1m</v>
      </c>
      <c r="AW619" s="300" t="str">
        <f>_xlfn.IFNA(VLOOKUP($AI619,Programma!$F$3:$T$1107,15,0),"")</f>
        <v>2j</v>
      </c>
      <c r="AX619" s="300" t="str">
        <f>_xlfn.IFNA(VLOOKUP($AI619,Programma!$F$3:$U$1107,16,0),"")</f>
        <v>1j</v>
      </c>
      <c r="AY619" s="300" t="str">
        <f>_xlfn.IFNA(VLOOKUP($AI619,Programma!$F$3:$V$1107,17,0),"")</f>
        <v>_</v>
      </c>
      <c r="AZ619" s="300" t="str">
        <f>_xlfn.IFNA(VLOOKUP($AI619,Programma!$F$3:$W$1107,18,0),"")</f>
        <v>_</v>
      </c>
      <c r="BA619" s="300" t="str">
        <f>_xlfn.IFNA(VLOOKUP($AI619,Programma!$F$3:$X$1107,19,0),"")</f>
        <v>_</v>
      </c>
      <c r="BB619" s="300" t="str">
        <f>_xlfn.IFNA(VLOOKUP($AI619,Programma!$F$3:$Y$1107,20,0),"")</f>
        <v>_</v>
      </c>
      <c r="BC619" s="257"/>
      <c r="BD619" s="256" t="str">
        <f>IF(Ruimtestaat[[#This Row],[Frequentie weekend]]="","",_xlfn.CONCAT(Ruimtestaat[[#This Row],[Ruimte code]],"-",Ruimtestaat[[#This Row],[Frequentie weekend]]," ",Ruimtestaat[[#This Row],[Vloer code]]))</f>
        <v/>
      </c>
      <c r="BE619" s="300" t="str">
        <f>_xlfn.IFNA(VLOOKUP($BD619,Programma!$F$3:$G$1107,2,0),"")</f>
        <v/>
      </c>
      <c r="BF619" s="300" t="str">
        <f>_xlfn.IFNA(VLOOKUP($BD619,Programma!$F$3:$H$1107,3,0),"")</f>
        <v/>
      </c>
      <c r="BG619" s="300" t="str">
        <f>_xlfn.IFNA(VLOOKUP($BD619,Programma!$F$3:$I$1107,4,0),"")</f>
        <v/>
      </c>
      <c r="BH619" s="300" t="str">
        <f>_xlfn.IFNA(VLOOKUP($BD619,Programma!$F$3:$J$1107,5,0),"")</f>
        <v/>
      </c>
      <c r="BI619" s="300" t="str">
        <f>_xlfn.IFNA(VLOOKUP($BD619,Programma!$F$3:$K$1107,6,0),"")</f>
        <v/>
      </c>
      <c r="BJ619" s="300" t="str">
        <f>_xlfn.IFNA(VLOOKUP($BD619,Programma!$F$3:$L$1107,7,0),"")</f>
        <v/>
      </c>
      <c r="BK619" s="300" t="str">
        <f>_xlfn.IFNA(VLOOKUP($BD619,Programma!$F$3:$M$1107,8,0),"")</f>
        <v/>
      </c>
      <c r="BL619" s="300" t="str">
        <f>_xlfn.IFNA(VLOOKUP($BD619,Programma!$F$3:$N$1107,9,0),"")</f>
        <v/>
      </c>
      <c r="BM619" s="300" t="str">
        <f>_xlfn.IFNA(VLOOKUP($BD619,Programma!$F$3:$O$1107,10,0),"")</f>
        <v/>
      </c>
      <c r="BN619" s="300" t="str">
        <f>_xlfn.IFNA(VLOOKUP($BD619,Programma!$F$3:$P$1107,11,0),"")</f>
        <v/>
      </c>
      <c r="BO619" s="300" t="str">
        <f>_xlfn.IFNA(VLOOKUP($BD619,Programma!$F$3:$Q$1107,12,0),"")</f>
        <v/>
      </c>
      <c r="BP619" s="300" t="str">
        <f>_xlfn.IFNA(VLOOKUP($BD619,Programma!$F$3:$R$1107,13,0),"")</f>
        <v/>
      </c>
      <c r="BQ619" s="300" t="str">
        <f>_xlfn.IFNA(VLOOKUP($BD619,Programma!$F$3:$S$1107,14,0),"")</f>
        <v/>
      </c>
      <c r="BR619" s="300" t="str">
        <f>_xlfn.IFNA(VLOOKUP($BD619,Programma!$F$3:$T$1107,15,0),"")</f>
        <v/>
      </c>
      <c r="BS619" s="300" t="str">
        <f>_xlfn.IFNA(VLOOKUP($BD619,Programma!$F$3:$U$1107,16,0),"")</f>
        <v/>
      </c>
      <c r="BT619" s="300" t="str">
        <f>_xlfn.IFNA(VLOOKUP($BD619,Programma!$F$3:$V$1107,17,0),"")</f>
        <v/>
      </c>
      <c r="BU619" s="300" t="str">
        <f>_xlfn.IFNA(VLOOKUP($BD619,Programma!$F$3:$W$1107,18,0),"")</f>
        <v/>
      </c>
      <c r="BV619" s="300" t="str">
        <f>_xlfn.IFNA(VLOOKUP($BD619,Programma!$F$3:$X$1107,19,0),"")</f>
        <v/>
      </c>
      <c r="BW619" s="300" t="str">
        <f>_xlfn.IFNA(VLOOKUP($BD619,Programma!$F$3:$Y$1107,20,0),"")</f>
        <v/>
      </c>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c r="GL619" s="4"/>
      <c r="GM619" s="4"/>
      <c r="GN619" s="4"/>
      <c r="GO619" s="4"/>
      <c r="GP619" s="4"/>
      <c r="GQ619" s="4"/>
      <c r="GR619" s="4"/>
      <c r="GS619" s="4"/>
      <c r="GT619" s="4"/>
      <c r="GU619" s="4"/>
      <c r="GV619" s="4"/>
      <c r="GW619" s="4"/>
      <c r="GX619" s="4"/>
      <c r="GY619" s="4"/>
      <c r="GZ619" s="4"/>
      <c r="HA619" s="4"/>
      <c r="HB619" s="4"/>
      <c r="HC619" s="4"/>
      <c r="HD619" s="4"/>
      <c r="HE619" s="4"/>
      <c r="HF619" s="4"/>
      <c r="HG619" s="4"/>
      <c r="HH619" s="4"/>
      <c r="HI619" s="4"/>
      <c r="HJ619" s="4"/>
      <c r="HK619" s="4"/>
      <c r="HL619" s="4"/>
    </row>
    <row r="620" spans="1:220" ht="15" customHeight="1">
      <c r="A620" s="21">
        <v>7</v>
      </c>
      <c r="B620" s="157" t="str">
        <f>VLOOKUP(Ruimtestaat[[#This Row],[Code]],Locaties[[Code]:[Locatie]],2,FALSE)</f>
        <v>Gymnasium Novum</v>
      </c>
      <c r="C620" s="157" t="str">
        <f>VLOOKUP(Ruimtestaat[[#This Row],[Code]],Locaties[[#All],[Code]:[Adres]],4,FALSE)</f>
        <v>Aart v.d. Leeuwkade 1</v>
      </c>
      <c r="D620" s="157" t="str">
        <f>VLOOKUP(Ruimtestaat[[#This Row],[Code]],Locaties[[#All],[Code]:[Postcode]],5,FALSE)</f>
        <v>2274 KX</v>
      </c>
      <c r="E620" s="157" t="str">
        <f>VLOOKUP(Ruimtestaat[[#This Row],[Code]],Locaties[#All],6,FALSE)</f>
        <v>Voorburg</v>
      </c>
      <c r="F620" s="62"/>
      <c r="G620" s="21" t="s">
        <v>1624</v>
      </c>
      <c r="H620" s="21" t="s">
        <v>1680</v>
      </c>
      <c r="I620" s="62" t="s">
        <v>1669</v>
      </c>
      <c r="J620" s="21">
        <v>16</v>
      </c>
      <c r="K620" s="62" t="str">
        <f>VLOOKUP(Ruimtestaat[[#This Row],[Ruimte code]],Ruimtegroepen[[#All],[Code]:[Ruimte omschrijving]],2,FALSE)</f>
        <v>Leslokalen theorie</v>
      </c>
      <c r="L620" s="33" t="s">
        <v>101</v>
      </c>
      <c r="M620" s="367" t="s">
        <v>2495</v>
      </c>
      <c r="N620" s="140">
        <v>56</v>
      </c>
      <c r="O620" s="140"/>
      <c r="P620" s="125" t="str">
        <f>VLOOKUP(Ruimtestaat[[#This Row],[Ruimte code]],Ruimtegroepen[],4,FALSE)</f>
        <v>Le</v>
      </c>
      <c r="R620" s="33">
        <v>40</v>
      </c>
      <c r="S620" s="33" t="s">
        <v>2</v>
      </c>
      <c r="T620" s="33">
        <f>IF(R620&gt;0,IF(RIGHT(Ruimtestaat[[#This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20" s="33">
        <f>IF(T620&gt;0,VLOOKUP($J620,Ruimtegroepen[],3,FALSE)*VLOOKUP($L620,Vloersoorten[],3,FALSE)*VLOOKUP($S620,Frequenties[],3,FALSE)*VLOOKUP($A620,Locaties[],3,FALSE),0)</f>
        <v>0</v>
      </c>
      <c r="V620" s="33">
        <f>Ruimtestaat[[#This Row],[Uitvoeringen werkdagen]]*Ruimtestaat[[#This Row],[Oppervlak (netto)]]</f>
        <v>11200</v>
      </c>
      <c r="W620" s="154">
        <f>IF(U620&gt;0,Ruimtestaat[[#This Row],[Prest. (m2 /jaar) werkdagen]]/Ruimtestaat[[#This Row],[Norm (m2/uur) werkdagen]],0)</f>
        <v>0</v>
      </c>
      <c r="X620" s="155">
        <f>Ruimtestaat[[#This Row],[uren / jaar werkdagen]]*Tariefsopbouw!$E$35</f>
        <v>0</v>
      </c>
      <c r="Y620" s="33"/>
      <c r="Z620" s="33">
        <f>IF(Ruimtestaat[[#This Row],[Frequentie weekend]]&gt;0,VALUE(LEFT(Y620,1))*R620,0)</f>
        <v>0</v>
      </c>
      <c r="AA620" s="97">
        <f>IF($Z620&gt;0,VLOOKUP($J620,Ruimtegroepen[],3,FALSE)*VLOOKUP($L620,Vloersoorten[],3,FALSE)*VLOOKUP($Y620,Frequenties[],3,FALSE)*VLOOKUP(Ruimtestaat[[#This Row],[Code]],Locaties[],3,FALSE),0)</f>
        <v>0</v>
      </c>
      <c r="AB620" s="97">
        <f>Ruimtestaat[[#This Row],[Uitvoeringen weekend]]*Ruimtestaat[[#This Row],[Oppervlak (netto)]]</f>
        <v>0</v>
      </c>
      <c r="AC620" s="97">
        <f>IF(AA620&gt;0,Ruimtestaat[[#This Row],[Prest. (m2 /jaar) weekend]]/Ruimtestaat[[#This Row],[Norm (m2/uur) weekend]],0)</f>
        <v>0</v>
      </c>
      <c r="AD620" s="155">
        <f>Ruimtestaat[[#This Row],[uren / jaar weekend]]*Tariefsopbouw!$D$40</f>
        <v>0</v>
      </c>
      <c r="AE620" s="154">
        <f>Ruimtestaat[[#This Row],[Prest. (m2 /jaar) weekend]]+Ruimtestaat[[#This Row],[Prest. (m2 /jaar) werkdagen]]</f>
        <v>11200</v>
      </c>
      <c r="AF620" s="154">
        <f>Ruimtestaat[[#This Row],[uren / jaar weekend]]+Ruimtestaat[[#This Row],[uren / jaar werkdagen]]</f>
        <v>0</v>
      </c>
      <c r="AG620" s="69">
        <f>Ruimtestaat[[#This Row],[kosten / jaar weekend]]+Ruimtestaat[[#This Row],[kosten / jaar werkdagen]]</f>
        <v>0</v>
      </c>
      <c r="AH620" s="69"/>
      <c r="AI620" s="256" t="str">
        <f>IF(Ruimtestaat[[#This Row],[Frequentie werkdagen]]="","",_xlfn.CONCAT(Ruimtestaat[[#This Row],[Ruimte code]],"-",Ruimtestaat[[#This Row],[Frequentie werkdagen]]," ",Ruimtestaat[[#This Row],[Vloer code]]))</f>
        <v>16-5w L</v>
      </c>
      <c r="AJ620" s="300" t="str">
        <f>_xlfn.IFNA(VLOOKUP($AI620,Programma!$F$3:$G$1107,2,0),"")</f>
        <v>_</v>
      </c>
      <c r="AK620" s="300" t="str">
        <f>_xlfn.IFNA(VLOOKUP($AI620,Programma!$F$3:$H$1107,3,0),"")</f>
        <v>_</v>
      </c>
      <c r="AL620" s="300" t="str">
        <f>_xlfn.IFNA(VLOOKUP($AI620,Programma!$F$3:$I$1107,4,0),"")</f>
        <v>4w</v>
      </c>
      <c r="AM620" s="300" t="str">
        <f>_xlfn.IFNA(VLOOKUP($AI620,Programma!$F$3:$J$1107,5,0),"")</f>
        <v>1w</v>
      </c>
      <c r="AN620" s="300" t="str">
        <f>_xlfn.IFNA(VLOOKUP($AI620,Programma!$F$3:$K$1107,6,0),"")</f>
        <v>_</v>
      </c>
      <c r="AO620" s="300" t="str">
        <f>_xlfn.IFNA(VLOOKUP($AI620,Programma!$F$3:$L$1107,7,0),"")</f>
        <v>_</v>
      </c>
      <c r="AP620" s="300" t="str">
        <f>_xlfn.IFNA(VLOOKUP($AI620,Programma!$F$3:$M$1107,8,0),"")</f>
        <v>_</v>
      </c>
      <c r="AQ620" s="300" t="str">
        <f>_xlfn.IFNA(VLOOKUP($AI620,Programma!$F$3:$N$1107,9,0),"")</f>
        <v>_</v>
      </c>
      <c r="AR620" s="300" t="str">
        <f>_xlfn.IFNA(VLOOKUP($AI620,Programma!$F$3:$O$1107,10,0),"")</f>
        <v>5w</v>
      </c>
      <c r="AS620" s="300" t="str">
        <f>_xlfn.IFNA(VLOOKUP($AI620,Programma!$F$3:$P$1107,11,0),"")</f>
        <v>5w</v>
      </c>
      <c r="AT620" s="300" t="str">
        <f>_xlfn.IFNA(VLOOKUP($AI620,Programma!$F$3:$Q$1107,12,0),"")</f>
        <v>1w</v>
      </c>
      <c r="AU620" s="300" t="str">
        <f>_xlfn.IFNA(VLOOKUP($AI620,Programma!$F$3:$R$1107,13,0),"")</f>
        <v>1w</v>
      </c>
      <c r="AV620" s="300" t="str">
        <f>_xlfn.IFNA(VLOOKUP($AI620,Programma!$F$3:$S$1107,14,0),"")</f>
        <v>1m</v>
      </c>
      <c r="AW620" s="300" t="str">
        <f>_xlfn.IFNA(VLOOKUP($AI620,Programma!$F$3:$T$1107,15,0),"")</f>
        <v>2j</v>
      </c>
      <c r="AX620" s="300" t="str">
        <f>_xlfn.IFNA(VLOOKUP($AI620,Programma!$F$3:$U$1107,16,0),"")</f>
        <v>1j</v>
      </c>
      <c r="AY620" s="300" t="str">
        <f>_xlfn.IFNA(VLOOKUP($AI620,Programma!$F$3:$V$1107,17,0),"")</f>
        <v>_</v>
      </c>
      <c r="AZ620" s="300" t="str">
        <f>_xlfn.IFNA(VLOOKUP($AI620,Programma!$F$3:$W$1107,18,0),"")</f>
        <v>_</v>
      </c>
      <c r="BA620" s="300" t="str">
        <f>_xlfn.IFNA(VLOOKUP($AI620,Programma!$F$3:$X$1107,19,0),"")</f>
        <v>_</v>
      </c>
      <c r="BB620" s="300" t="str">
        <f>_xlfn.IFNA(VLOOKUP($AI620,Programma!$F$3:$Y$1107,20,0),"")</f>
        <v>_</v>
      </c>
      <c r="BC620" s="257"/>
      <c r="BD620" s="256" t="str">
        <f>IF(Ruimtestaat[[#This Row],[Frequentie weekend]]="","",_xlfn.CONCAT(Ruimtestaat[[#This Row],[Ruimte code]],"-",Ruimtestaat[[#This Row],[Frequentie weekend]]," ",Ruimtestaat[[#This Row],[Vloer code]]))</f>
        <v/>
      </c>
      <c r="BE620" s="300" t="str">
        <f>_xlfn.IFNA(VLOOKUP($BD620,Programma!$F$3:$G$1107,2,0),"")</f>
        <v/>
      </c>
      <c r="BF620" s="300" t="str">
        <f>_xlfn.IFNA(VLOOKUP($BD620,Programma!$F$3:$H$1107,3,0),"")</f>
        <v/>
      </c>
      <c r="BG620" s="300" t="str">
        <f>_xlfn.IFNA(VLOOKUP($BD620,Programma!$F$3:$I$1107,4,0),"")</f>
        <v/>
      </c>
      <c r="BH620" s="300" t="str">
        <f>_xlfn.IFNA(VLOOKUP($BD620,Programma!$F$3:$J$1107,5,0),"")</f>
        <v/>
      </c>
      <c r="BI620" s="300" t="str">
        <f>_xlfn.IFNA(VLOOKUP($BD620,Programma!$F$3:$K$1107,6,0),"")</f>
        <v/>
      </c>
      <c r="BJ620" s="300" t="str">
        <f>_xlfn.IFNA(VLOOKUP($BD620,Programma!$F$3:$L$1107,7,0),"")</f>
        <v/>
      </c>
      <c r="BK620" s="300" t="str">
        <f>_xlfn.IFNA(VLOOKUP($BD620,Programma!$F$3:$M$1107,8,0),"")</f>
        <v/>
      </c>
      <c r="BL620" s="300" t="str">
        <f>_xlfn.IFNA(VLOOKUP($BD620,Programma!$F$3:$N$1107,9,0),"")</f>
        <v/>
      </c>
      <c r="BM620" s="300" t="str">
        <f>_xlfn.IFNA(VLOOKUP($BD620,Programma!$F$3:$O$1107,10,0),"")</f>
        <v/>
      </c>
      <c r="BN620" s="300" t="str">
        <f>_xlfn.IFNA(VLOOKUP($BD620,Programma!$F$3:$P$1107,11,0),"")</f>
        <v/>
      </c>
      <c r="BO620" s="300" t="str">
        <f>_xlfn.IFNA(VLOOKUP($BD620,Programma!$F$3:$Q$1107,12,0),"")</f>
        <v/>
      </c>
      <c r="BP620" s="300" t="str">
        <f>_xlfn.IFNA(VLOOKUP($BD620,Programma!$F$3:$R$1107,13,0),"")</f>
        <v/>
      </c>
      <c r="BQ620" s="300" t="str">
        <f>_xlfn.IFNA(VLOOKUP($BD620,Programma!$F$3:$S$1107,14,0),"")</f>
        <v/>
      </c>
      <c r="BR620" s="300" t="str">
        <f>_xlfn.IFNA(VLOOKUP($BD620,Programma!$F$3:$T$1107,15,0),"")</f>
        <v/>
      </c>
      <c r="BS620" s="300" t="str">
        <f>_xlfn.IFNA(VLOOKUP($BD620,Programma!$F$3:$U$1107,16,0),"")</f>
        <v/>
      </c>
      <c r="BT620" s="300" t="str">
        <f>_xlfn.IFNA(VLOOKUP($BD620,Programma!$F$3:$V$1107,17,0),"")</f>
        <v/>
      </c>
      <c r="BU620" s="300" t="str">
        <f>_xlfn.IFNA(VLOOKUP($BD620,Programma!$F$3:$W$1107,18,0),"")</f>
        <v/>
      </c>
      <c r="BV620" s="300" t="str">
        <f>_xlfn.IFNA(VLOOKUP($BD620,Programma!$F$3:$X$1107,19,0),"")</f>
        <v/>
      </c>
      <c r="BW620" s="300" t="str">
        <f>_xlfn.IFNA(VLOOKUP($BD620,Programma!$F$3:$Y$1107,20,0),"")</f>
        <v/>
      </c>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c r="GL620" s="4"/>
      <c r="GM620" s="4"/>
      <c r="GN620" s="4"/>
      <c r="GO620" s="4"/>
      <c r="GP620" s="4"/>
      <c r="GQ620" s="4"/>
      <c r="GR620" s="4"/>
      <c r="GS620" s="4"/>
      <c r="GT620" s="4"/>
      <c r="GU620" s="4"/>
      <c r="GV620" s="4"/>
      <c r="GW620" s="4"/>
      <c r="GX620" s="4"/>
      <c r="GY620" s="4"/>
      <c r="GZ620" s="4"/>
      <c r="HA620" s="4"/>
      <c r="HB620" s="4"/>
      <c r="HC620" s="4"/>
      <c r="HD620" s="4"/>
      <c r="HE620" s="4"/>
      <c r="HF620" s="4"/>
      <c r="HG620" s="4"/>
      <c r="HH620" s="4"/>
      <c r="HI620" s="4"/>
      <c r="HJ620" s="4"/>
      <c r="HK620" s="4"/>
      <c r="HL620" s="4"/>
    </row>
    <row r="621" spans="1:220" ht="15" customHeight="1">
      <c r="A621" s="21">
        <v>7</v>
      </c>
      <c r="B621" s="157" t="str">
        <f>VLOOKUP(Ruimtestaat[[#This Row],[Code]],Locaties[[Code]:[Locatie]],2,FALSE)</f>
        <v>Gymnasium Novum</v>
      </c>
      <c r="C621" s="157" t="str">
        <f>VLOOKUP(Ruimtestaat[[#This Row],[Code]],Locaties[[#All],[Code]:[Adres]],4,FALSE)</f>
        <v>Aart v.d. Leeuwkade 1</v>
      </c>
      <c r="D621" s="157" t="str">
        <f>VLOOKUP(Ruimtestaat[[#This Row],[Code]],Locaties[[#All],[Code]:[Postcode]],5,FALSE)</f>
        <v>2274 KX</v>
      </c>
      <c r="E621" s="157" t="str">
        <f>VLOOKUP(Ruimtestaat[[#This Row],[Code]],Locaties[#All],6,FALSE)</f>
        <v>Voorburg</v>
      </c>
      <c r="F621" s="62"/>
      <c r="G621" s="21" t="s">
        <v>1624</v>
      </c>
      <c r="H621" s="21" t="s">
        <v>1681</v>
      </c>
      <c r="I621" s="62" t="s">
        <v>2167</v>
      </c>
      <c r="J621" s="21">
        <v>16</v>
      </c>
      <c r="K621" s="62" t="str">
        <f>VLOOKUP(Ruimtestaat[[#This Row],[Ruimte code]],Ruimtegroepen[[#All],[Code]:[Ruimte omschrijving]],2,FALSE)</f>
        <v>Leslokalen theorie</v>
      </c>
      <c r="L621" s="33" t="s">
        <v>101</v>
      </c>
      <c r="M621" s="367" t="s">
        <v>2495</v>
      </c>
      <c r="N621" s="140">
        <v>55</v>
      </c>
      <c r="O621" s="140"/>
      <c r="P621" s="125" t="str">
        <f>VLOOKUP(Ruimtestaat[[#This Row],[Ruimte code]],Ruimtegroepen[],4,FALSE)</f>
        <v>Le</v>
      </c>
      <c r="R621" s="33">
        <v>40</v>
      </c>
      <c r="S621" s="33" t="s">
        <v>2</v>
      </c>
      <c r="T621" s="33">
        <f>IF(R621&gt;0,IF(RIGHT(Ruimtestaat[[#This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21" s="33">
        <f>IF(T621&gt;0,VLOOKUP($J621,Ruimtegroepen[],3,FALSE)*VLOOKUP($L621,Vloersoorten[],3,FALSE)*VLOOKUP($S621,Frequenties[],3,FALSE)*VLOOKUP($A621,Locaties[],3,FALSE),0)</f>
        <v>0</v>
      </c>
      <c r="V621" s="33">
        <f>Ruimtestaat[[#This Row],[Uitvoeringen werkdagen]]*Ruimtestaat[[#This Row],[Oppervlak (netto)]]</f>
        <v>11000</v>
      </c>
      <c r="W621" s="154">
        <f>IF(U621&gt;0,Ruimtestaat[[#This Row],[Prest. (m2 /jaar) werkdagen]]/Ruimtestaat[[#This Row],[Norm (m2/uur) werkdagen]],0)</f>
        <v>0</v>
      </c>
      <c r="X621" s="155">
        <f>Ruimtestaat[[#This Row],[uren / jaar werkdagen]]*Tariefsopbouw!$E$35</f>
        <v>0</v>
      </c>
      <c r="Y621" s="33"/>
      <c r="Z621" s="33">
        <f>IF(Ruimtestaat[[#This Row],[Frequentie weekend]]&gt;0,VALUE(LEFT(Y621,1))*R621,0)</f>
        <v>0</v>
      </c>
      <c r="AA621" s="97">
        <f>IF($Z621&gt;0,VLOOKUP($J621,Ruimtegroepen[],3,FALSE)*VLOOKUP($L621,Vloersoorten[],3,FALSE)*VLOOKUP($Y621,Frequenties[],3,FALSE)*VLOOKUP(Ruimtestaat[[#This Row],[Code]],Locaties[],3,FALSE),0)</f>
        <v>0</v>
      </c>
      <c r="AB621" s="97">
        <f>Ruimtestaat[[#This Row],[Uitvoeringen weekend]]*Ruimtestaat[[#This Row],[Oppervlak (netto)]]</f>
        <v>0</v>
      </c>
      <c r="AC621" s="97">
        <f>IF(AA621&gt;0,Ruimtestaat[[#This Row],[Prest. (m2 /jaar) weekend]]/Ruimtestaat[[#This Row],[Norm (m2/uur) weekend]],0)</f>
        <v>0</v>
      </c>
      <c r="AD621" s="155">
        <f>Ruimtestaat[[#This Row],[uren / jaar weekend]]*Tariefsopbouw!$D$40</f>
        <v>0</v>
      </c>
      <c r="AE621" s="154">
        <f>Ruimtestaat[[#This Row],[Prest. (m2 /jaar) weekend]]+Ruimtestaat[[#This Row],[Prest. (m2 /jaar) werkdagen]]</f>
        <v>11000</v>
      </c>
      <c r="AF621" s="154">
        <f>Ruimtestaat[[#This Row],[uren / jaar weekend]]+Ruimtestaat[[#This Row],[uren / jaar werkdagen]]</f>
        <v>0</v>
      </c>
      <c r="AG621" s="69">
        <f>Ruimtestaat[[#This Row],[kosten / jaar weekend]]+Ruimtestaat[[#This Row],[kosten / jaar werkdagen]]</f>
        <v>0</v>
      </c>
      <c r="AH621" s="69"/>
      <c r="AI621" s="256" t="str">
        <f>IF(Ruimtestaat[[#This Row],[Frequentie werkdagen]]="","",_xlfn.CONCAT(Ruimtestaat[[#This Row],[Ruimte code]],"-",Ruimtestaat[[#This Row],[Frequentie werkdagen]]," ",Ruimtestaat[[#This Row],[Vloer code]]))</f>
        <v>16-5w L</v>
      </c>
      <c r="AJ621" s="300" t="str">
        <f>_xlfn.IFNA(VLOOKUP($AI621,Programma!$F$3:$G$1107,2,0),"")</f>
        <v>_</v>
      </c>
      <c r="AK621" s="300" t="str">
        <f>_xlfn.IFNA(VLOOKUP($AI621,Programma!$F$3:$H$1107,3,0),"")</f>
        <v>_</v>
      </c>
      <c r="AL621" s="300" t="str">
        <f>_xlfn.IFNA(VLOOKUP($AI621,Programma!$F$3:$I$1107,4,0),"")</f>
        <v>4w</v>
      </c>
      <c r="AM621" s="300" t="str">
        <f>_xlfn.IFNA(VLOOKUP($AI621,Programma!$F$3:$J$1107,5,0),"")</f>
        <v>1w</v>
      </c>
      <c r="AN621" s="300" t="str">
        <f>_xlfn.IFNA(VLOOKUP($AI621,Programma!$F$3:$K$1107,6,0),"")</f>
        <v>_</v>
      </c>
      <c r="AO621" s="300" t="str">
        <f>_xlfn.IFNA(VLOOKUP($AI621,Programma!$F$3:$L$1107,7,0),"")</f>
        <v>_</v>
      </c>
      <c r="AP621" s="300" t="str">
        <f>_xlfn.IFNA(VLOOKUP($AI621,Programma!$F$3:$M$1107,8,0),"")</f>
        <v>_</v>
      </c>
      <c r="AQ621" s="300" t="str">
        <f>_xlfn.IFNA(VLOOKUP($AI621,Programma!$F$3:$N$1107,9,0),"")</f>
        <v>_</v>
      </c>
      <c r="AR621" s="300" t="str">
        <f>_xlfn.IFNA(VLOOKUP($AI621,Programma!$F$3:$O$1107,10,0),"")</f>
        <v>5w</v>
      </c>
      <c r="AS621" s="300" t="str">
        <f>_xlfn.IFNA(VLOOKUP($AI621,Programma!$F$3:$P$1107,11,0),"")</f>
        <v>5w</v>
      </c>
      <c r="AT621" s="300" t="str">
        <f>_xlfn.IFNA(VLOOKUP($AI621,Programma!$F$3:$Q$1107,12,0),"")</f>
        <v>1w</v>
      </c>
      <c r="AU621" s="300" t="str">
        <f>_xlfn.IFNA(VLOOKUP($AI621,Programma!$F$3:$R$1107,13,0),"")</f>
        <v>1w</v>
      </c>
      <c r="AV621" s="300" t="str">
        <f>_xlfn.IFNA(VLOOKUP($AI621,Programma!$F$3:$S$1107,14,0),"")</f>
        <v>1m</v>
      </c>
      <c r="AW621" s="300" t="str">
        <f>_xlfn.IFNA(VLOOKUP($AI621,Programma!$F$3:$T$1107,15,0),"")</f>
        <v>2j</v>
      </c>
      <c r="AX621" s="300" t="str">
        <f>_xlfn.IFNA(VLOOKUP($AI621,Programma!$F$3:$U$1107,16,0),"")</f>
        <v>1j</v>
      </c>
      <c r="AY621" s="300" t="str">
        <f>_xlfn.IFNA(VLOOKUP($AI621,Programma!$F$3:$V$1107,17,0),"")</f>
        <v>_</v>
      </c>
      <c r="AZ621" s="300" t="str">
        <f>_xlfn.IFNA(VLOOKUP($AI621,Programma!$F$3:$W$1107,18,0),"")</f>
        <v>_</v>
      </c>
      <c r="BA621" s="300" t="str">
        <f>_xlfn.IFNA(VLOOKUP($AI621,Programma!$F$3:$X$1107,19,0),"")</f>
        <v>_</v>
      </c>
      <c r="BB621" s="300" t="str">
        <f>_xlfn.IFNA(VLOOKUP($AI621,Programma!$F$3:$Y$1107,20,0),"")</f>
        <v>_</v>
      </c>
      <c r="BC621" s="257"/>
      <c r="BD621" s="256" t="str">
        <f>IF(Ruimtestaat[[#This Row],[Frequentie weekend]]="","",_xlfn.CONCAT(Ruimtestaat[[#This Row],[Ruimte code]],"-",Ruimtestaat[[#This Row],[Frequentie weekend]]," ",Ruimtestaat[[#This Row],[Vloer code]]))</f>
        <v/>
      </c>
      <c r="BE621" s="300" t="str">
        <f>_xlfn.IFNA(VLOOKUP($BD621,Programma!$F$3:$G$1107,2,0),"")</f>
        <v/>
      </c>
      <c r="BF621" s="300" t="str">
        <f>_xlfn.IFNA(VLOOKUP($BD621,Programma!$F$3:$H$1107,3,0),"")</f>
        <v/>
      </c>
      <c r="BG621" s="300" t="str">
        <f>_xlfn.IFNA(VLOOKUP($BD621,Programma!$F$3:$I$1107,4,0),"")</f>
        <v/>
      </c>
      <c r="BH621" s="300" t="str">
        <f>_xlfn.IFNA(VLOOKUP($BD621,Programma!$F$3:$J$1107,5,0),"")</f>
        <v/>
      </c>
      <c r="BI621" s="300" t="str">
        <f>_xlfn.IFNA(VLOOKUP($BD621,Programma!$F$3:$K$1107,6,0),"")</f>
        <v/>
      </c>
      <c r="BJ621" s="300" t="str">
        <f>_xlfn.IFNA(VLOOKUP($BD621,Programma!$F$3:$L$1107,7,0),"")</f>
        <v/>
      </c>
      <c r="BK621" s="300" t="str">
        <f>_xlfn.IFNA(VLOOKUP($BD621,Programma!$F$3:$M$1107,8,0),"")</f>
        <v/>
      </c>
      <c r="BL621" s="300" t="str">
        <f>_xlfn.IFNA(VLOOKUP($BD621,Programma!$F$3:$N$1107,9,0),"")</f>
        <v/>
      </c>
      <c r="BM621" s="300" t="str">
        <f>_xlfn.IFNA(VLOOKUP($BD621,Programma!$F$3:$O$1107,10,0),"")</f>
        <v/>
      </c>
      <c r="BN621" s="300" t="str">
        <f>_xlfn.IFNA(VLOOKUP($BD621,Programma!$F$3:$P$1107,11,0),"")</f>
        <v/>
      </c>
      <c r="BO621" s="300" t="str">
        <f>_xlfn.IFNA(VLOOKUP($BD621,Programma!$F$3:$Q$1107,12,0),"")</f>
        <v/>
      </c>
      <c r="BP621" s="300" t="str">
        <f>_xlfn.IFNA(VLOOKUP($BD621,Programma!$F$3:$R$1107,13,0),"")</f>
        <v/>
      </c>
      <c r="BQ621" s="300" t="str">
        <f>_xlfn.IFNA(VLOOKUP($BD621,Programma!$F$3:$S$1107,14,0),"")</f>
        <v/>
      </c>
      <c r="BR621" s="300" t="str">
        <f>_xlfn.IFNA(VLOOKUP($BD621,Programma!$F$3:$T$1107,15,0),"")</f>
        <v/>
      </c>
      <c r="BS621" s="300" t="str">
        <f>_xlfn.IFNA(VLOOKUP($BD621,Programma!$F$3:$U$1107,16,0),"")</f>
        <v/>
      </c>
      <c r="BT621" s="300" t="str">
        <f>_xlfn.IFNA(VLOOKUP($BD621,Programma!$F$3:$V$1107,17,0),"")</f>
        <v/>
      </c>
      <c r="BU621" s="300" t="str">
        <f>_xlfn.IFNA(VLOOKUP($BD621,Programma!$F$3:$W$1107,18,0),"")</f>
        <v/>
      </c>
      <c r="BV621" s="300" t="str">
        <f>_xlfn.IFNA(VLOOKUP($BD621,Programma!$F$3:$X$1107,19,0),"")</f>
        <v/>
      </c>
      <c r="BW621" s="300" t="str">
        <f>_xlfn.IFNA(VLOOKUP($BD621,Programma!$F$3:$Y$1107,20,0),"")</f>
        <v/>
      </c>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c r="GK621" s="4"/>
      <c r="GL621" s="4"/>
      <c r="GM621" s="4"/>
      <c r="GN621" s="4"/>
      <c r="GO621" s="4"/>
      <c r="GP621" s="4"/>
      <c r="GQ621" s="4"/>
      <c r="GR621" s="4"/>
      <c r="GS621" s="4"/>
      <c r="GT621" s="4"/>
      <c r="GU621" s="4"/>
      <c r="GV621" s="4"/>
      <c r="GW621" s="4"/>
      <c r="GX621" s="4"/>
      <c r="GY621" s="4"/>
      <c r="GZ621" s="4"/>
      <c r="HA621" s="4"/>
      <c r="HB621" s="4"/>
      <c r="HC621" s="4"/>
      <c r="HD621" s="4"/>
      <c r="HE621" s="4"/>
      <c r="HF621" s="4"/>
      <c r="HG621" s="4"/>
      <c r="HH621" s="4"/>
      <c r="HI621" s="4"/>
      <c r="HJ621" s="4"/>
      <c r="HK621" s="4"/>
      <c r="HL621" s="4"/>
    </row>
    <row r="622" spans="1:220" ht="15" customHeight="1">
      <c r="A622" s="21">
        <v>7</v>
      </c>
      <c r="B622" s="157" t="str">
        <f>VLOOKUP(Ruimtestaat[[#This Row],[Code]],Locaties[[Code]:[Locatie]],2,FALSE)</f>
        <v>Gymnasium Novum</v>
      </c>
      <c r="C622" s="157" t="str">
        <f>VLOOKUP(Ruimtestaat[[#This Row],[Code]],Locaties[[#All],[Code]:[Adres]],4,FALSE)</f>
        <v>Aart v.d. Leeuwkade 1</v>
      </c>
      <c r="D622" s="157" t="str">
        <f>VLOOKUP(Ruimtestaat[[#This Row],[Code]],Locaties[[#All],[Code]:[Postcode]],5,FALSE)</f>
        <v>2274 KX</v>
      </c>
      <c r="E622" s="157" t="str">
        <f>VLOOKUP(Ruimtestaat[[#This Row],[Code]],Locaties[#All],6,FALSE)</f>
        <v>Voorburg</v>
      </c>
      <c r="F622" s="62"/>
      <c r="G622" s="21" t="s">
        <v>1624</v>
      </c>
      <c r="H622" s="21" t="s">
        <v>1683</v>
      </c>
      <c r="I622" s="62" t="s">
        <v>2168</v>
      </c>
      <c r="J622" s="21">
        <v>2</v>
      </c>
      <c r="K622" s="62" t="str">
        <f>VLOOKUP(Ruimtestaat[[#This Row],[Ruimte code]],Ruimtegroepen[[#All],[Code]:[Ruimte omschrijving]],2,FALSE)</f>
        <v>Kantoren</v>
      </c>
      <c r="L622" s="33" t="s">
        <v>101</v>
      </c>
      <c r="M622" s="367" t="s">
        <v>2495</v>
      </c>
      <c r="N622" s="140">
        <v>10</v>
      </c>
      <c r="O622" s="140"/>
      <c r="P622" s="125" t="str">
        <f>VLOOKUP(Ruimtestaat[[#This Row],[Ruimte code]],Ruimtegroepen[],4,FALSE)</f>
        <v>Bu</v>
      </c>
      <c r="R622" s="33">
        <v>42</v>
      </c>
      <c r="S622" s="33" t="s">
        <v>18</v>
      </c>
      <c r="T622" s="33">
        <f>IF(R622&gt;0,IF(RIGHT(Ruimtestaat[[#This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22" s="33">
        <f>IF(T622&gt;0,VLOOKUP($J622,Ruimtegroepen[],3,FALSE)*VLOOKUP($L622,Vloersoorten[],3,FALSE)*VLOOKUP($S622,Frequenties[],3,FALSE)*VLOOKUP($A622,Locaties[],3,FALSE),0)</f>
        <v>0</v>
      </c>
      <c r="V622" s="33">
        <f>Ruimtestaat[[#This Row],[Uitvoeringen werkdagen]]*Ruimtestaat[[#This Row],[Oppervlak (netto)]]</f>
        <v>1260</v>
      </c>
      <c r="W622" s="154">
        <f>IF(U622&gt;0,Ruimtestaat[[#This Row],[Prest. (m2 /jaar) werkdagen]]/Ruimtestaat[[#This Row],[Norm (m2/uur) werkdagen]],0)</f>
        <v>0</v>
      </c>
      <c r="X622" s="155">
        <f>Ruimtestaat[[#This Row],[uren / jaar werkdagen]]*Tariefsopbouw!$E$35</f>
        <v>0</v>
      </c>
      <c r="Y622" s="33"/>
      <c r="Z622" s="33">
        <f>IF(Ruimtestaat[[#This Row],[Frequentie weekend]]&gt;0,VALUE(LEFT(Y622,1))*R622,0)</f>
        <v>0</v>
      </c>
      <c r="AA622" s="97">
        <f>IF($Z622&gt;0,VLOOKUP($J622,Ruimtegroepen[],3,FALSE)*VLOOKUP($L622,Vloersoorten[],3,FALSE)*VLOOKUP($Y622,Frequenties[],3,FALSE)*VLOOKUP(Ruimtestaat[[#This Row],[Code]],Locaties[],3,FALSE),0)</f>
        <v>0</v>
      </c>
      <c r="AB622" s="97">
        <f>Ruimtestaat[[#This Row],[Uitvoeringen weekend]]*Ruimtestaat[[#This Row],[Oppervlak (netto)]]</f>
        <v>0</v>
      </c>
      <c r="AC622" s="97">
        <f>IF(AA622&gt;0,Ruimtestaat[[#This Row],[Prest. (m2 /jaar) weekend]]/Ruimtestaat[[#This Row],[Norm (m2/uur) weekend]],0)</f>
        <v>0</v>
      </c>
      <c r="AD622" s="155">
        <f>Ruimtestaat[[#This Row],[uren / jaar weekend]]*Tariefsopbouw!$D$40</f>
        <v>0</v>
      </c>
      <c r="AE622" s="154">
        <f>Ruimtestaat[[#This Row],[Prest. (m2 /jaar) weekend]]+Ruimtestaat[[#This Row],[Prest. (m2 /jaar) werkdagen]]</f>
        <v>1260</v>
      </c>
      <c r="AF622" s="154">
        <f>Ruimtestaat[[#This Row],[uren / jaar weekend]]+Ruimtestaat[[#This Row],[uren / jaar werkdagen]]</f>
        <v>0</v>
      </c>
      <c r="AG622" s="69">
        <f>Ruimtestaat[[#This Row],[kosten / jaar weekend]]+Ruimtestaat[[#This Row],[kosten / jaar werkdagen]]</f>
        <v>0</v>
      </c>
      <c r="AH622" s="69"/>
      <c r="AI622" s="256" t="str">
        <f>IF(Ruimtestaat[[#This Row],[Frequentie werkdagen]]="","",_xlfn.CONCAT(Ruimtestaat[[#This Row],[Ruimte code]],"-",Ruimtestaat[[#This Row],[Frequentie werkdagen]]," ",Ruimtestaat[[#This Row],[Vloer code]]))</f>
        <v>2-3w L</v>
      </c>
      <c r="AJ622" s="300" t="str">
        <f>_xlfn.IFNA(VLOOKUP($AI622,Programma!$F$3:$G$1107,2,0),"")</f>
        <v>_</v>
      </c>
      <c r="AK622" s="300" t="str">
        <f>_xlfn.IFNA(VLOOKUP($AI622,Programma!$F$3:$H$1107,3,0),"")</f>
        <v>_</v>
      </c>
      <c r="AL622" s="300" t="str">
        <f>_xlfn.IFNA(VLOOKUP($AI622,Programma!$F$3:$I$1107,4,0),"")</f>
        <v>2w</v>
      </c>
      <c r="AM622" s="300" t="str">
        <f>_xlfn.IFNA(VLOOKUP($AI622,Programma!$F$3:$J$1107,5,0),"")</f>
        <v>1w</v>
      </c>
      <c r="AN622" s="300" t="str">
        <f>_xlfn.IFNA(VLOOKUP($AI622,Programma!$F$3:$K$1107,6,0),"")</f>
        <v>_</v>
      </c>
      <c r="AO622" s="300" t="str">
        <f>_xlfn.IFNA(VLOOKUP($AI622,Programma!$F$3:$L$1107,7,0),"")</f>
        <v>_</v>
      </c>
      <c r="AP622" s="300" t="str">
        <f>_xlfn.IFNA(VLOOKUP($AI622,Programma!$F$3:$M$1107,8,0),"")</f>
        <v>_</v>
      </c>
      <c r="AQ622" s="300" t="str">
        <f>_xlfn.IFNA(VLOOKUP($AI622,Programma!$F$3:$N$1107,9,0),"")</f>
        <v>_</v>
      </c>
      <c r="AR622" s="300" t="str">
        <f>_xlfn.IFNA(VLOOKUP($AI622,Programma!$F$3:$O$1107,10,0),"")</f>
        <v>3w</v>
      </c>
      <c r="AS622" s="300" t="str">
        <f>_xlfn.IFNA(VLOOKUP($AI622,Programma!$F$3:$P$1107,11,0),"")</f>
        <v>3w</v>
      </c>
      <c r="AT622" s="300" t="str">
        <f>_xlfn.IFNA(VLOOKUP($AI622,Programma!$F$3:$Q$1107,12,0),"")</f>
        <v>1w</v>
      </c>
      <c r="AU622" s="300" t="str">
        <f>_xlfn.IFNA(VLOOKUP($AI622,Programma!$F$3:$R$1107,13,0),"")</f>
        <v>1w</v>
      </c>
      <c r="AV622" s="300" t="str">
        <f>_xlfn.IFNA(VLOOKUP($AI622,Programma!$F$3:$S$1107,14,0),"")</f>
        <v>1m</v>
      </c>
      <c r="AW622" s="300" t="str">
        <f>_xlfn.IFNA(VLOOKUP($AI622,Programma!$F$3:$T$1107,15,0),"")</f>
        <v>2j</v>
      </c>
      <c r="AX622" s="300" t="str">
        <f>_xlfn.IFNA(VLOOKUP($AI622,Programma!$F$3:$U$1107,16,0),"")</f>
        <v>1j</v>
      </c>
      <c r="AY622" s="300" t="str">
        <f>_xlfn.IFNA(VLOOKUP($AI622,Programma!$F$3:$V$1107,17,0),"")</f>
        <v>_</v>
      </c>
      <c r="AZ622" s="300" t="str">
        <f>_xlfn.IFNA(VLOOKUP($AI622,Programma!$F$3:$W$1107,18,0),"")</f>
        <v>_</v>
      </c>
      <c r="BA622" s="300" t="str">
        <f>_xlfn.IFNA(VLOOKUP($AI622,Programma!$F$3:$X$1107,19,0),"")</f>
        <v>_</v>
      </c>
      <c r="BB622" s="300" t="str">
        <f>_xlfn.IFNA(VLOOKUP($AI622,Programma!$F$3:$Y$1107,20,0),"")</f>
        <v>_</v>
      </c>
      <c r="BC622" s="257"/>
      <c r="BD622" s="256" t="str">
        <f>IF(Ruimtestaat[[#This Row],[Frequentie weekend]]="","",_xlfn.CONCAT(Ruimtestaat[[#This Row],[Ruimte code]],"-",Ruimtestaat[[#This Row],[Frequentie weekend]]," ",Ruimtestaat[[#This Row],[Vloer code]]))</f>
        <v/>
      </c>
      <c r="BE622" s="300" t="str">
        <f>_xlfn.IFNA(VLOOKUP($BD622,Programma!$F$3:$G$1107,2,0),"")</f>
        <v/>
      </c>
      <c r="BF622" s="300" t="str">
        <f>_xlfn.IFNA(VLOOKUP($BD622,Programma!$F$3:$H$1107,3,0),"")</f>
        <v/>
      </c>
      <c r="BG622" s="300" t="str">
        <f>_xlfn.IFNA(VLOOKUP($BD622,Programma!$F$3:$I$1107,4,0),"")</f>
        <v/>
      </c>
      <c r="BH622" s="300" t="str">
        <f>_xlfn.IFNA(VLOOKUP($BD622,Programma!$F$3:$J$1107,5,0),"")</f>
        <v/>
      </c>
      <c r="BI622" s="300" t="str">
        <f>_xlfn.IFNA(VLOOKUP($BD622,Programma!$F$3:$K$1107,6,0),"")</f>
        <v/>
      </c>
      <c r="BJ622" s="300" t="str">
        <f>_xlfn.IFNA(VLOOKUP($BD622,Programma!$F$3:$L$1107,7,0),"")</f>
        <v/>
      </c>
      <c r="BK622" s="300" t="str">
        <f>_xlfn.IFNA(VLOOKUP($BD622,Programma!$F$3:$M$1107,8,0),"")</f>
        <v/>
      </c>
      <c r="BL622" s="300" t="str">
        <f>_xlfn.IFNA(VLOOKUP($BD622,Programma!$F$3:$N$1107,9,0),"")</f>
        <v/>
      </c>
      <c r="BM622" s="300" t="str">
        <f>_xlfn.IFNA(VLOOKUP($BD622,Programma!$F$3:$O$1107,10,0),"")</f>
        <v/>
      </c>
      <c r="BN622" s="300" t="str">
        <f>_xlfn.IFNA(VLOOKUP($BD622,Programma!$F$3:$P$1107,11,0),"")</f>
        <v/>
      </c>
      <c r="BO622" s="300" t="str">
        <f>_xlfn.IFNA(VLOOKUP($BD622,Programma!$F$3:$Q$1107,12,0),"")</f>
        <v/>
      </c>
      <c r="BP622" s="300" t="str">
        <f>_xlfn.IFNA(VLOOKUP($BD622,Programma!$F$3:$R$1107,13,0),"")</f>
        <v/>
      </c>
      <c r="BQ622" s="300" t="str">
        <f>_xlfn.IFNA(VLOOKUP($BD622,Programma!$F$3:$S$1107,14,0),"")</f>
        <v/>
      </c>
      <c r="BR622" s="300" t="str">
        <f>_xlfn.IFNA(VLOOKUP($BD622,Programma!$F$3:$T$1107,15,0),"")</f>
        <v/>
      </c>
      <c r="BS622" s="300" t="str">
        <f>_xlfn.IFNA(VLOOKUP($BD622,Programma!$F$3:$U$1107,16,0),"")</f>
        <v/>
      </c>
      <c r="BT622" s="300" t="str">
        <f>_xlfn.IFNA(VLOOKUP($BD622,Programma!$F$3:$V$1107,17,0),"")</f>
        <v/>
      </c>
      <c r="BU622" s="300" t="str">
        <f>_xlfn.IFNA(VLOOKUP($BD622,Programma!$F$3:$W$1107,18,0),"")</f>
        <v/>
      </c>
      <c r="BV622" s="300" t="str">
        <f>_xlfn.IFNA(VLOOKUP($BD622,Programma!$F$3:$X$1107,19,0),"")</f>
        <v/>
      </c>
      <c r="BW622" s="300" t="str">
        <f>_xlfn.IFNA(VLOOKUP($BD622,Programma!$F$3:$Y$1107,20,0),"")</f>
        <v/>
      </c>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c r="GK622" s="4"/>
      <c r="GL622" s="4"/>
      <c r="GM622" s="4"/>
      <c r="GN622" s="4"/>
      <c r="GO622" s="4"/>
      <c r="GP622" s="4"/>
      <c r="GQ622" s="4"/>
      <c r="GR622" s="4"/>
      <c r="GS622" s="4"/>
      <c r="GT622" s="4"/>
      <c r="GU622" s="4"/>
      <c r="GV622" s="4"/>
      <c r="GW622" s="4"/>
      <c r="GX622" s="4"/>
      <c r="GY622" s="4"/>
      <c r="GZ622" s="4"/>
      <c r="HA622" s="4"/>
      <c r="HB622" s="4"/>
      <c r="HC622" s="4"/>
      <c r="HD622" s="4"/>
      <c r="HE622" s="4"/>
      <c r="HF622" s="4"/>
      <c r="HG622" s="4"/>
      <c r="HH622" s="4"/>
      <c r="HI622" s="4"/>
      <c r="HJ622" s="4"/>
      <c r="HK622" s="4"/>
      <c r="HL622" s="4"/>
    </row>
    <row r="623" spans="1:220" ht="15" customHeight="1">
      <c r="A623" s="21">
        <v>7</v>
      </c>
      <c r="B623" s="157" t="str">
        <f>VLOOKUP(Ruimtestaat[[#This Row],[Code]],Locaties[[Code]:[Locatie]],2,FALSE)</f>
        <v>Gymnasium Novum</v>
      </c>
      <c r="C623" s="157" t="str">
        <f>VLOOKUP(Ruimtestaat[[#This Row],[Code]],Locaties[[#All],[Code]:[Adres]],4,FALSE)</f>
        <v>Aart v.d. Leeuwkade 1</v>
      </c>
      <c r="D623" s="157" t="str">
        <f>VLOOKUP(Ruimtestaat[[#This Row],[Code]],Locaties[[#All],[Code]:[Postcode]],5,FALSE)</f>
        <v>2274 KX</v>
      </c>
      <c r="E623" s="157" t="str">
        <f>VLOOKUP(Ruimtestaat[[#This Row],[Code]],Locaties[#All],6,FALSE)</f>
        <v>Voorburg</v>
      </c>
      <c r="F623" s="62"/>
      <c r="G623" s="21" t="s">
        <v>1624</v>
      </c>
      <c r="H623" s="21" t="s">
        <v>1685</v>
      </c>
      <c r="I623" s="62" t="s">
        <v>2162</v>
      </c>
      <c r="J623" s="21">
        <v>1</v>
      </c>
      <c r="K623" s="62" t="str">
        <f>VLOOKUP(Ruimtestaat[[#This Row],[Ruimte code]],Ruimtegroepen[[#All],[Code]:[Ruimte omschrijving]],2,FALSE)</f>
        <v>Magazijnen/bergingen</v>
      </c>
      <c r="L623" s="33" t="s">
        <v>101</v>
      </c>
      <c r="M623" s="367" t="s">
        <v>2495</v>
      </c>
      <c r="N623" s="140">
        <v>17</v>
      </c>
      <c r="O623" s="140"/>
      <c r="P623" s="125" t="str">
        <f>VLOOKUP(Ruimtestaat[[#This Row],[Ruimte code]],Ruimtegroepen[],4,FALSE)</f>
        <v>Ve</v>
      </c>
      <c r="R623" s="33">
        <v>40</v>
      </c>
      <c r="S623" s="33" t="s">
        <v>16</v>
      </c>
      <c r="T623" s="33">
        <f>IF(R623&gt;0,IF(RIGHT(Ruimtestaat[[#This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623" s="33">
        <f>IF(T623&gt;0,VLOOKUP($J623,Ruimtegroepen[],3,FALSE)*VLOOKUP($L623,Vloersoorten[],3,FALSE)*VLOOKUP($S623,Frequenties[],3,FALSE)*VLOOKUP($A623,Locaties[],3,FALSE),0)</f>
        <v>0</v>
      </c>
      <c r="V623" s="33">
        <f>Ruimtestaat[[#This Row],[Uitvoeringen werkdagen]]*Ruimtestaat[[#This Row],[Oppervlak (netto)]]</f>
        <v>204</v>
      </c>
      <c r="W623" s="154">
        <f>IF(U623&gt;0,Ruimtestaat[[#This Row],[Prest. (m2 /jaar) werkdagen]]/Ruimtestaat[[#This Row],[Norm (m2/uur) werkdagen]],0)</f>
        <v>0</v>
      </c>
      <c r="X623" s="155">
        <f>Ruimtestaat[[#This Row],[uren / jaar werkdagen]]*Tariefsopbouw!$E$35</f>
        <v>0</v>
      </c>
      <c r="Y623" s="33"/>
      <c r="Z623" s="33">
        <f>IF(Ruimtestaat[[#This Row],[Frequentie weekend]]&gt;0,VALUE(LEFT(Y623,1))*R623,0)</f>
        <v>0</v>
      </c>
      <c r="AA623" s="97">
        <f>IF($Z623&gt;0,VLOOKUP($J623,Ruimtegroepen[],3,FALSE)*VLOOKUP($L623,Vloersoorten[],3,FALSE)*VLOOKUP($Y623,Frequenties[],3,FALSE)*VLOOKUP(Ruimtestaat[[#This Row],[Code]],Locaties[],3,FALSE),0)</f>
        <v>0</v>
      </c>
      <c r="AB623" s="97">
        <f>Ruimtestaat[[#This Row],[Uitvoeringen weekend]]*Ruimtestaat[[#This Row],[Oppervlak (netto)]]</f>
        <v>0</v>
      </c>
      <c r="AC623" s="97">
        <f>IF(AA623&gt;0,Ruimtestaat[[#This Row],[Prest. (m2 /jaar) weekend]]/Ruimtestaat[[#This Row],[Norm (m2/uur) weekend]],0)</f>
        <v>0</v>
      </c>
      <c r="AD623" s="155">
        <f>Ruimtestaat[[#This Row],[uren / jaar weekend]]*Tariefsopbouw!$D$40</f>
        <v>0</v>
      </c>
      <c r="AE623" s="154">
        <f>Ruimtestaat[[#This Row],[Prest. (m2 /jaar) weekend]]+Ruimtestaat[[#This Row],[Prest. (m2 /jaar) werkdagen]]</f>
        <v>204</v>
      </c>
      <c r="AF623" s="154">
        <f>Ruimtestaat[[#This Row],[uren / jaar weekend]]+Ruimtestaat[[#This Row],[uren / jaar werkdagen]]</f>
        <v>0</v>
      </c>
      <c r="AG623" s="69">
        <f>Ruimtestaat[[#This Row],[kosten / jaar weekend]]+Ruimtestaat[[#This Row],[kosten / jaar werkdagen]]</f>
        <v>0</v>
      </c>
      <c r="AH623" s="69"/>
      <c r="AI623" s="256" t="str">
        <f>IF(Ruimtestaat[[#This Row],[Frequentie werkdagen]]="","",_xlfn.CONCAT(Ruimtestaat[[#This Row],[Ruimte code]],"-",Ruimtestaat[[#This Row],[Frequentie werkdagen]]," ",Ruimtestaat[[#This Row],[Vloer code]]))</f>
        <v>1-1m L</v>
      </c>
      <c r="AJ623" s="300" t="str">
        <f>_xlfn.IFNA(VLOOKUP($AI623,Programma!$F$3:$G$1107,2,0),"")</f>
        <v>_</v>
      </c>
      <c r="AK623" s="300" t="str">
        <f>_xlfn.IFNA(VLOOKUP($AI623,Programma!$F$3:$H$1107,3,0),"")</f>
        <v>_</v>
      </c>
      <c r="AL623" s="300" t="str">
        <f>_xlfn.IFNA(VLOOKUP($AI623,Programma!$F$3:$I$1107,4,0),"")</f>
        <v>1m</v>
      </c>
      <c r="AM623" s="300" t="str">
        <f>_xlfn.IFNA(VLOOKUP($AI623,Programma!$F$3:$J$1107,5,0),"")</f>
        <v>1m</v>
      </c>
      <c r="AN623" s="300" t="str">
        <f>_xlfn.IFNA(VLOOKUP($AI623,Programma!$F$3:$K$1107,6,0),"")</f>
        <v>_</v>
      </c>
      <c r="AO623" s="300" t="str">
        <f>_xlfn.IFNA(VLOOKUP($AI623,Programma!$F$3:$L$1107,7,0),"")</f>
        <v>_</v>
      </c>
      <c r="AP623" s="300" t="str">
        <f>_xlfn.IFNA(VLOOKUP($AI623,Programma!$F$3:$M$1107,8,0),"")</f>
        <v>_</v>
      </c>
      <c r="AQ623" s="300" t="str">
        <f>_xlfn.IFNA(VLOOKUP($AI623,Programma!$F$3:$N$1107,9,0),"")</f>
        <v>_</v>
      </c>
      <c r="AR623" s="300" t="str">
        <f>_xlfn.IFNA(VLOOKUP($AI623,Programma!$F$3:$O$1107,10,0),"")</f>
        <v>_</v>
      </c>
      <c r="AS623" s="300" t="str">
        <f>_xlfn.IFNA(VLOOKUP($AI623,Programma!$F$3:$P$1107,11,0),"")</f>
        <v>_</v>
      </c>
      <c r="AT623" s="300" t="str">
        <f>_xlfn.IFNA(VLOOKUP($AI623,Programma!$F$3:$Q$1107,12,0),"")</f>
        <v>_</v>
      </c>
      <c r="AU623" s="300" t="str">
        <f>_xlfn.IFNA(VLOOKUP($AI623,Programma!$F$3:$R$1107,13,0),"")</f>
        <v>_</v>
      </c>
      <c r="AV623" s="300" t="str">
        <f>_xlfn.IFNA(VLOOKUP($AI623,Programma!$F$3:$S$1107,14,0),"")</f>
        <v>1m</v>
      </c>
      <c r="AW623" s="300" t="str">
        <f>_xlfn.IFNA(VLOOKUP($AI623,Programma!$F$3:$T$1107,15,0),"")</f>
        <v>4j</v>
      </c>
      <c r="AX623" s="300" t="str">
        <f>_xlfn.IFNA(VLOOKUP($AI623,Programma!$F$3:$U$1107,16,0),"")</f>
        <v>4j</v>
      </c>
      <c r="AY623" s="300" t="str">
        <f>_xlfn.IFNA(VLOOKUP($AI623,Programma!$F$3:$V$1107,17,0),"")</f>
        <v>_</v>
      </c>
      <c r="AZ623" s="300" t="str">
        <f>_xlfn.IFNA(VLOOKUP($AI623,Programma!$F$3:$W$1107,18,0),"")</f>
        <v>_</v>
      </c>
      <c r="BA623" s="300" t="str">
        <f>_xlfn.IFNA(VLOOKUP($AI623,Programma!$F$3:$X$1107,19,0),"")</f>
        <v>_</v>
      </c>
      <c r="BB623" s="300" t="str">
        <f>_xlfn.IFNA(VLOOKUP($AI623,Programma!$F$3:$Y$1107,20,0),"")</f>
        <v>_</v>
      </c>
      <c r="BC623" s="257"/>
      <c r="BD623" s="256" t="str">
        <f>IF(Ruimtestaat[[#This Row],[Frequentie weekend]]="","",_xlfn.CONCAT(Ruimtestaat[[#This Row],[Ruimte code]],"-",Ruimtestaat[[#This Row],[Frequentie weekend]]," ",Ruimtestaat[[#This Row],[Vloer code]]))</f>
        <v/>
      </c>
      <c r="BE623" s="300" t="str">
        <f>_xlfn.IFNA(VLOOKUP($BD623,Programma!$F$3:$G$1107,2,0),"")</f>
        <v/>
      </c>
      <c r="BF623" s="300" t="str">
        <f>_xlfn.IFNA(VLOOKUP($BD623,Programma!$F$3:$H$1107,3,0),"")</f>
        <v/>
      </c>
      <c r="BG623" s="300" t="str">
        <f>_xlfn.IFNA(VLOOKUP($BD623,Programma!$F$3:$I$1107,4,0),"")</f>
        <v/>
      </c>
      <c r="BH623" s="300" t="str">
        <f>_xlfn.IFNA(VLOOKUP($BD623,Programma!$F$3:$J$1107,5,0),"")</f>
        <v/>
      </c>
      <c r="BI623" s="300" t="str">
        <f>_xlfn.IFNA(VLOOKUP($BD623,Programma!$F$3:$K$1107,6,0),"")</f>
        <v/>
      </c>
      <c r="BJ623" s="300" t="str">
        <f>_xlfn.IFNA(VLOOKUP($BD623,Programma!$F$3:$L$1107,7,0),"")</f>
        <v/>
      </c>
      <c r="BK623" s="300" t="str">
        <f>_xlfn.IFNA(VLOOKUP($BD623,Programma!$F$3:$M$1107,8,0),"")</f>
        <v/>
      </c>
      <c r="BL623" s="300" t="str">
        <f>_xlfn.IFNA(VLOOKUP($BD623,Programma!$F$3:$N$1107,9,0),"")</f>
        <v/>
      </c>
      <c r="BM623" s="300" t="str">
        <f>_xlfn.IFNA(VLOOKUP($BD623,Programma!$F$3:$O$1107,10,0),"")</f>
        <v/>
      </c>
      <c r="BN623" s="300" t="str">
        <f>_xlfn.IFNA(VLOOKUP($BD623,Programma!$F$3:$P$1107,11,0),"")</f>
        <v/>
      </c>
      <c r="BO623" s="300" t="str">
        <f>_xlfn.IFNA(VLOOKUP($BD623,Programma!$F$3:$Q$1107,12,0),"")</f>
        <v/>
      </c>
      <c r="BP623" s="300" t="str">
        <f>_xlfn.IFNA(VLOOKUP($BD623,Programma!$F$3:$R$1107,13,0),"")</f>
        <v/>
      </c>
      <c r="BQ623" s="300" t="str">
        <f>_xlfn.IFNA(VLOOKUP($BD623,Programma!$F$3:$S$1107,14,0),"")</f>
        <v/>
      </c>
      <c r="BR623" s="300" t="str">
        <f>_xlfn.IFNA(VLOOKUP($BD623,Programma!$F$3:$T$1107,15,0),"")</f>
        <v/>
      </c>
      <c r="BS623" s="300" t="str">
        <f>_xlfn.IFNA(VLOOKUP($BD623,Programma!$F$3:$U$1107,16,0),"")</f>
        <v/>
      </c>
      <c r="BT623" s="300" t="str">
        <f>_xlfn.IFNA(VLOOKUP($BD623,Programma!$F$3:$V$1107,17,0),"")</f>
        <v/>
      </c>
      <c r="BU623" s="300" t="str">
        <f>_xlfn.IFNA(VLOOKUP($BD623,Programma!$F$3:$W$1107,18,0),"")</f>
        <v/>
      </c>
      <c r="BV623" s="300" t="str">
        <f>_xlfn.IFNA(VLOOKUP($BD623,Programma!$F$3:$X$1107,19,0),"")</f>
        <v/>
      </c>
      <c r="BW623" s="300" t="str">
        <f>_xlfn.IFNA(VLOOKUP($BD623,Programma!$F$3:$Y$1107,20,0),"")</f>
        <v/>
      </c>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c r="GK623" s="4"/>
      <c r="GL623" s="4"/>
      <c r="GM623" s="4"/>
      <c r="GN623" s="4"/>
      <c r="GO623" s="4"/>
      <c r="GP623" s="4"/>
      <c r="GQ623" s="4"/>
      <c r="GR623" s="4"/>
      <c r="GS623" s="4"/>
      <c r="GT623" s="4"/>
      <c r="GU623" s="4"/>
      <c r="GV623" s="4"/>
      <c r="GW623" s="4"/>
      <c r="GX623" s="4"/>
      <c r="GY623" s="4"/>
      <c r="GZ623" s="4"/>
      <c r="HA623" s="4"/>
      <c r="HB623" s="4"/>
      <c r="HC623" s="4"/>
      <c r="HD623" s="4"/>
      <c r="HE623" s="4"/>
      <c r="HF623" s="4"/>
      <c r="HG623" s="4"/>
      <c r="HH623" s="4"/>
      <c r="HI623" s="4"/>
      <c r="HJ623" s="4"/>
      <c r="HK623" s="4"/>
      <c r="HL623" s="4"/>
    </row>
    <row r="624" spans="1:220" ht="15" customHeight="1">
      <c r="A624" s="21">
        <v>7</v>
      </c>
      <c r="B624" s="157" t="str">
        <f>VLOOKUP(Ruimtestaat[[#This Row],[Code]],Locaties[[Code]:[Locatie]],2,FALSE)</f>
        <v>Gymnasium Novum</v>
      </c>
      <c r="C624" s="157" t="str">
        <f>VLOOKUP(Ruimtestaat[[#This Row],[Code]],Locaties[[#All],[Code]:[Adres]],4,FALSE)</f>
        <v>Aart v.d. Leeuwkade 1</v>
      </c>
      <c r="D624" s="157" t="str">
        <f>VLOOKUP(Ruimtestaat[[#This Row],[Code]],Locaties[[#All],[Code]:[Postcode]],5,FALSE)</f>
        <v>2274 KX</v>
      </c>
      <c r="E624" s="157" t="str">
        <f>VLOOKUP(Ruimtestaat[[#This Row],[Code]],Locaties[#All],6,FALSE)</f>
        <v>Voorburg</v>
      </c>
      <c r="F624" s="62"/>
      <c r="G624" s="21" t="s">
        <v>1624</v>
      </c>
      <c r="H624" s="21" t="s">
        <v>1687</v>
      </c>
      <c r="I624" s="62" t="s">
        <v>1807</v>
      </c>
      <c r="J624" s="21">
        <v>6</v>
      </c>
      <c r="K624" s="62" t="str">
        <f>VLOOKUP(Ruimtestaat[[#This Row],[Ruimte code]],Ruimtegroepen[[#All],[Code]:[Ruimte omschrijving]],2,FALSE)</f>
        <v>Gangen/hallen</v>
      </c>
      <c r="L624" s="33" t="s">
        <v>101</v>
      </c>
      <c r="M624" s="367" t="s">
        <v>2495</v>
      </c>
      <c r="N624" s="140">
        <v>13</v>
      </c>
      <c r="O624" s="140"/>
      <c r="P624" s="125" t="str">
        <f>VLOOKUP(Ruimtestaat[[#This Row],[Ruimte code]],Ruimtegroepen[],4,FALSE)</f>
        <v>Ve</v>
      </c>
      <c r="R624" s="33">
        <v>40</v>
      </c>
      <c r="S624" s="33" t="s">
        <v>2</v>
      </c>
      <c r="T624" s="33">
        <f>IF(R624&gt;0,IF(RIGHT(Ruimtestaat[[#This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24" s="33">
        <f>IF(T624&gt;0,VLOOKUP($J624,Ruimtegroepen[],3,FALSE)*VLOOKUP($L624,Vloersoorten[],3,FALSE)*VLOOKUP($S624,Frequenties[],3,FALSE)*VLOOKUP($A624,Locaties[],3,FALSE),0)</f>
        <v>0</v>
      </c>
      <c r="V624" s="33">
        <f>Ruimtestaat[[#This Row],[Uitvoeringen werkdagen]]*Ruimtestaat[[#This Row],[Oppervlak (netto)]]</f>
        <v>2600</v>
      </c>
      <c r="W624" s="154">
        <f>IF(U624&gt;0,Ruimtestaat[[#This Row],[Prest. (m2 /jaar) werkdagen]]/Ruimtestaat[[#This Row],[Norm (m2/uur) werkdagen]],0)</f>
        <v>0</v>
      </c>
      <c r="X624" s="155">
        <f>Ruimtestaat[[#This Row],[uren / jaar werkdagen]]*Tariefsopbouw!$E$35</f>
        <v>0</v>
      </c>
      <c r="Y624" s="33"/>
      <c r="Z624" s="33">
        <f>IF(Ruimtestaat[[#This Row],[Frequentie weekend]]&gt;0,VALUE(LEFT(Y624,1))*R624,0)</f>
        <v>0</v>
      </c>
      <c r="AA624" s="97">
        <f>IF($Z624&gt;0,VLOOKUP($J624,Ruimtegroepen[],3,FALSE)*VLOOKUP($L624,Vloersoorten[],3,FALSE)*VLOOKUP($Y624,Frequenties[],3,FALSE)*VLOOKUP(Ruimtestaat[[#This Row],[Code]],Locaties[],3,FALSE),0)</f>
        <v>0</v>
      </c>
      <c r="AB624" s="97">
        <f>Ruimtestaat[[#This Row],[Uitvoeringen weekend]]*Ruimtestaat[[#This Row],[Oppervlak (netto)]]</f>
        <v>0</v>
      </c>
      <c r="AC624" s="97">
        <f>IF(AA624&gt;0,Ruimtestaat[[#This Row],[Prest. (m2 /jaar) weekend]]/Ruimtestaat[[#This Row],[Norm (m2/uur) weekend]],0)</f>
        <v>0</v>
      </c>
      <c r="AD624" s="155">
        <f>Ruimtestaat[[#This Row],[uren / jaar weekend]]*Tariefsopbouw!$D$40</f>
        <v>0</v>
      </c>
      <c r="AE624" s="154">
        <f>Ruimtestaat[[#This Row],[Prest. (m2 /jaar) weekend]]+Ruimtestaat[[#This Row],[Prest. (m2 /jaar) werkdagen]]</f>
        <v>2600</v>
      </c>
      <c r="AF624" s="154">
        <f>Ruimtestaat[[#This Row],[uren / jaar weekend]]+Ruimtestaat[[#This Row],[uren / jaar werkdagen]]</f>
        <v>0</v>
      </c>
      <c r="AG624" s="69">
        <f>Ruimtestaat[[#This Row],[kosten / jaar weekend]]+Ruimtestaat[[#This Row],[kosten / jaar werkdagen]]</f>
        <v>0</v>
      </c>
      <c r="AH624" s="69"/>
      <c r="AI624" s="256" t="str">
        <f>IF(Ruimtestaat[[#This Row],[Frequentie werkdagen]]="","",_xlfn.CONCAT(Ruimtestaat[[#This Row],[Ruimte code]],"-",Ruimtestaat[[#This Row],[Frequentie werkdagen]]," ",Ruimtestaat[[#This Row],[Vloer code]]))</f>
        <v>6-5w L</v>
      </c>
      <c r="AJ624" s="300" t="str">
        <f>_xlfn.IFNA(VLOOKUP($AI624,Programma!$F$3:$G$1107,2,0),"")</f>
        <v>_</v>
      </c>
      <c r="AK624" s="300" t="str">
        <f>_xlfn.IFNA(VLOOKUP($AI624,Programma!$F$3:$H$1107,3,0),"")</f>
        <v>_</v>
      </c>
      <c r="AL624" s="300" t="str">
        <f>_xlfn.IFNA(VLOOKUP($AI624,Programma!$F$3:$I$1107,4,0),"")</f>
        <v>_</v>
      </c>
      <c r="AM624" s="300" t="str">
        <f>_xlfn.IFNA(VLOOKUP($AI624,Programma!$F$3:$J$1107,5,0),"")</f>
        <v>5w</v>
      </c>
      <c r="AN624" s="300" t="str">
        <f>_xlfn.IFNA(VLOOKUP($AI624,Programma!$F$3:$K$1107,6,0),"")</f>
        <v>_</v>
      </c>
      <c r="AO624" s="300" t="str">
        <f>_xlfn.IFNA(VLOOKUP($AI624,Programma!$F$3:$L$1107,7,0),"")</f>
        <v>_</v>
      </c>
      <c r="AP624" s="300" t="str">
        <f>_xlfn.IFNA(VLOOKUP($AI624,Programma!$F$3:$M$1107,8,0),"")</f>
        <v>_</v>
      </c>
      <c r="AQ624" s="300" t="str">
        <f>_xlfn.IFNA(VLOOKUP($AI624,Programma!$F$3:$N$1107,9,0),"")</f>
        <v>_</v>
      </c>
      <c r="AR624" s="300" t="str">
        <f>_xlfn.IFNA(VLOOKUP($AI624,Programma!$F$3:$O$1107,10,0),"")</f>
        <v>5w</v>
      </c>
      <c r="AS624" s="300" t="str">
        <f>_xlfn.IFNA(VLOOKUP($AI624,Programma!$F$3:$P$1107,11,0),"")</f>
        <v>5w</v>
      </c>
      <c r="AT624" s="300" t="str">
        <f>_xlfn.IFNA(VLOOKUP($AI624,Programma!$F$3:$Q$1107,12,0),"")</f>
        <v>1w</v>
      </c>
      <c r="AU624" s="300" t="str">
        <f>_xlfn.IFNA(VLOOKUP($AI624,Programma!$F$3:$R$1107,13,0),"")</f>
        <v>1w</v>
      </c>
      <c r="AV624" s="300" t="str">
        <f>_xlfn.IFNA(VLOOKUP($AI624,Programma!$F$3:$S$1107,14,0),"")</f>
        <v>1m</v>
      </c>
      <c r="AW624" s="300" t="str">
        <f>_xlfn.IFNA(VLOOKUP($AI624,Programma!$F$3:$T$1107,15,0),"")</f>
        <v>2j</v>
      </c>
      <c r="AX624" s="300" t="str">
        <f>_xlfn.IFNA(VLOOKUP($AI624,Programma!$F$3:$U$1107,16,0),"")</f>
        <v>1j</v>
      </c>
      <c r="AY624" s="300" t="str">
        <f>_xlfn.IFNA(VLOOKUP($AI624,Programma!$F$3:$V$1107,17,0),"")</f>
        <v>_</v>
      </c>
      <c r="AZ624" s="300" t="str">
        <f>_xlfn.IFNA(VLOOKUP($AI624,Programma!$F$3:$W$1107,18,0),"")</f>
        <v>_</v>
      </c>
      <c r="BA624" s="300" t="str">
        <f>_xlfn.IFNA(VLOOKUP($AI624,Programma!$F$3:$X$1107,19,0),"")</f>
        <v>_</v>
      </c>
      <c r="BB624" s="300" t="str">
        <f>_xlfn.IFNA(VLOOKUP($AI624,Programma!$F$3:$Y$1107,20,0),"")</f>
        <v>_</v>
      </c>
      <c r="BC624" s="257"/>
      <c r="BD624" s="256" t="str">
        <f>IF(Ruimtestaat[[#This Row],[Frequentie weekend]]="","",_xlfn.CONCAT(Ruimtestaat[[#This Row],[Ruimte code]],"-",Ruimtestaat[[#This Row],[Frequentie weekend]]," ",Ruimtestaat[[#This Row],[Vloer code]]))</f>
        <v/>
      </c>
      <c r="BE624" s="300" t="str">
        <f>_xlfn.IFNA(VLOOKUP($BD624,Programma!$F$3:$G$1107,2,0),"")</f>
        <v/>
      </c>
      <c r="BF624" s="300" t="str">
        <f>_xlfn.IFNA(VLOOKUP($BD624,Programma!$F$3:$H$1107,3,0),"")</f>
        <v/>
      </c>
      <c r="BG624" s="300" t="str">
        <f>_xlfn.IFNA(VLOOKUP($BD624,Programma!$F$3:$I$1107,4,0),"")</f>
        <v/>
      </c>
      <c r="BH624" s="300" t="str">
        <f>_xlfn.IFNA(VLOOKUP($BD624,Programma!$F$3:$J$1107,5,0),"")</f>
        <v/>
      </c>
      <c r="BI624" s="300" t="str">
        <f>_xlfn.IFNA(VLOOKUP($BD624,Programma!$F$3:$K$1107,6,0),"")</f>
        <v/>
      </c>
      <c r="BJ624" s="300" t="str">
        <f>_xlfn.IFNA(VLOOKUP($BD624,Programma!$F$3:$L$1107,7,0),"")</f>
        <v/>
      </c>
      <c r="BK624" s="300" t="str">
        <f>_xlfn.IFNA(VLOOKUP($BD624,Programma!$F$3:$M$1107,8,0),"")</f>
        <v/>
      </c>
      <c r="BL624" s="300" t="str">
        <f>_xlfn.IFNA(VLOOKUP($BD624,Programma!$F$3:$N$1107,9,0),"")</f>
        <v/>
      </c>
      <c r="BM624" s="300" t="str">
        <f>_xlfn.IFNA(VLOOKUP($BD624,Programma!$F$3:$O$1107,10,0),"")</f>
        <v/>
      </c>
      <c r="BN624" s="300" t="str">
        <f>_xlfn.IFNA(VLOOKUP($BD624,Programma!$F$3:$P$1107,11,0),"")</f>
        <v/>
      </c>
      <c r="BO624" s="300" t="str">
        <f>_xlfn.IFNA(VLOOKUP($BD624,Programma!$F$3:$Q$1107,12,0),"")</f>
        <v/>
      </c>
      <c r="BP624" s="300" t="str">
        <f>_xlfn.IFNA(VLOOKUP($BD624,Programma!$F$3:$R$1107,13,0),"")</f>
        <v/>
      </c>
      <c r="BQ624" s="300" t="str">
        <f>_xlfn.IFNA(VLOOKUP($BD624,Programma!$F$3:$S$1107,14,0),"")</f>
        <v/>
      </c>
      <c r="BR624" s="300" t="str">
        <f>_xlfn.IFNA(VLOOKUP($BD624,Programma!$F$3:$T$1107,15,0),"")</f>
        <v/>
      </c>
      <c r="BS624" s="300" t="str">
        <f>_xlfn.IFNA(VLOOKUP($BD624,Programma!$F$3:$U$1107,16,0),"")</f>
        <v/>
      </c>
      <c r="BT624" s="300" t="str">
        <f>_xlfn.IFNA(VLOOKUP($BD624,Programma!$F$3:$V$1107,17,0),"")</f>
        <v/>
      </c>
      <c r="BU624" s="300" t="str">
        <f>_xlfn.IFNA(VLOOKUP($BD624,Programma!$F$3:$W$1107,18,0),"")</f>
        <v/>
      </c>
      <c r="BV624" s="300" t="str">
        <f>_xlfn.IFNA(VLOOKUP($BD624,Programma!$F$3:$X$1107,19,0),"")</f>
        <v/>
      </c>
      <c r="BW624" s="300" t="str">
        <f>_xlfn.IFNA(VLOOKUP($BD624,Programma!$F$3:$Y$1107,20,0),"")</f>
        <v/>
      </c>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c r="GK624" s="4"/>
      <c r="GL624" s="4"/>
      <c r="GM624" s="4"/>
      <c r="GN624" s="4"/>
      <c r="GO624" s="4"/>
      <c r="GP624" s="4"/>
      <c r="GQ624" s="4"/>
      <c r="GR624" s="4"/>
      <c r="GS624" s="4"/>
      <c r="GT624" s="4"/>
      <c r="GU624" s="4"/>
      <c r="GV624" s="4"/>
      <c r="GW624" s="4"/>
      <c r="GX624" s="4"/>
      <c r="GY624" s="4"/>
      <c r="GZ624" s="4"/>
      <c r="HA624" s="4"/>
      <c r="HB624" s="4"/>
      <c r="HC624" s="4"/>
      <c r="HD624" s="4"/>
      <c r="HE624" s="4"/>
      <c r="HF624" s="4"/>
      <c r="HG624" s="4"/>
      <c r="HH624" s="4"/>
      <c r="HI624" s="4"/>
      <c r="HJ624" s="4"/>
      <c r="HK624" s="4"/>
      <c r="HL624" s="4"/>
    </row>
    <row r="625" spans="1:220" ht="15" customHeight="1">
      <c r="A625" s="21">
        <v>7</v>
      </c>
      <c r="B625" s="157" t="str">
        <f>VLOOKUP(Ruimtestaat[[#This Row],[Code]],Locaties[[Code]:[Locatie]],2,FALSE)</f>
        <v>Gymnasium Novum</v>
      </c>
      <c r="C625" s="157" t="str">
        <f>VLOOKUP(Ruimtestaat[[#This Row],[Code]],Locaties[[#All],[Code]:[Adres]],4,FALSE)</f>
        <v>Aart v.d. Leeuwkade 1</v>
      </c>
      <c r="D625" s="157" t="str">
        <f>VLOOKUP(Ruimtestaat[[#This Row],[Code]],Locaties[[#All],[Code]:[Postcode]],5,FALSE)</f>
        <v>2274 KX</v>
      </c>
      <c r="E625" s="157" t="str">
        <f>VLOOKUP(Ruimtestaat[[#This Row],[Code]],Locaties[#All],6,FALSE)</f>
        <v>Voorburg</v>
      </c>
      <c r="F625" s="62"/>
      <c r="G625" s="21" t="s">
        <v>1624</v>
      </c>
      <c r="H625" s="21" t="s">
        <v>1689</v>
      </c>
      <c r="I625" s="62" t="s">
        <v>2169</v>
      </c>
      <c r="J625" s="21">
        <v>10</v>
      </c>
      <c r="K625" s="62" t="str">
        <f>VLOOKUP(Ruimtestaat[[#This Row],[Ruimte code]],Ruimtegroepen[[#All],[Code]:[Ruimte omschrijving]],2,FALSE)</f>
        <v>Trappenhuizen/lift</v>
      </c>
      <c r="L625" s="33" t="s">
        <v>1325</v>
      </c>
      <c r="M625" s="367" t="s">
        <v>2505</v>
      </c>
      <c r="N625" s="140">
        <v>7</v>
      </c>
      <c r="O625" s="140"/>
      <c r="P625" s="125" t="str">
        <f>VLOOKUP(Ruimtestaat[[#This Row],[Ruimte code]],Ruimtegroepen[],4,FALSE)</f>
        <v>Ve</v>
      </c>
      <c r="R625" s="33">
        <v>40</v>
      </c>
      <c r="S625" s="33" t="s">
        <v>2</v>
      </c>
      <c r="T625" s="33">
        <f>IF(R625&gt;0,IF(RIGHT(Ruimtestaat[[#This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25" s="33">
        <f>IF(T625&gt;0,VLOOKUP($J625,Ruimtegroepen[],3,FALSE)*VLOOKUP($L625,Vloersoorten[],3,FALSE)*VLOOKUP($S625,Frequenties[],3,FALSE)*VLOOKUP($A625,Locaties[],3,FALSE),0)</f>
        <v>0</v>
      </c>
      <c r="V625" s="33">
        <f>Ruimtestaat[[#This Row],[Uitvoeringen werkdagen]]*Ruimtestaat[[#This Row],[Oppervlak (netto)]]</f>
        <v>1400</v>
      </c>
      <c r="W625" s="154">
        <f>IF(U625&gt;0,Ruimtestaat[[#This Row],[Prest. (m2 /jaar) werkdagen]]/Ruimtestaat[[#This Row],[Norm (m2/uur) werkdagen]],0)</f>
        <v>0</v>
      </c>
      <c r="X625" s="155">
        <f>Ruimtestaat[[#This Row],[uren / jaar werkdagen]]*Tariefsopbouw!$E$35</f>
        <v>0</v>
      </c>
      <c r="Y625" s="33"/>
      <c r="Z625" s="33">
        <f>IF(Ruimtestaat[[#This Row],[Frequentie weekend]]&gt;0,VALUE(LEFT(Y625,1))*R625,0)</f>
        <v>0</v>
      </c>
      <c r="AA625" s="97">
        <f>IF($Z625&gt;0,VLOOKUP($J625,Ruimtegroepen[],3,FALSE)*VLOOKUP($L625,Vloersoorten[],3,FALSE)*VLOOKUP($Y625,Frequenties[],3,FALSE)*VLOOKUP(Ruimtestaat[[#This Row],[Code]],Locaties[],3,FALSE),0)</f>
        <v>0</v>
      </c>
      <c r="AB625" s="97">
        <f>Ruimtestaat[[#This Row],[Uitvoeringen weekend]]*Ruimtestaat[[#This Row],[Oppervlak (netto)]]</f>
        <v>0</v>
      </c>
      <c r="AC625" s="97">
        <f>IF(AA625&gt;0,Ruimtestaat[[#This Row],[Prest. (m2 /jaar) weekend]]/Ruimtestaat[[#This Row],[Norm (m2/uur) weekend]],0)</f>
        <v>0</v>
      </c>
      <c r="AD625" s="155">
        <f>Ruimtestaat[[#This Row],[uren / jaar weekend]]*Tariefsopbouw!$D$40</f>
        <v>0</v>
      </c>
      <c r="AE625" s="154">
        <f>Ruimtestaat[[#This Row],[Prest. (m2 /jaar) weekend]]+Ruimtestaat[[#This Row],[Prest. (m2 /jaar) werkdagen]]</f>
        <v>1400</v>
      </c>
      <c r="AF625" s="154">
        <f>Ruimtestaat[[#This Row],[uren / jaar weekend]]+Ruimtestaat[[#This Row],[uren / jaar werkdagen]]</f>
        <v>0</v>
      </c>
      <c r="AG625" s="69">
        <f>Ruimtestaat[[#This Row],[kosten / jaar weekend]]+Ruimtestaat[[#This Row],[kosten / jaar werkdagen]]</f>
        <v>0</v>
      </c>
      <c r="AH625" s="69"/>
      <c r="AI625" s="256" t="str">
        <f>IF(Ruimtestaat[[#This Row],[Frequentie werkdagen]]="","",_xlfn.CONCAT(Ruimtestaat[[#This Row],[Ruimte code]],"-",Ruimtestaat[[#This Row],[Frequentie werkdagen]]," ",Ruimtestaat[[#This Row],[Vloer code]]))</f>
        <v>10-5w H</v>
      </c>
      <c r="AJ625" s="300" t="str">
        <f>_xlfn.IFNA(VLOOKUP($AI625,Programma!$F$3:$G$1107,2,0),"")</f>
        <v>_</v>
      </c>
      <c r="AK625" s="300" t="str">
        <f>_xlfn.IFNA(VLOOKUP($AI625,Programma!$F$3:$H$1107,3,0),"")</f>
        <v>_</v>
      </c>
      <c r="AL625" s="300" t="str">
        <f>_xlfn.IFNA(VLOOKUP($AI625,Programma!$F$3:$I$1107,4,0),"")</f>
        <v>5w</v>
      </c>
      <c r="AM625" s="300" t="str">
        <f>_xlfn.IFNA(VLOOKUP($AI625,Programma!$F$3:$J$1107,5,0),"")</f>
        <v>_</v>
      </c>
      <c r="AN625" s="300" t="str">
        <f>_xlfn.IFNA(VLOOKUP($AI625,Programma!$F$3:$K$1107,6,0),"")</f>
        <v>4j</v>
      </c>
      <c r="AO625" s="300" t="str">
        <f>_xlfn.IFNA(VLOOKUP($AI625,Programma!$F$3:$L$1107,7,0),"")</f>
        <v>_</v>
      </c>
      <c r="AP625" s="300" t="str">
        <f>_xlfn.IFNA(VLOOKUP($AI625,Programma!$F$3:$M$1107,8,0),"")</f>
        <v>_</v>
      </c>
      <c r="AQ625" s="300" t="str">
        <f>_xlfn.IFNA(VLOOKUP($AI625,Programma!$F$3:$N$1107,9,0),"")</f>
        <v>_</v>
      </c>
      <c r="AR625" s="300" t="str">
        <f>_xlfn.IFNA(VLOOKUP($AI625,Programma!$F$3:$O$1107,10,0),"")</f>
        <v>5w</v>
      </c>
      <c r="AS625" s="300" t="str">
        <f>_xlfn.IFNA(VLOOKUP($AI625,Programma!$F$3:$P$1107,11,0),"")</f>
        <v>5w</v>
      </c>
      <c r="AT625" s="300" t="str">
        <f>_xlfn.IFNA(VLOOKUP($AI625,Programma!$F$3:$Q$1107,12,0),"")</f>
        <v>1w</v>
      </c>
      <c r="AU625" s="300" t="str">
        <f>_xlfn.IFNA(VLOOKUP($AI625,Programma!$F$3:$R$1107,13,0),"")</f>
        <v>1w</v>
      </c>
      <c r="AV625" s="300" t="str">
        <f>_xlfn.IFNA(VLOOKUP($AI625,Programma!$F$3:$S$1107,14,0),"")</f>
        <v>1m</v>
      </c>
      <c r="AW625" s="300" t="str">
        <f>_xlfn.IFNA(VLOOKUP($AI625,Programma!$F$3:$T$1107,15,0),"")</f>
        <v>2j</v>
      </c>
      <c r="AX625" s="300" t="str">
        <f>_xlfn.IFNA(VLOOKUP($AI625,Programma!$F$3:$U$1107,16,0),"")</f>
        <v>1j</v>
      </c>
      <c r="AY625" s="300" t="str">
        <f>_xlfn.IFNA(VLOOKUP($AI625,Programma!$F$3:$V$1107,17,0),"")</f>
        <v>_</v>
      </c>
      <c r="AZ625" s="300" t="str">
        <f>_xlfn.IFNA(VLOOKUP($AI625,Programma!$F$3:$W$1107,18,0),"")</f>
        <v>_</v>
      </c>
      <c r="BA625" s="300" t="str">
        <f>_xlfn.IFNA(VLOOKUP($AI625,Programma!$F$3:$X$1107,19,0),"")</f>
        <v>_</v>
      </c>
      <c r="BB625" s="300" t="str">
        <f>_xlfn.IFNA(VLOOKUP($AI625,Programma!$F$3:$Y$1107,20,0),"")</f>
        <v>_</v>
      </c>
      <c r="BC625" s="257"/>
      <c r="BD625" s="256" t="str">
        <f>IF(Ruimtestaat[[#This Row],[Frequentie weekend]]="","",_xlfn.CONCAT(Ruimtestaat[[#This Row],[Ruimte code]],"-",Ruimtestaat[[#This Row],[Frequentie weekend]]," ",Ruimtestaat[[#This Row],[Vloer code]]))</f>
        <v/>
      </c>
      <c r="BE625" s="300" t="str">
        <f>_xlfn.IFNA(VLOOKUP($BD625,Programma!$F$3:$G$1107,2,0),"")</f>
        <v/>
      </c>
      <c r="BF625" s="300" t="str">
        <f>_xlfn.IFNA(VLOOKUP($BD625,Programma!$F$3:$H$1107,3,0),"")</f>
        <v/>
      </c>
      <c r="BG625" s="300" t="str">
        <f>_xlfn.IFNA(VLOOKUP($BD625,Programma!$F$3:$I$1107,4,0),"")</f>
        <v/>
      </c>
      <c r="BH625" s="300" t="str">
        <f>_xlfn.IFNA(VLOOKUP($BD625,Programma!$F$3:$J$1107,5,0),"")</f>
        <v/>
      </c>
      <c r="BI625" s="300" t="str">
        <f>_xlfn.IFNA(VLOOKUP($BD625,Programma!$F$3:$K$1107,6,0),"")</f>
        <v/>
      </c>
      <c r="BJ625" s="300" t="str">
        <f>_xlfn.IFNA(VLOOKUP($BD625,Programma!$F$3:$L$1107,7,0),"")</f>
        <v/>
      </c>
      <c r="BK625" s="300" t="str">
        <f>_xlfn.IFNA(VLOOKUP($BD625,Programma!$F$3:$M$1107,8,0),"")</f>
        <v/>
      </c>
      <c r="BL625" s="300" t="str">
        <f>_xlfn.IFNA(VLOOKUP($BD625,Programma!$F$3:$N$1107,9,0),"")</f>
        <v/>
      </c>
      <c r="BM625" s="300" t="str">
        <f>_xlfn.IFNA(VLOOKUP($BD625,Programma!$F$3:$O$1107,10,0),"")</f>
        <v/>
      </c>
      <c r="BN625" s="300" t="str">
        <f>_xlfn.IFNA(VLOOKUP($BD625,Programma!$F$3:$P$1107,11,0),"")</f>
        <v/>
      </c>
      <c r="BO625" s="300" t="str">
        <f>_xlfn.IFNA(VLOOKUP($BD625,Programma!$F$3:$Q$1107,12,0),"")</f>
        <v/>
      </c>
      <c r="BP625" s="300" t="str">
        <f>_xlfn.IFNA(VLOOKUP($BD625,Programma!$F$3:$R$1107,13,0),"")</f>
        <v/>
      </c>
      <c r="BQ625" s="300" t="str">
        <f>_xlfn.IFNA(VLOOKUP($BD625,Programma!$F$3:$S$1107,14,0),"")</f>
        <v/>
      </c>
      <c r="BR625" s="300" t="str">
        <f>_xlfn.IFNA(VLOOKUP($BD625,Programma!$F$3:$T$1107,15,0),"")</f>
        <v/>
      </c>
      <c r="BS625" s="300" t="str">
        <f>_xlfn.IFNA(VLOOKUP($BD625,Programma!$F$3:$U$1107,16,0),"")</f>
        <v/>
      </c>
      <c r="BT625" s="300" t="str">
        <f>_xlfn.IFNA(VLOOKUP($BD625,Programma!$F$3:$V$1107,17,0),"")</f>
        <v/>
      </c>
      <c r="BU625" s="300" t="str">
        <f>_xlfn.IFNA(VLOOKUP($BD625,Programma!$F$3:$W$1107,18,0),"")</f>
        <v/>
      </c>
      <c r="BV625" s="300" t="str">
        <f>_xlfn.IFNA(VLOOKUP($BD625,Programma!$F$3:$X$1107,19,0),"")</f>
        <v/>
      </c>
      <c r="BW625" s="300" t="str">
        <f>_xlfn.IFNA(VLOOKUP($BD625,Programma!$F$3:$Y$1107,20,0),"")</f>
        <v/>
      </c>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c r="GK625" s="4"/>
      <c r="GL625" s="4"/>
      <c r="GM625" s="4"/>
      <c r="GN625" s="4"/>
      <c r="GO625" s="4"/>
      <c r="GP625" s="4"/>
      <c r="GQ625" s="4"/>
      <c r="GR625" s="4"/>
      <c r="GS625" s="4"/>
      <c r="GT625" s="4"/>
      <c r="GU625" s="4"/>
      <c r="GV625" s="4"/>
      <c r="GW625" s="4"/>
      <c r="GX625" s="4"/>
      <c r="GY625" s="4"/>
      <c r="GZ625" s="4"/>
      <c r="HA625" s="4"/>
      <c r="HB625" s="4"/>
      <c r="HC625" s="4"/>
      <c r="HD625" s="4"/>
      <c r="HE625" s="4"/>
      <c r="HF625" s="4"/>
      <c r="HG625" s="4"/>
      <c r="HH625" s="4"/>
      <c r="HI625" s="4"/>
      <c r="HJ625" s="4"/>
      <c r="HK625" s="4"/>
      <c r="HL625" s="4"/>
    </row>
    <row r="626" spans="1:220" ht="15" customHeight="1">
      <c r="A626" s="21">
        <v>7</v>
      </c>
      <c r="B626" s="157" t="str">
        <f>VLOOKUP(Ruimtestaat[[#This Row],[Code]],Locaties[[Code]:[Locatie]],2,FALSE)</f>
        <v>Gymnasium Novum</v>
      </c>
      <c r="C626" s="157" t="str">
        <f>VLOOKUP(Ruimtestaat[[#This Row],[Code]],Locaties[[#All],[Code]:[Adres]],4,FALSE)</f>
        <v>Aart v.d. Leeuwkade 1</v>
      </c>
      <c r="D626" s="157" t="str">
        <f>VLOOKUP(Ruimtestaat[[#This Row],[Code]],Locaties[[#All],[Code]:[Postcode]],5,FALSE)</f>
        <v>2274 KX</v>
      </c>
      <c r="E626" s="157" t="str">
        <f>VLOOKUP(Ruimtestaat[[#This Row],[Code]],Locaties[#All],6,FALSE)</f>
        <v>Voorburg</v>
      </c>
      <c r="F626" s="62"/>
      <c r="G626" s="21" t="s">
        <v>1624</v>
      </c>
      <c r="H626" s="21" t="s">
        <v>1691</v>
      </c>
      <c r="I626" s="62" t="s">
        <v>2170</v>
      </c>
      <c r="J626" s="21">
        <v>16</v>
      </c>
      <c r="K626" s="62" t="str">
        <f>VLOOKUP(Ruimtestaat[[#This Row],[Ruimte code]],Ruimtegroepen[[#All],[Code]:[Ruimte omschrijving]],2,FALSE)</f>
        <v>Leslokalen theorie</v>
      </c>
      <c r="L626" s="33" t="s">
        <v>101</v>
      </c>
      <c r="M626" s="367" t="s">
        <v>2495</v>
      </c>
      <c r="N626" s="140">
        <v>131</v>
      </c>
      <c r="O626" s="140"/>
      <c r="P626" s="125" t="str">
        <f>VLOOKUP(Ruimtestaat[[#This Row],[Ruimte code]],Ruimtegroepen[],4,FALSE)</f>
        <v>Le</v>
      </c>
      <c r="R626" s="33">
        <v>40</v>
      </c>
      <c r="S626" s="33" t="s">
        <v>2</v>
      </c>
      <c r="T626" s="33">
        <f>IF(R626&gt;0,IF(RIGHT(Ruimtestaat[[#This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26" s="33">
        <f>IF(T626&gt;0,VLOOKUP($J626,Ruimtegroepen[],3,FALSE)*VLOOKUP($L626,Vloersoorten[],3,FALSE)*VLOOKUP($S626,Frequenties[],3,FALSE)*VLOOKUP($A626,Locaties[],3,FALSE),0)</f>
        <v>0</v>
      </c>
      <c r="V626" s="33">
        <f>Ruimtestaat[[#This Row],[Uitvoeringen werkdagen]]*Ruimtestaat[[#This Row],[Oppervlak (netto)]]</f>
        <v>26200</v>
      </c>
      <c r="W626" s="154">
        <f>IF(U626&gt;0,Ruimtestaat[[#This Row],[Prest. (m2 /jaar) werkdagen]]/Ruimtestaat[[#This Row],[Norm (m2/uur) werkdagen]],0)</f>
        <v>0</v>
      </c>
      <c r="X626" s="155">
        <f>Ruimtestaat[[#This Row],[uren / jaar werkdagen]]*Tariefsopbouw!$E$35</f>
        <v>0</v>
      </c>
      <c r="Y626" s="33"/>
      <c r="Z626" s="33">
        <f>IF(Ruimtestaat[[#This Row],[Frequentie weekend]]&gt;0,VALUE(LEFT(Y626,1))*R626,0)</f>
        <v>0</v>
      </c>
      <c r="AA626" s="97">
        <f>IF($Z626&gt;0,VLOOKUP($J626,Ruimtegroepen[],3,FALSE)*VLOOKUP($L626,Vloersoorten[],3,FALSE)*VLOOKUP($Y626,Frequenties[],3,FALSE)*VLOOKUP(Ruimtestaat[[#This Row],[Code]],Locaties[],3,FALSE),0)</f>
        <v>0</v>
      </c>
      <c r="AB626" s="97">
        <f>Ruimtestaat[[#This Row],[Uitvoeringen weekend]]*Ruimtestaat[[#This Row],[Oppervlak (netto)]]</f>
        <v>0</v>
      </c>
      <c r="AC626" s="97">
        <f>IF(AA626&gt;0,Ruimtestaat[[#This Row],[Prest. (m2 /jaar) weekend]]/Ruimtestaat[[#This Row],[Norm (m2/uur) weekend]],0)</f>
        <v>0</v>
      </c>
      <c r="AD626" s="155">
        <f>Ruimtestaat[[#This Row],[uren / jaar weekend]]*Tariefsopbouw!$D$40</f>
        <v>0</v>
      </c>
      <c r="AE626" s="154">
        <f>Ruimtestaat[[#This Row],[Prest. (m2 /jaar) weekend]]+Ruimtestaat[[#This Row],[Prest. (m2 /jaar) werkdagen]]</f>
        <v>26200</v>
      </c>
      <c r="AF626" s="154">
        <f>Ruimtestaat[[#This Row],[uren / jaar weekend]]+Ruimtestaat[[#This Row],[uren / jaar werkdagen]]</f>
        <v>0</v>
      </c>
      <c r="AG626" s="69">
        <f>Ruimtestaat[[#This Row],[kosten / jaar weekend]]+Ruimtestaat[[#This Row],[kosten / jaar werkdagen]]</f>
        <v>0</v>
      </c>
      <c r="AH626" s="69"/>
      <c r="AI626" s="256" t="str">
        <f>IF(Ruimtestaat[[#This Row],[Frequentie werkdagen]]="","",_xlfn.CONCAT(Ruimtestaat[[#This Row],[Ruimte code]],"-",Ruimtestaat[[#This Row],[Frequentie werkdagen]]," ",Ruimtestaat[[#This Row],[Vloer code]]))</f>
        <v>16-5w L</v>
      </c>
      <c r="AJ626" s="300" t="str">
        <f>_xlfn.IFNA(VLOOKUP($AI626,Programma!$F$3:$G$1107,2,0),"")</f>
        <v>_</v>
      </c>
      <c r="AK626" s="300" t="str">
        <f>_xlfn.IFNA(VLOOKUP($AI626,Programma!$F$3:$H$1107,3,0),"")</f>
        <v>_</v>
      </c>
      <c r="AL626" s="300" t="str">
        <f>_xlfn.IFNA(VLOOKUP($AI626,Programma!$F$3:$I$1107,4,0),"")</f>
        <v>4w</v>
      </c>
      <c r="AM626" s="300" t="str">
        <f>_xlfn.IFNA(VLOOKUP($AI626,Programma!$F$3:$J$1107,5,0),"")</f>
        <v>1w</v>
      </c>
      <c r="AN626" s="300" t="str">
        <f>_xlfn.IFNA(VLOOKUP($AI626,Programma!$F$3:$K$1107,6,0),"")</f>
        <v>_</v>
      </c>
      <c r="AO626" s="300" t="str">
        <f>_xlfn.IFNA(VLOOKUP($AI626,Programma!$F$3:$L$1107,7,0),"")</f>
        <v>_</v>
      </c>
      <c r="AP626" s="300" t="str">
        <f>_xlfn.IFNA(VLOOKUP($AI626,Programma!$F$3:$M$1107,8,0),"")</f>
        <v>_</v>
      </c>
      <c r="AQ626" s="300" t="str">
        <f>_xlfn.IFNA(VLOOKUP($AI626,Programma!$F$3:$N$1107,9,0),"")</f>
        <v>_</v>
      </c>
      <c r="AR626" s="300" t="str">
        <f>_xlfn.IFNA(VLOOKUP($AI626,Programma!$F$3:$O$1107,10,0),"")</f>
        <v>5w</v>
      </c>
      <c r="AS626" s="300" t="str">
        <f>_xlfn.IFNA(VLOOKUP($AI626,Programma!$F$3:$P$1107,11,0),"")</f>
        <v>5w</v>
      </c>
      <c r="AT626" s="300" t="str">
        <f>_xlfn.IFNA(VLOOKUP($AI626,Programma!$F$3:$Q$1107,12,0),"")</f>
        <v>1w</v>
      </c>
      <c r="AU626" s="300" t="str">
        <f>_xlfn.IFNA(VLOOKUP($AI626,Programma!$F$3:$R$1107,13,0),"")</f>
        <v>1w</v>
      </c>
      <c r="AV626" s="300" t="str">
        <f>_xlfn.IFNA(VLOOKUP($AI626,Programma!$F$3:$S$1107,14,0),"")</f>
        <v>1m</v>
      </c>
      <c r="AW626" s="300" t="str">
        <f>_xlfn.IFNA(VLOOKUP($AI626,Programma!$F$3:$T$1107,15,0),"")</f>
        <v>2j</v>
      </c>
      <c r="AX626" s="300" t="str">
        <f>_xlfn.IFNA(VLOOKUP($AI626,Programma!$F$3:$U$1107,16,0),"")</f>
        <v>1j</v>
      </c>
      <c r="AY626" s="300" t="str">
        <f>_xlfn.IFNA(VLOOKUP($AI626,Programma!$F$3:$V$1107,17,0),"")</f>
        <v>_</v>
      </c>
      <c r="AZ626" s="300" t="str">
        <f>_xlfn.IFNA(VLOOKUP($AI626,Programma!$F$3:$W$1107,18,0),"")</f>
        <v>_</v>
      </c>
      <c r="BA626" s="300" t="str">
        <f>_xlfn.IFNA(VLOOKUP($AI626,Programma!$F$3:$X$1107,19,0),"")</f>
        <v>_</v>
      </c>
      <c r="BB626" s="300" t="str">
        <f>_xlfn.IFNA(VLOOKUP($AI626,Programma!$F$3:$Y$1107,20,0),"")</f>
        <v>_</v>
      </c>
      <c r="BC626" s="257"/>
      <c r="BD626" s="256" t="str">
        <f>IF(Ruimtestaat[[#This Row],[Frequentie weekend]]="","",_xlfn.CONCAT(Ruimtestaat[[#This Row],[Ruimte code]],"-",Ruimtestaat[[#This Row],[Frequentie weekend]]," ",Ruimtestaat[[#This Row],[Vloer code]]))</f>
        <v/>
      </c>
      <c r="BE626" s="300" t="str">
        <f>_xlfn.IFNA(VLOOKUP($BD626,Programma!$F$3:$G$1107,2,0),"")</f>
        <v/>
      </c>
      <c r="BF626" s="300" t="str">
        <f>_xlfn.IFNA(VLOOKUP($BD626,Programma!$F$3:$H$1107,3,0),"")</f>
        <v/>
      </c>
      <c r="BG626" s="300" t="str">
        <f>_xlfn.IFNA(VLOOKUP($BD626,Programma!$F$3:$I$1107,4,0),"")</f>
        <v/>
      </c>
      <c r="BH626" s="300" t="str">
        <f>_xlfn.IFNA(VLOOKUP($BD626,Programma!$F$3:$J$1107,5,0),"")</f>
        <v/>
      </c>
      <c r="BI626" s="300" t="str">
        <f>_xlfn.IFNA(VLOOKUP($BD626,Programma!$F$3:$K$1107,6,0),"")</f>
        <v/>
      </c>
      <c r="BJ626" s="300" t="str">
        <f>_xlfn.IFNA(VLOOKUP($BD626,Programma!$F$3:$L$1107,7,0),"")</f>
        <v/>
      </c>
      <c r="BK626" s="300" t="str">
        <f>_xlfn.IFNA(VLOOKUP($BD626,Programma!$F$3:$M$1107,8,0),"")</f>
        <v/>
      </c>
      <c r="BL626" s="300" t="str">
        <f>_xlfn.IFNA(VLOOKUP($BD626,Programma!$F$3:$N$1107,9,0),"")</f>
        <v/>
      </c>
      <c r="BM626" s="300" t="str">
        <f>_xlfn.IFNA(VLOOKUP($BD626,Programma!$F$3:$O$1107,10,0),"")</f>
        <v/>
      </c>
      <c r="BN626" s="300" t="str">
        <f>_xlfn.IFNA(VLOOKUP($BD626,Programma!$F$3:$P$1107,11,0),"")</f>
        <v/>
      </c>
      <c r="BO626" s="300" t="str">
        <f>_xlfn.IFNA(VLOOKUP($BD626,Programma!$F$3:$Q$1107,12,0),"")</f>
        <v/>
      </c>
      <c r="BP626" s="300" t="str">
        <f>_xlfn.IFNA(VLOOKUP($BD626,Programma!$F$3:$R$1107,13,0),"")</f>
        <v/>
      </c>
      <c r="BQ626" s="300" t="str">
        <f>_xlfn.IFNA(VLOOKUP($BD626,Programma!$F$3:$S$1107,14,0),"")</f>
        <v/>
      </c>
      <c r="BR626" s="300" t="str">
        <f>_xlfn.IFNA(VLOOKUP($BD626,Programma!$F$3:$T$1107,15,0),"")</f>
        <v/>
      </c>
      <c r="BS626" s="300" t="str">
        <f>_xlfn.IFNA(VLOOKUP($BD626,Programma!$F$3:$U$1107,16,0),"")</f>
        <v/>
      </c>
      <c r="BT626" s="300" t="str">
        <f>_xlfn.IFNA(VLOOKUP($BD626,Programma!$F$3:$V$1107,17,0),"")</f>
        <v/>
      </c>
      <c r="BU626" s="300" t="str">
        <f>_xlfn.IFNA(VLOOKUP($BD626,Programma!$F$3:$W$1107,18,0),"")</f>
        <v/>
      </c>
      <c r="BV626" s="300" t="str">
        <f>_xlfn.IFNA(VLOOKUP($BD626,Programma!$F$3:$X$1107,19,0),"")</f>
        <v/>
      </c>
      <c r="BW626" s="300" t="str">
        <f>_xlfn.IFNA(VLOOKUP($BD626,Programma!$F$3:$Y$1107,20,0),"")</f>
        <v/>
      </c>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c r="GK626" s="4"/>
      <c r="GL626" s="4"/>
      <c r="GM626" s="4"/>
      <c r="GN626" s="4"/>
      <c r="GO626" s="4"/>
      <c r="GP626" s="4"/>
      <c r="GQ626" s="4"/>
      <c r="GR626" s="4"/>
      <c r="GS626" s="4"/>
      <c r="GT626" s="4"/>
      <c r="GU626" s="4"/>
      <c r="GV626" s="4"/>
      <c r="GW626" s="4"/>
      <c r="GX626" s="4"/>
      <c r="GY626" s="4"/>
      <c r="GZ626" s="4"/>
      <c r="HA626" s="4"/>
      <c r="HB626" s="4"/>
      <c r="HC626" s="4"/>
      <c r="HD626" s="4"/>
      <c r="HE626" s="4"/>
      <c r="HF626" s="4"/>
      <c r="HG626" s="4"/>
      <c r="HH626" s="4"/>
      <c r="HI626" s="4"/>
      <c r="HJ626" s="4"/>
      <c r="HK626" s="4"/>
      <c r="HL626" s="4"/>
    </row>
    <row r="627" spans="1:220" ht="15" customHeight="1">
      <c r="A627" s="21">
        <v>7</v>
      </c>
      <c r="B627" s="157" t="str">
        <f>VLOOKUP(Ruimtestaat[[#This Row],[Code]],Locaties[[Code]:[Locatie]],2,FALSE)</f>
        <v>Gymnasium Novum</v>
      </c>
      <c r="C627" s="157" t="str">
        <f>VLOOKUP(Ruimtestaat[[#This Row],[Code]],Locaties[[#All],[Code]:[Adres]],4,FALSE)</f>
        <v>Aart v.d. Leeuwkade 1</v>
      </c>
      <c r="D627" s="157" t="str">
        <f>VLOOKUP(Ruimtestaat[[#This Row],[Code]],Locaties[[#All],[Code]:[Postcode]],5,FALSE)</f>
        <v>2274 KX</v>
      </c>
      <c r="E627" s="157" t="str">
        <f>VLOOKUP(Ruimtestaat[[#This Row],[Code]],Locaties[#All],6,FALSE)</f>
        <v>Voorburg</v>
      </c>
      <c r="F627" s="62"/>
      <c r="G627" s="21" t="s">
        <v>1624</v>
      </c>
      <c r="H627" s="21" t="s">
        <v>1693</v>
      </c>
      <c r="I627" s="62" t="s">
        <v>2133</v>
      </c>
      <c r="J627" s="21">
        <v>12</v>
      </c>
      <c r="K627" s="62" t="str">
        <f>VLOOKUP(Ruimtestaat[[#This Row],[Ruimte code]],Ruimtegroepen[[#All],[Code]:[Ruimte omschrijving]],2,FALSE)</f>
        <v>Kantine</v>
      </c>
      <c r="L627" s="33" t="s">
        <v>101</v>
      </c>
      <c r="M627" s="367" t="s">
        <v>2495</v>
      </c>
      <c r="N627" s="140">
        <v>18</v>
      </c>
      <c r="O627" s="140"/>
      <c r="P627" s="125" t="str">
        <f>VLOOKUP(Ruimtestaat[[#This Row],[Ruimte code]],Ruimtegroepen[],4,FALSE)</f>
        <v>Ve</v>
      </c>
      <c r="R627" s="33">
        <v>40</v>
      </c>
      <c r="S627" s="33" t="s">
        <v>2</v>
      </c>
      <c r="T627" s="33">
        <f>IF(R627&gt;0,IF(RIGHT(Ruimtestaat[[#This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27" s="33">
        <f>IF(T627&gt;0,VLOOKUP($J627,Ruimtegroepen[],3,FALSE)*VLOOKUP($L627,Vloersoorten[],3,FALSE)*VLOOKUP($S627,Frequenties[],3,FALSE)*VLOOKUP($A627,Locaties[],3,FALSE),0)</f>
        <v>0</v>
      </c>
      <c r="V627" s="33">
        <f>Ruimtestaat[[#This Row],[Uitvoeringen werkdagen]]*Ruimtestaat[[#This Row],[Oppervlak (netto)]]</f>
        <v>3600</v>
      </c>
      <c r="W627" s="154">
        <f>IF(U627&gt;0,Ruimtestaat[[#This Row],[Prest. (m2 /jaar) werkdagen]]/Ruimtestaat[[#This Row],[Norm (m2/uur) werkdagen]],0)</f>
        <v>0</v>
      </c>
      <c r="X627" s="155">
        <f>Ruimtestaat[[#This Row],[uren / jaar werkdagen]]*Tariefsopbouw!$E$35</f>
        <v>0</v>
      </c>
      <c r="Y627" s="33"/>
      <c r="Z627" s="33">
        <f>IF(Ruimtestaat[[#This Row],[Frequentie weekend]]&gt;0,VALUE(LEFT(Y627,1))*R627,0)</f>
        <v>0</v>
      </c>
      <c r="AA627" s="97">
        <f>IF($Z627&gt;0,VLOOKUP($J627,Ruimtegroepen[],3,FALSE)*VLOOKUP($L627,Vloersoorten[],3,FALSE)*VLOOKUP($Y627,Frequenties[],3,FALSE)*VLOOKUP(Ruimtestaat[[#This Row],[Code]],Locaties[],3,FALSE),0)</f>
        <v>0</v>
      </c>
      <c r="AB627" s="97">
        <f>Ruimtestaat[[#This Row],[Uitvoeringen weekend]]*Ruimtestaat[[#This Row],[Oppervlak (netto)]]</f>
        <v>0</v>
      </c>
      <c r="AC627" s="97">
        <f>IF(AA627&gt;0,Ruimtestaat[[#This Row],[Prest. (m2 /jaar) weekend]]/Ruimtestaat[[#This Row],[Norm (m2/uur) weekend]],0)</f>
        <v>0</v>
      </c>
      <c r="AD627" s="155">
        <f>Ruimtestaat[[#This Row],[uren / jaar weekend]]*Tariefsopbouw!$D$40</f>
        <v>0</v>
      </c>
      <c r="AE627" s="154">
        <f>Ruimtestaat[[#This Row],[Prest. (m2 /jaar) weekend]]+Ruimtestaat[[#This Row],[Prest. (m2 /jaar) werkdagen]]</f>
        <v>3600</v>
      </c>
      <c r="AF627" s="154">
        <f>Ruimtestaat[[#This Row],[uren / jaar weekend]]+Ruimtestaat[[#This Row],[uren / jaar werkdagen]]</f>
        <v>0</v>
      </c>
      <c r="AG627" s="69">
        <f>Ruimtestaat[[#This Row],[kosten / jaar weekend]]+Ruimtestaat[[#This Row],[kosten / jaar werkdagen]]</f>
        <v>0</v>
      </c>
      <c r="AH627" s="69"/>
      <c r="AI627" s="256" t="str">
        <f>IF(Ruimtestaat[[#This Row],[Frequentie werkdagen]]="","",_xlfn.CONCAT(Ruimtestaat[[#This Row],[Ruimte code]],"-",Ruimtestaat[[#This Row],[Frequentie werkdagen]]," ",Ruimtestaat[[#This Row],[Vloer code]]))</f>
        <v>12-5w L</v>
      </c>
      <c r="AJ627" s="300" t="str">
        <f>_xlfn.IFNA(VLOOKUP($AI627,Programma!$F$3:$G$1107,2,0),"")</f>
        <v>_</v>
      </c>
      <c r="AK627" s="300" t="str">
        <f>_xlfn.IFNA(VLOOKUP($AI627,Programma!$F$3:$H$1107,3,0),"")</f>
        <v>_</v>
      </c>
      <c r="AL627" s="300" t="str">
        <f>_xlfn.IFNA(VLOOKUP($AI627,Programma!$F$3:$I$1107,4,0),"")</f>
        <v>_</v>
      </c>
      <c r="AM627" s="300" t="str">
        <f>_xlfn.IFNA(VLOOKUP($AI627,Programma!$F$3:$J$1107,5,0),"")</f>
        <v>5w</v>
      </c>
      <c r="AN627" s="300" t="str">
        <f>_xlfn.IFNA(VLOOKUP($AI627,Programma!$F$3:$K$1107,6,0),"")</f>
        <v>_</v>
      </c>
      <c r="AO627" s="300" t="str">
        <f>_xlfn.IFNA(VLOOKUP($AI627,Programma!$F$3:$L$1107,7,0),"")</f>
        <v>_</v>
      </c>
      <c r="AP627" s="300" t="str">
        <f>_xlfn.IFNA(VLOOKUP($AI627,Programma!$F$3:$M$1107,8,0),"")</f>
        <v>_</v>
      </c>
      <c r="AQ627" s="300" t="str">
        <f>_xlfn.IFNA(VLOOKUP($AI627,Programma!$F$3:$N$1107,9,0),"")</f>
        <v>_</v>
      </c>
      <c r="AR627" s="300" t="str">
        <f>_xlfn.IFNA(VLOOKUP($AI627,Programma!$F$3:$O$1107,10,0),"")</f>
        <v>5w</v>
      </c>
      <c r="AS627" s="300" t="str">
        <f>_xlfn.IFNA(VLOOKUP($AI627,Programma!$F$3:$P$1107,11,0),"")</f>
        <v>5w</v>
      </c>
      <c r="AT627" s="300" t="str">
        <f>_xlfn.IFNA(VLOOKUP($AI627,Programma!$F$3:$Q$1107,12,0),"")</f>
        <v>1w</v>
      </c>
      <c r="AU627" s="300" t="str">
        <f>_xlfn.IFNA(VLOOKUP($AI627,Programma!$F$3:$R$1107,13,0),"")</f>
        <v>1w</v>
      </c>
      <c r="AV627" s="300" t="str">
        <f>_xlfn.IFNA(VLOOKUP($AI627,Programma!$F$3:$S$1107,14,0),"")</f>
        <v>1m</v>
      </c>
      <c r="AW627" s="300" t="str">
        <f>_xlfn.IFNA(VLOOKUP($AI627,Programma!$F$3:$T$1107,15,0),"")</f>
        <v>2j</v>
      </c>
      <c r="AX627" s="300" t="str">
        <f>_xlfn.IFNA(VLOOKUP($AI627,Programma!$F$3:$U$1107,16,0),"")</f>
        <v>1j</v>
      </c>
      <c r="AY627" s="300" t="str">
        <f>_xlfn.IFNA(VLOOKUP($AI627,Programma!$F$3:$V$1107,17,0),"")</f>
        <v>_</v>
      </c>
      <c r="AZ627" s="300" t="str">
        <f>_xlfn.IFNA(VLOOKUP($AI627,Programma!$F$3:$W$1107,18,0),"")</f>
        <v>_</v>
      </c>
      <c r="BA627" s="300" t="str">
        <f>_xlfn.IFNA(VLOOKUP($AI627,Programma!$F$3:$X$1107,19,0),"")</f>
        <v>_</v>
      </c>
      <c r="BB627" s="300" t="str">
        <f>_xlfn.IFNA(VLOOKUP($AI627,Programma!$F$3:$Y$1107,20,0),"")</f>
        <v>_</v>
      </c>
      <c r="BC627" s="257"/>
      <c r="BD627" s="256" t="str">
        <f>IF(Ruimtestaat[[#This Row],[Frequentie weekend]]="","",_xlfn.CONCAT(Ruimtestaat[[#This Row],[Ruimte code]],"-",Ruimtestaat[[#This Row],[Frequentie weekend]]," ",Ruimtestaat[[#This Row],[Vloer code]]))</f>
        <v/>
      </c>
      <c r="BE627" s="300" t="str">
        <f>_xlfn.IFNA(VLOOKUP($BD627,Programma!$F$3:$G$1107,2,0),"")</f>
        <v/>
      </c>
      <c r="BF627" s="300" t="str">
        <f>_xlfn.IFNA(VLOOKUP($BD627,Programma!$F$3:$H$1107,3,0),"")</f>
        <v/>
      </c>
      <c r="BG627" s="300" t="str">
        <f>_xlfn.IFNA(VLOOKUP($BD627,Programma!$F$3:$I$1107,4,0),"")</f>
        <v/>
      </c>
      <c r="BH627" s="300" t="str">
        <f>_xlfn.IFNA(VLOOKUP($BD627,Programma!$F$3:$J$1107,5,0),"")</f>
        <v/>
      </c>
      <c r="BI627" s="300" t="str">
        <f>_xlfn.IFNA(VLOOKUP($BD627,Programma!$F$3:$K$1107,6,0),"")</f>
        <v/>
      </c>
      <c r="BJ627" s="300" t="str">
        <f>_xlfn.IFNA(VLOOKUP($BD627,Programma!$F$3:$L$1107,7,0),"")</f>
        <v/>
      </c>
      <c r="BK627" s="300" t="str">
        <f>_xlfn.IFNA(VLOOKUP($BD627,Programma!$F$3:$M$1107,8,0),"")</f>
        <v/>
      </c>
      <c r="BL627" s="300" t="str">
        <f>_xlfn.IFNA(VLOOKUP($BD627,Programma!$F$3:$N$1107,9,0),"")</f>
        <v/>
      </c>
      <c r="BM627" s="300" t="str">
        <f>_xlfn.IFNA(VLOOKUP($BD627,Programma!$F$3:$O$1107,10,0),"")</f>
        <v/>
      </c>
      <c r="BN627" s="300" t="str">
        <f>_xlfn.IFNA(VLOOKUP($BD627,Programma!$F$3:$P$1107,11,0),"")</f>
        <v/>
      </c>
      <c r="BO627" s="300" t="str">
        <f>_xlfn.IFNA(VLOOKUP($BD627,Programma!$F$3:$Q$1107,12,0),"")</f>
        <v/>
      </c>
      <c r="BP627" s="300" t="str">
        <f>_xlfn.IFNA(VLOOKUP($BD627,Programma!$F$3:$R$1107,13,0),"")</f>
        <v/>
      </c>
      <c r="BQ627" s="300" t="str">
        <f>_xlfn.IFNA(VLOOKUP($BD627,Programma!$F$3:$S$1107,14,0),"")</f>
        <v/>
      </c>
      <c r="BR627" s="300" t="str">
        <f>_xlfn.IFNA(VLOOKUP($BD627,Programma!$F$3:$T$1107,15,0),"")</f>
        <v/>
      </c>
      <c r="BS627" s="300" t="str">
        <f>_xlfn.IFNA(VLOOKUP($BD627,Programma!$F$3:$U$1107,16,0),"")</f>
        <v/>
      </c>
      <c r="BT627" s="300" t="str">
        <f>_xlfn.IFNA(VLOOKUP($BD627,Programma!$F$3:$V$1107,17,0),"")</f>
        <v/>
      </c>
      <c r="BU627" s="300" t="str">
        <f>_xlfn.IFNA(VLOOKUP($BD627,Programma!$F$3:$W$1107,18,0),"")</f>
        <v/>
      </c>
      <c r="BV627" s="300" t="str">
        <f>_xlfn.IFNA(VLOOKUP($BD627,Programma!$F$3:$X$1107,19,0),"")</f>
        <v/>
      </c>
      <c r="BW627" s="300" t="str">
        <f>_xlfn.IFNA(VLOOKUP($BD627,Programma!$F$3:$Y$1107,20,0),"")</f>
        <v/>
      </c>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c r="GK627" s="4"/>
      <c r="GL627" s="4"/>
      <c r="GM627" s="4"/>
      <c r="GN627" s="4"/>
      <c r="GO627" s="4"/>
      <c r="GP627" s="4"/>
      <c r="GQ627" s="4"/>
      <c r="GR627" s="4"/>
      <c r="GS627" s="4"/>
      <c r="GT627" s="4"/>
      <c r="GU627" s="4"/>
      <c r="GV627" s="4"/>
      <c r="GW627" s="4"/>
      <c r="GX627" s="4"/>
      <c r="GY627" s="4"/>
      <c r="GZ627" s="4"/>
      <c r="HA627" s="4"/>
      <c r="HB627" s="4"/>
      <c r="HC627" s="4"/>
      <c r="HD627" s="4"/>
      <c r="HE627" s="4"/>
      <c r="HF627" s="4"/>
      <c r="HG627" s="4"/>
      <c r="HH627" s="4"/>
      <c r="HI627" s="4"/>
      <c r="HJ627" s="4"/>
      <c r="HK627" s="4"/>
      <c r="HL627" s="4"/>
    </row>
    <row r="628" spans="1:220" ht="15" customHeight="1">
      <c r="A628" s="21">
        <v>7</v>
      </c>
      <c r="B628" s="157" t="str">
        <f>VLOOKUP(Ruimtestaat[[#This Row],[Code]],Locaties[[Code]:[Locatie]],2,FALSE)</f>
        <v>Gymnasium Novum</v>
      </c>
      <c r="C628" s="157" t="str">
        <f>VLOOKUP(Ruimtestaat[[#This Row],[Code]],Locaties[[#All],[Code]:[Adres]],4,FALSE)</f>
        <v>Aart v.d. Leeuwkade 1</v>
      </c>
      <c r="D628" s="157" t="str">
        <f>VLOOKUP(Ruimtestaat[[#This Row],[Code]],Locaties[[#All],[Code]:[Postcode]],5,FALSE)</f>
        <v>2274 KX</v>
      </c>
      <c r="E628" s="157" t="str">
        <f>VLOOKUP(Ruimtestaat[[#This Row],[Code]],Locaties[#All],6,FALSE)</f>
        <v>Voorburg</v>
      </c>
      <c r="F628" s="62"/>
      <c r="G628" s="21" t="s">
        <v>1624</v>
      </c>
      <c r="H628" s="21" t="s">
        <v>1695</v>
      </c>
      <c r="I628" s="62" t="s">
        <v>1626</v>
      </c>
      <c r="J628" s="21">
        <v>4</v>
      </c>
      <c r="K628" s="62" t="str">
        <f>VLOOKUP(Ruimtestaat[[#This Row],[Ruimte code]],Ruimtegroepen[[#All],[Code]:[Ruimte omschrijving]],2,FALSE)</f>
        <v>Vergader/spreekkamers</v>
      </c>
      <c r="L628" s="33" t="s">
        <v>101</v>
      </c>
      <c r="M628" s="367" t="s">
        <v>2495</v>
      </c>
      <c r="N628" s="140">
        <v>19</v>
      </c>
      <c r="O628" s="140"/>
      <c r="P628" s="125" t="str">
        <f>VLOOKUP(Ruimtestaat[[#This Row],[Ruimte code]],Ruimtegroepen[],4,FALSE)</f>
        <v>Bu</v>
      </c>
      <c r="R628" s="33">
        <v>40</v>
      </c>
      <c r="S628" s="33" t="s">
        <v>18</v>
      </c>
      <c r="T628" s="33">
        <f>IF(R628&gt;0,IF(RIGHT(Ruimtestaat[[#This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628" s="33">
        <f>IF(T628&gt;0,VLOOKUP($J628,Ruimtegroepen[],3,FALSE)*VLOOKUP($L628,Vloersoorten[],3,FALSE)*VLOOKUP($S628,Frequenties[],3,FALSE)*VLOOKUP($A628,Locaties[],3,FALSE),0)</f>
        <v>0</v>
      </c>
      <c r="V628" s="33">
        <f>Ruimtestaat[[#This Row],[Uitvoeringen werkdagen]]*Ruimtestaat[[#This Row],[Oppervlak (netto)]]</f>
        <v>2280</v>
      </c>
      <c r="W628" s="154">
        <f>IF(U628&gt;0,Ruimtestaat[[#This Row],[Prest. (m2 /jaar) werkdagen]]/Ruimtestaat[[#This Row],[Norm (m2/uur) werkdagen]],0)</f>
        <v>0</v>
      </c>
      <c r="X628" s="155">
        <f>Ruimtestaat[[#This Row],[uren / jaar werkdagen]]*Tariefsopbouw!$E$35</f>
        <v>0</v>
      </c>
      <c r="Y628" s="33"/>
      <c r="Z628" s="33">
        <f>IF(Ruimtestaat[[#This Row],[Frequentie weekend]]&gt;0,VALUE(LEFT(Y628,1))*R628,0)</f>
        <v>0</v>
      </c>
      <c r="AA628" s="97">
        <f>IF($Z628&gt;0,VLOOKUP($J628,Ruimtegroepen[],3,FALSE)*VLOOKUP($L628,Vloersoorten[],3,FALSE)*VLOOKUP($Y628,Frequenties[],3,FALSE)*VLOOKUP(Ruimtestaat[[#This Row],[Code]],Locaties[],3,FALSE),0)</f>
        <v>0</v>
      </c>
      <c r="AB628" s="97">
        <f>Ruimtestaat[[#This Row],[Uitvoeringen weekend]]*Ruimtestaat[[#This Row],[Oppervlak (netto)]]</f>
        <v>0</v>
      </c>
      <c r="AC628" s="97">
        <f>IF(AA628&gt;0,Ruimtestaat[[#This Row],[Prest. (m2 /jaar) weekend]]/Ruimtestaat[[#This Row],[Norm (m2/uur) weekend]],0)</f>
        <v>0</v>
      </c>
      <c r="AD628" s="155">
        <f>Ruimtestaat[[#This Row],[uren / jaar weekend]]*Tariefsopbouw!$D$40</f>
        <v>0</v>
      </c>
      <c r="AE628" s="154">
        <f>Ruimtestaat[[#This Row],[Prest. (m2 /jaar) weekend]]+Ruimtestaat[[#This Row],[Prest. (m2 /jaar) werkdagen]]</f>
        <v>2280</v>
      </c>
      <c r="AF628" s="154">
        <f>Ruimtestaat[[#This Row],[uren / jaar weekend]]+Ruimtestaat[[#This Row],[uren / jaar werkdagen]]</f>
        <v>0</v>
      </c>
      <c r="AG628" s="69">
        <f>Ruimtestaat[[#This Row],[kosten / jaar weekend]]+Ruimtestaat[[#This Row],[kosten / jaar werkdagen]]</f>
        <v>0</v>
      </c>
      <c r="AH628" s="69"/>
      <c r="AI628" s="256" t="str">
        <f>IF(Ruimtestaat[[#This Row],[Frequentie werkdagen]]="","",_xlfn.CONCAT(Ruimtestaat[[#This Row],[Ruimte code]],"-",Ruimtestaat[[#This Row],[Frequentie werkdagen]]," ",Ruimtestaat[[#This Row],[Vloer code]]))</f>
        <v>4-3w L</v>
      </c>
      <c r="AJ628" s="300" t="str">
        <f>_xlfn.IFNA(VLOOKUP($AI628,Programma!$F$3:$G$1107,2,0),"")</f>
        <v>_</v>
      </c>
      <c r="AK628" s="300" t="str">
        <f>_xlfn.IFNA(VLOOKUP($AI628,Programma!$F$3:$H$1107,3,0),"")</f>
        <v>_</v>
      </c>
      <c r="AL628" s="300" t="str">
        <f>_xlfn.IFNA(VLOOKUP($AI628,Programma!$F$3:$I$1107,4,0),"")</f>
        <v>2w</v>
      </c>
      <c r="AM628" s="300" t="str">
        <f>_xlfn.IFNA(VLOOKUP($AI628,Programma!$F$3:$J$1107,5,0),"")</f>
        <v>1w</v>
      </c>
      <c r="AN628" s="300" t="str">
        <f>_xlfn.IFNA(VLOOKUP($AI628,Programma!$F$3:$K$1107,6,0),"")</f>
        <v>_</v>
      </c>
      <c r="AO628" s="300" t="str">
        <f>_xlfn.IFNA(VLOOKUP($AI628,Programma!$F$3:$L$1107,7,0),"")</f>
        <v>_</v>
      </c>
      <c r="AP628" s="300" t="str">
        <f>_xlfn.IFNA(VLOOKUP($AI628,Programma!$F$3:$M$1107,8,0),"")</f>
        <v>_</v>
      </c>
      <c r="AQ628" s="300" t="str">
        <f>_xlfn.IFNA(VLOOKUP($AI628,Programma!$F$3:$N$1107,9,0),"")</f>
        <v>_</v>
      </c>
      <c r="AR628" s="300" t="str">
        <f>_xlfn.IFNA(VLOOKUP($AI628,Programma!$F$3:$O$1107,10,0),"")</f>
        <v>3w</v>
      </c>
      <c r="AS628" s="300" t="str">
        <f>_xlfn.IFNA(VLOOKUP($AI628,Programma!$F$3:$P$1107,11,0),"")</f>
        <v>3w</v>
      </c>
      <c r="AT628" s="300" t="str">
        <f>_xlfn.IFNA(VLOOKUP($AI628,Programma!$F$3:$Q$1107,12,0),"")</f>
        <v>1w</v>
      </c>
      <c r="AU628" s="300" t="str">
        <f>_xlfn.IFNA(VLOOKUP($AI628,Programma!$F$3:$R$1107,13,0),"")</f>
        <v>1w</v>
      </c>
      <c r="AV628" s="300" t="str">
        <f>_xlfn.IFNA(VLOOKUP($AI628,Programma!$F$3:$S$1107,14,0),"")</f>
        <v>1m</v>
      </c>
      <c r="AW628" s="300" t="str">
        <f>_xlfn.IFNA(VLOOKUP($AI628,Programma!$F$3:$T$1107,15,0),"")</f>
        <v>2j</v>
      </c>
      <c r="AX628" s="300" t="str">
        <f>_xlfn.IFNA(VLOOKUP($AI628,Programma!$F$3:$U$1107,16,0),"")</f>
        <v>1j</v>
      </c>
      <c r="AY628" s="300" t="str">
        <f>_xlfn.IFNA(VLOOKUP($AI628,Programma!$F$3:$V$1107,17,0),"")</f>
        <v>_</v>
      </c>
      <c r="AZ628" s="300" t="str">
        <f>_xlfn.IFNA(VLOOKUP($AI628,Programma!$F$3:$W$1107,18,0),"")</f>
        <v>_</v>
      </c>
      <c r="BA628" s="300" t="str">
        <f>_xlfn.IFNA(VLOOKUP($AI628,Programma!$F$3:$X$1107,19,0),"")</f>
        <v>_</v>
      </c>
      <c r="BB628" s="300" t="str">
        <f>_xlfn.IFNA(VLOOKUP($AI628,Programma!$F$3:$Y$1107,20,0),"")</f>
        <v>_</v>
      </c>
      <c r="BC628" s="257"/>
      <c r="BD628" s="256" t="str">
        <f>IF(Ruimtestaat[[#This Row],[Frequentie weekend]]="","",_xlfn.CONCAT(Ruimtestaat[[#This Row],[Ruimte code]],"-",Ruimtestaat[[#This Row],[Frequentie weekend]]," ",Ruimtestaat[[#This Row],[Vloer code]]))</f>
        <v/>
      </c>
      <c r="BE628" s="300" t="str">
        <f>_xlfn.IFNA(VLOOKUP($BD628,Programma!$F$3:$G$1107,2,0),"")</f>
        <v/>
      </c>
      <c r="BF628" s="300" t="str">
        <f>_xlfn.IFNA(VLOOKUP($BD628,Programma!$F$3:$H$1107,3,0),"")</f>
        <v/>
      </c>
      <c r="BG628" s="300" t="str">
        <f>_xlfn.IFNA(VLOOKUP($BD628,Programma!$F$3:$I$1107,4,0),"")</f>
        <v/>
      </c>
      <c r="BH628" s="300" t="str">
        <f>_xlfn.IFNA(VLOOKUP($BD628,Programma!$F$3:$J$1107,5,0),"")</f>
        <v/>
      </c>
      <c r="BI628" s="300" t="str">
        <f>_xlfn.IFNA(VLOOKUP($BD628,Programma!$F$3:$K$1107,6,0),"")</f>
        <v/>
      </c>
      <c r="BJ628" s="300" t="str">
        <f>_xlfn.IFNA(VLOOKUP($BD628,Programma!$F$3:$L$1107,7,0),"")</f>
        <v/>
      </c>
      <c r="BK628" s="300" t="str">
        <f>_xlfn.IFNA(VLOOKUP($BD628,Programma!$F$3:$M$1107,8,0),"")</f>
        <v/>
      </c>
      <c r="BL628" s="300" t="str">
        <f>_xlfn.IFNA(VLOOKUP($BD628,Programma!$F$3:$N$1107,9,0),"")</f>
        <v/>
      </c>
      <c r="BM628" s="300" t="str">
        <f>_xlfn.IFNA(VLOOKUP($BD628,Programma!$F$3:$O$1107,10,0),"")</f>
        <v/>
      </c>
      <c r="BN628" s="300" t="str">
        <f>_xlfn.IFNA(VLOOKUP($BD628,Programma!$F$3:$P$1107,11,0),"")</f>
        <v/>
      </c>
      <c r="BO628" s="300" t="str">
        <f>_xlfn.IFNA(VLOOKUP($BD628,Programma!$F$3:$Q$1107,12,0),"")</f>
        <v/>
      </c>
      <c r="BP628" s="300" t="str">
        <f>_xlfn.IFNA(VLOOKUP($BD628,Programma!$F$3:$R$1107,13,0),"")</f>
        <v/>
      </c>
      <c r="BQ628" s="300" t="str">
        <f>_xlfn.IFNA(VLOOKUP($BD628,Programma!$F$3:$S$1107,14,0),"")</f>
        <v/>
      </c>
      <c r="BR628" s="300" t="str">
        <f>_xlfn.IFNA(VLOOKUP($BD628,Programma!$F$3:$T$1107,15,0),"")</f>
        <v/>
      </c>
      <c r="BS628" s="300" t="str">
        <f>_xlfn.IFNA(VLOOKUP($BD628,Programma!$F$3:$U$1107,16,0),"")</f>
        <v/>
      </c>
      <c r="BT628" s="300" t="str">
        <f>_xlfn.IFNA(VLOOKUP($BD628,Programma!$F$3:$V$1107,17,0),"")</f>
        <v/>
      </c>
      <c r="BU628" s="300" t="str">
        <f>_xlfn.IFNA(VLOOKUP($BD628,Programma!$F$3:$W$1107,18,0),"")</f>
        <v/>
      </c>
      <c r="BV628" s="300" t="str">
        <f>_xlfn.IFNA(VLOOKUP($BD628,Programma!$F$3:$X$1107,19,0),"")</f>
        <v/>
      </c>
      <c r="BW628" s="300" t="str">
        <f>_xlfn.IFNA(VLOOKUP($BD628,Programma!$F$3:$Y$1107,20,0),"")</f>
        <v/>
      </c>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c r="GK628" s="4"/>
      <c r="GL628" s="4"/>
      <c r="GM628" s="4"/>
      <c r="GN628" s="4"/>
      <c r="GO628" s="4"/>
      <c r="GP628" s="4"/>
      <c r="GQ628" s="4"/>
      <c r="GR628" s="4"/>
      <c r="GS628" s="4"/>
      <c r="GT628" s="4"/>
      <c r="GU628" s="4"/>
      <c r="GV628" s="4"/>
      <c r="GW628" s="4"/>
      <c r="GX628" s="4"/>
      <c r="GY628" s="4"/>
      <c r="GZ628" s="4"/>
      <c r="HA628" s="4"/>
      <c r="HB628" s="4"/>
      <c r="HC628" s="4"/>
      <c r="HD628" s="4"/>
      <c r="HE628" s="4"/>
      <c r="HF628" s="4"/>
      <c r="HG628" s="4"/>
      <c r="HH628" s="4"/>
      <c r="HI628" s="4"/>
      <c r="HJ628" s="4"/>
      <c r="HK628" s="4"/>
      <c r="HL628" s="4"/>
    </row>
    <row r="629" spans="1:220" ht="15" customHeight="1">
      <c r="A629" s="21">
        <v>7</v>
      </c>
      <c r="B629" s="157" t="str">
        <f>VLOOKUP(Ruimtestaat[[#This Row],[Code]],Locaties[[Code]:[Locatie]],2,FALSE)</f>
        <v>Gymnasium Novum</v>
      </c>
      <c r="C629" s="157" t="str">
        <f>VLOOKUP(Ruimtestaat[[#This Row],[Code]],Locaties[[#All],[Code]:[Adres]],4,FALSE)</f>
        <v>Aart v.d. Leeuwkade 1</v>
      </c>
      <c r="D629" s="157" t="str">
        <f>VLOOKUP(Ruimtestaat[[#This Row],[Code]],Locaties[[#All],[Code]:[Postcode]],5,FALSE)</f>
        <v>2274 KX</v>
      </c>
      <c r="E629" s="157" t="str">
        <f>VLOOKUP(Ruimtestaat[[#This Row],[Code]],Locaties[#All],6,FALSE)</f>
        <v>Voorburg</v>
      </c>
      <c r="F629" s="62"/>
      <c r="G629" s="21" t="s">
        <v>1624</v>
      </c>
      <c r="H629" s="21" t="s">
        <v>1697</v>
      </c>
      <c r="I629" s="62" t="s">
        <v>2171</v>
      </c>
      <c r="J629" s="21">
        <v>8</v>
      </c>
      <c r="K629" s="62" t="str">
        <f>VLOOKUP(Ruimtestaat[[#This Row],[Ruimte code]],Ruimtegroepen[[#All],[Code]:[Ruimte omschrijving]],2,FALSE)</f>
        <v>Mediatheek / OLC</v>
      </c>
      <c r="L629" s="33" t="s">
        <v>103</v>
      </c>
      <c r="M629" s="367" t="s">
        <v>121</v>
      </c>
      <c r="N629" s="140">
        <v>108</v>
      </c>
      <c r="O629" s="140"/>
      <c r="P629" s="125" t="str">
        <f>VLOOKUP(Ruimtestaat[[#This Row],[Ruimte code]],Ruimtegroepen[],4,FALSE)</f>
        <v>Le</v>
      </c>
      <c r="R629" s="33">
        <v>40</v>
      </c>
      <c r="S629" s="33" t="s">
        <v>2</v>
      </c>
      <c r="T629" s="33">
        <f>IF(R629&gt;0,IF(RIGHT(Ruimtestaat[[#This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29" s="33">
        <f>IF(T629&gt;0,VLOOKUP($J629,Ruimtegroepen[],3,FALSE)*VLOOKUP($L629,Vloersoorten[],3,FALSE)*VLOOKUP($S629,Frequenties[],3,FALSE)*VLOOKUP($A629,Locaties[],3,FALSE),0)</f>
        <v>0</v>
      </c>
      <c r="V629" s="33">
        <f>Ruimtestaat[[#This Row],[Uitvoeringen werkdagen]]*Ruimtestaat[[#This Row],[Oppervlak (netto)]]</f>
        <v>21600</v>
      </c>
      <c r="W629" s="154">
        <f>IF(U629&gt;0,Ruimtestaat[[#This Row],[Prest. (m2 /jaar) werkdagen]]/Ruimtestaat[[#This Row],[Norm (m2/uur) werkdagen]],0)</f>
        <v>0</v>
      </c>
      <c r="X629" s="155">
        <f>Ruimtestaat[[#This Row],[uren / jaar werkdagen]]*Tariefsopbouw!$E$35</f>
        <v>0</v>
      </c>
      <c r="Y629" s="33"/>
      <c r="Z629" s="33">
        <f>IF(Ruimtestaat[[#This Row],[Frequentie weekend]]&gt;0,VALUE(LEFT(Y629,1))*R629,0)</f>
        <v>0</v>
      </c>
      <c r="AA629" s="97">
        <f>IF($Z629&gt;0,VLOOKUP($J629,Ruimtegroepen[],3,FALSE)*VLOOKUP($L629,Vloersoorten[],3,FALSE)*VLOOKUP($Y629,Frequenties[],3,FALSE)*VLOOKUP(Ruimtestaat[[#This Row],[Code]],Locaties[],3,FALSE),0)</f>
        <v>0</v>
      </c>
      <c r="AB629" s="97">
        <f>Ruimtestaat[[#This Row],[Uitvoeringen weekend]]*Ruimtestaat[[#This Row],[Oppervlak (netto)]]</f>
        <v>0</v>
      </c>
      <c r="AC629" s="97">
        <f>IF(AA629&gt;0,Ruimtestaat[[#This Row],[Prest. (m2 /jaar) weekend]]/Ruimtestaat[[#This Row],[Norm (m2/uur) weekend]],0)</f>
        <v>0</v>
      </c>
      <c r="AD629" s="155">
        <f>Ruimtestaat[[#This Row],[uren / jaar weekend]]*Tariefsopbouw!$D$40</f>
        <v>0</v>
      </c>
      <c r="AE629" s="154">
        <f>Ruimtestaat[[#This Row],[Prest. (m2 /jaar) weekend]]+Ruimtestaat[[#This Row],[Prest. (m2 /jaar) werkdagen]]</f>
        <v>21600</v>
      </c>
      <c r="AF629" s="154">
        <f>Ruimtestaat[[#This Row],[uren / jaar weekend]]+Ruimtestaat[[#This Row],[uren / jaar werkdagen]]</f>
        <v>0</v>
      </c>
      <c r="AG629" s="69">
        <f>Ruimtestaat[[#This Row],[kosten / jaar weekend]]+Ruimtestaat[[#This Row],[kosten / jaar werkdagen]]</f>
        <v>0</v>
      </c>
      <c r="AH629" s="69"/>
      <c r="AI629" s="256" t="str">
        <f>IF(Ruimtestaat[[#This Row],[Frequentie werkdagen]]="","",_xlfn.CONCAT(Ruimtestaat[[#This Row],[Ruimte code]],"-",Ruimtestaat[[#This Row],[Frequentie werkdagen]]," ",Ruimtestaat[[#This Row],[Vloer code]]))</f>
        <v>8-5w P</v>
      </c>
      <c r="AJ629" s="300" t="str">
        <f>_xlfn.IFNA(VLOOKUP($AI629,Programma!$F$3:$G$1107,2,0),"")</f>
        <v>_</v>
      </c>
      <c r="AK629" s="300" t="str">
        <f>_xlfn.IFNA(VLOOKUP($AI629,Programma!$F$3:$H$1107,3,0),"")</f>
        <v>_</v>
      </c>
      <c r="AL629" s="300" t="str">
        <f>_xlfn.IFNA(VLOOKUP($AI629,Programma!$F$3:$I$1107,4,0),"")</f>
        <v>5w</v>
      </c>
      <c r="AM629" s="300" t="str">
        <f>_xlfn.IFNA(VLOOKUP($AI629,Programma!$F$3:$J$1107,5,0),"")</f>
        <v>_</v>
      </c>
      <c r="AN629" s="300" t="str">
        <f>_xlfn.IFNA(VLOOKUP($AI629,Programma!$F$3:$K$1107,6,0),"")</f>
        <v>4j</v>
      </c>
      <c r="AO629" s="300" t="str">
        <f>_xlfn.IFNA(VLOOKUP($AI629,Programma!$F$3:$L$1107,7,0),"")</f>
        <v>_</v>
      </c>
      <c r="AP629" s="300" t="str">
        <f>_xlfn.IFNA(VLOOKUP($AI629,Programma!$F$3:$M$1107,8,0),"")</f>
        <v>_</v>
      </c>
      <c r="AQ629" s="300" t="str">
        <f>_xlfn.IFNA(VLOOKUP($AI629,Programma!$F$3:$N$1107,9,0),"")</f>
        <v>_</v>
      </c>
      <c r="AR629" s="300" t="str">
        <f>_xlfn.IFNA(VLOOKUP($AI629,Programma!$F$3:$O$1107,10,0),"")</f>
        <v>5w</v>
      </c>
      <c r="AS629" s="300" t="str">
        <f>_xlfn.IFNA(VLOOKUP($AI629,Programma!$F$3:$P$1107,11,0),"")</f>
        <v>5w</v>
      </c>
      <c r="AT629" s="300" t="str">
        <f>_xlfn.IFNA(VLOOKUP($AI629,Programma!$F$3:$Q$1107,12,0),"")</f>
        <v>1w</v>
      </c>
      <c r="AU629" s="300" t="str">
        <f>_xlfn.IFNA(VLOOKUP($AI629,Programma!$F$3:$R$1107,13,0),"")</f>
        <v>1w</v>
      </c>
      <c r="AV629" s="300" t="str">
        <f>_xlfn.IFNA(VLOOKUP($AI629,Programma!$F$3:$S$1107,14,0),"")</f>
        <v>1m</v>
      </c>
      <c r="AW629" s="300" t="str">
        <f>_xlfn.IFNA(VLOOKUP($AI629,Programma!$F$3:$T$1107,15,0),"")</f>
        <v>2j</v>
      </c>
      <c r="AX629" s="300" t="str">
        <f>_xlfn.IFNA(VLOOKUP($AI629,Programma!$F$3:$U$1107,16,0),"")</f>
        <v>1j</v>
      </c>
      <c r="AY629" s="300" t="str">
        <f>_xlfn.IFNA(VLOOKUP($AI629,Programma!$F$3:$V$1107,17,0),"")</f>
        <v>_</v>
      </c>
      <c r="AZ629" s="300" t="str">
        <f>_xlfn.IFNA(VLOOKUP($AI629,Programma!$F$3:$W$1107,18,0),"")</f>
        <v>_</v>
      </c>
      <c r="BA629" s="300" t="str">
        <f>_xlfn.IFNA(VLOOKUP($AI629,Programma!$F$3:$X$1107,19,0),"")</f>
        <v>_</v>
      </c>
      <c r="BB629" s="300" t="str">
        <f>_xlfn.IFNA(VLOOKUP($AI629,Programma!$F$3:$Y$1107,20,0),"")</f>
        <v>_</v>
      </c>
      <c r="BC629" s="257"/>
      <c r="BD629" s="256" t="str">
        <f>IF(Ruimtestaat[[#This Row],[Frequentie weekend]]="","",_xlfn.CONCAT(Ruimtestaat[[#This Row],[Ruimte code]],"-",Ruimtestaat[[#This Row],[Frequentie weekend]]," ",Ruimtestaat[[#This Row],[Vloer code]]))</f>
        <v/>
      </c>
      <c r="BE629" s="300" t="str">
        <f>_xlfn.IFNA(VLOOKUP($BD629,Programma!$F$3:$G$1107,2,0),"")</f>
        <v/>
      </c>
      <c r="BF629" s="300" t="str">
        <f>_xlfn.IFNA(VLOOKUP($BD629,Programma!$F$3:$H$1107,3,0),"")</f>
        <v/>
      </c>
      <c r="BG629" s="300" t="str">
        <f>_xlfn.IFNA(VLOOKUP($BD629,Programma!$F$3:$I$1107,4,0),"")</f>
        <v/>
      </c>
      <c r="BH629" s="300" t="str">
        <f>_xlfn.IFNA(VLOOKUP($BD629,Programma!$F$3:$J$1107,5,0),"")</f>
        <v/>
      </c>
      <c r="BI629" s="300" t="str">
        <f>_xlfn.IFNA(VLOOKUP($BD629,Programma!$F$3:$K$1107,6,0),"")</f>
        <v/>
      </c>
      <c r="BJ629" s="300" t="str">
        <f>_xlfn.IFNA(VLOOKUP($BD629,Programma!$F$3:$L$1107,7,0),"")</f>
        <v/>
      </c>
      <c r="BK629" s="300" t="str">
        <f>_xlfn.IFNA(VLOOKUP($BD629,Programma!$F$3:$M$1107,8,0),"")</f>
        <v/>
      </c>
      <c r="BL629" s="300" t="str">
        <f>_xlfn.IFNA(VLOOKUP($BD629,Programma!$F$3:$N$1107,9,0),"")</f>
        <v/>
      </c>
      <c r="BM629" s="300" t="str">
        <f>_xlfn.IFNA(VLOOKUP($BD629,Programma!$F$3:$O$1107,10,0),"")</f>
        <v/>
      </c>
      <c r="BN629" s="300" t="str">
        <f>_xlfn.IFNA(VLOOKUP($BD629,Programma!$F$3:$P$1107,11,0),"")</f>
        <v/>
      </c>
      <c r="BO629" s="300" t="str">
        <f>_xlfn.IFNA(VLOOKUP($BD629,Programma!$F$3:$Q$1107,12,0),"")</f>
        <v/>
      </c>
      <c r="BP629" s="300" t="str">
        <f>_xlfn.IFNA(VLOOKUP($BD629,Programma!$F$3:$R$1107,13,0),"")</f>
        <v/>
      </c>
      <c r="BQ629" s="300" t="str">
        <f>_xlfn.IFNA(VLOOKUP($BD629,Programma!$F$3:$S$1107,14,0),"")</f>
        <v/>
      </c>
      <c r="BR629" s="300" t="str">
        <f>_xlfn.IFNA(VLOOKUP($BD629,Programma!$F$3:$T$1107,15,0),"")</f>
        <v/>
      </c>
      <c r="BS629" s="300" t="str">
        <f>_xlfn.IFNA(VLOOKUP($BD629,Programma!$F$3:$U$1107,16,0),"")</f>
        <v/>
      </c>
      <c r="BT629" s="300" t="str">
        <f>_xlfn.IFNA(VLOOKUP($BD629,Programma!$F$3:$V$1107,17,0),"")</f>
        <v/>
      </c>
      <c r="BU629" s="300" t="str">
        <f>_xlfn.IFNA(VLOOKUP($BD629,Programma!$F$3:$W$1107,18,0),"")</f>
        <v/>
      </c>
      <c r="BV629" s="300" t="str">
        <f>_xlfn.IFNA(VLOOKUP($BD629,Programma!$F$3:$X$1107,19,0),"")</f>
        <v/>
      </c>
      <c r="BW629" s="300" t="str">
        <f>_xlfn.IFNA(VLOOKUP($BD629,Programma!$F$3:$Y$1107,20,0),"")</f>
        <v/>
      </c>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c r="GK629" s="4"/>
      <c r="GL629" s="4"/>
      <c r="GM629" s="4"/>
      <c r="GN629" s="4"/>
      <c r="GO629" s="4"/>
      <c r="GP629" s="4"/>
      <c r="GQ629" s="4"/>
      <c r="GR629" s="4"/>
      <c r="GS629" s="4"/>
      <c r="GT629" s="4"/>
      <c r="GU629" s="4"/>
      <c r="GV629" s="4"/>
      <c r="GW629" s="4"/>
      <c r="GX629" s="4"/>
      <c r="GY629" s="4"/>
      <c r="GZ629" s="4"/>
      <c r="HA629" s="4"/>
      <c r="HB629" s="4"/>
      <c r="HC629" s="4"/>
      <c r="HD629" s="4"/>
      <c r="HE629" s="4"/>
      <c r="HF629" s="4"/>
      <c r="HG629" s="4"/>
      <c r="HH629" s="4"/>
      <c r="HI629" s="4"/>
      <c r="HJ629" s="4"/>
      <c r="HK629" s="4"/>
      <c r="HL629" s="4"/>
    </row>
    <row r="630" spans="1:220" ht="15" customHeight="1">
      <c r="A630" s="21">
        <v>7</v>
      </c>
      <c r="B630" s="157" t="str">
        <f>VLOOKUP(Ruimtestaat[[#This Row],[Code]],Locaties[[Code]:[Locatie]],2,FALSE)</f>
        <v>Gymnasium Novum</v>
      </c>
      <c r="C630" s="157" t="str">
        <f>VLOOKUP(Ruimtestaat[[#This Row],[Code]],Locaties[[#All],[Code]:[Adres]],4,FALSE)</f>
        <v>Aart v.d. Leeuwkade 1</v>
      </c>
      <c r="D630" s="157" t="str">
        <f>VLOOKUP(Ruimtestaat[[#This Row],[Code]],Locaties[[#All],[Code]:[Postcode]],5,FALSE)</f>
        <v>2274 KX</v>
      </c>
      <c r="E630" s="157" t="str">
        <f>VLOOKUP(Ruimtestaat[[#This Row],[Code]],Locaties[#All],6,FALSE)</f>
        <v>Voorburg</v>
      </c>
      <c r="F630" s="62"/>
      <c r="G630" s="21" t="s">
        <v>1624</v>
      </c>
      <c r="H630" s="21" t="s">
        <v>1699</v>
      </c>
      <c r="I630" s="62" t="s">
        <v>2172</v>
      </c>
      <c r="J630" s="21">
        <v>8</v>
      </c>
      <c r="K630" s="62" t="str">
        <f>VLOOKUP(Ruimtestaat[[#This Row],[Ruimte code]],Ruimtegroepen[[#All],[Code]:[Ruimte omschrijving]],2,FALSE)</f>
        <v>Mediatheek / OLC</v>
      </c>
      <c r="L630" s="33" t="s">
        <v>103</v>
      </c>
      <c r="M630" s="367" t="s">
        <v>121</v>
      </c>
      <c r="N630" s="140">
        <v>105</v>
      </c>
      <c r="O630" s="140"/>
      <c r="P630" s="125" t="str">
        <f>VLOOKUP(Ruimtestaat[[#This Row],[Ruimte code]],Ruimtegroepen[],4,FALSE)</f>
        <v>Le</v>
      </c>
      <c r="R630" s="33">
        <v>40</v>
      </c>
      <c r="S630" s="33" t="s">
        <v>2</v>
      </c>
      <c r="T630" s="33">
        <f>IF(R630&gt;0,IF(RIGHT(Ruimtestaat[[#This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30" s="33">
        <f>IF(T630&gt;0,VLOOKUP($J630,Ruimtegroepen[],3,FALSE)*VLOOKUP($L630,Vloersoorten[],3,FALSE)*VLOOKUP($S630,Frequenties[],3,FALSE)*VLOOKUP($A630,Locaties[],3,FALSE),0)</f>
        <v>0</v>
      </c>
      <c r="V630" s="33">
        <f>Ruimtestaat[[#This Row],[Uitvoeringen werkdagen]]*Ruimtestaat[[#This Row],[Oppervlak (netto)]]</f>
        <v>21000</v>
      </c>
      <c r="W630" s="154">
        <f>IF(U630&gt;0,Ruimtestaat[[#This Row],[Prest. (m2 /jaar) werkdagen]]/Ruimtestaat[[#This Row],[Norm (m2/uur) werkdagen]],0)</f>
        <v>0</v>
      </c>
      <c r="X630" s="155">
        <f>Ruimtestaat[[#This Row],[uren / jaar werkdagen]]*Tariefsopbouw!$E$35</f>
        <v>0</v>
      </c>
      <c r="Y630" s="33"/>
      <c r="Z630" s="33">
        <f>IF(Ruimtestaat[[#This Row],[Frequentie weekend]]&gt;0,VALUE(LEFT(Y630,1))*R630,0)</f>
        <v>0</v>
      </c>
      <c r="AA630" s="97">
        <f>IF($Z630&gt;0,VLOOKUP($J630,Ruimtegroepen[],3,FALSE)*VLOOKUP($L630,Vloersoorten[],3,FALSE)*VLOOKUP($Y630,Frequenties[],3,FALSE)*VLOOKUP(Ruimtestaat[[#This Row],[Code]],Locaties[],3,FALSE),0)</f>
        <v>0</v>
      </c>
      <c r="AB630" s="97">
        <f>Ruimtestaat[[#This Row],[Uitvoeringen weekend]]*Ruimtestaat[[#This Row],[Oppervlak (netto)]]</f>
        <v>0</v>
      </c>
      <c r="AC630" s="97">
        <f>IF(AA630&gt;0,Ruimtestaat[[#This Row],[Prest. (m2 /jaar) weekend]]/Ruimtestaat[[#This Row],[Norm (m2/uur) weekend]],0)</f>
        <v>0</v>
      </c>
      <c r="AD630" s="155">
        <f>Ruimtestaat[[#This Row],[uren / jaar weekend]]*Tariefsopbouw!$D$40</f>
        <v>0</v>
      </c>
      <c r="AE630" s="154">
        <f>Ruimtestaat[[#This Row],[Prest. (m2 /jaar) weekend]]+Ruimtestaat[[#This Row],[Prest. (m2 /jaar) werkdagen]]</f>
        <v>21000</v>
      </c>
      <c r="AF630" s="154">
        <f>Ruimtestaat[[#This Row],[uren / jaar weekend]]+Ruimtestaat[[#This Row],[uren / jaar werkdagen]]</f>
        <v>0</v>
      </c>
      <c r="AG630" s="69">
        <f>Ruimtestaat[[#This Row],[kosten / jaar weekend]]+Ruimtestaat[[#This Row],[kosten / jaar werkdagen]]</f>
        <v>0</v>
      </c>
      <c r="AH630" s="69"/>
      <c r="AI630" s="256" t="str">
        <f>IF(Ruimtestaat[[#This Row],[Frequentie werkdagen]]="","",_xlfn.CONCAT(Ruimtestaat[[#This Row],[Ruimte code]],"-",Ruimtestaat[[#This Row],[Frequentie werkdagen]]," ",Ruimtestaat[[#This Row],[Vloer code]]))</f>
        <v>8-5w P</v>
      </c>
      <c r="AJ630" s="300" t="str">
        <f>_xlfn.IFNA(VLOOKUP($AI630,Programma!$F$3:$G$1107,2,0),"")</f>
        <v>_</v>
      </c>
      <c r="AK630" s="300" t="str">
        <f>_xlfn.IFNA(VLOOKUP($AI630,Programma!$F$3:$H$1107,3,0),"")</f>
        <v>_</v>
      </c>
      <c r="AL630" s="300" t="str">
        <f>_xlfn.IFNA(VLOOKUP($AI630,Programma!$F$3:$I$1107,4,0),"")</f>
        <v>5w</v>
      </c>
      <c r="AM630" s="300" t="str">
        <f>_xlfn.IFNA(VLOOKUP($AI630,Programma!$F$3:$J$1107,5,0),"")</f>
        <v>_</v>
      </c>
      <c r="AN630" s="300" t="str">
        <f>_xlfn.IFNA(VLOOKUP($AI630,Programma!$F$3:$K$1107,6,0),"")</f>
        <v>4j</v>
      </c>
      <c r="AO630" s="300" t="str">
        <f>_xlfn.IFNA(VLOOKUP($AI630,Programma!$F$3:$L$1107,7,0),"")</f>
        <v>_</v>
      </c>
      <c r="AP630" s="300" t="str">
        <f>_xlfn.IFNA(VLOOKUP($AI630,Programma!$F$3:$M$1107,8,0),"")</f>
        <v>_</v>
      </c>
      <c r="AQ630" s="300" t="str">
        <f>_xlfn.IFNA(VLOOKUP($AI630,Programma!$F$3:$N$1107,9,0),"")</f>
        <v>_</v>
      </c>
      <c r="AR630" s="300" t="str">
        <f>_xlfn.IFNA(VLOOKUP($AI630,Programma!$F$3:$O$1107,10,0),"")</f>
        <v>5w</v>
      </c>
      <c r="AS630" s="300" t="str">
        <f>_xlfn.IFNA(VLOOKUP($AI630,Programma!$F$3:$P$1107,11,0),"")</f>
        <v>5w</v>
      </c>
      <c r="AT630" s="300" t="str">
        <f>_xlfn.IFNA(VLOOKUP($AI630,Programma!$F$3:$Q$1107,12,0),"")</f>
        <v>1w</v>
      </c>
      <c r="AU630" s="300" t="str">
        <f>_xlfn.IFNA(VLOOKUP($AI630,Programma!$F$3:$R$1107,13,0),"")</f>
        <v>1w</v>
      </c>
      <c r="AV630" s="300" t="str">
        <f>_xlfn.IFNA(VLOOKUP($AI630,Programma!$F$3:$S$1107,14,0),"")</f>
        <v>1m</v>
      </c>
      <c r="AW630" s="300" t="str">
        <f>_xlfn.IFNA(VLOOKUP($AI630,Programma!$F$3:$T$1107,15,0),"")</f>
        <v>2j</v>
      </c>
      <c r="AX630" s="300" t="str">
        <f>_xlfn.IFNA(VLOOKUP($AI630,Programma!$F$3:$U$1107,16,0),"")</f>
        <v>1j</v>
      </c>
      <c r="AY630" s="300" t="str">
        <f>_xlfn.IFNA(VLOOKUP($AI630,Programma!$F$3:$V$1107,17,0),"")</f>
        <v>_</v>
      </c>
      <c r="AZ630" s="300" t="str">
        <f>_xlfn.IFNA(VLOOKUP($AI630,Programma!$F$3:$W$1107,18,0),"")</f>
        <v>_</v>
      </c>
      <c r="BA630" s="300" t="str">
        <f>_xlfn.IFNA(VLOOKUP($AI630,Programma!$F$3:$X$1107,19,0),"")</f>
        <v>_</v>
      </c>
      <c r="BB630" s="300" t="str">
        <f>_xlfn.IFNA(VLOOKUP($AI630,Programma!$F$3:$Y$1107,20,0),"")</f>
        <v>_</v>
      </c>
      <c r="BC630" s="257"/>
      <c r="BD630" s="256" t="str">
        <f>IF(Ruimtestaat[[#This Row],[Frequentie weekend]]="","",_xlfn.CONCAT(Ruimtestaat[[#This Row],[Ruimte code]],"-",Ruimtestaat[[#This Row],[Frequentie weekend]]," ",Ruimtestaat[[#This Row],[Vloer code]]))</f>
        <v/>
      </c>
      <c r="BE630" s="300" t="str">
        <f>_xlfn.IFNA(VLOOKUP($BD630,Programma!$F$3:$G$1107,2,0),"")</f>
        <v/>
      </c>
      <c r="BF630" s="300" t="str">
        <f>_xlfn.IFNA(VLOOKUP($BD630,Programma!$F$3:$H$1107,3,0),"")</f>
        <v/>
      </c>
      <c r="BG630" s="300" t="str">
        <f>_xlfn.IFNA(VLOOKUP($BD630,Programma!$F$3:$I$1107,4,0),"")</f>
        <v/>
      </c>
      <c r="BH630" s="300" t="str">
        <f>_xlfn.IFNA(VLOOKUP($BD630,Programma!$F$3:$J$1107,5,0),"")</f>
        <v/>
      </c>
      <c r="BI630" s="300" t="str">
        <f>_xlfn.IFNA(VLOOKUP($BD630,Programma!$F$3:$K$1107,6,0),"")</f>
        <v/>
      </c>
      <c r="BJ630" s="300" t="str">
        <f>_xlfn.IFNA(VLOOKUP($BD630,Programma!$F$3:$L$1107,7,0),"")</f>
        <v/>
      </c>
      <c r="BK630" s="300" t="str">
        <f>_xlfn.IFNA(VLOOKUP($BD630,Programma!$F$3:$M$1107,8,0),"")</f>
        <v/>
      </c>
      <c r="BL630" s="300" t="str">
        <f>_xlfn.IFNA(VLOOKUP($BD630,Programma!$F$3:$N$1107,9,0),"")</f>
        <v/>
      </c>
      <c r="BM630" s="300" t="str">
        <f>_xlfn.IFNA(VLOOKUP($BD630,Programma!$F$3:$O$1107,10,0),"")</f>
        <v/>
      </c>
      <c r="BN630" s="300" t="str">
        <f>_xlfn.IFNA(VLOOKUP($BD630,Programma!$F$3:$P$1107,11,0),"")</f>
        <v/>
      </c>
      <c r="BO630" s="300" t="str">
        <f>_xlfn.IFNA(VLOOKUP($BD630,Programma!$F$3:$Q$1107,12,0),"")</f>
        <v/>
      </c>
      <c r="BP630" s="300" t="str">
        <f>_xlfn.IFNA(VLOOKUP($BD630,Programma!$F$3:$R$1107,13,0),"")</f>
        <v/>
      </c>
      <c r="BQ630" s="300" t="str">
        <f>_xlfn.IFNA(VLOOKUP($BD630,Programma!$F$3:$S$1107,14,0),"")</f>
        <v/>
      </c>
      <c r="BR630" s="300" t="str">
        <f>_xlfn.IFNA(VLOOKUP($BD630,Programma!$F$3:$T$1107,15,0),"")</f>
        <v/>
      </c>
      <c r="BS630" s="300" t="str">
        <f>_xlfn.IFNA(VLOOKUP($BD630,Programma!$F$3:$U$1107,16,0),"")</f>
        <v/>
      </c>
      <c r="BT630" s="300" t="str">
        <f>_xlfn.IFNA(VLOOKUP($BD630,Programma!$F$3:$V$1107,17,0),"")</f>
        <v/>
      </c>
      <c r="BU630" s="300" t="str">
        <f>_xlfn.IFNA(VLOOKUP($BD630,Programma!$F$3:$W$1107,18,0),"")</f>
        <v/>
      </c>
      <c r="BV630" s="300" t="str">
        <f>_xlfn.IFNA(VLOOKUP($BD630,Programma!$F$3:$X$1107,19,0),"")</f>
        <v/>
      </c>
      <c r="BW630" s="300" t="str">
        <f>_xlfn.IFNA(VLOOKUP($BD630,Programma!$F$3:$Y$1107,20,0),"")</f>
        <v/>
      </c>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c r="GK630" s="4"/>
      <c r="GL630" s="4"/>
      <c r="GM630" s="4"/>
      <c r="GN630" s="4"/>
      <c r="GO630" s="4"/>
      <c r="GP630" s="4"/>
      <c r="GQ630" s="4"/>
      <c r="GR630" s="4"/>
      <c r="GS630" s="4"/>
      <c r="GT630" s="4"/>
      <c r="GU630" s="4"/>
      <c r="GV630" s="4"/>
      <c r="GW630" s="4"/>
      <c r="GX630" s="4"/>
      <c r="GY630" s="4"/>
      <c r="GZ630" s="4"/>
      <c r="HA630" s="4"/>
      <c r="HB630" s="4"/>
      <c r="HC630" s="4"/>
      <c r="HD630" s="4"/>
      <c r="HE630" s="4"/>
      <c r="HF630" s="4"/>
      <c r="HG630" s="4"/>
      <c r="HH630" s="4"/>
      <c r="HI630" s="4"/>
      <c r="HJ630" s="4"/>
      <c r="HK630" s="4"/>
      <c r="HL630" s="4"/>
    </row>
    <row r="631" spans="1:220" ht="15" customHeight="1">
      <c r="A631" s="21">
        <v>7</v>
      </c>
      <c r="B631" s="157" t="str">
        <f>VLOOKUP(Ruimtestaat[[#This Row],[Code]],Locaties[[Code]:[Locatie]],2,FALSE)</f>
        <v>Gymnasium Novum</v>
      </c>
      <c r="C631" s="157" t="str">
        <f>VLOOKUP(Ruimtestaat[[#This Row],[Code]],Locaties[[#All],[Code]:[Adres]],4,FALSE)</f>
        <v>Aart v.d. Leeuwkade 1</v>
      </c>
      <c r="D631" s="157" t="str">
        <f>VLOOKUP(Ruimtestaat[[#This Row],[Code]],Locaties[[#All],[Code]:[Postcode]],5,FALSE)</f>
        <v>2274 KX</v>
      </c>
      <c r="E631" s="157" t="str">
        <f>VLOOKUP(Ruimtestaat[[#This Row],[Code]],Locaties[#All],6,FALSE)</f>
        <v>Voorburg</v>
      </c>
      <c r="F631" s="62"/>
      <c r="G631" s="21" t="s">
        <v>1624</v>
      </c>
      <c r="H631" s="21" t="s">
        <v>1701</v>
      </c>
      <c r="I631" s="62" t="s">
        <v>2173</v>
      </c>
      <c r="J631" s="21">
        <v>2</v>
      </c>
      <c r="K631" s="62" t="str">
        <f>VLOOKUP(Ruimtestaat[[#This Row],[Ruimte code]],Ruimtegroepen[[#All],[Code]:[Ruimte omschrijving]],2,FALSE)</f>
        <v>Kantoren</v>
      </c>
      <c r="L631" s="33" t="s">
        <v>101</v>
      </c>
      <c r="M631" s="367" t="s">
        <v>2495</v>
      </c>
      <c r="N631" s="140">
        <v>25</v>
      </c>
      <c r="O631" s="140"/>
      <c r="P631" s="125" t="str">
        <f>VLOOKUP(Ruimtestaat[[#This Row],[Ruimte code]],Ruimtegroepen[],4,FALSE)</f>
        <v>Bu</v>
      </c>
      <c r="R631" s="33">
        <v>42</v>
      </c>
      <c r="S631" s="33" t="s">
        <v>18</v>
      </c>
      <c r="T631" s="33">
        <f>IF(R631&gt;0,IF(RIGHT(Ruimtestaat[[#This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31" s="33">
        <f>IF(T631&gt;0,VLOOKUP($J631,Ruimtegroepen[],3,FALSE)*VLOOKUP($L631,Vloersoorten[],3,FALSE)*VLOOKUP($S631,Frequenties[],3,FALSE)*VLOOKUP($A631,Locaties[],3,FALSE),0)</f>
        <v>0</v>
      </c>
      <c r="V631" s="33">
        <f>Ruimtestaat[[#This Row],[Uitvoeringen werkdagen]]*Ruimtestaat[[#This Row],[Oppervlak (netto)]]</f>
        <v>3150</v>
      </c>
      <c r="W631" s="154">
        <f>IF(U631&gt;0,Ruimtestaat[[#This Row],[Prest. (m2 /jaar) werkdagen]]/Ruimtestaat[[#This Row],[Norm (m2/uur) werkdagen]],0)</f>
        <v>0</v>
      </c>
      <c r="X631" s="155">
        <f>Ruimtestaat[[#This Row],[uren / jaar werkdagen]]*Tariefsopbouw!$E$35</f>
        <v>0</v>
      </c>
      <c r="Y631" s="33"/>
      <c r="Z631" s="33">
        <f>IF(Ruimtestaat[[#This Row],[Frequentie weekend]]&gt;0,VALUE(LEFT(Y631,1))*R631,0)</f>
        <v>0</v>
      </c>
      <c r="AA631" s="97">
        <f>IF($Z631&gt;0,VLOOKUP($J631,Ruimtegroepen[],3,FALSE)*VLOOKUP($L631,Vloersoorten[],3,FALSE)*VLOOKUP($Y631,Frequenties[],3,FALSE)*VLOOKUP(Ruimtestaat[[#This Row],[Code]],Locaties[],3,FALSE),0)</f>
        <v>0</v>
      </c>
      <c r="AB631" s="97">
        <f>Ruimtestaat[[#This Row],[Uitvoeringen weekend]]*Ruimtestaat[[#This Row],[Oppervlak (netto)]]</f>
        <v>0</v>
      </c>
      <c r="AC631" s="97">
        <f>IF(AA631&gt;0,Ruimtestaat[[#This Row],[Prest. (m2 /jaar) weekend]]/Ruimtestaat[[#This Row],[Norm (m2/uur) weekend]],0)</f>
        <v>0</v>
      </c>
      <c r="AD631" s="155">
        <f>Ruimtestaat[[#This Row],[uren / jaar weekend]]*Tariefsopbouw!$D$40</f>
        <v>0</v>
      </c>
      <c r="AE631" s="154">
        <f>Ruimtestaat[[#This Row],[Prest. (m2 /jaar) weekend]]+Ruimtestaat[[#This Row],[Prest. (m2 /jaar) werkdagen]]</f>
        <v>3150</v>
      </c>
      <c r="AF631" s="154">
        <f>Ruimtestaat[[#This Row],[uren / jaar weekend]]+Ruimtestaat[[#This Row],[uren / jaar werkdagen]]</f>
        <v>0</v>
      </c>
      <c r="AG631" s="69">
        <f>Ruimtestaat[[#This Row],[kosten / jaar weekend]]+Ruimtestaat[[#This Row],[kosten / jaar werkdagen]]</f>
        <v>0</v>
      </c>
      <c r="AH631" s="69"/>
      <c r="AI631" s="256" t="str">
        <f>IF(Ruimtestaat[[#This Row],[Frequentie werkdagen]]="","",_xlfn.CONCAT(Ruimtestaat[[#This Row],[Ruimte code]],"-",Ruimtestaat[[#This Row],[Frequentie werkdagen]]," ",Ruimtestaat[[#This Row],[Vloer code]]))</f>
        <v>2-3w L</v>
      </c>
      <c r="AJ631" s="300" t="str">
        <f>_xlfn.IFNA(VLOOKUP($AI631,Programma!$F$3:$G$1107,2,0),"")</f>
        <v>_</v>
      </c>
      <c r="AK631" s="300" t="str">
        <f>_xlfn.IFNA(VLOOKUP($AI631,Programma!$F$3:$H$1107,3,0),"")</f>
        <v>_</v>
      </c>
      <c r="AL631" s="300" t="str">
        <f>_xlfn.IFNA(VLOOKUP($AI631,Programma!$F$3:$I$1107,4,0),"")</f>
        <v>2w</v>
      </c>
      <c r="AM631" s="300" t="str">
        <f>_xlfn.IFNA(VLOOKUP($AI631,Programma!$F$3:$J$1107,5,0),"")</f>
        <v>1w</v>
      </c>
      <c r="AN631" s="300" t="str">
        <f>_xlfn.IFNA(VLOOKUP($AI631,Programma!$F$3:$K$1107,6,0),"")</f>
        <v>_</v>
      </c>
      <c r="AO631" s="300" t="str">
        <f>_xlfn.IFNA(VLOOKUP($AI631,Programma!$F$3:$L$1107,7,0),"")</f>
        <v>_</v>
      </c>
      <c r="AP631" s="300" t="str">
        <f>_xlfn.IFNA(VLOOKUP($AI631,Programma!$F$3:$M$1107,8,0),"")</f>
        <v>_</v>
      </c>
      <c r="AQ631" s="300" t="str">
        <f>_xlfn.IFNA(VLOOKUP($AI631,Programma!$F$3:$N$1107,9,0),"")</f>
        <v>_</v>
      </c>
      <c r="AR631" s="300" t="str">
        <f>_xlfn.IFNA(VLOOKUP($AI631,Programma!$F$3:$O$1107,10,0),"")</f>
        <v>3w</v>
      </c>
      <c r="AS631" s="300" t="str">
        <f>_xlfn.IFNA(VLOOKUP($AI631,Programma!$F$3:$P$1107,11,0),"")</f>
        <v>3w</v>
      </c>
      <c r="AT631" s="300" t="str">
        <f>_xlfn.IFNA(VLOOKUP($AI631,Programma!$F$3:$Q$1107,12,0),"")</f>
        <v>1w</v>
      </c>
      <c r="AU631" s="300" t="str">
        <f>_xlfn.IFNA(VLOOKUP($AI631,Programma!$F$3:$R$1107,13,0),"")</f>
        <v>1w</v>
      </c>
      <c r="AV631" s="300" t="str">
        <f>_xlfn.IFNA(VLOOKUP($AI631,Programma!$F$3:$S$1107,14,0),"")</f>
        <v>1m</v>
      </c>
      <c r="AW631" s="300" t="str">
        <f>_xlfn.IFNA(VLOOKUP($AI631,Programma!$F$3:$T$1107,15,0),"")</f>
        <v>2j</v>
      </c>
      <c r="AX631" s="300" t="str">
        <f>_xlfn.IFNA(VLOOKUP($AI631,Programma!$F$3:$U$1107,16,0),"")</f>
        <v>1j</v>
      </c>
      <c r="AY631" s="300" t="str">
        <f>_xlfn.IFNA(VLOOKUP($AI631,Programma!$F$3:$V$1107,17,0),"")</f>
        <v>_</v>
      </c>
      <c r="AZ631" s="300" t="str">
        <f>_xlfn.IFNA(VLOOKUP($AI631,Programma!$F$3:$W$1107,18,0),"")</f>
        <v>_</v>
      </c>
      <c r="BA631" s="300" t="str">
        <f>_xlfn.IFNA(VLOOKUP($AI631,Programma!$F$3:$X$1107,19,0),"")</f>
        <v>_</v>
      </c>
      <c r="BB631" s="300" t="str">
        <f>_xlfn.IFNA(VLOOKUP($AI631,Programma!$F$3:$Y$1107,20,0),"")</f>
        <v>_</v>
      </c>
      <c r="BC631" s="257"/>
      <c r="BD631" s="256" t="str">
        <f>IF(Ruimtestaat[[#This Row],[Frequentie weekend]]="","",_xlfn.CONCAT(Ruimtestaat[[#This Row],[Ruimte code]],"-",Ruimtestaat[[#This Row],[Frequentie weekend]]," ",Ruimtestaat[[#This Row],[Vloer code]]))</f>
        <v/>
      </c>
      <c r="BE631" s="300" t="str">
        <f>_xlfn.IFNA(VLOOKUP($BD631,Programma!$F$3:$G$1107,2,0),"")</f>
        <v/>
      </c>
      <c r="BF631" s="300" t="str">
        <f>_xlfn.IFNA(VLOOKUP($BD631,Programma!$F$3:$H$1107,3,0),"")</f>
        <v/>
      </c>
      <c r="BG631" s="300" t="str">
        <f>_xlfn.IFNA(VLOOKUP($BD631,Programma!$F$3:$I$1107,4,0),"")</f>
        <v/>
      </c>
      <c r="BH631" s="300" t="str">
        <f>_xlfn.IFNA(VLOOKUP($BD631,Programma!$F$3:$J$1107,5,0),"")</f>
        <v/>
      </c>
      <c r="BI631" s="300" t="str">
        <f>_xlfn.IFNA(VLOOKUP($BD631,Programma!$F$3:$K$1107,6,0),"")</f>
        <v/>
      </c>
      <c r="BJ631" s="300" t="str">
        <f>_xlfn.IFNA(VLOOKUP($BD631,Programma!$F$3:$L$1107,7,0),"")</f>
        <v/>
      </c>
      <c r="BK631" s="300" t="str">
        <f>_xlfn.IFNA(VLOOKUP($BD631,Programma!$F$3:$M$1107,8,0),"")</f>
        <v/>
      </c>
      <c r="BL631" s="300" t="str">
        <f>_xlfn.IFNA(VLOOKUP($BD631,Programma!$F$3:$N$1107,9,0),"")</f>
        <v/>
      </c>
      <c r="BM631" s="300" t="str">
        <f>_xlfn.IFNA(VLOOKUP($BD631,Programma!$F$3:$O$1107,10,0),"")</f>
        <v/>
      </c>
      <c r="BN631" s="300" t="str">
        <f>_xlfn.IFNA(VLOOKUP($BD631,Programma!$F$3:$P$1107,11,0),"")</f>
        <v/>
      </c>
      <c r="BO631" s="300" t="str">
        <f>_xlfn.IFNA(VLOOKUP($BD631,Programma!$F$3:$Q$1107,12,0),"")</f>
        <v/>
      </c>
      <c r="BP631" s="300" t="str">
        <f>_xlfn.IFNA(VLOOKUP($BD631,Programma!$F$3:$R$1107,13,0),"")</f>
        <v/>
      </c>
      <c r="BQ631" s="300" t="str">
        <f>_xlfn.IFNA(VLOOKUP($BD631,Programma!$F$3:$S$1107,14,0),"")</f>
        <v/>
      </c>
      <c r="BR631" s="300" t="str">
        <f>_xlfn.IFNA(VLOOKUP($BD631,Programma!$F$3:$T$1107,15,0),"")</f>
        <v/>
      </c>
      <c r="BS631" s="300" t="str">
        <f>_xlfn.IFNA(VLOOKUP($BD631,Programma!$F$3:$U$1107,16,0),"")</f>
        <v/>
      </c>
      <c r="BT631" s="300" t="str">
        <f>_xlfn.IFNA(VLOOKUP($BD631,Programma!$F$3:$V$1107,17,0),"")</f>
        <v/>
      </c>
      <c r="BU631" s="300" t="str">
        <f>_xlfn.IFNA(VLOOKUP($BD631,Programma!$F$3:$W$1107,18,0),"")</f>
        <v/>
      </c>
      <c r="BV631" s="300" t="str">
        <f>_xlfn.IFNA(VLOOKUP($BD631,Programma!$F$3:$X$1107,19,0),"")</f>
        <v/>
      </c>
      <c r="BW631" s="300" t="str">
        <f>_xlfn.IFNA(VLOOKUP($BD631,Programma!$F$3:$Y$1107,20,0),"")</f>
        <v/>
      </c>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c r="GK631" s="4"/>
      <c r="GL631" s="4"/>
      <c r="GM631" s="4"/>
      <c r="GN631" s="4"/>
      <c r="GO631" s="4"/>
      <c r="GP631" s="4"/>
      <c r="GQ631" s="4"/>
      <c r="GR631" s="4"/>
      <c r="GS631" s="4"/>
      <c r="GT631" s="4"/>
      <c r="GU631" s="4"/>
      <c r="GV631" s="4"/>
      <c r="GW631" s="4"/>
      <c r="GX631" s="4"/>
      <c r="GY631" s="4"/>
      <c r="GZ631" s="4"/>
      <c r="HA631" s="4"/>
      <c r="HB631" s="4"/>
      <c r="HC631" s="4"/>
      <c r="HD631" s="4"/>
      <c r="HE631" s="4"/>
      <c r="HF631" s="4"/>
      <c r="HG631" s="4"/>
      <c r="HH631" s="4"/>
      <c r="HI631" s="4"/>
      <c r="HJ631" s="4"/>
      <c r="HK631" s="4"/>
      <c r="HL631" s="4"/>
    </row>
    <row r="632" spans="1:220" ht="15" customHeight="1">
      <c r="A632" s="21">
        <v>7</v>
      </c>
      <c r="B632" s="157" t="str">
        <f>VLOOKUP(Ruimtestaat[[#This Row],[Code]],Locaties[[Code]:[Locatie]],2,FALSE)</f>
        <v>Gymnasium Novum</v>
      </c>
      <c r="C632" s="157" t="str">
        <f>VLOOKUP(Ruimtestaat[[#This Row],[Code]],Locaties[[#All],[Code]:[Adres]],4,FALSE)</f>
        <v>Aart v.d. Leeuwkade 1</v>
      </c>
      <c r="D632" s="157" t="str">
        <f>VLOOKUP(Ruimtestaat[[#This Row],[Code]],Locaties[[#All],[Code]:[Postcode]],5,FALSE)</f>
        <v>2274 KX</v>
      </c>
      <c r="E632" s="157" t="str">
        <f>VLOOKUP(Ruimtestaat[[#This Row],[Code]],Locaties[#All],6,FALSE)</f>
        <v>Voorburg</v>
      </c>
      <c r="F632" s="62"/>
      <c r="G632" s="21" t="s">
        <v>1624</v>
      </c>
      <c r="H632" s="21" t="s">
        <v>1703</v>
      </c>
      <c r="I632" s="62" t="s">
        <v>2130</v>
      </c>
      <c r="J632" s="21">
        <v>9</v>
      </c>
      <c r="K632" s="62" t="str">
        <f>VLOOKUP(Ruimtestaat[[#This Row],[Ruimte code]],Ruimtegroepen[[#All],[Code]:[Ruimte omschrijving]],2,FALSE)</f>
        <v>Publieksruimte</v>
      </c>
      <c r="L632" s="33" t="s">
        <v>103</v>
      </c>
      <c r="M632" s="367" t="s">
        <v>2497</v>
      </c>
      <c r="N632" s="140">
        <v>9</v>
      </c>
      <c r="O632" s="140"/>
      <c r="P632" s="125" t="str">
        <f>VLOOKUP(Ruimtestaat[[#This Row],[Ruimte code]],Ruimtegroepen[],4,FALSE)</f>
        <v>Ve</v>
      </c>
      <c r="R632" s="33">
        <v>40</v>
      </c>
      <c r="S632" s="33" t="s">
        <v>2</v>
      </c>
      <c r="T632" s="33">
        <f>IF(R632&gt;0,IF(RIGHT(Ruimtestaat[[#This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32" s="33">
        <f>IF(T632&gt;0,VLOOKUP($J632,Ruimtegroepen[],3,FALSE)*VLOOKUP($L632,Vloersoorten[],3,FALSE)*VLOOKUP($S632,Frequenties[],3,FALSE)*VLOOKUP($A632,Locaties[],3,FALSE),0)</f>
        <v>0</v>
      </c>
      <c r="V632" s="33">
        <f>Ruimtestaat[[#This Row],[Uitvoeringen werkdagen]]*Ruimtestaat[[#This Row],[Oppervlak (netto)]]</f>
        <v>1800</v>
      </c>
      <c r="W632" s="154">
        <f>IF(U632&gt;0,Ruimtestaat[[#This Row],[Prest. (m2 /jaar) werkdagen]]/Ruimtestaat[[#This Row],[Norm (m2/uur) werkdagen]],0)</f>
        <v>0</v>
      </c>
      <c r="X632" s="155">
        <f>Ruimtestaat[[#This Row],[uren / jaar werkdagen]]*Tariefsopbouw!$E$35</f>
        <v>0</v>
      </c>
      <c r="Y632" s="33"/>
      <c r="Z632" s="33">
        <f>IF(Ruimtestaat[[#This Row],[Frequentie weekend]]&gt;0,VALUE(LEFT(Y632,1))*R632,0)</f>
        <v>0</v>
      </c>
      <c r="AA632" s="97">
        <f>IF($Z632&gt;0,VLOOKUP($J632,Ruimtegroepen[],3,FALSE)*VLOOKUP($L632,Vloersoorten[],3,FALSE)*VLOOKUP($Y632,Frequenties[],3,FALSE)*VLOOKUP(Ruimtestaat[[#This Row],[Code]],Locaties[],3,FALSE),0)</f>
        <v>0</v>
      </c>
      <c r="AB632" s="97">
        <f>Ruimtestaat[[#This Row],[Uitvoeringen weekend]]*Ruimtestaat[[#This Row],[Oppervlak (netto)]]</f>
        <v>0</v>
      </c>
      <c r="AC632" s="97">
        <f>IF(AA632&gt;0,Ruimtestaat[[#This Row],[Prest. (m2 /jaar) weekend]]/Ruimtestaat[[#This Row],[Norm (m2/uur) weekend]],0)</f>
        <v>0</v>
      </c>
      <c r="AD632" s="155">
        <f>Ruimtestaat[[#This Row],[uren / jaar weekend]]*Tariefsopbouw!$D$40</f>
        <v>0</v>
      </c>
      <c r="AE632" s="154">
        <f>Ruimtestaat[[#This Row],[Prest. (m2 /jaar) weekend]]+Ruimtestaat[[#This Row],[Prest. (m2 /jaar) werkdagen]]</f>
        <v>1800</v>
      </c>
      <c r="AF632" s="154">
        <f>Ruimtestaat[[#This Row],[uren / jaar weekend]]+Ruimtestaat[[#This Row],[uren / jaar werkdagen]]</f>
        <v>0</v>
      </c>
      <c r="AG632" s="69">
        <f>Ruimtestaat[[#This Row],[kosten / jaar weekend]]+Ruimtestaat[[#This Row],[kosten / jaar werkdagen]]</f>
        <v>0</v>
      </c>
      <c r="AH632" s="69"/>
      <c r="AI632" s="256" t="str">
        <f>IF(Ruimtestaat[[#This Row],[Frequentie werkdagen]]="","",_xlfn.CONCAT(Ruimtestaat[[#This Row],[Ruimte code]],"-",Ruimtestaat[[#This Row],[Frequentie werkdagen]]," ",Ruimtestaat[[#This Row],[Vloer code]]))</f>
        <v>9-5w P</v>
      </c>
      <c r="AJ632" s="300" t="str">
        <f>_xlfn.IFNA(VLOOKUP($AI632,Programma!$F$3:$G$1107,2,0),"")</f>
        <v>_</v>
      </c>
      <c r="AK632" s="300" t="str">
        <f>_xlfn.IFNA(VLOOKUP($AI632,Programma!$F$3:$H$1107,3,0),"")</f>
        <v>_</v>
      </c>
      <c r="AL632" s="300" t="str">
        <f>_xlfn.IFNA(VLOOKUP($AI632,Programma!$F$3:$I$1107,4,0),"")</f>
        <v>5w</v>
      </c>
      <c r="AM632" s="300" t="str">
        <f>_xlfn.IFNA(VLOOKUP($AI632,Programma!$F$3:$J$1107,5,0),"")</f>
        <v>_</v>
      </c>
      <c r="AN632" s="300" t="str">
        <f>_xlfn.IFNA(VLOOKUP($AI632,Programma!$F$3:$K$1107,6,0),"")</f>
        <v>4j</v>
      </c>
      <c r="AO632" s="300" t="str">
        <f>_xlfn.IFNA(VLOOKUP($AI632,Programma!$F$3:$L$1107,7,0),"")</f>
        <v>_</v>
      </c>
      <c r="AP632" s="300" t="str">
        <f>_xlfn.IFNA(VLOOKUP($AI632,Programma!$F$3:$M$1107,8,0),"")</f>
        <v>_</v>
      </c>
      <c r="AQ632" s="300" t="str">
        <f>_xlfn.IFNA(VLOOKUP($AI632,Programma!$F$3:$N$1107,9,0),"")</f>
        <v>_</v>
      </c>
      <c r="AR632" s="300" t="str">
        <f>_xlfn.IFNA(VLOOKUP($AI632,Programma!$F$3:$O$1107,10,0),"")</f>
        <v>5w</v>
      </c>
      <c r="AS632" s="300" t="str">
        <f>_xlfn.IFNA(VLOOKUP($AI632,Programma!$F$3:$P$1107,11,0),"")</f>
        <v>5w</v>
      </c>
      <c r="AT632" s="300" t="str">
        <f>_xlfn.IFNA(VLOOKUP($AI632,Programma!$F$3:$Q$1107,12,0),"")</f>
        <v>1w</v>
      </c>
      <c r="AU632" s="300" t="str">
        <f>_xlfn.IFNA(VLOOKUP($AI632,Programma!$F$3:$R$1107,13,0),"")</f>
        <v>1w</v>
      </c>
      <c r="AV632" s="300" t="str">
        <f>_xlfn.IFNA(VLOOKUP($AI632,Programma!$F$3:$S$1107,14,0),"")</f>
        <v>1m</v>
      </c>
      <c r="AW632" s="300" t="str">
        <f>_xlfn.IFNA(VLOOKUP($AI632,Programma!$F$3:$T$1107,15,0),"")</f>
        <v>2j</v>
      </c>
      <c r="AX632" s="300" t="str">
        <f>_xlfn.IFNA(VLOOKUP($AI632,Programma!$F$3:$U$1107,16,0),"")</f>
        <v>1j</v>
      </c>
      <c r="AY632" s="300" t="str">
        <f>_xlfn.IFNA(VLOOKUP($AI632,Programma!$F$3:$V$1107,17,0),"")</f>
        <v>_</v>
      </c>
      <c r="AZ632" s="300" t="str">
        <f>_xlfn.IFNA(VLOOKUP($AI632,Programma!$F$3:$W$1107,18,0),"")</f>
        <v>_</v>
      </c>
      <c r="BA632" s="300" t="str">
        <f>_xlfn.IFNA(VLOOKUP($AI632,Programma!$F$3:$X$1107,19,0),"")</f>
        <v>_</v>
      </c>
      <c r="BB632" s="300" t="str">
        <f>_xlfn.IFNA(VLOOKUP($AI632,Programma!$F$3:$Y$1107,20,0),"")</f>
        <v>_</v>
      </c>
      <c r="BC632" s="257"/>
      <c r="BD632" s="256" t="str">
        <f>IF(Ruimtestaat[[#This Row],[Frequentie weekend]]="","",_xlfn.CONCAT(Ruimtestaat[[#This Row],[Ruimte code]],"-",Ruimtestaat[[#This Row],[Frequentie weekend]]," ",Ruimtestaat[[#This Row],[Vloer code]]))</f>
        <v/>
      </c>
      <c r="BE632" s="300" t="str">
        <f>_xlfn.IFNA(VLOOKUP($BD632,Programma!$F$3:$G$1107,2,0),"")</f>
        <v/>
      </c>
      <c r="BF632" s="300" t="str">
        <f>_xlfn.IFNA(VLOOKUP($BD632,Programma!$F$3:$H$1107,3,0),"")</f>
        <v/>
      </c>
      <c r="BG632" s="300" t="str">
        <f>_xlfn.IFNA(VLOOKUP($BD632,Programma!$F$3:$I$1107,4,0),"")</f>
        <v/>
      </c>
      <c r="BH632" s="300" t="str">
        <f>_xlfn.IFNA(VLOOKUP($BD632,Programma!$F$3:$J$1107,5,0),"")</f>
        <v/>
      </c>
      <c r="BI632" s="300" t="str">
        <f>_xlfn.IFNA(VLOOKUP($BD632,Programma!$F$3:$K$1107,6,0),"")</f>
        <v/>
      </c>
      <c r="BJ632" s="300" t="str">
        <f>_xlfn.IFNA(VLOOKUP($BD632,Programma!$F$3:$L$1107,7,0),"")</f>
        <v/>
      </c>
      <c r="BK632" s="300" t="str">
        <f>_xlfn.IFNA(VLOOKUP($BD632,Programma!$F$3:$M$1107,8,0),"")</f>
        <v/>
      </c>
      <c r="BL632" s="300" t="str">
        <f>_xlfn.IFNA(VLOOKUP($BD632,Programma!$F$3:$N$1107,9,0),"")</f>
        <v/>
      </c>
      <c r="BM632" s="300" t="str">
        <f>_xlfn.IFNA(VLOOKUP($BD632,Programma!$F$3:$O$1107,10,0),"")</f>
        <v/>
      </c>
      <c r="BN632" s="300" t="str">
        <f>_xlfn.IFNA(VLOOKUP($BD632,Programma!$F$3:$P$1107,11,0),"")</f>
        <v/>
      </c>
      <c r="BO632" s="300" t="str">
        <f>_xlfn.IFNA(VLOOKUP($BD632,Programma!$F$3:$Q$1107,12,0),"")</f>
        <v/>
      </c>
      <c r="BP632" s="300" t="str">
        <f>_xlfn.IFNA(VLOOKUP($BD632,Programma!$F$3:$R$1107,13,0),"")</f>
        <v/>
      </c>
      <c r="BQ632" s="300" t="str">
        <f>_xlfn.IFNA(VLOOKUP($BD632,Programma!$F$3:$S$1107,14,0),"")</f>
        <v/>
      </c>
      <c r="BR632" s="300" t="str">
        <f>_xlfn.IFNA(VLOOKUP($BD632,Programma!$F$3:$T$1107,15,0),"")</f>
        <v/>
      </c>
      <c r="BS632" s="300" t="str">
        <f>_xlfn.IFNA(VLOOKUP($BD632,Programma!$F$3:$U$1107,16,0),"")</f>
        <v/>
      </c>
      <c r="BT632" s="300" t="str">
        <f>_xlfn.IFNA(VLOOKUP($BD632,Programma!$F$3:$V$1107,17,0),"")</f>
        <v/>
      </c>
      <c r="BU632" s="300" t="str">
        <f>_xlfn.IFNA(VLOOKUP($BD632,Programma!$F$3:$W$1107,18,0),"")</f>
        <v/>
      </c>
      <c r="BV632" s="300" t="str">
        <f>_xlfn.IFNA(VLOOKUP($BD632,Programma!$F$3:$X$1107,19,0),"")</f>
        <v/>
      </c>
      <c r="BW632" s="300" t="str">
        <f>_xlfn.IFNA(VLOOKUP($BD632,Programma!$F$3:$Y$1107,20,0),"")</f>
        <v/>
      </c>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c r="GK632" s="4"/>
      <c r="GL632" s="4"/>
      <c r="GM632" s="4"/>
      <c r="GN632" s="4"/>
      <c r="GO632" s="4"/>
      <c r="GP632" s="4"/>
      <c r="GQ632" s="4"/>
      <c r="GR632" s="4"/>
      <c r="GS632" s="4"/>
      <c r="GT632" s="4"/>
      <c r="GU632" s="4"/>
      <c r="GV632" s="4"/>
      <c r="GW632" s="4"/>
      <c r="GX632" s="4"/>
      <c r="GY632" s="4"/>
      <c r="GZ632" s="4"/>
      <c r="HA632" s="4"/>
      <c r="HB632" s="4"/>
      <c r="HC632" s="4"/>
      <c r="HD632" s="4"/>
      <c r="HE632" s="4"/>
      <c r="HF632" s="4"/>
      <c r="HG632" s="4"/>
      <c r="HH632" s="4"/>
      <c r="HI632" s="4"/>
      <c r="HJ632" s="4"/>
      <c r="HK632" s="4"/>
      <c r="HL632" s="4"/>
    </row>
    <row r="633" spans="1:220" ht="15" customHeight="1">
      <c r="A633" s="21">
        <v>7</v>
      </c>
      <c r="B633" s="157" t="str">
        <f>VLOOKUP(Ruimtestaat[[#This Row],[Code]],Locaties[[Code]:[Locatie]],2,FALSE)</f>
        <v>Gymnasium Novum</v>
      </c>
      <c r="C633" s="157" t="str">
        <f>VLOOKUP(Ruimtestaat[[#This Row],[Code]],Locaties[[#All],[Code]:[Adres]],4,FALSE)</f>
        <v>Aart v.d. Leeuwkade 1</v>
      </c>
      <c r="D633" s="157" t="str">
        <f>VLOOKUP(Ruimtestaat[[#This Row],[Code]],Locaties[[#All],[Code]:[Postcode]],5,FALSE)</f>
        <v>2274 KX</v>
      </c>
      <c r="E633" s="157" t="str">
        <f>VLOOKUP(Ruimtestaat[[#This Row],[Code]],Locaties[#All],6,FALSE)</f>
        <v>Voorburg</v>
      </c>
      <c r="F633" s="62"/>
      <c r="G633" s="21" t="s">
        <v>1624</v>
      </c>
      <c r="H633" s="21" t="s">
        <v>1704</v>
      </c>
      <c r="I633" s="62" t="s">
        <v>1627</v>
      </c>
      <c r="J633" s="21">
        <v>5</v>
      </c>
      <c r="K633" s="62" t="str">
        <f>VLOOKUP(Ruimtestaat[[#This Row],[Ruimte code]],Ruimtegroepen[[#All],[Code]:[Ruimte omschrijving]],2,FALSE)</f>
        <v>Sanitair</v>
      </c>
      <c r="L633" s="33" t="s">
        <v>102</v>
      </c>
      <c r="M633" s="367" t="s">
        <v>2524</v>
      </c>
      <c r="N633" s="140">
        <v>2</v>
      </c>
      <c r="O633" s="140"/>
      <c r="P633" s="125" t="str">
        <f>VLOOKUP(Ruimtestaat[[#This Row],[Ruimte code]],Ruimtegroepen[],4,FALSE)</f>
        <v>Sa</v>
      </c>
      <c r="R633" s="33">
        <v>40</v>
      </c>
      <c r="S633" s="33" t="s">
        <v>2</v>
      </c>
      <c r="T633" s="33">
        <f>IF(R633&gt;0,IF(RIGHT(Ruimtestaat[[#This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33" s="33">
        <f>IF(T633&gt;0,VLOOKUP($J633,Ruimtegroepen[],3,FALSE)*VLOOKUP($L633,Vloersoorten[],3,FALSE)*VLOOKUP($S633,Frequenties[],3,FALSE)*VLOOKUP($A633,Locaties[],3,FALSE),0)</f>
        <v>0</v>
      </c>
      <c r="V633" s="33">
        <f>Ruimtestaat[[#This Row],[Uitvoeringen werkdagen]]*Ruimtestaat[[#This Row],[Oppervlak (netto)]]</f>
        <v>400</v>
      </c>
      <c r="W633" s="154">
        <f>IF(U633&gt;0,Ruimtestaat[[#This Row],[Prest. (m2 /jaar) werkdagen]]/Ruimtestaat[[#This Row],[Norm (m2/uur) werkdagen]],0)</f>
        <v>0</v>
      </c>
      <c r="X633" s="155">
        <f>Ruimtestaat[[#This Row],[uren / jaar werkdagen]]*Tariefsopbouw!$E$35</f>
        <v>0</v>
      </c>
      <c r="Y633" s="33"/>
      <c r="Z633" s="33">
        <f>IF(Ruimtestaat[[#This Row],[Frequentie weekend]]&gt;0,VALUE(LEFT(Y633,1))*R633,0)</f>
        <v>0</v>
      </c>
      <c r="AA633" s="97">
        <f>IF($Z633&gt;0,VLOOKUP($J633,Ruimtegroepen[],3,FALSE)*VLOOKUP($L633,Vloersoorten[],3,FALSE)*VLOOKUP($Y633,Frequenties[],3,FALSE)*VLOOKUP(Ruimtestaat[[#This Row],[Code]],Locaties[],3,FALSE),0)</f>
        <v>0</v>
      </c>
      <c r="AB633" s="97">
        <f>Ruimtestaat[[#This Row],[Uitvoeringen weekend]]*Ruimtestaat[[#This Row],[Oppervlak (netto)]]</f>
        <v>0</v>
      </c>
      <c r="AC633" s="97">
        <f>IF(AA633&gt;0,Ruimtestaat[[#This Row],[Prest. (m2 /jaar) weekend]]/Ruimtestaat[[#This Row],[Norm (m2/uur) weekend]],0)</f>
        <v>0</v>
      </c>
      <c r="AD633" s="155">
        <f>Ruimtestaat[[#This Row],[uren / jaar weekend]]*Tariefsopbouw!$D$40</f>
        <v>0</v>
      </c>
      <c r="AE633" s="154">
        <f>Ruimtestaat[[#This Row],[Prest. (m2 /jaar) weekend]]+Ruimtestaat[[#This Row],[Prest. (m2 /jaar) werkdagen]]</f>
        <v>400</v>
      </c>
      <c r="AF633" s="154">
        <f>Ruimtestaat[[#This Row],[uren / jaar weekend]]+Ruimtestaat[[#This Row],[uren / jaar werkdagen]]</f>
        <v>0</v>
      </c>
      <c r="AG633" s="69">
        <f>Ruimtestaat[[#This Row],[kosten / jaar weekend]]+Ruimtestaat[[#This Row],[kosten / jaar werkdagen]]</f>
        <v>0</v>
      </c>
      <c r="AH633" s="69"/>
      <c r="AI633" s="256" t="str">
        <f>IF(Ruimtestaat[[#This Row],[Frequentie werkdagen]]="","",_xlfn.CONCAT(Ruimtestaat[[#This Row],[Ruimte code]],"-",Ruimtestaat[[#This Row],[Frequentie werkdagen]]," ",Ruimtestaat[[#This Row],[Vloer code]]))</f>
        <v>5-5w S</v>
      </c>
      <c r="AJ633" s="300" t="str">
        <f>_xlfn.IFNA(VLOOKUP($AI633,Programma!$F$3:$G$1107,2,0),"")</f>
        <v>_</v>
      </c>
      <c r="AK633" s="300" t="str">
        <f>_xlfn.IFNA(VLOOKUP($AI633,Programma!$F$3:$H$1107,3,0),"")</f>
        <v>_</v>
      </c>
      <c r="AL633" s="300" t="str">
        <f>_xlfn.IFNA(VLOOKUP($AI633,Programma!$F$3:$I$1107,4,0),"")</f>
        <v>_</v>
      </c>
      <c r="AM633" s="300" t="str">
        <f>_xlfn.IFNA(VLOOKUP($AI633,Programma!$F$3:$J$1107,5,0),"")</f>
        <v>4w</v>
      </c>
      <c r="AN633" s="300" t="str">
        <f>_xlfn.IFNA(VLOOKUP($AI633,Programma!$F$3:$K$1107,6,0),"")</f>
        <v>1w</v>
      </c>
      <c r="AO633" s="300" t="str">
        <f>_xlfn.IFNA(VLOOKUP($AI633,Programma!$F$3:$L$1107,7,0),"")</f>
        <v>_</v>
      </c>
      <c r="AP633" s="300" t="str">
        <f>_xlfn.IFNA(VLOOKUP($AI633,Programma!$F$3:$M$1107,8,0),"")</f>
        <v>_</v>
      </c>
      <c r="AQ633" s="300" t="str">
        <f>_xlfn.IFNA(VLOOKUP($AI633,Programma!$F$3:$N$1107,9,0),"")</f>
        <v>_</v>
      </c>
      <c r="AR633" s="300" t="str">
        <f>_xlfn.IFNA(VLOOKUP($AI633,Programma!$F$3:$O$1107,10,0),"")</f>
        <v>_</v>
      </c>
      <c r="AS633" s="300" t="str">
        <f>_xlfn.IFNA(VLOOKUP($AI633,Programma!$F$3:$P$1107,11,0),"")</f>
        <v>_</v>
      </c>
      <c r="AT633" s="300" t="str">
        <f>_xlfn.IFNA(VLOOKUP($AI633,Programma!$F$3:$Q$1107,12,0),"")</f>
        <v>_</v>
      </c>
      <c r="AU633" s="300" t="str">
        <f>_xlfn.IFNA(VLOOKUP($AI633,Programma!$F$3:$R$1107,13,0),"")</f>
        <v>_</v>
      </c>
      <c r="AV633" s="300" t="str">
        <f>_xlfn.IFNA(VLOOKUP($AI633,Programma!$F$3:$S$1107,14,0),"")</f>
        <v>_</v>
      </c>
      <c r="AW633" s="300" t="str">
        <f>_xlfn.IFNA(VLOOKUP($AI633,Programma!$F$3:$T$1107,15,0),"")</f>
        <v>_</v>
      </c>
      <c r="AX633" s="300" t="str">
        <f>_xlfn.IFNA(VLOOKUP($AI633,Programma!$F$3:$U$1107,16,0),"")</f>
        <v>_</v>
      </c>
      <c r="AY633" s="300" t="str">
        <f>_xlfn.IFNA(VLOOKUP($AI633,Programma!$F$3:$V$1107,17,0),"")</f>
        <v>_</v>
      </c>
      <c r="AZ633" s="300" t="str">
        <f>_xlfn.IFNA(VLOOKUP($AI633,Programma!$F$3:$W$1107,18,0),"")</f>
        <v>4w</v>
      </c>
      <c r="BA633" s="300" t="str">
        <f>_xlfn.IFNA(VLOOKUP($AI633,Programma!$F$3:$X$1107,19,0),"")</f>
        <v>1w</v>
      </c>
      <c r="BB633" s="300" t="str">
        <f>_xlfn.IFNA(VLOOKUP($AI633,Programma!$F$3:$Y$1107,20,0),"")</f>
        <v>_</v>
      </c>
      <c r="BC633" s="257"/>
      <c r="BD633" s="256" t="str">
        <f>IF(Ruimtestaat[[#This Row],[Frequentie weekend]]="","",_xlfn.CONCAT(Ruimtestaat[[#This Row],[Ruimte code]],"-",Ruimtestaat[[#This Row],[Frequentie weekend]]," ",Ruimtestaat[[#This Row],[Vloer code]]))</f>
        <v/>
      </c>
      <c r="BE633" s="300" t="str">
        <f>_xlfn.IFNA(VLOOKUP($BD633,Programma!$F$3:$G$1107,2,0),"")</f>
        <v/>
      </c>
      <c r="BF633" s="300" t="str">
        <f>_xlfn.IFNA(VLOOKUP($BD633,Programma!$F$3:$H$1107,3,0),"")</f>
        <v/>
      </c>
      <c r="BG633" s="300" t="str">
        <f>_xlfn.IFNA(VLOOKUP($BD633,Programma!$F$3:$I$1107,4,0),"")</f>
        <v/>
      </c>
      <c r="BH633" s="300" t="str">
        <f>_xlfn.IFNA(VLOOKUP($BD633,Programma!$F$3:$J$1107,5,0),"")</f>
        <v/>
      </c>
      <c r="BI633" s="300" t="str">
        <f>_xlfn.IFNA(VLOOKUP($BD633,Programma!$F$3:$K$1107,6,0),"")</f>
        <v/>
      </c>
      <c r="BJ633" s="300" t="str">
        <f>_xlfn.IFNA(VLOOKUP($BD633,Programma!$F$3:$L$1107,7,0),"")</f>
        <v/>
      </c>
      <c r="BK633" s="300" t="str">
        <f>_xlfn.IFNA(VLOOKUP($BD633,Programma!$F$3:$M$1107,8,0),"")</f>
        <v/>
      </c>
      <c r="BL633" s="300" t="str">
        <f>_xlfn.IFNA(VLOOKUP($BD633,Programma!$F$3:$N$1107,9,0),"")</f>
        <v/>
      </c>
      <c r="BM633" s="300" t="str">
        <f>_xlfn.IFNA(VLOOKUP($BD633,Programma!$F$3:$O$1107,10,0),"")</f>
        <v/>
      </c>
      <c r="BN633" s="300" t="str">
        <f>_xlfn.IFNA(VLOOKUP($BD633,Programma!$F$3:$P$1107,11,0),"")</f>
        <v/>
      </c>
      <c r="BO633" s="300" t="str">
        <f>_xlfn.IFNA(VLOOKUP($BD633,Programma!$F$3:$Q$1107,12,0),"")</f>
        <v/>
      </c>
      <c r="BP633" s="300" t="str">
        <f>_xlfn.IFNA(VLOOKUP($BD633,Programma!$F$3:$R$1107,13,0),"")</f>
        <v/>
      </c>
      <c r="BQ633" s="300" t="str">
        <f>_xlfn.IFNA(VLOOKUP($BD633,Programma!$F$3:$S$1107,14,0),"")</f>
        <v/>
      </c>
      <c r="BR633" s="300" t="str">
        <f>_xlfn.IFNA(VLOOKUP($BD633,Programma!$F$3:$T$1107,15,0),"")</f>
        <v/>
      </c>
      <c r="BS633" s="300" t="str">
        <f>_xlfn.IFNA(VLOOKUP($BD633,Programma!$F$3:$U$1107,16,0),"")</f>
        <v/>
      </c>
      <c r="BT633" s="300" t="str">
        <f>_xlfn.IFNA(VLOOKUP($BD633,Programma!$F$3:$V$1107,17,0),"")</f>
        <v/>
      </c>
      <c r="BU633" s="300" t="str">
        <f>_xlfn.IFNA(VLOOKUP($BD633,Programma!$F$3:$W$1107,18,0),"")</f>
        <v/>
      </c>
      <c r="BV633" s="300" t="str">
        <f>_xlfn.IFNA(VLOOKUP($BD633,Programma!$F$3:$X$1107,19,0),"")</f>
        <v/>
      </c>
      <c r="BW633" s="300" t="str">
        <f>_xlfn.IFNA(VLOOKUP($BD633,Programma!$F$3:$Y$1107,20,0),"")</f>
        <v/>
      </c>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c r="GK633" s="4"/>
      <c r="GL633" s="4"/>
      <c r="GM633" s="4"/>
      <c r="GN633" s="4"/>
      <c r="GO633" s="4"/>
      <c r="GP633" s="4"/>
      <c r="GQ633" s="4"/>
      <c r="GR633" s="4"/>
      <c r="GS633" s="4"/>
      <c r="GT633" s="4"/>
      <c r="GU633" s="4"/>
      <c r="GV633" s="4"/>
      <c r="GW633" s="4"/>
      <c r="GX633" s="4"/>
      <c r="GY633" s="4"/>
      <c r="GZ633" s="4"/>
      <c r="HA633" s="4"/>
      <c r="HB633" s="4"/>
      <c r="HC633" s="4"/>
      <c r="HD633" s="4"/>
      <c r="HE633" s="4"/>
      <c r="HF633" s="4"/>
      <c r="HG633" s="4"/>
      <c r="HH633" s="4"/>
      <c r="HI633" s="4"/>
      <c r="HJ633" s="4"/>
      <c r="HK633" s="4"/>
      <c r="HL633" s="4"/>
    </row>
    <row r="634" spans="1:220" ht="15" customHeight="1">
      <c r="A634" s="21">
        <v>7</v>
      </c>
      <c r="B634" s="157" t="str">
        <f>VLOOKUP(Ruimtestaat[[#This Row],[Code]],Locaties[[Code]:[Locatie]],2,FALSE)</f>
        <v>Gymnasium Novum</v>
      </c>
      <c r="C634" s="157" t="str">
        <f>VLOOKUP(Ruimtestaat[[#This Row],[Code]],Locaties[[#All],[Code]:[Adres]],4,FALSE)</f>
        <v>Aart v.d. Leeuwkade 1</v>
      </c>
      <c r="D634" s="157" t="str">
        <f>VLOOKUP(Ruimtestaat[[#This Row],[Code]],Locaties[[#All],[Code]:[Postcode]],5,FALSE)</f>
        <v>2274 KX</v>
      </c>
      <c r="E634" s="157" t="str">
        <f>VLOOKUP(Ruimtestaat[[#This Row],[Code]],Locaties[#All],6,FALSE)</f>
        <v>Voorburg</v>
      </c>
      <c r="F634" s="62"/>
      <c r="G634" s="21" t="s">
        <v>1624</v>
      </c>
      <c r="H634" s="21" t="s">
        <v>1705</v>
      </c>
      <c r="I634" s="62" t="s">
        <v>1627</v>
      </c>
      <c r="J634" s="21">
        <v>5</v>
      </c>
      <c r="K634" s="62" t="str">
        <f>VLOOKUP(Ruimtestaat[[#This Row],[Ruimte code]],Ruimtegroepen[[#All],[Code]:[Ruimte omschrijving]],2,FALSE)</f>
        <v>Sanitair</v>
      </c>
      <c r="L634" s="33" t="s">
        <v>102</v>
      </c>
      <c r="M634" s="367" t="s">
        <v>2524</v>
      </c>
      <c r="N634" s="140">
        <v>2</v>
      </c>
      <c r="O634" s="140"/>
      <c r="P634" s="125" t="str">
        <f>VLOOKUP(Ruimtestaat[[#This Row],[Ruimte code]],Ruimtegroepen[],4,FALSE)</f>
        <v>Sa</v>
      </c>
      <c r="R634" s="33">
        <v>40</v>
      </c>
      <c r="S634" s="33" t="s">
        <v>2</v>
      </c>
      <c r="T634" s="33">
        <f>IF(R634&gt;0,IF(RIGHT(Ruimtestaat[[#This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34" s="33">
        <f>IF(T634&gt;0,VLOOKUP($J634,Ruimtegroepen[],3,FALSE)*VLOOKUP($L634,Vloersoorten[],3,FALSE)*VLOOKUP($S634,Frequenties[],3,FALSE)*VLOOKUP($A634,Locaties[],3,FALSE),0)</f>
        <v>0</v>
      </c>
      <c r="V634" s="33">
        <f>Ruimtestaat[[#This Row],[Uitvoeringen werkdagen]]*Ruimtestaat[[#This Row],[Oppervlak (netto)]]</f>
        <v>400</v>
      </c>
      <c r="W634" s="154">
        <f>IF(U634&gt;0,Ruimtestaat[[#This Row],[Prest. (m2 /jaar) werkdagen]]/Ruimtestaat[[#This Row],[Norm (m2/uur) werkdagen]],0)</f>
        <v>0</v>
      </c>
      <c r="X634" s="155">
        <f>Ruimtestaat[[#This Row],[uren / jaar werkdagen]]*Tariefsopbouw!$E$35</f>
        <v>0</v>
      </c>
      <c r="Y634" s="33"/>
      <c r="Z634" s="33">
        <f>IF(Ruimtestaat[[#This Row],[Frequentie weekend]]&gt;0,VALUE(LEFT(Y634,1))*R634,0)</f>
        <v>0</v>
      </c>
      <c r="AA634" s="97">
        <f>IF($Z634&gt;0,VLOOKUP($J634,Ruimtegroepen[],3,FALSE)*VLOOKUP($L634,Vloersoorten[],3,FALSE)*VLOOKUP($Y634,Frequenties[],3,FALSE)*VLOOKUP(Ruimtestaat[[#This Row],[Code]],Locaties[],3,FALSE),0)</f>
        <v>0</v>
      </c>
      <c r="AB634" s="97">
        <f>Ruimtestaat[[#This Row],[Uitvoeringen weekend]]*Ruimtestaat[[#This Row],[Oppervlak (netto)]]</f>
        <v>0</v>
      </c>
      <c r="AC634" s="97">
        <f>IF(AA634&gt;0,Ruimtestaat[[#This Row],[Prest. (m2 /jaar) weekend]]/Ruimtestaat[[#This Row],[Norm (m2/uur) weekend]],0)</f>
        <v>0</v>
      </c>
      <c r="AD634" s="155">
        <f>Ruimtestaat[[#This Row],[uren / jaar weekend]]*Tariefsopbouw!$D$40</f>
        <v>0</v>
      </c>
      <c r="AE634" s="154">
        <f>Ruimtestaat[[#This Row],[Prest. (m2 /jaar) weekend]]+Ruimtestaat[[#This Row],[Prest. (m2 /jaar) werkdagen]]</f>
        <v>400</v>
      </c>
      <c r="AF634" s="154">
        <f>Ruimtestaat[[#This Row],[uren / jaar weekend]]+Ruimtestaat[[#This Row],[uren / jaar werkdagen]]</f>
        <v>0</v>
      </c>
      <c r="AG634" s="69">
        <f>Ruimtestaat[[#This Row],[kosten / jaar weekend]]+Ruimtestaat[[#This Row],[kosten / jaar werkdagen]]</f>
        <v>0</v>
      </c>
      <c r="AH634" s="69"/>
      <c r="AI634" s="256" t="str">
        <f>IF(Ruimtestaat[[#This Row],[Frequentie werkdagen]]="","",_xlfn.CONCAT(Ruimtestaat[[#This Row],[Ruimte code]],"-",Ruimtestaat[[#This Row],[Frequentie werkdagen]]," ",Ruimtestaat[[#This Row],[Vloer code]]))</f>
        <v>5-5w S</v>
      </c>
      <c r="AJ634" s="300" t="str">
        <f>_xlfn.IFNA(VLOOKUP($AI634,Programma!$F$3:$G$1107,2,0),"")</f>
        <v>_</v>
      </c>
      <c r="AK634" s="300" t="str">
        <f>_xlfn.IFNA(VLOOKUP($AI634,Programma!$F$3:$H$1107,3,0),"")</f>
        <v>_</v>
      </c>
      <c r="AL634" s="300" t="str">
        <f>_xlfn.IFNA(VLOOKUP($AI634,Programma!$F$3:$I$1107,4,0),"")</f>
        <v>_</v>
      </c>
      <c r="AM634" s="300" t="str">
        <f>_xlfn.IFNA(VLOOKUP($AI634,Programma!$F$3:$J$1107,5,0),"")</f>
        <v>4w</v>
      </c>
      <c r="AN634" s="300" t="str">
        <f>_xlfn.IFNA(VLOOKUP($AI634,Programma!$F$3:$K$1107,6,0),"")</f>
        <v>1w</v>
      </c>
      <c r="AO634" s="300" t="str">
        <f>_xlfn.IFNA(VLOOKUP($AI634,Programma!$F$3:$L$1107,7,0),"")</f>
        <v>_</v>
      </c>
      <c r="AP634" s="300" t="str">
        <f>_xlfn.IFNA(VLOOKUP($AI634,Programma!$F$3:$M$1107,8,0),"")</f>
        <v>_</v>
      </c>
      <c r="AQ634" s="300" t="str">
        <f>_xlfn.IFNA(VLOOKUP($AI634,Programma!$F$3:$N$1107,9,0),"")</f>
        <v>_</v>
      </c>
      <c r="AR634" s="300" t="str">
        <f>_xlfn.IFNA(VLOOKUP($AI634,Programma!$F$3:$O$1107,10,0),"")</f>
        <v>_</v>
      </c>
      <c r="AS634" s="300" t="str">
        <f>_xlfn.IFNA(VLOOKUP($AI634,Programma!$F$3:$P$1107,11,0),"")</f>
        <v>_</v>
      </c>
      <c r="AT634" s="300" t="str">
        <f>_xlfn.IFNA(VLOOKUP($AI634,Programma!$F$3:$Q$1107,12,0),"")</f>
        <v>_</v>
      </c>
      <c r="AU634" s="300" t="str">
        <f>_xlfn.IFNA(VLOOKUP($AI634,Programma!$F$3:$R$1107,13,0),"")</f>
        <v>_</v>
      </c>
      <c r="AV634" s="300" t="str">
        <f>_xlfn.IFNA(VLOOKUP($AI634,Programma!$F$3:$S$1107,14,0),"")</f>
        <v>_</v>
      </c>
      <c r="AW634" s="300" t="str">
        <f>_xlfn.IFNA(VLOOKUP($AI634,Programma!$F$3:$T$1107,15,0),"")</f>
        <v>_</v>
      </c>
      <c r="AX634" s="300" t="str">
        <f>_xlfn.IFNA(VLOOKUP($AI634,Programma!$F$3:$U$1107,16,0),"")</f>
        <v>_</v>
      </c>
      <c r="AY634" s="300" t="str">
        <f>_xlfn.IFNA(VLOOKUP($AI634,Programma!$F$3:$V$1107,17,0),"")</f>
        <v>_</v>
      </c>
      <c r="AZ634" s="300" t="str">
        <f>_xlfn.IFNA(VLOOKUP($AI634,Programma!$F$3:$W$1107,18,0),"")</f>
        <v>4w</v>
      </c>
      <c r="BA634" s="300" t="str">
        <f>_xlfn.IFNA(VLOOKUP($AI634,Programma!$F$3:$X$1107,19,0),"")</f>
        <v>1w</v>
      </c>
      <c r="BB634" s="300" t="str">
        <f>_xlfn.IFNA(VLOOKUP($AI634,Programma!$F$3:$Y$1107,20,0),"")</f>
        <v>_</v>
      </c>
      <c r="BC634" s="257"/>
      <c r="BD634" s="256" t="str">
        <f>IF(Ruimtestaat[[#This Row],[Frequentie weekend]]="","",_xlfn.CONCAT(Ruimtestaat[[#This Row],[Ruimte code]],"-",Ruimtestaat[[#This Row],[Frequentie weekend]]," ",Ruimtestaat[[#This Row],[Vloer code]]))</f>
        <v/>
      </c>
      <c r="BE634" s="300" t="str">
        <f>_xlfn.IFNA(VLOOKUP($BD634,Programma!$F$3:$G$1107,2,0),"")</f>
        <v/>
      </c>
      <c r="BF634" s="300" t="str">
        <f>_xlfn.IFNA(VLOOKUP($BD634,Programma!$F$3:$H$1107,3,0),"")</f>
        <v/>
      </c>
      <c r="BG634" s="300" t="str">
        <f>_xlfn.IFNA(VLOOKUP($BD634,Programma!$F$3:$I$1107,4,0),"")</f>
        <v/>
      </c>
      <c r="BH634" s="300" t="str">
        <f>_xlfn.IFNA(VLOOKUP($BD634,Programma!$F$3:$J$1107,5,0),"")</f>
        <v/>
      </c>
      <c r="BI634" s="300" t="str">
        <f>_xlfn.IFNA(VLOOKUP($BD634,Programma!$F$3:$K$1107,6,0),"")</f>
        <v/>
      </c>
      <c r="BJ634" s="300" t="str">
        <f>_xlfn.IFNA(VLOOKUP($BD634,Programma!$F$3:$L$1107,7,0),"")</f>
        <v/>
      </c>
      <c r="BK634" s="300" t="str">
        <f>_xlfn.IFNA(VLOOKUP($BD634,Programma!$F$3:$M$1107,8,0),"")</f>
        <v/>
      </c>
      <c r="BL634" s="300" t="str">
        <f>_xlfn.IFNA(VLOOKUP($BD634,Programma!$F$3:$N$1107,9,0),"")</f>
        <v/>
      </c>
      <c r="BM634" s="300" t="str">
        <f>_xlfn.IFNA(VLOOKUP($BD634,Programma!$F$3:$O$1107,10,0),"")</f>
        <v/>
      </c>
      <c r="BN634" s="300" t="str">
        <f>_xlfn.IFNA(VLOOKUP($BD634,Programma!$F$3:$P$1107,11,0),"")</f>
        <v/>
      </c>
      <c r="BO634" s="300" t="str">
        <f>_xlfn.IFNA(VLOOKUP($BD634,Programma!$F$3:$Q$1107,12,0),"")</f>
        <v/>
      </c>
      <c r="BP634" s="300" t="str">
        <f>_xlfn.IFNA(VLOOKUP($BD634,Programma!$F$3:$R$1107,13,0),"")</f>
        <v/>
      </c>
      <c r="BQ634" s="300" t="str">
        <f>_xlfn.IFNA(VLOOKUP($BD634,Programma!$F$3:$S$1107,14,0),"")</f>
        <v/>
      </c>
      <c r="BR634" s="300" t="str">
        <f>_xlfn.IFNA(VLOOKUP($BD634,Programma!$F$3:$T$1107,15,0),"")</f>
        <v/>
      </c>
      <c r="BS634" s="300" t="str">
        <f>_xlfn.IFNA(VLOOKUP($BD634,Programma!$F$3:$U$1107,16,0),"")</f>
        <v/>
      </c>
      <c r="BT634" s="300" t="str">
        <f>_xlfn.IFNA(VLOOKUP($BD634,Programma!$F$3:$V$1107,17,0),"")</f>
        <v/>
      </c>
      <c r="BU634" s="300" t="str">
        <f>_xlfn.IFNA(VLOOKUP($BD634,Programma!$F$3:$W$1107,18,0),"")</f>
        <v/>
      </c>
      <c r="BV634" s="300" t="str">
        <f>_xlfn.IFNA(VLOOKUP($BD634,Programma!$F$3:$X$1107,19,0),"")</f>
        <v/>
      </c>
      <c r="BW634" s="300" t="str">
        <f>_xlfn.IFNA(VLOOKUP($BD634,Programma!$F$3:$Y$1107,20,0),"")</f>
        <v/>
      </c>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c r="GK634" s="4"/>
      <c r="GL634" s="4"/>
      <c r="GM634" s="4"/>
      <c r="GN634" s="4"/>
      <c r="GO634" s="4"/>
      <c r="GP634" s="4"/>
      <c r="GQ634" s="4"/>
      <c r="GR634" s="4"/>
      <c r="GS634" s="4"/>
      <c r="GT634" s="4"/>
      <c r="GU634" s="4"/>
      <c r="GV634" s="4"/>
      <c r="GW634" s="4"/>
      <c r="GX634" s="4"/>
      <c r="GY634" s="4"/>
      <c r="GZ634" s="4"/>
      <c r="HA634" s="4"/>
      <c r="HB634" s="4"/>
      <c r="HC634" s="4"/>
      <c r="HD634" s="4"/>
      <c r="HE634" s="4"/>
      <c r="HF634" s="4"/>
      <c r="HG634" s="4"/>
      <c r="HH634" s="4"/>
      <c r="HI634" s="4"/>
      <c r="HJ634" s="4"/>
      <c r="HK634" s="4"/>
      <c r="HL634" s="4"/>
    </row>
    <row r="635" spans="1:220" ht="15" customHeight="1">
      <c r="A635" s="21">
        <v>7</v>
      </c>
      <c r="B635" s="157" t="str">
        <f>VLOOKUP(Ruimtestaat[[#This Row],[Code]],Locaties[[Code]:[Locatie]],2,FALSE)</f>
        <v>Gymnasium Novum</v>
      </c>
      <c r="C635" s="157" t="str">
        <f>VLOOKUP(Ruimtestaat[[#This Row],[Code]],Locaties[[#All],[Code]:[Adres]],4,FALSE)</f>
        <v>Aart v.d. Leeuwkade 1</v>
      </c>
      <c r="D635" s="157" t="str">
        <f>VLOOKUP(Ruimtestaat[[#This Row],[Code]],Locaties[[#All],[Code]:[Postcode]],5,FALSE)</f>
        <v>2274 KX</v>
      </c>
      <c r="E635" s="157" t="str">
        <f>VLOOKUP(Ruimtestaat[[#This Row],[Code]],Locaties[#All],6,FALSE)</f>
        <v>Voorburg</v>
      </c>
      <c r="F635" s="62"/>
      <c r="G635" s="21" t="s">
        <v>1624</v>
      </c>
      <c r="H635" s="21" t="s">
        <v>2058</v>
      </c>
      <c r="I635" s="62" t="s">
        <v>2174</v>
      </c>
      <c r="J635" s="21">
        <v>2</v>
      </c>
      <c r="K635" s="62" t="str">
        <f>VLOOKUP(Ruimtestaat[[#This Row],[Ruimte code]],Ruimtegroepen[[#All],[Code]:[Ruimte omschrijving]],2,FALSE)</f>
        <v>Kantoren</v>
      </c>
      <c r="L635" s="33" t="s">
        <v>101</v>
      </c>
      <c r="M635" s="367" t="s">
        <v>2495</v>
      </c>
      <c r="N635" s="140">
        <v>12</v>
      </c>
      <c r="O635" s="140"/>
      <c r="P635" s="125" t="str">
        <f>VLOOKUP(Ruimtestaat[[#This Row],[Ruimte code]],Ruimtegroepen[],4,FALSE)</f>
        <v>Bu</v>
      </c>
      <c r="R635" s="33">
        <v>42</v>
      </c>
      <c r="S635" s="33" t="s">
        <v>18</v>
      </c>
      <c r="T635" s="33">
        <f>IF(R635&gt;0,IF(RIGHT(Ruimtestaat[[#This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35" s="33">
        <f>IF(T635&gt;0,VLOOKUP($J635,Ruimtegroepen[],3,FALSE)*VLOOKUP($L635,Vloersoorten[],3,FALSE)*VLOOKUP($S635,Frequenties[],3,FALSE)*VLOOKUP($A635,Locaties[],3,FALSE),0)</f>
        <v>0</v>
      </c>
      <c r="V635" s="33">
        <f>Ruimtestaat[[#This Row],[Uitvoeringen werkdagen]]*Ruimtestaat[[#This Row],[Oppervlak (netto)]]</f>
        <v>1512</v>
      </c>
      <c r="W635" s="154">
        <f>IF(U635&gt;0,Ruimtestaat[[#This Row],[Prest. (m2 /jaar) werkdagen]]/Ruimtestaat[[#This Row],[Norm (m2/uur) werkdagen]],0)</f>
        <v>0</v>
      </c>
      <c r="X635" s="155">
        <f>Ruimtestaat[[#This Row],[uren / jaar werkdagen]]*Tariefsopbouw!$E$35</f>
        <v>0</v>
      </c>
      <c r="Y635" s="33"/>
      <c r="Z635" s="33">
        <f>IF(Ruimtestaat[[#This Row],[Frequentie weekend]]&gt;0,VALUE(LEFT(Y635,1))*R635,0)</f>
        <v>0</v>
      </c>
      <c r="AA635" s="97">
        <f>IF($Z635&gt;0,VLOOKUP($J635,Ruimtegroepen[],3,FALSE)*VLOOKUP($L635,Vloersoorten[],3,FALSE)*VLOOKUP($Y635,Frequenties[],3,FALSE)*VLOOKUP(Ruimtestaat[[#This Row],[Code]],Locaties[],3,FALSE),0)</f>
        <v>0</v>
      </c>
      <c r="AB635" s="97">
        <f>Ruimtestaat[[#This Row],[Uitvoeringen weekend]]*Ruimtestaat[[#This Row],[Oppervlak (netto)]]</f>
        <v>0</v>
      </c>
      <c r="AC635" s="97">
        <f>IF(AA635&gt;0,Ruimtestaat[[#This Row],[Prest. (m2 /jaar) weekend]]/Ruimtestaat[[#This Row],[Norm (m2/uur) weekend]],0)</f>
        <v>0</v>
      </c>
      <c r="AD635" s="155">
        <f>Ruimtestaat[[#This Row],[uren / jaar weekend]]*Tariefsopbouw!$D$40</f>
        <v>0</v>
      </c>
      <c r="AE635" s="154">
        <f>Ruimtestaat[[#This Row],[Prest. (m2 /jaar) weekend]]+Ruimtestaat[[#This Row],[Prest. (m2 /jaar) werkdagen]]</f>
        <v>1512</v>
      </c>
      <c r="AF635" s="154">
        <f>Ruimtestaat[[#This Row],[uren / jaar weekend]]+Ruimtestaat[[#This Row],[uren / jaar werkdagen]]</f>
        <v>0</v>
      </c>
      <c r="AG635" s="69">
        <f>Ruimtestaat[[#This Row],[kosten / jaar weekend]]+Ruimtestaat[[#This Row],[kosten / jaar werkdagen]]</f>
        <v>0</v>
      </c>
      <c r="AH635" s="69"/>
      <c r="AI635" s="256" t="str">
        <f>IF(Ruimtestaat[[#This Row],[Frequentie werkdagen]]="","",_xlfn.CONCAT(Ruimtestaat[[#This Row],[Ruimte code]],"-",Ruimtestaat[[#This Row],[Frequentie werkdagen]]," ",Ruimtestaat[[#This Row],[Vloer code]]))</f>
        <v>2-3w L</v>
      </c>
      <c r="AJ635" s="300" t="str">
        <f>_xlfn.IFNA(VLOOKUP($AI635,Programma!$F$3:$G$1107,2,0),"")</f>
        <v>_</v>
      </c>
      <c r="AK635" s="300" t="str">
        <f>_xlfn.IFNA(VLOOKUP($AI635,Programma!$F$3:$H$1107,3,0),"")</f>
        <v>_</v>
      </c>
      <c r="AL635" s="300" t="str">
        <f>_xlfn.IFNA(VLOOKUP($AI635,Programma!$F$3:$I$1107,4,0),"")</f>
        <v>2w</v>
      </c>
      <c r="AM635" s="300" t="str">
        <f>_xlfn.IFNA(VLOOKUP($AI635,Programma!$F$3:$J$1107,5,0),"")</f>
        <v>1w</v>
      </c>
      <c r="AN635" s="300" t="str">
        <f>_xlfn.IFNA(VLOOKUP($AI635,Programma!$F$3:$K$1107,6,0),"")</f>
        <v>_</v>
      </c>
      <c r="AO635" s="300" t="str">
        <f>_xlfn.IFNA(VLOOKUP($AI635,Programma!$F$3:$L$1107,7,0),"")</f>
        <v>_</v>
      </c>
      <c r="AP635" s="300" t="str">
        <f>_xlfn.IFNA(VLOOKUP($AI635,Programma!$F$3:$M$1107,8,0),"")</f>
        <v>_</v>
      </c>
      <c r="AQ635" s="300" t="str">
        <f>_xlfn.IFNA(VLOOKUP($AI635,Programma!$F$3:$N$1107,9,0),"")</f>
        <v>_</v>
      </c>
      <c r="AR635" s="300" t="str">
        <f>_xlfn.IFNA(VLOOKUP($AI635,Programma!$F$3:$O$1107,10,0),"")</f>
        <v>3w</v>
      </c>
      <c r="AS635" s="300" t="str">
        <f>_xlfn.IFNA(VLOOKUP($AI635,Programma!$F$3:$P$1107,11,0),"")</f>
        <v>3w</v>
      </c>
      <c r="AT635" s="300" t="str">
        <f>_xlfn.IFNA(VLOOKUP($AI635,Programma!$F$3:$Q$1107,12,0),"")</f>
        <v>1w</v>
      </c>
      <c r="AU635" s="300" t="str">
        <f>_xlfn.IFNA(VLOOKUP($AI635,Programma!$F$3:$R$1107,13,0),"")</f>
        <v>1w</v>
      </c>
      <c r="AV635" s="300" t="str">
        <f>_xlfn.IFNA(VLOOKUP($AI635,Programma!$F$3:$S$1107,14,0),"")</f>
        <v>1m</v>
      </c>
      <c r="AW635" s="300" t="str">
        <f>_xlfn.IFNA(VLOOKUP($AI635,Programma!$F$3:$T$1107,15,0),"")</f>
        <v>2j</v>
      </c>
      <c r="AX635" s="300" t="str">
        <f>_xlfn.IFNA(VLOOKUP($AI635,Programma!$F$3:$U$1107,16,0),"")</f>
        <v>1j</v>
      </c>
      <c r="AY635" s="300" t="str">
        <f>_xlfn.IFNA(VLOOKUP($AI635,Programma!$F$3:$V$1107,17,0),"")</f>
        <v>_</v>
      </c>
      <c r="AZ635" s="300" t="str">
        <f>_xlfn.IFNA(VLOOKUP($AI635,Programma!$F$3:$W$1107,18,0),"")</f>
        <v>_</v>
      </c>
      <c r="BA635" s="300" t="str">
        <f>_xlfn.IFNA(VLOOKUP($AI635,Programma!$F$3:$X$1107,19,0),"")</f>
        <v>_</v>
      </c>
      <c r="BB635" s="300" t="str">
        <f>_xlfn.IFNA(VLOOKUP($AI635,Programma!$F$3:$Y$1107,20,0),"")</f>
        <v>_</v>
      </c>
      <c r="BC635" s="257"/>
      <c r="BD635" s="256" t="str">
        <f>IF(Ruimtestaat[[#This Row],[Frequentie weekend]]="","",_xlfn.CONCAT(Ruimtestaat[[#This Row],[Ruimte code]],"-",Ruimtestaat[[#This Row],[Frequentie weekend]]," ",Ruimtestaat[[#This Row],[Vloer code]]))</f>
        <v/>
      </c>
      <c r="BE635" s="300" t="str">
        <f>_xlfn.IFNA(VLOOKUP($BD635,Programma!$F$3:$G$1107,2,0),"")</f>
        <v/>
      </c>
      <c r="BF635" s="300" t="str">
        <f>_xlfn.IFNA(VLOOKUP($BD635,Programma!$F$3:$H$1107,3,0),"")</f>
        <v/>
      </c>
      <c r="BG635" s="300" t="str">
        <f>_xlfn.IFNA(VLOOKUP($BD635,Programma!$F$3:$I$1107,4,0),"")</f>
        <v/>
      </c>
      <c r="BH635" s="300" t="str">
        <f>_xlfn.IFNA(VLOOKUP($BD635,Programma!$F$3:$J$1107,5,0),"")</f>
        <v/>
      </c>
      <c r="BI635" s="300" t="str">
        <f>_xlfn.IFNA(VLOOKUP($BD635,Programma!$F$3:$K$1107,6,0),"")</f>
        <v/>
      </c>
      <c r="BJ635" s="300" t="str">
        <f>_xlfn.IFNA(VLOOKUP($BD635,Programma!$F$3:$L$1107,7,0),"")</f>
        <v/>
      </c>
      <c r="BK635" s="300" t="str">
        <f>_xlfn.IFNA(VLOOKUP($BD635,Programma!$F$3:$M$1107,8,0),"")</f>
        <v/>
      </c>
      <c r="BL635" s="300" t="str">
        <f>_xlfn.IFNA(VLOOKUP($BD635,Programma!$F$3:$N$1107,9,0),"")</f>
        <v/>
      </c>
      <c r="BM635" s="300" t="str">
        <f>_xlfn.IFNA(VLOOKUP($BD635,Programma!$F$3:$O$1107,10,0),"")</f>
        <v/>
      </c>
      <c r="BN635" s="300" t="str">
        <f>_xlfn.IFNA(VLOOKUP($BD635,Programma!$F$3:$P$1107,11,0),"")</f>
        <v/>
      </c>
      <c r="BO635" s="300" t="str">
        <f>_xlfn.IFNA(VLOOKUP($BD635,Programma!$F$3:$Q$1107,12,0),"")</f>
        <v/>
      </c>
      <c r="BP635" s="300" t="str">
        <f>_xlfn.IFNA(VLOOKUP($BD635,Programma!$F$3:$R$1107,13,0),"")</f>
        <v/>
      </c>
      <c r="BQ635" s="300" t="str">
        <f>_xlfn.IFNA(VLOOKUP($BD635,Programma!$F$3:$S$1107,14,0),"")</f>
        <v/>
      </c>
      <c r="BR635" s="300" t="str">
        <f>_xlfn.IFNA(VLOOKUP($BD635,Programma!$F$3:$T$1107,15,0),"")</f>
        <v/>
      </c>
      <c r="BS635" s="300" t="str">
        <f>_xlfn.IFNA(VLOOKUP($BD635,Programma!$F$3:$U$1107,16,0),"")</f>
        <v/>
      </c>
      <c r="BT635" s="300" t="str">
        <f>_xlfn.IFNA(VLOOKUP($BD635,Programma!$F$3:$V$1107,17,0),"")</f>
        <v/>
      </c>
      <c r="BU635" s="300" t="str">
        <f>_xlfn.IFNA(VLOOKUP($BD635,Programma!$F$3:$W$1107,18,0),"")</f>
        <v/>
      </c>
      <c r="BV635" s="300" t="str">
        <f>_xlfn.IFNA(VLOOKUP($BD635,Programma!$F$3:$X$1107,19,0),"")</f>
        <v/>
      </c>
      <c r="BW635" s="300" t="str">
        <f>_xlfn.IFNA(VLOOKUP($BD635,Programma!$F$3:$Y$1107,20,0),"")</f>
        <v/>
      </c>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c r="GK635" s="4"/>
      <c r="GL635" s="4"/>
      <c r="GM635" s="4"/>
      <c r="GN635" s="4"/>
      <c r="GO635" s="4"/>
      <c r="GP635" s="4"/>
      <c r="GQ635" s="4"/>
      <c r="GR635" s="4"/>
      <c r="GS635" s="4"/>
      <c r="GT635" s="4"/>
      <c r="GU635" s="4"/>
      <c r="GV635" s="4"/>
      <c r="GW635" s="4"/>
      <c r="GX635" s="4"/>
      <c r="GY635" s="4"/>
      <c r="GZ635" s="4"/>
      <c r="HA635" s="4"/>
      <c r="HB635" s="4"/>
      <c r="HC635" s="4"/>
      <c r="HD635" s="4"/>
      <c r="HE635" s="4"/>
      <c r="HF635" s="4"/>
      <c r="HG635" s="4"/>
      <c r="HH635" s="4"/>
      <c r="HI635" s="4"/>
      <c r="HJ635" s="4"/>
      <c r="HK635" s="4"/>
      <c r="HL635" s="4"/>
    </row>
    <row r="636" spans="1:220" ht="15" customHeight="1">
      <c r="A636" s="21">
        <v>7</v>
      </c>
      <c r="B636" s="157" t="str">
        <f>VLOOKUP(Ruimtestaat[[#This Row],[Code]],Locaties[[Code]:[Locatie]],2,FALSE)</f>
        <v>Gymnasium Novum</v>
      </c>
      <c r="C636" s="157" t="str">
        <f>VLOOKUP(Ruimtestaat[[#This Row],[Code]],Locaties[[#All],[Code]:[Adres]],4,FALSE)</f>
        <v>Aart v.d. Leeuwkade 1</v>
      </c>
      <c r="D636" s="157" t="str">
        <f>VLOOKUP(Ruimtestaat[[#This Row],[Code]],Locaties[[#All],[Code]:[Postcode]],5,FALSE)</f>
        <v>2274 KX</v>
      </c>
      <c r="E636" s="157" t="str">
        <f>VLOOKUP(Ruimtestaat[[#This Row],[Code]],Locaties[#All],6,FALSE)</f>
        <v>Voorburg</v>
      </c>
      <c r="F636" s="62"/>
      <c r="G636" s="21" t="s">
        <v>1624</v>
      </c>
      <c r="H636" s="21" t="s">
        <v>1915</v>
      </c>
      <c r="I636" s="62" t="s">
        <v>2175</v>
      </c>
      <c r="J636" s="21">
        <v>2</v>
      </c>
      <c r="K636" s="62" t="str">
        <f>VLOOKUP(Ruimtestaat[[#This Row],[Ruimte code]],Ruimtegroepen[[#All],[Code]:[Ruimte omschrijving]],2,FALSE)</f>
        <v>Kantoren</v>
      </c>
      <c r="L636" s="33" t="s">
        <v>101</v>
      </c>
      <c r="M636" s="367" t="s">
        <v>2495</v>
      </c>
      <c r="N636" s="140">
        <v>19</v>
      </c>
      <c r="O636" s="140"/>
      <c r="P636" s="125" t="str">
        <f>VLOOKUP(Ruimtestaat[[#This Row],[Ruimte code]],Ruimtegroepen[],4,FALSE)</f>
        <v>Bu</v>
      </c>
      <c r="R636" s="33">
        <v>42</v>
      </c>
      <c r="S636" s="33" t="s">
        <v>18</v>
      </c>
      <c r="T636" s="33">
        <f>IF(R636&gt;0,IF(RIGHT(Ruimtestaat[[#This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36" s="33">
        <f>IF(T636&gt;0,VLOOKUP($J636,Ruimtegroepen[],3,FALSE)*VLOOKUP($L636,Vloersoorten[],3,FALSE)*VLOOKUP($S636,Frequenties[],3,FALSE)*VLOOKUP($A636,Locaties[],3,FALSE),0)</f>
        <v>0</v>
      </c>
      <c r="V636" s="33">
        <f>Ruimtestaat[[#This Row],[Uitvoeringen werkdagen]]*Ruimtestaat[[#This Row],[Oppervlak (netto)]]</f>
        <v>2394</v>
      </c>
      <c r="W636" s="154">
        <f>IF(U636&gt;0,Ruimtestaat[[#This Row],[Prest. (m2 /jaar) werkdagen]]/Ruimtestaat[[#This Row],[Norm (m2/uur) werkdagen]],0)</f>
        <v>0</v>
      </c>
      <c r="X636" s="155">
        <f>Ruimtestaat[[#This Row],[uren / jaar werkdagen]]*Tariefsopbouw!$E$35</f>
        <v>0</v>
      </c>
      <c r="Y636" s="33"/>
      <c r="Z636" s="33">
        <f>IF(Ruimtestaat[[#This Row],[Frequentie weekend]]&gt;0,VALUE(LEFT(Y636,1))*R636,0)</f>
        <v>0</v>
      </c>
      <c r="AA636" s="97">
        <f>IF($Z636&gt;0,VLOOKUP($J636,Ruimtegroepen[],3,FALSE)*VLOOKUP($L636,Vloersoorten[],3,FALSE)*VLOOKUP($Y636,Frequenties[],3,FALSE)*VLOOKUP(Ruimtestaat[[#This Row],[Code]],Locaties[],3,FALSE),0)</f>
        <v>0</v>
      </c>
      <c r="AB636" s="97">
        <f>Ruimtestaat[[#This Row],[Uitvoeringen weekend]]*Ruimtestaat[[#This Row],[Oppervlak (netto)]]</f>
        <v>0</v>
      </c>
      <c r="AC636" s="97">
        <f>IF(AA636&gt;0,Ruimtestaat[[#This Row],[Prest. (m2 /jaar) weekend]]/Ruimtestaat[[#This Row],[Norm (m2/uur) weekend]],0)</f>
        <v>0</v>
      </c>
      <c r="AD636" s="155">
        <f>Ruimtestaat[[#This Row],[uren / jaar weekend]]*Tariefsopbouw!$D$40</f>
        <v>0</v>
      </c>
      <c r="AE636" s="154">
        <f>Ruimtestaat[[#This Row],[Prest. (m2 /jaar) weekend]]+Ruimtestaat[[#This Row],[Prest. (m2 /jaar) werkdagen]]</f>
        <v>2394</v>
      </c>
      <c r="AF636" s="154">
        <f>Ruimtestaat[[#This Row],[uren / jaar weekend]]+Ruimtestaat[[#This Row],[uren / jaar werkdagen]]</f>
        <v>0</v>
      </c>
      <c r="AG636" s="69">
        <f>Ruimtestaat[[#This Row],[kosten / jaar weekend]]+Ruimtestaat[[#This Row],[kosten / jaar werkdagen]]</f>
        <v>0</v>
      </c>
      <c r="AH636" s="69"/>
      <c r="AI636" s="256" t="str">
        <f>IF(Ruimtestaat[[#This Row],[Frequentie werkdagen]]="","",_xlfn.CONCAT(Ruimtestaat[[#This Row],[Ruimte code]],"-",Ruimtestaat[[#This Row],[Frequentie werkdagen]]," ",Ruimtestaat[[#This Row],[Vloer code]]))</f>
        <v>2-3w L</v>
      </c>
      <c r="AJ636" s="300" t="str">
        <f>_xlfn.IFNA(VLOOKUP($AI636,Programma!$F$3:$G$1107,2,0),"")</f>
        <v>_</v>
      </c>
      <c r="AK636" s="300" t="str">
        <f>_xlfn.IFNA(VLOOKUP($AI636,Programma!$F$3:$H$1107,3,0),"")</f>
        <v>_</v>
      </c>
      <c r="AL636" s="300" t="str">
        <f>_xlfn.IFNA(VLOOKUP($AI636,Programma!$F$3:$I$1107,4,0),"")</f>
        <v>2w</v>
      </c>
      <c r="AM636" s="300" t="str">
        <f>_xlfn.IFNA(VLOOKUP($AI636,Programma!$F$3:$J$1107,5,0),"")</f>
        <v>1w</v>
      </c>
      <c r="AN636" s="300" t="str">
        <f>_xlfn.IFNA(VLOOKUP($AI636,Programma!$F$3:$K$1107,6,0),"")</f>
        <v>_</v>
      </c>
      <c r="AO636" s="300" t="str">
        <f>_xlfn.IFNA(VLOOKUP($AI636,Programma!$F$3:$L$1107,7,0),"")</f>
        <v>_</v>
      </c>
      <c r="AP636" s="300" t="str">
        <f>_xlfn.IFNA(VLOOKUP($AI636,Programma!$F$3:$M$1107,8,0),"")</f>
        <v>_</v>
      </c>
      <c r="AQ636" s="300" t="str">
        <f>_xlfn.IFNA(VLOOKUP($AI636,Programma!$F$3:$N$1107,9,0),"")</f>
        <v>_</v>
      </c>
      <c r="AR636" s="300" t="str">
        <f>_xlfn.IFNA(VLOOKUP($AI636,Programma!$F$3:$O$1107,10,0),"")</f>
        <v>3w</v>
      </c>
      <c r="AS636" s="300" t="str">
        <f>_xlfn.IFNA(VLOOKUP($AI636,Programma!$F$3:$P$1107,11,0),"")</f>
        <v>3w</v>
      </c>
      <c r="AT636" s="300" t="str">
        <f>_xlfn.IFNA(VLOOKUP($AI636,Programma!$F$3:$Q$1107,12,0),"")</f>
        <v>1w</v>
      </c>
      <c r="AU636" s="300" t="str">
        <f>_xlfn.IFNA(VLOOKUP($AI636,Programma!$F$3:$R$1107,13,0),"")</f>
        <v>1w</v>
      </c>
      <c r="AV636" s="300" t="str">
        <f>_xlfn.IFNA(VLOOKUP($AI636,Programma!$F$3:$S$1107,14,0),"")</f>
        <v>1m</v>
      </c>
      <c r="AW636" s="300" t="str">
        <f>_xlfn.IFNA(VLOOKUP($AI636,Programma!$F$3:$T$1107,15,0),"")</f>
        <v>2j</v>
      </c>
      <c r="AX636" s="300" t="str">
        <f>_xlfn.IFNA(VLOOKUP($AI636,Programma!$F$3:$U$1107,16,0),"")</f>
        <v>1j</v>
      </c>
      <c r="AY636" s="300" t="str">
        <f>_xlfn.IFNA(VLOOKUP($AI636,Programma!$F$3:$V$1107,17,0),"")</f>
        <v>_</v>
      </c>
      <c r="AZ636" s="300" t="str">
        <f>_xlfn.IFNA(VLOOKUP($AI636,Programma!$F$3:$W$1107,18,0),"")</f>
        <v>_</v>
      </c>
      <c r="BA636" s="300" t="str">
        <f>_xlfn.IFNA(VLOOKUP($AI636,Programma!$F$3:$X$1107,19,0),"")</f>
        <v>_</v>
      </c>
      <c r="BB636" s="300" t="str">
        <f>_xlfn.IFNA(VLOOKUP($AI636,Programma!$F$3:$Y$1107,20,0),"")</f>
        <v>_</v>
      </c>
      <c r="BC636" s="257"/>
      <c r="BD636" s="256" t="str">
        <f>IF(Ruimtestaat[[#This Row],[Frequentie weekend]]="","",_xlfn.CONCAT(Ruimtestaat[[#This Row],[Ruimte code]],"-",Ruimtestaat[[#This Row],[Frequentie weekend]]," ",Ruimtestaat[[#This Row],[Vloer code]]))</f>
        <v/>
      </c>
      <c r="BE636" s="300" t="str">
        <f>_xlfn.IFNA(VLOOKUP($BD636,Programma!$F$3:$G$1107,2,0),"")</f>
        <v/>
      </c>
      <c r="BF636" s="300" t="str">
        <f>_xlfn.IFNA(VLOOKUP($BD636,Programma!$F$3:$H$1107,3,0),"")</f>
        <v/>
      </c>
      <c r="BG636" s="300" t="str">
        <f>_xlfn.IFNA(VLOOKUP($BD636,Programma!$F$3:$I$1107,4,0),"")</f>
        <v/>
      </c>
      <c r="BH636" s="300" t="str">
        <f>_xlfn.IFNA(VLOOKUP($BD636,Programma!$F$3:$J$1107,5,0),"")</f>
        <v/>
      </c>
      <c r="BI636" s="300" t="str">
        <f>_xlfn.IFNA(VLOOKUP($BD636,Programma!$F$3:$K$1107,6,0),"")</f>
        <v/>
      </c>
      <c r="BJ636" s="300" t="str">
        <f>_xlfn.IFNA(VLOOKUP($BD636,Programma!$F$3:$L$1107,7,0),"")</f>
        <v/>
      </c>
      <c r="BK636" s="300" t="str">
        <f>_xlfn.IFNA(VLOOKUP($BD636,Programma!$F$3:$M$1107,8,0),"")</f>
        <v/>
      </c>
      <c r="BL636" s="300" t="str">
        <f>_xlfn.IFNA(VLOOKUP($BD636,Programma!$F$3:$N$1107,9,0),"")</f>
        <v/>
      </c>
      <c r="BM636" s="300" t="str">
        <f>_xlfn.IFNA(VLOOKUP($BD636,Programma!$F$3:$O$1107,10,0),"")</f>
        <v/>
      </c>
      <c r="BN636" s="300" t="str">
        <f>_xlfn.IFNA(VLOOKUP($BD636,Programma!$F$3:$P$1107,11,0),"")</f>
        <v/>
      </c>
      <c r="BO636" s="300" t="str">
        <f>_xlfn.IFNA(VLOOKUP($BD636,Programma!$F$3:$Q$1107,12,0),"")</f>
        <v/>
      </c>
      <c r="BP636" s="300" t="str">
        <f>_xlfn.IFNA(VLOOKUP($BD636,Programma!$F$3:$R$1107,13,0),"")</f>
        <v/>
      </c>
      <c r="BQ636" s="300" t="str">
        <f>_xlfn.IFNA(VLOOKUP($BD636,Programma!$F$3:$S$1107,14,0),"")</f>
        <v/>
      </c>
      <c r="BR636" s="300" t="str">
        <f>_xlfn.IFNA(VLOOKUP($BD636,Programma!$F$3:$T$1107,15,0),"")</f>
        <v/>
      </c>
      <c r="BS636" s="300" t="str">
        <f>_xlfn.IFNA(VLOOKUP($BD636,Programma!$F$3:$U$1107,16,0),"")</f>
        <v/>
      </c>
      <c r="BT636" s="300" t="str">
        <f>_xlfn.IFNA(VLOOKUP($BD636,Programma!$F$3:$V$1107,17,0),"")</f>
        <v/>
      </c>
      <c r="BU636" s="300" t="str">
        <f>_xlfn.IFNA(VLOOKUP($BD636,Programma!$F$3:$W$1107,18,0),"")</f>
        <v/>
      </c>
      <c r="BV636" s="300" t="str">
        <f>_xlfn.IFNA(VLOOKUP($BD636,Programma!$F$3:$X$1107,19,0),"")</f>
        <v/>
      </c>
      <c r="BW636" s="300" t="str">
        <f>_xlfn.IFNA(VLOOKUP($BD636,Programma!$F$3:$Y$1107,20,0),"")</f>
        <v/>
      </c>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c r="GK636" s="4"/>
      <c r="GL636" s="4"/>
      <c r="GM636" s="4"/>
      <c r="GN636" s="4"/>
      <c r="GO636" s="4"/>
      <c r="GP636" s="4"/>
      <c r="GQ636" s="4"/>
      <c r="GR636" s="4"/>
      <c r="GS636" s="4"/>
      <c r="GT636" s="4"/>
      <c r="GU636" s="4"/>
      <c r="GV636" s="4"/>
      <c r="GW636" s="4"/>
      <c r="GX636" s="4"/>
      <c r="GY636" s="4"/>
      <c r="GZ636" s="4"/>
      <c r="HA636" s="4"/>
      <c r="HB636" s="4"/>
      <c r="HC636" s="4"/>
      <c r="HD636" s="4"/>
      <c r="HE636" s="4"/>
      <c r="HF636" s="4"/>
      <c r="HG636" s="4"/>
      <c r="HH636" s="4"/>
      <c r="HI636" s="4"/>
      <c r="HJ636" s="4"/>
      <c r="HK636" s="4"/>
      <c r="HL636" s="4"/>
    </row>
    <row r="637" spans="1:220" ht="15" customHeight="1">
      <c r="A637" s="21">
        <v>7</v>
      </c>
      <c r="B637" s="157" t="str">
        <f>VLOOKUP(Ruimtestaat[[#This Row],[Code]],Locaties[[Code]:[Locatie]],2,FALSE)</f>
        <v>Gymnasium Novum</v>
      </c>
      <c r="C637" s="157" t="str">
        <f>VLOOKUP(Ruimtestaat[[#This Row],[Code]],Locaties[[#All],[Code]:[Adres]],4,FALSE)</f>
        <v>Aart v.d. Leeuwkade 1</v>
      </c>
      <c r="D637" s="157" t="str">
        <f>VLOOKUP(Ruimtestaat[[#This Row],[Code]],Locaties[[#All],[Code]:[Postcode]],5,FALSE)</f>
        <v>2274 KX</v>
      </c>
      <c r="E637" s="157" t="str">
        <f>VLOOKUP(Ruimtestaat[[#This Row],[Code]],Locaties[#All],6,FALSE)</f>
        <v>Voorburg</v>
      </c>
      <c r="F637" s="62"/>
      <c r="G637" s="21" t="s">
        <v>1624</v>
      </c>
      <c r="H637" s="21" t="s">
        <v>1916</v>
      </c>
      <c r="I637" s="62" t="s">
        <v>2176</v>
      </c>
      <c r="J637" s="21">
        <v>2</v>
      </c>
      <c r="K637" s="62" t="str">
        <f>VLOOKUP(Ruimtestaat[[#This Row],[Ruimte code]],Ruimtegroepen[[#All],[Code]:[Ruimte omschrijving]],2,FALSE)</f>
        <v>Kantoren</v>
      </c>
      <c r="L637" s="33" t="s">
        <v>101</v>
      </c>
      <c r="M637" s="367" t="s">
        <v>2495</v>
      </c>
      <c r="N637" s="140">
        <v>87</v>
      </c>
      <c r="O637" s="140"/>
      <c r="P637" s="125" t="str">
        <f>VLOOKUP(Ruimtestaat[[#This Row],[Ruimte code]],Ruimtegroepen[],4,FALSE)</f>
        <v>Bu</v>
      </c>
      <c r="R637" s="33">
        <v>42</v>
      </c>
      <c r="S637" s="33" t="s">
        <v>18</v>
      </c>
      <c r="T637" s="33">
        <f>IF(R637&gt;0,IF(RIGHT(Ruimtestaat[[#This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37" s="33">
        <f>IF(T637&gt;0,VLOOKUP($J637,Ruimtegroepen[],3,FALSE)*VLOOKUP($L637,Vloersoorten[],3,FALSE)*VLOOKUP($S637,Frequenties[],3,FALSE)*VLOOKUP($A637,Locaties[],3,FALSE),0)</f>
        <v>0</v>
      </c>
      <c r="V637" s="33">
        <f>Ruimtestaat[[#This Row],[Uitvoeringen werkdagen]]*Ruimtestaat[[#This Row],[Oppervlak (netto)]]</f>
        <v>10962</v>
      </c>
      <c r="W637" s="154">
        <f>IF(U637&gt;0,Ruimtestaat[[#This Row],[Prest. (m2 /jaar) werkdagen]]/Ruimtestaat[[#This Row],[Norm (m2/uur) werkdagen]],0)</f>
        <v>0</v>
      </c>
      <c r="X637" s="155">
        <f>Ruimtestaat[[#This Row],[uren / jaar werkdagen]]*Tariefsopbouw!$E$35</f>
        <v>0</v>
      </c>
      <c r="Y637" s="33"/>
      <c r="Z637" s="33">
        <f>IF(Ruimtestaat[[#This Row],[Frequentie weekend]]&gt;0,VALUE(LEFT(Y637,1))*R637,0)</f>
        <v>0</v>
      </c>
      <c r="AA637" s="97">
        <f>IF($Z637&gt;0,VLOOKUP($J637,Ruimtegroepen[],3,FALSE)*VLOOKUP($L637,Vloersoorten[],3,FALSE)*VLOOKUP($Y637,Frequenties[],3,FALSE)*VLOOKUP(Ruimtestaat[[#This Row],[Code]],Locaties[],3,FALSE),0)</f>
        <v>0</v>
      </c>
      <c r="AB637" s="97">
        <f>Ruimtestaat[[#This Row],[Uitvoeringen weekend]]*Ruimtestaat[[#This Row],[Oppervlak (netto)]]</f>
        <v>0</v>
      </c>
      <c r="AC637" s="97">
        <f>IF(AA637&gt;0,Ruimtestaat[[#This Row],[Prest. (m2 /jaar) weekend]]/Ruimtestaat[[#This Row],[Norm (m2/uur) weekend]],0)</f>
        <v>0</v>
      </c>
      <c r="AD637" s="155">
        <f>Ruimtestaat[[#This Row],[uren / jaar weekend]]*Tariefsopbouw!$D$40</f>
        <v>0</v>
      </c>
      <c r="AE637" s="154">
        <f>Ruimtestaat[[#This Row],[Prest. (m2 /jaar) weekend]]+Ruimtestaat[[#This Row],[Prest. (m2 /jaar) werkdagen]]</f>
        <v>10962</v>
      </c>
      <c r="AF637" s="154">
        <f>Ruimtestaat[[#This Row],[uren / jaar weekend]]+Ruimtestaat[[#This Row],[uren / jaar werkdagen]]</f>
        <v>0</v>
      </c>
      <c r="AG637" s="69">
        <f>Ruimtestaat[[#This Row],[kosten / jaar weekend]]+Ruimtestaat[[#This Row],[kosten / jaar werkdagen]]</f>
        <v>0</v>
      </c>
      <c r="AH637" s="69"/>
      <c r="AI637" s="256" t="str">
        <f>IF(Ruimtestaat[[#This Row],[Frequentie werkdagen]]="","",_xlfn.CONCAT(Ruimtestaat[[#This Row],[Ruimte code]],"-",Ruimtestaat[[#This Row],[Frequentie werkdagen]]," ",Ruimtestaat[[#This Row],[Vloer code]]))</f>
        <v>2-3w L</v>
      </c>
      <c r="AJ637" s="300" t="str">
        <f>_xlfn.IFNA(VLOOKUP($AI637,Programma!$F$3:$G$1107,2,0),"")</f>
        <v>_</v>
      </c>
      <c r="AK637" s="300" t="str">
        <f>_xlfn.IFNA(VLOOKUP($AI637,Programma!$F$3:$H$1107,3,0),"")</f>
        <v>_</v>
      </c>
      <c r="AL637" s="300" t="str">
        <f>_xlfn.IFNA(VLOOKUP($AI637,Programma!$F$3:$I$1107,4,0),"")</f>
        <v>2w</v>
      </c>
      <c r="AM637" s="300" t="str">
        <f>_xlfn.IFNA(VLOOKUP($AI637,Programma!$F$3:$J$1107,5,0),"")</f>
        <v>1w</v>
      </c>
      <c r="AN637" s="300" t="str">
        <f>_xlfn.IFNA(VLOOKUP($AI637,Programma!$F$3:$K$1107,6,0),"")</f>
        <v>_</v>
      </c>
      <c r="AO637" s="300" t="str">
        <f>_xlfn.IFNA(VLOOKUP($AI637,Programma!$F$3:$L$1107,7,0),"")</f>
        <v>_</v>
      </c>
      <c r="AP637" s="300" t="str">
        <f>_xlfn.IFNA(VLOOKUP($AI637,Programma!$F$3:$M$1107,8,0),"")</f>
        <v>_</v>
      </c>
      <c r="AQ637" s="300" t="str">
        <f>_xlfn.IFNA(VLOOKUP($AI637,Programma!$F$3:$N$1107,9,0),"")</f>
        <v>_</v>
      </c>
      <c r="AR637" s="300" t="str">
        <f>_xlfn.IFNA(VLOOKUP($AI637,Programma!$F$3:$O$1107,10,0),"")</f>
        <v>3w</v>
      </c>
      <c r="AS637" s="300" t="str">
        <f>_xlfn.IFNA(VLOOKUP($AI637,Programma!$F$3:$P$1107,11,0),"")</f>
        <v>3w</v>
      </c>
      <c r="AT637" s="300" t="str">
        <f>_xlfn.IFNA(VLOOKUP($AI637,Programma!$F$3:$Q$1107,12,0),"")</f>
        <v>1w</v>
      </c>
      <c r="AU637" s="300" t="str">
        <f>_xlfn.IFNA(VLOOKUP($AI637,Programma!$F$3:$R$1107,13,0),"")</f>
        <v>1w</v>
      </c>
      <c r="AV637" s="300" t="str">
        <f>_xlfn.IFNA(VLOOKUP($AI637,Programma!$F$3:$S$1107,14,0),"")</f>
        <v>1m</v>
      </c>
      <c r="AW637" s="300" t="str">
        <f>_xlfn.IFNA(VLOOKUP($AI637,Programma!$F$3:$T$1107,15,0),"")</f>
        <v>2j</v>
      </c>
      <c r="AX637" s="300" t="str">
        <f>_xlfn.IFNA(VLOOKUP($AI637,Programma!$F$3:$U$1107,16,0),"")</f>
        <v>1j</v>
      </c>
      <c r="AY637" s="300" t="str">
        <f>_xlfn.IFNA(VLOOKUP($AI637,Programma!$F$3:$V$1107,17,0),"")</f>
        <v>_</v>
      </c>
      <c r="AZ637" s="300" t="str">
        <f>_xlfn.IFNA(VLOOKUP($AI637,Programma!$F$3:$W$1107,18,0),"")</f>
        <v>_</v>
      </c>
      <c r="BA637" s="300" t="str">
        <f>_xlfn.IFNA(VLOOKUP($AI637,Programma!$F$3:$X$1107,19,0),"")</f>
        <v>_</v>
      </c>
      <c r="BB637" s="300" t="str">
        <f>_xlfn.IFNA(VLOOKUP($AI637,Programma!$F$3:$Y$1107,20,0),"")</f>
        <v>_</v>
      </c>
      <c r="BC637" s="257"/>
      <c r="BD637" s="256" t="str">
        <f>IF(Ruimtestaat[[#This Row],[Frequentie weekend]]="","",_xlfn.CONCAT(Ruimtestaat[[#This Row],[Ruimte code]],"-",Ruimtestaat[[#This Row],[Frequentie weekend]]," ",Ruimtestaat[[#This Row],[Vloer code]]))</f>
        <v/>
      </c>
      <c r="BE637" s="300" t="str">
        <f>_xlfn.IFNA(VLOOKUP($BD637,Programma!$F$3:$G$1107,2,0),"")</f>
        <v/>
      </c>
      <c r="BF637" s="300" t="str">
        <f>_xlfn.IFNA(VLOOKUP($BD637,Programma!$F$3:$H$1107,3,0),"")</f>
        <v/>
      </c>
      <c r="BG637" s="300" t="str">
        <f>_xlfn.IFNA(VLOOKUP($BD637,Programma!$F$3:$I$1107,4,0),"")</f>
        <v/>
      </c>
      <c r="BH637" s="300" t="str">
        <f>_xlfn.IFNA(VLOOKUP($BD637,Programma!$F$3:$J$1107,5,0),"")</f>
        <v/>
      </c>
      <c r="BI637" s="300" t="str">
        <f>_xlfn.IFNA(VLOOKUP($BD637,Programma!$F$3:$K$1107,6,0),"")</f>
        <v/>
      </c>
      <c r="BJ637" s="300" t="str">
        <f>_xlfn.IFNA(VLOOKUP($BD637,Programma!$F$3:$L$1107,7,0),"")</f>
        <v/>
      </c>
      <c r="BK637" s="300" t="str">
        <f>_xlfn.IFNA(VLOOKUP($BD637,Programma!$F$3:$M$1107,8,0),"")</f>
        <v/>
      </c>
      <c r="BL637" s="300" t="str">
        <f>_xlfn.IFNA(VLOOKUP($BD637,Programma!$F$3:$N$1107,9,0),"")</f>
        <v/>
      </c>
      <c r="BM637" s="300" t="str">
        <f>_xlfn.IFNA(VLOOKUP($BD637,Programma!$F$3:$O$1107,10,0),"")</f>
        <v/>
      </c>
      <c r="BN637" s="300" t="str">
        <f>_xlfn.IFNA(VLOOKUP($BD637,Programma!$F$3:$P$1107,11,0),"")</f>
        <v/>
      </c>
      <c r="BO637" s="300" t="str">
        <f>_xlfn.IFNA(VLOOKUP($BD637,Programma!$F$3:$Q$1107,12,0),"")</f>
        <v/>
      </c>
      <c r="BP637" s="300" t="str">
        <f>_xlfn.IFNA(VLOOKUP($BD637,Programma!$F$3:$R$1107,13,0),"")</f>
        <v/>
      </c>
      <c r="BQ637" s="300" t="str">
        <f>_xlfn.IFNA(VLOOKUP($BD637,Programma!$F$3:$S$1107,14,0),"")</f>
        <v/>
      </c>
      <c r="BR637" s="300" t="str">
        <f>_xlfn.IFNA(VLOOKUP($BD637,Programma!$F$3:$T$1107,15,0),"")</f>
        <v/>
      </c>
      <c r="BS637" s="300" t="str">
        <f>_xlfn.IFNA(VLOOKUP($BD637,Programma!$F$3:$U$1107,16,0),"")</f>
        <v/>
      </c>
      <c r="BT637" s="300" t="str">
        <f>_xlfn.IFNA(VLOOKUP($BD637,Programma!$F$3:$V$1107,17,0),"")</f>
        <v/>
      </c>
      <c r="BU637" s="300" t="str">
        <f>_xlfn.IFNA(VLOOKUP($BD637,Programma!$F$3:$W$1107,18,0),"")</f>
        <v/>
      </c>
      <c r="BV637" s="300" t="str">
        <f>_xlfn.IFNA(VLOOKUP($BD637,Programma!$F$3:$X$1107,19,0),"")</f>
        <v/>
      </c>
      <c r="BW637" s="300" t="str">
        <f>_xlfn.IFNA(VLOOKUP($BD637,Programma!$F$3:$Y$1107,20,0),"")</f>
        <v/>
      </c>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c r="GK637" s="4"/>
      <c r="GL637" s="4"/>
      <c r="GM637" s="4"/>
      <c r="GN637" s="4"/>
      <c r="GO637" s="4"/>
      <c r="GP637" s="4"/>
      <c r="GQ637" s="4"/>
      <c r="GR637" s="4"/>
      <c r="GS637" s="4"/>
      <c r="GT637" s="4"/>
      <c r="GU637" s="4"/>
      <c r="GV637" s="4"/>
      <c r="GW637" s="4"/>
      <c r="GX637" s="4"/>
      <c r="GY637" s="4"/>
      <c r="GZ637" s="4"/>
      <c r="HA637" s="4"/>
      <c r="HB637" s="4"/>
      <c r="HC637" s="4"/>
      <c r="HD637" s="4"/>
      <c r="HE637" s="4"/>
      <c r="HF637" s="4"/>
      <c r="HG637" s="4"/>
      <c r="HH637" s="4"/>
      <c r="HI637" s="4"/>
      <c r="HJ637" s="4"/>
      <c r="HK637" s="4"/>
      <c r="HL637" s="4"/>
    </row>
    <row r="638" spans="1:220" ht="15" customHeight="1">
      <c r="A638" s="21">
        <v>7</v>
      </c>
      <c r="B638" s="157" t="str">
        <f>VLOOKUP(Ruimtestaat[[#This Row],[Code]],Locaties[[Code]:[Locatie]],2,FALSE)</f>
        <v>Gymnasium Novum</v>
      </c>
      <c r="C638" s="157" t="str">
        <f>VLOOKUP(Ruimtestaat[[#This Row],[Code]],Locaties[[#All],[Code]:[Adres]],4,FALSE)</f>
        <v>Aart v.d. Leeuwkade 1</v>
      </c>
      <c r="D638" s="157" t="str">
        <f>VLOOKUP(Ruimtestaat[[#This Row],[Code]],Locaties[[#All],[Code]:[Postcode]],5,FALSE)</f>
        <v>2274 KX</v>
      </c>
      <c r="E638" s="157" t="str">
        <f>VLOOKUP(Ruimtestaat[[#This Row],[Code]],Locaties[#All],6,FALSE)</f>
        <v>Voorburg</v>
      </c>
      <c r="F638" s="62"/>
      <c r="G638" s="21" t="s">
        <v>1624</v>
      </c>
      <c r="H638" s="21" t="s">
        <v>1918</v>
      </c>
      <c r="I638" s="62" t="s">
        <v>2177</v>
      </c>
      <c r="J638" s="21">
        <v>6</v>
      </c>
      <c r="K638" s="62" t="str">
        <f>VLOOKUP(Ruimtestaat[[#This Row],[Ruimte code]],Ruimtegroepen[[#All],[Code]:[Ruimte omschrijving]],2,FALSE)</f>
        <v>Gangen/hallen</v>
      </c>
      <c r="L638" s="33" t="s">
        <v>101</v>
      </c>
      <c r="M638" s="367" t="s">
        <v>2495</v>
      </c>
      <c r="N638" s="140">
        <v>90</v>
      </c>
      <c r="O638" s="140"/>
      <c r="P638" s="125" t="str">
        <f>VLOOKUP(Ruimtestaat[[#This Row],[Ruimte code]],Ruimtegroepen[],4,FALSE)</f>
        <v>Ve</v>
      </c>
      <c r="R638" s="33">
        <v>40</v>
      </c>
      <c r="S638" s="33" t="s">
        <v>2</v>
      </c>
      <c r="T638" s="33">
        <f>IF(R638&gt;0,IF(RIGHT(Ruimtestaat[[#This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38" s="33">
        <f>IF(T638&gt;0,VLOOKUP($J638,Ruimtegroepen[],3,FALSE)*VLOOKUP($L638,Vloersoorten[],3,FALSE)*VLOOKUP($S638,Frequenties[],3,FALSE)*VLOOKUP($A638,Locaties[],3,FALSE),0)</f>
        <v>0</v>
      </c>
      <c r="V638" s="33">
        <f>Ruimtestaat[[#This Row],[Uitvoeringen werkdagen]]*Ruimtestaat[[#This Row],[Oppervlak (netto)]]</f>
        <v>18000</v>
      </c>
      <c r="W638" s="154">
        <f>IF(U638&gt;0,Ruimtestaat[[#This Row],[Prest. (m2 /jaar) werkdagen]]/Ruimtestaat[[#This Row],[Norm (m2/uur) werkdagen]],0)</f>
        <v>0</v>
      </c>
      <c r="X638" s="155">
        <f>Ruimtestaat[[#This Row],[uren / jaar werkdagen]]*Tariefsopbouw!$E$35</f>
        <v>0</v>
      </c>
      <c r="Y638" s="33"/>
      <c r="Z638" s="33">
        <f>IF(Ruimtestaat[[#This Row],[Frequentie weekend]]&gt;0,VALUE(LEFT(Y638,1))*R638,0)</f>
        <v>0</v>
      </c>
      <c r="AA638" s="97">
        <f>IF($Z638&gt;0,VLOOKUP($J638,Ruimtegroepen[],3,FALSE)*VLOOKUP($L638,Vloersoorten[],3,FALSE)*VLOOKUP($Y638,Frequenties[],3,FALSE)*VLOOKUP(Ruimtestaat[[#This Row],[Code]],Locaties[],3,FALSE),0)</f>
        <v>0</v>
      </c>
      <c r="AB638" s="97">
        <f>Ruimtestaat[[#This Row],[Uitvoeringen weekend]]*Ruimtestaat[[#This Row],[Oppervlak (netto)]]</f>
        <v>0</v>
      </c>
      <c r="AC638" s="97">
        <f>IF(AA638&gt;0,Ruimtestaat[[#This Row],[Prest. (m2 /jaar) weekend]]/Ruimtestaat[[#This Row],[Norm (m2/uur) weekend]],0)</f>
        <v>0</v>
      </c>
      <c r="AD638" s="155">
        <f>Ruimtestaat[[#This Row],[uren / jaar weekend]]*Tariefsopbouw!$D$40</f>
        <v>0</v>
      </c>
      <c r="AE638" s="154">
        <f>Ruimtestaat[[#This Row],[Prest. (m2 /jaar) weekend]]+Ruimtestaat[[#This Row],[Prest. (m2 /jaar) werkdagen]]</f>
        <v>18000</v>
      </c>
      <c r="AF638" s="154">
        <f>Ruimtestaat[[#This Row],[uren / jaar weekend]]+Ruimtestaat[[#This Row],[uren / jaar werkdagen]]</f>
        <v>0</v>
      </c>
      <c r="AG638" s="69">
        <f>Ruimtestaat[[#This Row],[kosten / jaar weekend]]+Ruimtestaat[[#This Row],[kosten / jaar werkdagen]]</f>
        <v>0</v>
      </c>
      <c r="AH638" s="69"/>
      <c r="AI638" s="256" t="str">
        <f>IF(Ruimtestaat[[#This Row],[Frequentie werkdagen]]="","",_xlfn.CONCAT(Ruimtestaat[[#This Row],[Ruimte code]],"-",Ruimtestaat[[#This Row],[Frequentie werkdagen]]," ",Ruimtestaat[[#This Row],[Vloer code]]))</f>
        <v>6-5w L</v>
      </c>
      <c r="AJ638" s="300" t="str">
        <f>_xlfn.IFNA(VLOOKUP($AI638,Programma!$F$3:$G$1107,2,0),"")</f>
        <v>_</v>
      </c>
      <c r="AK638" s="300" t="str">
        <f>_xlfn.IFNA(VLOOKUP($AI638,Programma!$F$3:$H$1107,3,0),"")</f>
        <v>_</v>
      </c>
      <c r="AL638" s="300" t="str">
        <f>_xlfn.IFNA(VLOOKUP($AI638,Programma!$F$3:$I$1107,4,0),"")</f>
        <v>_</v>
      </c>
      <c r="AM638" s="300" t="str">
        <f>_xlfn.IFNA(VLOOKUP($AI638,Programma!$F$3:$J$1107,5,0),"")</f>
        <v>5w</v>
      </c>
      <c r="AN638" s="300" t="str">
        <f>_xlfn.IFNA(VLOOKUP($AI638,Programma!$F$3:$K$1107,6,0),"")</f>
        <v>_</v>
      </c>
      <c r="AO638" s="300" t="str">
        <f>_xlfn.IFNA(VLOOKUP($AI638,Programma!$F$3:$L$1107,7,0),"")</f>
        <v>_</v>
      </c>
      <c r="AP638" s="300" t="str">
        <f>_xlfn.IFNA(VLOOKUP($AI638,Programma!$F$3:$M$1107,8,0),"")</f>
        <v>_</v>
      </c>
      <c r="AQ638" s="300" t="str">
        <f>_xlfn.IFNA(VLOOKUP($AI638,Programma!$F$3:$N$1107,9,0),"")</f>
        <v>_</v>
      </c>
      <c r="AR638" s="300" t="str">
        <f>_xlfn.IFNA(VLOOKUP($AI638,Programma!$F$3:$O$1107,10,0),"")</f>
        <v>5w</v>
      </c>
      <c r="AS638" s="300" t="str">
        <f>_xlfn.IFNA(VLOOKUP($AI638,Programma!$F$3:$P$1107,11,0),"")</f>
        <v>5w</v>
      </c>
      <c r="AT638" s="300" t="str">
        <f>_xlfn.IFNA(VLOOKUP($AI638,Programma!$F$3:$Q$1107,12,0),"")</f>
        <v>1w</v>
      </c>
      <c r="AU638" s="300" t="str">
        <f>_xlfn.IFNA(VLOOKUP($AI638,Programma!$F$3:$R$1107,13,0),"")</f>
        <v>1w</v>
      </c>
      <c r="AV638" s="300" t="str">
        <f>_xlfn.IFNA(VLOOKUP($AI638,Programma!$F$3:$S$1107,14,0),"")</f>
        <v>1m</v>
      </c>
      <c r="AW638" s="300" t="str">
        <f>_xlfn.IFNA(VLOOKUP($AI638,Programma!$F$3:$T$1107,15,0),"")</f>
        <v>2j</v>
      </c>
      <c r="AX638" s="300" t="str">
        <f>_xlfn.IFNA(VLOOKUP($AI638,Programma!$F$3:$U$1107,16,0),"")</f>
        <v>1j</v>
      </c>
      <c r="AY638" s="300" t="str">
        <f>_xlfn.IFNA(VLOOKUP($AI638,Programma!$F$3:$V$1107,17,0),"")</f>
        <v>_</v>
      </c>
      <c r="AZ638" s="300" t="str">
        <f>_xlfn.IFNA(VLOOKUP($AI638,Programma!$F$3:$W$1107,18,0),"")</f>
        <v>_</v>
      </c>
      <c r="BA638" s="300" t="str">
        <f>_xlfn.IFNA(VLOOKUP($AI638,Programma!$F$3:$X$1107,19,0),"")</f>
        <v>_</v>
      </c>
      <c r="BB638" s="300" t="str">
        <f>_xlfn.IFNA(VLOOKUP($AI638,Programma!$F$3:$Y$1107,20,0),"")</f>
        <v>_</v>
      </c>
      <c r="BC638" s="257"/>
      <c r="BD638" s="256" t="str">
        <f>IF(Ruimtestaat[[#This Row],[Frequentie weekend]]="","",_xlfn.CONCAT(Ruimtestaat[[#This Row],[Ruimte code]],"-",Ruimtestaat[[#This Row],[Frequentie weekend]]," ",Ruimtestaat[[#This Row],[Vloer code]]))</f>
        <v/>
      </c>
      <c r="BE638" s="300" t="str">
        <f>_xlfn.IFNA(VLOOKUP($BD638,Programma!$F$3:$G$1107,2,0),"")</f>
        <v/>
      </c>
      <c r="BF638" s="300" t="str">
        <f>_xlfn.IFNA(VLOOKUP($BD638,Programma!$F$3:$H$1107,3,0),"")</f>
        <v/>
      </c>
      <c r="BG638" s="300" t="str">
        <f>_xlfn.IFNA(VLOOKUP($BD638,Programma!$F$3:$I$1107,4,0),"")</f>
        <v/>
      </c>
      <c r="BH638" s="300" t="str">
        <f>_xlfn.IFNA(VLOOKUP($BD638,Programma!$F$3:$J$1107,5,0),"")</f>
        <v/>
      </c>
      <c r="BI638" s="300" t="str">
        <f>_xlfn.IFNA(VLOOKUP($BD638,Programma!$F$3:$K$1107,6,0),"")</f>
        <v/>
      </c>
      <c r="BJ638" s="300" t="str">
        <f>_xlfn.IFNA(VLOOKUP($BD638,Programma!$F$3:$L$1107,7,0),"")</f>
        <v/>
      </c>
      <c r="BK638" s="300" t="str">
        <f>_xlfn.IFNA(VLOOKUP($BD638,Programma!$F$3:$M$1107,8,0),"")</f>
        <v/>
      </c>
      <c r="BL638" s="300" t="str">
        <f>_xlfn.IFNA(VLOOKUP($BD638,Programma!$F$3:$N$1107,9,0),"")</f>
        <v/>
      </c>
      <c r="BM638" s="300" t="str">
        <f>_xlfn.IFNA(VLOOKUP($BD638,Programma!$F$3:$O$1107,10,0),"")</f>
        <v/>
      </c>
      <c r="BN638" s="300" t="str">
        <f>_xlfn.IFNA(VLOOKUP($BD638,Programma!$F$3:$P$1107,11,0),"")</f>
        <v/>
      </c>
      <c r="BO638" s="300" t="str">
        <f>_xlfn.IFNA(VLOOKUP($BD638,Programma!$F$3:$Q$1107,12,0),"")</f>
        <v/>
      </c>
      <c r="BP638" s="300" t="str">
        <f>_xlfn.IFNA(VLOOKUP($BD638,Programma!$F$3:$R$1107,13,0),"")</f>
        <v/>
      </c>
      <c r="BQ638" s="300" t="str">
        <f>_xlfn.IFNA(VLOOKUP($BD638,Programma!$F$3:$S$1107,14,0),"")</f>
        <v/>
      </c>
      <c r="BR638" s="300" t="str">
        <f>_xlfn.IFNA(VLOOKUP($BD638,Programma!$F$3:$T$1107,15,0),"")</f>
        <v/>
      </c>
      <c r="BS638" s="300" t="str">
        <f>_xlfn.IFNA(VLOOKUP($BD638,Programma!$F$3:$U$1107,16,0),"")</f>
        <v/>
      </c>
      <c r="BT638" s="300" t="str">
        <f>_xlfn.IFNA(VLOOKUP($BD638,Programma!$F$3:$V$1107,17,0),"")</f>
        <v/>
      </c>
      <c r="BU638" s="300" t="str">
        <f>_xlfn.IFNA(VLOOKUP($BD638,Programma!$F$3:$W$1107,18,0),"")</f>
        <v/>
      </c>
      <c r="BV638" s="300" t="str">
        <f>_xlfn.IFNA(VLOOKUP($BD638,Programma!$F$3:$X$1107,19,0),"")</f>
        <v/>
      </c>
      <c r="BW638" s="300" t="str">
        <f>_xlfn.IFNA(VLOOKUP($BD638,Programma!$F$3:$Y$1107,20,0),"")</f>
        <v/>
      </c>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c r="GK638" s="4"/>
      <c r="GL638" s="4"/>
      <c r="GM638" s="4"/>
      <c r="GN638" s="4"/>
      <c r="GO638" s="4"/>
      <c r="GP638" s="4"/>
      <c r="GQ638" s="4"/>
      <c r="GR638" s="4"/>
      <c r="GS638" s="4"/>
      <c r="GT638" s="4"/>
      <c r="GU638" s="4"/>
      <c r="GV638" s="4"/>
      <c r="GW638" s="4"/>
      <c r="GX638" s="4"/>
      <c r="GY638" s="4"/>
      <c r="GZ638" s="4"/>
      <c r="HA638" s="4"/>
      <c r="HB638" s="4"/>
      <c r="HC638" s="4"/>
      <c r="HD638" s="4"/>
      <c r="HE638" s="4"/>
      <c r="HF638" s="4"/>
      <c r="HG638" s="4"/>
      <c r="HH638" s="4"/>
      <c r="HI638" s="4"/>
      <c r="HJ638" s="4"/>
      <c r="HK638" s="4"/>
      <c r="HL638" s="4"/>
    </row>
    <row r="639" spans="1:220" ht="15" customHeight="1">
      <c r="A639" s="21">
        <v>7</v>
      </c>
      <c r="B639" s="157" t="str">
        <f>VLOOKUP(Ruimtestaat[[#This Row],[Code]],Locaties[[Code]:[Locatie]],2,FALSE)</f>
        <v>Gymnasium Novum</v>
      </c>
      <c r="C639" s="157" t="str">
        <f>VLOOKUP(Ruimtestaat[[#This Row],[Code]],Locaties[[#All],[Code]:[Adres]],4,FALSE)</f>
        <v>Aart v.d. Leeuwkade 1</v>
      </c>
      <c r="D639" s="157" t="str">
        <f>VLOOKUP(Ruimtestaat[[#This Row],[Code]],Locaties[[#All],[Code]:[Postcode]],5,FALSE)</f>
        <v>2274 KX</v>
      </c>
      <c r="E639" s="157" t="str">
        <f>VLOOKUP(Ruimtestaat[[#This Row],[Code]],Locaties[#All],6,FALSE)</f>
        <v>Voorburg</v>
      </c>
      <c r="F639" s="62"/>
      <c r="G639" s="21" t="s">
        <v>1624</v>
      </c>
      <c r="H639" s="21" t="s">
        <v>1920</v>
      </c>
      <c r="I639" s="62" t="s">
        <v>1639</v>
      </c>
      <c r="J639" s="21">
        <v>5</v>
      </c>
      <c r="K639" s="62" t="str">
        <f>VLOOKUP(Ruimtestaat[[#This Row],[Ruimte code]],Ruimtegroepen[[#All],[Code]:[Ruimte omschrijving]],2,FALSE)</f>
        <v>Sanitair</v>
      </c>
      <c r="L639" s="33" t="s">
        <v>102</v>
      </c>
      <c r="M639" s="367" t="s">
        <v>2509</v>
      </c>
      <c r="N639" s="140">
        <v>16</v>
      </c>
      <c r="O639" s="140"/>
      <c r="P639" s="125" t="str">
        <f>VLOOKUP(Ruimtestaat[[#This Row],[Ruimte code]],Ruimtegroepen[],4,FALSE)</f>
        <v>Sa</v>
      </c>
      <c r="R639" s="33">
        <v>40</v>
      </c>
      <c r="S639" s="33" t="s">
        <v>2</v>
      </c>
      <c r="T639" s="33">
        <f>IF(R639&gt;0,IF(RIGHT(Ruimtestaat[[#This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39" s="33">
        <f>IF(T639&gt;0,VLOOKUP($J639,Ruimtegroepen[],3,FALSE)*VLOOKUP($L639,Vloersoorten[],3,FALSE)*VLOOKUP($S639,Frequenties[],3,FALSE)*VLOOKUP($A639,Locaties[],3,FALSE),0)</f>
        <v>0</v>
      </c>
      <c r="V639" s="33">
        <f>Ruimtestaat[[#This Row],[Uitvoeringen werkdagen]]*Ruimtestaat[[#This Row],[Oppervlak (netto)]]</f>
        <v>3200</v>
      </c>
      <c r="W639" s="154">
        <f>IF(U639&gt;0,Ruimtestaat[[#This Row],[Prest. (m2 /jaar) werkdagen]]/Ruimtestaat[[#This Row],[Norm (m2/uur) werkdagen]],0)</f>
        <v>0</v>
      </c>
      <c r="X639" s="155">
        <f>Ruimtestaat[[#This Row],[uren / jaar werkdagen]]*Tariefsopbouw!$E$35</f>
        <v>0</v>
      </c>
      <c r="Y639" s="33"/>
      <c r="Z639" s="33">
        <f>IF(Ruimtestaat[[#This Row],[Frequentie weekend]]&gt;0,VALUE(LEFT(Y639,1))*R639,0)</f>
        <v>0</v>
      </c>
      <c r="AA639" s="97">
        <f>IF($Z639&gt;0,VLOOKUP($J639,Ruimtegroepen[],3,FALSE)*VLOOKUP($L639,Vloersoorten[],3,FALSE)*VLOOKUP($Y639,Frequenties[],3,FALSE)*VLOOKUP(Ruimtestaat[[#This Row],[Code]],Locaties[],3,FALSE),0)</f>
        <v>0</v>
      </c>
      <c r="AB639" s="97">
        <f>Ruimtestaat[[#This Row],[Uitvoeringen weekend]]*Ruimtestaat[[#This Row],[Oppervlak (netto)]]</f>
        <v>0</v>
      </c>
      <c r="AC639" s="97">
        <f>IF(AA639&gt;0,Ruimtestaat[[#This Row],[Prest. (m2 /jaar) weekend]]/Ruimtestaat[[#This Row],[Norm (m2/uur) weekend]],0)</f>
        <v>0</v>
      </c>
      <c r="AD639" s="155">
        <f>Ruimtestaat[[#This Row],[uren / jaar weekend]]*Tariefsopbouw!$D$40</f>
        <v>0</v>
      </c>
      <c r="AE639" s="154">
        <f>Ruimtestaat[[#This Row],[Prest. (m2 /jaar) weekend]]+Ruimtestaat[[#This Row],[Prest. (m2 /jaar) werkdagen]]</f>
        <v>3200</v>
      </c>
      <c r="AF639" s="154">
        <f>Ruimtestaat[[#This Row],[uren / jaar weekend]]+Ruimtestaat[[#This Row],[uren / jaar werkdagen]]</f>
        <v>0</v>
      </c>
      <c r="AG639" s="69">
        <f>Ruimtestaat[[#This Row],[kosten / jaar weekend]]+Ruimtestaat[[#This Row],[kosten / jaar werkdagen]]</f>
        <v>0</v>
      </c>
      <c r="AH639" s="69"/>
      <c r="AI639" s="256" t="str">
        <f>IF(Ruimtestaat[[#This Row],[Frequentie werkdagen]]="","",_xlfn.CONCAT(Ruimtestaat[[#This Row],[Ruimte code]],"-",Ruimtestaat[[#This Row],[Frequentie werkdagen]]," ",Ruimtestaat[[#This Row],[Vloer code]]))</f>
        <v>5-5w S</v>
      </c>
      <c r="AJ639" s="300" t="str">
        <f>_xlfn.IFNA(VLOOKUP($AI639,Programma!$F$3:$G$1107,2,0),"")</f>
        <v>_</v>
      </c>
      <c r="AK639" s="300" t="str">
        <f>_xlfn.IFNA(VLOOKUP($AI639,Programma!$F$3:$H$1107,3,0),"")</f>
        <v>_</v>
      </c>
      <c r="AL639" s="300" t="str">
        <f>_xlfn.IFNA(VLOOKUP($AI639,Programma!$F$3:$I$1107,4,0),"")</f>
        <v>_</v>
      </c>
      <c r="AM639" s="300" t="str">
        <f>_xlfn.IFNA(VLOOKUP($AI639,Programma!$F$3:$J$1107,5,0),"")</f>
        <v>4w</v>
      </c>
      <c r="AN639" s="300" t="str">
        <f>_xlfn.IFNA(VLOOKUP($AI639,Programma!$F$3:$K$1107,6,0),"")</f>
        <v>1w</v>
      </c>
      <c r="AO639" s="300" t="str">
        <f>_xlfn.IFNA(VLOOKUP($AI639,Programma!$F$3:$L$1107,7,0),"")</f>
        <v>_</v>
      </c>
      <c r="AP639" s="300" t="str">
        <f>_xlfn.IFNA(VLOOKUP($AI639,Programma!$F$3:$M$1107,8,0),"")</f>
        <v>_</v>
      </c>
      <c r="AQ639" s="300" t="str">
        <f>_xlfn.IFNA(VLOOKUP($AI639,Programma!$F$3:$N$1107,9,0),"")</f>
        <v>_</v>
      </c>
      <c r="AR639" s="300" t="str">
        <f>_xlfn.IFNA(VLOOKUP($AI639,Programma!$F$3:$O$1107,10,0),"")</f>
        <v>_</v>
      </c>
      <c r="AS639" s="300" t="str">
        <f>_xlfn.IFNA(VLOOKUP($AI639,Programma!$F$3:$P$1107,11,0),"")</f>
        <v>_</v>
      </c>
      <c r="AT639" s="300" t="str">
        <f>_xlfn.IFNA(VLOOKUP($AI639,Programma!$F$3:$Q$1107,12,0),"")</f>
        <v>_</v>
      </c>
      <c r="AU639" s="300" t="str">
        <f>_xlfn.IFNA(VLOOKUP($AI639,Programma!$F$3:$R$1107,13,0),"")</f>
        <v>_</v>
      </c>
      <c r="AV639" s="300" t="str">
        <f>_xlfn.IFNA(VLOOKUP($AI639,Programma!$F$3:$S$1107,14,0),"")</f>
        <v>_</v>
      </c>
      <c r="AW639" s="300" t="str">
        <f>_xlfn.IFNA(VLOOKUP($AI639,Programma!$F$3:$T$1107,15,0),"")</f>
        <v>_</v>
      </c>
      <c r="AX639" s="300" t="str">
        <f>_xlfn.IFNA(VLOOKUP($AI639,Programma!$F$3:$U$1107,16,0),"")</f>
        <v>_</v>
      </c>
      <c r="AY639" s="300" t="str">
        <f>_xlfn.IFNA(VLOOKUP($AI639,Programma!$F$3:$V$1107,17,0),"")</f>
        <v>_</v>
      </c>
      <c r="AZ639" s="300" t="str">
        <f>_xlfn.IFNA(VLOOKUP($AI639,Programma!$F$3:$W$1107,18,0),"")</f>
        <v>4w</v>
      </c>
      <c r="BA639" s="300" t="str">
        <f>_xlfn.IFNA(VLOOKUP($AI639,Programma!$F$3:$X$1107,19,0),"")</f>
        <v>1w</v>
      </c>
      <c r="BB639" s="300" t="str">
        <f>_xlfn.IFNA(VLOOKUP($AI639,Programma!$F$3:$Y$1107,20,0),"")</f>
        <v>_</v>
      </c>
      <c r="BC639" s="257"/>
      <c r="BD639" s="256" t="str">
        <f>IF(Ruimtestaat[[#This Row],[Frequentie weekend]]="","",_xlfn.CONCAT(Ruimtestaat[[#This Row],[Ruimte code]],"-",Ruimtestaat[[#This Row],[Frequentie weekend]]," ",Ruimtestaat[[#This Row],[Vloer code]]))</f>
        <v/>
      </c>
      <c r="BE639" s="300" t="str">
        <f>_xlfn.IFNA(VLOOKUP($BD639,Programma!$F$3:$G$1107,2,0),"")</f>
        <v/>
      </c>
      <c r="BF639" s="300" t="str">
        <f>_xlfn.IFNA(VLOOKUP($BD639,Programma!$F$3:$H$1107,3,0),"")</f>
        <v/>
      </c>
      <c r="BG639" s="300" t="str">
        <f>_xlfn.IFNA(VLOOKUP($BD639,Programma!$F$3:$I$1107,4,0),"")</f>
        <v/>
      </c>
      <c r="BH639" s="300" t="str">
        <f>_xlfn.IFNA(VLOOKUP($BD639,Programma!$F$3:$J$1107,5,0),"")</f>
        <v/>
      </c>
      <c r="BI639" s="300" t="str">
        <f>_xlfn.IFNA(VLOOKUP($BD639,Programma!$F$3:$K$1107,6,0),"")</f>
        <v/>
      </c>
      <c r="BJ639" s="300" t="str">
        <f>_xlfn.IFNA(VLOOKUP($BD639,Programma!$F$3:$L$1107,7,0),"")</f>
        <v/>
      </c>
      <c r="BK639" s="300" t="str">
        <f>_xlfn.IFNA(VLOOKUP($BD639,Programma!$F$3:$M$1107,8,0),"")</f>
        <v/>
      </c>
      <c r="BL639" s="300" t="str">
        <f>_xlfn.IFNA(VLOOKUP($BD639,Programma!$F$3:$N$1107,9,0),"")</f>
        <v/>
      </c>
      <c r="BM639" s="300" t="str">
        <f>_xlfn.IFNA(VLOOKUP($BD639,Programma!$F$3:$O$1107,10,0),"")</f>
        <v/>
      </c>
      <c r="BN639" s="300" t="str">
        <f>_xlfn.IFNA(VLOOKUP($BD639,Programma!$F$3:$P$1107,11,0),"")</f>
        <v/>
      </c>
      <c r="BO639" s="300" t="str">
        <f>_xlfn.IFNA(VLOOKUP($BD639,Programma!$F$3:$Q$1107,12,0),"")</f>
        <v/>
      </c>
      <c r="BP639" s="300" t="str">
        <f>_xlfn.IFNA(VLOOKUP($BD639,Programma!$F$3:$R$1107,13,0),"")</f>
        <v/>
      </c>
      <c r="BQ639" s="300" t="str">
        <f>_xlfn.IFNA(VLOOKUP($BD639,Programma!$F$3:$S$1107,14,0),"")</f>
        <v/>
      </c>
      <c r="BR639" s="300" t="str">
        <f>_xlfn.IFNA(VLOOKUP($BD639,Programma!$F$3:$T$1107,15,0),"")</f>
        <v/>
      </c>
      <c r="BS639" s="300" t="str">
        <f>_xlfn.IFNA(VLOOKUP($BD639,Programma!$F$3:$U$1107,16,0),"")</f>
        <v/>
      </c>
      <c r="BT639" s="300" t="str">
        <f>_xlfn.IFNA(VLOOKUP($BD639,Programma!$F$3:$V$1107,17,0),"")</f>
        <v/>
      </c>
      <c r="BU639" s="300" t="str">
        <f>_xlfn.IFNA(VLOOKUP($BD639,Programma!$F$3:$W$1107,18,0),"")</f>
        <v/>
      </c>
      <c r="BV639" s="300" t="str">
        <f>_xlfn.IFNA(VLOOKUP($BD639,Programma!$F$3:$X$1107,19,0),"")</f>
        <v/>
      </c>
      <c r="BW639" s="300" t="str">
        <f>_xlfn.IFNA(VLOOKUP($BD639,Programma!$F$3:$Y$1107,20,0),"")</f>
        <v/>
      </c>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c r="GK639" s="4"/>
      <c r="GL639" s="4"/>
      <c r="GM639" s="4"/>
      <c r="GN639" s="4"/>
      <c r="GO639" s="4"/>
      <c r="GP639" s="4"/>
      <c r="GQ639" s="4"/>
      <c r="GR639" s="4"/>
      <c r="GS639" s="4"/>
      <c r="GT639" s="4"/>
      <c r="GU639" s="4"/>
      <c r="GV639" s="4"/>
      <c r="GW639" s="4"/>
      <c r="GX639" s="4"/>
      <c r="GY639" s="4"/>
      <c r="GZ639" s="4"/>
      <c r="HA639" s="4"/>
      <c r="HB639" s="4"/>
      <c r="HC639" s="4"/>
      <c r="HD639" s="4"/>
      <c r="HE639" s="4"/>
      <c r="HF639" s="4"/>
      <c r="HG639" s="4"/>
      <c r="HH639" s="4"/>
      <c r="HI639" s="4"/>
      <c r="HJ639" s="4"/>
      <c r="HK639" s="4"/>
      <c r="HL639" s="4"/>
    </row>
    <row r="640" spans="1:220" ht="15" customHeight="1">
      <c r="A640" s="21">
        <v>7</v>
      </c>
      <c r="B640" s="157" t="str">
        <f>VLOOKUP(Ruimtestaat[[#This Row],[Code]],Locaties[[Code]:[Locatie]],2,FALSE)</f>
        <v>Gymnasium Novum</v>
      </c>
      <c r="C640" s="157" t="str">
        <f>VLOOKUP(Ruimtestaat[[#This Row],[Code]],Locaties[[#All],[Code]:[Adres]],4,FALSE)</f>
        <v>Aart v.d. Leeuwkade 1</v>
      </c>
      <c r="D640" s="157" t="str">
        <f>VLOOKUP(Ruimtestaat[[#This Row],[Code]],Locaties[[#All],[Code]:[Postcode]],5,FALSE)</f>
        <v>2274 KX</v>
      </c>
      <c r="E640" s="157" t="str">
        <f>VLOOKUP(Ruimtestaat[[#This Row],[Code]],Locaties[#All],6,FALSE)</f>
        <v>Voorburg</v>
      </c>
      <c r="F640" s="62"/>
      <c r="G640" s="21" t="s">
        <v>1624</v>
      </c>
      <c r="H640" s="21" t="s">
        <v>1922</v>
      </c>
      <c r="I640" s="62" t="s">
        <v>1640</v>
      </c>
      <c r="J640" s="21">
        <v>5</v>
      </c>
      <c r="K640" s="62" t="str">
        <f>VLOOKUP(Ruimtestaat[[#This Row],[Ruimte code]],Ruimtegroepen[[#All],[Code]:[Ruimte omschrijving]],2,FALSE)</f>
        <v>Sanitair</v>
      </c>
      <c r="L640" s="33" t="s">
        <v>102</v>
      </c>
      <c r="M640" s="367" t="s">
        <v>2509</v>
      </c>
      <c r="N640" s="140">
        <v>15</v>
      </c>
      <c r="O640" s="140"/>
      <c r="P640" s="125" t="str">
        <f>VLOOKUP(Ruimtestaat[[#This Row],[Ruimte code]],Ruimtegroepen[],4,FALSE)</f>
        <v>Sa</v>
      </c>
      <c r="R640" s="33">
        <v>40</v>
      </c>
      <c r="S640" s="33" t="s">
        <v>2</v>
      </c>
      <c r="T640" s="33">
        <f>IF(R640&gt;0,IF(RIGHT(Ruimtestaat[[#This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40" s="33">
        <f>IF(T640&gt;0,VLOOKUP($J640,Ruimtegroepen[],3,FALSE)*VLOOKUP($L640,Vloersoorten[],3,FALSE)*VLOOKUP($S640,Frequenties[],3,FALSE)*VLOOKUP($A640,Locaties[],3,FALSE),0)</f>
        <v>0</v>
      </c>
      <c r="V640" s="33">
        <f>Ruimtestaat[[#This Row],[Uitvoeringen werkdagen]]*Ruimtestaat[[#This Row],[Oppervlak (netto)]]</f>
        <v>3000</v>
      </c>
      <c r="W640" s="154">
        <f>IF(U640&gt;0,Ruimtestaat[[#This Row],[Prest. (m2 /jaar) werkdagen]]/Ruimtestaat[[#This Row],[Norm (m2/uur) werkdagen]],0)</f>
        <v>0</v>
      </c>
      <c r="X640" s="155">
        <f>Ruimtestaat[[#This Row],[uren / jaar werkdagen]]*Tariefsopbouw!$E$35</f>
        <v>0</v>
      </c>
      <c r="Y640" s="33"/>
      <c r="Z640" s="33">
        <f>IF(Ruimtestaat[[#This Row],[Frequentie weekend]]&gt;0,VALUE(LEFT(Y640,1))*R640,0)</f>
        <v>0</v>
      </c>
      <c r="AA640" s="97">
        <f>IF($Z640&gt;0,VLOOKUP($J640,Ruimtegroepen[],3,FALSE)*VLOOKUP($L640,Vloersoorten[],3,FALSE)*VLOOKUP($Y640,Frequenties[],3,FALSE)*VLOOKUP(Ruimtestaat[[#This Row],[Code]],Locaties[],3,FALSE),0)</f>
        <v>0</v>
      </c>
      <c r="AB640" s="97">
        <f>Ruimtestaat[[#This Row],[Uitvoeringen weekend]]*Ruimtestaat[[#This Row],[Oppervlak (netto)]]</f>
        <v>0</v>
      </c>
      <c r="AC640" s="97">
        <f>IF(AA640&gt;0,Ruimtestaat[[#This Row],[Prest. (m2 /jaar) weekend]]/Ruimtestaat[[#This Row],[Norm (m2/uur) weekend]],0)</f>
        <v>0</v>
      </c>
      <c r="AD640" s="155">
        <f>Ruimtestaat[[#This Row],[uren / jaar weekend]]*Tariefsopbouw!$D$40</f>
        <v>0</v>
      </c>
      <c r="AE640" s="154">
        <f>Ruimtestaat[[#This Row],[Prest. (m2 /jaar) weekend]]+Ruimtestaat[[#This Row],[Prest. (m2 /jaar) werkdagen]]</f>
        <v>3000</v>
      </c>
      <c r="AF640" s="154">
        <f>Ruimtestaat[[#This Row],[uren / jaar weekend]]+Ruimtestaat[[#This Row],[uren / jaar werkdagen]]</f>
        <v>0</v>
      </c>
      <c r="AG640" s="69">
        <f>Ruimtestaat[[#This Row],[kosten / jaar weekend]]+Ruimtestaat[[#This Row],[kosten / jaar werkdagen]]</f>
        <v>0</v>
      </c>
      <c r="AH640" s="69"/>
      <c r="AI640" s="256" t="str">
        <f>IF(Ruimtestaat[[#This Row],[Frequentie werkdagen]]="","",_xlfn.CONCAT(Ruimtestaat[[#This Row],[Ruimte code]],"-",Ruimtestaat[[#This Row],[Frequentie werkdagen]]," ",Ruimtestaat[[#This Row],[Vloer code]]))</f>
        <v>5-5w S</v>
      </c>
      <c r="AJ640" s="300" t="str">
        <f>_xlfn.IFNA(VLOOKUP($AI640,Programma!$F$3:$G$1107,2,0),"")</f>
        <v>_</v>
      </c>
      <c r="AK640" s="300" t="str">
        <f>_xlfn.IFNA(VLOOKUP($AI640,Programma!$F$3:$H$1107,3,0),"")</f>
        <v>_</v>
      </c>
      <c r="AL640" s="300" t="str">
        <f>_xlfn.IFNA(VLOOKUP($AI640,Programma!$F$3:$I$1107,4,0),"")</f>
        <v>_</v>
      </c>
      <c r="AM640" s="300" t="str">
        <f>_xlfn.IFNA(VLOOKUP($AI640,Programma!$F$3:$J$1107,5,0),"")</f>
        <v>4w</v>
      </c>
      <c r="AN640" s="300" t="str">
        <f>_xlfn.IFNA(VLOOKUP($AI640,Programma!$F$3:$K$1107,6,0),"")</f>
        <v>1w</v>
      </c>
      <c r="AO640" s="300" t="str">
        <f>_xlfn.IFNA(VLOOKUP($AI640,Programma!$F$3:$L$1107,7,0),"")</f>
        <v>_</v>
      </c>
      <c r="AP640" s="300" t="str">
        <f>_xlfn.IFNA(VLOOKUP($AI640,Programma!$F$3:$M$1107,8,0),"")</f>
        <v>_</v>
      </c>
      <c r="AQ640" s="300" t="str">
        <f>_xlfn.IFNA(VLOOKUP($AI640,Programma!$F$3:$N$1107,9,0),"")</f>
        <v>_</v>
      </c>
      <c r="AR640" s="300" t="str">
        <f>_xlfn.IFNA(VLOOKUP($AI640,Programma!$F$3:$O$1107,10,0),"")</f>
        <v>_</v>
      </c>
      <c r="AS640" s="300" t="str">
        <f>_xlfn.IFNA(VLOOKUP($AI640,Programma!$F$3:$P$1107,11,0),"")</f>
        <v>_</v>
      </c>
      <c r="AT640" s="300" t="str">
        <f>_xlfn.IFNA(VLOOKUP($AI640,Programma!$F$3:$Q$1107,12,0),"")</f>
        <v>_</v>
      </c>
      <c r="AU640" s="300" t="str">
        <f>_xlfn.IFNA(VLOOKUP($AI640,Programma!$F$3:$R$1107,13,0),"")</f>
        <v>_</v>
      </c>
      <c r="AV640" s="300" t="str">
        <f>_xlfn.IFNA(VLOOKUP($AI640,Programma!$F$3:$S$1107,14,0),"")</f>
        <v>_</v>
      </c>
      <c r="AW640" s="300" t="str">
        <f>_xlfn.IFNA(VLOOKUP($AI640,Programma!$F$3:$T$1107,15,0),"")</f>
        <v>_</v>
      </c>
      <c r="AX640" s="300" t="str">
        <f>_xlfn.IFNA(VLOOKUP($AI640,Programma!$F$3:$U$1107,16,0),"")</f>
        <v>_</v>
      </c>
      <c r="AY640" s="300" t="str">
        <f>_xlfn.IFNA(VLOOKUP($AI640,Programma!$F$3:$V$1107,17,0),"")</f>
        <v>_</v>
      </c>
      <c r="AZ640" s="300" t="str">
        <f>_xlfn.IFNA(VLOOKUP($AI640,Programma!$F$3:$W$1107,18,0),"")</f>
        <v>4w</v>
      </c>
      <c r="BA640" s="300" t="str">
        <f>_xlfn.IFNA(VLOOKUP($AI640,Programma!$F$3:$X$1107,19,0),"")</f>
        <v>1w</v>
      </c>
      <c r="BB640" s="300" t="str">
        <f>_xlfn.IFNA(VLOOKUP($AI640,Programma!$F$3:$Y$1107,20,0),"")</f>
        <v>_</v>
      </c>
      <c r="BC640" s="257"/>
      <c r="BD640" s="256" t="str">
        <f>IF(Ruimtestaat[[#This Row],[Frequentie weekend]]="","",_xlfn.CONCAT(Ruimtestaat[[#This Row],[Ruimte code]],"-",Ruimtestaat[[#This Row],[Frequentie weekend]]," ",Ruimtestaat[[#This Row],[Vloer code]]))</f>
        <v/>
      </c>
      <c r="BE640" s="300" t="str">
        <f>_xlfn.IFNA(VLOOKUP($BD640,Programma!$F$3:$G$1107,2,0),"")</f>
        <v/>
      </c>
      <c r="BF640" s="300" t="str">
        <f>_xlfn.IFNA(VLOOKUP($BD640,Programma!$F$3:$H$1107,3,0),"")</f>
        <v/>
      </c>
      <c r="BG640" s="300" t="str">
        <f>_xlfn.IFNA(VLOOKUP($BD640,Programma!$F$3:$I$1107,4,0),"")</f>
        <v/>
      </c>
      <c r="BH640" s="300" t="str">
        <f>_xlfn.IFNA(VLOOKUP($BD640,Programma!$F$3:$J$1107,5,0),"")</f>
        <v/>
      </c>
      <c r="BI640" s="300" t="str">
        <f>_xlfn.IFNA(VLOOKUP($BD640,Programma!$F$3:$K$1107,6,0),"")</f>
        <v/>
      </c>
      <c r="BJ640" s="300" t="str">
        <f>_xlfn.IFNA(VLOOKUP($BD640,Programma!$F$3:$L$1107,7,0),"")</f>
        <v/>
      </c>
      <c r="BK640" s="300" t="str">
        <f>_xlfn.IFNA(VLOOKUP($BD640,Programma!$F$3:$M$1107,8,0),"")</f>
        <v/>
      </c>
      <c r="BL640" s="300" t="str">
        <f>_xlfn.IFNA(VLOOKUP($BD640,Programma!$F$3:$N$1107,9,0),"")</f>
        <v/>
      </c>
      <c r="BM640" s="300" t="str">
        <f>_xlfn.IFNA(VLOOKUP($BD640,Programma!$F$3:$O$1107,10,0),"")</f>
        <v/>
      </c>
      <c r="BN640" s="300" t="str">
        <f>_xlfn.IFNA(VLOOKUP($BD640,Programma!$F$3:$P$1107,11,0),"")</f>
        <v/>
      </c>
      <c r="BO640" s="300" t="str">
        <f>_xlfn.IFNA(VLOOKUP($BD640,Programma!$F$3:$Q$1107,12,0),"")</f>
        <v/>
      </c>
      <c r="BP640" s="300" t="str">
        <f>_xlfn.IFNA(VLOOKUP($BD640,Programma!$F$3:$R$1107,13,0),"")</f>
        <v/>
      </c>
      <c r="BQ640" s="300" t="str">
        <f>_xlfn.IFNA(VLOOKUP($BD640,Programma!$F$3:$S$1107,14,0),"")</f>
        <v/>
      </c>
      <c r="BR640" s="300" t="str">
        <f>_xlfn.IFNA(VLOOKUP($BD640,Programma!$F$3:$T$1107,15,0),"")</f>
        <v/>
      </c>
      <c r="BS640" s="300" t="str">
        <f>_xlfn.IFNA(VLOOKUP($BD640,Programma!$F$3:$U$1107,16,0),"")</f>
        <v/>
      </c>
      <c r="BT640" s="300" t="str">
        <f>_xlfn.IFNA(VLOOKUP($BD640,Programma!$F$3:$V$1107,17,0),"")</f>
        <v/>
      </c>
      <c r="BU640" s="300" t="str">
        <f>_xlfn.IFNA(VLOOKUP($BD640,Programma!$F$3:$W$1107,18,0),"")</f>
        <v/>
      </c>
      <c r="BV640" s="300" t="str">
        <f>_xlfn.IFNA(VLOOKUP($BD640,Programma!$F$3:$X$1107,19,0),"")</f>
        <v/>
      </c>
      <c r="BW640" s="300" t="str">
        <f>_xlfn.IFNA(VLOOKUP($BD640,Programma!$F$3:$Y$1107,20,0),"")</f>
        <v/>
      </c>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c r="GK640" s="4"/>
      <c r="GL640" s="4"/>
      <c r="GM640" s="4"/>
      <c r="GN640" s="4"/>
      <c r="GO640" s="4"/>
      <c r="GP640" s="4"/>
      <c r="GQ640" s="4"/>
      <c r="GR640" s="4"/>
      <c r="GS640" s="4"/>
      <c r="GT640" s="4"/>
      <c r="GU640" s="4"/>
      <c r="GV640" s="4"/>
      <c r="GW640" s="4"/>
      <c r="GX640" s="4"/>
      <c r="GY640" s="4"/>
      <c r="GZ640" s="4"/>
      <c r="HA640" s="4"/>
      <c r="HB640" s="4"/>
      <c r="HC640" s="4"/>
      <c r="HD640" s="4"/>
      <c r="HE640" s="4"/>
      <c r="HF640" s="4"/>
      <c r="HG640" s="4"/>
      <c r="HH640" s="4"/>
      <c r="HI640" s="4"/>
      <c r="HJ640" s="4"/>
      <c r="HK640" s="4"/>
      <c r="HL640" s="4"/>
    </row>
    <row r="641" spans="1:220" ht="15" customHeight="1">
      <c r="A641" s="21">
        <v>7</v>
      </c>
      <c r="B641" s="157" t="str">
        <f>VLOOKUP(Ruimtestaat[[#This Row],[Code]],Locaties[[Code]:[Locatie]],2,FALSE)</f>
        <v>Gymnasium Novum</v>
      </c>
      <c r="C641" s="157" t="str">
        <f>VLOOKUP(Ruimtestaat[[#This Row],[Code]],Locaties[[#All],[Code]:[Adres]],4,FALSE)</f>
        <v>Aart v.d. Leeuwkade 1</v>
      </c>
      <c r="D641" s="157" t="str">
        <f>VLOOKUP(Ruimtestaat[[#This Row],[Code]],Locaties[[#All],[Code]:[Postcode]],5,FALSE)</f>
        <v>2274 KX</v>
      </c>
      <c r="E641" s="157" t="str">
        <f>VLOOKUP(Ruimtestaat[[#This Row],[Code]],Locaties[#All],6,FALSE)</f>
        <v>Voorburg</v>
      </c>
      <c r="F641" s="62"/>
      <c r="G641" s="21" t="s">
        <v>1624</v>
      </c>
      <c r="H641" s="21" t="s">
        <v>1924</v>
      </c>
      <c r="I641" s="62" t="s">
        <v>1657</v>
      </c>
      <c r="J641" s="21">
        <v>10</v>
      </c>
      <c r="K641" s="62" t="str">
        <f>VLOOKUP(Ruimtestaat[[#This Row],[Ruimte code]],Ruimtegroepen[[#All],[Code]:[Ruimte omschrijving]],2,FALSE)</f>
        <v>Trappenhuizen/lift</v>
      </c>
      <c r="L641" s="33" t="s">
        <v>1325</v>
      </c>
      <c r="M641" s="367" t="s">
        <v>2505</v>
      </c>
      <c r="N641" s="140">
        <v>9</v>
      </c>
      <c r="O641" s="140"/>
      <c r="P641" s="125" t="str">
        <f>VLOOKUP(Ruimtestaat[[#This Row],[Ruimte code]],Ruimtegroepen[],4,FALSE)</f>
        <v>Ve</v>
      </c>
      <c r="R641" s="33">
        <v>40</v>
      </c>
      <c r="S641" s="33" t="s">
        <v>2</v>
      </c>
      <c r="T641" s="33">
        <f>IF(R641&gt;0,IF(RIGHT(Ruimtestaat[[#This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41" s="33">
        <f>IF(T641&gt;0,VLOOKUP($J641,Ruimtegroepen[],3,FALSE)*VLOOKUP($L641,Vloersoorten[],3,FALSE)*VLOOKUP($S641,Frequenties[],3,FALSE)*VLOOKUP($A641,Locaties[],3,FALSE),0)</f>
        <v>0</v>
      </c>
      <c r="V641" s="33">
        <f>Ruimtestaat[[#This Row],[Uitvoeringen werkdagen]]*Ruimtestaat[[#This Row],[Oppervlak (netto)]]</f>
        <v>1800</v>
      </c>
      <c r="W641" s="154">
        <f>IF(U641&gt;0,Ruimtestaat[[#This Row],[Prest. (m2 /jaar) werkdagen]]/Ruimtestaat[[#This Row],[Norm (m2/uur) werkdagen]],0)</f>
        <v>0</v>
      </c>
      <c r="X641" s="155">
        <f>Ruimtestaat[[#This Row],[uren / jaar werkdagen]]*Tariefsopbouw!$E$35</f>
        <v>0</v>
      </c>
      <c r="Y641" s="33"/>
      <c r="Z641" s="33">
        <f>IF(Ruimtestaat[[#This Row],[Frequentie weekend]]&gt;0,VALUE(LEFT(Y641,1))*R641,0)</f>
        <v>0</v>
      </c>
      <c r="AA641" s="97">
        <f>IF($Z641&gt;0,VLOOKUP($J641,Ruimtegroepen[],3,FALSE)*VLOOKUP($L641,Vloersoorten[],3,FALSE)*VLOOKUP($Y641,Frequenties[],3,FALSE)*VLOOKUP(Ruimtestaat[[#This Row],[Code]],Locaties[],3,FALSE),0)</f>
        <v>0</v>
      </c>
      <c r="AB641" s="97">
        <f>Ruimtestaat[[#This Row],[Uitvoeringen weekend]]*Ruimtestaat[[#This Row],[Oppervlak (netto)]]</f>
        <v>0</v>
      </c>
      <c r="AC641" s="97">
        <f>IF(AA641&gt;0,Ruimtestaat[[#This Row],[Prest. (m2 /jaar) weekend]]/Ruimtestaat[[#This Row],[Norm (m2/uur) weekend]],0)</f>
        <v>0</v>
      </c>
      <c r="AD641" s="155">
        <f>Ruimtestaat[[#This Row],[uren / jaar weekend]]*Tariefsopbouw!$D$40</f>
        <v>0</v>
      </c>
      <c r="AE641" s="154">
        <f>Ruimtestaat[[#This Row],[Prest. (m2 /jaar) weekend]]+Ruimtestaat[[#This Row],[Prest. (m2 /jaar) werkdagen]]</f>
        <v>1800</v>
      </c>
      <c r="AF641" s="154">
        <f>Ruimtestaat[[#This Row],[uren / jaar weekend]]+Ruimtestaat[[#This Row],[uren / jaar werkdagen]]</f>
        <v>0</v>
      </c>
      <c r="AG641" s="69">
        <f>Ruimtestaat[[#This Row],[kosten / jaar weekend]]+Ruimtestaat[[#This Row],[kosten / jaar werkdagen]]</f>
        <v>0</v>
      </c>
      <c r="AH641" s="69"/>
      <c r="AI641" s="256" t="str">
        <f>IF(Ruimtestaat[[#This Row],[Frequentie werkdagen]]="","",_xlfn.CONCAT(Ruimtestaat[[#This Row],[Ruimte code]],"-",Ruimtestaat[[#This Row],[Frequentie werkdagen]]," ",Ruimtestaat[[#This Row],[Vloer code]]))</f>
        <v>10-5w H</v>
      </c>
      <c r="AJ641" s="300" t="str">
        <f>_xlfn.IFNA(VLOOKUP($AI641,Programma!$F$3:$G$1107,2,0),"")</f>
        <v>_</v>
      </c>
      <c r="AK641" s="300" t="str">
        <f>_xlfn.IFNA(VLOOKUP($AI641,Programma!$F$3:$H$1107,3,0),"")</f>
        <v>_</v>
      </c>
      <c r="AL641" s="300" t="str">
        <f>_xlfn.IFNA(VLOOKUP($AI641,Programma!$F$3:$I$1107,4,0),"")</f>
        <v>5w</v>
      </c>
      <c r="AM641" s="300" t="str">
        <f>_xlfn.IFNA(VLOOKUP($AI641,Programma!$F$3:$J$1107,5,0),"")</f>
        <v>_</v>
      </c>
      <c r="AN641" s="300" t="str">
        <f>_xlfn.IFNA(VLOOKUP($AI641,Programma!$F$3:$K$1107,6,0),"")</f>
        <v>4j</v>
      </c>
      <c r="AO641" s="300" t="str">
        <f>_xlfn.IFNA(VLOOKUP($AI641,Programma!$F$3:$L$1107,7,0),"")</f>
        <v>_</v>
      </c>
      <c r="AP641" s="300" t="str">
        <f>_xlfn.IFNA(VLOOKUP($AI641,Programma!$F$3:$M$1107,8,0),"")</f>
        <v>_</v>
      </c>
      <c r="AQ641" s="300" t="str">
        <f>_xlfn.IFNA(VLOOKUP($AI641,Programma!$F$3:$N$1107,9,0),"")</f>
        <v>_</v>
      </c>
      <c r="AR641" s="300" t="str">
        <f>_xlfn.IFNA(VLOOKUP($AI641,Programma!$F$3:$O$1107,10,0),"")</f>
        <v>5w</v>
      </c>
      <c r="AS641" s="300" t="str">
        <f>_xlfn.IFNA(VLOOKUP($AI641,Programma!$F$3:$P$1107,11,0),"")</f>
        <v>5w</v>
      </c>
      <c r="AT641" s="300" t="str">
        <f>_xlfn.IFNA(VLOOKUP($AI641,Programma!$F$3:$Q$1107,12,0),"")</f>
        <v>1w</v>
      </c>
      <c r="AU641" s="300" t="str">
        <f>_xlfn.IFNA(VLOOKUP($AI641,Programma!$F$3:$R$1107,13,0),"")</f>
        <v>1w</v>
      </c>
      <c r="AV641" s="300" t="str">
        <f>_xlfn.IFNA(VLOOKUP($AI641,Programma!$F$3:$S$1107,14,0),"")</f>
        <v>1m</v>
      </c>
      <c r="AW641" s="300" t="str">
        <f>_xlfn.IFNA(VLOOKUP($AI641,Programma!$F$3:$T$1107,15,0),"")</f>
        <v>2j</v>
      </c>
      <c r="AX641" s="300" t="str">
        <f>_xlfn.IFNA(VLOOKUP($AI641,Programma!$F$3:$U$1107,16,0),"")</f>
        <v>1j</v>
      </c>
      <c r="AY641" s="300" t="str">
        <f>_xlfn.IFNA(VLOOKUP($AI641,Programma!$F$3:$V$1107,17,0),"")</f>
        <v>_</v>
      </c>
      <c r="AZ641" s="300" t="str">
        <f>_xlfn.IFNA(VLOOKUP($AI641,Programma!$F$3:$W$1107,18,0),"")</f>
        <v>_</v>
      </c>
      <c r="BA641" s="300" t="str">
        <f>_xlfn.IFNA(VLOOKUP($AI641,Programma!$F$3:$X$1107,19,0),"")</f>
        <v>_</v>
      </c>
      <c r="BB641" s="300" t="str">
        <f>_xlfn.IFNA(VLOOKUP($AI641,Programma!$F$3:$Y$1107,20,0),"")</f>
        <v>_</v>
      </c>
      <c r="BC641" s="257"/>
      <c r="BD641" s="256" t="str">
        <f>IF(Ruimtestaat[[#This Row],[Frequentie weekend]]="","",_xlfn.CONCAT(Ruimtestaat[[#This Row],[Ruimte code]],"-",Ruimtestaat[[#This Row],[Frequentie weekend]]," ",Ruimtestaat[[#This Row],[Vloer code]]))</f>
        <v/>
      </c>
      <c r="BE641" s="300" t="str">
        <f>_xlfn.IFNA(VLOOKUP($BD641,Programma!$F$3:$G$1107,2,0),"")</f>
        <v/>
      </c>
      <c r="BF641" s="300" t="str">
        <f>_xlfn.IFNA(VLOOKUP($BD641,Programma!$F$3:$H$1107,3,0),"")</f>
        <v/>
      </c>
      <c r="BG641" s="300" t="str">
        <f>_xlfn.IFNA(VLOOKUP($BD641,Programma!$F$3:$I$1107,4,0),"")</f>
        <v/>
      </c>
      <c r="BH641" s="300" t="str">
        <f>_xlfn.IFNA(VLOOKUP($BD641,Programma!$F$3:$J$1107,5,0),"")</f>
        <v/>
      </c>
      <c r="BI641" s="300" t="str">
        <f>_xlfn.IFNA(VLOOKUP($BD641,Programma!$F$3:$K$1107,6,0),"")</f>
        <v/>
      </c>
      <c r="BJ641" s="300" t="str">
        <f>_xlfn.IFNA(VLOOKUP($BD641,Programma!$F$3:$L$1107,7,0),"")</f>
        <v/>
      </c>
      <c r="BK641" s="300" t="str">
        <f>_xlfn.IFNA(VLOOKUP($BD641,Programma!$F$3:$M$1107,8,0),"")</f>
        <v/>
      </c>
      <c r="BL641" s="300" t="str">
        <f>_xlfn.IFNA(VLOOKUP($BD641,Programma!$F$3:$N$1107,9,0),"")</f>
        <v/>
      </c>
      <c r="BM641" s="300" t="str">
        <f>_xlfn.IFNA(VLOOKUP($BD641,Programma!$F$3:$O$1107,10,0),"")</f>
        <v/>
      </c>
      <c r="BN641" s="300" t="str">
        <f>_xlfn.IFNA(VLOOKUP($BD641,Programma!$F$3:$P$1107,11,0),"")</f>
        <v/>
      </c>
      <c r="BO641" s="300" t="str">
        <f>_xlfn.IFNA(VLOOKUP($BD641,Programma!$F$3:$Q$1107,12,0),"")</f>
        <v/>
      </c>
      <c r="BP641" s="300" t="str">
        <f>_xlfn.IFNA(VLOOKUP($BD641,Programma!$F$3:$R$1107,13,0),"")</f>
        <v/>
      </c>
      <c r="BQ641" s="300" t="str">
        <f>_xlfn.IFNA(VLOOKUP($BD641,Programma!$F$3:$S$1107,14,0),"")</f>
        <v/>
      </c>
      <c r="BR641" s="300" t="str">
        <f>_xlfn.IFNA(VLOOKUP($BD641,Programma!$F$3:$T$1107,15,0),"")</f>
        <v/>
      </c>
      <c r="BS641" s="300" t="str">
        <f>_xlfn.IFNA(VLOOKUP($BD641,Programma!$F$3:$U$1107,16,0),"")</f>
        <v/>
      </c>
      <c r="BT641" s="300" t="str">
        <f>_xlfn.IFNA(VLOOKUP($BD641,Programma!$F$3:$V$1107,17,0),"")</f>
        <v/>
      </c>
      <c r="BU641" s="300" t="str">
        <f>_xlfn.IFNA(VLOOKUP($BD641,Programma!$F$3:$W$1107,18,0),"")</f>
        <v/>
      </c>
      <c r="BV641" s="300" t="str">
        <f>_xlfn.IFNA(VLOOKUP($BD641,Programma!$F$3:$X$1107,19,0),"")</f>
        <v/>
      </c>
      <c r="BW641" s="300" t="str">
        <f>_xlfn.IFNA(VLOOKUP($BD641,Programma!$F$3:$Y$1107,20,0),"")</f>
        <v/>
      </c>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c r="GK641" s="4"/>
      <c r="GL641" s="4"/>
      <c r="GM641" s="4"/>
      <c r="GN641" s="4"/>
      <c r="GO641" s="4"/>
      <c r="GP641" s="4"/>
      <c r="GQ641" s="4"/>
      <c r="GR641" s="4"/>
      <c r="GS641" s="4"/>
      <c r="GT641" s="4"/>
      <c r="GU641" s="4"/>
      <c r="GV641" s="4"/>
      <c r="GW641" s="4"/>
      <c r="GX641" s="4"/>
      <c r="GY641" s="4"/>
      <c r="GZ641" s="4"/>
      <c r="HA641" s="4"/>
      <c r="HB641" s="4"/>
      <c r="HC641" s="4"/>
      <c r="HD641" s="4"/>
      <c r="HE641" s="4"/>
      <c r="HF641" s="4"/>
      <c r="HG641" s="4"/>
      <c r="HH641" s="4"/>
      <c r="HI641" s="4"/>
      <c r="HJ641" s="4"/>
      <c r="HK641" s="4"/>
      <c r="HL641" s="4"/>
    </row>
    <row r="642" spans="1:220" ht="15" customHeight="1">
      <c r="A642" s="21">
        <v>7</v>
      </c>
      <c r="B642" s="157" t="str">
        <f>VLOOKUP(Ruimtestaat[[#This Row],[Code]],Locaties[[Code]:[Locatie]],2,FALSE)</f>
        <v>Gymnasium Novum</v>
      </c>
      <c r="C642" s="157" t="str">
        <f>VLOOKUP(Ruimtestaat[[#This Row],[Code]],Locaties[[#All],[Code]:[Adres]],4,FALSE)</f>
        <v>Aart v.d. Leeuwkade 1</v>
      </c>
      <c r="D642" s="157" t="str">
        <f>VLOOKUP(Ruimtestaat[[#This Row],[Code]],Locaties[[#All],[Code]:[Postcode]],5,FALSE)</f>
        <v>2274 KX</v>
      </c>
      <c r="E642" s="157" t="str">
        <f>VLOOKUP(Ruimtestaat[[#This Row],[Code]],Locaties[#All],6,FALSE)</f>
        <v>Voorburg</v>
      </c>
      <c r="F642" s="62"/>
      <c r="G642" s="21" t="s">
        <v>1624</v>
      </c>
      <c r="H642" s="21" t="s">
        <v>1926</v>
      </c>
      <c r="I642" s="62" t="s">
        <v>1644</v>
      </c>
      <c r="J642" s="21">
        <v>1</v>
      </c>
      <c r="K642" s="62" t="str">
        <f>VLOOKUP(Ruimtestaat[[#This Row],[Ruimte code]],Ruimtegroepen[[#All],[Code]:[Ruimte omschrijving]],2,FALSE)</f>
        <v>Magazijnen/bergingen</v>
      </c>
      <c r="L642" s="33" t="s">
        <v>101</v>
      </c>
      <c r="M642" s="367" t="s">
        <v>2495</v>
      </c>
      <c r="N642" s="140">
        <v>7</v>
      </c>
      <c r="O642" s="140"/>
      <c r="P642" s="125" t="str">
        <f>VLOOKUP(Ruimtestaat[[#This Row],[Ruimte code]],Ruimtegroepen[],4,FALSE)</f>
        <v>Ve</v>
      </c>
      <c r="R642" s="33">
        <v>40</v>
      </c>
      <c r="S642" s="33" t="s">
        <v>16</v>
      </c>
      <c r="T642" s="33">
        <f>IF(R642&gt;0,IF(RIGHT(Ruimtestaat[[#This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642" s="33">
        <f>IF(T642&gt;0,VLOOKUP($J642,Ruimtegroepen[],3,FALSE)*VLOOKUP($L642,Vloersoorten[],3,FALSE)*VLOOKUP($S642,Frequenties[],3,FALSE)*VLOOKUP($A642,Locaties[],3,FALSE),0)</f>
        <v>0</v>
      </c>
      <c r="V642" s="33">
        <f>Ruimtestaat[[#This Row],[Uitvoeringen werkdagen]]*Ruimtestaat[[#This Row],[Oppervlak (netto)]]</f>
        <v>84</v>
      </c>
      <c r="W642" s="154">
        <f>IF(U642&gt;0,Ruimtestaat[[#This Row],[Prest. (m2 /jaar) werkdagen]]/Ruimtestaat[[#This Row],[Norm (m2/uur) werkdagen]],0)</f>
        <v>0</v>
      </c>
      <c r="X642" s="155">
        <f>Ruimtestaat[[#This Row],[uren / jaar werkdagen]]*Tariefsopbouw!$E$35</f>
        <v>0</v>
      </c>
      <c r="Y642" s="33"/>
      <c r="Z642" s="33">
        <f>IF(Ruimtestaat[[#This Row],[Frequentie weekend]]&gt;0,VALUE(LEFT(Y642,1))*R642,0)</f>
        <v>0</v>
      </c>
      <c r="AA642" s="97">
        <f>IF($Z642&gt;0,VLOOKUP($J642,Ruimtegroepen[],3,FALSE)*VLOOKUP($L642,Vloersoorten[],3,FALSE)*VLOOKUP($Y642,Frequenties[],3,FALSE)*VLOOKUP(Ruimtestaat[[#This Row],[Code]],Locaties[],3,FALSE),0)</f>
        <v>0</v>
      </c>
      <c r="AB642" s="97">
        <f>Ruimtestaat[[#This Row],[Uitvoeringen weekend]]*Ruimtestaat[[#This Row],[Oppervlak (netto)]]</f>
        <v>0</v>
      </c>
      <c r="AC642" s="97">
        <f>IF(AA642&gt;0,Ruimtestaat[[#This Row],[Prest. (m2 /jaar) weekend]]/Ruimtestaat[[#This Row],[Norm (m2/uur) weekend]],0)</f>
        <v>0</v>
      </c>
      <c r="AD642" s="155">
        <f>Ruimtestaat[[#This Row],[uren / jaar weekend]]*Tariefsopbouw!$D$40</f>
        <v>0</v>
      </c>
      <c r="AE642" s="154">
        <f>Ruimtestaat[[#This Row],[Prest. (m2 /jaar) weekend]]+Ruimtestaat[[#This Row],[Prest. (m2 /jaar) werkdagen]]</f>
        <v>84</v>
      </c>
      <c r="AF642" s="154">
        <f>Ruimtestaat[[#This Row],[uren / jaar weekend]]+Ruimtestaat[[#This Row],[uren / jaar werkdagen]]</f>
        <v>0</v>
      </c>
      <c r="AG642" s="69">
        <f>Ruimtestaat[[#This Row],[kosten / jaar weekend]]+Ruimtestaat[[#This Row],[kosten / jaar werkdagen]]</f>
        <v>0</v>
      </c>
      <c r="AH642" s="69"/>
      <c r="AI642" s="256" t="str">
        <f>IF(Ruimtestaat[[#This Row],[Frequentie werkdagen]]="","",_xlfn.CONCAT(Ruimtestaat[[#This Row],[Ruimte code]],"-",Ruimtestaat[[#This Row],[Frequentie werkdagen]]," ",Ruimtestaat[[#This Row],[Vloer code]]))</f>
        <v>1-1m L</v>
      </c>
      <c r="AJ642" s="300" t="str">
        <f>_xlfn.IFNA(VLOOKUP($AI642,Programma!$F$3:$G$1107,2,0),"")</f>
        <v>_</v>
      </c>
      <c r="AK642" s="300" t="str">
        <f>_xlfn.IFNA(VLOOKUP($AI642,Programma!$F$3:$H$1107,3,0),"")</f>
        <v>_</v>
      </c>
      <c r="AL642" s="300" t="str">
        <f>_xlfn.IFNA(VLOOKUP($AI642,Programma!$F$3:$I$1107,4,0),"")</f>
        <v>1m</v>
      </c>
      <c r="AM642" s="300" t="str">
        <f>_xlfn.IFNA(VLOOKUP($AI642,Programma!$F$3:$J$1107,5,0),"")</f>
        <v>1m</v>
      </c>
      <c r="AN642" s="300" t="str">
        <f>_xlfn.IFNA(VLOOKUP($AI642,Programma!$F$3:$K$1107,6,0),"")</f>
        <v>_</v>
      </c>
      <c r="AO642" s="300" t="str">
        <f>_xlfn.IFNA(VLOOKUP($AI642,Programma!$F$3:$L$1107,7,0),"")</f>
        <v>_</v>
      </c>
      <c r="AP642" s="300" t="str">
        <f>_xlfn.IFNA(VLOOKUP($AI642,Programma!$F$3:$M$1107,8,0),"")</f>
        <v>_</v>
      </c>
      <c r="AQ642" s="300" t="str">
        <f>_xlfn.IFNA(VLOOKUP($AI642,Programma!$F$3:$N$1107,9,0),"")</f>
        <v>_</v>
      </c>
      <c r="AR642" s="300" t="str">
        <f>_xlfn.IFNA(VLOOKUP($AI642,Programma!$F$3:$O$1107,10,0),"")</f>
        <v>_</v>
      </c>
      <c r="AS642" s="300" t="str">
        <f>_xlfn.IFNA(VLOOKUP($AI642,Programma!$F$3:$P$1107,11,0),"")</f>
        <v>_</v>
      </c>
      <c r="AT642" s="300" t="str">
        <f>_xlfn.IFNA(VLOOKUP($AI642,Programma!$F$3:$Q$1107,12,0),"")</f>
        <v>_</v>
      </c>
      <c r="AU642" s="300" t="str">
        <f>_xlfn.IFNA(VLOOKUP($AI642,Programma!$F$3:$R$1107,13,0),"")</f>
        <v>_</v>
      </c>
      <c r="AV642" s="300" t="str">
        <f>_xlfn.IFNA(VLOOKUP($AI642,Programma!$F$3:$S$1107,14,0),"")</f>
        <v>1m</v>
      </c>
      <c r="AW642" s="300" t="str">
        <f>_xlfn.IFNA(VLOOKUP($AI642,Programma!$F$3:$T$1107,15,0),"")</f>
        <v>4j</v>
      </c>
      <c r="AX642" s="300" t="str">
        <f>_xlfn.IFNA(VLOOKUP($AI642,Programma!$F$3:$U$1107,16,0),"")</f>
        <v>4j</v>
      </c>
      <c r="AY642" s="300" t="str">
        <f>_xlfn.IFNA(VLOOKUP($AI642,Programma!$F$3:$V$1107,17,0),"")</f>
        <v>_</v>
      </c>
      <c r="AZ642" s="300" t="str">
        <f>_xlfn.IFNA(VLOOKUP($AI642,Programma!$F$3:$W$1107,18,0),"")</f>
        <v>_</v>
      </c>
      <c r="BA642" s="300" t="str">
        <f>_xlfn.IFNA(VLOOKUP($AI642,Programma!$F$3:$X$1107,19,0),"")</f>
        <v>_</v>
      </c>
      <c r="BB642" s="300" t="str">
        <f>_xlfn.IFNA(VLOOKUP($AI642,Programma!$F$3:$Y$1107,20,0),"")</f>
        <v>_</v>
      </c>
      <c r="BC642" s="257"/>
      <c r="BD642" s="256" t="str">
        <f>IF(Ruimtestaat[[#This Row],[Frequentie weekend]]="","",_xlfn.CONCAT(Ruimtestaat[[#This Row],[Ruimte code]],"-",Ruimtestaat[[#This Row],[Frequentie weekend]]," ",Ruimtestaat[[#This Row],[Vloer code]]))</f>
        <v/>
      </c>
      <c r="BE642" s="300" t="str">
        <f>_xlfn.IFNA(VLOOKUP($BD642,Programma!$F$3:$G$1107,2,0),"")</f>
        <v/>
      </c>
      <c r="BF642" s="300" t="str">
        <f>_xlfn.IFNA(VLOOKUP($BD642,Programma!$F$3:$H$1107,3,0),"")</f>
        <v/>
      </c>
      <c r="BG642" s="300" t="str">
        <f>_xlfn.IFNA(VLOOKUP($BD642,Programma!$F$3:$I$1107,4,0),"")</f>
        <v/>
      </c>
      <c r="BH642" s="300" t="str">
        <f>_xlfn.IFNA(VLOOKUP($BD642,Programma!$F$3:$J$1107,5,0),"")</f>
        <v/>
      </c>
      <c r="BI642" s="300" t="str">
        <f>_xlfn.IFNA(VLOOKUP($BD642,Programma!$F$3:$K$1107,6,0),"")</f>
        <v/>
      </c>
      <c r="BJ642" s="300" t="str">
        <f>_xlfn.IFNA(VLOOKUP($BD642,Programma!$F$3:$L$1107,7,0),"")</f>
        <v/>
      </c>
      <c r="BK642" s="300" t="str">
        <f>_xlfn.IFNA(VLOOKUP($BD642,Programma!$F$3:$M$1107,8,0),"")</f>
        <v/>
      </c>
      <c r="BL642" s="300" t="str">
        <f>_xlfn.IFNA(VLOOKUP($BD642,Programma!$F$3:$N$1107,9,0),"")</f>
        <v/>
      </c>
      <c r="BM642" s="300" t="str">
        <f>_xlfn.IFNA(VLOOKUP($BD642,Programma!$F$3:$O$1107,10,0),"")</f>
        <v/>
      </c>
      <c r="BN642" s="300" t="str">
        <f>_xlfn.IFNA(VLOOKUP($BD642,Programma!$F$3:$P$1107,11,0),"")</f>
        <v/>
      </c>
      <c r="BO642" s="300" t="str">
        <f>_xlfn.IFNA(VLOOKUP($BD642,Programma!$F$3:$Q$1107,12,0),"")</f>
        <v/>
      </c>
      <c r="BP642" s="300" t="str">
        <f>_xlfn.IFNA(VLOOKUP($BD642,Programma!$F$3:$R$1107,13,0),"")</f>
        <v/>
      </c>
      <c r="BQ642" s="300" t="str">
        <f>_xlfn.IFNA(VLOOKUP($BD642,Programma!$F$3:$S$1107,14,0),"")</f>
        <v/>
      </c>
      <c r="BR642" s="300" t="str">
        <f>_xlfn.IFNA(VLOOKUP($BD642,Programma!$F$3:$T$1107,15,0),"")</f>
        <v/>
      </c>
      <c r="BS642" s="300" t="str">
        <f>_xlfn.IFNA(VLOOKUP($BD642,Programma!$F$3:$U$1107,16,0),"")</f>
        <v/>
      </c>
      <c r="BT642" s="300" t="str">
        <f>_xlfn.IFNA(VLOOKUP($BD642,Programma!$F$3:$V$1107,17,0),"")</f>
        <v/>
      </c>
      <c r="BU642" s="300" t="str">
        <f>_xlfn.IFNA(VLOOKUP($BD642,Programma!$F$3:$W$1107,18,0),"")</f>
        <v/>
      </c>
      <c r="BV642" s="300" t="str">
        <f>_xlfn.IFNA(VLOOKUP($BD642,Programma!$F$3:$X$1107,19,0),"")</f>
        <v/>
      </c>
      <c r="BW642" s="300" t="str">
        <f>_xlfn.IFNA(VLOOKUP($BD642,Programma!$F$3:$Y$1107,20,0),"")</f>
        <v/>
      </c>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c r="GK642" s="4"/>
      <c r="GL642" s="4"/>
      <c r="GM642" s="4"/>
      <c r="GN642" s="4"/>
      <c r="GO642" s="4"/>
      <c r="GP642" s="4"/>
      <c r="GQ642" s="4"/>
      <c r="GR642" s="4"/>
      <c r="GS642" s="4"/>
      <c r="GT642" s="4"/>
      <c r="GU642" s="4"/>
      <c r="GV642" s="4"/>
      <c r="GW642" s="4"/>
      <c r="GX642" s="4"/>
      <c r="GY642" s="4"/>
      <c r="GZ642" s="4"/>
      <c r="HA642" s="4"/>
      <c r="HB642" s="4"/>
      <c r="HC642" s="4"/>
      <c r="HD642" s="4"/>
      <c r="HE642" s="4"/>
      <c r="HF642" s="4"/>
      <c r="HG642" s="4"/>
      <c r="HH642" s="4"/>
      <c r="HI642" s="4"/>
      <c r="HJ642" s="4"/>
      <c r="HK642" s="4"/>
      <c r="HL642" s="4"/>
    </row>
    <row r="643" spans="1:220" ht="15" customHeight="1">
      <c r="A643" s="21">
        <v>7</v>
      </c>
      <c r="B643" s="157" t="str">
        <f>VLOOKUP(Ruimtestaat[[#This Row],[Code]],Locaties[[Code]:[Locatie]],2,FALSE)</f>
        <v>Gymnasium Novum</v>
      </c>
      <c r="C643" s="157" t="str">
        <f>VLOOKUP(Ruimtestaat[[#This Row],[Code]],Locaties[[#All],[Code]:[Adres]],4,FALSE)</f>
        <v>Aart v.d. Leeuwkade 1</v>
      </c>
      <c r="D643" s="157" t="str">
        <f>VLOOKUP(Ruimtestaat[[#This Row],[Code]],Locaties[[#All],[Code]:[Postcode]],5,FALSE)</f>
        <v>2274 KX</v>
      </c>
      <c r="E643" s="157" t="str">
        <f>VLOOKUP(Ruimtestaat[[#This Row],[Code]],Locaties[#All],6,FALSE)</f>
        <v>Voorburg</v>
      </c>
      <c r="F643" s="62"/>
      <c r="G643" s="21" t="s">
        <v>1624</v>
      </c>
      <c r="H643" s="21" t="s">
        <v>1928</v>
      </c>
      <c r="I643" s="62" t="s">
        <v>2178</v>
      </c>
      <c r="J643" s="21">
        <v>14</v>
      </c>
      <c r="K643" s="62" t="str">
        <f>VLOOKUP(Ruimtestaat[[#This Row],[Ruimte code]],Ruimtegroepen[[#All],[Code]:[Ruimte omschrijving]],2,FALSE)</f>
        <v>Praktijklokalen binas/zorg</v>
      </c>
      <c r="L643" s="33" t="s">
        <v>101</v>
      </c>
      <c r="M643" s="367" t="s">
        <v>2495</v>
      </c>
      <c r="N643" s="140">
        <v>76</v>
      </c>
      <c r="O643" s="140"/>
      <c r="P643" s="125" t="str">
        <f>VLOOKUP(Ruimtestaat[[#This Row],[Ruimte code]],Ruimtegroepen[],4,FALSE)</f>
        <v>Le</v>
      </c>
      <c r="R643" s="33">
        <v>40</v>
      </c>
      <c r="S643" s="33" t="s">
        <v>2</v>
      </c>
      <c r="T643" s="33">
        <f>IF(R643&gt;0,IF(RIGHT(Ruimtestaat[[#This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43" s="33">
        <f>IF(T643&gt;0,VLOOKUP($J643,Ruimtegroepen[],3,FALSE)*VLOOKUP($L643,Vloersoorten[],3,FALSE)*VLOOKUP($S643,Frequenties[],3,FALSE)*VLOOKUP($A643,Locaties[],3,FALSE),0)</f>
        <v>0</v>
      </c>
      <c r="V643" s="33">
        <f>Ruimtestaat[[#This Row],[Uitvoeringen werkdagen]]*Ruimtestaat[[#This Row],[Oppervlak (netto)]]</f>
        <v>15200</v>
      </c>
      <c r="W643" s="154">
        <f>IF(U643&gt;0,Ruimtestaat[[#This Row],[Prest. (m2 /jaar) werkdagen]]/Ruimtestaat[[#This Row],[Norm (m2/uur) werkdagen]],0)</f>
        <v>0</v>
      </c>
      <c r="X643" s="155">
        <f>Ruimtestaat[[#This Row],[uren / jaar werkdagen]]*Tariefsopbouw!$E$35</f>
        <v>0</v>
      </c>
      <c r="Y643" s="33"/>
      <c r="Z643" s="33">
        <f>IF(Ruimtestaat[[#This Row],[Frequentie weekend]]&gt;0,VALUE(LEFT(Y643,1))*R643,0)</f>
        <v>0</v>
      </c>
      <c r="AA643" s="97">
        <f>IF($Z643&gt;0,VLOOKUP($J643,Ruimtegroepen[],3,FALSE)*VLOOKUP($L643,Vloersoorten[],3,FALSE)*VLOOKUP($Y643,Frequenties[],3,FALSE)*VLOOKUP(Ruimtestaat[[#This Row],[Code]],Locaties[],3,FALSE),0)</f>
        <v>0</v>
      </c>
      <c r="AB643" s="97">
        <f>Ruimtestaat[[#This Row],[Uitvoeringen weekend]]*Ruimtestaat[[#This Row],[Oppervlak (netto)]]</f>
        <v>0</v>
      </c>
      <c r="AC643" s="97">
        <f>IF(AA643&gt;0,Ruimtestaat[[#This Row],[Prest. (m2 /jaar) weekend]]/Ruimtestaat[[#This Row],[Norm (m2/uur) weekend]],0)</f>
        <v>0</v>
      </c>
      <c r="AD643" s="155">
        <f>Ruimtestaat[[#This Row],[uren / jaar weekend]]*Tariefsopbouw!$D$40</f>
        <v>0</v>
      </c>
      <c r="AE643" s="154">
        <f>Ruimtestaat[[#This Row],[Prest. (m2 /jaar) weekend]]+Ruimtestaat[[#This Row],[Prest. (m2 /jaar) werkdagen]]</f>
        <v>15200</v>
      </c>
      <c r="AF643" s="154">
        <f>Ruimtestaat[[#This Row],[uren / jaar weekend]]+Ruimtestaat[[#This Row],[uren / jaar werkdagen]]</f>
        <v>0</v>
      </c>
      <c r="AG643" s="69">
        <f>Ruimtestaat[[#This Row],[kosten / jaar weekend]]+Ruimtestaat[[#This Row],[kosten / jaar werkdagen]]</f>
        <v>0</v>
      </c>
      <c r="AH643" s="69"/>
      <c r="AI643" s="256" t="str">
        <f>IF(Ruimtestaat[[#This Row],[Frequentie werkdagen]]="","",_xlfn.CONCAT(Ruimtestaat[[#This Row],[Ruimte code]],"-",Ruimtestaat[[#This Row],[Frequentie werkdagen]]," ",Ruimtestaat[[#This Row],[Vloer code]]))</f>
        <v>14-5w L</v>
      </c>
      <c r="AJ643" s="300" t="str">
        <f>_xlfn.IFNA(VLOOKUP($AI643,Programma!$F$3:$G$1107,2,0),"")</f>
        <v>_</v>
      </c>
      <c r="AK643" s="300" t="str">
        <f>_xlfn.IFNA(VLOOKUP($AI643,Programma!$F$3:$H$1107,3,0),"")</f>
        <v>_</v>
      </c>
      <c r="AL643" s="300" t="str">
        <f>_xlfn.IFNA(VLOOKUP($AI643,Programma!$F$3:$I$1107,4,0),"")</f>
        <v>_</v>
      </c>
      <c r="AM643" s="300" t="str">
        <f>_xlfn.IFNA(VLOOKUP($AI643,Programma!$F$3:$J$1107,5,0),"")</f>
        <v>5w</v>
      </c>
      <c r="AN643" s="300" t="str">
        <f>_xlfn.IFNA(VLOOKUP($AI643,Programma!$F$3:$K$1107,6,0),"")</f>
        <v>_</v>
      </c>
      <c r="AO643" s="300" t="str">
        <f>_xlfn.IFNA(VLOOKUP($AI643,Programma!$F$3:$L$1107,7,0),"")</f>
        <v>_</v>
      </c>
      <c r="AP643" s="300" t="str">
        <f>_xlfn.IFNA(VLOOKUP($AI643,Programma!$F$3:$M$1107,8,0),"")</f>
        <v>_</v>
      </c>
      <c r="AQ643" s="300" t="str">
        <f>_xlfn.IFNA(VLOOKUP($AI643,Programma!$F$3:$N$1107,9,0),"")</f>
        <v>_</v>
      </c>
      <c r="AR643" s="300" t="str">
        <f>_xlfn.IFNA(VLOOKUP($AI643,Programma!$F$3:$O$1107,10,0),"")</f>
        <v>5w</v>
      </c>
      <c r="AS643" s="300" t="str">
        <f>_xlfn.IFNA(VLOOKUP($AI643,Programma!$F$3:$P$1107,11,0),"")</f>
        <v>5w</v>
      </c>
      <c r="AT643" s="300" t="str">
        <f>_xlfn.IFNA(VLOOKUP($AI643,Programma!$F$3:$Q$1107,12,0),"")</f>
        <v>1w</v>
      </c>
      <c r="AU643" s="300" t="str">
        <f>_xlfn.IFNA(VLOOKUP($AI643,Programma!$F$3:$R$1107,13,0),"")</f>
        <v>1w</v>
      </c>
      <c r="AV643" s="300" t="str">
        <f>_xlfn.IFNA(VLOOKUP($AI643,Programma!$F$3:$S$1107,14,0),"")</f>
        <v>1m</v>
      </c>
      <c r="AW643" s="300" t="str">
        <f>_xlfn.IFNA(VLOOKUP($AI643,Programma!$F$3:$T$1107,15,0),"")</f>
        <v>2j</v>
      </c>
      <c r="AX643" s="300" t="str">
        <f>_xlfn.IFNA(VLOOKUP($AI643,Programma!$F$3:$U$1107,16,0),"")</f>
        <v>1j</v>
      </c>
      <c r="AY643" s="300" t="str">
        <f>_xlfn.IFNA(VLOOKUP($AI643,Programma!$F$3:$V$1107,17,0),"")</f>
        <v>_</v>
      </c>
      <c r="AZ643" s="300" t="str">
        <f>_xlfn.IFNA(VLOOKUP($AI643,Programma!$F$3:$W$1107,18,0),"")</f>
        <v>_</v>
      </c>
      <c r="BA643" s="300" t="str">
        <f>_xlfn.IFNA(VLOOKUP($AI643,Programma!$F$3:$X$1107,19,0),"")</f>
        <v>_</v>
      </c>
      <c r="BB643" s="300" t="str">
        <f>_xlfn.IFNA(VLOOKUP($AI643,Programma!$F$3:$Y$1107,20,0),"")</f>
        <v>_</v>
      </c>
      <c r="BC643" s="257"/>
      <c r="BD643" s="256" t="str">
        <f>IF(Ruimtestaat[[#This Row],[Frequentie weekend]]="","",_xlfn.CONCAT(Ruimtestaat[[#This Row],[Ruimte code]],"-",Ruimtestaat[[#This Row],[Frequentie weekend]]," ",Ruimtestaat[[#This Row],[Vloer code]]))</f>
        <v/>
      </c>
      <c r="BE643" s="300" t="str">
        <f>_xlfn.IFNA(VLOOKUP($BD643,Programma!$F$3:$G$1107,2,0),"")</f>
        <v/>
      </c>
      <c r="BF643" s="300" t="str">
        <f>_xlfn.IFNA(VLOOKUP($BD643,Programma!$F$3:$H$1107,3,0),"")</f>
        <v/>
      </c>
      <c r="BG643" s="300" t="str">
        <f>_xlfn.IFNA(VLOOKUP($BD643,Programma!$F$3:$I$1107,4,0),"")</f>
        <v/>
      </c>
      <c r="BH643" s="300" t="str">
        <f>_xlfn.IFNA(VLOOKUP($BD643,Programma!$F$3:$J$1107,5,0),"")</f>
        <v/>
      </c>
      <c r="BI643" s="300" t="str">
        <f>_xlfn.IFNA(VLOOKUP($BD643,Programma!$F$3:$K$1107,6,0),"")</f>
        <v/>
      </c>
      <c r="BJ643" s="300" t="str">
        <f>_xlfn.IFNA(VLOOKUP($BD643,Programma!$F$3:$L$1107,7,0),"")</f>
        <v/>
      </c>
      <c r="BK643" s="300" t="str">
        <f>_xlfn.IFNA(VLOOKUP($BD643,Programma!$F$3:$M$1107,8,0),"")</f>
        <v/>
      </c>
      <c r="BL643" s="300" t="str">
        <f>_xlfn.IFNA(VLOOKUP($BD643,Programma!$F$3:$N$1107,9,0),"")</f>
        <v/>
      </c>
      <c r="BM643" s="300" t="str">
        <f>_xlfn.IFNA(VLOOKUP($BD643,Programma!$F$3:$O$1107,10,0),"")</f>
        <v/>
      </c>
      <c r="BN643" s="300" t="str">
        <f>_xlfn.IFNA(VLOOKUP($BD643,Programma!$F$3:$P$1107,11,0),"")</f>
        <v/>
      </c>
      <c r="BO643" s="300" t="str">
        <f>_xlfn.IFNA(VLOOKUP($BD643,Programma!$F$3:$Q$1107,12,0),"")</f>
        <v/>
      </c>
      <c r="BP643" s="300" t="str">
        <f>_xlfn.IFNA(VLOOKUP($BD643,Programma!$F$3:$R$1107,13,0),"")</f>
        <v/>
      </c>
      <c r="BQ643" s="300" t="str">
        <f>_xlfn.IFNA(VLOOKUP($BD643,Programma!$F$3:$S$1107,14,0),"")</f>
        <v/>
      </c>
      <c r="BR643" s="300" t="str">
        <f>_xlfn.IFNA(VLOOKUP($BD643,Programma!$F$3:$T$1107,15,0),"")</f>
        <v/>
      </c>
      <c r="BS643" s="300" t="str">
        <f>_xlfn.IFNA(VLOOKUP($BD643,Programma!$F$3:$U$1107,16,0),"")</f>
        <v/>
      </c>
      <c r="BT643" s="300" t="str">
        <f>_xlfn.IFNA(VLOOKUP($BD643,Programma!$F$3:$V$1107,17,0),"")</f>
        <v/>
      </c>
      <c r="BU643" s="300" t="str">
        <f>_xlfn.IFNA(VLOOKUP($BD643,Programma!$F$3:$W$1107,18,0),"")</f>
        <v/>
      </c>
      <c r="BV643" s="300" t="str">
        <f>_xlfn.IFNA(VLOOKUP($BD643,Programma!$F$3:$X$1107,19,0),"")</f>
        <v/>
      </c>
      <c r="BW643" s="300" t="str">
        <f>_xlfn.IFNA(VLOOKUP($BD643,Programma!$F$3:$Y$1107,20,0),"")</f>
        <v/>
      </c>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c r="GK643" s="4"/>
      <c r="GL643" s="4"/>
      <c r="GM643" s="4"/>
      <c r="GN643" s="4"/>
      <c r="GO643" s="4"/>
      <c r="GP643" s="4"/>
      <c r="GQ643" s="4"/>
      <c r="GR643" s="4"/>
      <c r="GS643" s="4"/>
      <c r="GT643" s="4"/>
      <c r="GU643" s="4"/>
      <c r="GV643" s="4"/>
      <c r="GW643" s="4"/>
      <c r="GX643" s="4"/>
      <c r="GY643" s="4"/>
      <c r="GZ643" s="4"/>
      <c r="HA643" s="4"/>
      <c r="HB643" s="4"/>
      <c r="HC643" s="4"/>
      <c r="HD643" s="4"/>
      <c r="HE643" s="4"/>
      <c r="HF643" s="4"/>
      <c r="HG643" s="4"/>
      <c r="HH643" s="4"/>
      <c r="HI643" s="4"/>
      <c r="HJ643" s="4"/>
      <c r="HK643" s="4"/>
      <c r="HL643" s="4"/>
    </row>
    <row r="644" spans="1:220" ht="15" customHeight="1">
      <c r="A644" s="21">
        <v>7</v>
      </c>
      <c r="B644" s="157" t="str">
        <f>VLOOKUP(Ruimtestaat[[#This Row],[Code]],Locaties[[Code]:[Locatie]],2,FALSE)</f>
        <v>Gymnasium Novum</v>
      </c>
      <c r="C644" s="157" t="str">
        <f>VLOOKUP(Ruimtestaat[[#This Row],[Code]],Locaties[[#All],[Code]:[Adres]],4,FALSE)</f>
        <v>Aart v.d. Leeuwkade 1</v>
      </c>
      <c r="D644" s="157" t="str">
        <f>VLOOKUP(Ruimtestaat[[#This Row],[Code]],Locaties[[#All],[Code]:[Postcode]],5,FALSE)</f>
        <v>2274 KX</v>
      </c>
      <c r="E644" s="157" t="str">
        <f>VLOOKUP(Ruimtestaat[[#This Row],[Code]],Locaties[#All],6,FALSE)</f>
        <v>Voorburg</v>
      </c>
      <c r="F644" s="62"/>
      <c r="G644" s="21" t="s">
        <v>1624</v>
      </c>
      <c r="H644" s="21" t="s">
        <v>1930</v>
      </c>
      <c r="I644" s="62" t="s">
        <v>2125</v>
      </c>
      <c r="J644" s="21">
        <v>14</v>
      </c>
      <c r="K644" s="62" t="str">
        <f>VLOOKUP(Ruimtestaat[[#This Row],[Ruimte code]],Ruimtegroepen[[#All],[Code]:[Ruimte omschrijving]],2,FALSE)</f>
        <v>Praktijklokalen binas/zorg</v>
      </c>
      <c r="L644" s="33" t="s">
        <v>101</v>
      </c>
      <c r="M644" s="367" t="s">
        <v>2495</v>
      </c>
      <c r="N644" s="140">
        <v>44</v>
      </c>
      <c r="O644" s="140"/>
      <c r="P644" s="125" t="str">
        <f>VLOOKUP(Ruimtestaat[[#This Row],[Ruimte code]],Ruimtegroepen[],4,FALSE)</f>
        <v>Le</v>
      </c>
      <c r="R644" s="33">
        <v>40</v>
      </c>
      <c r="S644" s="33" t="s">
        <v>2</v>
      </c>
      <c r="T644" s="33">
        <f>IF(R644&gt;0,IF(RIGHT(Ruimtestaat[[#This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44" s="33">
        <f>IF(T644&gt;0,VLOOKUP($J644,Ruimtegroepen[],3,FALSE)*VLOOKUP($L644,Vloersoorten[],3,FALSE)*VLOOKUP($S644,Frequenties[],3,FALSE)*VLOOKUP($A644,Locaties[],3,FALSE),0)</f>
        <v>0</v>
      </c>
      <c r="V644" s="33">
        <f>Ruimtestaat[[#This Row],[Uitvoeringen werkdagen]]*Ruimtestaat[[#This Row],[Oppervlak (netto)]]</f>
        <v>8800</v>
      </c>
      <c r="W644" s="154">
        <f>IF(U644&gt;0,Ruimtestaat[[#This Row],[Prest. (m2 /jaar) werkdagen]]/Ruimtestaat[[#This Row],[Norm (m2/uur) werkdagen]],0)</f>
        <v>0</v>
      </c>
      <c r="X644" s="155">
        <f>Ruimtestaat[[#This Row],[uren / jaar werkdagen]]*Tariefsopbouw!$E$35</f>
        <v>0</v>
      </c>
      <c r="Y644" s="33"/>
      <c r="Z644" s="33">
        <f>IF(Ruimtestaat[[#This Row],[Frequentie weekend]]&gt;0,VALUE(LEFT(Y644,1))*R644,0)</f>
        <v>0</v>
      </c>
      <c r="AA644" s="97">
        <f>IF($Z644&gt;0,VLOOKUP($J644,Ruimtegroepen[],3,FALSE)*VLOOKUP($L644,Vloersoorten[],3,FALSE)*VLOOKUP($Y644,Frequenties[],3,FALSE)*VLOOKUP(Ruimtestaat[[#This Row],[Code]],Locaties[],3,FALSE),0)</f>
        <v>0</v>
      </c>
      <c r="AB644" s="97">
        <f>Ruimtestaat[[#This Row],[Uitvoeringen weekend]]*Ruimtestaat[[#This Row],[Oppervlak (netto)]]</f>
        <v>0</v>
      </c>
      <c r="AC644" s="97">
        <f>IF(AA644&gt;0,Ruimtestaat[[#This Row],[Prest. (m2 /jaar) weekend]]/Ruimtestaat[[#This Row],[Norm (m2/uur) weekend]],0)</f>
        <v>0</v>
      </c>
      <c r="AD644" s="155">
        <f>Ruimtestaat[[#This Row],[uren / jaar weekend]]*Tariefsopbouw!$D$40</f>
        <v>0</v>
      </c>
      <c r="AE644" s="154">
        <f>Ruimtestaat[[#This Row],[Prest. (m2 /jaar) weekend]]+Ruimtestaat[[#This Row],[Prest. (m2 /jaar) werkdagen]]</f>
        <v>8800</v>
      </c>
      <c r="AF644" s="154">
        <f>Ruimtestaat[[#This Row],[uren / jaar weekend]]+Ruimtestaat[[#This Row],[uren / jaar werkdagen]]</f>
        <v>0</v>
      </c>
      <c r="AG644" s="69">
        <f>Ruimtestaat[[#This Row],[kosten / jaar weekend]]+Ruimtestaat[[#This Row],[kosten / jaar werkdagen]]</f>
        <v>0</v>
      </c>
      <c r="AH644" s="69"/>
      <c r="AI644" s="256" t="str">
        <f>IF(Ruimtestaat[[#This Row],[Frequentie werkdagen]]="","",_xlfn.CONCAT(Ruimtestaat[[#This Row],[Ruimte code]],"-",Ruimtestaat[[#This Row],[Frequentie werkdagen]]," ",Ruimtestaat[[#This Row],[Vloer code]]))</f>
        <v>14-5w L</v>
      </c>
      <c r="AJ644" s="300" t="str">
        <f>_xlfn.IFNA(VLOOKUP($AI644,Programma!$F$3:$G$1107,2,0),"")</f>
        <v>_</v>
      </c>
      <c r="AK644" s="300" t="str">
        <f>_xlfn.IFNA(VLOOKUP($AI644,Programma!$F$3:$H$1107,3,0),"")</f>
        <v>_</v>
      </c>
      <c r="AL644" s="300" t="str">
        <f>_xlfn.IFNA(VLOOKUP($AI644,Programma!$F$3:$I$1107,4,0),"")</f>
        <v>_</v>
      </c>
      <c r="AM644" s="300" t="str">
        <f>_xlfn.IFNA(VLOOKUP($AI644,Programma!$F$3:$J$1107,5,0),"")</f>
        <v>5w</v>
      </c>
      <c r="AN644" s="300" t="str">
        <f>_xlfn.IFNA(VLOOKUP($AI644,Programma!$F$3:$K$1107,6,0),"")</f>
        <v>_</v>
      </c>
      <c r="AO644" s="300" t="str">
        <f>_xlfn.IFNA(VLOOKUP($AI644,Programma!$F$3:$L$1107,7,0),"")</f>
        <v>_</v>
      </c>
      <c r="AP644" s="300" t="str">
        <f>_xlfn.IFNA(VLOOKUP($AI644,Programma!$F$3:$M$1107,8,0),"")</f>
        <v>_</v>
      </c>
      <c r="AQ644" s="300" t="str">
        <f>_xlfn.IFNA(VLOOKUP($AI644,Programma!$F$3:$N$1107,9,0),"")</f>
        <v>_</v>
      </c>
      <c r="AR644" s="300" t="str">
        <f>_xlfn.IFNA(VLOOKUP($AI644,Programma!$F$3:$O$1107,10,0),"")</f>
        <v>5w</v>
      </c>
      <c r="AS644" s="300" t="str">
        <f>_xlfn.IFNA(VLOOKUP($AI644,Programma!$F$3:$P$1107,11,0),"")</f>
        <v>5w</v>
      </c>
      <c r="AT644" s="300" t="str">
        <f>_xlfn.IFNA(VLOOKUP($AI644,Programma!$F$3:$Q$1107,12,0),"")</f>
        <v>1w</v>
      </c>
      <c r="AU644" s="300" t="str">
        <f>_xlfn.IFNA(VLOOKUP($AI644,Programma!$F$3:$R$1107,13,0),"")</f>
        <v>1w</v>
      </c>
      <c r="AV644" s="300" t="str">
        <f>_xlfn.IFNA(VLOOKUP($AI644,Programma!$F$3:$S$1107,14,0),"")</f>
        <v>1m</v>
      </c>
      <c r="AW644" s="300" t="str">
        <f>_xlfn.IFNA(VLOOKUP($AI644,Programma!$F$3:$T$1107,15,0),"")</f>
        <v>2j</v>
      </c>
      <c r="AX644" s="300" t="str">
        <f>_xlfn.IFNA(VLOOKUP($AI644,Programma!$F$3:$U$1107,16,0),"")</f>
        <v>1j</v>
      </c>
      <c r="AY644" s="300" t="str">
        <f>_xlfn.IFNA(VLOOKUP($AI644,Programma!$F$3:$V$1107,17,0),"")</f>
        <v>_</v>
      </c>
      <c r="AZ644" s="300" t="str">
        <f>_xlfn.IFNA(VLOOKUP($AI644,Programma!$F$3:$W$1107,18,0),"")</f>
        <v>_</v>
      </c>
      <c r="BA644" s="300" t="str">
        <f>_xlfn.IFNA(VLOOKUP($AI644,Programma!$F$3:$X$1107,19,0),"")</f>
        <v>_</v>
      </c>
      <c r="BB644" s="300" t="str">
        <f>_xlfn.IFNA(VLOOKUP($AI644,Programma!$F$3:$Y$1107,20,0),"")</f>
        <v>_</v>
      </c>
      <c r="BC644" s="257"/>
      <c r="BD644" s="256" t="str">
        <f>IF(Ruimtestaat[[#This Row],[Frequentie weekend]]="","",_xlfn.CONCAT(Ruimtestaat[[#This Row],[Ruimte code]],"-",Ruimtestaat[[#This Row],[Frequentie weekend]]," ",Ruimtestaat[[#This Row],[Vloer code]]))</f>
        <v/>
      </c>
      <c r="BE644" s="300" t="str">
        <f>_xlfn.IFNA(VLOOKUP($BD644,Programma!$F$3:$G$1107,2,0),"")</f>
        <v/>
      </c>
      <c r="BF644" s="300" t="str">
        <f>_xlfn.IFNA(VLOOKUP($BD644,Programma!$F$3:$H$1107,3,0),"")</f>
        <v/>
      </c>
      <c r="BG644" s="300" t="str">
        <f>_xlfn.IFNA(VLOOKUP($BD644,Programma!$F$3:$I$1107,4,0),"")</f>
        <v/>
      </c>
      <c r="BH644" s="300" t="str">
        <f>_xlfn.IFNA(VLOOKUP($BD644,Programma!$F$3:$J$1107,5,0),"")</f>
        <v/>
      </c>
      <c r="BI644" s="300" t="str">
        <f>_xlfn.IFNA(VLOOKUP($BD644,Programma!$F$3:$K$1107,6,0),"")</f>
        <v/>
      </c>
      <c r="BJ644" s="300" t="str">
        <f>_xlfn.IFNA(VLOOKUP($BD644,Programma!$F$3:$L$1107,7,0),"")</f>
        <v/>
      </c>
      <c r="BK644" s="300" t="str">
        <f>_xlfn.IFNA(VLOOKUP($BD644,Programma!$F$3:$M$1107,8,0),"")</f>
        <v/>
      </c>
      <c r="BL644" s="300" t="str">
        <f>_xlfn.IFNA(VLOOKUP($BD644,Programma!$F$3:$N$1107,9,0),"")</f>
        <v/>
      </c>
      <c r="BM644" s="300" t="str">
        <f>_xlfn.IFNA(VLOOKUP($BD644,Programma!$F$3:$O$1107,10,0),"")</f>
        <v/>
      </c>
      <c r="BN644" s="300" t="str">
        <f>_xlfn.IFNA(VLOOKUP($BD644,Programma!$F$3:$P$1107,11,0),"")</f>
        <v/>
      </c>
      <c r="BO644" s="300" t="str">
        <f>_xlfn.IFNA(VLOOKUP($BD644,Programma!$F$3:$Q$1107,12,0),"")</f>
        <v/>
      </c>
      <c r="BP644" s="300" t="str">
        <f>_xlfn.IFNA(VLOOKUP($BD644,Programma!$F$3:$R$1107,13,0),"")</f>
        <v/>
      </c>
      <c r="BQ644" s="300" t="str">
        <f>_xlfn.IFNA(VLOOKUP($BD644,Programma!$F$3:$S$1107,14,0),"")</f>
        <v/>
      </c>
      <c r="BR644" s="300" t="str">
        <f>_xlfn.IFNA(VLOOKUP($BD644,Programma!$F$3:$T$1107,15,0),"")</f>
        <v/>
      </c>
      <c r="BS644" s="300" t="str">
        <f>_xlfn.IFNA(VLOOKUP($BD644,Programma!$F$3:$U$1107,16,0),"")</f>
        <v/>
      </c>
      <c r="BT644" s="300" t="str">
        <f>_xlfn.IFNA(VLOOKUP($BD644,Programma!$F$3:$V$1107,17,0),"")</f>
        <v/>
      </c>
      <c r="BU644" s="300" t="str">
        <f>_xlfn.IFNA(VLOOKUP($BD644,Programma!$F$3:$W$1107,18,0),"")</f>
        <v/>
      </c>
      <c r="BV644" s="300" t="str">
        <f>_xlfn.IFNA(VLOOKUP($BD644,Programma!$F$3:$X$1107,19,0),"")</f>
        <v/>
      </c>
      <c r="BW644" s="300" t="str">
        <f>_xlfn.IFNA(VLOOKUP($BD644,Programma!$F$3:$Y$1107,20,0),"")</f>
        <v/>
      </c>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c r="GK644" s="4"/>
      <c r="GL644" s="4"/>
      <c r="GM644" s="4"/>
      <c r="GN644" s="4"/>
      <c r="GO644" s="4"/>
      <c r="GP644" s="4"/>
      <c r="GQ644" s="4"/>
      <c r="GR644" s="4"/>
      <c r="GS644" s="4"/>
      <c r="GT644" s="4"/>
      <c r="GU644" s="4"/>
      <c r="GV644" s="4"/>
      <c r="GW644" s="4"/>
      <c r="GX644" s="4"/>
      <c r="GY644" s="4"/>
      <c r="GZ644" s="4"/>
      <c r="HA644" s="4"/>
      <c r="HB644" s="4"/>
      <c r="HC644" s="4"/>
      <c r="HD644" s="4"/>
      <c r="HE644" s="4"/>
      <c r="HF644" s="4"/>
      <c r="HG644" s="4"/>
      <c r="HH644" s="4"/>
      <c r="HI644" s="4"/>
      <c r="HJ644" s="4"/>
      <c r="HK644" s="4"/>
      <c r="HL644" s="4"/>
    </row>
    <row r="645" spans="1:220" ht="15" customHeight="1">
      <c r="A645" s="21">
        <v>7</v>
      </c>
      <c r="B645" s="157" t="str">
        <f>VLOOKUP(Ruimtestaat[[#This Row],[Code]],Locaties[[Code]:[Locatie]],2,FALSE)</f>
        <v>Gymnasium Novum</v>
      </c>
      <c r="C645" s="157" t="str">
        <f>VLOOKUP(Ruimtestaat[[#This Row],[Code]],Locaties[[#All],[Code]:[Adres]],4,FALSE)</f>
        <v>Aart v.d. Leeuwkade 1</v>
      </c>
      <c r="D645" s="157" t="str">
        <f>VLOOKUP(Ruimtestaat[[#This Row],[Code]],Locaties[[#All],[Code]:[Postcode]],5,FALSE)</f>
        <v>2274 KX</v>
      </c>
      <c r="E645" s="157" t="str">
        <f>VLOOKUP(Ruimtestaat[[#This Row],[Code]],Locaties[#All],6,FALSE)</f>
        <v>Voorburg</v>
      </c>
      <c r="F645" s="62"/>
      <c r="G645" s="21" t="s">
        <v>1624</v>
      </c>
      <c r="H645" s="21" t="s">
        <v>1932</v>
      </c>
      <c r="I645" s="62" t="s">
        <v>2179</v>
      </c>
      <c r="J645" s="21">
        <v>16</v>
      </c>
      <c r="K645" s="62" t="str">
        <f>VLOOKUP(Ruimtestaat[[#This Row],[Ruimte code]],Ruimtegroepen[[#All],[Code]:[Ruimte omschrijving]],2,FALSE)</f>
        <v>Leslokalen theorie</v>
      </c>
      <c r="L645" s="33" t="s">
        <v>101</v>
      </c>
      <c r="M645" s="367" t="s">
        <v>2495</v>
      </c>
      <c r="N645" s="140">
        <v>62</v>
      </c>
      <c r="O645" s="140"/>
      <c r="P645" s="125" t="str">
        <f>VLOOKUP(Ruimtestaat[[#This Row],[Ruimte code]],Ruimtegroepen[],4,FALSE)</f>
        <v>Le</v>
      </c>
      <c r="R645" s="33">
        <v>40</v>
      </c>
      <c r="S645" s="33" t="s">
        <v>2</v>
      </c>
      <c r="T645" s="33">
        <f>IF(R645&gt;0,IF(RIGHT(Ruimtestaat[[#This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45" s="33">
        <f>IF(T645&gt;0,VLOOKUP($J645,Ruimtegroepen[],3,FALSE)*VLOOKUP($L645,Vloersoorten[],3,FALSE)*VLOOKUP($S645,Frequenties[],3,FALSE)*VLOOKUP($A645,Locaties[],3,FALSE),0)</f>
        <v>0</v>
      </c>
      <c r="V645" s="33">
        <f>Ruimtestaat[[#This Row],[Uitvoeringen werkdagen]]*Ruimtestaat[[#This Row],[Oppervlak (netto)]]</f>
        <v>12400</v>
      </c>
      <c r="W645" s="154">
        <f>IF(U645&gt;0,Ruimtestaat[[#This Row],[Prest. (m2 /jaar) werkdagen]]/Ruimtestaat[[#This Row],[Norm (m2/uur) werkdagen]],0)</f>
        <v>0</v>
      </c>
      <c r="X645" s="155">
        <f>Ruimtestaat[[#This Row],[uren / jaar werkdagen]]*Tariefsopbouw!$E$35</f>
        <v>0</v>
      </c>
      <c r="Y645" s="33"/>
      <c r="Z645" s="33">
        <f>IF(Ruimtestaat[[#This Row],[Frequentie weekend]]&gt;0,VALUE(LEFT(Y645,1))*R645,0)</f>
        <v>0</v>
      </c>
      <c r="AA645" s="97">
        <f>IF($Z645&gt;0,VLOOKUP($J645,Ruimtegroepen[],3,FALSE)*VLOOKUP($L645,Vloersoorten[],3,FALSE)*VLOOKUP($Y645,Frequenties[],3,FALSE)*VLOOKUP(Ruimtestaat[[#This Row],[Code]],Locaties[],3,FALSE),0)</f>
        <v>0</v>
      </c>
      <c r="AB645" s="97">
        <f>Ruimtestaat[[#This Row],[Uitvoeringen weekend]]*Ruimtestaat[[#This Row],[Oppervlak (netto)]]</f>
        <v>0</v>
      </c>
      <c r="AC645" s="97">
        <f>IF(AA645&gt;0,Ruimtestaat[[#This Row],[Prest. (m2 /jaar) weekend]]/Ruimtestaat[[#This Row],[Norm (m2/uur) weekend]],0)</f>
        <v>0</v>
      </c>
      <c r="AD645" s="155">
        <f>Ruimtestaat[[#This Row],[uren / jaar weekend]]*Tariefsopbouw!$D$40</f>
        <v>0</v>
      </c>
      <c r="AE645" s="154">
        <f>Ruimtestaat[[#This Row],[Prest. (m2 /jaar) weekend]]+Ruimtestaat[[#This Row],[Prest. (m2 /jaar) werkdagen]]</f>
        <v>12400</v>
      </c>
      <c r="AF645" s="154">
        <f>Ruimtestaat[[#This Row],[uren / jaar weekend]]+Ruimtestaat[[#This Row],[uren / jaar werkdagen]]</f>
        <v>0</v>
      </c>
      <c r="AG645" s="69">
        <f>Ruimtestaat[[#This Row],[kosten / jaar weekend]]+Ruimtestaat[[#This Row],[kosten / jaar werkdagen]]</f>
        <v>0</v>
      </c>
      <c r="AH645" s="69"/>
      <c r="AI645" s="256" t="str">
        <f>IF(Ruimtestaat[[#This Row],[Frequentie werkdagen]]="","",_xlfn.CONCAT(Ruimtestaat[[#This Row],[Ruimte code]],"-",Ruimtestaat[[#This Row],[Frequentie werkdagen]]," ",Ruimtestaat[[#This Row],[Vloer code]]))</f>
        <v>16-5w L</v>
      </c>
      <c r="AJ645" s="300" t="str">
        <f>_xlfn.IFNA(VLOOKUP($AI645,Programma!$F$3:$G$1107,2,0),"")</f>
        <v>_</v>
      </c>
      <c r="AK645" s="300" t="str">
        <f>_xlfn.IFNA(VLOOKUP($AI645,Programma!$F$3:$H$1107,3,0),"")</f>
        <v>_</v>
      </c>
      <c r="AL645" s="300" t="str">
        <f>_xlfn.IFNA(VLOOKUP($AI645,Programma!$F$3:$I$1107,4,0),"")</f>
        <v>4w</v>
      </c>
      <c r="AM645" s="300" t="str">
        <f>_xlfn.IFNA(VLOOKUP($AI645,Programma!$F$3:$J$1107,5,0),"")</f>
        <v>1w</v>
      </c>
      <c r="AN645" s="300" t="str">
        <f>_xlfn.IFNA(VLOOKUP($AI645,Programma!$F$3:$K$1107,6,0),"")</f>
        <v>_</v>
      </c>
      <c r="AO645" s="300" t="str">
        <f>_xlfn.IFNA(VLOOKUP($AI645,Programma!$F$3:$L$1107,7,0),"")</f>
        <v>_</v>
      </c>
      <c r="AP645" s="300" t="str">
        <f>_xlfn.IFNA(VLOOKUP($AI645,Programma!$F$3:$M$1107,8,0),"")</f>
        <v>_</v>
      </c>
      <c r="AQ645" s="300" t="str">
        <f>_xlfn.IFNA(VLOOKUP($AI645,Programma!$F$3:$N$1107,9,0),"")</f>
        <v>_</v>
      </c>
      <c r="AR645" s="300" t="str">
        <f>_xlfn.IFNA(VLOOKUP($AI645,Programma!$F$3:$O$1107,10,0),"")</f>
        <v>5w</v>
      </c>
      <c r="AS645" s="300" t="str">
        <f>_xlfn.IFNA(VLOOKUP($AI645,Programma!$F$3:$P$1107,11,0),"")</f>
        <v>5w</v>
      </c>
      <c r="AT645" s="300" t="str">
        <f>_xlfn.IFNA(VLOOKUP($AI645,Programma!$F$3:$Q$1107,12,0),"")</f>
        <v>1w</v>
      </c>
      <c r="AU645" s="300" t="str">
        <f>_xlfn.IFNA(VLOOKUP($AI645,Programma!$F$3:$R$1107,13,0),"")</f>
        <v>1w</v>
      </c>
      <c r="AV645" s="300" t="str">
        <f>_xlfn.IFNA(VLOOKUP($AI645,Programma!$F$3:$S$1107,14,0),"")</f>
        <v>1m</v>
      </c>
      <c r="AW645" s="300" t="str">
        <f>_xlfn.IFNA(VLOOKUP($AI645,Programma!$F$3:$T$1107,15,0),"")</f>
        <v>2j</v>
      </c>
      <c r="AX645" s="300" t="str">
        <f>_xlfn.IFNA(VLOOKUP($AI645,Programma!$F$3:$U$1107,16,0),"")</f>
        <v>1j</v>
      </c>
      <c r="AY645" s="300" t="str">
        <f>_xlfn.IFNA(VLOOKUP($AI645,Programma!$F$3:$V$1107,17,0),"")</f>
        <v>_</v>
      </c>
      <c r="AZ645" s="300" t="str">
        <f>_xlfn.IFNA(VLOOKUP($AI645,Programma!$F$3:$W$1107,18,0),"")</f>
        <v>_</v>
      </c>
      <c r="BA645" s="300" t="str">
        <f>_xlfn.IFNA(VLOOKUP($AI645,Programma!$F$3:$X$1107,19,0),"")</f>
        <v>_</v>
      </c>
      <c r="BB645" s="300" t="str">
        <f>_xlfn.IFNA(VLOOKUP($AI645,Programma!$F$3:$Y$1107,20,0),"")</f>
        <v>_</v>
      </c>
      <c r="BC645" s="257"/>
      <c r="BD645" s="256" t="str">
        <f>IF(Ruimtestaat[[#This Row],[Frequentie weekend]]="","",_xlfn.CONCAT(Ruimtestaat[[#This Row],[Ruimte code]],"-",Ruimtestaat[[#This Row],[Frequentie weekend]]," ",Ruimtestaat[[#This Row],[Vloer code]]))</f>
        <v/>
      </c>
      <c r="BE645" s="300" t="str">
        <f>_xlfn.IFNA(VLOOKUP($BD645,Programma!$F$3:$G$1107,2,0),"")</f>
        <v/>
      </c>
      <c r="BF645" s="300" t="str">
        <f>_xlfn.IFNA(VLOOKUP($BD645,Programma!$F$3:$H$1107,3,0),"")</f>
        <v/>
      </c>
      <c r="BG645" s="300" t="str">
        <f>_xlfn.IFNA(VLOOKUP($BD645,Programma!$F$3:$I$1107,4,0),"")</f>
        <v/>
      </c>
      <c r="BH645" s="300" t="str">
        <f>_xlfn.IFNA(VLOOKUP($BD645,Programma!$F$3:$J$1107,5,0),"")</f>
        <v/>
      </c>
      <c r="BI645" s="300" t="str">
        <f>_xlfn.IFNA(VLOOKUP($BD645,Programma!$F$3:$K$1107,6,0),"")</f>
        <v/>
      </c>
      <c r="BJ645" s="300" t="str">
        <f>_xlfn.IFNA(VLOOKUP($BD645,Programma!$F$3:$L$1107,7,0),"")</f>
        <v/>
      </c>
      <c r="BK645" s="300" t="str">
        <f>_xlfn.IFNA(VLOOKUP($BD645,Programma!$F$3:$M$1107,8,0),"")</f>
        <v/>
      </c>
      <c r="BL645" s="300" t="str">
        <f>_xlfn.IFNA(VLOOKUP($BD645,Programma!$F$3:$N$1107,9,0),"")</f>
        <v/>
      </c>
      <c r="BM645" s="300" t="str">
        <f>_xlfn.IFNA(VLOOKUP($BD645,Programma!$F$3:$O$1107,10,0),"")</f>
        <v/>
      </c>
      <c r="BN645" s="300" t="str">
        <f>_xlfn.IFNA(VLOOKUP($BD645,Programma!$F$3:$P$1107,11,0),"")</f>
        <v/>
      </c>
      <c r="BO645" s="300" t="str">
        <f>_xlfn.IFNA(VLOOKUP($BD645,Programma!$F$3:$Q$1107,12,0),"")</f>
        <v/>
      </c>
      <c r="BP645" s="300" t="str">
        <f>_xlfn.IFNA(VLOOKUP($BD645,Programma!$F$3:$R$1107,13,0),"")</f>
        <v/>
      </c>
      <c r="BQ645" s="300" t="str">
        <f>_xlfn.IFNA(VLOOKUP($BD645,Programma!$F$3:$S$1107,14,0),"")</f>
        <v/>
      </c>
      <c r="BR645" s="300" t="str">
        <f>_xlfn.IFNA(VLOOKUP($BD645,Programma!$F$3:$T$1107,15,0),"")</f>
        <v/>
      </c>
      <c r="BS645" s="300" t="str">
        <f>_xlfn.IFNA(VLOOKUP($BD645,Programma!$F$3:$U$1107,16,0),"")</f>
        <v/>
      </c>
      <c r="BT645" s="300" t="str">
        <f>_xlfn.IFNA(VLOOKUP($BD645,Programma!$F$3:$V$1107,17,0),"")</f>
        <v/>
      </c>
      <c r="BU645" s="300" t="str">
        <f>_xlfn.IFNA(VLOOKUP($BD645,Programma!$F$3:$W$1107,18,0),"")</f>
        <v/>
      </c>
      <c r="BV645" s="300" t="str">
        <f>_xlfn.IFNA(VLOOKUP($BD645,Programma!$F$3:$X$1107,19,0),"")</f>
        <v/>
      </c>
      <c r="BW645" s="300" t="str">
        <f>_xlfn.IFNA(VLOOKUP($BD645,Programma!$F$3:$Y$1107,20,0),"")</f>
        <v/>
      </c>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c r="GK645" s="4"/>
      <c r="GL645" s="4"/>
      <c r="GM645" s="4"/>
      <c r="GN645" s="4"/>
      <c r="GO645" s="4"/>
      <c r="GP645" s="4"/>
      <c r="GQ645" s="4"/>
      <c r="GR645" s="4"/>
      <c r="GS645" s="4"/>
      <c r="GT645" s="4"/>
      <c r="GU645" s="4"/>
      <c r="GV645" s="4"/>
      <c r="GW645" s="4"/>
      <c r="GX645" s="4"/>
      <c r="GY645" s="4"/>
      <c r="GZ645" s="4"/>
      <c r="HA645" s="4"/>
      <c r="HB645" s="4"/>
      <c r="HC645" s="4"/>
      <c r="HD645" s="4"/>
      <c r="HE645" s="4"/>
      <c r="HF645" s="4"/>
      <c r="HG645" s="4"/>
      <c r="HH645" s="4"/>
      <c r="HI645" s="4"/>
      <c r="HJ645" s="4"/>
      <c r="HK645" s="4"/>
      <c r="HL645" s="4"/>
    </row>
    <row r="646" spans="1:220" ht="15" customHeight="1">
      <c r="A646" s="21">
        <v>7</v>
      </c>
      <c r="B646" s="157" t="str">
        <f>VLOOKUP(Ruimtestaat[[#This Row],[Code]],Locaties[[Code]:[Locatie]],2,FALSE)</f>
        <v>Gymnasium Novum</v>
      </c>
      <c r="C646" s="157" t="str">
        <f>VLOOKUP(Ruimtestaat[[#This Row],[Code]],Locaties[[#All],[Code]:[Adres]],4,FALSE)</f>
        <v>Aart v.d. Leeuwkade 1</v>
      </c>
      <c r="D646" s="157" t="str">
        <f>VLOOKUP(Ruimtestaat[[#This Row],[Code]],Locaties[[#All],[Code]:[Postcode]],5,FALSE)</f>
        <v>2274 KX</v>
      </c>
      <c r="E646" s="157" t="str">
        <f>VLOOKUP(Ruimtestaat[[#This Row],[Code]],Locaties[#All],6,FALSE)</f>
        <v>Voorburg</v>
      </c>
      <c r="F646" s="62"/>
      <c r="G646" s="21" t="s">
        <v>1624</v>
      </c>
      <c r="H646" s="21" t="s">
        <v>1934</v>
      </c>
      <c r="I646" s="62" t="s">
        <v>2180</v>
      </c>
      <c r="J646" s="21">
        <v>1</v>
      </c>
      <c r="K646" s="62" t="str">
        <f>VLOOKUP(Ruimtestaat[[#This Row],[Ruimte code]],Ruimtegroepen[[#All],[Code]:[Ruimte omschrijving]],2,FALSE)</f>
        <v>Magazijnen/bergingen</v>
      </c>
      <c r="L646" s="33" t="s">
        <v>101</v>
      </c>
      <c r="M646" s="367" t="s">
        <v>2495</v>
      </c>
      <c r="N646" s="140">
        <v>30</v>
      </c>
      <c r="O646" s="140"/>
      <c r="P646" s="125" t="str">
        <f>VLOOKUP(Ruimtestaat[[#This Row],[Ruimte code]],Ruimtegroepen[],4,FALSE)</f>
        <v>Ve</v>
      </c>
      <c r="R646" s="33">
        <v>40</v>
      </c>
      <c r="S646" s="33" t="s">
        <v>16</v>
      </c>
      <c r="T646" s="33">
        <f>IF(R646&gt;0,IF(RIGHT(Ruimtestaat[[#This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646" s="33">
        <f>IF(T646&gt;0,VLOOKUP($J646,Ruimtegroepen[],3,FALSE)*VLOOKUP($L646,Vloersoorten[],3,FALSE)*VLOOKUP($S646,Frequenties[],3,FALSE)*VLOOKUP($A646,Locaties[],3,FALSE),0)</f>
        <v>0</v>
      </c>
      <c r="V646" s="33">
        <f>Ruimtestaat[[#This Row],[Uitvoeringen werkdagen]]*Ruimtestaat[[#This Row],[Oppervlak (netto)]]</f>
        <v>360</v>
      </c>
      <c r="W646" s="154">
        <f>IF(U646&gt;0,Ruimtestaat[[#This Row],[Prest. (m2 /jaar) werkdagen]]/Ruimtestaat[[#This Row],[Norm (m2/uur) werkdagen]],0)</f>
        <v>0</v>
      </c>
      <c r="X646" s="155">
        <f>Ruimtestaat[[#This Row],[uren / jaar werkdagen]]*Tariefsopbouw!$E$35</f>
        <v>0</v>
      </c>
      <c r="Y646" s="33"/>
      <c r="Z646" s="33">
        <f>IF(Ruimtestaat[[#This Row],[Frequentie weekend]]&gt;0,VALUE(LEFT(Y646,1))*R646,0)</f>
        <v>0</v>
      </c>
      <c r="AA646" s="97">
        <f>IF($Z646&gt;0,VLOOKUP($J646,Ruimtegroepen[],3,FALSE)*VLOOKUP($L646,Vloersoorten[],3,FALSE)*VLOOKUP($Y646,Frequenties[],3,FALSE)*VLOOKUP(Ruimtestaat[[#This Row],[Code]],Locaties[],3,FALSE),0)</f>
        <v>0</v>
      </c>
      <c r="AB646" s="97">
        <f>Ruimtestaat[[#This Row],[Uitvoeringen weekend]]*Ruimtestaat[[#This Row],[Oppervlak (netto)]]</f>
        <v>0</v>
      </c>
      <c r="AC646" s="97">
        <f>IF(AA646&gt;0,Ruimtestaat[[#This Row],[Prest. (m2 /jaar) weekend]]/Ruimtestaat[[#This Row],[Norm (m2/uur) weekend]],0)</f>
        <v>0</v>
      </c>
      <c r="AD646" s="155">
        <f>Ruimtestaat[[#This Row],[uren / jaar weekend]]*Tariefsopbouw!$D$40</f>
        <v>0</v>
      </c>
      <c r="AE646" s="154">
        <f>Ruimtestaat[[#This Row],[Prest. (m2 /jaar) weekend]]+Ruimtestaat[[#This Row],[Prest. (m2 /jaar) werkdagen]]</f>
        <v>360</v>
      </c>
      <c r="AF646" s="154">
        <f>Ruimtestaat[[#This Row],[uren / jaar weekend]]+Ruimtestaat[[#This Row],[uren / jaar werkdagen]]</f>
        <v>0</v>
      </c>
      <c r="AG646" s="69">
        <f>Ruimtestaat[[#This Row],[kosten / jaar weekend]]+Ruimtestaat[[#This Row],[kosten / jaar werkdagen]]</f>
        <v>0</v>
      </c>
      <c r="AH646" s="69"/>
      <c r="AI646" s="256" t="str">
        <f>IF(Ruimtestaat[[#This Row],[Frequentie werkdagen]]="","",_xlfn.CONCAT(Ruimtestaat[[#This Row],[Ruimte code]],"-",Ruimtestaat[[#This Row],[Frequentie werkdagen]]," ",Ruimtestaat[[#This Row],[Vloer code]]))</f>
        <v>1-1m L</v>
      </c>
      <c r="AJ646" s="300" t="str">
        <f>_xlfn.IFNA(VLOOKUP($AI646,Programma!$F$3:$G$1107,2,0),"")</f>
        <v>_</v>
      </c>
      <c r="AK646" s="300" t="str">
        <f>_xlfn.IFNA(VLOOKUP($AI646,Programma!$F$3:$H$1107,3,0),"")</f>
        <v>_</v>
      </c>
      <c r="AL646" s="300" t="str">
        <f>_xlfn.IFNA(VLOOKUP($AI646,Programma!$F$3:$I$1107,4,0),"")</f>
        <v>1m</v>
      </c>
      <c r="AM646" s="300" t="str">
        <f>_xlfn.IFNA(VLOOKUP($AI646,Programma!$F$3:$J$1107,5,0),"")</f>
        <v>1m</v>
      </c>
      <c r="AN646" s="300" t="str">
        <f>_xlfn.IFNA(VLOOKUP($AI646,Programma!$F$3:$K$1107,6,0),"")</f>
        <v>_</v>
      </c>
      <c r="AO646" s="300" t="str">
        <f>_xlfn.IFNA(VLOOKUP($AI646,Programma!$F$3:$L$1107,7,0),"")</f>
        <v>_</v>
      </c>
      <c r="AP646" s="300" t="str">
        <f>_xlfn.IFNA(VLOOKUP($AI646,Programma!$F$3:$M$1107,8,0),"")</f>
        <v>_</v>
      </c>
      <c r="AQ646" s="300" t="str">
        <f>_xlfn.IFNA(VLOOKUP($AI646,Programma!$F$3:$N$1107,9,0),"")</f>
        <v>_</v>
      </c>
      <c r="AR646" s="300" t="str">
        <f>_xlfn.IFNA(VLOOKUP($AI646,Programma!$F$3:$O$1107,10,0),"")</f>
        <v>_</v>
      </c>
      <c r="AS646" s="300" t="str">
        <f>_xlfn.IFNA(VLOOKUP($AI646,Programma!$F$3:$P$1107,11,0),"")</f>
        <v>_</v>
      </c>
      <c r="AT646" s="300" t="str">
        <f>_xlfn.IFNA(VLOOKUP($AI646,Programma!$F$3:$Q$1107,12,0),"")</f>
        <v>_</v>
      </c>
      <c r="AU646" s="300" t="str">
        <f>_xlfn.IFNA(VLOOKUP($AI646,Programma!$F$3:$R$1107,13,0),"")</f>
        <v>_</v>
      </c>
      <c r="AV646" s="300" t="str">
        <f>_xlfn.IFNA(VLOOKUP($AI646,Programma!$F$3:$S$1107,14,0),"")</f>
        <v>1m</v>
      </c>
      <c r="AW646" s="300" t="str">
        <f>_xlfn.IFNA(VLOOKUP($AI646,Programma!$F$3:$T$1107,15,0),"")</f>
        <v>4j</v>
      </c>
      <c r="AX646" s="300" t="str">
        <f>_xlfn.IFNA(VLOOKUP($AI646,Programma!$F$3:$U$1107,16,0),"")</f>
        <v>4j</v>
      </c>
      <c r="AY646" s="300" t="str">
        <f>_xlfn.IFNA(VLOOKUP($AI646,Programma!$F$3:$V$1107,17,0),"")</f>
        <v>_</v>
      </c>
      <c r="AZ646" s="300" t="str">
        <f>_xlfn.IFNA(VLOOKUP($AI646,Programma!$F$3:$W$1107,18,0),"")</f>
        <v>_</v>
      </c>
      <c r="BA646" s="300" t="str">
        <f>_xlfn.IFNA(VLOOKUP($AI646,Programma!$F$3:$X$1107,19,0),"")</f>
        <v>_</v>
      </c>
      <c r="BB646" s="300" t="str">
        <f>_xlfn.IFNA(VLOOKUP($AI646,Programma!$F$3:$Y$1107,20,0),"")</f>
        <v>_</v>
      </c>
      <c r="BC646" s="257"/>
      <c r="BD646" s="256" t="str">
        <f>IF(Ruimtestaat[[#This Row],[Frequentie weekend]]="","",_xlfn.CONCAT(Ruimtestaat[[#This Row],[Ruimte code]],"-",Ruimtestaat[[#This Row],[Frequentie weekend]]," ",Ruimtestaat[[#This Row],[Vloer code]]))</f>
        <v/>
      </c>
      <c r="BE646" s="300" t="str">
        <f>_xlfn.IFNA(VLOOKUP($BD646,Programma!$F$3:$G$1107,2,0),"")</f>
        <v/>
      </c>
      <c r="BF646" s="300" t="str">
        <f>_xlfn.IFNA(VLOOKUP($BD646,Programma!$F$3:$H$1107,3,0),"")</f>
        <v/>
      </c>
      <c r="BG646" s="300" t="str">
        <f>_xlfn.IFNA(VLOOKUP($BD646,Programma!$F$3:$I$1107,4,0),"")</f>
        <v/>
      </c>
      <c r="BH646" s="300" t="str">
        <f>_xlfn.IFNA(VLOOKUP($BD646,Programma!$F$3:$J$1107,5,0),"")</f>
        <v/>
      </c>
      <c r="BI646" s="300" t="str">
        <f>_xlfn.IFNA(VLOOKUP($BD646,Programma!$F$3:$K$1107,6,0),"")</f>
        <v/>
      </c>
      <c r="BJ646" s="300" t="str">
        <f>_xlfn.IFNA(VLOOKUP($BD646,Programma!$F$3:$L$1107,7,0),"")</f>
        <v/>
      </c>
      <c r="BK646" s="300" t="str">
        <f>_xlfn.IFNA(VLOOKUP($BD646,Programma!$F$3:$M$1107,8,0),"")</f>
        <v/>
      </c>
      <c r="BL646" s="300" t="str">
        <f>_xlfn.IFNA(VLOOKUP($BD646,Programma!$F$3:$N$1107,9,0),"")</f>
        <v/>
      </c>
      <c r="BM646" s="300" t="str">
        <f>_xlfn.IFNA(VLOOKUP($BD646,Programma!$F$3:$O$1107,10,0),"")</f>
        <v/>
      </c>
      <c r="BN646" s="300" t="str">
        <f>_xlfn.IFNA(VLOOKUP($BD646,Programma!$F$3:$P$1107,11,0),"")</f>
        <v/>
      </c>
      <c r="BO646" s="300" t="str">
        <f>_xlfn.IFNA(VLOOKUP($BD646,Programma!$F$3:$Q$1107,12,0),"")</f>
        <v/>
      </c>
      <c r="BP646" s="300" t="str">
        <f>_xlfn.IFNA(VLOOKUP($BD646,Programma!$F$3:$R$1107,13,0),"")</f>
        <v/>
      </c>
      <c r="BQ646" s="300" t="str">
        <f>_xlfn.IFNA(VLOOKUP($BD646,Programma!$F$3:$S$1107,14,0),"")</f>
        <v/>
      </c>
      <c r="BR646" s="300" t="str">
        <f>_xlfn.IFNA(VLOOKUP($BD646,Programma!$F$3:$T$1107,15,0),"")</f>
        <v/>
      </c>
      <c r="BS646" s="300" t="str">
        <f>_xlfn.IFNA(VLOOKUP($BD646,Programma!$F$3:$U$1107,16,0),"")</f>
        <v/>
      </c>
      <c r="BT646" s="300" t="str">
        <f>_xlfn.IFNA(VLOOKUP($BD646,Programma!$F$3:$V$1107,17,0),"")</f>
        <v/>
      </c>
      <c r="BU646" s="300" t="str">
        <f>_xlfn.IFNA(VLOOKUP($BD646,Programma!$F$3:$W$1107,18,0),"")</f>
        <v/>
      </c>
      <c r="BV646" s="300" t="str">
        <f>_xlfn.IFNA(VLOOKUP($BD646,Programma!$F$3:$X$1107,19,0),"")</f>
        <v/>
      </c>
      <c r="BW646" s="300" t="str">
        <f>_xlfn.IFNA(VLOOKUP($BD646,Programma!$F$3:$Y$1107,20,0),"")</f>
        <v/>
      </c>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c r="GK646" s="4"/>
      <c r="GL646" s="4"/>
      <c r="GM646" s="4"/>
      <c r="GN646" s="4"/>
      <c r="GO646" s="4"/>
      <c r="GP646" s="4"/>
      <c r="GQ646" s="4"/>
      <c r="GR646" s="4"/>
      <c r="GS646" s="4"/>
      <c r="GT646" s="4"/>
      <c r="GU646" s="4"/>
      <c r="GV646" s="4"/>
      <c r="GW646" s="4"/>
      <c r="GX646" s="4"/>
      <c r="GY646" s="4"/>
      <c r="GZ646" s="4"/>
      <c r="HA646" s="4"/>
      <c r="HB646" s="4"/>
      <c r="HC646" s="4"/>
      <c r="HD646" s="4"/>
      <c r="HE646" s="4"/>
      <c r="HF646" s="4"/>
      <c r="HG646" s="4"/>
      <c r="HH646" s="4"/>
      <c r="HI646" s="4"/>
      <c r="HJ646" s="4"/>
      <c r="HK646" s="4"/>
      <c r="HL646" s="4"/>
    </row>
    <row r="647" spans="1:220" ht="15" customHeight="1">
      <c r="A647" s="21">
        <v>7</v>
      </c>
      <c r="B647" s="157" t="str">
        <f>VLOOKUP(Ruimtestaat[[#This Row],[Code]],Locaties[[Code]:[Locatie]],2,FALSE)</f>
        <v>Gymnasium Novum</v>
      </c>
      <c r="C647" s="157" t="str">
        <f>VLOOKUP(Ruimtestaat[[#This Row],[Code]],Locaties[[#All],[Code]:[Adres]],4,FALSE)</f>
        <v>Aart v.d. Leeuwkade 1</v>
      </c>
      <c r="D647" s="157" t="str">
        <f>VLOOKUP(Ruimtestaat[[#This Row],[Code]],Locaties[[#All],[Code]:[Postcode]],5,FALSE)</f>
        <v>2274 KX</v>
      </c>
      <c r="E647" s="157" t="str">
        <f>VLOOKUP(Ruimtestaat[[#This Row],[Code]],Locaties[#All],6,FALSE)</f>
        <v>Voorburg</v>
      </c>
      <c r="F647" s="62"/>
      <c r="G647" s="21" t="s">
        <v>1624</v>
      </c>
      <c r="H647" s="21" t="s">
        <v>1936</v>
      </c>
      <c r="I647" s="62" t="s">
        <v>2181</v>
      </c>
      <c r="J647" s="21">
        <v>14</v>
      </c>
      <c r="K647" s="62" t="str">
        <f>VLOOKUP(Ruimtestaat[[#This Row],[Ruimte code]],Ruimtegroepen[[#All],[Code]:[Ruimte omschrijving]],2,FALSE)</f>
        <v>Praktijklokalen binas/zorg</v>
      </c>
      <c r="L647" s="33" t="s">
        <v>101</v>
      </c>
      <c r="M647" s="367" t="s">
        <v>2495</v>
      </c>
      <c r="N647" s="140">
        <v>62</v>
      </c>
      <c r="O647" s="140"/>
      <c r="P647" s="125" t="str">
        <f>VLOOKUP(Ruimtestaat[[#This Row],[Ruimte code]],Ruimtegroepen[],4,FALSE)</f>
        <v>Le</v>
      </c>
      <c r="R647" s="33">
        <v>40</v>
      </c>
      <c r="S647" s="33" t="s">
        <v>2</v>
      </c>
      <c r="T647" s="33">
        <f>IF(R647&gt;0,IF(RIGHT(Ruimtestaat[[#This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47" s="33">
        <f>IF(T647&gt;0,VLOOKUP($J647,Ruimtegroepen[],3,FALSE)*VLOOKUP($L647,Vloersoorten[],3,FALSE)*VLOOKUP($S647,Frequenties[],3,FALSE)*VLOOKUP($A647,Locaties[],3,FALSE),0)</f>
        <v>0</v>
      </c>
      <c r="V647" s="33">
        <f>Ruimtestaat[[#This Row],[Uitvoeringen werkdagen]]*Ruimtestaat[[#This Row],[Oppervlak (netto)]]</f>
        <v>12400</v>
      </c>
      <c r="W647" s="154">
        <f>IF(U647&gt;0,Ruimtestaat[[#This Row],[Prest. (m2 /jaar) werkdagen]]/Ruimtestaat[[#This Row],[Norm (m2/uur) werkdagen]],0)</f>
        <v>0</v>
      </c>
      <c r="X647" s="155">
        <f>Ruimtestaat[[#This Row],[uren / jaar werkdagen]]*Tariefsopbouw!$E$35</f>
        <v>0</v>
      </c>
      <c r="Y647" s="33"/>
      <c r="Z647" s="33">
        <f>IF(Ruimtestaat[[#This Row],[Frequentie weekend]]&gt;0,VALUE(LEFT(Y647,1))*R647,0)</f>
        <v>0</v>
      </c>
      <c r="AA647" s="97">
        <f>IF($Z647&gt;0,VLOOKUP($J647,Ruimtegroepen[],3,FALSE)*VLOOKUP($L647,Vloersoorten[],3,FALSE)*VLOOKUP($Y647,Frequenties[],3,FALSE)*VLOOKUP(Ruimtestaat[[#This Row],[Code]],Locaties[],3,FALSE),0)</f>
        <v>0</v>
      </c>
      <c r="AB647" s="97">
        <f>Ruimtestaat[[#This Row],[Uitvoeringen weekend]]*Ruimtestaat[[#This Row],[Oppervlak (netto)]]</f>
        <v>0</v>
      </c>
      <c r="AC647" s="97">
        <f>IF(AA647&gt;0,Ruimtestaat[[#This Row],[Prest. (m2 /jaar) weekend]]/Ruimtestaat[[#This Row],[Norm (m2/uur) weekend]],0)</f>
        <v>0</v>
      </c>
      <c r="AD647" s="155">
        <f>Ruimtestaat[[#This Row],[uren / jaar weekend]]*Tariefsopbouw!$D$40</f>
        <v>0</v>
      </c>
      <c r="AE647" s="154">
        <f>Ruimtestaat[[#This Row],[Prest. (m2 /jaar) weekend]]+Ruimtestaat[[#This Row],[Prest. (m2 /jaar) werkdagen]]</f>
        <v>12400</v>
      </c>
      <c r="AF647" s="154">
        <f>Ruimtestaat[[#This Row],[uren / jaar weekend]]+Ruimtestaat[[#This Row],[uren / jaar werkdagen]]</f>
        <v>0</v>
      </c>
      <c r="AG647" s="69">
        <f>Ruimtestaat[[#This Row],[kosten / jaar weekend]]+Ruimtestaat[[#This Row],[kosten / jaar werkdagen]]</f>
        <v>0</v>
      </c>
      <c r="AH647" s="69"/>
      <c r="AI647" s="256" t="str">
        <f>IF(Ruimtestaat[[#This Row],[Frequentie werkdagen]]="","",_xlfn.CONCAT(Ruimtestaat[[#This Row],[Ruimte code]],"-",Ruimtestaat[[#This Row],[Frequentie werkdagen]]," ",Ruimtestaat[[#This Row],[Vloer code]]))</f>
        <v>14-5w L</v>
      </c>
      <c r="AJ647" s="300" t="str">
        <f>_xlfn.IFNA(VLOOKUP($AI647,Programma!$F$3:$G$1107,2,0),"")</f>
        <v>_</v>
      </c>
      <c r="AK647" s="300" t="str">
        <f>_xlfn.IFNA(VLOOKUP($AI647,Programma!$F$3:$H$1107,3,0),"")</f>
        <v>_</v>
      </c>
      <c r="AL647" s="300" t="str">
        <f>_xlfn.IFNA(VLOOKUP($AI647,Programma!$F$3:$I$1107,4,0),"")</f>
        <v>_</v>
      </c>
      <c r="AM647" s="300" t="str">
        <f>_xlfn.IFNA(VLOOKUP($AI647,Programma!$F$3:$J$1107,5,0),"")</f>
        <v>5w</v>
      </c>
      <c r="AN647" s="300" t="str">
        <f>_xlfn.IFNA(VLOOKUP($AI647,Programma!$F$3:$K$1107,6,0),"")</f>
        <v>_</v>
      </c>
      <c r="AO647" s="300" t="str">
        <f>_xlfn.IFNA(VLOOKUP($AI647,Programma!$F$3:$L$1107,7,0),"")</f>
        <v>_</v>
      </c>
      <c r="AP647" s="300" t="str">
        <f>_xlfn.IFNA(VLOOKUP($AI647,Programma!$F$3:$M$1107,8,0),"")</f>
        <v>_</v>
      </c>
      <c r="AQ647" s="300" t="str">
        <f>_xlfn.IFNA(VLOOKUP($AI647,Programma!$F$3:$N$1107,9,0),"")</f>
        <v>_</v>
      </c>
      <c r="AR647" s="300" t="str">
        <f>_xlfn.IFNA(VLOOKUP($AI647,Programma!$F$3:$O$1107,10,0),"")</f>
        <v>5w</v>
      </c>
      <c r="AS647" s="300" t="str">
        <f>_xlfn.IFNA(VLOOKUP($AI647,Programma!$F$3:$P$1107,11,0),"")</f>
        <v>5w</v>
      </c>
      <c r="AT647" s="300" t="str">
        <f>_xlfn.IFNA(VLOOKUP($AI647,Programma!$F$3:$Q$1107,12,0),"")</f>
        <v>1w</v>
      </c>
      <c r="AU647" s="300" t="str">
        <f>_xlfn.IFNA(VLOOKUP($AI647,Programma!$F$3:$R$1107,13,0),"")</f>
        <v>1w</v>
      </c>
      <c r="AV647" s="300" t="str">
        <f>_xlfn.IFNA(VLOOKUP($AI647,Programma!$F$3:$S$1107,14,0),"")</f>
        <v>1m</v>
      </c>
      <c r="AW647" s="300" t="str">
        <f>_xlfn.IFNA(VLOOKUP($AI647,Programma!$F$3:$T$1107,15,0),"")</f>
        <v>2j</v>
      </c>
      <c r="AX647" s="300" t="str">
        <f>_xlfn.IFNA(VLOOKUP($AI647,Programma!$F$3:$U$1107,16,0),"")</f>
        <v>1j</v>
      </c>
      <c r="AY647" s="300" t="str">
        <f>_xlfn.IFNA(VLOOKUP($AI647,Programma!$F$3:$V$1107,17,0),"")</f>
        <v>_</v>
      </c>
      <c r="AZ647" s="300" t="str">
        <f>_xlfn.IFNA(VLOOKUP($AI647,Programma!$F$3:$W$1107,18,0),"")</f>
        <v>_</v>
      </c>
      <c r="BA647" s="300" t="str">
        <f>_xlfn.IFNA(VLOOKUP($AI647,Programma!$F$3:$X$1107,19,0),"")</f>
        <v>_</v>
      </c>
      <c r="BB647" s="300" t="str">
        <f>_xlfn.IFNA(VLOOKUP($AI647,Programma!$F$3:$Y$1107,20,0),"")</f>
        <v>_</v>
      </c>
      <c r="BC647" s="257"/>
      <c r="BD647" s="256" t="str">
        <f>IF(Ruimtestaat[[#This Row],[Frequentie weekend]]="","",_xlfn.CONCAT(Ruimtestaat[[#This Row],[Ruimte code]],"-",Ruimtestaat[[#This Row],[Frequentie weekend]]," ",Ruimtestaat[[#This Row],[Vloer code]]))</f>
        <v/>
      </c>
      <c r="BE647" s="300" t="str">
        <f>_xlfn.IFNA(VLOOKUP($BD647,Programma!$F$3:$G$1107,2,0),"")</f>
        <v/>
      </c>
      <c r="BF647" s="300" t="str">
        <f>_xlfn.IFNA(VLOOKUP($BD647,Programma!$F$3:$H$1107,3,0),"")</f>
        <v/>
      </c>
      <c r="BG647" s="300" t="str">
        <f>_xlfn.IFNA(VLOOKUP($BD647,Programma!$F$3:$I$1107,4,0),"")</f>
        <v/>
      </c>
      <c r="BH647" s="300" t="str">
        <f>_xlfn.IFNA(VLOOKUP($BD647,Programma!$F$3:$J$1107,5,0),"")</f>
        <v/>
      </c>
      <c r="BI647" s="300" t="str">
        <f>_xlfn.IFNA(VLOOKUP($BD647,Programma!$F$3:$K$1107,6,0),"")</f>
        <v/>
      </c>
      <c r="BJ647" s="300" t="str">
        <f>_xlfn.IFNA(VLOOKUP($BD647,Programma!$F$3:$L$1107,7,0),"")</f>
        <v/>
      </c>
      <c r="BK647" s="300" t="str">
        <f>_xlfn.IFNA(VLOOKUP($BD647,Programma!$F$3:$M$1107,8,0),"")</f>
        <v/>
      </c>
      <c r="BL647" s="300" t="str">
        <f>_xlfn.IFNA(VLOOKUP($BD647,Programma!$F$3:$N$1107,9,0),"")</f>
        <v/>
      </c>
      <c r="BM647" s="300" t="str">
        <f>_xlfn.IFNA(VLOOKUP($BD647,Programma!$F$3:$O$1107,10,0),"")</f>
        <v/>
      </c>
      <c r="BN647" s="300" t="str">
        <f>_xlfn.IFNA(VLOOKUP($BD647,Programma!$F$3:$P$1107,11,0),"")</f>
        <v/>
      </c>
      <c r="BO647" s="300" t="str">
        <f>_xlfn.IFNA(VLOOKUP($BD647,Programma!$F$3:$Q$1107,12,0),"")</f>
        <v/>
      </c>
      <c r="BP647" s="300" t="str">
        <f>_xlfn.IFNA(VLOOKUP($BD647,Programma!$F$3:$R$1107,13,0),"")</f>
        <v/>
      </c>
      <c r="BQ647" s="300" t="str">
        <f>_xlfn.IFNA(VLOOKUP($BD647,Programma!$F$3:$S$1107,14,0),"")</f>
        <v/>
      </c>
      <c r="BR647" s="300" t="str">
        <f>_xlfn.IFNA(VLOOKUP($BD647,Programma!$F$3:$T$1107,15,0),"")</f>
        <v/>
      </c>
      <c r="BS647" s="300" t="str">
        <f>_xlfn.IFNA(VLOOKUP($BD647,Programma!$F$3:$U$1107,16,0),"")</f>
        <v/>
      </c>
      <c r="BT647" s="300" t="str">
        <f>_xlfn.IFNA(VLOOKUP($BD647,Programma!$F$3:$V$1107,17,0),"")</f>
        <v/>
      </c>
      <c r="BU647" s="300" t="str">
        <f>_xlfn.IFNA(VLOOKUP($BD647,Programma!$F$3:$W$1107,18,0),"")</f>
        <v/>
      </c>
      <c r="BV647" s="300" t="str">
        <f>_xlfn.IFNA(VLOOKUP($BD647,Programma!$F$3:$X$1107,19,0),"")</f>
        <v/>
      </c>
      <c r="BW647" s="300" t="str">
        <f>_xlfn.IFNA(VLOOKUP($BD647,Programma!$F$3:$Y$1107,20,0),"")</f>
        <v/>
      </c>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c r="GK647" s="4"/>
      <c r="GL647" s="4"/>
      <c r="GM647" s="4"/>
      <c r="GN647" s="4"/>
      <c r="GO647" s="4"/>
      <c r="GP647" s="4"/>
      <c r="GQ647" s="4"/>
      <c r="GR647" s="4"/>
      <c r="GS647" s="4"/>
      <c r="GT647" s="4"/>
      <c r="GU647" s="4"/>
      <c r="GV647" s="4"/>
      <c r="GW647" s="4"/>
      <c r="GX647" s="4"/>
      <c r="GY647" s="4"/>
      <c r="GZ647" s="4"/>
      <c r="HA647" s="4"/>
      <c r="HB647" s="4"/>
      <c r="HC647" s="4"/>
      <c r="HD647" s="4"/>
      <c r="HE647" s="4"/>
      <c r="HF647" s="4"/>
      <c r="HG647" s="4"/>
      <c r="HH647" s="4"/>
      <c r="HI647" s="4"/>
      <c r="HJ647" s="4"/>
      <c r="HK647" s="4"/>
      <c r="HL647" s="4"/>
    </row>
    <row r="648" spans="1:220" ht="15" customHeight="1">
      <c r="A648" s="21">
        <v>7</v>
      </c>
      <c r="B648" s="157" t="str">
        <f>VLOOKUP(Ruimtestaat[[#This Row],[Code]],Locaties[[Code]:[Locatie]],2,FALSE)</f>
        <v>Gymnasium Novum</v>
      </c>
      <c r="C648" s="157" t="str">
        <f>VLOOKUP(Ruimtestaat[[#This Row],[Code]],Locaties[[#All],[Code]:[Adres]],4,FALSE)</f>
        <v>Aart v.d. Leeuwkade 1</v>
      </c>
      <c r="D648" s="157" t="str">
        <f>VLOOKUP(Ruimtestaat[[#This Row],[Code]],Locaties[[#All],[Code]:[Postcode]],5,FALSE)</f>
        <v>2274 KX</v>
      </c>
      <c r="E648" s="157" t="str">
        <f>VLOOKUP(Ruimtestaat[[#This Row],[Code]],Locaties[#All],6,FALSE)</f>
        <v>Voorburg</v>
      </c>
      <c r="F648" s="62"/>
      <c r="G648" s="21" t="s">
        <v>1624</v>
      </c>
      <c r="H648" s="21" t="s">
        <v>1938</v>
      </c>
      <c r="I648" s="62" t="s">
        <v>2182</v>
      </c>
      <c r="J648" s="21">
        <v>1</v>
      </c>
      <c r="K648" s="62" t="str">
        <f>VLOOKUP(Ruimtestaat[[#This Row],[Ruimte code]],Ruimtegroepen[[#All],[Code]:[Ruimte omschrijving]],2,FALSE)</f>
        <v>Magazijnen/bergingen</v>
      </c>
      <c r="L648" s="33" t="s">
        <v>101</v>
      </c>
      <c r="M648" s="367" t="s">
        <v>2495</v>
      </c>
      <c r="N648" s="140">
        <v>31</v>
      </c>
      <c r="O648" s="140"/>
      <c r="P648" s="125" t="str">
        <f>VLOOKUP(Ruimtestaat[[#This Row],[Ruimte code]],Ruimtegroepen[],4,FALSE)</f>
        <v>Ve</v>
      </c>
      <c r="R648" s="33">
        <v>40</v>
      </c>
      <c r="S648" s="33" t="s">
        <v>16</v>
      </c>
      <c r="T648" s="33">
        <f>IF(R648&gt;0,IF(RIGHT(Ruimtestaat[[#This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648" s="33">
        <f>IF(T648&gt;0,VLOOKUP($J648,Ruimtegroepen[],3,FALSE)*VLOOKUP($L648,Vloersoorten[],3,FALSE)*VLOOKUP($S648,Frequenties[],3,FALSE)*VLOOKUP($A648,Locaties[],3,FALSE),0)</f>
        <v>0</v>
      </c>
      <c r="V648" s="33">
        <f>Ruimtestaat[[#This Row],[Uitvoeringen werkdagen]]*Ruimtestaat[[#This Row],[Oppervlak (netto)]]</f>
        <v>372</v>
      </c>
      <c r="W648" s="154">
        <f>IF(U648&gt;0,Ruimtestaat[[#This Row],[Prest. (m2 /jaar) werkdagen]]/Ruimtestaat[[#This Row],[Norm (m2/uur) werkdagen]],0)</f>
        <v>0</v>
      </c>
      <c r="X648" s="155">
        <f>Ruimtestaat[[#This Row],[uren / jaar werkdagen]]*Tariefsopbouw!$E$35</f>
        <v>0</v>
      </c>
      <c r="Y648" s="33"/>
      <c r="Z648" s="33">
        <f>IF(Ruimtestaat[[#This Row],[Frequentie weekend]]&gt;0,VALUE(LEFT(Y648,1))*R648,0)</f>
        <v>0</v>
      </c>
      <c r="AA648" s="97">
        <f>IF($Z648&gt;0,VLOOKUP($J648,Ruimtegroepen[],3,FALSE)*VLOOKUP($L648,Vloersoorten[],3,FALSE)*VLOOKUP($Y648,Frequenties[],3,FALSE)*VLOOKUP(Ruimtestaat[[#This Row],[Code]],Locaties[],3,FALSE),0)</f>
        <v>0</v>
      </c>
      <c r="AB648" s="97">
        <f>Ruimtestaat[[#This Row],[Uitvoeringen weekend]]*Ruimtestaat[[#This Row],[Oppervlak (netto)]]</f>
        <v>0</v>
      </c>
      <c r="AC648" s="97">
        <f>IF(AA648&gt;0,Ruimtestaat[[#This Row],[Prest. (m2 /jaar) weekend]]/Ruimtestaat[[#This Row],[Norm (m2/uur) weekend]],0)</f>
        <v>0</v>
      </c>
      <c r="AD648" s="155">
        <f>Ruimtestaat[[#This Row],[uren / jaar weekend]]*Tariefsopbouw!$D$40</f>
        <v>0</v>
      </c>
      <c r="AE648" s="154">
        <f>Ruimtestaat[[#This Row],[Prest. (m2 /jaar) weekend]]+Ruimtestaat[[#This Row],[Prest. (m2 /jaar) werkdagen]]</f>
        <v>372</v>
      </c>
      <c r="AF648" s="154">
        <f>Ruimtestaat[[#This Row],[uren / jaar weekend]]+Ruimtestaat[[#This Row],[uren / jaar werkdagen]]</f>
        <v>0</v>
      </c>
      <c r="AG648" s="69">
        <f>Ruimtestaat[[#This Row],[kosten / jaar weekend]]+Ruimtestaat[[#This Row],[kosten / jaar werkdagen]]</f>
        <v>0</v>
      </c>
      <c r="AH648" s="69"/>
      <c r="AI648" s="256" t="str">
        <f>IF(Ruimtestaat[[#This Row],[Frequentie werkdagen]]="","",_xlfn.CONCAT(Ruimtestaat[[#This Row],[Ruimte code]],"-",Ruimtestaat[[#This Row],[Frequentie werkdagen]]," ",Ruimtestaat[[#This Row],[Vloer code]]))</f>
        <v>1-1m L</v>
      </c>
      <c r="AJ648" s="300" t="str">
        <f>_xlfn.IFNA(VLOOKUP($AI648,Programma!$F$3:$G$1107,2,0),"")</f>
        <v>_</v>
      </c>
      <c r="AK648" s="300" t="str">
        <f>_xlfn.IFNA(VLOOKUP($AI648,Programma!$F$3:$H$1107,3,0),"")</f>
        <v>_</v>
      </c>
      <c r="AL648" s="300" t="str">
        <f>_xlfn.IFNA(VLOOKUP($AI648,Programma!$F$3:$I$1107,4,0),"")</f>
        <v>1m</v>
      </c>
      <c r="AM648" s="300" t="str">
        <f>_xlfn.IFNA(VLOOKUP($AI648,Programma!$F$3:$J$1107,5,0),"")</f>
        <v>1m</v>
      </c>
      <c r="AN648" s="300" t="str">
        <f>_xlfn.IFNA(VLOOKUP($AI648,Programma!$F$3:$K$1107,6,0),"")</f>
        <v>_</v>
      </c>
      <c r="AO648" s="300" t="str">
        <f>_xlfn.IFNA(VLOOKUP($AI648,Programma!$F$3:$L$1107,7,0),"")</f>
        <v>_</v>
      </c>
      <c r="AP648" s="300" t="str">
        <f>_xlfn.IFNA(VLOOKUP($AI648,Programma!$F$3:$M$1107,8,0),"")</f>
        <v>_</v>
      </c>
      <c r="AQ648" s="300" t="str">
        <f>_xlfn.IFNA(VLOOKUP($AI648,Programma!$F$3:$N$1107,9,0),"")</f>
        <v>_</v>
      </c>
      <c r="AR648" s="300" t="str">
        <f>_xlfn.IFNA(VLOOKUP($AI648,Programma!$F$3:$O$1107,10,0),"")</f>
        <v>_</v>
      </c>
      <c r="AS648" s="300" t="str">
        <f>_xlfn.IFNA(VLOOKUP($AI648,Programma!$F$3:$P$1107,11,0),"")</f>
        <v>_</v>
      </c>
      <c r="AT648" s="300" t="str">
        <f>_xlfn.IFNA(VLOOKUP($AI648,Programma!$F$3:$Q$1107,12,0),"")</f>
        <v>_</v>
      </c>
      <c r="AU648" s="300" t="str">
        <f>_xlfn.IFNA(VLOOKUP($AI648,Programma!$F$3:$R$1107,13,0),"")</f>
        <v>_</v>
      </c>
      <c r="AV648" s="300" t="str">
        <f>_xlfn.IFNA(VLOOKUP($AI648,Programma!$F$3:$S$1107,14,0),"")</f>
        <v>1m</v>
      </c>
      <c r="AW648" s="300" t="str">
        <f>_xlfn.IFNA(VLOOKUP($AI648,Programma!$F$3:$T$1107,15,0),"")</f>
        <v>4j</v>
      </c>
      <c r="AX648" s="300" t="str">
        <f>_xlfn.IFNA(VLOOKUP($AI648,Programma!$F$3:$U$1107,16,0),"")</f>
        <v>4j</v>
      </c>
      <c r="AY648" s="300" t="str">
        <f>_xlfn.IFNA(VLOOKUP($AI648,Programma!$F$3:$V$1107,17,0),"")</f>
        <v>_</v>
      </c>
      <c r="AZ648" s="300" t="str">
        <f>_xlfn.IFNA(VLOOKUP($AI648,Programma!$F$3:$W$1107,18,0),"")</f>
        <v>_</v>
      </c>
      <c r="BA648" s="300" t="str">
        <f>_xlfn.IFNA(VLOOKUP($AI648,Programma!$F$3:$X$1107,19,0),"")</f>
        <v>_</v>
      </c>
      <c r="BB648" s="300" t="str">
        <f>_xlfn.IFNA(VLOOKUP($AI648,Programma!$F$3:$Y$1107,20,0),"")</f>
        <v>_</v>
      </c>
      <c r="BC648" s="257"/>
      <c r="BD648" s="256" t="str">
        <f>IF(Ruimtestaat[[#This Row],[Frequentie weekend]]="","",_xlfn.CONCAT(Ruimtestaat[[#This Row],[Ruimte code]],"-",Ruimtestaat[[#This Row],[Frequentie weekend]]," ",Ruimtestaat[[#This Row],[Vloer code]]))</f>
        <v/>
      </c>
      <c r="BE648" s="300" t="str">
        <f>_xlfn.IFNA(VLOOKUP($BD648,Programma!$F$3:$G$1107,2,0),"")</f>
        <v/>
      </c>
      <c r="BF648" s="300" t="str">
        <f>_xlfn.IFNA(VLOOKUP($BD648,Programma!$F$3:$H$1107,3,0),"")</f>
        <v/>
      </c>
      <c r="BG648" s="300" t="str">
        <f>_xlfn.IFNA(VLOOKUP($BD648,Programma!$F$3:$I$1107,4,0),"")</f>
        <v/>
      </c>
      <c r="BH648" s="300" t="str">
        <f>_xlfn.IFNA(VLOOKUP($BD648,Programma!$F$3:$J$1107,5,0),"")</f>
        <v/>
      </c>
      <c r="BI648" s="300" t="str">
        <f>_xlfn.IFNA(VLOOKUP($BD648,Programma!$F$3:$K$1107,6,0),"")</f>
        <v/>
      </c>
      <c r="BJ648" s="300" t="str">
        <f>_xlfn.IFNA(VLOOKUP($BD648,Programma!$F$3:$L$1107,7,0),"")</f>
        <v/>
      </c>
      <c r="BK648" s="300" t="str">
        <f>_xlfn.IFNA(VLOOKUP($BD648,Programma!$F$3:$M$1107,8,0),"")</f>
        <v/>
      </c>
      <c r="BL648" s="300" t="str">
        <f>_xlfn.IFNA(VLOOKUP($BD648,Programma!$F$3:$N$1107,9,0),"")</f>
        <v/>
      </c>
      <c r="BM648" s="300" t="str">
        <f>_xlfn.IFNA(VLOOKUP($BD648,Programma!$F$3:$O$1107,10,0),"")</f>
        <v/>
      </c>
      <c r="BN648" s="300" t="str">
        <f>_xlfn.IFNA(VLOOKUP($BD648,Programma!$F$3:$P$1107,11,0),"")</f>
        <v/>
      </c>
      <c r="BO648" s="300" t="str">
        <f>_xlfn.IFNA(VLOOKUP($BD648,Programma!$F$3:$Q$1107,12,0),"")</f>
        <v/>
      </c>
      <c r="BP648" s="300" t="str">
        <f>_xlfn.IFNA(VLOOKUP($BD648,Programma!$F$3:$R$1107,13,0),"")</f>
        <v/>
      </c>
      <c r="BQ648" s="300" t="str">
        <f>_xlfn.IFNA(VLOOKUP($BD648,Programma!$F$3:$S$1107,14,0),"")</f>
        <v/>
      </c>
      <c r="BR648" s="300" t="str">
        <f>_xlfn.IFNA(VLOOKUP($BD648,Programma!$F$3:$T$1107,15,0),"")</f>
        <v/>
      </c>
      <c r="BS648" s="300" t="str">
        <f>_xlfn.IFNA(VLOOKUP($BD648,Programma!$F$3:$U$1107,16,0),"")</f>
        <v/>
      </c>
      <c r="BT648" s="300" t="str">
        <f>_xlfn.IFNA(VLOOKUP($BD648,Programma!$F$3:$V$1107,17,0),"")</f>
        <v/>
      </c>
      <c r="BU648" s="300" t="str">
        <f>_xlfn.IFNA(VLOOKUP($BD648,Programma!$F$3:$W$1107,18,0),"")</f>
        <v/>
      </c>
      <c r="BV648" s="300" t="str">
        <f>_xlfn.IFNA(VLOOKUP($BD648,Programma!$F$3:$X$1107,19,0),"")</f>
        <v/>
      </c>
      <c r="BW648" s="300" t="str">
        <f>_xlfn.IFNA(VLOOKUP($BD648,Programma!$F$3:$Y$1107,20,0),"")</f>
        <v/>
      </c>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c r="GK648" s="4"/>
      <c r="GL648" s="4"/>
      <c r="GM648" s="4"/>
      <c r="GN648" s="4"/>
      <c r="GO648" s="4"/>
      <c r="GP648" s="4"/>
      <c r="GQ648" s="4"/>
      <c r="GR648" s="4"/>
      <c r="GS648" s="4"/>
      <c r="GT648" s="4"/>
      <c r="GU648" s="4"/>
      <c r="GV648" s="4"/>
      <c r="GW648" s="4"/>
      <c r="GX648" s="4"/>
      <c r="GY648" s="4"/>
      <c r="GZ648" s="4"/>
      <c r="HA648" s="4"/>
      <c r="HB648" s="4"/>
      <c r="HC648" s="4"/>
      <c r="HD648" s="4"/>
      <c r="HE648" s="4"/>
      <c r="HF648" s="4"/>
      <c r="HG648" s="4"/>
      <c r="HH648" s="4"/>
      <c r="HI648" s="4"/>
      <c r="HJ648" s="4"/>
      <c r="HK648" s="4"/>
      <c r="HL648" s="4"/>
    </row>
    <row r="649" spans="1:220" ht="15" customHeight="1">
      <c r="A649" s="21">
        <v>7</v>
      </c>
      <c r="B649" s="157" t="str">
        <f>VLOOKUP(Ruimtestaat[[#This Row],[Code]],Locaties[[Code]:[Locatie]],2,FALSE)</f>
        <v>Gymnasium Novum</v>
      </c>
      <c r="C649" s="157" t="str">
        <f>VLOOKUP(Ruimtestaat[[#This Row],[Code]],Locaties[[#All],[Code]:[Adres]],4,FALSE)</f>
        <v>Aart v.d. Leeuwkade 1</v>
      </c>
      <c r="D649" s="157" t="str">
        <f>VLOOKUP(Ruimtestaat[[#This Row],[Code]],Locaties[[#All],[Code]:[Postcode]],5,FALSE)</f>
        <v>2274 KX</v>
      </c>
      <c r="E649" s="157" t="str">
        <f>VLOOKUP(Ruimtestaat[[#This Row],[Code]],Locaties[#All],6,FALSE)</f>
        <v>Voorburg</v>
      </c>
      <c r="F649" s="62"/>
      <c r="G649" s="21" t="s">
        <v>1706</v>
      </c>
      <c r="H649" s="21" t="s">
        <v>1707</v>
      </c>
      <c r="I649" s="62" t="s">
        <v>1657</v>
      </c>
      <c r="J649" s="21">
        <v>10</v>
      </c>
      <c r="K649" s="62" t="str">
        <f>VLOOKUP(Ruimtestaat[[#This Row],[Ruimte code]],Ruimtegroepen[[#All],[Code]:[Ruimte omschrijving]],2,FALSE)</f>
        <v>Trappenhuizen/lift</v>
      </c>
      <c r="L649" s="33" t="s">
        <v>102</v>
      </c>
      <c r="M649" s="367" t="s">
        <v>2499</v>
      </c>
      <c r="N649" s="140">
        <v>10</v>
      </c>
      <c r="O649" s="140"/>
      <c r="P649" s="125" t="str">
        <f>VLOOKUP(Ruimtestaat[[#This Row],[Ruimte code]],Ruimtegroepen[],4,FALSE)</f>
        <v>Ve</v>
      </c>
      <c r="R649" s="33">
        <v>40</v>
      </c>
      <c r="S649" s="33" t="s">
        <v>2</v>
      </c>
      <c r="T649" s="33">
        <f>IF(R649&gt;0,IF(RIGHT(Ruimtestaat[[#This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49" s="33">
        <f>IF(T649&gt;0,VLOOKUP($J649,Ruimtegroepen[],3,FALSE)*VLOOKUP($L649,Vloersoorten[],3,FALSE)*VLOOKUP($S649,Frequenties[],3,FALSE)*VLOOKUP($A649,Locaties[],3,FALSE),0)</f>
        <v>0</v>
      </c>
      <c r="V649" s="33">
        <f>Ruimtestaat[[#This Row],[Uitvoeringen werkdagen]]*Ruimtestaat[[#This Row],[Oppervlak (netto)]]</f>
        <v>2000</v>
      </c>
      <c r="W649" s="154">
        <f>IF(U649&gt;0,Ruimtestaat[[#This Row],[Prest. (m2 /jaar) werkdagen]]/Ruimtestaat[[#This Row],[Norm (m2/uur) werkdagen]],0)</f>
        <v>0</v>
      </c>
      <c r="X649" s="155">
        <f>Ruimtestaat[[#This Row],[uren / jaar werkdagen]]*Tariefsopbouw!$E$35</f>
        <v>0</v>
      </c>
      <c r="Y649" s="33"/>
      <c r="Z649" s="33">
        <f>IF(Ruimtestaat[[#This Row],[Frequentie weekend]]&gt;0,VALUE(LEFT(Y649,1))*R649,0)</f>
        <v>0</v>
      </c>
      <c r="AA649" s="97">
        <f>IF($Z649&gt;0,VLOOKUP($J649,Ruimtegroepen[],3,FALSE)*VLOOKUP($L649,Vloersoorten[],3,FALSE)*VLOOKUP($Y649,Frequenties[],3,FALSE)*VLOOKUP(Ruimtestaat[[#This Row],[Code]],Locaties[],3,FALSE),0)</f>
        <v>0</v>
      </c>
      <c r="AB649" s="97">
        <f>Ruimtestaat[[#This Row],[Uitvoeringen weekend]]*Ruimtestaat[[#This Row],[Oppervlak (netto)]]</f>
        <v>0</v>
      </c>
      <c r="AC649" s="97">
        <f>IF(AA649&gt;0,Ruimtestaat[[#This Row],[Prest. (m2 /jaar) weekend]]/Ruimtestaat[[#This Row],[Norm (m2/uur) weekend]],0)</f>
        <v>0</v>
      </c>
      <c r="AD649" s="155">
        <f>Ruimtestaat[[#This Row],[uren / jaar weekend]]*Tariefsopbouw!$D$40</f>
        <v>0</v>
      </c>
      <c r="AE649" s="154">
        <f>Ruimtestaat[[#This Row],[Prest. (m2 /jaar) weekend]]+Ruimtestaat[[#This Row],[Prest. (m2 /jaar) werkdagen]]</f>
        <v>2000</v>
      </c>
      <c r="AF649" s="154">
        <f>Ruimtestaat[[#This Row],[uren / jaar weekend]]+Ruimtestaat[[#This Row],[uren / jaar werkdagen]]</f>
        <v>0</v>
      </c>
      <c r="AG649" s="69">
        <f>Ruimtestaat[[#This Row],[kosten / jaar weekend]]+Ruimtestaat[[#This Row],[kosten / jaar werkdagen]]</f>
        <v>0</v>
      </c>
      <c r="AH649" s="69"/>
      <c r="AI649" s="256" t="str">
        <f>IF(Ruimtestaat[[#This Row],[Frequentie werkdagen]]="","",_xlfn.CONCAT(Ruimtestaat[[#This Row],[Ruimte code]],"-",Ruimtestaat[[#This Row],[Frequentie werkdagen]]," ",Ruimtestaat[[#This Row],[Vloer code]]))</f>
        <v>10-5w S</v>
      </c>
      <c r="AJ649" s="300" t="str">
        <f>_xlfn.IFNA(VLOOKUP($AI649,Programma!$F$3:$G$1107,2,0),"")</f>
        <v>_</v>
      </c>
      <c r="AK649" s="300" t="str">
        <f>_xlfn.IFNA(VLOOKUP($AI649,Programma!$F$3:$H$1107,3,0),"")</f>
        <v>_</v>
      </c>
      <c r="AL649" s="300" t="str">
        <f>_xlfn.IFNA(VLOOKUP($AI649,Programma!$F$3:$I$1107,4,0),"")</f>
        <v>4w</v>
      </c>
      <c r="AM649" s="300" t="str">
        <f>_xlfn.IFNA(VLOOKUP($AI649,Programma!$F$3:$J$1107,5,0),"")</f>
        <v>1w</v>
      </c>
      <c r="AN649" s="300" t="str">
        <f>_xlfn.IFNA(VLOOKUP($AI649,Programma!$F$3:$K$1107,6,0),"")</f>
        <v>4j</v>
      </c>
      <c r="AO649" s="300" t="str">
        <f>_xlfn.IFNA(VLOOKUP($AI649,Programma!$F$3:$L$1107,7,0),"")</f>
        <v>_</v>
      </c>
      <c r="AP649" s="300" t="str">
        <f>_xlfn.IFNA(VLOOKUP($AI649,Programma!$F$3:$M$1107,8,0),"")</f>
        <v>_</v>
      </c>
      <c r="AQ649" s="300" t="str">
        <f>_xlfn.IFNA(VLOOKUP($AI649,Programma!$F$3:$N$1107,9,0),"")</f>
        <v>_</v>
      </c>
      <c r="AR649" s="300" t="str">
        <f>_xlfn.IFNA(VLOOKUP($AI649,Programma!$F$3:$O$1107,10,0),"")</f>
        <v>5w</v>
      </c>
      <c r="AS649" s="300" t="str">
        <f>_xlfn.IFNA(VLOOKUP($AI649,Programma!$F$3:$P$1107,11,0),"")</f>
        <v>5w</v>
      </c>
      <c r="AT649" s="300" t="str">
        <f>_xlfn.IFNA(VLOOKUP($AI649,Programma!$F$3:$Q$1107,12,0),"")</f>
        <v>1w</v>
      </c>
      <c r="AU649" s="300" t="str">
        <f>_xlfn.IFNA(VLOOKUP($AI649,Programma!$F$3:$R$1107,13,0),"")</f>
        <v>1w</v>
      </c>
      <c r="AV649" s="300" t="str">
        <f>_xlfn.IFNA(VLOOKUP($AI649,Programma!$F$3:$S$1107,14,0),"")</f>
        <v>1m</v>
      </c>
      <c r="AW649" s="300" t="str">
        <f>_xlfn.IFNA(VLOOKUP($AI649,Programma!$F$3:$T$1107,15,0),"")</f>
        <v>2j</v>
      </c>
      <c r="AX649" s="300" t="str">
        <f>_xlfn.IFNA(VLOOKUP($AI649,Programma!$F$3:$U$1107,16,0),"")</f>
        <v>1j</v>
      </c>
      <c r="AY649" s="300" t="str">
        <f>_xlfn.IFNA(VLOOKUP($AI649,Programma!$F$3:$V$1107,17,0),"")</f>
        <v>_</v>
      </c>
      <c r="AZ649" s="300" t="str">
        <f>_xlfn.IFNA(VLOOKUP($AI649,Programma!$F$3:$W$1107,18,0),"")</f>
        <v>_</v>
      </c>
      <c r="BA649" s="300" t="str">
        <f>_xlfn.IFNA(VLOOKUP($AI649,Programma!$F$3:$X$1107,19,0),"")</f>
        <v>_</v>
      </c>
      <c r="BB649" s="300" t="str">
        <f>_xlfn.IFNA(VLOOKUP($AI649,Programma!$F$3:$Y$1107,20,0),"")</f>
        <v>_</v>
      </c>
      <c r="BC649" s="257"/>
      <c r="BD649" s="256" t="str">
        <f>IF(Ruimtestaat[[#This Row],[Frequentie weekend]]="","",_xlfn.CONCAT(Ruimtestaat[[#This Row],[Ruimte code]],"-",Ruimtestaat[[#This Row],[Frequentie weekend]]," ",Ruimtestaat[[#This Row],[Vloer code]]))</f>
        <v/>
      </c>
      <c r="BE649" s="300" t="str">
        <f>_xlfn.IFNA(VLOOKUP($BD649,Programma!$F$3:$G$1107,2,0),"")</f>
        <v/>
      </c>
      <c r="BF649" s="300" t="str">
        <f>_xlfn.IFNA(VLOOKUP($BD649,Programma!$F$3:$H$1107,3,0),"")</f>
        <v/>
      </c>
      <c r="BG649" s="300" t="str">
        <f>_xlfn.IFNA(VLOOKUP($BD649,Programma!$F$3:$I$1107,4,0),"")</f>
        <v/>
      </c>
      <c r="BH649" s="300" t="str">
        <f>_xlfn.IFNA(VLOOKUP($BD649,Programma!$F$3:$J$1107,5,0),"")</f>
        <v/>
      </c>
      <c r="BI649" s="300" t="str">
        <f>_xlfn.IFNA(VLOOKUP($BD649,Programma!$F$3:$K$1107,6,0),"")</f>
        <v/>
      </c>
      <c r="BJ649" s="300" t="str">
        <f>_xlfn.IFNA(VLOOKUP($BD649,Programma!$F$3:$L$1107,7,0),"")</f>
        <v/>
      </c>
      <c r="BK649" s="300" t="str">
        <f>_xlfn.IFNA(VLOOKUP($BD649,Programma!$F$3:$M$1107,8,0),"")</f>
        <v/>
      </c>
      <c r="BL649" s="300" t="str">
        <f>_xlfn.IFNA(VLOOKUP($BD649,Programma!$F$3:$N$1107,9,0),"")</f>
        <v/>
      </c>
      <c r="BM649" s="300" t="str">
        <f>_xlfn.IFNA(VLOOKUP($BD649,Programma!$F$3:$O$1107,10,0),"")</f>
        <v/>
      </c>
      <c r="BN649" s="300" t="str">
        <f>_xlfn.IFNA(VLOOKUP($BD649,Programma!$F$3:$P$1107,11,0),"")</f>
        <v/>
      </c>
      <c r="BO649" s="300" t="str">
        <f>_xlfn.IFNA(VLOOKUP($BD649,Programma!$F$3:$Q$1107,12,0),"")</f>
        <v/>
      </c>
      <c r="BP649" s="300" t="str">
        <f>_xlfn.IFNA(VLOOKUP($BD649,Programma!$F$3:$R$1107,13,0),"")</f>
        <v/>
      </c>
      <c r="BQ649" s="300" t="str">
        <f>_xlfn.IFNA(VLOOKUP($BD649,Programma!$F$3:$S$1107,14,0),"")</f>
        <v/>
      </c>
      <c r="BR649" s="300" t="str">
        <f>_xlfn.IFNA(VLOOKUP($BD649,Programma!$F$3:$T$1107,15,0),"")</f>
        <v/>
      </c>
      <c r="BS649" s="300" t="str">
        <f>_xlfn.IFNA(VLOOKUP($BD649,Programma!$F$3:$U$1107,16,0),"")</f>
        <v/>
      </c>
      <c r="BT649" s="300" t="str">
        <f>_xlfn.IFNA(VLOOKUP($BD649,Programma!$F$3:$V$1107,17,0),"")</f>
        <v/>
      </c>
      <c r="BU649" s="300" t="str">
        <f>_xlfn.IFNA(VLOOKUP($BD649,Programma!$F$3:$W$1107,18,0),"")</f>
        <v/>
      </c>
      <c r="BV649" s="300" t="str">
        <f>_xlfn.IFNA(VLOOKUP($BD649,Programma!$F$3:$X$1107,19,0),"")</f>
        <v/>
      </c>
      <c r="BW649" s="300" t="str">
        <f>_xlfn.IFNA(VLOOKUP($BD649,Programma!$F$3:$Y$1107,20,0),"")</f>
        <v/>
      </c>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c r="GK649" s="4"/>
      <c r="GL649" s="4"/>
      <c r="GM649" s="4"/>
      <c r="GN649" s="4"/>
      <c r="GO649" s="4"/>
      <c r="GP649" s="4"/>
      <c r="GQ649" s="4"/>
      <c r="GR649" s="4"/>
      <c r="GS649" s="4"/>
      <c r="GT649" s="4"/>
      <c r="GU649" s="4"/>
      <c r="GV649" s="4"/>
      <c r="GW649" s="4"/>
      <c r="GX649" s="4"/>
      <c r="GY649" s="4"/>
      <c r="GZ649" s="4"/>
      <c r="HA649" s="4"/>
      <c r="HB649" s="4"/>
      <c r="HC649" s="4"/>
      <c r="HD649" s="4"/>
      <c r="HE649" s="4"/>
      <c r="HF649" s="4"/>
      <c r="HG649" s="4"/>
      <c r="HH649" s="4"/>
      <c r="HI649" s="4"/>
      <c r="HJ649" s="4"/>
      <c r="HK649" s="4"/>
      <c r="HL649" s="4"/>
    </row>
    <row r="650" spans="1:220" ht="15" customHeight="1">
      <c r="A650" s="21">
        <v>7</v>
      </c>
      <c r="B650" s="157" t="str">
        <f>VLOOKUP(Ruimtestaat[[#This Row],[Code]],Locaties[[Code]:[Locatie]],2,FALSE)</f>
        <v>Gymnasium Novum</v>
      </c>
      <c r="C650" s="157" t="str">
        <f>VLOOKUP(Ruimtestaat[[#This Row],[Code]],Locaties[[#All],[Code]:[Adres]],4,FALSE)</f>
        <v>Aart v.d. Leeuwkade 1</v>
      </c>
      <c r="D650" s="157" t="str">
        <f>VLOOKUP(Ruimtestaat[[#This Row],[Code]],Locaties[[#All],[Code]:[Postcode]],5,FALSE)</f>
        <v>2274 KX</v>
      </c>
      <c r="E650" s="157" t="str">
        <f>VLOOKUP(Ruimtestaat[[#This Row],[Code]],Locaties[#All],6,FALSE)</f>
        <v>Voorburg</v>
      </c>
      <c r="F650" s="62"/>
      <c r="G650" s="21" t="s">
        <v>1706</v>
      </c>
      <c r="H650" s="21" t="s">
        <v>1708</v>
      </c>
      <c r="I650" s="62" t="s">
        <v>2183</v>
      </c>
      <c r="J650" s="21">
        <v>2</v>
      </c>
      <c r="K650" s="62" t="str">
        <f>VLOOKUP(Ruimtestaat[[#This Row],[Ruimte code]],Ruimtegroepen[[#All],[Code]:[Ruimte omschrijving]],2,FALSE)</f>
        <v>Kantoren</v>
      </c>
      <c r="L650" s="33" t="s">
        <v>101</v>
      </c>
      <c r="M650" s="367" t="s">
        <v>2495</v>
      </c>
      <c r="N650" s="140">
        <v>14</v>
      </c>
      <c r="O650" s="140"/>
      <c r="P650" s="125" t="str">
        <f>VLOOKUP(Ruimtestaat[[#This Row],[Ruimte code]],Ruimtegroepen[],4,FALSE)</f>
        <v>Bu</v>
      </c>
      <c r="R650" s="33">
        <v>42</v>
      </c>
      <c r="S650" s="33" t="s">
        <v>18</v>
      </c>
      <c r="T650" s="33">
        <f>IF(R650&gt;0,IF(RIGHT(Ruimtestaat[[#This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50" s="33">
        <f>IF(T650&gt;0,VLOOKUP($J650,Ruimtegroepen[],3,FALSE)*VLOOKUP($L650,Vloersoorten[],3,FALSE)*VLOOKUP($S650,Frequenties[],3,FALSE)*VLOOKUP($A650,Locaties[],3,FALSE),0)</f>
        <v>0</v>
      </c>
      <c r="V650" s="33">
        <f>Ruimtestaat[[#This Row],[Uitvoeringen werkdagen]]*Ruimtestaat[[#This Row],[Oppervlak (netto)]]</f>
        <v>1764</v>
      </c>
      <c r="W650" s="154">
        <f>IF(U650&gt;0,Ruimtestaat[[#This Row],[Prest. (m2 /jaar) werkdagen]]/Ruimtestaat[[#This Row],[Norm (m2/uur) werkdagen]],0)</f>
        <v>0</v>
      </c>
      <c r="X650" s="155">
        <f>Ruimtestaat[[#This Row],[uren / jaar werkdagen]]*Tariefsopbouw!$E$35</f>
        <v>0</v>
      </c>
      <c r="Y650" s="33"/>
      <c r="Z650" s="33">
        <f>IF(Ruimtestaat[[#This Row],[Frequentie weekend]]&gt;0,VALUE(LEFT(Y650,1))*R650,0)</f>
        <v>0</v>
      </c>
      <c r="AA650" s="97">
        <f>IF($Z650&gt;0,VLOOKUP($J650,Ruimtegroepen[],3,FALSE)*VLOOKUP($L650,Vloersoorten[],3,FALSE)*VLOOKUP($Y650,Frequenties[],3,FALSE)*VLOOKUP(Ruimtestaat[[#This Row],[Code]],Locaties[],3,FALSE),0)</f>
        <v>0</v>
      </c>
      <c r="AB650" s="97">
        <f>Ruimtestaat[[#This Row],[Uitvoeringen weekend]]*Ruimtestaat[[#This Row],[Oppervlak (netto)]]</f>
        <v>0</v>
      </c>
      <c r="AC650" s="97">
        <f>IF(AA650&gt;0,Ruimtestaat[[#This Row],[Prest. (m2 /jaar) weekend]]/Ruimtestaat[[#This Row],[Norm (m2/uur) weekend]],0)</f>
        <v>0</v>
      </c>
      <c r="AD650" s="155">
        <f>Ruimtestaat[[#This Row],[uren / jaar weekend]]*Tariefsopbouw!$D$40</f>
        <v>0</v>
      </c>
      <c r="AE650" s="154">
        <f>Ruimtestaat[[#This Row],[Prest. (m2 /jaar) weekend]]+Ruimtestaat[[#This Row],[Prest. (m2 /jaar) werkdagen]]</f>
        <v>1764</v>
      </c>
      <c r="AF650" s="154">
        <f>Ruimtestaat[[#This Row],[uren / jaar weekend]]+Ruimtestaat[[#This Row],[uren / jaar werkdagen]]</f>
        <v>0</v>
      </c>
      <c r="AG650" s="69">
        <f>Ruimtestaat[[#This Row],[kosten / jaar weekend]]+Ruimtestaat[[#This Row],[kosten / jaar werkdagen]]</f>
        <v>0</v>
      </c>
      <c r="AH650" s="69"/>
      <c r="AI650" s="256" t="str">
        <f>IF(Ruimtestaat[[#This Row],[Frequentie werkdagen]]="","",_xlfn.CONCAT(Ruimtestaat[[#This Row],[Ruimte code]],"-",Ruimtestaat[[#This Row],[Frequentie werkdagen]]," ",Ruimtestaat[[#This Row],[Vloer code]]))</f>
        <v>2-3w L</v>
      </c>
      <c r="AJ650" s="300" t="str">
        <f>_xlfn.IFNA(VLOOKUP($AI650,Programma!$F$3:$G$1107,2,0),"")</f>
        <v>_</v>
      </c>
      <c r="AK650" s="300" t="str">
        <f>_xlfn.IFNA(VLOOKUP($AI650,Programma!$F$3:$H$1107,3,0),"")</f>
        <v>_</v>
      </c>
      <c r="AL650" s="300" t="str">
        <f>_xlfn.IFNA(VLOOKUP($AI650,Programma!$F$3:$I$1107,4,0),"")</f>
        <v>2w</v>
      </c>
      <c r="AM650" s="300" t="str">
        <f>_xlfn.IFNA(VLOOKUP($AI650,Programma!$F$3:$J$1107,5,0),"")</f>
        <v>1w</v>
      </c>
      <c r="AN650" s="300" t="str">
        <f>_xlfn.IFNA(VLOOKUP($AI650,Programma!$F$3:$K$1107,6,0),"")</f>
        <v>_</v>
      </c>
      <c r="AO650" s="300" t="str">
        <f>_xlfn.IFNA(VLOOKUP($AI650,Programma!$F$3:$L$1107,7,0),"")</f>
        <v>_</v>
      </c>
      <c r="AP650" s="300" t="str">
        <f>_xlfn.IFNA(VLOOKUP($AI650,Programma!$F$3:$M$1107,8,0),"")</f>
        <v>_</v>
      </c>
      <c r="AQ650" s="300" t="str">
        <f>_xlfn.IFNA(VLOOKUP($AI650,Programma!$F$3:$N$1107,9,0),"")</f>
        <v>_</v>
      </c>
      <c r="AR650" s="300" t="str">
        <f>_xlfn.IFNA(VLOOKUP($AI650,Programma!$F$3:$O$1107,10,0),"")</f>
        <v>3w</v>
      </c>
      <c r="AS650" s="300" t="str">
        <f>_xlfn.IFNA(VLOOKUP($AI650,Programma!$F$3:$P$1107,11,0),"")</f>
        <v>3w</v>
      </c>
      <c r="AT650" s="300" t="str">
        <f>_xlfn.IFNA(VLOOKUP($AI650,Programma!$F$3:$Q$1107,12,0),"")</f>
        <v>1w</v>
      </c>
      <c r="AU650" s="300" t="str">
        <f>_xlfn.IFNA(VLOOKUP($AI650,Programma!$F$3:$R$1107,13,0),"")</f>
        <v>1w</v>
      </c>
      <c r="AV650" s="300" t="str">
        <f>_xlfn.IFNA(VLOOKUP($AI650,Programma!$F$3:$S$1107,14,0),"")</f>
        <v>1m</v>
      </c>
      <c r="AW650" s="300" t="str">
        <f>_xlfn.IFNA(VLOOKUP($AI650,Programma!$F$3:$T$1107,15,0),"")</f>
        <v>2j</v>
      </c>
      <c r="AX650" s="300" t="str">
        <f>_xlfn.IFNA(VLOOKUP($AI650,Programma!$F$3:$U$1107,16,0),"")</f>
        <v>1j</v>
      </c>
      <c r="AY650" s="300" t="str">
        <f>_xlfn.IFNA(VLOOKUP($AI650,Programma!$F$3:$V$1107,17,0),"")</f>
        <v>_</v>
      </c>
      <c r="AZ650" s="300" t="str">
        <f>_xlfn.IFNA(VLOOKUP($AI650,Programma!$F$3:$W$1107,18,0),"")</f>
        <v>_</v>
      </c>
      <c r="BA650" s="300" t="str">
        <f>_xlfn.IFNA(VLOOKUP($AI650,Programma!$F$3:$X$1107,19,0),"")</f>
        <v>_</v>
      </c>
      <c r="BB650" s="300" t="str">
        <f>_xlfn.IFNA(VLOOKUP($AI650,Programma!$F$3:$Y$1107,20,0),"")</f>
        <v>_</v>
      </c>
      <c r="BC650" s="257"/>
      <c r="BD650" s="256" t="str">
        <f>IF(Ruimtestaat[[#This Row],[Frequentie weekend]]="","",_xlfn.CONCAT(Ruimtestaat[[#This Row],[Ruimte code]],"-",Ruimtestaat[[#This Row],[Frequentie weekend]]," ",Ruimtestaat[[#This Row],[Vloer code]]))</f>
        <v/>
      </c>
      <c r="BE650" s="300" t="str">
        <f>_xlfn.IFNA(VLOOKUP($BD650,Programma!$F$3:$G$1107,2,0),"")</f>
        <v/>
      </c>
      <c r="BF650" s="300" t="str">
        <f>_xlfn.IFNA(VLOOKUP($BD650,Programma!$F$3:$H$1107,3,0),"")</f>
        <v/>
      </c>
      <c r="BG650" s="300" t="str">
        <f>_xlfn.IFNA(VLOOKUP($BD650,Programma!$F$3:$I$1107,4,0),"")</f>
        <v/>
      </c>
      <c r="BH650" s="300" t="str">
        <f>_xlfn.IFNA(VLOOKUP($BD650,Programma!$F$3:$J$1107,5,0),"")</f>
        <v/>
      </c>
      <c r="BI650" s="300" t="str">
        <f>_xlfn.IFNA(VLOOKUP($BD650,Programma!$F$3:$K$1107,6,0),"")</f>
        <v/>
      </c>
      <c r="BJ650" s="300" t="str">
        <f>_xlfn.IFNA(VLOOKUP($BD650,Programma!$F$3:$L$1107,7,0),"")</f>
        <v/>
      </c>
      <c r="BK650" s="300" t="str">
        <f>_xlfn.IFNA(VLOOKUP($BD650,Programma!$F$3:$M$1107,8,0),"")</f>
        <v/>
      </c>
      <c r="BL650" s="300" t="str">
        <f>_xlfn.IFNA(VLOOKUP($BD650,Programma!$F$3:$N$1107,9,0),"")</f>
        <v/>
      </c>
      <c r="BM650" s="300" t="str">
        <f>_xlfn.IFNA(VLOOKUP($BD650,Programma!$F$3:$O$1107,10,0),"")</f>
        <v/>
      </c>
      <c r="BN650" s="300" t="str">
        <f>_xlfn.IFNA(VLOOKUP($BD650,Programma!$F$3:$P$1107,11,0),"")</f>
        <v/>
      </c>
      <c r="BO650" s="300" t="str">
        <f>_xlfn.IFNA(VLOOKUP($BD650,Programma!$F$3:$Q$1107,12,0),"")</f>
        <v/>
      </c>
      <c r="BP650" s="300" t="str">
        <f>_xlfn.IFNA(VLOOKUP($BD650,Programma!$F$3:$R$1107,13,0),"")</f>
        <v/>
      </c>
      <c r="BQ650" s="300" t="str">
        <f>_xlfn.IFNA(VLOOKUP($BD650,Programma!$F$3:$S$1107,14,0),"")</f>
        <v/>
      </c>
      <c r="BR650" s="300" t="str">
        <f>_xlfn.IFNA(VLOOKUP($BD650,Programma!$F$3:$T$1107,15,0),"")</f>
        <v/>
      </c>
      <c r="BS650" s="300" t="str">
        <f>_xlfn.IFNA(VLOOKUP($BD650,Programma!$F$3:$U$1107,16,0),"")</f>
        <v/>
      </c>
      <c r="BT650" s="300" t="str">
        <f>_xlfn.IFNA(VLOOKUP($BD650,Programma!$F$3:$V$1107,17,0),"")</f>
        <v/>
      </c>
      <c r="BU650" s="300" t="str">
        <f>_xlfn.IFNA(VLOOKUP($BD650,Programma!$F$3:$W$1107,18,0),"")</f>
        <v/>
      </c>
      <c r="BV650" s="300" t="str">
        <f>_xlfn.IFNA(VLOOKUP($BD650,Programma!$F$3:$X$1107,19,0),"")</f>
        <v/>
      </c>
      <c r="BW650" s="300" t="str">
        <f>_xlfn.IFNA(VLOOKUP($BD650,Programma!$F$3:$Y$1107,20,0),"")</f>
        <v/>
      </c>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c r="GK650" s="4"/>
      <c r="GL650" s="4"/>
      <c r="GM650" s="4"/>
      <c r="GN650" s="4"/>
      <c r="GO650" s="4"/>
      <c r="GP650" s="4"/>
      <c r="GQ650" s="4"/>
      <c r="GR650" s="4"/>
      <c r="GS650" s="4"/>
      <c r="GT650" s="4"/>
      <c r="GU650" s="4"/>
      <c r="GV650" s="4"/>
      <c r="GW650" s="4"/>
      <c r="GX650" s="4"/>
      <c r="GY650" s="4"/>
      <c r="GZ650" s="4"/>
      <c r="HA650" s="4"/>
      <c r="HB650" s="4"/>
      <c r="HC650" s="4"/>
      <c r="HD650" s="4"/>
      <c r="HE650" s="4"/>
      <c r="HF650" s="4"/>
      <c r="HG650" s="4"/>
      <c r="HH650" s="4"/>
      <c r="HI650" s="4"/>
      <c r="HJ650" s="4"/>
      <c r="HK650" s="4"/>
      <c r="HL650" s="4"/>
    </row>
    <row r="651" spans="1:220" ht="15" customHeight="1">
      <c r="A651" s="21">
        <v>7</v>
      </c>
      <c r="B651" s="157" t="str">
        <f>VLOOKUP(Ruimtestaat[[#This Row],[Code]],Locaties[[Code]:[Locatie]],2,FALSE)</f>
        <v>Gymnasium Novum</v>
      </c>
      <c r="C651" s="157" t="str">
        <f>VLOOKUP(Ruimtestaat[[#This Row],[Code]],Locaties[[#All],[Code]:[Adres]],4,FALSE)</f>
        <v>Aart v.d. Leeuwkade 1</v>
      </c>
      <c r="D651" s="157" t="str">
        <f>VLOOKUP(Ruimtestaat[[#This Row],[Code]],Locaties[[#All],[Code]:[Postcode]],5,FALSE)</f>
        <v>2274 KX</v>
      </c>
      <c r="E651" s="157" t="str">
        <f>VLOOKUP(Ruimtestaat[[#This Row],[Code]],Locaties[#All],6,FALSE)</f>
        <v>Voorburg</v>
      </c>
      <c r="F651" s="62"/>
      <c r="G651" s="21" t="s">
        <v>1706</v>
      </c>
      <c r="H651" s="21" t="s">
        <v>1709</v>
      </c>
      <c r="I651" s="62" t="s">
        <v>2184</v>
      </c>
      <c r="J651" s="21">
        <v>16</v>
      </c>
      <c r="K651" s="62" t="str">
        <f>VLOOKUP(Ruimtestaat[[#This Row],[Ruimte code]],Ruimtegroepen[[#All],[Code]:[Ruimte omschrijving]],2,FALSE)</f>
        <v>Leslokalen theorie</v>
      </c>
      <c r="L651" s="33" t="s">
        <v>101</v>
      </c>
      <c r="M651" s="367" t="s">
        <v>2495</v>
      </c>
      <c r="N651" s="140">
        <v>76</v>
      </c>
      <c r="O651" s="140"/>
      <c r="P651" s="125" t="str">
        <f>VLOOKUP(Ruimtestaat[[#This Row],[Ruimte code]],Ruimtegroepen[],4,FALSE)</f>
        <v>Le</v>
      </c>
      <c r="R651" s="33">
        <v>40</v>
      </c>
      <c r="S651" s="33" t="s">
        <v>2</v>
      </c>
      <c r="T651" s="33">
        <f>IF(R651&gt;0,IF(RIGHT(Ruimtestaat[[#This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51" s="33">
        <f>IF(T651&gt;0,VLOOKUP($J651,Ruimtegroepen[],3,FALSE)*VLOOKUP($L651,Vloersoorten[],3,FALSE)*VLOOKUP($S651,Frequenties[],3,FALSE)*VLOOKUP($A651,Locaties[],3,FALSE),0)</f>
        <v>0</v>
      </c>
      <c r="V651" s="33">
        <f>Ruimtestaat[[#This Row],[Uitvoeringen werkdagen]]*Ruimtestaat[[#This Row],[Oppervlak (netto)]]</f>
        <v>15200</v>
      </c>
      <c r="W651" s="154">
        <f>IF(U651&gt;0,Ruimtestaat[[#This Row],[Prest. (m2 /jaar) werkdagen]]/Ruimtestaat[[#This Row],[Norm (m2/uur) werkdagen]],0)</f>
        <v>0</v>
      </c>
      <c r="X651" s="155">
        <f>Ruimtestaat[[#This Row],[uren / jaar werkdagen]]*Tariefsopbouw!$E$35</f>
        <v>0</v>
      </c>
      <c r="Y651" s="33"/>
      <c r="Z651" s="33">
        <f>IF(Ruimtestaat[[#This Row],[Frequentie weekend]]&gt;0,VALUE(LEFT(Y651,1))*R651,0)</f>
        <v>0</v>
      </c>
      <c r="AA651" s="97">
        <f>IF($Z651&gt;0,VLOOKUP($J651,Ruimtegroepen[],3,FALSE)*VLOOKUP($L651,Vloersoorten[],3,FALSE)*VLOOKUP($Y651,Frequenties[],3,FALSE)*VLOOKUP(Ruimtestaat[[#This Row],[Code]],Locaties[],3,FALSE),0)</f>
        <v>0</v>
      </c>
      <c r="AB651" s="97">
        <f>Ruimtestaat[[#This Row],[Uitvoeringen weekend]]*Ruimtestaat[[#This Row],[Oppervlak (netto)]]</f>
        <v>0</v>
      </c>
      <c r="AC651" s="97">
        <f>IF(AA651&gt;0,Ruimtestaat[[#This Row],[Prest. (m2 /jaar) weekend]]/Ruimtestaat[[#This Row],[Norm (m2/uur) weekend]],0)</f>
        <v>0</v>
      </c>
      <c r="AD651" s="155">
        <f>Ruimtestaat[[#This Row],[uren / jaar weekend]]*Tariefsopbouw!$D$40</f>
        <v>0</v>
      </c>
      <c r="AE651" s="154">
        <f>Ruimtestaat[[#This Row],[Prest. (m2 /jaar) weekend]]+Ruimtestaat[[#This Row],[Prest. (m2 /jaar) werkdagen]]</f>
        <v>15200</v>
      </c>
      <c r="AF651" s="154">
        <f>Ruimtestaat[[#This Row],[uren / jaar weekend]]+Ruimtestaat[[#This Row],[uren / jaar werkdagen]]</f>
        <v>0</v>
      </c>
      <c r="AG651" s="69">
        <f>Ruimtestaat[[#This Row],[kosten / jaar weekend]]+Ruimtestaat[[#This Row],[kosten / jaar werkdagen]]</f>
        <v>0</v>
      </c>
      <c r="AH651" s="69"/>
      <c r="AI651" s="256" t="str">
        <f>IF(Ruimtestaat[[#This Row],[Frequentie werkdagen]]="","",_xlfn.CONCAT(Ruimtestaat[[#This Row],[Ruimte code]],"-",Ruimtestaat[[#This Row],[Frequentie werkdagen]]," ",Ruimtestaat[[#This Row],[Vloer code]]))</f>
        <v>16-5w L</v>
      </c>
      <c r="AJ651" s="300" t="str">
        <f>_xlfn.IFNA(VLOOKUP($AI651,Programma!$F$3:$G$1107,2,0),"")</f>
        <v>_</v>
      </c>
      <c r="AK651" s="300" t="str">
        <f>_xlfn.IFNA(VLOOKUP($AI651,Programma!$F$3:$H$1107,3,0),"")</f>
        <v>_</v>
      </c>
      <c r="AL651" s="300" t="str">
        <f>_xlfn.IFNA(VLOOKUP($AI651,Programma!$F$3:$I$1107,4,0),"")</f>
        <v>4w</v>
      </c>
      <c r="AM651" s="300" t="str">
        <f>_xlfn.IFNA(VLOOKUP($AI651,Programma!$F$3:$J$1107,5,0),"")</f>
        <v>1w</v>
      </c>
      <c r="AN651" s="300" t="str">
        <f>_xlfn.IFNA(VLOOKUP($AI651,Programma!$F$3:$K$1107,6,0),"")</f>
        <v>_</v>
      </c>
      <c r="AO651" s="300" t="str">
        <f>_xlfn.IFNA(VLOOKUP($AI651,Programma!$F$3:$L$1107,7,0),"")</f>
        <v>_</v>
      </c>
      <c r="AP651" s="300" t="str">
        <f>_xlfn.IFNA(VLOOKUP($AI651,Programma!$F$3:$M$1107,8,0),"")</f>
        <v>_</v>
      </c>
      <c r="AQ651" s="300" t="str">
        <f>_xlfn.IFNA(VLOOKUP($AI651,Programma!$F$3:$N$1107,9,0),"")</f>
        <v>_</v>
      </c>
      <c r="AR651" s="300" t="str">
        <f>_xlfn.IFNA(VLOOKUP($AI651,Programma!$F$3:$O$1107,10,0),"")</f>
        <v>5w</v>
      </c>
      <c r="AS651" s="300" t="str">
        <f>_xlfn.IFNA(VLOOKUP($AI651,Programma!$F$3:$P$1107,11,0),"")</f>
        <v>5w</v>
      </c>
      <c r="AT651" s="300" t="str">
        <f>_xlfn.IFNA(VLOOKUP($AI651,Programma!$F$3:$Q$1107,12,0),"")</f>
        <v>1w</v>
      </c>
      <c r="AU651" s="300" t="str">
        <f>_xlfn.IFNA(VLOOKUP($AI651,Programma!$F$3:$R$1107,13,0),"")</f>
        <v>1w</v>
      </c>
      <c r="AV651" s="300" t="str">
        <f>_xlfn.IFNA(VLOOKUP($AI651,Programma!$F$3:$S$1107,14,0),"")</f>
        <v>1m</v>
      </c>
      <c r="AW651" s="300" t="str">
        <f>_xlfn.IFNA(VLOOKUP($AI651,Programma!$F$3:$T$1107,15,0),"")</f>
        <v>2j</v>
      </c>
      <c r="AX651" s="300" t="str">
        <f>_xlfn.IFNA(VLOOKUP($AI651,Programma!$F$3:$U$1107,16,0),"")</f>
        <v>1j</v>
      </c>
      <c r="AY651" s="300" t="str">
        <f>_xlfn.IFNA(VLOOKUP($AI651,Programma!$F$3:$V$1107,17,0),"")</f>
        <v>_</v>
      </c>
      <c r="AZ651" s="300" t="str">
        <f>_xlfn.IFNA(VLOOKUP($AI651,Programma!$F$3:$W$1107,18,0),"")</f>
        <v>_</v>
      </c>
      <c r="BA651" s="300" t="str">
        <f>_xlfn.IFNA(VLOOKUP($AI651,Programma!$F$3:$X$1107,19,0),"")</f>
        <v>_</v>
      </c>
      <c r="BB651" s="300" t="str">
        <f>_xlfn.IFNA(VLOOKUP($AI651,Programma!$F$3:$Y$1107,20,0),"")</f>
        <v>_</v>
      </c>
      <c r="BC651" s="257"/>
      <c r="BD651" s="256" t="str">
        <f>IF(Ruimtestaat[[#This Row],[Frequentie weekend]]="","",_xlfn.CONCAT(Ruimtestaat[[#This Row],[Ruimte code]],"-",Ruimtestaat[[#This Row],[Frequentie weekend]]," ",Ruimtestaat[[#This Row],[Vloer code]]))</f>
        <v/>
      </c>
      <c r="BE651" s="300" t="str">
        <f>_xlfn.IFNA(VLOOKUP($BD651,Programma!$F$3:$G$1107,2,0),"")</f>
        <v/>
      </c>
      <c r="BF651" s="300" t="str">
        <f>_xlfn.IFNA(VLOOKUP($BD651,Programma!$F$3:$H$1107,3,0),"")</f>
        <v/>
      </c>
      <c r="BG651" s="300" t="str">
        <f>_xlfn.IFNA(VLOOKUP($BD651,Programma!$F$3:$I$1107,4,0),"")</f>
        <v/>
      </c>
      <c r="BH651" s="300" t="str">
        <f>_xlfn.IFNA(VLOOKUP($BD651,Programma!$F$3:$J$1107,5,0),"")</f>
        <v/>
      </c>
      <c r="BI651" s="300" t="str">
        <f>_xlfn.IFNA(VLOOKUP($BD651,Programma!$F$3:$K$1107,6,0),"")</f>
        <v/>
      </c>
      <c r="BJ651" s="300" t="str">
        <f>_xlfn.IFNA(VLOOKUP($BD651,Programma!$F$3:$L$1107,7,0),"")</f>
        <v/>
      </c>
      <c r="BK651" s="300" t="str">
        <f>_xlfn.IFNA(VLOOKUP($BD651,Programma!$F$3:$M$1107,8,0),"")</f>
        <v/>
      </c>
      <c r="BL651" s="300" t="str">
        <f>_xlfn.IFNA(VLOOKUP($BD651,Programma!$F$3:$N$1107,9,0),"")</f>
        <v/>
      </c>
      <c r="BM651" s="300" t="str">
        <f>_xlfn.IFNA(VLOOKUP($BD651,Programma!$F$3:$O$1107,10,0),"")</f>
        <v/>
      </c>
      <c r="BN651" s="300" t="str">
        <f>_xlfn.IFNA(VLOOKUP($BD651,Programma!$F$3:$P$1107,11,0),"")</f>
        <v/>
      </c>
      <c r="BO651" s="300" t="str">
        <f>_xlfn.IFNA(VLOOKUP($BD651,Programma!$F$3:$Q$1107,12,0),"")</f>
        <v/>
      </c>
      <c r="BP651" s="300" t="str">
        <f>_xlfn.IFNA(VLOOKUP($BD651,Programma!$F$3:$R$1107,13,0),"")</f>
        <v/>
      </c>
      <c r="BQ651" s="300" t="str">
        <f>_xlfn.IFNA(VLOOKUP($BD651,Programma!$F$3:$S$1107,14,0),"")</f>
        <v/>
      </c>
      <c r="BR651" s="300" t="str">
        <f>_xlfn.IFNA(VLOOKUP($BD651,Programma!$F$3:$T$1107,15,0),"")</f>
        <v/>
      </c>
      <c r="BS651" s="300" t="str">
        <f>_xlfn.IFNA(VLOOKUP($BD651,Programma!$F$3:$U$1107,16,0),"")</f>
        <v/>
      </c>
      <c r="BT651" s="300" t="str">
        <f>_xlfn.IFNA(VLOOKUP($BD651,Programma!$F$3:$V$1107,17,0),"")</f>
        <v/>
      </c>
      <c r="BU651" s="300" t="str">
        <f>_xlfn.IFNA(VLOOKUP($BD651,Programma!$F$3:$W$1107,18,0),"")</f>
        <v/>
      </c>
      <c r="BV651" s="300" t="str">
        <f>_xlfn.IFNA(VLOOKUP($BD651,Programma!$F$3:$X$1107,19,0),"")</f>
        <v/>
      </c>
      <c r="BW651" s="300" t="str">
        <f>_xlfn.IFNA(VLOOKUP($BD651,Programma!$F$3:$Y$1107,20,0),"")</f>
        <v/>
      </c>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c r="GK651" s="4"/>
      <c r="GL651" s="4"/>
      <c r="GM651" s="4"/>
      <c r="GN651" s="4"/>
      <c r="GO651" s="4"/>
      <c r="GP651" s="4"/>
      <c r="GQ651" s="4"/>
      <c r="GR651" s="4"/>
      <c r="GS651" s="4"/>
      <c r="GT651" s="4"/>
      <c r="GU651" s="4"/>
      <c r="GV651" s="4"/>
      <c r="GW651" s="4"/>
      <c r="GX651" s="4"/>
      <c r="GY651" s="4"/>
      <c r="GZ651" s="4"/>
      <c r="HA651" s="4"/>
      <c r="HB651" s="4"/>
      <c r="HC651" s="4"/>
      <c r="HD651" s="4"/>
      <c r="HE651" s="4"/>
      <c r="HF651" s="4"/>
      <c r="HG651" s="4"/>
      <c r="HH651" s="4"/>
      <c r="HI651" s="4"/>
      <c r="HJ651" s="4"/>
      <c r="HK651" s="4"/>
      <c r="HL651" s="4"/>
    </row>
    <row r="652" spans="1:220" ht="15" customHeight="1">
      <c r="A652" s="21">
        <v>7</v>
      </c>
      <c r="B652" s="157" t="str">
        <f>VLOOKUP(Ruimtestaat[[#This Row],[Code]],Locaties[[Code]:[Locatie]],2,FALSE)</f>
        <v>Gymnasium Novum</v>
      </c>
      <c r="C652" s="157" t="str">
        <f>VLOOKUP(Ruimtestaat[[#This Row],[Code]],Locaties[[#All],[Code]:[Adres]],4,FALSE)</f>
        <v>Aart v.d. Leeuwkade 1</v>
      </c>
      <c r="D652" s="157" t="str">
        <f>VLOOKUP(Ruimtestaat[[#This Row],[Code]],Locaties[[#All],[Code]:[Postcode]],5,FALSE)</f>
        <v>2274 KX</v>
      </c>
      <c r="E652" s="157" t="str">
        <f>VLOOKUP(Ruimtestaat[[#This Row],[Code]],Locaties[#All],6,FALSE)</f>
        <v>Voorburg</v>
      </c>
      <c r="F652" s="62"/>
      <c r="G652" s="21" t="s">
        <v>1706</v>
      </c>
      <c r="H652" s="21" t="s">
        <v>1710</v>
      </c>
      <c r="I652" s="62" t="s">
        <v>2185</v>
      </c>
      <c r="J652" s="21">
        <v>6</v>
      </c>
      <c r="K652" s="62" t="str">
        <f>VLOOKUP(Ruimtestaat[[#This Row],[Ruimte code]],Ruimtegroepen[[#All],[Code]:[Ruimte omschrijving]],2,FALSE)</f>
        <v>Gangen/hallen</v>
      </c>
      <c r="L652" s="33" t="s">
        <v>101</v>
      </c>
      <c r="M652" s="367" t="s">
        <v>2495</v>
      </c>
      <c r="N652" s="140">
        <v>4</v>
      </c>
      <c r="O652" s="140"/>
      <c r="P652" s="125" t="str">
        <f>VLOOKUP(Ruimtestaat[[#This Row],[Ruimte code]],Ruimtegroepen[],4,FALSE)</f>
        <v>Ve</v>
      </c>
      <c r="R652" s="33">
        <v>40</v>
      </c>
      <c r="S652" s="33" t="s">
        <v>2</v>
      </c>
      <c r="T652" s="33">
        <f>IF(R652&gt;0,IF(RIGHT(Ruimtestaat[[#This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52" s="33">
        <f>IF(T652&gt;0,VLOOKUP($J652,Ruimtegroepen[],3,FALSE)*VLOOKUP($L652,Vloersoorten[],3,FALSE)*VLOOKUP($S652,Frequenties[],3,FALSE)*VLOOKUP($A652,Locaties[],3,FALSE),0)</f>
        <v>0</v>
      </c>
      <c r="V652" s="33">
        <f>Ruimtestaat[[#This Row],[Uitvoeringen werkdagen]]*Ruimtestaat[[#This Row],[Oppervlak (netto)]]</f>
        <v>800</v>
      </c>
      <c r="W652" s="154">
        <f>IF(U652&gt;0,Ruimtestaat[[#This Row],[Prest. (m2 /jaar) werkdagen]]/Ruimtestaat[[#This Row],[Norm (m2/uur) werkdagen]],0)</f>
        <v>0</v>
      </c>
      <c r="X652" s="155">
        <f>Ruimtestaat[[#This Row],[uren / jaar werkdagen]]*Tariefsopbouw!$E$35</f>
        <v>0</v>
      </c>
      <c r="Y652" s="33"/>
      <c r="Z652" s="33">
        <f>IF(Ruimtestaat[[#This Row],[Frequentie weekend]]&gt;0,VALUE(LEFT(Y652,1))*R652,0)</f>
        <v>0</v>
      </c>
      <c r="AA652" s="97">
        <f>IF($Z652&gt;0,VLOOKUP($J652,Ruimtegroepen[],3,FALSE)*VLOOKUP($L652,Vloersoorten[],3,FALSE)*VLOOKUP($Y652,Frequenties[],3,FALSE)*VLOOKUP(Ruimtestaat[[#This Row],[Code]],Locaties[],3,FALSE),0)</f>
        <v>0</v>
      </c>
      <c r="AB652" s="97">
        <f>Ruimtestaat[[#This Row],[Uitvoeringen weekend]]*Ruimtestaat[[#This Row],[Oppervlak (netto)]]</f>
        <v>0</v>
      </c>
      <c r="AC652" s="97">
        <f>IF(AA652&gt;0,Ruimtestaat[[#This Row],[Prest. (m2 /jaar) weekend]]/Ruimtestaat[[#This Row],[Norm (m2/uur) weekend]],0)</f>
        <v>0</v>
      </c>
      <c r="AD652" s="155">
        <f>Ruimtestaat[[#This Row],[uren / jaar weekend]]*Tariefsopbouw!$D$40</f>
        <v>0</v>
      </c>
      <c r="AE652" s="154">
        <f>Ruimtestaat[[#This Row],[Prest. (m2 /jaar) weekend]]+Ruimtestaat[[#This Row],[Prest. (m2 /jaar) werkdagen]]</f>
        <v>800</v>
      </c>
      <c r="AF652" s="154">
        <f>Ruimtestaat[[#This Row],[uren / jaar weekend]]+Ruimtestaat[[#This Row],[uren / jaar werkdagen]]</f>
        <v>0</v>
      </c>
      <c r="AG652" s="69">
        <f>Ruimtestaat[[#This Row],[kosten / jaar weekend]]+Ruimtestaat[[#This Row],[kosten / jaar werkdagen]]</f>
        <v>0</v>
      </c>
      <c r="AH652" s="69"/>
      <c r="AI652" s="256" t="str">
        <f>IF(Ruimtestaat[[#This Row],[Frequentie werkdagen]]="","",_xlfn.CONCAT(Ruimtestaat[[#This Row],[Ruimte code]],"-",Ruimtestaat[[#This Row],[Frequentie werkdagen]]," ",Ruimtestaat[[#This Row],[Vloer code]]))</f>
        <v>6-5w L</v>
      </c>
      <c r="AJ652" s="300" t="str">
        <f>_xlfn.IFNA(VLOOKUP($AI652,Programma!$F$3:$G$1107,2,0),"")</f>
        <v>_</v>
      </c>
      <c r="AK652" s="300" t="str">
        <f>_xlfn.IFNA(VLOOKUP($AI652,Programma!$F$3:$H$1107,3,0),"")</f>
        <v>_</v>
      </c>
      <c r="AL652" s="300" t="str">
        <f>_xlfn.IFNA(VLOOKUP($AI652,Programma!$F$3:$I$1107,4,0),"")</f>
        <v>_</v>
      </c>
      <c r="AM652" s="300" t="str">
        <f>_xlfn.IFNA(VLOOKUP($AI652,Programma!$F$3:$J$1107,5,0),"")</f>
        <v>5w</v>
      </c>
      <c r="AN652" s="300" t="str">
        <f>_xlfn.IFNA(VLOOKUP($AI652,Programma!$F$3:$K$1107,6,0),"")</f>
        <v>_</v>
      </c>
      <c r="AO652" s="300" t="str">
        <f>_xlfn.IFNA(VLOOKUP($AI652,Programma!$F$3:$L$1107,7,0),"")</f>
        <v>_</v>
      </c>
      <c r="AP652" s="300" t="str">
        <f>_xlfn.IFNA(VLOOKUP($AI652,Programma!$F$3:$M$1107,8,0),"")</f>
        <v>_</v>
      </c>
      <c r="AQ652" s="300" t="str">
        <f>_xlfn.IFNA(VLOOKUP($AI652,Programma!$F$3:$N$1107,9,0),"")</f>
        <v>_</v>
      </c>
      <c r="AR652" s="300" t="str">
        <f>_xlfn.IFNA(VLOOKUP($AI652,Programma!$F$3:$O$1107,10,0),"")</f>
        <v>5w</v>
      </c>
      <c r="AS652" s="300" t="str">
        <f>_xlfn.IFNA(VLOOKUP($AI652,Programma!$F$3:$P$1107,11,0),"")</f>
        <v>5w</v>
      </c>
      <c r="AT652" s="300" t="str">
        <f>_xlfn.IFNA(VLOOKUP($AI652,Programma!$F$3:$Q$1107,12,0),"")</f>
        <v>1w</v>
      </c>
      <c r="AU652" s="300" t="str">
        <f>_xlfn.IFNA(VLOOKUP($AI652,Programma!$F$3:$R$1107,13,0),"")</f>
        <v>1w</v>
      </c>
      <c r="AV652" s="300" t="str">
        <f>_xlfn.IFNA(VLOOKUP($AI652,Programma!$F$3:$S$1107,14,0),"")</f>
        <v>1m</v>
      </c>
      <c r="AW652" s="300" t="str">
        <f>_xlfn.IFNA(VLOOKUP($AI652,Programma!$F$3:$T$1107,15,0),"")</f>
        <v>2j</v>
      </c>
      <c r="AX652" s="300" t="str">
        <f>_xlfn.IFNA(VLOOKUP($AI652,Programma!$F$3:$U$1107,16,0),"")</f>
        <v>1j</v>
      </c>
      <c r="AY652" s="300" t="str">
        <f>_xlfn.IFNA(VLOOKUP($AI652,Programma!$F$3:$V$1107,17,0),"")</f>
        <v>_</v>
      </c>
      <c r="AZ652" s="300" t="str">
        <f>_xlfn.IFNA(VLOOKUP($AI652,Programma!$F$3:$W$1107,18,0),"")</f>
        <v>_</v>
      </c>
      <c r="BA652" s="300" t="str">
        <f>_xlfn.IFNA(VLOOKUP($AI652,Programma!$F$3:$X$1107,19,0),"")</f>
        <v>_</v>
      </c>
      <c r="BB652" s="300" t="str">
        <f>_xlfn.IFNA(VLOOKUP($AI652,Programma!$F$3:$Y$1107,20,0),"")</f>
        <v>_</v>
      </c>
      <c r="BC652" s="257"/>
      <c r="BD652" s="256" t="str">
        <f>IF(Ruimtestaat[[#This Row],[Frequentie weekend]]="","",_xlfn.CONCAT(Ruimtestaat[[#This Row],[Ruimte code]],"-",Ruimtestaat[[#This Row],[Frequentie weekend]]," ",Ruimtestaat[[#This Row],[Vloer code]]))</f>
        <v/>
      </c>
      <c r="BE652" s="300" t="str">
        <f>_xlfn.IFNA(VLOOKUP($BD652,Programma!$F$3:$G$1107,2,0),"")</f>
        <v/>
      </c>
      <c r="BF652" s="300" t="str">
        <f>_xlfn.IFNA(VLOOKUP($BD652,Programma!$F$3:$H$1107,3,0),"")</f>
        <v/>
      </c>
      <c r="BG652" s="300" t="str">
        <f>_xlfn.IFNA(VLOOKUP($BD652,Programma!$F$3:$I$1107,4,0),"")</f>
        <v/>
      </c>
      <c r="BH652" s="300" t="str">
        <f>_xlfn.IFNA(VLOOKUP($BD652,Programma!$F$3:$J$1107,5,0),"")</f>
        <v/>
      </c>
      <c r="BI652" s="300" t="str">
        <f>_xlfn.IFNA(VLOOKUP($BD652,Programma!$F$3:$K$1107,6,0),"")</f>
        <v/>
      </c>
      <c r="BJ652" s="300" t="str">
        <f>_xlfn.IFNA(VLOOKUP($BD652,Programma!$F$3:$L$1107,7,0),"")</f>
        <v/>
      </c>
      <c r="BK652" s="300" t="str">
        <f>_xlfn.IFNA(VLOOKUP($BD652,Programma!$F$3:$M$1107,8,0),"")</f>
        <v/>
      </c>
      <c r="BL652" s="300" t="str">
        <f>_xlfn.IFNA(VLOOKUP($BD652,Programma!$F$3:$N$1107,9,0),"")</f>
        <v/>
      </c>
      <c r="BM652" s="300" t="str">
        <f>_xlfn.IFNA(VLOOKUP($BD652,Programma!$F$3:$O$1107,10,0),"")</f>
        <v/>
      </c>
      <c r="BN652" s="300" t="str">
        <f>_xlfn.IFNA(VLOOKUP($BD652,Programma!$F$3:$P$1107,11,0),"")</f>
        <v/>
      </c>
      <c r="BO652" s="300" t="str">
        <f>_xlfn.IFNA(VLOOKUP($BD652,Programma!$F$3:$Q$1107,12,0),"")</f>
        <v/>
      </c>
      <c r="BP652" s="300" t="str">
        <f>_xlfn.IFNA(VLOOKUP($BD652,Programma!$F$3:$R$1107,13,0),"")</f>
        <v/>
      </c>
      <c r="BQ652" s="300" t="str">
        <f>_xlfn.IFNA(VLOOKUP($BD652,Programma!$F$3:$S$1107,14,0),"")</f>
        <v/>
      </c>
      <c r="BR652" s="300" t="str">
        <f>_xlfn.IFNA(VLOOKUP($BD652,Programma!$F$3:$T$1107,15,0),"")</f>
        <v/>
      </c>
      <c r="BS652" s="300" t="str">
        <f>_xlfn.IFNA(VLOOKUP($BD652,Programma!$F$3:$U$1107,16,0),"")</f>
        <v/>
      </c>
      <c r="BT652" s="300" t="str">
        <f>_xlfn.IFNA(VLOOKUP($BD652,Programma!$F$3:$V$1107,17,0),"")</f>
        <v/>
      </c>
      <c r="BU652" s="300" t="str">
        <f>_xlfn.IFNA(VLOOKUP($BD652,Programma!$F$3:$W$1107,18,0),"")</f>
        <v/>
      </c>
      <c r="BV652" s="300" t="str">
        <f>_xlfn.IFNA(VLOOKUP($BD652,Programma!$F$3:$X$1107,19,0),"")</f>
        <v/>
      </c>
      <c r="BW652" s="300" t="str">
        <f>_xlfn.IFNA(VLOOKUP($BD652,Programma!$F$3:$Y$1107,20,0),"")</f>
        <v/>
      </c>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c r="GK652" s="4"/>
      <c r="GL652" s="4"/>
      <c r="GM652" s="4"/>
      <c r="GN652" s="4"/>
      <c r="GO652" s="4"/>
      <c r="GP652" s="4"/>
      <c r="GQ652" s="4"/>
      <c r="GR652" s="4"/>
      <c r="GS652" s="4"/>
      <c r="GT652" s="4"/>
      <c r="GU652" s="4"/>
      <c r="GV652" s="4"/>
      <c r="GW652" s="4"/>
      <c r="GX652" s="4"/>
      <c r="GY652" s="4"/>
      <c r="GZ652" s="4"/>
      <c r="HA652" s="4"/>
      <c r="HB652" s="4"/>
      <c r="HC652" s="4"/>
      <c r="HD652" s="4"/>
      <c r="HE652" s="4"/>
      <c r="HF652" s="4"/>
      <c r="HG652" s="4"/>
      <c r="HH652" s="4"/>
      <c r="HI652" s="4"/>
      <c r="HJ652" s="4"/>
      <c r="HK652" s="4"/>
      <c r="HL652" s="4"/>
    </row>
    <row r="653" spans="1:220" ht="15" customHeight="1">
      <c r="A653" s="21">
        <v>7</v>
      </c>
      <c r="B653" s="157" t="str">
        <f>VLOOKUP(Ruimtestaat[[#This Row],[Code]],Locaties[[Code]:[Locatie]],2,FALSE)</f>
        <v>Gymnasium Novum</v>
      </c>
      <c r="C653" s="157" t="str">
        <f>VLOOKUP(Ruimtestaat[[#This Row],[Code]],Locaties[[#All],[Code]:[Adres]],4,FALSE)</f>
        <v>Aart v.d. Leeuwkade 1</v>
      </c>
      <c r="D653" s="157" t="str">
        <f>VLOOKUP(Ruimtestaat[[#This Row],[Code]],Locaties[[#All],[Code]:[Postcode]],5,FALSE)</f>
        <v>2274 KX</v>
      </c>
      <c r="E653" s="157" t="str">
        <f>VLOOKUP(Ruimtestaat[[#This Row],[Code]],Locaties[#All],6,FALSE)</f>
        <v>Voorburg</v>
      </c>
      <c r="F653" s="62"/>
      <c r="G653" s="21" t="s">
        <v>1706</v>
      </c>
      <c r="H653" s="21" t="s">
        <v>1711</v>
      </c>
      <c r="I653" s="62" t="s">
        <v>2186</v>
      </c>
      <c r="J653" s="21">
        <v>6</v>
      </c>
      <c r="K653" s="62" t="str">
        <f>VLOOKUP(Ruimtestaat[[#This Row],[Ruimte code]],Ruimtegroepen[[#All],[Code]:[Ruimte omschrijving]],2,FALSE)</f>
        <v>Gangen/hallen</v>
      </c>
      <c r="L653" s="33" t="s">
        <v>102</v>
      </c>
      <c r="M653" s="367" t="s">
        <v>2499</v>
      </c>
      <c r="N653" s="140">
        <v>11</v>
      </c>
      <c r="O653" s="140"/>
      <c r="P653" s="125" t="str">
        <f>VLOOKUP(Ruimtestaat[[#This Row],[Ruimte code]],Ruimtegroepen[],4,FALSE)</f>
        <v>Ve</v>
      </c>
      <c r="R653" s="33">
        <v>40</v>
      </c>
      <c r="S653" s="33" t="s">
        <v>2</v>
      </c>
      <c r="T653" s="33">
        <f>IF(R653&gt;0,IF(RIGHT(Ruimtestaat[[#This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53" s="33">
        <f>IF(T653&gt;0,VLOOKUP($J653,Ruimtegroepen[],3,FALSE)*VLOOKUP($L653,Vloersoorten[],3,FALSE)*VLOOKUP($S653,Frequenties[],3,FALSE)*VLOOKUP($A653,Locaties[],3,FALSE),0)</f>
        <v>0</v>
      </c>
      <c r="V653" s="33">
        <f>Ruimtestaat[[#This Row],[Uitvoeringen werkdagen]]*Ruimtestaat[[#This Row],[Oppervlak (netto)]]</f>
        <v>2200</v>
      </c>
      <c r="W653" s="154">
        <f>IF(U653&gt;0,Ruimtestaat[[#This Row],[Prest. (m2 /jaar) werkdagen]]/Ruimtestaat[[#This Row],[Norm (m2/uur) werkdagen]],0)</f>
        <v>0</v>
      </c>
      <c r="X653" s="155">
        <f>Ruimtestaat[[#This Row],[uren / jaar werkdagen]]*Tariefsopbouw!$E$35</f>
        <v>0</v>
      </c>
      <c r="Y653" s="33"/>
      <c r="Z653" s="33">
        <f>IF(Ruimtestaat[[#This Row],[Frequentie weekend]]&gt;0,VALUE(LEFT(Y653,1))*R653,0)</f>
        <v>0</v>
      </c>
      <c r="AA653" s="97">
        <f>IF($Z653&gt;0,VLOOKUP($J653,Ruimtegroepen[],3,FALSE)*VLOOKUP($L653,Vloersoorten[],3,FALSE)*VLOOKUP($Y653,Frequenties[],3,FALSE)*VLOOKUP(Ruimtestaat[[#This Row],[Code]],Locaties[],3,FALSE),0)</f>
        <v>0</v>
      </c>
      <c r="AB653" s="97">
        <f>Ruimtestaat[[#This Row],[Uitvoeringen weekend]]*Ruimtestaat[[#This Row],[Oppervlak (netto)]]</f>
        <v>0</v>
      </c>
      <c r="AC653" s="97">
        <f>IF(AA653&gt;0,Ruimtestaat[[#This Row],[Prest. (m2 /jaar) weekend]]/Ruimtestaat[[#This Row],[Norm (m2/uur) weekend]],0)</f>
        <v>0</v>
      </c>
      <c r="AD653" s="155">
        <f>Ruimtestaat[[#This Row],[uren / jaar weekend]]*Tariefsopbouw!$D$40</f>
        <v>0</v>
      </c>
      <c r="AE653" s="154">
        <f>Ruimtestaat[[#This Row],[Prest. (m2 /jaar) weekend]]+Ruimtestaat[[#This Row],[Prest. (m2 /jaar) werkdagen]]</f>
        <v>2200</v>
      </c>
      <c r="AF653" s="154">
        <f>Ruimtestaat[[#This Row],[uren / jaar weekend]]+Ruimtestaat[[#This Row],[uren / jaar werkdagen]]</f>
        <v>0</v>
      </c>
      <c r="AG653" s="69">
        <f>Ruimtestaat[[#This Row],[kosten / jaar weekend]]+Ruimtestaat[[#This Row],[kosten / jaar werkdagen]]</f>
        <v>0</v>
      </c>
      <c r="AH653" s="69"/>
      <c r="AI653" s="256" t="str">
        <f>IF(Ruimtestaat[[#This Row],[Frequentie werkdagen]]="","",_xlfn.CONCAT(Ruimtestaat[[#This Row],[Ruimte code]],"-",Ruimtestaat[[#This Row],[Frequentie werkdagen]]," ",Ruimtestaat[[#This Row],[Vloer code]]))</f>
        <v>6-5w S</v>
      </c>
      <c r="AJ653" s="300" t="str">
        <f>_xlfn.IFNA(VLOOKUP($AI653,Programma!$F$3:$G$1107,2,0),"")</f>
        <v>_</v>
      </c>
      <c r="AK653" s="300" t="str">
        <f>_xlfn.IFNA(VLOOKUP($AI653,Programma!$F$3:$H$1107,3,0),"")</f>
        <v>_</v>
      </c>
      <c r="AL653" s="300" t="str">
        <f>_xlfn.IFNA(VLOOKUP($AI653,Programma!$F$3:$I$1107,4,0),"")</f>
        <v>5w</v>
      </c>
      <c r="AM653" s="300" t="str">
        <f>_xlfn.IFNA(VLOOKUP($AI653,Programma!$F$3:$J$1107,5,0),"")</f>
        <v>_</v>
      </c>
      <c r="AN653" s="300" t="str">
        <f>_xlfn.IFNA(VLOOKUP($AI653,Programma!$F$3:$K$1107,6,0),"")</f>
        <v>5w</v>
      </c>
      <c r="AO653" s="300" t="str">
        <f>_xlfn.IFNA(VLOOKUP($AI653,Programma!$F$3:$L$1107,7,0),"")</f>
        <v>_</v>
      </c>
      <c r="AP653" s="300" t="str">
        <f>_xlfn.IFNA(VLOOKUP($AI653,Programma!$F$3:$M$1107,8,0),"")</f>
        <v>_</v>
      </c>
      <c r="AQ653" s="300" t="str">
        <f>_xlfn.IFNA(VLOOKUP($AI653,Programma!$F$3:$N$1107,9,0),"")</f>
        <v>_</v>
      </c>
      <c r="AR653" s="300" t="str">
        <f>_xlfn.IFNA(VLOOKUP($AI653,Programma!$F$3:$O$1107,10,0),"")</f>
        <v>5w</v>
      </c>
      <c r="AS653" s="300" t="str">
        <f>_xlfn.IFNA(VLOOKUP($AI653,Programma!$F$3:$P$1107,11,0),"")</f>
        <v>5w</v>
      </c>
      <c r="AT653" s="300" t="str">
        <f>_xlfn.IFNA(VLOOKUP($AI653,Programma!$F$3:$Q$1107,12,0),"")</f>
        <v>1w</v>
      </c>
      <c r="AU653" s="300" t="str">
        <f>_xlfn.IFNA(VLOOKUP($AI653,Programma!$F$3:$R$1107,13,0),"")</f>
        <v>1w</v>
      </c>
      <c r="AV653" s="300" t="str">
        <f>_xlfn.IFNA(VLOOKUP($AI653,Programma!$F$3:$S$1107,14,0),"")</f>
        <v>1m</v>
      </c>
      <c r="AW653" s="300" t="str">
        <f>_xlfn.IFNA(VLOOKUP($AI653,Programma!$F$3:$T$1107,15,0),"")</f>
        <v>2j</v>
      </c>
      <c r="AX653" s="300" t="str">
        <f>_xlfn.IFNA(VLOOKUP($AI653,Programma!$F$3:$U$1107,16,0),"")</f>
        <v>1j</v>
      </c>
      <c r="AY653" s="300" t="str">
        <f>_xlfn.IFNA(VLOOKUP($AI653,Programma!$F$3:$V$1107,17,0),"")</f>
        <v>_</v>
      </c>
      <c r="AZ653" s="300" t="str">
        <f>_xlfn.IFNA(VLOOKUP($AI653,Programma!$F$3:$W$1107,18,0),"")</f>
        <v>_</v>
      </c>
      <c r="BA653" s="300" t="str">
        <f>_xlfn.IFNA(VLOOKUP($AI653,Programma!$F$3:$X$1107,19,0),"")</f>
        <v>_</v>
      </c>
      <c r="BB653" s="300" t="str">
        <f>_xlfn.IFNA(VLOOKUP($AI653,Programma!$F$3:$Y$1107,20,0),"")</f>
        <v>_</v>
      </c>
      <c r="BC653" s="257"/>
      <c r="BD653" s="256" t="str">
        <f>IF(Ruimtestaat[[#This Row],[Frequentie weekend]]="","",_xlfn.CONCAT(Ruimtestaat[[#This Row],[Ruimte code]],"-",Ruimtestaat[[#This Row],[Frequentie weekend]]," ",Ruimtestaat[[#This Row],[Vloer code]]))</f>
        <v/>
      </c>
      <c r="BE653" s="300" t="str">
        <f>_xlfn.IFNA(VLOOKUP($BD653,Programma!$F$3:$G$1107,2,0),"")</f>
        <v/>
      </c>
      <c r="BF653" s="300" t="str">
        <f>_xlfn.IFNA(VLOOKUP($BD653,Programma!$F$3:$H$1107,3,0),"")</f>
        <v/>
      </c>
      <c r="BG653" s="300" t="str">
        <f>_xlfn.IFNA(VLOOKUP($BD653,Programma!$F$3:$I$1107,4,0),"")</f>
        <v/>
      </c>
      <c r="BH653" s="300" t="str">
        <f>_xlfn.IFNA(VLOOKUP($BD653,Programma!$F$3:$J$1107,5,0),"")</f>
        <v/>
      </c>
      <c r="BI653" s="300" t="str">
        <f>_xlfn.IFNA(VLOOKUP($BD653,Programma!$F$3:$K$1107,6,0),"")</f>
        <v/>
      </c>
      <c r="BJ653" s="300" t="str">
        <f>_xlfn.IFNA(VLOOKUP($BD653,Programma!$F$3:$L$1107,7,0),"")</f>
        <v/>
      </c>
      <c r="BK653" s="300" t="str">
        <f>_xlfn.IFNA(VLOOKUP($BD653,Programma!$F$3:$M$1107,8,0),"")</f>
        <v/>
      </c>
      <c r="BL653" s="300" t="str">
        <f>_xlfn.IFNA(VLOOKUP($BD653,Programma!$F$3:$N$1107,9,0),"")</f>
        <v/>
      </c>
      <c r="BM653" s="300" t="str">
        <f>_xlfn.IFNA(VLOOKUP($BD653,Programma!$F$3:$O$1107,10,0),"")</f>
        <v/>
      </c>
      <c r="BN653" s="300" t="str">
        <f>_xlfn.IFNA(VLOOKUP($BD653,Programma!$F$3:$P$1107,11,0),"")</f>
        <v/>
      </c>
      <c r="BO653" s="300" t="str">
        <f>_xlfn.IFNA(VLOOKUP($BD653,Programma!$F$3:$Q$1107,12,0),"")</f>
        <v/>
      </c>
      <c r="BP653" s="300" t="str">
        <f>_xlfn.IFNA(VLOOKUP($BD653,Programma!$F$3:$R$1107,13,0),"")</f>
        <v/>
      </c>
      <c r="BQ653" s="300" t="str">
        <f>_xlfn.IFNA(VLOOKUP($BD653,Programma!$F$3:$S$1107,14,0),"")</f>
        <v/>
      </c>
      <c r="BR653" s="300" t="str">
        <f>_xlfn.IFNA(VLOOKUP($BD653,Programma!$F$3:$T$1107,15,0),"")</f>
        <v/>
      </c>
      <c r="BS653" s="300" t="str">
        <f>_xlfn.IFNA(VLOOKUP($BD653,Programma!$F$3:$U$1107,16,0),"")</f>
        <v/>
      </c>
      <c r="BT653" s="300" t="str">
        <f>_xlfn.IFNA(VLOOKUP($BD653,Programma!$F$3:$V$1107,17,0),"")</f>
        <v/>
      </c>
      <c r="BU653" s="300" t="str">
        <f>_xlfn.IFNA(VLOOKUP($BD653,Programma!$F$3:$W$1107,18,0),"")</f>
        <v/>
      </c>
      <c r="BV653" s="300" t="str">
        <f>_xlfn.IFNA(VLOOKUP($BD653,Programma!$F$3:$X$1107,19,0),"")</f>
        <v/>
      </c>
      <c r="BW653" s="300" t="str">
        <f>_xlfn.IFNA(VLOOKUP($BD653,Programma!$F$3:$Y$1107,20,0),"")</f>
        <v/>
      </c>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c r="GK653" s="4"/>
      <c r="GL653" s="4"/>
      <c r="GM653" s="4"/>
      <c r="GN653" s="4"/>
      <c r="GO653" s="4"/>
      <c r="GP653" s="4"/>
      <c r="GQ653" s="4"/>
      <c r="GR653" s="4"/>
      <c r="GS653" s="4"/>
      <c r="GT653" s="4"/>
      <c r="GU653" s="4"/>
      <c r="GV653" s="4"/>
      <c r="GW653" s="4"/>
      <c r="GX653" s="4"/>
      <c r="GY653" s="4"/>
      <c r="GZ653" s="4"/>
      <c r="HA653" s="4"/>
      <c r="HB653" s="4"/>
      <c r="HC653" s="4"/>
      <c r="HD653" s="4"/>
      <c r="HE653" s="4"/>
      <c r="HF653" s="4"/>
      <c r="HG653" s="4"/>
      <c r="HH653" s="4"/>
      <c r="HI653" s="4"/>
      <c r="HJ653" s="4"/>
      <c r="HK653" s="4"/>
      <c r="HL653" s="4"/>
    </row>
    <row r="654" spans="1:220" ht="15" customHeight="1">
      <c r="A654" s="21">
        <v>7</v>
      </c>
      <c r="B654" s="157" t="str">
        <f>VLOOKUP(Ruimtestaat[[#This Row],[Code]],Locaties[[Code]:[Locatie]],2,FALSE)</f>
        <v>Gymnasium Novum</v>
      </c>
      <c r="C654" s="157" t="str">
        <f>VLOOKUP(Ruimtestaat[[#This Row],[Code]],Locaties[[#All],[Code]:[Adres]],4,FALSE)</f>
        <v>Aart v.d. Leeuwkade 1</v>
      </c>
      <c r="D654" s="157" t="str">
        <f>VLOOKUP(Ruimtestaat[[#This Row],[Code]],Locaties[[#All],[Code]:[Postcode]],5,FALSE)</f>
        <v>2274 KX</v>
      </c>
      <c r="E654" s="157" t="str">
        <f>VLOOKUP(Ruimtestaat[[#This Row],[Code]],Locaties[#All],6,FALSE)</f>
        <v>Voorburg</v>
      </c>
      <c r="F654" s="62"/>
      <c r="G654" s="21" t="s">
        <v>1706</v>
      </c>
      <c r="H654" s="21" t="s">
        <v>1713</v>
      </c>
      <c r="I654" s="62" t="s">
        <v>1644</v>
      </c>
      <c r="J654" s="21">
        <v>1</v>
      </c>
      <c r="K654" s="62" t="str">
        <f>VLOOKUP(Ruimtestaat[[#This Row],[Ruimte code]],Ruimtegroepen[[#All],[Code]:[Ruimte omschrijving]],2,FALSE)</f>
        <v>Magazijnen/bergingen</v>
      </c>
      <c r="L654" s="33" t="s">
        <v>101</v>
      </c>
      <c r="M654" s="367" t="s">
        <v>2495</v>
      </c>
      <c r="N654" s="140">
        <v>18</v>
      </c>
      <c r="O654" s="140"/>
      <c r="P654" s="125" t="str">
        <f>VLOOKUP(Ruimtestaat[[#This Row],[Ruimte code]],Ruimtegroepen[],4,FALSE)</f>
        <v>Ve</v>
      </c>
      <c r="R654" s="33">
        <v>40</v>
      </c>
      <c r="S654" s="33" t="s">
        <v>16</v>
      </c>
      <c r="T654" s="33">
        <f>IF(R654&gt;0,IF(RIGHT(Ruimtestaat[[#This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654" s="33">
        <f>IF(T654&gt;0,VLOOKUP($J654,Ruimtegroepen[],3,FALSE)*VLOOKUP($L654,Vloersoorten[],3,FALSE)*VLOOKUP($S654,Frequenties[],3,FALSE)*VLOOKUP($A654,Locaties[],3,FALSE),0)</f>
        <v>0</v>
      </c>
      <c r="V654" s="33">
        <f>Ruimtestaat[[#This Row],[Uitvoeringen werkdagen]]*Ruimtestaat[[#This Row],[Oppervlak (netto)]]</f>
        <v>216</v>
      </c>
      <c r="W654" s="154">
        <f>IF(U654&gt;0,Ruimtestaat[[#This Row],[Prest. (m2 /jaar) werkdagen]]/Ruimtestaat[[#This Row],[Norm (m2/uur) werkdagen]],0)</f>
        <v>0</v>
      </c>
      <c r="X654" s="155">
        <f>Ruimtestaat[[#This Row],[uren / jaar werkdagen]]*Tariefsopbouw!$E$35</f>
        <v>0</v>
      </c>
      <c r="Y654" s="33"/>
      <c r="Z654" s="33">
        <f>IF(Ruimtestaat[[#This Row],[Frequentie weekend]]&gt;0,VALUE(LEFT(Y654,1))*R654,0)</f>
        <v>0</v>
      </c>
      <c r="AA654" s="97">
        <f>IF($Z654&gt;0,VLOOKUP($J654,Ruimtegroepen[],3,FALSE)*VLOOKUP($L654,Vloersoorten[],3,FALSE)*VLOOKUP($Y654,Frequenties[],3,FALSE)*VLOOKUP(Ruimtestaat[[#This Row],[Code]],Locaties[],3,FALSE),0)</f>
        <v>0</v>
      </c>
      <c r="AB654" s="97">
        <f>Ruimtestaat[[#This Row],[Uitvoeringen weekend]]*Ruimtestaat[[#This Row],[Oppervlak (netto)]]</f>
        <v>0</v>
      </c>
      <c r="AC654" s="97">
        <f>IF(AA654&gt;0,Ruimtestaat[[#This Row],[Prest. (m2 /jaar) weekend]]/Ruimtestaat[[#This Row],[Norm (m2/uur) weekend]],0)</f>
        <v>0</v>
      </c>
      <c r="AD654" s="155">
        <f>Ruimtestaat[[#This Row],[uren / jaar weekend]]*Tariefsopbouw!$D$40</f>
        <v>0</v>
      </c>
      <c r="AE654" s="154">
        <f>Ruimtestaat[[#This Row],[Prest. (m2 /jaar) weekend]]+Ruimtestaat[[#This Row],[Prest. (m2 /jaar) werkdagen]]</f>
        <v>216</v>
      </c>
      <c r="AF654" s="154">
        <f>Ruimtestaat[[#This Row],[uren / jaar weekend]]+Ruimtestaat[[#This Row],[uren / jaar werkdagen]]</f>
        <v>0</v>
      </c>
      <c r="AG654" s="69">
        <f>Ruimtestaat[[#This Row],[kosten / jaar weekend]]+Ruimtestaat[[#This Row],[kosten / jaar werkdagen]]</f>
        <v>0</v>
      </c>
      <c r="AH654" s="69"/>
      <c r="AI654" s="256" t="str">
        <f>IF(Ruimtestaat[[#This Row],[Frequentie werkdagen]]="","",_xlfn.CONCAT(Ruimtestaat[[#This Row],[Ruimte code]],"-",Ruimtestaat[[#This Row],[Frequentie werkdagen]]," ",Ruimtestaat[[#This Row],[Vloer code]]))</f>
        <v>1-1m L</v>
      </c>
      <c r="AJ654" s="300" t="str">
        <f>_xlfn.IFNA(VLOOKUP($AI654,Programma!$F$3:$G$1107,2,0),"")</f>
        <v>_</v>
      </c>
      <c r="AK654" s="300" t="str">
        <f>_xlfn.IFNA(VLOOKUP($AI654,Programma!$F$3:$H$1107,3,0),"")</f>
        <v>_</v>
      </c>
      <c r="AL654" s="300" t="str">
        <f>_xlfn.IFNA(VLOOKUP($AI654,Programma!$F$3:$I$1107,4,0),"")</f>
        <v>1m</v>
      </c>
      <c r="AM654" s="300" t="str">
        <f>_xlfn.IFNA(VLOOKUP($AI654,Programma!$F$3:$J$1107,5,0),"")</f>
        <v>1m</v>
      </c>
      <c r="AN654" s="300" t="str">
        <f>_xlfn.IFNA(VLOOKUP($AI654,Programma!$F$3:$K$1107,6,0),"")</f>
        <v>_</v>
      </c>
      <c r="AO654" s="300" t="str">
        <f>_xlfn.IFNA(VLOOKUP($AI654,Programma!$F$3:$L$1107,7,0),"")</f>
        <v>_</v>
      </c>
      <c r="AP654" s="300" t="str">
        <f>_xlfn.IFNA(VLOOKUP($AI654,Programma!$F$3:$M$1107,8,0),"")</f>
        <v>_</v>
      </c>
      <c r="AQ654" s="300" t="str">
        <f>_xlfn.IFNA(VLOOKUP($AI654,Programma!$F$3:$N$1107,9,0),"")</f>
        <v>_</v>
      </c>
      <c r="AR654" s="300" t="str">
        <f>_xlfn.IFNA(VLOOKUP($AI654,Programma!$F$3:$O$1107,10,0),"")</f>
        <v>_</v>
      </c>
      <c r="AS654" s="300" t="str">
        <f>_xlfn.IFNA(VLOOKUP($AI654,Programma!$F$3:$P$1107,11,0),"")</f>
        <v>_</v>
      </c>
      <c r="AT654" s="300" t="str">
        <f>_xlfn.IFNA(VLOOKUP($AI654,Programma!$F$3:$Q$1107,12,0),"")</f>
        <v>_</v>
      </c>
      <c r="AU654" s="300" t="str">
        <f>_xlfn.IFNA(VLOOKUP($AI654,Programma!$F$3:$R$1107,13,0),"")</f>
        <v>_</v>
      </c>
      <c r="AV654" s="300" t="str">
        <f>_xlfn.IFNA(VLOOKUP($AI654,Programma!$F$3:$S$1107,14,0),"")</f>
        <v>1m</v>
      </c>
      <c r="AW654" s="300" t="str">
        <f>_xlfn.IFNA(VLOOKUP($AI654,Programma!$F$3:$T$1107,15,0),"")</f>
        <v>4j</v>
      </c>
      <c r="AX654" s="300" t="str">
        <f>_xlfn.IFNA(VLOOKUP($AI654,Programma!$F$3:$U$1107,16,0),"")</f>
        <v>4j</v>
      </c>
      <c r="AY654" s="300" t="str">
        <f>_xlfn.IFNA(VLOOKUP($AI654,Programma!$F$3:$V$1107,17,0),"")</f>
        <v>_</v>
      </c>
      <c r="AZ654" s="300" t="str">
        <f>_xlfn.IFNA(VLOOKUP($AI654,Programma!$F$3:$W$1107,18,0),"")</f>
        <v>_</v>
      </c>
      <c r="BA654" s="300" t="str">
        <f>_xlfn.IFNA(VLOOKUP($AI654,Programma!$F$3:$X$1107,19,0),"")</f>
        <v>_</v>
      </c>
      <c r="BB654" s="300" t="str">
        <f>_xlfn.IFNA(VLOOKUP($AI654,Programma!$F$3:$Y$1107,20,0),"")</f>
        <v>_</v>
      </c>
      <c r="BC654" s="257"/>
      <c r="BD654" s="256" t="str">
        <f>IF(Ruimtestaat[[#This Row],[Frequentie weekend]]="","",_xlfn.CONCAT(Ruimtestaat[[#This Row],[Ruimte code]],"-",Ruimtestaat[[#This Row],[Frequentie weekend]]," ",Ruimtestaat[[#This Row],[Vloer code]]))</f>
        <v/>
      </c>
      <c r="BE654" s="300" t="str">
        <f>_xlfn.IFNA(VLOOKUP($BD654,Programma!$F$3:$G$1107,2,0),"")</f>
        <v/>
      </c>
      <c r="BF654" s="300" t="str">
        <f>_xlfn.IFNA(VLOOKUP($BD654,Programma!$F$3:$H$1107,3,0),"")</f>
        <v/>
      </c>
      <c r="BG654" s="300" t="str">
        <f>_xlfn.IFNA(VLOOKUP($BD654,Programma!$F$3:$I$1107,4,0),"")</f>
        <v/>
      </c>
      <c r="BH654" s="300" t="str">
        <f>_xlfn.IFNA(VLOOKUP($BD654,Programma!$F$3:$J$1107,5,0),"")</f>
        <v/>
      </c>
      <c r="BI654" s="300" t="str">
        <f>_xlfn.IFNA(VLOOKUP($BD654,Programma!$F$3:$K$1107,6,0),"")</f>
        <v/>
      </c>
      <c r="BJ654" s="300" t="str">
        <f>_xlfn.IFNA(VLOOKUP($BD654,Programma!$F$3:$L$1107,7,0),"")</f>
        <v/>
      </c>
      <c r="BK654" s="300" t="str">
        <f>_xlfn.IFNA(VLOOKUP($BD654,Programma!$F$3:$M$1107,8,0),"")</f>
        <v/>
      </c>
      <c r="BL654" s="300" t="str">
        <f>_xlfn.IFNA(VLOOKUP($BD654,Programma!$F$3:$N$1107,9,0),"")</f>
        <v/>
      </c>
      <c r="BM654" s="300" t="str">
        <f>_xlfn.IFNA(VLOOKUP($BD654,Programma!$F$3:$O$1107,10,0),"")</f>
        <v/>
      </c>
      <c r="BN654" s="300" t="str">
        <f>_xlfn.IFNA(VLOOKUP($BD654,Programma!$F$3:$P$1107,11,0),"")</f>
        <v/>
      </c>
      <c r="BO654" s="300" t="str">
        <f>_xlfn.IFNA(VLOOKUP($BD654,Programma!$F$3:$Q$1107,12,0),"")</f>
        <v/>
      </c>
      <c r="BP654" s="300" t="str">
        <f>_xlfn.IFNA(VLOOKUP($BD654,Programma!$F$3:$R$1107,13,0),"")</f>
        <v/>
      </c>
      <c r="BQ654" s="300" t="str">
        <f>_xlfn.IFNA(VLOOKUP($BD654,Programma!$F$3:$S$1107,14,0),"")</f>
        <v/>
      </c>
      <c r="BR654" s="300" t="str">
        <f>_xlfn.IFNA(VLOOKUP($BD654,Programma!$F$3:$T$1107,15,0),"")</f>
        <v/>
      </c>
      <c r="BS654" s="300" t="str">
        <f>_xlfn.IFNA(VLOOKUP($BD654,Programma!$F$3:$U$1107,16,0),"")</f>
        <v/>
      </c>
      <c r="BT654" s="300" t="str">
        <f>_xlfn.IFNA(VLOOKUP($BD654,Programma!$F$3:$V$1107,17,0),"")</f>
        <v/>
      </c>
      <c r="BU654" s="300" t="str">
        <f>_xlfn.IFNA(VLOOKUP($BD654,Programma!$F$3:$W$1107,18,0),"")</f>
        <v/>
      </c>
      <c r="BV654" s="300" t="str">
        <f>_xlfn.IFNA(VLOOKUP($BD654,Programma!$F$3:$X$1107,19,0),"")</f>
        <v/>
      </c>
      <c r="BW654" s="300" t="str">
        <f>_xlfn.IFNA(VLOOKUP($BD654,Programma!$F$3:$Y$1107,20,0),"")</f>
        <v/>
      </c>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c r="FS654" s="4"/>
      <c r="FT654" s="4"/>
      <c r="FU654" s="4"/>
      <c r="FV654" s="4"/>
      <c r="FW654" s="4"/>
      <c r="FX654" s="4"/>
      <c r="FY654" s="4"/>
      <c r="FZ654" s="4"/>
      <c r="GA654" s="4"/>
      <c r="GB654" s="4"/>
      <c r="GC654" s="4"/>
      <c r="GD654" s="4"/>
      <c r="GE654" s="4"/>
      <c r="GF654" s="4"/>
      <c r="GG654" s="4"/>
      <c r="GH654" s="4"/>
      <c r="GI654" s="4"/>
      <c r="GJ654" s="4"/>
      <c r="GK654" s="4"/>
      <c r="GL654" s="4"/>
      <c r="GM654" s="4"/>
      <c r="GN654" s="4"/>
      <c r="GO654" s="4"/>
      <c r="GP654" s="4"/>
      <c r="GQ654" s="4"/>
      <c r="GR654" s="4"/>
      <c r="GS654" s="4"/>
      <c r="GT654" s="4"/>
      <c r="GU654" s="4"/>
      <c r="GV654" s="4"/>
      <c r="GW654" s="4"/>
      <c r="GX654" s="4"/>
      <c r="GY654" s="4"/>
      <c r="GZ654" s="4"/>
      <c r="HA654" s="4"/>
      <c r="HB654" s="4"/>
      <c r="HC654" s="4"/>
      <c r="HD654" s="4"/>
      <c r="HE654" s="4"/>
      <c r="HF654" s="4"/>
      <c r="HG654" s="4"/>
      <c r="HH654" s="4"/>
      <c r="HI654" s="4"/>
      <c r="HJ654" s="4"/>
      <c r="HK654" s="4"/>
      <c r="HL654" s="4"/>
    </row>
    <row r="655" spans="1:220" ht="15" customHeight="1">
      <c r="A655" s="21">
        <v>7</v>
      </c>
      <c r="B655" s="157" t="str">
        <f>VLOOKUP(Ruimtestaat[[#This Row],[Code]],Locaties[[Code]:[Locatie]],2,FALSE)</f>
        <v>Gymnasium Novum</v>
      </c>
      <c r="C655" s="157" t="str">
        <f>VLOOKUP(Ruimtestaat[[#This Row],[Code]],Locaties[[#All],[Code]:[Adres]],4,FALSE)</f>
        <v>Aart v.d. Leeuwkade 1</v>
      </c>
      <c r="D655" s="157" t="str">
        <f>VLOOKUP(Ruimtestaat[[#This Row],[Code]],Locaties[[#All],[Code]:[Postcode]],5,FALSE)</f>
        <v>2274 KX</v>
      </c>
      <c r="E655" s="157" t="str">
        <f>VLOOKUP(Ruimtestaat[[#This Row],[Code]],Locaties[#All],6,FALSE)</f>
        <v>Voorburg</v>
      </c>
      <c r="F655" s="62" t="s">
        <v>2187</v>
      </c>
      <c r="G655" s="21" t="s">
        <v>1749</v>
      </c>
      <c r="H655" s="21" t="s">
        <v>2188</v>
      </c>
      <c r="I655" s="62" t="s">
        <v>2189</v>
      </c>
      <c r="J655" s="21">
        <v>7</v>
      </c>
      <c r="K655" s="62" t="str">
        <f>VLOOKUP(Ruimtestaat[[#This Row],[Ruimte code]],Ruimtegroepen[[#All],[Code]:[Ruimte omschrijving]],2,FALSE)</f>
        <v>Entree</v>
      </c>
      <c r="L655" s="33" t="s">
        <v>101</v>
      </c>
      <c r="M655" s="367" t="s">
        <v>2495</v>
      </c>
      <c r="N655" s="140">
        <v>10.8</v>
      </c>
      <c r="O655" s="140"/>
      <c r="P655" s="125" t="str">
        <f>VLOOKUP(Ruimtestaat[[#This Row],[Ruimte code]],Ruimtegroepen[],4,FALSE)</f>
        <v>Ve</v>
      </c>
      <c r="R655" s="33">
        <v>40</v>
      </c>
      <c r="S655" s="33" t="s">
        <v>2</v>
      </c>
      <c r="T655" s="33">
        <f>IF(R655&gt;0,IF(RIGHT(Ruimtestaat[[#This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55" s="33">
        <f>IF(T655&gt;0,VLOOKUP($J655,Ruimtegroepen[],3,FALSE)*VLOOKUP($L655,Vloersoorten[],3,FALSE)*VLOOKUP($S655,Frequenties[],3,FALSE)*VLOOKUP($A655,Locaties[],3,FALSE),0)</f>
        <v>0</v>
      </c>
      <c r="V655" s="33">
        <f>Ruimtestaat[[#This Row],[Uitvoeringen werkdagen]]*Ruimtestaat[[#This Row],[Oppervlak (netto)]]</f>
        <v>2160</v>
      </c>
      <c r="W655" s="154">
        <f>IF(U655&gt;0,Ruimtestaat[[#This Row],[Prest. (m2 /jaar) werkdagen]]/Ruimtestaat[[#This Row],[Norm (m2/uur) werkdagen]],0)</f>
        <v>0</v>
      </c>
      <c r="X655" s="155">
        <f>Ruimtestaat[[#This Row],[uren / jaar werkdagen]]*Tariefsopbouw!$E$35</f>
        <v>0</v>
      </c>
      <c r="Y655" s="33"/>
      <c r="Z655" s="33">
        <f>IF(Ruimtestaat[[#This Row],[Frequentie weekend]]&gt;0,VALUE(LEFT(Y655,1))*R655,0)</f>
        <v>0</v>
      </c>
      <c r="AA655" s="97">
        <f>IF($Z655&gt;0,VLOOKUP($J655,Ruimtegroepen[],3,FALSE)*VLOOKUP($L655,Vloersoorten[],3,FALSE)*VLOOKUP($Y655,Frequenties[],3,FALSE)*VLOOKUP(Ruimtestaat[[#This Row],[Code]],Locaties[],3,FALSE),0)</f>
        <v>0</v>
      </c>
      <c r="AB655" s="97">
        <f>Ruimtestaat[[#This Row],[Uitvoeringen weekend]]*Ruimtestaat[[#This Row],[Oppervlak (netto)]]</f>
        <v>0</v>
      </c>
      <c r="AC655" s="97">
        <f>IF(AA655&gt;0,Ruimtestaat[[#This Row],[Prest. (m2 /jaar) weekend]]/Ruimtestaat[[#This Row],[Norm (m2/uur) weekend]],0)</f>
        <v>0</v>
      </c>
      <c r="AD655" s="155">
        <f>Ruimtestaat[[#This Row],[uren / jaar weekend]]*Tariefsopbouw!$D$40</f>
        <v>0</v>
      </c>
      <c r="AE655" s="154">
        <f>Ruimtestaat[[#This Row],[Prest. (m2 /jaar) weekend]]+Ruimtestaat[[#This Row],[Prest. (m2 /jaar) werkdagen]]</f>
        <v>2160</v>
      </c>
      <c r="AF655" s="154">
        <f>Ruimtestaat[[#This Row],[uren / jaar weekend]]+Ruimtestaat[[#This Row],[uren / jaar werkdagen]]</f>
        <v>0</v>
      </c>
      <c r="AG655" s="69">
        <f>Ruimtestaat[[#This Row],[kosten / jaar weekend]]+Ruimtestaat[[#This Row],[kosten / jaar werkdagen]]</f>
        <v>0</v>
      </c>
      <c r="AH655" s="69"/>
      <c r="AI655" s="256" t="str">
        <f>IF(Ruimtestaat[[#This Row],[Frequentie werkdagen]]="","",_xlfn.CONCAT(Ruimtestaat[[#This Row],[Ruimte code]],"-",Ruimtestaat[[#This Row],[Frequentie werkdagen]]," ",Ruimtestaat[[#This Row],[Vloer code]]))</f>
        <v>7-5w L</v>
      </c>
      <c r="AJ655" s="300" t="str">
        <f>_xlfn.IFNA(VLOOKUP($AI655,Programma!$F$3:$G$1107,2,0),"")</f>
        <v>_</v>
      </c>
      <c r="AK655" s="300" t="str">
        <f>_xlfn.IFNA(VLOOKUP($AI655,Programma!$F$3:$H$1107,3,0),"")</f>
        <v>_</v>
      </c>
      <c r="AL655" s="300" t="str">
        <f>_xlfn.IFNA(VLOOKUP($AI655,Programma!$F$3:$I$1107,4,0),"")</f>
        <v>_</v>
      </c>
      <c r="AM655" s="300" t="str">
        <f>_xlfn.IFNA(VLOOKUP($AI655,Programma!$F$3:$J$1107,5,0),"")</f>
        <v>5w</v>
      </c>
      <c r="AN655" s="300" t="str">
        <f>_xlfn.IFNA(VLOOKUP($AI655,Programma!$F$3:$K$1107,6,0),"")</f>
        <v>_</v>
      </c>
      <c r="AO655" s="300" t="str">
        <f>_xlfn.IFNA(VLOOKUP($AI655,Programma!$F$3:$L$1107,7,0),"")</f>
        <v>_</v>
      </c>
      <c r="AP655" s="300" t="str">
        <f>_xlfn.IFNA(VLOOKUP($AI655,Programma!$F$3:$M$1107,8,0),"")</f>
        <v>_</v>
      </c>
      <c r="AQ655" s="300" t="str">
        <f>_xlfn.IFNA(VLOOKUP($AI655,Programma!$F$3:$N$1107,9,0),"")</f>
        <v>_</v>
      </c>
      <c r="AR655" s="300" t="str">
        <f>_xlfn.IFNA(VLOOKUP($AI655,Programma!$F$3:$O$1107,10,0),"")</f>
        <v>5w</v>
      </c>
      <c r="AS655" s="300" t="str">
        <f>_xlfn.IFNA(VLOOKUP($AI655,Programma!$F$3:$P$1107,11,0),"")</f>
        <v>5w</v>
      </c>
      <c r="AT655" s="300" t="str">
        <f>_xlfn.IFNA(VLOOKUP($AI655,Programma!$F$3:$Q$1107,12,0),"")</f>
        <v>1w</v>
      </c>
      <c r="AU655" s="300" t="str">
        <f>_xlfn.IFNA(VLOOKUP($AI655,Programma!$F$3:$R$1107,13,0),"")</f>
        <v>1w</v>
      </c>
      <c r="AV655" s="300" t="str">
        <f>_xlfn.IFNA(VLOOKUP($AI655,Programma!$F$3:$S$1107,14,0),"")</f>
        <v>1m</v>
      </c>
      <c r="AW655" s="300" t="str">
        <f>_xlfn.IFNA(VLOOKUP($AI655,Programma!$F$3:$T$1107,15,0),"")</f>
        <v>2j</v>
      </c>
      <c r="AX655" s="300" t="str">
        <f>_xlfn.IFNA(VLOOKUP($AI655,Programma!$F$3:$U$1107,16,0),"")</f>
        <v>1j</v>
      </c>
      <c r="AY655" s="300" t="str">
        <f>_xlfn.IFNA(VLOOKUP($AI655,Programma!$F$3:$V$1107,17,0),"")</f>
        <v>_</v>
      </c>
      <c r="AZ655" s="300" t="str">
        <f>_xlfn.IFNA(VLOOKUP($AI655,Programma!$F$3:$W$1107,18,0),"")</f>
        <v>_</v>
      </c>
      <c r="BA655" s="300" t="str">
        <f>_xlfn.IFNA(VLOOKUP($AI655,Programma!$F$3:$X$1107,19,0),"")</f>
        <v>_</v>
      </c>
      <c r="BB655" s="300" t="str">
        <f>_xlfn.IFNA(VLOOKUP($AI655,Programma!$F$3:$Y$1107,20,0),"")</f>
        <v>_</v>
      </c>
      <c r="BC655" s="257"/>
      <c r="BD655" s="256" t="str">
        <f>IF(Ruimtestaat[[#This Row],[Frequentie weekend]]="","",_xlfn.CONCAT(Ruimtestaat[[#This Row],[Ruimte code]],"-",Ruimtestaat[[#This Row],[Frequentie weekend]]," ",Ruimtestaat[[#This Row],[Vloer code]]))</f>
        <v/>
      </c>
      <c r="BE655" s="300" t="str">
        <f>_xlfn.IFNA(VLOOKUP($BD655,Programma!$F$3:$G$1107,2,0),"")</f>
        <v/>
      </c>
      <c r="BF655" s="300" t="str">
        <f>_xlfn.IFNA(VLOOKUP($BD655,Programma!$F$3:$H$1107,3,0),"")</f>
        <v/>
      </c>
      <c r="BG655" s="300" t="str">
        <f>_xlfn.IFNA(VLOOKUP($BD655,Programma!$F$3:$I$1107,4,0),"")</f>
        <v/>
      </c>
      <c r="BH655" s="300" t="str">
        <f>_xlfn.IFNA(VLOOKUP($BD655,Programma!$F$3:$J$1107,5,0),"")</f>
        <v/>
      </c>
      <c r="BI655" s="300" t="str">
        <f>_xlfn.IFNA(VLOOKUP($BD655,Programma!$F$3:$K$1107,6,0),"")</f>
        <v/>
      </c>
      <c r="BJ655" s="300" t="str">
        <f>_xlfn.IFNA(VLOOKUP($BD655,Programma!$F$3:$L$1107,7,0),"")</f>
        <v/>
      </c>
      <c r="BK655" s="300" t="str">
        <f>_xlfn.IFNA(VLOOKUP($BD655,Programma!$F$3:$M$1107,8,0),"")</f>
        <v/>
      </c>
      <c r="BL655" s="300" t="str">
        <f>_xlfn.IFNA(VLOOKUP($BD655,Programma!$F$3:$N$1107,9,0),"")</f>
        <v/>
      </c>
      <c r="BM655" s="300" t="str">
        <f>_xlfn.IFNA(VLOOKUP($BD655,Programma!$F$3:$O$1107,10,0),"")</f>
        <v/>
      </c>
      <c r="BN655" s="300" t="str">
        <f>_xlfn.IFNA(VLOOKUP($BD655,Programma!$F$3:$P$1107,11,0),"")</f>
        <v/>
      </c>
      <c r="BO655" s="300" t="str">
        <f>_xlfn.IFNA(VLOOKUP($BD655,Programma!$F$3:$Q$1107,12,0),"")</f>
        <v/>
      </c>
      <c r="BP655" s="300" t="str">
        <f>_xlfn.IFNA(VLOOKUP($BD655,Programma!$F$3:$R$1107,13,0),"")</f>
        <v/>
      </c>
      <c r="BQ655" s="300" t="str">
        <f>_xlfn.IFNA(VLOOKUP($BD655,Programma!$F$3:$S$1107,14,0),"")</f>
        <v/>
      </c>
      <c r="BR655" s="300" t="str">
        <f>_xlfn.IFNA(VLOOKUP($BD655,Programma!$F$3:$T$1107,15,0),"")</f>
        <v/>
      </c>
      <c r="BS655" s="300" t="str">
        <f>_xlfn.IFNA(VLOOKUP($BD655,Programma!$F$3:$U$1107,16,0),"")</f>
        <v/>
      </c>
      <c r="BT655" s="300" t="str">
        <f>_xlfn.IFNA(VLOOKUP($BD655,Programma!$F$3:$V$1107,17,0),"")</f>
        <v/>
      </c>
      <c r="BU655" s="300" t="str">
        <f>_xlfn.IFNA(VLOOKUP($BD655,Programma!$F$3:$W$1107,18,0),"")</f>
        <v/>
      </c>
      <c r="BV655" s="300" t="str">
        <f>_xlfn.IFNA(VLOOKUP($BD655,Programma!$F$3:$X$1107,19,0),"")</f>
        <v/>
      </c>
      <c r="BW655" s="300" t="str">
        <f>_xlfn.IFNA(VLOOKUP($BD655,Programma!$F$3:$Y$1107,20,0),"")</f>
        <v/>
      </c>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c r="GK655" s="4"/>
      <c r="GL655" s="4"/>
      <c r="GM655" s="4"/>
      <c r="GN655" s="4"/>
      <c r="GO655" s="4"/>
      <c r="GP655" s="4"/>
      <c r="GQ655" s="4"/>
      <c r="GR655" s="4"/>
      <c r="GS655" s="4"/>
      <c r="GT655" s="4"/>
      <c r="GU655" s="4"/>
      <c r="GV655" s="4"/>
      <c r="GW655" s="4"/>
      <c r="GX655" s="4"/>
      <c r="GY655" s="4"/>
      <c r="GZ655" s="4"/>
      <c r="HA655" s="4"/>
      <c r="HB655" s="4"/>
      <c r="HC655" s="4"/>
      <c r="HD655" s="4"/>
      <c r="HE655" s="4"/>
      <c r="HF655" s="4"/>
      <c r="HG655" s="4"/>
      <c r="HH655" s="4"/>
      <c r="HI655" s="4"/>
      <c r="HJ655" s="4"/>
      <c r="HK655" s="4"/>
      <c r="HL655" s="4"/>
    </row>
    <row r="656" spans="1:220" ht="15" customHeight="1">
      <c r="A656" s="21">
        <v>7</v>
      </c>
      <c r="B656" s="157" t="str">
        <f>VLOOKUP(Ruimtestaat[[#This Row],[Code]],Locaties[[Code]:[Locatie]],2,FALSE)</f>
        <v>Gymnasium Novum</v>
      </c>
      <c r="C656" s="157" t="str">
        <f>VLOOKUP(Ruimtestaat[[#This Row],[Code]],Locaties[[#All],[Code]:[Adres]],4,FALSE)</f>
        <v>Aart v.d. Leeuwkade 1</v>
      </c>
      <c r="D656" s="157" t="str">
        <f>VLOOKUP(Ruimtestaat[[#This Row],[Code]],Locaties[[#All],[Code]:[Postcode]],5,FALSE)</f>
        <v>2274 KX</v>
      </c>
      <c r="E656" s="157" t="str">
        <f>VLOOKUP(Ruimtestaat[[#This Row],[Code]],Locaties[#All],6,FALSE)</f>
        <v>Voorburg</v>
      </c>
      <c r="F656" s="62" t="s">
        <v>2187</v>
      </c>
      <c r="G656" s="21" t="s">
        <v>1749</v>
      </c>
      <c r="H656" s="21" t="s">
        <v>2190</v>
      </c>
      <c r="I656" s="62" t="s">
        <v>2191</v>
      </c>
      <c r="J656" s="21">
        <v>16</v>
      </c>
      <c r="K656" s="62" t="str">
        <f>VLOOKUP(Ruimtestaat[[#This Row],[Ruimte code]],Ruimtegroepen[[#All],[Code]:[Ruimte omschrijving]],2,FALSE)</f>
        <v>Leslokalen theorie</v>
      </c>
      <c r="L656" s="33" t="s">
        <v>101</v>
      </c>
      <c r="M656" s="367" t="s">
        <v>2495</v>
      </c>
      <c r="N656" s="140">
        <v>52.8</v>
      </c>
      <c r="O656" s="140"/>
      <c r="P656" s="125" t="str">
        <f>VLOOKUP(Ruimtestaat[[#This Row],[Ruimte code]],Ruimtegroepen[],4,FALSE)</f>
        <v>Le</v>
      </c>
      <c r="R656" s="33">
        <v>40</v>
      </c>
      <c r="S656" s="33" t="s">
        <v>2</v>
      </c>
      <c r="T656" s="33">
        <f>IF(R656&gt;0,IF(RIGHT(Ruimtestaat[[#This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56" s="33">
        <f>IF(T656&gt;0,VLOOKUP($J656,Ruimtegroepen[],3,FALSE)*VLOOKUP($L656,Vloersoorten[],3,FALSE)*VLOOKUP($S656,Frequenties[],3,FALSE)*VLOOKUP($A656,Locaties[],3,FALSE),0)</f>
        <v>0</v>
      </c>
      <c r="V656" s="33">
        <f>Ruimtestaat[[#This Row],[Uitvoeringen werkdagen]]*Ruimtestaat[[#This Row],[Oppervlak (netto)]]</f>
        <v>10560</v>
      </c>
      <c r="W656" s="154">
        <f>IF(U656&gt;0,Ruimtestaat[[#This Row],[Prest. (m2 /jaar) werkdagen]]/Ruimtestaat[[#This Row],[Norm (m2/uur) werkdagen]],0)</f>
        <v>0</v>
      </c>
      <c r="X656" s="155">
        <f>Ruimtestaat[[#This Row],[uren / jaar werkdagen]]*Tariefsopbouw!$E$35</f>
        <v>0</v>
      </c>
      <c r="Y656" s="33"/>
      <c r="Z656" s="33">
        <f>IF(Ruimtestaat[[#This Row],[Frequentie weekend]]&gt;0,VALUE(LEFT(Y656,1))*R656,0)</f>
        <v>0</v>
      </c>
      <c r="AA656" s="97">
        <f>IF($Z656&gt;0,VLOOKUP($J656,Ruimtegroepen[],3,FALSE)*VLOOKUP($L656,Vloersoorten[],3,FALSE)*VLOOKUP($Y656,Frequenties[],3,FALSE)*VLOOKUP(Ruimtestaat[[#This Row],[Code]],Locaties[],3,FALSE),0)</f>
        <v>0</v>
      </c>
      <c r="AB656" s="97">
        <f>Ruimtestaat[[#This Row],[Uitvoeringen weekend]]*Ruimtestaat[[#This Row],[Oppervlak (netto)]]</f>
        <v>0</v>
      </c>
      <c r="AC656" s="97">
        <f>IF(AA656&gt;0,Ruimtestaat[[#This Row],[Prest. (m2 /jaar) weekend]]/Ruimtestaat[[#This Row],[Norm (m2/uur) weekend]],0)</f>
        <v>0</v>
      </c>
      <c r="AD656" s="155">
        <f>Ruimtestaat[[#This Row],[uren / jaar weekend]]*Tariefsopbouw!$D$40</f>
        <v>0</v>
      </c>
      <c r="AE656" s="154">
        <f>Ruimtestaat[[#This Row],[Prest. (m2 /jaar) weekend]]+Ruimtestaat[[#This Row],[Prest. (m2 /jaar) werkdagen]]</f>
        <v>10560</v>
      </c>
      <c r="AF656" s="154">
        <f>Ruimtestaat[[#This Row],[uren / jaar weekend]]+Ruimtestaat[[#This Row],[uren / jaar werkdagen]]</f>
        <v>0</v>
      </c>
      <c r="AG656" s="69">
        <f>Ruimtestaat[[#This Row],[kosten / jaar weekend]]+Ruimtestaat[[#This Row],[kosten / jaar werkdagen]]</f>
        <v>0</v>
      </c>
      <c r="AH656" s="69"/>
      <c r="AI656" s="256" t="str">
        <f>IF(Ruimtestaat[[#This Row],[Frequentie werkdagen]]="","",_xlfn.CONCAT(Ruimtestaat[[#This Row],[Ruimte code]],"-",Ruimtestaat[[#This Row],[Frequentie werkdagen]]," ",Ruimtestaat[[#This Row],[Vloer code]]))</f>
        <v>16-5w L</v>
      </c>
      <c r="AJ656" s="300" t="str">
        <f>_xlfn.IFNA(VLOOKUP($AI656,Programma!$F$3:$G$1107,2,0),"")</f>
        <v>_</v>
      </c>
      <c r="AK656" s="300" t="str">
        <f>_xlfn.IFNA(VLOOKUP($AI656,Programma!$F$3:$H$1107,3,0),"")</f>
        <v>_</v>
      </c>
      <c r="AL656" s="300" t="str">
        <f>_xlfn.IFNA(VLOOKUP($AI656,Programma!$F$3:$I$1107,4,0),"")</f>
        <v>4w</v>
      </c>
      <c r="AM656" s="300" t="str">
        <f>_xlfn.IFNA(VLOOKUP($AI656,Programma!$F$3:$J$1107,5,0),"")</f>
        <v>1w</v>
      </c>
      <c r="AN656" s="300" t="str">
        <f>_xlfn.IFNA(VLOOKUP($AI656,Programma!$F$3:$K$1107,6,0),"")</f>
        <v>_</v>
      </c>
      <c r="AO656" s="300" t="str">
        <f>_xlfn.IFNA(VLOOKUP($AI656,Programma!$F$3:$L$1107,7,0),"")</f>
        <v>_</v>
      </c>
      <c r="AP656" s="300" t="str">
        <f>_xlfn.IFNA(VLOOKUP($AI656,Programma!$F$3:$M$1107,8,0),"")</f>
        <v>_</v>
      </c>
      <c r="AQ656" s="300" t="str">
        <f>_xlfn.IFNA(VLOOKUP($AI656,Programma!$F$3:$N$1107,9,0),"")</f>
        <v>_</v>
      </c>
      <c r="AR656" s="300" t="str">
        <f>_xlfn.IFNA(VLOOKUP($AI656,Programma!$F$3:$O$1107,10,0),"")</f>
        <v>5w</v>
      </c>
      <c r="AS656" s="300" t="str">
        <f>_xlfn.IFNA(VLOOKUP($AI656,Programma!$F$3:$P$1107,11,0),"")</f>
        <v>5w</v>
      </c>
      <c r="AT656" s="300" t="str">
        <f>_xlfn.IFNA(VLOOKUP($AI656,Programma!$F$3:$Q$1107,12,0),"")</f>
        <v>1w</v>
      </c>
      <c r="AU656" s="300" t="str">
        <f>_xlfn.IFNA(VLOOKUP($AI656,Programma!$F$3:$R$1107,13,0),"")</f>
        <v>1w</v>
      </c>
      <c r="AV656" s="300" t="str">
        <f>_xlfn.IFNA(VLOOKUP($AI656,Programma!$F$3:$S$1107,14,0),"")</f>
        <v>1m</v>
      </c>
      <c r="AW656" s="300" t="str">
        <f>_xlfn.IFNA(VLOOKUP($AI656,Programma!$F$3:$T$1107,15,0),"")</f>
        <v>2j</v>
      </c>
      <c r="AX656" s="300" t="str">
        <f>_xlfn.IFNA(VLOOKUP($AI656,Programma!$F$3:$U$1107,16,0),"")</f>
        <v>1j</v>
      </c>
      <c r="AY656" s="300" t="str">
        <f>_xlfn.IFNA(VLOOKUP($AI656,Programma!$F$3:$V$1107,17,0),"")</f>
        <v>_</v>
      </c>
      <c r="AZ656" s="300" t="str">
        <f>_xlfn.IFNA(VLOOKUP($AI656,Programma!$F$3:$W$1107,18,0),"")</f>
        <v>_</v>
      </c>
      <c r="BA656" s="300" t="str">
        <f>_xlfn.IFNA(VLOOKUP($AI656,Programma!$F$3:$X$1107,19,0),"")</f>
        <v>_</v>
      </c>
      <c r="BB656" s="300" t="str">
        <f>_xlfn.IFNA(VLOOKUP($AI656,Programma!$F$3:$Y$1107,20,0),"")</f>
        <v>_</v>
      </c>
      <c r="BC656" s="257"/>
      <c r="BD656" s="256" t="str">
        <f>IF(Ruimtestaat[[#This Row],[Frequentie weekend]]="","",_xlfn.CONCAT(Ruimtestaat[[#This Row],[Ruimte code]],"-",Ruimtestaat[[#This Row],[Frequentie weekend]]," ",Ruimtestaat[[#This Row],[Vloer code]]))</f>
        <v/>
      </c>
      <c r="BE656" s="300" t="str">
        <f>_xlfn.IFNA(VLOOKUP($BD656,Programma!$F$3:$G$1107,2,0),"")</f>
        <v/>
      </c>
      <c r="BF656" s="300" t="str">
        <f>_xlfn.IFNA(VLOOKUP($BD656,Programma!$F$3:$H$1107,3,0),"")</f>
        <v/>
      </c>
      <c r="BG656" s="300" t="str">
        <f>_xlfn.IFNA(VLOOKUP($BD656,Programma!$F$3:$I$1107,4,0),"")</f>
        <v/>
      </c>
      <c r="BH656" s="300" t="str">
        <f>_xlfn.IFNA(VLOOKUP($BD656,Programma!$F$3:$J$1107,5,0),"")</f>
        <v/>
      </c>
      <c r="BI656" s="300" t="str">
        <f>_xlfn.IFNA(VLOOKUP($BD656,Programma!$F$3:$K$1107,6,0),"")</f>
        <v/>
      </c>
      <c r="BJ656" s="300" t="str">
        <f>_xlfn.IFNA(VLOOKUP($BD656,Programma!$F$3:$L$1107,7,0),"")</f>
        <v/>
      </c>
      <c r="BK656" s="300" t="str">
        <f>_xlfn.IFNA(VLOOKUP($BD656,Programma!$F$3:$M$1107,8,0),"")</f>
        <v/>
      </c>
      <c r="BL656" s="300" t="str">
        <f>_xlfn.IFNA(VLOOKUP($BD656,Programma!$F$3:$N$1107,9,0),"")</f>
        <v/>
      </c>
      <c r="BM656" s="300" t="str">
        <f>_xlfn.IFNA(VLOOKUP($BD656,Programma!$F$3:$O$1107,10,0),"")</f>
        <v/>
      </c>
      <c r="BN656" s="300" t="str">
        <f>_xlfn.IFNA(VLOOKUP($BD656,Programma!$F$3:$P$1107,11,0),"")</f>
        <v/>
      </c>
      <c r="BO656" s="300" t="str">
        <f>_xlfn.IFNA(VLOOKUP($BD656,Programma!$F$3:$Q$1107,12,0),"")</f>
        <v/>
      </c>
      <c r="BP656" s="300" t="str">
        <f>_xlfn.IFNA(VLOOKUP($BD656,Programma!$F$3:$R$1107,13,0),"")</f>
        <v/>
      </c>
      <c r="BQ656" s="300" t="str">
        <f>_xlfn.IFNA(VLOOKUP($BD656,Programma!$F$3:$S$1107,14,0),"")</f>
        <v/>
      </c>
      <c r="BR656" s="300" t="str">
        <f>_xlfn.IFNA(VLOOKUP($BD656,Programma!$F$3:$T$1107,15,0),"")</f>
        <v/>
      </c>
      <c r="BS656" s="300" t="str">
        <f>_xlfn.IFNA(VLOOKUP($BD656,Programma!$F$3:$U$1107,16,0),"")</f>
        <v/>
      </c>
      <c r="BT656" s="300" t="str">
        <f>_xlfn.IFNA(VLOOKUP($BD656,Programma!$F$3:$V$1107,17,0),"")</f>
        <v/>
      </c>
      <c r="BU656" s="300" t="str">
        <f>_xlfn.IFNA(VLOOKUP($BD656,Programma!$F$3:$W$1107,18,0),"")</f>
        <v/>
      </c>
      <c r="BV656" s="300" t="str">
        <f>_xlfn.IFNA(VLOOKUP($BD656,Programma!$F$3:$X$1107,19,0),"")</f>
        <v/>
      </c>
      <c r="BW656" s="300" t="str">
        <f>_xlfn.IFNA(VLOOKUP($BD656,Programma!$F$3:$Y$1107,20,0),"")</f>
        <v/>
      </c>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c r="GK656" s="4"/>
      <c r="GL656" s="4"/>
      <c r="GM656" s="4"/>
      <c r="GN656" s="4"/>
      <c r="GO656" s="4"/>
      <c r="GP656" s="4"/>
      <c r="GQ656" s="4"/>
      <c r="GR656" s="4"/>
      <c r="GS656" s="4"/>
      <c r="GT656" s="4"/>
      <c r="GU656" s="4"/>
      <c r="GV656" s="4"/>
      <c r="GW656" s="4"/>
      <c r="GX656" s="4"/>
      <c r="GY656" s="4"/>
      <c r="GZ656" s="4"/>
      <c r="HA656" s="4"/>
      <c r="HB656" s="4"/>
      <c r="HC656" s="4"/>
      <c r="HD656" s="4"/>
      <c r="HE656" s="4"/>
      <c r="HF656" s="4"/>
      <c r="HG656" s="4"/>
      <c r="HH656" s="4"/>
      <c r="HI656" s="4"/>
      <c r="HJ656" s="4"/>
      <c r="HK656" s="4"/>
      <c r="HL656" s="4"/>
    </row>
    <row r="657" spans="1:220" ht="15" customHeight="1">
      <c r="A657" s="21">
        <v>7</v>
      </c>
      <c r="B657" s="157" t="str">
        <f>VLOOKUP(Ruimtestaat[[#This Row],[Code]],Locaties[[Code]:[Locatie]],2,FALSE)</f>
        <v>Gymnasium Novum</v>
      </c>
      <c r="C657" s="157" t="str">
        <f>VLOOKUP(Ruimtestaat[[#This Row],[Code]],Locaties[[#All],[Code]:[Adres]],4,FALSE)</f>
        <v>Aart v.d. Leeuwkade 1</v>
      </c>
      <c r="D657" s="157" t="str">
        <f>VLOOKUP(Ruimtestaat[[#This Row],[Code]],Locaties[[#All],[Code]:[Postcode]],5,FALSE)</f>
        <v>2274 KX</v>
      </c>
      <c r="E657" s="157" t="str">
        <f>VLOOKUP(Ruimtestaat[[#This Row],[Code]],Locaties[#All],6,FALSE)</f>
        <v>Voorburg</v>
      </c>
      <c r="F657" s="62" t="s">
        <v>2187</v>
      </c>
      <c r="G657" s="21" t="s">
        <v>1749</v>
      </c>
      <c r="H657" s="21" t="s">
        <v>2192</v>
      </c>
      <c r="I657" s="62" t="s">
        <v>1644</v>
      </c>
      <c r="J657" s="21">
        <v>1</v>
      </c>
      <c r="K657" s="62" t="str">
        <f>VLOOKUP(Ruimtestaat[[#This Row],[Ruimte code]],Ruimtegroepen[[#All],[Code]:[Ruimte omschrijving]],2,FALSE)</f>
        <v>Magazijnen/bergingen</v>
      </c>
      <c r="L657" s="33" t="s">
        <v>101</v>
      </c>
      <c r="M657" s="367" t="s">
        <v>2495</v>
      </c>
      <c r="N657" s="140">
        <v>5.7</v>
      </c>
      <c r="O657" s="140"/>
      <c r="P657" s="125" t="str">
        <f>VLOOKUP(Ruimtestaat[[#This Row],[Ruimte code]],Ruimtegroepen[],4,FALSE)</f>
        <v>Ve</v>
      </c>
      <c r="R657" s="33">
        <v>40</v>
      </c>
      <c r="S657" s="33" t="s">
        <v>16</v>
      </c>
      <c r="T657" s="33">
        <f>IF(R657&gt;0,IF(RIGHT(Ruimtestaat[[#This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657" s="33">
        <f>IF(T657&gt;0,VLOOKUP($J657,Ruimtegroepen[],3,FALSE)*VLOOKUP($L657,Vloersoorten[],3,FALSE)*VLOOKUP($S657,Frequenties[],3,FALSE)*VLOOKUP($A657,Locaties[],3,FALSE),0)</f>
        <v>0</v>
      </c>
      <c r="V657" s="33">
        <f>Ruimtestaat[[#This Row],[Uitvoeringen werkdagen]]*Ruimtestaat[[#This Row],[Oppervlak (netto)]]</f>
        <v>68.400000000000006</v>
      </c>
      <c r="W657" s="154">
        <f>IF(U657&gt;0,Ruimtestaat[[#This Row],[Prest. (m2 /jaar) werkdagen]]/Ruimtestaat[[#This Row],[Norm (m2/uur) werkdagen]],0)</f>
        <v>0</v>
      </c>
      <c r="X657" s="155">
        <f>Ruimtestaat[[#This Row],[uren / jaar werkdagen]]*Tariefsopbouw!$E$35</f>
        <v>0</v>
      </c>
      <c r="Y657" s="33"/>
      <c r="Z657" s="33">
        <f>IF(Ruimtestaat[[#This Row],[Frequentie weekend]]&gt;0,VALUE(LEFT(Y657,1))*R657,0)</f>
        <v>0</v>
      </c>
      <c r="AA657" s="97">
        <f>IF($Z657&gt;0,VLOOKUP($J657,Ruimtegroepen[],3,FALSE)*VLOOKUP($L657,Vloersoorten[],3,FALSE)*VLOOKUP($Y657,Frequenties[],3,FALSE)*VLOOKUP(Ruimtestaat[[#This Row],[Code]],Locaties[],3,FALSE),0)</f>
        <v>0</v>
      </c>
      <c r="AB657" s="97">
        <f>Ruimtestaat[[#This Row],[Uitvoeringen weekend]]*Ruimtestaat[[#This Row],[Oppervlak (netto)]]</f>
        <v>0</v>
      </c>
      <c r="AC657" s="97">
        <f>IF(AA657&gt;0,Ruimtestaat[[#This Row],[Prest. (m2 /jaar) weekend]]/Ruimtestaat[[#This Row],[Norm (m2/uur) weekend]],0)</f>
        <v>0</v>
      </c>
      <c r="AD657" s="155">
        <f>Ruimtestaat[[#This Row],[uren / jaar weekend]]*Tariefsopbouw!$D$40</f>
        <v>0</v>
      </c>
      <c r="AE657" s="154">
        <f>Ruimtestaat[[#This Row],[Prest. (m2 /jaar) weekend]]+Ruimtestaat[[#This Row],[Prest. (m2 /jaar) werkdagen]]</f>
        <v>68.400000000000006</v>
      </c>
      <c r="AF657" s="154">
        <f>Ruimtestaat[[#This Row],[uren / jaar weekend]]+Ruimtestaat[[#This Row],[uren / jaar werkdagen]]</f>
        <v>0</v>
      </c>
      <c r="AG657" s="69">
        <f>Ruimtestaat[[#This Row],[kosten / jaar weekend]]+Ruimtestaat[[#This Row],[kosten / jaar werkdagen]]</f>
        <v>0</v>
      </c>
      <c r="AH657" s="69"/>
      <c r="AI657" s="256" t="str">
        <f>IF(Ruimtestaat[[#This Row],[Frequentie werkdagen]]="","",_xlfn.CONCAT(Ruimtestaat[[#This Row],[Ruimte code]],"-",Ruimtestaat[[#This Row],[Frequentie werkdagen]]," ",Ruimtestaat[[#This Row],[Vloer code]]))</f>
        <v>1-1m L</v>
      </c>
      <c r="AJ657" s="300" t="str">
        <f>_xlfn.IFNA(VLOOKUP($AI657,Programma!$F$3:$G$1107,2,0),"")</f>
        <v>_</v>
      </c>
      <c r="AK657" s="300" t="str">
        <f>_xlfn.IFNA(VLOOKUP($AI657,Programma!$F$3:$H$1107,3,0),"")</f>
        <v>_</v>
      </c>
      <c r="AL657" s="300" t="str">
        <f>_xlfn.IFNA(VLOOKUP($AI657,Programma!$F$3:$I$1107,4,0),"")</f>
        <v>1m</v>
      </c>
      <c r="AM657" s="300" t="str">
        <f>_xlfn.IFNA(VLOOKUP($AI657,Programma!$F$3:$J$1107,5,0),"")</f>
        <v>1m</v>
      </c>
      <c r="AN657" s="300" t="str">
        <f>_xlfn.IFNA(VLOOKUP($AI657,Programma!$F$3:$K$1107,6,0),"")</f>
        <v>_</v>
      </c>
      <c r="AO657" s="300" t="str">
        <f>_xlfn.IFNA(VLOOKUP($AI657,Programma!$F$3:$L$1107,7,0),"")</f>
        <v>_</v>
      </c>
      <c r="AP657" s="300" t="str">
        <f>_xlfn.IFNA(VLOOKUP($AI657,Programma!$F$3:$M$1107,8,0),"")</f>
        <v>_</v>
      </c>
      <c r="AQ657" s="300" t="str">
        <f>_xlfn.IFNA(VLOOKUP($AI657,Programma!$F$3:$N$1107,9,0),"")</f>
        <v>_</v>
      </c>
      <c r="AR657" s="300" t="str">
        <f>_xlfn.IFNA(VLOOKUP($AI657,Programma!$F$3:$O$1107,10,0),"")</f>
        <v>_</v>
      </c>
      <c r="AS657" s="300" t="str">
        <f>_xlfn.IFNA(VLOOKUP($AI657,Programma!$F$3:$P$1107,11,0),"")</f>
        <v>_</v>
      </c>
      <c r="AT657" s="300" t="str">
        <f>_xlfn.IFNA(VLOOKUP($AI657,Programma!$F$3:$Q$1107,12,0),"")</f>
        <v>_</v>
      </c>
      <c r="AU657" s="300" t="str">
        <f>_xlfn.IFNA(VLOOKUP($AI657,Programma!$F$3:$R$1107,13,0),"")</f>
        <v>_</v>
      </c>
      <c r="AV657" s="300" t="str">
        <f>_xlfn.IFNA(VLOOKUP($AI657,Programma!$F$3:$S$1107,14,0),"")</f>
        <v>1m</v>
      </c>
      <c r="AW657" s="300" t="str">
        <f>_xlfn.IFNA(VLOOKUP($AI657,Programma!$F$3:$T$1107,15,0),"")</f>
        <v>4j</v>
      </c>
      <c r="AX657" s="300" t="str">
        <f>_xlfn.IFNA(VLOOKUP($AI657,Programma!$F$3:$U$1107,16,0),"")</f>
        <v>4j</v>
      </c>
      <c r="AY657" s="300" t="str">
        <f>_xlfn.IFNA(VLOOKUP($AI657,Programma!$F$3:$V$1107,17,0),"")</f>
        <v>_</v>
      </c>
      <c r="AZ657" s="300" t="str">
        <f>_xlfn.IFNA(VLOOKUP($AI657,Programma!$F$3:$W$1107,18,0),"")</f>
        <v>_</v>
      </c>
      <c r="BA657" s="300" t="str">
        <f>_xlfn.IFNA(VLOOKUP($AI657,Programma!$F$3:$X$1107,19,0),"")</f>
        <v>_</v>
      </c>
      <c r="BB657" s="300" t="str">
        <f>_xlfn.IFNA(VLOOKUP($AI657,Programma!$F$3:$Y$1107,20,0),"")</f>
        <v>_</v>
      </c>
      <c r="BC657" s="257"/>
      <c r="BD657" s="256" t="str">
        <f>IF(Ruimtestaat[[#This Row],[Frequentie weekend]]="","",_xlfn.CONCAT(Ruimtestaat[[#This Row],[Ruimte code]],"-",Ruimtestaat[[#This Row],[Frequentie weekend]]," ",Ruimtestaat[[#This Row],[Vloer code]]))</f>
        <v/>
      </c>
      <c r="BE657" s="300" t="str">
        <f>_xlfn.IFNA(VLOOKUP($BD657,Programma!$F$3:$G$1107,2,0),"")</f>
        <v/>
      </c>
      <c r="BF657" s="300" t="str">
        <f>_xlfn.IFNA(VLOOKUP($BD657,Programma!$F$3:$H$1107,3,0),"")</f>
        <v/>
      </c>
      <c r="BG657" s="300" t="str">
        <f>_xlfn.IFNA(VLOOKUP($BD657,Programma!$F$3:$I$1107,4,0),"")</f>
        <v/>
      </c>
      <c r="BH657" s="300" t="str">
        <f>_xlfn.IFNA(VLOOKUP($BD657,Programma!$F$3:$J$1107,5,0),"")</f>
        <v/>
      </c>
      <c r="BI657" s="300" t="str">
        <f>_xlfn.IFNA(VLOOKUP($BD657,Programma!$F$3:$K$1107,6,0),"")</f>
        <v/>
      </c>
      <c r="BJ657" s="300" t="str">
        <f>_xlfn.IFNA(VLOOKUP($BD657,Programma!$F$3:$L$1107,7,0),"")</f>
        <v/>
      </c>
      <c r="BK657" s="300" t="str">
        <f>_xlfn.IFNA(VLOOKUP($BD657,Programma!$F$3:$M$1107,8,0),"")</f>
        <v/>
      </c>
      <c r="BL657" s="300" t="str">
        <f>_xlfn.IFNA(VLOOKUP($BD657,Programma!$F$3:$N$1107,9,0),"")</f>
        <v/>
      </c>
      <c r="BM657" s="300" t="str">
        <f>_xlfn.IFNA(VLOOKUP($BD657,Programma!$F$3:$O$1107,10,0),"")</f>
        <v/>
      </c>
      <c r="BN657" s="300" t="str">
        <f>_xlfn.IFNA(VLOOKUP($BD657,Programma!$F$3:$P$1107,11,0),"")</f>
        <v/>
      </c>
      <c r="BO657" s="300" t="str">
        <f>_xlfn.IFNA(VLOOKUP($BD657,Programma!$F$3:$Q$1107,12,0),"")</f>
        <v/>
      </c>
      <c r="BP657" s="300" t="str">
        <f>_xlfn.IFNA(VLOOKUP($BD657,Programma!$F$3:$R$1107,13,0),"")</f>
        <v/>
      </c>
      <c r="BQ657" s="300" t="str">
        <f>_xlfn.IFNA(VLOOKUP($BD657,Programma!$F$3:$S$1107,14,0),"")</f>
        <v/>
      </c>
      <c r="BR657" s="300" t="str">
        <f>_xlfn.IFNA(VLOOKUP($BD657,Programma!$F$3:$T$1107,15,0),"")</f>
        <v/>
      </c>
      <c r="BS657" s="300" t="str">
        <f>_xlfn.IFNA(VLOOKUP($BD657,Programma!$F$3:$U$1107,16,0),"")</f>
        <v/>
      </c>
      <c r="BT657" s="300" t="str">
        <f>_xlfn.IFNA(VLOOKUP($BD657,Programma!$F$3:$V$1107,17,0),"")</f>
        <v/>
      </c>
      <c r="BU657" s="300" t="str">
        <f>_xlfn.IFNA(VLOOKUP($BD657,Programma!$F$3:$W$1107,18,0),"")</f>
        <v/>
      </c>
      <c r="BV657" s="300" t="str">
        <f>_xlfn.IFNA(VLOOKUP($BD657,Programma!$F$3:$X$1107,19,0),"")</f>
        <v/>
      </c>
      <c r="BW657" s="300" t="str">
        <f>_xlfn.IFNA(VLOOKUP($BD657,Programma!$F$3:$Y$1107,20,0),"")</f>
        <v/>
      </c>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c r="GK657" s="4"/>
      <c r="GL657" s="4"/>
      <c r="GM657" s="4"/>
      <c r="GN657" s="4"/>
      <c r="GO657" s="4"/>
      <c r="GP657" s="4"/>
      <c r="GQ657" s="4"/>
      <c r="GR657" s="4"/>
      <c r="GS657" s="4"/>
      <c r="GT657" s="4"/>
      <c r="GU657" s="4"/>
      <c r="GV657" s="4"/>
      <c r="GW657" s="4"/>
      <c r="GX657" s="4"/>
      <c r="GY657" s="4"/>
      <c r="GZ657" s="4"/>
      <c r="HA657" s="4"/>
      <c r="HB657" s="4"/>
      <c r="HC657" s="4"/>
      <c r="HD657" s="4"/>
      <c r="HE657" s="4"/>
      <c r="HF657" s="4"/>
      <c r="HG657" s="4"/>
      <c r="HH657" s="4"/>
      <c r="HI657" s="4"/>
      <c r="HJ657" s="4"/>
      <c r="HK657" s="4"/>
      <c r="HL657" s="4"/>
    </row>
    <row r="658" spans="1:220" ht="15" customHeight="1">
      <c r="A658" s="21">
        <v>7</v>
      </c>
      <c r="B658" s="157" t="str">
        <f>VLOOKUP(Ruimtestaat[[#This Row],[Code]],Locaties[[Code]:[Locatie]],2,FALSE)</f>
        <v>Gymnasium Novum</v>
      </c>
      <c r="C658" s="157" t="str">
        <f>VLOOKUP(Ruimtestaat[[#This Row],[Code]],Locaties[[#All],[Code]:[Adres]],4,FALSE)</f>
        <v>Aart v.d. Leeuwkade 1</v>
      </c>
      <c r="D658" s="157" t="str">
        <f>VLOOKUP(Ruimtestaat[[#This Row],[Code]],Locaties[[#All],[Code]:[Postcode]],5,FALSE)</f>
        <v>2274 KX</v>
      </c>
      <c r="E658" s="157" t="str">
        <f>VLOOKUP(Ruimtestaat[[#This Row],[Code]],Locaties[#All],6,FALSE)</f>
        <v>Voorburg</v>
      </c>
      <c r="F658" s="62" t="s">
        <v>2187</v>
      </c>
      <c r="G658" s="21" t="s">
        <v>1749</v>
      </c>
      <c r="H658" s="21" t="s">
        <v>2193</v>
      </c>
      <c r="I658" s="62" t="s">
        <v>2194</v>
      </c>
      <c r="J658" s="21">
        <v>16</v>
      </c>
      <c r="K658" s="62" t="str">
        <f>VLOOKUP(Ruimtestaat[[#This Row],[Ruimte code]],Ruimtegroepen[[#All],[Code]:[Ruimte omschrijving]],2,FALSE)</f>
        <v>Leslokalen theorie</v>
      </c>
      <c r="L658" s="33" t="s">
        <v>101</v>
      </c>
      <c r="M658" s="367" t="s">
        <v>2495</v>
      </c>
      <c r="N658" s="140">
        <v>52.8</v>
      </c>
      <c r="O658" s="140"/>
      <c r="P658" s="125" t="str">
        <f>VLOOKUP(Ruimtestaat[[#This Row],[Ruimte code]],Ruimtegroepen[],4,FALSE)</f>
        <v>Le</v>
      </c>
      <c r="R658" s="33">
        <v>40</v>
      </c>
      <c r="S658" s="33" t="s">
        <v>2</v>
      </c>
      <c r="T658" s="33">
        <f>IF(R658&gt;0,IF(RIGHT(Ruimtestaat[[#This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58" s="33">
        <f>IF(T658&gt;0,VLOOKUP($J658,Ruimtegroepen[],3,FALSE)*VLOOKUP($L658,Vloersoorten[],3,FALSE)*VLOOKUP($S658,Frequenties[],3,FALSE)*VLOOKUP($A658,Locaties[],3,FALSE),0)</f>
        <v>0</v>
      </c>
      <c r="V658" s="33">
        <f>Ruimtestaat[[#This Row],[Uitvoeringen werkdagen]]*Ruimtestaat[[#This Row],[Oppervlak (netto)]]</f>
        <v>10560</v>
      </c>
      <c r="W658" s="154">
        <f>IF(U658&gt;0,Ruimtestaat[[#This Row],[Prest. (m2 /jaar) werkdagen]]/Ruimtestaat[[#This Row],[Norm (m2/uur) werkdagen]],0)</f>
        <v>0</v>
      </c>
      <c r="X658" s="155">
        <f>Ruimtestaat[[#This Row],[uren / jaar werkdagen]]*Tariefsopbouw!$E$35</f>
        <v>0</v>
      </c>
      <c r="Y658" s="33"/>
      <c r="Z658" s="33">
        <f>IF(Ruimtestaat[[#This Row],[Frequentie weekend]]&gt;0,VALUE(LEFT(Y658,1))*R658,0)</f>
        <v>0</v>
      </c>
      <c r="AA658" s="97">
        <f>IF($Z658&gt;0,VLOOKUP($J658,Ruimtegroepen[],3,FALSE)*VLOOKUP($L658,Vloersoorten[],3,FALSE)*VLOOKUP($Y658,Frequenties[],3,FALSE)*VLOOKUP(Ruimtestaat[[#This Row],[Code]],Locaties[],3,FALSE),0)</f>
        <v>0</v>
      </c>
      <c r="AB658" s="97">
        <f>Ruimtestaat[[#This Row],[Uitvoeringen weekend]]*Ruimtestaat[[#This Row],[Oppervlak (netto)]]</f>
        <v>0</v>
      </c>
      <c r="AC658" s="97">
        <f>IF(AA658&gt;0,Ruimtestaat[[#This Row],[Prest. (m2 /jaar) weekend]]/Ruimtestaat[[#This Row],[Norm (m2/uur) weekend]],0)</f>
        <v>0</v>
      </c>
      <c r="AD658" s="155">
        <f>Ruimtestaat[[#This Row],[uren / jaar weekend]]*Tariefsopbouw!$D$40</f>
        <v>0</v>
      </c>
      <c r="AE658" s="154">
        <f>Ruimtestaat[[#This Row],[Prest. (m2 /jaar) weekend]]+Ruimtestaat[[#This Row],[Prest. (m2 /jaar) werkdagen]]</f>
        <v>10560</v>
      </c>
      <c r="AF658" s="154">
        <f>Ruimtestaat[[#This Row],[uren / jaar weekend]]+Ruimtestaat[[#This Row],[uren / jaar werkdagen]]</f>
        <v>0</v>
      </c>
      <c r="AG658" s="69">
        <f>Ruimtestaat[[#This Row],[kosten / jaar weekend]]+Ruimtestaat[[#This Row],[kosten / jaar werkdagen]]</f>
        <v>0</v>
      </c>
      <c r="AH658" s="69"/>
      <c r="AI658" s="256" t="str">
        <f>IF(Ruimtestaat[[#This Row],[Frequentie werkdagen]]="","",_xlfn.CONCAT(Ruimtestaat[[#This Row],[Ruimte code]],"-",Ruimtestaat[[#This Row],[Frequentie werkdagen]]," ",Ruimtestaat[[#This Row],[Vloer code]]))</f>
        <v>16-5w L</v>
      </c>
      <c r="AJ658" s="300" t="str">
        <f>_xlfn.IFNA(VLOOKUP($AI658,Programma!$F$3:$G$1107,2,0),"")</f>
        <v>_</v>
      </c>
      <c r="AK658" s="300" t="str">
        <f>_xlfn.IFNA(VLOOKUP($AI658,Programma!$F$3:$H$1107,3,0),"")</f>
        <v>_</v>
      </c>
      <c r="AL658" s="300" t="str">
        <f>_xlfn.IFNA(VLOOKUP($AI658,Programma!$F$3:$I$1107,4,0),"")</f>
        <v>4w</v>
      </c>
      <c r="AM658" s="300" t="str">
        <f>_xlfn.IFNA(VLOOKUP($AI658,Programma!$F$3:$J$1107,5,0),"")</f>
        <v>1w</v>
      </c>
      <c r="AN658" s="300" t="str">
        <f>_xlfn.IFNA(VLOOKUP($AI658,Programma!$F$3:$K$1107,6,0),"")</f>
        <v>_</v>
      </c>
      <c r="AO658" s="300" t="str">
        <f>_xlfn.IFNA(VLOOKUP($AI658,Programma!$F$3:$L$1107,7,0),"")</f>
        <v>_</v>
      </c>
      <c r="AP658" s="300" t="str">
        <f>_xlfn.IFNA(VLOOKUP($AI658,Programma!$F$3:$M$1107,8,0),"")</f>
        <v>_</v>
      </c>
      <c r="AQ658" s="300" t="str">
        <f>_xlfn.IFNA(VLOOKUP($AI658,Programma!$F$3:$N$1107,9,0),"")</f>
        <v>_</v>
      </c>
      <c r="AR658" s="300" t="str">
        <f>_xlfn.IFNA(VLOOKUP($AI658,Programma!$F$3:$O$1107,10,0),"")</f>
        <v>5w</v>
      </c>
      <c r="AS658" s="300" t="str">
        <f>_xlfn.IFNA(VLOOKUP($AI658,Programma!$F$3:$P$1107,11,0),"")</f>
        <v>5w</v>
      </c>
      <c r="AT658" s="300" t="str">
        <f>_xlfn.IFNA(VLOOKUP($AI658,Programma!$F$3:$Q$1107,12,0),"")</f>
        <v>1w</v>
      </c>
      <c r="AU658" s="300" t="str">
        <f>_xlfn.IFNA(VLOOKUP($AI658,Programma!$F$3:$R$1107,13,0),"")</f>
        <v>1w</v>
      </c>
      <c r="AV658" s="300" t="str">
        <f>_xlfn.IFNA(VLOOKUP($AI658,Programma!$F$3:$S$1107,14,0),"")</f>
        <v>1m</v>
      </c>
      <c r="AW658" s="300" t="str">
        <f>_xlfn.IFNA(VLOOKUP($AI658,Programma!$F$3:$T$1107,15,0),"")</f>
        <v>2j</v>
      </c>
      <c r="AX658" s="300" t="str">
        <f>_xlfn.IFNA(VLOOKUP($AI658,Programma!$F$3:$U$1107,16,0),"")</f>
        <v>1j</v>
      </c>
      <c r="AY658" s="300" t="str">
        <f>_xlfn.IFNA(VLOOKUP($AI658,Programma!$F$3:$V$1107,17,0),"")</f>
        <v>_</v>
      </c>
      <c r="AZ658" s="300" t="str">
        <f>_xlfn.IFNA(VLOOKUP($AI658,Programma!$F$3:$W$1107,18,0),"")</f>
        <v>_</v>
      </c>
      <c r="BA658" s="300" t="str">
        <f>_xlfn.IFNA(VLOOKUP($AI658,Programma!$F$3:$X$1107,19,0),"")</f>
        <v>_</v>
      </c>
      <c r="BB658" s="300" t="str">
        <f>_xlfn.IFNA(VLOOKUP($AI658,Programma!$F$3:$Y$1107,20,0),"")</f>
        <v>_</v>
      </c>
      <c r="BC658" s="257"/>
      <c r="BD658" s="256" t="str">
        <f>IF(Ruimtestaat[[#This Row],[Frequentie weekend]]="","",_xlfn.CONCAT(Ruimtestaat[[#This Row],[Ruimte code]],"-",Ruimtestaat[[#This Row],[Frequentie weekend]]," ",Ruimtestaat[[#This Row],[Vloer code]]))</f>
        <v/>
      </c>
      <c r="BE658" s="300" t="str">
        <f>_xlfn.IFNA(VLOOKUP($BD658,Programma!$F$3:$G$1107,2,0),"")</f>
        <v/>
      </c>
      <c r="BF658" s="300" t="str">
        <f>_xlfn.IFNA(VLOOKUP($BD658,Programma!$F$3:$H$1107,3,0),"")</f>
        <v/>
      </c>
      <c r="BG658" s="300" t="str">
        <f>_xlfn.IFNA(VLOOKUP($BD658,Programma!$F$3:$I$1107,4,0),"")</f>
        <v/>
      </c>
      <c r="BH658" s="300" t="str">
        <f>_xlfn.IFNA(VLOOKUP($BD658,Programma!$F$3:$J$1107,5,0),"")</f>
        <v/>
      </c>
      <c r="BI658" s="300" t="str">
        <f>_xlfn.IFNA(VLOOKUP($BD658,Programma!$F$3:$K$1107,6,0),"")</f>
        <v/>
      </c>
      <c r="BJ658" s="300" t="str">
        <f>_xlfn.IFNA(VLOOKUP($BD658,Programma!$F$3:$L$1107,7,0),"")</f>
        <v/>
      </c>
      <c r="BK658" s="300" t="str">
        <f>_xlfn.IFNA(VLOOKUP($BD658,Programma!$F$3:$M$1107,8,0),"")</f>
        <v/>
      </c>
      <c r="BL658" s="300" t="str">
        <f>_xlfn.IFNA(VLOOKUP($BD658,Programma!$F$3:$N$1107,9,0),"")</f>
        <v/>
      </c>
      <c r="BM658" s="300" t="str">
        <f>_xlfn.IFNA(VLOOKUP($BD658,Programma!$F$3:$O$1107,10,0),"")</f>
        <v/>
      </c>
      <c r="BN658" s="300" t="str">
        <f>_xlfn.IFNA(VLOOKUP($BD658,Programma!$F$3:$P$1107,11,0),"")</f>
        <v/>
      </c>
      <c r="BO658" s="300" t="str">
        <f>_xlfn.IFNA(VLOOKUP($BD658,Programma!$F$3:$Q$1107,12,0),"")</f>
        <v/>
      </c>
      <c r="BP658" s="300" t="str">
        <f>_xlfn.IFNA(VLOOKUP($BD658,Programma!$F$3:$R$1107,13,0),"")</f>
        <v/>
      </c>
      <c r="BQ658" s="300" t="str">
        <f>_xlfn.IFNA(VLOOKUP($BD658,Programma!$F$3:$S$1107,14,0),"")</f>
        <v/>
      </c>
      <c r="BR658" s="300" t="str">
        <f>_xlfn.IFNA(VLOOKUP($BD658,Programma!$F$3:$T$1107,15,0),"")</f>
        <v/>
      </c>
      <c r="BS658" s="300" t="str">
        <f>_xlfn.IFNA(VLOOKUP($BD658,Programma!$F$3:$U$1107,16,0),"")</f>
        <v/>
      </c>
      <c r="BT658" s="300" t="str">
        <f>_xlfn.IFNA(VLOOKUP($BD658,Programma!$F$3:$V$1107,17,0),"")</f>
        <v/>
      </c>
      <c r="BU658" s="300" t="str">
        <f>_xlfn.IFNA(VLOOKUP($BD658,Programma!$F$3:$W$1107,18,0),"")</f>
        <v/>
      </c>
      <c r="BV658" s="300" t="str">
        <f>_xlfn.IFNA(VLOOKUP($BD658,Programma!$F$3:$X$1107,19,0),"")</f>
        <v/>
      </c>
      <c r="BW658" s="300" t="str">
        <f>_xlfn.IFNA(VLOOKUP($BD658,Programma!$F$3:$Y$1107,20,0),"")</f>
        <v/>
      </c>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c r="GK658" s="4"/>
      <c r="GL658" s="4"/>
      <c r="GM658" s="4"/>
      <c r="GN658" s="4"/>
      <c r="GO658" s="4"/>
      <c r="GP658" s="4"/>
      <c r="GQ658" s="4"/>
      <c r="GR658" s="4"/>
      <c r="GS658" s="4"/>
      <c r="GT658" s="4"/>
      <c r="GU658" s="4"/>
      <c r="GV658" s="4"/>
      <c r="GW658" s="4"/>
      <c r="GX658" s="4"/>
      <c r="GY658" s="4"/>
      <c r="GZ658" s="4"/>
      <c r="HA658" s="4"/>
      <c r="HB658" s="4"/>
      <c r="HC658" s="4"/>
      <c r="HD658" s="4"/>
      <c r="HE658" s="4"/>
      <c r="HF658" s="4"/>
      <c r="HG658" s="4"/>
      <c r="HH658" s="4"/>
      <c r="HI658" s="4"/>
      <c r="HJ658" s="4"/>
      <c r="HK658" s="4"/>
      <c r="HL658" s="4"/>
    </row>
    <row r="659" spans="1:220" ht="15" customHeight="1">
      <c r="A659" s="21">
        <v>7</v>
      </c>
      <c r="B659" s="157" t="str">
        <f>VLOOKUP(Ruimtestaat[[#This Row],[Code]],Locaties[[Code]:[Locatie]],2,FALSE)</f>
        <v>Gymnasium Novum</v>
      </c>
      <c r="C659" s="157" t="str">
        <f>VLOOKUP(Ruimtestaat[[#This Row],[Code]],Locaties[[#All],[Code]:[Adres]],4,FALSE)</f>
        <v>Aart v.d. Leeuwkade 1</v>
      </c>
      <c r="D659" s="157" t="str">
        <f>VLOOKUP(Ruimtestaat[[#This Row],[Code]],Locaties[[#All],[Code]:[Postcode]],5,FALSE)</f>
        <v>2274 KX</v>
      </c>
      <c r="E659" s="157" t="str">
        <f>VLOOKUP(Ruimtestaat[[#This Row],[Code]],Locaties[#All],6,FALSE)</f>
        <v>Voorburg</v>
      </c>
      <c r="F659" s="62" t="s">
        <v>2187</v>
      </c>
      <c r="G659" s="21" t="s">
        <v>1749</v>
      </c>
      <c r="H659" s="21" t="s">
        <v>2195</v>
      </c>
      <c r="I659" s="62" t="s">
        <v>2196</v>
      </c>
      <c r="J659" s="21">
        <v>7</v>
      </c>
      <c r="K659" s="62" t="str">
        <f>VLOOKUP(Ruimtestaat[[#This Row],[Ruimte code]],Ruimtegroepen[[#All],[Code]:[Ruimte omschrijving]],2,FALSE)</f>
        <v>Entree</v>
      </c>
      <c r="L659" s="33" t="s">
        <v>101</v>
      </c>
      <c r="M659" s="367" t="s">
        <v>2495</v>
      </c>
      <c r="N659" s="140">
        <v>10.8</v>
      </c>
      <c r="O659" s="140"/>
      <c r="P659" s="125" t="str">
        <f>VLOOKUP(Ruimtestaat[[#This Row],[Ruimte code]],Ruimtegroepen[],4,FALSE)</f>
        <v>Ve</v>
      </c>
      <c r="R659" s="33">
        <v>40</v>
      </c>
      <c r="S659" s="33" t="s">
        <v>2</v>
      </c>
      <c r="T659" s="33">
        <f>IF(R659&gt;0,IF(RIGHT(Ruimtestaat[[#This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59" s="33">
        <f>IF(T659&gt;0,VLOOKUP($J659,Ruimtegroepen[],3,FALSE)*VLOOKUP($L659,Vloersoorten[],3,FALSE)*VLOOKUP($S659,Frequenties[],3,FALSE)*VLOOKUP($A659,Locaties[],3,FALSE),0)</f>
        <v>0</v>
      </c>
      <c r="V659" s="33">
        <f>Ruimtestaat[[#This Row],[Uitvoeringen werkdagen]]*Ruimtestaat[[#This Row],[Oppervlak (netto)]]</f>
        <v>2160</v>
      </c>
      <c r="W659" s="154">
        <f>IF(U659&gt;0,Ruimtestaat[[#This Row],[Prest. (m2 /jaar) werkdagen]]/Ruimtestaat[[#This Row],[Norm (m2/uur) werkdagen]],0)</f>
        <v>0</v>
      </c>
      <c r="X659" s="155">
        <f>Ruimtestaat[[#This Row],[uren / jaar werkdagen]]*Tariefsopbouw!$E$35</f>
        <v>0</v>
      </c>
      <c r="Y659" s="33"/>
      <c r="Z659" s="33">
        <f>IF(Ruimtestaat[[#This Row],[Frequentie weekend]]&gt;0,VALUE(LEFT(Y659,1))*R659,0)</f>
        <v>0</v>
      </c>
      <c r="AA659" s="97">
        <f>IF($Z659&gt;0,VLOOKUP($J659,Ruimtegroepen[],3,FALSE)*VLOOKUP($L659,Vloersoorten[],3,FALSE)*VLOOKUP($Y659,Frequenties[],3,FALSE)*VLOOKUP(Ruimtestaat[[#This Row],[Code]],Locaties[],3,FALSE),0)</f>
        <v>0</v>
      </c>
      <c r="AB659" s="97">
        <f>Ruimtestaat[[#This Row],[Uitvoeringen weekend]]*Ruimtestaat[[#This Row],[Oppervlak (netto)]]</f>
        <v>0</v>
      </c>
      <c r="AC659" s="97">
        <f>IF(AA659&gt;0,Ruimtestaat[[#This Row],[Prest. (m2 /jaar) weekend]]/Ruimtestaat[[#This Row],[Norm (m2/uur) weekend]],0)</f>
        <v>0</v>
      </c>
      <c r="AD659" s="155">
        <f>Ruimtestaat[[#This Row],[uren / jaar weekend]]*Tariefsopbouw!$D$40</f>
        <v>0</v>
      </c>
      <c r="AE659" s="154">
        <f>Ruimtestaat[[#This Row],[Prest. (m2 /jaar) weekend]]+Ruimtestaat[[#This Row],[Prest. (m2 /jaar) werkdagen]]</f>
        <v>2160</v>
      </c>
      <c r="AF659" s="154">
        <f>Ruimtestaat[[#This Row],[uren / jaar weekend]]+Ruimtestaat[[#This Row],[uren / jaar werkdagen]]</f>
        <v>0</v>
      </c>
      <c r="AG659" s="69">
        <f>Ruimtestaat[[#This Row],[kosten / jaar weekend]]+Ruimtestaat[[#This Row],[kosten / jaar werkdagen]]</f>
        <v>0</v>
      </c>
      <c r="AH659" s="69"/>
      <c r="AI659" s="256" t="str">
        <f>IF(Ruimtestaat[[#This Row],[Frequentie werkdagen]]="","",_xlfn.CONCAT(Ruimtestaat[[#This Row],[Ruimte code]],"-",Ruimtestaat[[#This Row],[Frequentie werkdagen]]," ",Ruimtestaat[[#This Row],[Vloer code]]))</f>
        <v>7-5w L</v>
      </c>
      <c r="AJ659" s="300" t="str">
        <f>_xlfn.IFNA(VLOOKUP($AI659,Programma!$F$3:$G$1107,2,0),"")</f>
        <v>_</v>
      </c>
      <c r="AK659" s="300" t="str">
        <f>_xlfn.IFNA(VLOOKUP($AI659,Programma!$F$3:$H$1107,3,0),"")</f>
        <v>_</v>
      </c>
      <c r="AL659" s="300" t="str">
        <f>_xlfn.IFNA(VLOOKUP($AI659,Programma!$F$3:$I$1107,4,0),"")</f>
        <v>_</v>
      </c>
      <c r="AM659" s="300" t="str">
        <f>_xlfn.IFNA(VLOOKUP($AI659,Programma!$F$3:$J$1107,5,0),"")</f>
        <v>5w</v>
      </c>
      <c r="AN659" s="300" t="str">
        <f>_xlfn.IFNA(VLOOKUP($AI659,Programma!$F$3:$K$1107,6,0),"")</f>
        <v>_</v>
      </c>
      <c r="AO659" s="300" t="str">
        <f>_xlfn.IFNA(VLOOKUP($AI659,Programma!$F$3:$L$1107,7,0),"")</f>
        <v>_</v>
      </c>
      <c r="AP659" s="300" t="str">
        <f>_xlfn.IFNA(VLOOKUP($AI659,Programma!$F$3:$M$1107,8,0),"")</f>
        <v>_</v>
      </c>
      <c r="AQ659" s="300" t="str">
        <f>_xlfn.IFNA(VLOOKUP($AI659,Programma!$F$3:$N$1107,9,0),"")</f>
        <v>_</v>
      </c>
      <c r="AR659" s="300" t="str">
        <f>_xlfn.IFNA(VLOOKUP($AI659,Programma!$F$3:$O$1107,10,0),"")</f>
        <v>5w</v>
      </c>
      <c r="AS659" s="300" t="str">
        <f>_xlfn.IFNA(VLOOKUP($AI659,Programma!$F$3:$P$1107,11,0),"")</f>
        <v>5w</v>
      </c>
      <c r="AT659" s="300" t="str">
        <f>_xlfn.IFNA(VLOOKUP($AI659,Programma!$F$3:$Q$1107,12,0),"")</f>
        <v>1w</v>
      </c>
      <c r="AU659" s="300" t="str">
        <f>_xlfn.IFNA(VLOOKUP($AI659,Programma!$F$3:$R$1107,13,0),"")</f>
        <v>1w</v>
      </c>
      <c r="AV659" s="300" t="str">
        <f>_xlfn.IFNA(VLOOKUP($AI659,Programma!$F$3:$S$1107,14,0),"")</f>
        <v>1m</v>
      </c>
      <c r="AW659" s="300" t="str">
        <f>_xlfn.IFNA(VLOOKUP($AI659,Programma!$F$3:$T$1107,15,0),"")</f>
        <v>2j</v>
      </c>
      <c r="AX659" s="300" t="str">
        <f>_xlfn.IFNA(VLOOKUP($AI659,Programma!$F$3:$U$1107,16,0),"")</f>
        <v>1j</v>
      </c>
      <c r="AY659" s="300" t="str">
        <f>_xlfn.IFNA(VLOOKUP($AI659,Programma!$F$3:$V$1107,17,0),"")</f>
        <v>_</v>
      </c>
      <c r="AZ659" s="300" t="str">
        <f>_xlfn.IFNA(VLOOKUP($AI659,Programma!$F$3:$W$1107,18,0),"")</f>
        <v>_</v>
      </c>
      <c r="BA659" s="300" t="str">
        <f>_xlfn.IFNA(VLOOKUP($AI659,Programma!$F$3:$X$1107,19,0),"")</f>
        <v>_</v>
      </c>
      <c r="BB659" s="300" t="str">
        <f>_xlfn.IFNA(VLOOKUP($AI659,Programma!$F$3:$Y$1107,20,0),"")</f>
        <v>_</v>
      </c>
      <c r="BC659" s="257"/>
      <c r="BD659" s="256" t="str">
        <f>IF(Ruimtestaat[[#This Row],[Frequentie weekend]]="","",_xlfn.CONCAT(Ruimtestaat[[#This Row],[Ruimte code]],"-",Ruimtestaat[[#This Row],[Frequentie weekend]]," ",Ruimtestaat[[#This Row],[Vloer code]]))</f>
        <v/>
      </c>
      <c r="BE659" s="300" t="str">
        <f>_xlfn.IFNA(VLOOKUP($BD659,Programma!$F$3:$G$1107,2,0),"")</f>
        <v/>
      </c>
      <c r="BF659" s="300" t="str">
        <f>_xlfn.IFNA(VLOOKUP($BD659,Programma!$F$3:$H$1107,3,0),"")</f>
        <v/>
      </c>
      <c r="BG659" s="300" t="str">
        <f>_xlfn.IFNA(VLOOKUP($BD659,Programma!$F$3:$I$1107,4,0),"")</f>
        <v/>
      </c>
      <c r="BH659" s="300" t="str">
        <f>_xlfn.IFNA(VLOOKUP($BD659,Programma!$F$3:$J$1107,5,0),"")</f>
        <v/>
      </c>
      <c r="BI659" s="300" t="str">
        <f>_xlfn.IFNA(VLOOKUP($BD659,Programma!$F$3:$K$1107,6,0),"")</f>
        <v/>
      </c>
      <c r="BJ659" s="300" t="str">
        <f>_xlfn.IFNA(VLOOKUP($BD659,Programma!$F$3:$L$1107,7,0),"")</f>
        <v/>
      </c>
      <c r="BK659" s="300" t="str">
        <f>_xlfn.IFNA(VLOOKUP($BD659,Programma!$F$3:$M$1107,8,0),"")</f>
        <v/>
      </c>
      <c r="BL659" s="300" t="str">
        <f>_xlfn.IFNA(VLOOKUP($BD659,Programma!$F$3:$N$1107,9,0),"")</f>
        <v/>
      </c>
      <c r="BM659" s="300" t="str">
        <f>_xlfn.IFNA(VLOOKUP($BD659,Programma!$F$3:$O$1107,10,0),"")</f>
        <v/>
      </c>
      <c r="BN659" s="300" t="str">
        <f>_xlfn.IFNA(VLOOKUP($BD659,Programma!$F$3:$P$1107,11,0),"")</f>
        <v/>
      </c>
      <c r="BO659" s="300" t="str">
        <f>_xlfn.IFNA(VLOOKUP($BD659,Programma!$F$3:$Q$1107,12,0),"")</f>
        <v/>
      </c>
      <c r="BP659" s="300" t="str">
        <f>_xlfn.IFNA(VLOOKUP($BD659,Programma!$F$3:$R$1107,13,0),"")</f>
        <v/>
      </c>
      <c r="BQ659" s="300" t="str">
        <f>_xlfn.IFNA(VLOOKUP($BD659,Programma!$F$3:$S$1107,14,0),"")</f>
        <v/>
      </c>
      <c r="BR659" s="300" t="str">
        <f>_xlfn.IFNA(VLOOKUP($BD659,Programma!$F$3:$T$1107,15,0),"")</f>
        <v/>
      </c>
      <c r="BS659" s="300" t="str">
        <f>_xlfn.IFNA(VLOOKUP($BD659,Programma!$F$3:$U$1107,16,0),"")</f>
        <v/>
      </c>
      <c r="BT659" s="300" t="str">
        <f>_xlfn.IFNA(VLOOKUP($BD659,Programma!$F$3:$V$1107,17,0),"")</f>
        <v/>
      </c>
      <c r="BU659" s="300" t="str">
        <f>_xlfn.IFNA(VLOOKUP($BD659,Programma!$F$3:$W$1107,18,0),"")</f>
        <v/>
      </c>
      <c r="BV659" s="300" t="str">
        <f>_xlfn.IFNA(VLOOKUP($BD659,Programma!$F$3:$X$1107,19,0),"")</f>
        <v/>
      </c>
      <c r="BW659" s="300" t="str">
        <f>_xlfn.IFNA(VLOOKUP($BD659,Programma!$F$3:$Y$1107,20,0),"")</f>
        <v/>
      </c>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c r="GB659" s="4"/>
      <c r="GC659" s="4"/>
      <c r="GD659" s="4"/>
      <c r="GE659" s="4"/>
      <c r="GF659" s="4"/>
      <c r="GG659" s="4"/>
      <c r="GH659" s="4"/>
      <c r="GI659" s="4"/>
      <c r="GJ659" s="4"/>
      <c r="GK659" s="4"/>
      <c r="GL659" s="4"/>
      <c r="GM659" s="4"/>
      <c r="GN659" s="4"/>
      <c r="GO659" s="4"/>
      <c r="GP659" s="4"/>
      <c r="GQ659" s="4"/>
      <c r="GR659" s="4"/>
      <c r="GS659" s="4"/>
      <c r="GT659" s="4"/>
      <c r="GU659" s="4"/>
      <c r="GV659" s="4"/>
      <c r="GW659" s="4"/>
      <c r="GX659" s="4"/>
      <c r="GY659" s="4"/>
      <c r="GZ659" s="4"/>
      <c r="HA659" s="4"/>
      <c r="HB659" s="4"/>
      <c r="HC659" s="4"/>
      <c r="HD659" s="4"/>
      <c r="HE659" s="4"/>
      <c r="HF659" s="4"/>
      <c r="HG659" s="4"/>
      <c r="HH659" s="4"/>
      <c r="HI659" s="4"/>
      <c r="HJ659" s="4"/>
      <c r="HK659" s="4"/>
      <c r="HL659" s="4"/>
    </row>
    <row r="660" spans="1:220" ht="15" customHeight="1">
      <c r="A660" s="21">
        <v>7</v>
      </c>
      <c r="B660" s="157" t="str">
        <f>VLOOKUP(Ruimtestaat[[#This Row],[Code]],Locaties[[Code]:[Locatie]],2,FALSE)</f>
        <v>Gymnasium Novum</v>
      </c>
      <c r="C660" s="157" t="str">
        <f>VLOOKUP(Ruimtestaat[[#This Row],[Code]],Locaties[[#All],[Code]:[Adres]],4,FALSE)</f>
        <v>Aart v.d. Leeuwkade 1</v>
      </c>
      <c r="D660" s="157" t="str">
        <f>VLOOKUP(Ruimtestaat[[#This Row],[Code]],Locaties[[#All],[Code]:[Postcode]],5,FALSE)</f>
        <v>2274 KX</v>
      </c>
      <c r="E660" s="157" t="str">
        <f>VLOOKUP(Ruimtestaat[[#This Row],[Code]],Locaties[#All],6,FALSE)</f>
        <v>Voorburg</v>
      </c>
      <c r="F660" s="62" t="s">
        <v>2187</v>
      </c>
      <c r="G660" s="21" t="s">
        <v>1749</v>
      </c>
      <c r="H660" s="21" t="s">
        <v>2197</v>
      </c>
      <c r="I660" s="62" t="s">
        <v>1644</v>
      </c>
      <c r="J660" s="21">
        <v>1</v>
      </c>
      <c r="K660" s="62" t="str">
        <f>VLOOKUP(Ruimtestaat[[#This Row],[Ruimte code]],Ruimtegroepen[[#All],[Code]:[Ruimte omschrijving]],2,FALSE)</f>
        <v>Magazijnen/bergingen</v>
      </c>
      <c r="L660" s="33" t="s">
        <v>101</v>
      </c>
      <c r="M660" s="367" t="s">
        <v>2495</v>
      </c>
      <c r="N660" s="140">
        <v>5.7</v>
      </c>
      <c r="O660" s="140"/>
      <c r="P660" s="125" t="str">
        <f>VLOOKUP(Ruimtestaat[[#This Row],[Ruimte code]],Ruimtegroepen[],4,FALSE)</f>
        <v>Ve</v>
      </c>
      <c r="R660" s="33">
        <v>40</v>
      </c>
      <c r="S660" s="33" t="s">
        <v>16</v>
      </c>
      <c r="T660" s="33">
        <f>IF(R660&gt;0,IF(RIGHT(Ruimtestaat[[#This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660" s="33">
        <f>IF(T660&gt;0,VLOOKUP($J660,Ruimtegroepen[],3,FALSE)*VLOOKUP($L660,Vloersoorten[],3,FALSE)*VLOOKUP($S660,Frequenties[],3,FALSE)*VLOOKUP($A660,Locaties[],3,FALSE),0)</f>
        <v>0</v>
      </c>
      <c r="V660" s="33">
        <f>Ruimtestaat[[#This Row],[Uitvoeringen werkdagen]]*Ruimtestaat[[#This Row],[Oppervlak (netto)]]</f>
        <v>68.400000000000006</v>
      </c>
      <c r="W660" s="154">
        <f>IF(U660&gt;0,Ruimtestaat[[#This Row],[Prest. (m2 /jaar) werkdagen]]/Ruimtestaat[[#This Row],[Norm (m2/uur) werkdagen]],0)</f>
        <v>0</v>
      </c>
      <c r="X660" s="155">
        <f>Ruimtestaat[[#This Row],[uren / jaar werkdagen]]*Tariefsopbouw!$E$35</f>
        <v>0</v>
      </c>
      <c r="Y660" s="33"/>
      <c r="Z660" s="33">
        <f>IF(Ruimtestaat[[#This Row],[Frequentie weekend]]&gt;0,VALUE(LEFT(Y660,1))*R660,0)</f>
        <v>0</v>
      </c>
      <c r="AA660" s="97">
        <f>IF($Z660&gt;0,VLOOKUP($J660,Ruimtegroepen[],3,FALSE)*VLOOKUP($L660,Vloersoorten[],3,FALSE)*VLOOKUP($Y660,Frequenties[],3,FALSE)*VLOOKUP(Ruimtestaat[[#This Row],[Code]],Locaties[],3,FALSE),0)</f>
        <v>0</v>
      </c>
      <c r="AB660" s="97">
        <f>Ruimtestaat[[#This Row],[Uitvoeringen weekend]]*Ruimtestaat[[#This Row],[Oppervlak (netto)]]</f>
        <v>0</v>
      </c>
      <c r="AC660" s="97">
        <f>IF(AA660&gt;0,Ruimtestaat[[#This Row],[Prest. (m2 /jaar) weekend]]/Ruimtestaat[[#This Row],[Norm (m2/uur) weekend]],0)</f>
        <v>0</v>
      </c>
      <c r="AD660" s="155">
        <f>Ruimtestaat[[#This Row],[uren / jaar weekend]]*Tariefsopbouw!$D$40</f>
        <v>0</v>
      </c>
      <c r="AE660" s="154">
        <f>Ruimtestaat[[#This Row],[Prest. (m2 /jaar) weekend]]+Ruimtestaat[[#This Row],[Prest. (m2 /jaar) werkdagen]]</f>
        <v>68.400000000000006</v>
      </c>
      <c r="AF660" s="154">
        <f>Ruimtestaat[[#This Row],[uren / jaar weekend]]+Ruimtestaat[[#This Row],[uren / jaar werkdagen]]</f>
        <v>0</v>
      </c>
      <c r="AG660" s="69">
        <f>Ruimtestaat[[#This Row],[kosten / jaar weekend]]+Ruimtestaat[[#This Row],[kosten / jaar werkdagen]]</f>
        <v>0</v>
      </c>
      <c r="AH660" s="69"/>
      <c r="AI660" s="256" t="str">
        <f>IF(Ruimtestaat[[#This Row],[Frequentie werkdagen]]="","",_xlfn.CONCAT(Ruimtestaat[[#This Row],[Ruimte code]],"-",Ruimtestaat[[#This Row],[Frequentie werkdagen]]," ",Ruimtestaat[[#This Row],[Vloer code]]))</f>
        <v>1-1m L</v>
      </c>
      <c r="AJ660" s="300" t="str">
        <f>_xlfn.IFNA(VLOOKUP($AI660,Programma!$F$3:$G$1107,2,0),"")</f>
        <v>_</v>
      </c>
      <c r="AK660" s="300" t="str">
        <f>_xlfn.IFNA(VLOOKUP($AI660,Programma!$F$3:$H$1107,3,0),"")</f>
        <v>_</v>
      </c>
      <c r="AL660" s="300" t="str">
        <f>_xlfn.IFNA(VLOOKUP($AI660,Programma!$F$3:$I$1107,4,0),"")</f>
        <v>1m</v>
      </c>
      <c r="AM660" s="300" t="str">
        <f>_xlfn.IFNA(VLOOKUP($AI660,Programma!$F$3:$J$1107,5,0),"")</f>
        <v>1m</v>
      </c>
      <c r="AN660" s="300" t="str">
        <f>_xlfn.IFNA(VLOOKUP($AI660,Programma!$F$3:$K$1107,6,0),"")</f>
        <v>_</v>
      </c>
      <c r="AO660" s="300" t="str">
        <f>_xlfn.IFNA(VLOOKUP($AI660,Programma!$F$3:$L$1107,7,0),"")</f>
        <v>_</v>
      </c>
      <c r="AP660" s="300" t="str">
        <f>_xlfn.IFNA(VLOOKUP($AI660,Programma!$F$3:$M$1107,8,0),"")</f>
        <v>_</v>
      </c>
      <c r="AQ660" s="300" t="str">
        <f>_xlfn.IFNA(VLOOKUP($AI660,Programma!$F$3:$N$1107,9,0),"")</f>
        <v>_</v>
      </c>
      <c r="AR660" s="300" t="str">
        <f>_xlfn.IFNA(VLOOKUP($AI660,Programma!$F$3:$O$1107,10,0),"")</f>
        <v>_</v>
      </c>
      <c r="AS660" s="300" t="str">
        <f>_xlfn.IFNA(VLOOKUP($AI660,Programma!$F$3:$P$1107,11,0),"")</f>
        <v>_</v>
      </c>
      <c r="AT660" s="300" t="str">
        <f>_xlfn.IFNA(VLOOKUP($AI660,Programma!$F$3:$Q$1107,12,0),"")</f>
        <v>_</v>
      </c>
      <c r="AU660" s="300" t="str">
        <f>_xlfn.IFNA(VLOOKUP($AI660,Programma!$F$3:$R$1107,13,0),"")</f>
        <v>_</v>
      </c>
      <c r="AV660" s="300" t="str">
        <f>_xlfn.IFNA(VLOOKUP($AI660,Programma!$F$3:$S$1107,14,0),"")</f>
        <v>1m</v>
      </c>
      <c r="AW660" s="300" t="str">
        <f>_xlfn.IFNA(VLOOKUP($AI660,Programma!$F$3:$T$1107,15,0),"")</f>
        <v>4j</v>
      </c>
      <c r="AX660" s="300" t="str">
        <f>_xlfn.IFNA(VLOOKUP($AI660,Programma!$F$3:$U$1107,16,0),"")</f>
        <v>4j</v>
      </c>
      <c r="AY660" s="300" t="str">
        <f>_xlfn.IFNA(VLOOKUP($AI660,Programma!$F$3:$V$1107,17,0),"")</f>
        <v>_</v>
      </c>
      <c r="AZ660" s="300" t="str">
        <f>_xlfn.IFNA(VLOOKUP($AI660,Programma!$F$3:$W$1107,18,0),"")</f>
        <v>_</v>
      </c>
      <c r="BA660" s="300" t="str">
        <f>_xlfn.IFNA(VLOOKUP($AI660,Programma!$F$3:$X$1107,19,0),"")</f>
        <v>_</v>
      </c>
      <c r="BB660" s="300" t="str">
        <f>_xlfn.IFNA(VLOOKUP($AI660,Programma!$F$3:$Y$1107,20,0),"")</f>
        <v>_</v>
      </c>
      <c r="BC660" s="257"/>
      <c r="BD660" s="256" t="str">
        <f>IF(Ruimtestaat[[#This Row],[Frequentie weekend]]="","",_xlfn.CONCAT(Ruimtestaat[[#This Row],[Ruimte code]],"-",Ruimtestaat[[#This Row],[Frequentie weekend]]," ",Ruimtestaat[[#This Row],[Vloer code]]))</f>
        <v/>
      </c>
      <c r="BE660" s="300" t="str">
        <f>_xlfn.IFNA(VLOOKUP($BD660,Programma!$F$3:$G$1107,2,0),"")</f>
        <v/>
      </c>
      <c r="BF660" s="300" t="str">
        <f>_xlfn.IFNA(VLOOKUP($BD660,Programma!$F$3:$H$1107,3,0),"")</f>
        <v/>
      </c>
      <c r="BG660" s="300" t="str">
        <f>_xlfn.IFNA(VLOOKUP($BD660,Programma!$F$3:$I$1107,4,0),"")</f>
        <v/>
      </c>
      <c r="BH660" s="300" t="str">
        <f>_xlfn.IFNA(VLOOKUP($BD660,Programma!$F$3:$J$1107,5,0),"")</f>
        <v/>
      </c>
      <c r="BI660" s="300" t="str">
        <f>_xlfn.IFNA(VLOOKUP($BD660,Programma!$F$3:$K$1107,6,0),"")</f>
        <v/>
      </c>
      <c r="BJ660" s="300" t="str">
        <f>_xlfn.IFNA(VLOOKUP($BD660,Programma!$F$3:$L$1107,7,0),"")</f>
        <v/>
      </c>
      <c r="BK660" s="300" t="str">
        <f>_xlfn.IFNA(VLOOKUP($BD660,Programma!$F$3:$M$1107,8,0),"")</f>
        <v/>
      </c>
      <c r="BL660" s="300" t="str">
        <f>_xlfn.IFNA(VLOOKUP($BD660,Programma!$F$3:$N$1107,9,0),"")</f>
        <v/>
      </c>
      <c r="BM660" s="300" t="str">
        <f>_xlfn.IFNA(VLOOKUP($BD660,Programma!$F$3:$O$1107,10,0),"")</f>
        <v/>
      </c>
      <c r="BN660" s="300" t="str">
        <f>_xlfn.IFNA(VLOOKUP($BD660,Programma!$F$3:$P$1107,11,0),"")</f>
        <v/>
      </c>
      <c r="BO660" s="300" t="str">
        <f>_xlfn.IFNA(VLOOKUP($BD660,Programma!$F$3:$Q$1107,12,0),"")</f>
        <v/>
      </c>
      <c r="BP660" s="300" t="str">
        <f>_xlfn.IFNA(VLOOKUP($BD660,Programma!$F$3:$R$1107,13,0),"")</f>
        <v/>
      </c>
      <c r="BQ660" s="300" t="str">
        <f>_xlfn.IFNA(VLOOKUP($BD660,Programma!$F$3:$S$1107,14,0),"")</f>
        <v/>
      </c>
      <c r="BR660" s="300" t="str">
        <f>_xlfn.IFNA(VLOOKUP($BD660,Programma!$F$3:$T$1107,15,0),"")</f>
        <v/>
      </c>
      <c r="BS660" s="300" t="str">
        <f>_xlfn.IFNA(VLOOKUP($BD660,Programma!$F$3:$U$1107,16,0),"")</f>
        <v/>
      </c>
      <c r="BT660" s="300" t="str">
        <f>_xlfn.IFNA(VLOOKUP($BD660,Programma!$F$3:$V$1107,17,0),"")</f>
        <v/>
      </c>
      <c r="BU660" s="300" t="str">
        <f>_xlfn.IFNA(VLOOKUP($BD660,Programma!$F$3:$W$1107,18,0),"")</f>
        <v/>
      </c>
      <c r="BV660" s="300" t="str">
        <f>_xlfn.IFNA(VLOOKUP($BD660,Programma!$F$3:$X$1107,19,0),"")</f>
        <v/>
      </c>
      <c r="BW660" s="300" t="str">
        <f>_xlfn.IFNA(VLOOKUP($BD660,Programma!$F$3:$Y$1107,20,0),"")</f>
        <v/>
      </c>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c r="GB660" s="4"/>
      <c r="GC660" s="4"/>
      <c r="GD660" s="4"/>
      <c r="GE660" s="4"/>
      <c r="GF660" s="4"/>
      <c r="GG660" s="4"/>
      <c r="GH660" s="4"/>
      <c r="GI660" s="4"/>
      <c r="GJ660" s="4"/>
      <c r="GK660" s="4"/>
      <c r="GL660" s="4"/>
      <c r="GM660" s="4"/>
      <c r="GN660" s="4"/>
      <c r="GO660" s="4"/>
      <c r="GP660" s="4"/>
      <c r="GQ660" s="4"/>
      <c r="GR660" s="4"/>
      <c r="GS660" s="4"/>
      <c r="GT660" s="4"/>
      <c r="GU660" s="4"/>
      <c r="GV660" s="4"/>
      <c r="GW660" s="4"/>
      <c r="GX660" s="4"/>
      <c r="GY660" s="4"/>
      <c r="GZ660" s="4"/>
      <c r="HA660" s="4"/>
      <c r="HB660" s="4"/>
      <c r="HC660" s="4"/>
      <c r="HD660" s="4"/>
      <c r="HE660" s="4"/>
      <c r="HF660" s="4"/>
      <c r="HG660" s="4"/>
      <c r="HH660" s="4"/>
      <c r="HI660" s="4"/>
      <c r="HJ660" s="4"/>
      <c r="HK660" s="4"/>
      <c r="HL660" s="4"/>
    </row>
    <row r="661" spans="1:220" ht="15" customHeight="1">
      <c r="A661" s="21">
        <v>7</v>
      </c>
      <c r="B661" s="157" t="str">
        <f>VLOOKUP(Ruimtestaat[[#This Row],[Code]],Locaties[[Code]:[Locatie]],2,FALSE)</f>
        <v>Gymnasium Novum</v>
      </c>
      <c r="C661" s="157" t="str">
        <f>VLOOKUP(Ruimtestaat[[#This Row],[Code]],Locaties[[#All],[Code]:[Adres]],4,FALSE)</f>
        <v>Aart v.d. Leeuwkade 1</v>
      </c>
      <c r="D661" s="157" t="str">
        <f>VLOOKUP(Ruimtestaat[[#This Row],[Code]],Locaties[[#All],[Code]:[Postcode]],5,FALSE)</f>
        <v>2274 KX</v>
      </c>
      <c r="E661" s="157" t="str">
        <f>VLOOKUP(Ruimtestaat[[#This Row],[Code]],Locaties[#All],6,FALSE)</f>
        <v>Voorburg</v>
      </c>
      <c r="F661" s="62" t="s">
        <v>2187</v>
      </c>
      <c r="G661" s="21" t="s">
        <v>1749</v>
      </c>
      <c r="H661" s="21" t="s">
        <v>2198</v>
      </c>
      <c r="I661" s="62" t="s">
        <v>2199</v>
      </c>
      <c r="J661" s="21">
        <v>16</v>
      </c>
      <c r="K661" s="62" t="str">
        <f>VLOOKUP(Ruimtestaat[[#This Row],[Ruimte code]],Ruimtegroepen[[#All],[Code]:[Ruimte omschrijving]],2,FALSE)</f>
        <v>Leslokalen theorie</v>
      </c>
      <c r="L661" s="33" t="s">
        <v>101</v>
      </c>
      <c r="M661" s="367" t="s">
        <v>2495</v>
      </c>
      <c r="N661" s="140">
        <v>52.8</v>
      </c>
      <c r="O661" s="140"/>
      <c r="P661" s="125" t="str">
        <f>VLOOKUP(Ruimtestaat[[#This Row],[Ruimte code]],Ruimtegroepen[],4,FALSE)</f>
        <v>Le</v>
      </c>
      <c r="R661" s="33">
        <v>40</v>
      </c>
      <c r="S661" s="33" t="s">
        <v>2</v>
      </c>
      <c r="T661" s="33">
        <f>IF(R661&gt;0,IF(RIGHT(Ruimtestaat[[#This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61" s="33">
        <f>IF(T661&gt;0,VLOOKUP($J661,Ruimtegroepen[],3,FALSE)*VLOOKUP($L661,Vloersoorten[],3,FALSE)*VLOOKUP($S661,Frequenties[],3,FALSE)*VLOOKUP($A661,Locaties[],3,FALSE),0)</f>
        <v>0</v>
      </c>
      <c r="V661" s="33">
        <f>Ruimtestaat[[#This Row],[Uitvoeringen werkdagen]]*Ruimtestaat[[#This Row],[Oppervlak (netto)]]</f>
        <v>10560</v>
      </c>
      <c r="W661" s="154">
        <f>IF(U661&gt;0,Ruimtestaat[[#This Row],[Prest. (m2 /jaar) werkdagen]]/Ruimtestaat[[#This Row],[Norm (m2/uur) werkdagen]],0)</f>
        <v>0</v>
      </c>
      <c r="X661" s="155">
        <f>Ruimtestaat[[#This Row],[uren / jaar werkdagen]]*Tariefsopbouw!$E$35</f>
        <v>0</v>
      </c>
      <c r="Y661" s="33"/>
      <c r="Z661" s="33">
        <f>IF(Ruimtestaat[[#This Row],[Frequentie weekend]]&gt;0,VALUE(LEFT(Y661,1))*R661,0)</f>
        <v>0</v>
      </c>
      <c r="AA661" s="97">
        <f>IF($Z661&gt;0,VLOOKUP($J661,Ruimtegroepen[],3,FALSE)*VLOOKUP($L661,Vloersoorten[],3,FALSE)*VLOOKUP($Y661,Frequenties[],3,FALSE)*VLOOKUP(Ruimtestaat[[#This Row],[Code]],Locaties[],3,FALSE),0)</f>
        <v>0</v>
      </c>
      <c r="AB661" s="97">
        <f>Ruimtestaat[[#This Row],[Uitvoeringen weekend]]*Ruimtestaat[[#This Row],[Oppervlak (netto)]]</f>
        <v>0</v>
      </c>
      <c r="AC661" s="97">
        <f>IF(AA661&gt;0,Ruimtestaat[[#This Row],[Prest. (m2 /jaar) weekend]]/Ruimtestaat[[#This Row],[Norm (m2/uur) weekend]],0)</f>
        <v>0</v>
      </c>
      <c r="AD661" s="155">
        <f>Ruimtestaat[[#This Row],[uren / jaar weekend]]*Tariefsopbouw!$D$40</f>
        <v>0</v>
      </c>
      <c r="AE661" s="154">
        <f>Ruimtestaat[[#This Row],[Prest. (m2 /jaar) weekend]]+Ruimtestaat[[#This Row],[Prest. (m2 /jaar) werkdagen]]</f>
        <v>10560</v>
      </c>
      <c r="AF661" s="154">
        <f>Ruimtestaat[[#This Row],[uren / jaar weekend]]+Ruimtestaat[[#This Row],[uren / jaar werkdagen]]</f>
        <v>0</v>
      </c>
      <c r="AG661" s="69">
        <f>Ruimtestaat[[#This Row],[kosten / jaar weekend]]+Ruimtestaat[[#This Row],[kosten / jaar werkdagen]]</f>
        <v>0</v>
      </c>
      <c r="AH661" s="69"/>
      <c r="AI661" s="256" t="str">
        <f>IF(Ruimtestaat[[#This Row],[Frequentie werkdagen]]="","",_xlfn.CONCAT(Ruimtestaat[[#This Row],[Ruimte code]],"-",Ruimtestaat[[#This Row],[Frequentie werkdagen]]," ",Ruimtestaat[[#This Row],[Vloer code]]))</f>
        <v>16-5w L</v>
      </c>
      <c r="AJ661" s="300" t="str">
        <f>_xlfn.IFNA(VLOOKUP($AI661,Programma!$F$3:$G$1107,2,0),"")</f>
        <v>_</v>
      </c>
      <c r="AK661" s="300" t="str">
        <f>_xlfn.IFNA(VLOOKUP($AI661,Programma!$F$3:$H$1107,3,0),"")</f>
        <v>_</v>
      </c>
      <c r="AL661" s="300" t="str">
        <f>_xlfn.IFNA(VLOOKUP($AI661,Programma!$F$3:$I$1107,4,0),"")</f>
        <v>4w</v>
      </c>
      <c r="AM661" s="300" t="str">
        <f>_xlfn.IFNA(VLOOKUP($AI661,Programma!$F$3:$J$1107,5,0),"")</f>
        <v>1w</v>
      </c>
      <c r="AN661" s="300" t="str">
        <f>_xlfn.IFNA(VLOOKUP($AI661,Programma!$F$3:$K$1107,6,0),"")</f>
        <v>_</v>
      </c>
      <c r="AO661" s="300" t="str">
        <f>_xlfn.IFNA(VLOOKUP($AI661,Programma!$F$3:$L$1107,7,0),"")</f>
        <v>_</v>
      </c>
      <c r="AP661" s="300" t="str">
        <f>_xlfn.IFNA(VLOOKUP($AI661,Programma!$F$3:$M$1107,8,0),"")</f>
        <v>_</v>
      </c>
      <c r="AQ661" s="300" t="str">
        <f>_xlfn.IFNA(VLOOKUP($AI661,Programma!$F$3:$N$1107,9,0),"")</f>
        <v>_</v>
      </c>
      <c r="AR661" s="300" t="str">
        <f>_xlfn.IFNA(VLOOKUP($AI661,Programma!$F$3:$O$1107,10,0),"")</f>
        <v>5w</v>
      </c>
      <c r="AS661" s="300" t="str">
        <f>_xlfn.IFNA(VLOOKUP($AI661,Programma!$F$3:$P$1107,11,0),"")</f>
        <v>5w</v>
      </c>
      <c r="AT661" s="300" t="str">
        <f>_xlfn.IFNA(VLOOKUP($AI661,Programma!$F$3:$Q$1107,12,0),"")</f>
        <v>1w</v>
      </c>
      <c r="AU661" s="300" t="str">
        <f>_xlfn.IFNA(VLOOKUP($AI661,Programma!$F$3:$R$1107,13,0),"")</f>
        <v>1w</v>
      </c>
      <c r="AV661" s="300" t="str">
        <f>_xlfn.IFNA(VLOOKUP($AI661,Programma!$F$3:$S$1107,14,0),"")</f>
        <v>1m</v>
      </c>
      <c r="AW661" s="300" t="str">
        <f>_xlfn.IFNA(VLOOKUP($AI661,Programma!$F$3:$T$1107,15,0),"")</f>
        <v>2j</v>
      </c>
      <c r="AX661" s="300" t="str">
        <f>_xlfn.IFNA(VLOOKUP($AI661,Programma!$F$3:$U$1107,16,0),"")</f>
        <v>1j</v>
      </c>
      <c r="AY661" s="300" t="str">
        <f>_xlfn.IFNA(VLOOKUP($AI661,Programma!$F$3:$V$1107,17,0),"")</f>
        <v>_</v>
      </c>
      <c r="AZ661" s="300" t="str">
        <f>_xlfn.IFNA(VLOOKUP($AI661,Programma!$F$3:$W$1107,18,0),"")</f>
        <v>_</v>
      </c>
      <c r="BA661" s="300" t="str">
        <f>_xlfn.IFNA(VLOOKUP($AI661,Programma!$F$3:$X$1107,19,0),"")</f>
        <v>_</v>
      </c>
      <c r="BB661" s="300" t="str">
        <f>_xlfn.IFNA(VLOOKUP($AI661,Programma!$F$3:$Y$1107,20,0),"")</f>
        <v>_</v>
      </c>
      <c r="BC661" s="257"/>
      <c r="BD661" s="256" t="str">
        <f>IF(Ruimtestaat[[#This Row],[Frequentie weekend]]="","",_xlfn.CONCAT(Ruimtestaat[[#This Row],[Ruimte code]],"-",Ruimtestaat[[#This Row],[Frequentie weekend]]," ",Ruimtestaat[[#This Row],[Vloer code]]))</f>
        <v/>
      </c>
      <c r="BE661" s="300" t="str">
        <f>_xlfn.IFNA(VLOOKUP($BD661,Programma!$F$3:$G$1107,2,0),"")</f>
        <v/>
      </c>
      <c r="BF661" s="300" t="str">
        <f>_xlfn.IFNA(VLOOKUP($BD661,Programma!$F$3:$H$1107,3,0),"")</f>
        <v/>
      </c>
      <c r="BG661" s="300" t="str">
        <f>_xlfn.IFNA(VLOOKUP($BD661,Programma!$F$3:$I$1107,4,0),"")</f>
        <v/>
      </c>
      <c r="BH661" s="300" t="str">
        <f>_xlfn.IFNA(VLOOKUP($BD661,Programma!$F$3:$J$1107,5,0),"")</f>
        <v/>
      </c>
      <c r="BI661" s="300" t="str">
        <f>_xlfn.IFNA(VLOOKUP($BD661,Programma!$F$3:$K$1107,6,0),"")</f>
        <v/>
      </c>
      <c r="BJ661" s="300" t="str">
        <f>_xlfn.IFNA(VLOOKUP($BD661,Programma!$F$3:$L$1107,7,0),"")</f>
        <v/>
      </c>
      <c r="BK661" s="300" t="str">
        <f>_xlfn.IFNA(VLOOKUP($BD661,Programma!$F$3:$M$1107,8,0),"")</f>
        <v/>
      </c>
      <c r="BL661" s="300" t="str">
        <f>_xlfn.IFNA(VLOOKUP($BD661,Programma!$F$3:$N$1107,9,0),"")</f>
        <v/>
      </c>
      <c r="BM661" s="300" t="str">
        <f>_xlfn.IFNA(VLOOKUP($BD661,Programma!$F$3:$O$1107,10,0),"")</f>
        <v/>
      </c>
      <c r="BN661" s="300" t="str">
        <f>_xlfn.IFNA(VLOOKUP($BD661,Programma!$F$3:$P$1107,11,0),"")</f>
        <v/>
      </c>
      <c r="BO661" s="300" t="str">
        <f>_xlfn.IFNA(VLOOKUP($BD661,Programma!$F$3:$Q$1107,12,0),"")</f>
        <v/>
      </c>
      <c r="BP661" s="300" t="str">
        <f>_xlfn.IFNA(VLOOKUP($BD661,Programma!$F$3:$R$1107,13,0),"")</f>
        <v/>
      </c>
      <c r="BQ661" s="300" t="str">
        <f>_xlfn.IFNA(VLOOKUP($BD661,Programma!$F$3:$S$1107,14,0),"")</f>
        <v/>
      </c>
      <c r="BR661" s="300" t="str">
        <f>_xlfn.IFNA(VLOOKUP($BD661,Programma!$F$3:$T$1107,15,0),"")</f>
        <v/>
      </c>
      <c r="BS661" s="300" t="str">
        <f>_xlfn.IFNA(VLOOKUP($BD661,Programma!$F$3:$U$1107,16,0),"")</f>
        <v/>
      </c>
      <c r="BT661" s="300" t="str">
        <f>_xlfn.IFNA(VLOOKUP($BD661,Programma!$F$3:$V$1107,17,0),"")</f>
        <v/>
      </c>
      <c r="BU661" s="300" t="str">
        <f>_xlfn.IFNA(VLOOKUP($BD661,Programma!$F$3:$W$1107,18,0),"")</f>
        <v/>
      </c>
      <c r="BV661" s="300" t="str">
        <f>_xlfn.IFNA(VLOOKUP($BD661,Programma!$F$3:$X$1107,19,0),"")</f>
        <v/>
      </c>
      <c r="BW661" s="300" t="str">
        <f>_xlfn.IFNA(VLOOKUP($BD661,Programma!$F$3:$Y$1107,20,0),"")</f>
        <v/>
      </c>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c r="FS661" s="4"/>
      <c r="FT661" s="4"/>
      <c r="FU661" s="4"/>
      <c r="FV661" s="4"/>
      <c r="FW661" s="4"/>
      <c r="FX661" s="4"/>
      <c r="FY661" s="4"/>
      <c r="FZ661" s="4"/>
      <c r="GA661" s="4"/>
      <c r="GB661" s="4"/>
      <c r="GC661" s="4"/>
      <c r="GD661" s="4"/>
      <c r="GE661" s="4"/>
      <c r="GF661" s="4"/>
      <c r="GG661" s="4"/>
      <c r="GH661" s="4"/>
      <c r="GI661" s="4"/>
      <c r="GJ661" s="4"/>
      <c r="GK661" s="4"/>
      <c r="GL661" s="4"/>
      <c r="GM661" s="4"/>
      <c r="GN661" s="4"/>
      <c r="GO661" s="4"/>
      <c r="GP661" s="4"/>
      <c r="GQ661" s="4"/>
      <c r="GR661" s="4"/>
      <c r="GS661" s="4"/>
      <c r="GT661" s="4"/>
      <c r="GU661" s="4"/>
      <c r="GV661" s="4"/>
      <c r="GW661" s="4"/>
      <c r="GX661" s="4"/>
      <c r="GY661" s="4"/>
      <c r="GZ661" s="4"/>
      <c r="HA661" s="4"/>
      <c r="HB661" s="4"/>
      <c r="HC661" s="4"/>
      <c r="HD661" s="4"/>
      <c r="HE661" s="4"/>
      <c r="HF661" s="4"/>
      <c r="HG661" s="4"/>
      <c r="HH661" s="4"/>
      <c r="HI661" s="4"/>
      <c r="HJ661" s="4"/>
      <c r="HK661" s="4"/>
      <c r="HL661" s="4"/>
    </row>
    <row r="662" spans="1:220" ht="15" customHeight="1">
      <c r="A662" s="21">
        <v>8</v>
      </c>
      <c r="B662" s="157" t="str">
        <f>VLOOKUP(Ruimtestaat[[#This Row],[Code]],Locaties[[Code]:[Locatie]],2,FALSE)</f>
        <v>Dalton College</v>
      </c>
      <c r="C662" s="157" t="str">
        <f>VLOOKUP(Ruimtestaat[[#This Row],[Code]],Locaties[[#All],[Code]:[Adres]],4,FALSE)</f>
        <v>Loolaan 125</v>
      </c>
      <c r="D662" s="157" t="str">
        <f>VLOOKUP(Ruimtestaat[[#This Row],[Code]],Locaties[[#All],[Code]:[Postcode]],5,FALSE)</f>
        <v xml:space="preserve">2271 TM </v>
      </c>
      <c r="E662" s="157" t="str">
        <f>VLOOKUP(Ruimtestaat[[#This Row],[Code]],Locaties[#All],6,FALSE)</f>
        <v>Voorburg</v>
      </c>
      <c r="F662" s="62"/>
      <c r="G662" s="21" t="s">
        <v>1859</v>
      </c>
      <c r="H662" s="21">
        <v>-101</v>
      </c>
      <c r="I662" s="62" t="s">
        <v>1631</v>
      </c>
      <c r="J662" s="21">
        <v>2</v>
      </c>
      <c r="K662" s="62" t="str">
        <f>VLOOKUP(Ruimtestaat[[#This Row],[Ruimte code]],Ruimtegroepen[[#All],[Code]:[Ruimte omschrijving]],2,FALSE)</f>
        <v>Kantoren</v>
      </c>
      <c r="L662" s="33" t="s">
        <v>101</v>
      </c>
      <c r="M662" s="367" t="s">
        <v>2495</v>
      </c>
      <c r="N662" s="140">
        <v>26</v>
      </c>
      <c r="O662" s="140"/>
      <c r="P662" s="125" t="str">
        <f>VLOOKUP(Ruimtestaat[[#This Row],[Ruimte code]],Ruimtegroepen[],4,FALSE)</f>
        <v>Bu</v>
      </c>
      <c r="Q662" s="125" t="s">
        <v>2537</v>
      </c>
      <c r="R662" s="33">
        <v>42</v>
      </c>
      <c r="S662" s="33" t="s">
        <v>18</v>
      </c>
      <c r="T662" s="33">
        <f>IF(R662&gt;0,IF(RIGHT(Ruimtestaat[[#This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62" s="33">
        <f>IF(T662&gt;0,VLOOKUP($J662,Ruimtegroepen[],3,FALSE)*VLOOKUP($L662,Vloersoorten[],3,FALSE)*VLOOKUP($S662,Frequenties[],3,FALSE)*VLOOKUP($A662,Locaties[],3,FALSE),0)</f>
        <v>0</v>
      </c>
      <c r="V662" s="33">
        <f>Ruimtestaat[[#This Row],[Uitvoeringen werkdagen]]*Ruimtestaat[[#This Row],[Oppervlak (netto)]]</f>
        <v>3276</v>
      </c>
      <c r="W662" s="154">
        <f>IF(U662&gt;0,Ruimtestaat[[#This Row],[Prest. (m2 /jaar) werkdagen]]/Ruimtestaat[[#This Row],[Norm (m2/uur) werkdagen]],0)</f>
        <v>0</v>
      </c>
      <c r="X662" s="155">
        <f>Ruimtestaat[[#This Row],[uren / jaar werkdagen]]*Tariefsopbouw!$E$35</f>
        <v>0</v>
      </c>
      <c r="Y662" s="33"/>
      <c r="Z662" s="33">
        <f>IF(Ruimtestaat[[#This Row],[Frequentie weekend]]&gt;0,VALUE(LEFT(Y662,1))*R662,0)</f>
        <v>0</v>
      </c>
      <c r="AA662" s="97">
        <f>IF($Z662&gt;0,VLOOKUP($J662,Ruimtegroepen[],3,FALSE)*VLOOKUP($L662,Vloersoorten[],3,FALSE)*VLOOKUP($Y662,Frequenties[],3,FALSE)*VLOOKUP(Ruimtestaat[[#This Row],[Code]],Locaties[],3,FALSE),0)</f>
        <v>0</v>
      </c>
      <c r="AB662" s="97">
        <f>Ruimtestaat[[#This Row],[Uitvoeringen weekend]]*Ruimtestaat[[#This Row],[Oppervlak (netto)]]</f>
        <v>0</v>
      </c>
      <c r="AC662" s="97">
        <f>IF(AA662&gt;0,Ruimtestaat[[#This Row],[Prest. (m2 /jaar) weekend]]/Ruimtestaat[[#This Row],[Norm (m2/uur) weekend]],0)</f>
        <v>0</v>
      </c>
      <c r="AD662" s="155">
        <f>Ruimtestaat[[#This Row],[uren / jaar weekend]]*Tariefsopbouw!$D$40</f>
        <v>0</v>
      </c>
      <c r="AE662" s="154">
        <f>Ruimtestaat[[#This Row],[Prest. (m2 /jaar) weekend]]+Ruimtestaat[[#This Row],[Prest. (m2 /jaar) werkdagen]]</f>
        <v>3276</v>
      </c>
      <c r="AF662" s="154">
        <f>Ruimtestaat[[#This Row],[uren / jaar weekend]]+Ruimtestaat[[#This Row],[uren / jaar werkdagen]]</f>
        <v>0</v>
      </c>
      <c r="AG662" s="69">
        <f>Ruimtestaat[[#This Row],[kosten / jaar weekend]]+Ruimtestaat[[#This Row],[kosten / jaar werkdagen]]</f>
        <v>0</v>
      </c>
      <c r="AH662" s="69"/>
      <c r="AI662" s="256" t="str">
        <f>IF(Ruimtestaat[[#This Row],[Frequentie werkdagen]]="","",_xlfn.CONCAT(Ruimtestaat[[#This Row],[Ruimte code]],"-",Ruimtestaat[[#This Row],[Frequentie werkdagen]]," ",Ruimtestaat[[#This Row],[Vloer code]]))</f>
        <v>2-3w L</v>
      </c>
      <c r="AJ662" s="300" t="str">
        <f>_xlfn.IFNA(VLOOKUP($AI662,Programma!$F$3:$G$1107,2,0),"")</f>
        <v>_</v>
      </c>
      <c r="AK662" s="300" t="str">
        <f>_xlfn.IFNA(VLOOKUP($AI662,Programma!$F$3:$H$1107,3,0),"")</f>
        <v>_</v>
      </c>
      <c r="AL662" s="300" t="str">
        <f>_xlfn.IFNA(VLOOKUP($AI662,Programma!$F$3:$I$1107,4,0),"")</f>
        <v>2w</v>
      </c>
      <c r="AM662" s="300" t="str">
        <f>_xlfn.IFNA(VLOOKUP($AI662,Programma!$F$3:$J$1107,5,0),"")</f>
        <v>1w</v>
      </c>
      <c r="AN662" s="300" t="str">
        <f>_xlfn.IFNA(VLOOKUP($AI662,Programma!$F$3:$K$1107,6,0),"")</f>
        <v>_</v>
      </c>
      <c r="AO662" s="300" t="str">
        <f>_xlfn.IFNA(VLOOKUP($AI662,Programma!$F$3:$L$1107,7,0),"")</f>
        <v>_</v>
      </c>
      <c r="AP662" s="300" t="str">
        <f>_xlfn.IFNA(VLOOKUP($AI662,Programma!$F$3:$M$1107,8,0),"")</f>
        <v>_</v>
      </c>
      <c r="AQ662" s="300" t="str">
        <f>_xlfn.IFNA(VLOOKUP($AI662,Programma!$F$3:$N$1107,9,0),"")</f>
        <v>_</v>
      </c>
      <c r="AR662" s="300" t="str">
        <f>_xlfn.IFNA(VLOOKUP($AI662,Programma!$F$3:$O$1107,10,0),"")</f>
        <v>3w</v>
      </c>
      <c r="AS662" s="300" t="str">
        <f>_xlfn.IFNA(VLOOKUP($AI662,Programma!$F$3:$P$1107,11,0),"")</f>
        <v>3w</v>
      </c>
      <c r="AT662" s="300" t="str">
        <f>_xlfn.IFNA(VLOOKUP($AI662,Programma!$F$3:$Q$1107,12,0),"")</f>
        <v>1w</v>
      </c>
      <c r="AU662" s="300" t="str">
        <f>_xlfn.IFNA(VLOOKUP($AI662,Programma!$F$3:$R$1107,13,0),"")</f>
        <v>1w</v>
      </c>
      <c r="AV662" s="300" t="str">
        <f>_xlfn.IFNA(VLOOKUP($AI662,Programma!$F$3:$S$1107,14,0),"")</f>
        <v>1m</v>
      </c>
      <c r="AW662" s="300" t="str">
        <f>_xlfn.IFNA(VLOOKUP($AI662,Programma!$F$3:$T$1107,15,0),"")</f>
        <v>2j</v>
      </c>
      <c r="AX662" s="300" t="str">
        <f>_xlfn.IFNA(VLOOKUP($AI662,Programma!$F$3:$U$1107,16,0),"")</f>
        <v>1j</v>
      </c>
      <c r="AY662" s="300" t="str">
        <f>_xlfn.IFNA(VLOOKUP($AI662,Programma!$F$3:$V$1107,17,0),"")</f>
        <v>_</v>
      </c>
      <c r="AZ662" s="300" t="str">
        <f>_xlfn.IFNA(VLOOKUP($AI662,Programma!$F$3:$W$1107,18,0),"")</f>
        <v>_</v>
      </c>
      <c r="BA662" s="300" t="str">
        <f>_xlfn.IFNA(VLOOKUP($AI662,Programma!$F$3:$X$1107,19,0),"")</f>
        <v>_</v>
      </c>
      <c r="BB662" s="300" t="str">
        <f>_xlfn.IFNA(VLOOKUP($AI662,Programma!$F$3:$Y$1107,20,0),"")</f>
        <v>_</v>
      </c>
      <c r="BC662" s="257"/>
      <c r="BD662" s="256" t="str">
        <f>IF(Ruimtestaat[[#This Row],[Frequentie weekend]]="","",_xlfn.CONCAT(Ruimtestaat[[#This Row],[Ruimte code]],"-",Ruimtestaat[[#This Row],[Frequentie weekend]]," ",Ruimtestaat[[#This Row],[Vloer code]]))</f>
        <v/>
      </c>
      <c r="BE662" s="300" t="str">
        <f>_xlfn.IFNA(VLOOKUP($BD662,Programma!$F$3:$G$1107,2,0),"")</f>
        <v/>
      </c>
      <c r="BF662" s="300" t="str">
        <f>_xlfn.IFNA(VLOOKUP($BD662,Programma!$F$3:$H$1107,3,0),"")</f>
        <v/>
      </c>
      <c r="BG662" s="300" t="str">
        <f>_xlfn.IFNA(VLOOKUP($BD662,Programma!$F$3:$I$1107,4,0),"")</f>
        <v/>
      </c>
      <c r="BH662" s="300" t="str">
        <f>_xlfn.IFNA(VLOOKUP($BD662,Programma!$F$3:$J$1107,5,0),"")</f>
        <v/>
      </c>
      <c r="BI662" s="300" t="str">
        <f>_xlfn.IFNA(VLOOKUP($BD662,Programma!$F$3:$K$1107,6,0),"")</f>
        <v/>
      </c>
      <c r="BJ662" s="300" t="str">
        <f>_xlfn.IFNA(VLOOKUP($BD662,Programma!$F$3:$L$1107,7,0),"")</f>
        <v/>
      </c>
      <c r="BK662" s="300" t="str">
        <f>_xlfn.IFNA(VLOOKUP($BD662,Programma!$F$3:$M$1107,8,0),"")</f>
        <v/>
      </c>
      <c r="BL662" s="300" t="str">
        <f>_xlfn.IFNA(VLOOKUP($BD662,Programma!$F$3:$N$1107,9,0),"")</f>
        <v/>
      </c>
      <c r="BM662" s="300" t="str">
        <f>_xlfn.IFNA(VLOOKUP($BD662,Programma!$F$3:$O$1107,10,0),"")</f>
        <v/>
      </c>
      <c r="BN662" s="300" t="str">
        <f>_xlfn.IFNA(VLOOKUP($BD662,Programma!$F$3:$P$1107,11,0),"")</f>
        <v/>
      </c>
      <c r="BO662" s="300" t="str">
        <f>_xlfn.IFNA(VLOOKUP($BD662,Programma!$F$3:$Q$1107,12,0),"")</f>
        <v/>
      </c>
      <c r="BP662" s="300" t="str">
        <f>_xlfn.IFNA(VLOOKUP($BD662,Programma!$F$3:$R$1107,13,0),"")</f>
        <v/>
      </c>
      <c r="BQ662" s="300" t="str">
        <f>_xlfn.IFNA(VLOOKUP($BD662,Programma!$F$3:$S$1107,14,0),"")</f>
        <v/>
      </c>
      <c r="BR662" s="300" t="str">
        <f>_xlfn.IFNA(VLOOKUP($BD662,Programma!$F$3:$T$1107,15,0),"")</f>
        <v/>
      </c>
      <c r="BS662" s="300" t="str">
        <f>_xlfn.IFNA(VLOOKUP($BD662,Programma!$F$3:$U$1107,16,0),"")</f>
        <v/>
      </c>
      <c r="BT662" s="300" t="str">
        <f>_xlfn.IFNA(VLOOKUP($BD662,Programma!$F$3:$V$1107,17,0),"")</f>
        <v/>
      </c>
      <c r="BU662" s="300" t="str">
        <f>_xlfn.IFNA(VLOOKUP($BD662,Programma!$F$3:$W$1107,18,0),"")</f>
        <v/>
      </c>
      <c r="BV662" s="300" t="str">
        <f>_xlfn.IFNA(VLOOKUP($BD662,Programma!$F$3:$X$1107,19,0),"")</f>
        <v/>
      </c>
      <c r="BW662" s="300" t="str">
        <f>_xlfn.IFNA(VLOOKUP($BD662,Programma!$F$3:$Y$1107,20,0),"")</f>
        <v/>
      </c>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c r="GB662" s="4"/>
      <c r="GC662" s="4"/>
      <c r="GD662" s="4"/>
      <c r="GE662" s="4"/>
      <c r="GF662" s="4"/>
      <c r="GG662" s="4"/>
      <c r="GH662" s="4"/>
      <c r="GI662" s="4"/>
      <c r="GJ662" s="4"/>
      <c r="GK662" s="4"/>
      <c r="GL662" s="4"/>
      <c r="GM662" s="4"/>
      <c r="GN662" s="4"/>
      <c r="GO662" s="4"/>
      <c r="GP662" s="4"/>
      <c r="GQ662" s="4"/>
      <c r="GR662" s="4"/>
      <c r="GS662" s="4"/>
      <c r="GT662" s="4"/>
      <c r="GU662" s="4"/>
      <c r="GV662" s="4"/>
      <c r="GW662" s="4"/>
      <c r="GX662" s="4"/>
      <c r="GY662" s="4"/>
      <c r="GZ662" s="4"/>
      <c r="HA662" s="4"/>
      <c r="HB662" s="4"/>
      <c r="HC662" s="4"/>
      <c r="HD662" s="4"/>
      <c r="HE662" s="4"/>
      <c r="HF662" s="4"/>
      <c r="HG662" s="4"/>
      <c r="HH662" s="4"/>
      <c r="HI662" s="4"/>
      <c r="HJ662" s="4"/>
      <c r="HK662" s="4"/>
      <c r="HL662" s="4"/>
    </row>
    <row r="663" spans="1:220" ht="15" customHeight="1">
      <c r="A663" s="21">
        <v>8</v>
      </c>
      <c r="B663" s="157" t="str">
        <f>VLOOKUP(Ruimtestaat[[#This Row],[Code]],Locaties[[Code]:[Locatie]],2,FALSE)</f>
        <v>Dalton College</v>
      </c>
      <c r="C663" s="157" t="str">
        <f>VLOOKUP(Ruimtestaat[[#This Row],[Code]],Locaties[[#All],[Code]:[Adres]],4,FALSE)</f>
        <v>Loolaan 125</v>
      </c>
      <c r="D663" s="157" t="str">
        <f>VLOOKUP(Ruimtestaat[[#This Row],[Code]],Locaties[[#All],[Code]:[Postcode]],5,FALSE)</f>
        <v xml:space="preserve">2271 TM </v>
      </c>
      <c r="E663" s="157" t="str">
        <f>VLOOKUP(Ruimtestaat[[#This Row],[Code]],Locaties[#All],6,FALSE)</f>
        <v>Voorburg</v>
      </c>
      <c r="F663" s="62"/>
      <c r="G663" s="21" t="s">
        <v>1859</v>
      </c>
      <c r="H663" s="21">
        <v>-102</v>
      </c>
      <c r="I663" s="62" t="s">
        <v>1911</v>
      </c>
      <c r="J663" s="21">
        <v>20</v>
      </c>
      <c r="K663" s="62" t="str">
        <f>VLOOKUP(Ruimtestaat[[#This Row],[Ruimte code]],Ruimtegroepen[[#All],[Code]:[Ruimte omschrijving]],2,FALSE)</f>
        <v>Niet in Onderhoud</v>
      </c>
      <c r="L663" s="33" t="s">
        <v>102</v>
      </c>
      <c r="M663" s="367" t="s">
        <v>2509</v>
      </c>
      <c r="N663" s="140"/>
      <c r="O663" s="140">
        <v>15</v>
      </c>
      <c r="P663" s="125">
        <f>VLOOKUP(Ruimtestaat[[#This Row],[Ruimte code]],Ruimtegroepen[],4,FALSE)</f>
        <v>0</v>
      </c>
      <c r="Q663" s="125" t="s">
        <v>2532</v>
      </c>
      <c r="R663" s="33"/>
      <c r="S663" s="33"/>
      <c r="T663" s="33">
        <f>IF(R663&gt;0,IF(RIGHT(Ruimtestaat[[#This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63" s="33">
        <f>IF(T663&gt;0,VLOOKUP($J663,Ruimtegroepen[],3,FALSE)*VLOOKUP($L663,Vloersoorten[],3,FALSE)*VLOOKUP($S663,Frequenties[],3,FALSE)*VLOOKUP($A663,Locaties[],3,FALSE),0)</f>
        <v>0</v>
      </c>
      <c r="V663" s="33">
        <f>Ruimtestaat[[#This Row],[Uitvoeringen werkdagen]]*Ruimtestaat[[#This Row],[Oppervlak (netto)]]</f>
        <v>0</v>
      </c>
      <c r="W663" s="154">
        <f>IF(U663&gt;0,Ruimtestaat[[#This Row],[Prest. (m2 /jaar) werkdagen]]/Ruimtestaat[[#This Row],[Norm (m2/uur) werkdagen]],0)</f>
        <v>0</v>
      </c>
      <c r="X663" s="155">
        <f>Ruimtestaat[[#This Row],[uren / jaar werkdagen]]*Tariefsopbouw!$E$35</f>
        <v>0</v>
      </c>
      <c r="Y663" s="33"/>
      <c r="Z663" s="33">
        <f>IF(Ruimtestaat[[#This Row],[Frequentie weekend]]&gt;0,VALUE(LEFT(Y663,1))*R663,0)</f>
        <v>0</v>
      </c>
      <c r="AA663" s="97">
        <f>IF($Z663&gt;0,VLOOKUP($J663,Ruimtegroepen[],3,FALSE)*VLOOKUP($L663,Vloersoorten[],3,FALSE)*VLOOKUP($Y663,Frequenties[],3,FALSE)*VLOOKUP(Ruimtestaat[[#This Row],[Code]],Locaties[],3,FALSE),0)</f>
        <v>0</v>
      </c>
      <c r="AB663" s="97">
        <f>Ruimtestaat[[#This Row],[Uitvoeringen weekend]]*Ruimtestaat[[#This Row],[Oppervlak (netto)]]</f>
        <v>0</v>
      </c>
      <c r="AC663" s="97">
        <f>IF(AA663&gt;0,Ruimtestaat[[#This Row],[Prest. (m2 /jaar) weekend]]/Ruimtestaat[[#This Row],[Norm (m2/uur) weekend]],0)</f>
        <v>0</v>
      </c>
      <c r="AD663" s="155">
        <f>Ruimtestaat[[#This Row],[uren / jaar weekend]]*Tariefsopbouw!$D$40</f>
        <v>0</v>
      </c>
      <c r="AE663" s="154">
        <f>Ruimtestaat[[#This Row],[Prest. (m2 /jaar) weekend]]+Ruimtestaat[[#This Row],[Prest. (m2 /jaar) werkdagen]]</f>
        <v>0</v>
      </c>
      <c r="AF663" s="154">
        <f>Ruimtestaat[[#This Row],[uren / jaar weekend]]+Ruimtestaat[[#This Row],[uren / jaar werkdagen]]</f>
        <v>0</v>
      </c>
      <c r="AG663" s="69">
        <f>Ruimtestaat[[#This Row],[kosten / jaar weekend]]+Ruimtestaat[[#This Row],[kosten / jaar werkdagen]]</f>
        <v>0</v>
      </c>
      <c r="AH663" s="69"/>
      <c r="AI663" s="256" t="str">
        <f>IF(Ruimtestaat[[#This Row],[Frequentie werkdagen]]="","",_xlfn.CONCAT(Ruimtestaat[[#This Row],[Ruimte code]],"-",Ruimtestaat[[#This Row],[Frequentie werkdagen]]," ",Ruimtestaat[[#This Row],[Vloer code]]))</f>
        <v/>
      </c>
      <c r="AJ663" s="300" t="str">
        <f>_xlfn.IFNA(VLOOKUP($AI663,Programma!$F$3:$G$1107,2,0),"")</f>
        <v/>
      </c>
      <c r="AK663" s="300" t="str">
        <f>_xlfn.IFNA(VLOOKUP($AI663,Programma!$F$3:$H$1107,3,0),"")</f>
        <v/>
      </c>
      <c r="AL663" s="300" t="str">
        <f>_xlfn.IFNA(VLOOKUP($AI663,Programma!$F$3:$I$1107,4,0),"")</f>
        <v/>
      </c>
      <c r="AM663" s="300" t="str">
        <f>_xlfn.IFNA(VLOOKUP($AI663,Programma!$F$3:$J$1107,5,0),"")</f>
        <v/>
      </c>
      <c r="AN663" s="300" t="str">
        <f>_xlfn.IFNA(VLOOKUP($AI663,Programma!$F$3:$K$1107,6,0),"")</f>
        <v/>
      </c>
      <c r="AO663" s="300" t="str">
        <f>_xlfn.IFNA(VLOOKUP($AI663,Programma!$F$3:$L$1107,7,0),"")</f>
        <v/>
      </c>
      <c r="AP663" s="300" t="str">
        <f>_xlfn.IFNA(VLOOKUP($AI663,Programma!$F$3:$M$1107,8,0),"")</f>
        <v/>
      </c>
      <c r="AQ663" s="300" t="str">
        <f>_xlfn.IFNA(VLOOKUP($AI663,Programma!$F$3:$N$1107,9,0),"")</f>
        <v/>
      </c>
      <c r="AR663" s="300" t="str">
        <f>_xlfn.IFNA(VLOOKUP($AI663,Programma!$F$3:$O$1107,10,0),"")</f>
        <v/>
      </c>
      <c r="AS663" s="300" t="str">
        <f>_xlfn.IFNA(VLOOKUP($AI663,Programma!$F$3:$P$1107,11,0),"")</f>
        <v/>
      </c>
      <c r="AT663" s="300" t="str">
        <f>_xlfn.IFNA(VLOOKUP($AI663,Programma!$F$3:$Q$1107,12,0),"")</f>
        <v/>
      </c>
      <c r="AU663" s="300" t="str">
        <f>_xlfn.IFNA(VLOOKUP($AI663,Programma!$F$3:$R$1107,13,0),"")</f>
        <v/>
      </c>
      <c r="AV663" s="300" t="str">
        <f>_xlfn.IFNA(VLOOKUP($AI663,Programma!$F$3:$S$1107,14,0),"")</f>
        <v/>
      </c>
      <c r="AW663" s="300" t="str">
        <f>_xlfn.IFNA(VLOOKUP($AI663,Programma!$F$3:$T$1107,15,0),"")</f>
        <v/>
      </c>
      <c r="AX663" s="300" t="str">
        <f>_xlfn.IFNA(VLOOKUP($AI663,Programma!$F$3:$U$1107,16,0),"")</f>
        <v/>
      </c>
      <c r="AY663" s="300" t="str">
        <f>_xlfn.IFNA(VLOOKUP($AI663,Programma!$F$3:$V$1107,17,0),"")</f>
        <v/>
      </c>
      <c r="AZ663" s="300" t="str">
        <f>_xlfn.IFNA(VLOOKUP($AI663,Programma!$F$3:$W$1107,18,0),"")</f>
        <v/>
      </c>
      <c r="BA663" s="300" t="str">
        <f>_xlfn.IFNA(VLOOKUP($AI663,Programma!$F$3:$X$1107,19,0),"")</f>
        <v/>
      </c>
      <c r="BB663" s="300" t="str">
        <f>_xlfn.IFNA(VLOOKUP($AI663,Programma!$F$3:$Y$1107,20,0),"")</f>
        <v/>
      </c>
      <c r="BC663" s="257"/>
      <c r="BD663" s="256" t="str">
        <f>IF(Ruimtestaat[[#This Row],[Frequentie weekend]]="","",_xlfn.CONCAT(Ruimtestaat[[#This Row],[Ruimte code]],"-",Ruimtestaat[[#This Row],[Frequentie weekend]]," ",Ruimtestaat[[#This Row],[Vloer code]]))</f>
        <v/>
      </c>
      <c r="BE663" s="300" t="str">
        <f>_xlfn.IFNA(VLOOKUP($BD663,Programma!$F$3:$G$1107,2,0),"")</f>
        <v/>
      </c>
      <c r="BF663" s="300" t="str">
        <f>_xlfn.IFNA(VLOOKUP($BD663,Programma!$F$3:$H$1107,3,0),"")</f>
        <v/>
      </c>
      <c r="BG663" s="300" t="str">
        <f>_xlfn.IFNA(VLOOKUP($BD663,Programma!$F$3:$I$1107,4,0),"")</f>
        <v/>
      </c>
      <c r="BH663" s="300" t="str">
        <f>_xlfn.IFNA(VLOOKUP($BD663,Programma!$F$3:$J$1107,5,0),"")</f>
        <v/>
      </c>
      <c r="BI663" s="300" t="str">
        <f>_xlfn.IFNA(VLOOKUP($BD663,Programma!$F$3:$K$1107,6,0),"")</f>
        <v/>
      </c>
      <c r="BJ663" s="300" t="str">
        <f>_xlfn.IFNA(VLOOKUP($BD663,Programma!$F$3:$L$1107,7,0),"")</f>
        <v/>
      </c>
      <c r="BK663" s="300" t="str">
        <f>_xlfn.IFNA(VLOOKUP($BD663,Programma!$F$3:$M$1107,8,0),"")</f>
        <v/>
      </c>
      <c r="BL663" s="300" t="str">
        <f>_xlfn.IFNA(VLOOKUP($BD663,Programma!$F$3:$N$1107,9,0),"")</f>
        <v/>
      </c>
      <c r="BM663" s="300" t="str">
        <f>_xlfn.IFNA(VLOOKUP($BD663,Programma!$F$3:$O$1107,10,0),"")</f>
        <v/>
      </c>
      <c r="BN663" s="300" t="str">
        <f>_xlfn.IFNA(VLOOKUP($BD663,Programma!$F$3:$P$1107,11,0),"")</f>
        <v/>
      </c>
      <c r="BO663" s="300" t="str">
        <f>_xlfn.IFNA(VLOOKUP($BD663,Programma!$F$3:$Q$1107,12,0),"")</f>
        <v/>
      </c>
      <c r="BP663" s="300" t="str">
        <f>_xlfn.IFNA(VLOOKUP($BD663,Programma!$F$3:$R$1107,13,0),"")</f>
        <v/>
      </c>
      <c r="BQ663" s="300" t="str">
        <f>_xlfn.IFNA(VLOOKUP($BD663,Programma!$F$3:$S$1107,14,0),"")</f>
        <v/>
      </c>
      <c r="BR663" s="300" t="str">
        <f>_xlfn.IFNA(VLOOKUP($BD663,Programma!$F$3:$T$1107,15,0),"")</f>
        <v/>
      </c>
      <c r="BS663" s="300" t="str">
        <f>_xlfn.IFNA(VLOOKUP($BD663,Programma!$F$3:$U$1107,16,0),"")</f>
        <v/>
      </c>
      <c r="BT663" s="300" t="str">
        <f>_xlfn.IFNA(VLOOKUP($BD663,Programma!$F$3:$V$1107,17,0),"")</f>
        <v/>
      </c>
      <c r="BU663" s="300" t="str">
        <f>_xlfn.IFNA(VLOOKUP($BD663,Programma!$F$3:$W$1107,18,0),"")</f>
        <v/>
      </c>
      <c r="BV663" s="300" t="str">
        <f>_xlfn.IFNA(VLOOKUP($BD663,Programma!$F$3:$X$1107,19,0),"")</f>
        <v/>
      </c>
      <c r="BW663" s="300" t="str">
        <f>_xlfn.IFNA(VLOOKUP($BD663,Programma!$F$3:$Y$1107,20,0),"")</f>
        <v/>
      </c>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c r="GB663" s="4"/>
      <c r="GC663" s="4"/>
      <c r="GD663" s="4"/>
      <c r="GE663" s="4"/>
      <c r="GF663" s="4"/>
      <c r="GG663" s="4"/>
      <c r="GH663" s="4"/>
      <c r="GI663" s="4"/>
      <c r="GJ663" s="4"/>
      <c r="GK663" s="4"/>
      <c r="GL663" s="4"/>
      <c r="GM663" s="4"/>
      <c r="GN663" s="4"/>
      <c r="GO663" s="4"/>
      <c r="GP663" s="4"/>
      <c r="GQ663" s="4"/>
      <c r="GR663" s="4"/>
      <c r="GS663" s="4"/>
      <c r="GT663" s="4"/>
      <c r="GU663" s="4"/>
      <c r="GV663" s="4"/>
      <c r="GW663" s="4"/>
      <c r="GX663" s="4"/>
      <c r="GY663" s="4"/>
      <c r="GZ663" s="4"/>
      <c r="HA663" s="4"/>
      <c r="HB663" s="4"/>
      <c r="HC663" s="4"/>
      <c r="HD663" s="4"/>
      <c r="HE663" s="4"/>
      <c r="HF663" s="4"/>
      <c r="HG663" s="4"/>
      <c r="HH663" s="4"/>
      <c r="HI663" s="4"/>
      <c r="HJ663" s="4"/>
      <c r="HK663" s="4"/>
      <c r="HL663" s="4"/>
    </row>
    <row r="664" spans="1:220" ht="15" customHeight="1">
      <c r="A664" s="21">
        <v>8</v>
      </c>
      <c r="B664" s="157" t="str">
        <f>VLOOKUP(Ruimtestaat[[#This Row],[Code]],Locaties[[Code]:[Locatie]],2,FALSE)</f>
        <v>Dalton College</v>
      </c>
      <c r="C664" s="157" t="str">
        <f>VLOOKUP(Ruimtestaat[[#This Row],[Code]],Locaties[[#All],[Code]:[Adres]],4,FALSE)</f>
        <v>Loolaan 125</v>
      </c>
      <c r="D664" s="157" t="str">
        <f>VLOOKUP(Ruimtestaat[[#This Row],[Code]],Locaties[[#All],[Code]:[Postcode]],5,FALSE)</f>
        <v xml:space="preserve">2271 TM </v>
      </c>
      <c r="E664" s="157" t="str">
        <f>VLOOKUP(Ruimtestaat[[#This Row],[Code]],Locaties[#All],6,FALSE)</f>
        <v>Voorburg</v>
      </c>
      <c r="F664" s="62"/>
      <c r="G664" s="21" t="s">
        <v>1632</v>
      </c>
      <c r="H664" s="21">
        <v>1</v>
      </c>
      <c r="I664" s="62" t="s">
        <v>1625</v>
      </c>
      <c r="J664" s="21">
        <v>6</v>
      </c>
      <c r="K664" s="62" t="str">
        <f>VLOOKUP(Ruimtestaat[[#This Row],[Ruimte code]],Ruimtegroepen[[#All],[Code]:[Ruimte omschrijving]],2,FALSE)</f>
        <v>Gangen/hallen</v>
      </c>
      <c r="L664" s="33" t="s">
        <v>102</v>
      </c>
      <c r="M664" s="367" t="s">
        <v>2509</v>
      </c>
      <c r="N664" s="140">
        <v>5</v>
      </c>
      <c r="O664" s="140"/>
      <c r="P664" s="125" t="str">
        <f>VLOOKUP(Ruimtestaat[[#This Row],[Ruimte code]],Ruimtegroepen[],4,FALSE)</f>
        <v>Ve</v>
      </c>
      <c r="Q664" s="125" t="s">
        <v>2538</v>
      </c>
      <c r="R664" s="33">
        <v>40</v>
      </c>
      <c r="S664" s="33" t="s">
        <v>2</v>
      </c>
      <c r="T664" s="33">
        <f>IF(R664&gt;0,IF(RIGHT(Ruimtestaat[[#This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64" s="33">
        <f>IF(T664&gt;0,VLOOKUP($J664,Ruimtegroepen[],3,FALSE)*VLOOKUP($L664,Vloersoorten[],3,FALSE)*VLOOKUP($S664,Frequenties[],3,FALSE)*VLOOKUP($A664,Locaties[],3,FALSE),0)</f>
        <v>0</v>
      </c>
      <c r="V664" s="33">
        <f>Ruimtestaat[[#This Row],[Uitvoeringen werkdagen]]*Ruimtestaat[[#This Row],[Oppervlak (netto)]]</f>
        <v>1000</v>
      </c>
      <c r="W664" s="154">
        <f>IF(U664&gt;0,Ruimtestaat[[#This Row],[Prest. (m2 /jaar) werkdagen]]/Ruimtestaat[[#This Row],[Norm (m2/uur) werkdagen]],0)</f>
        <v>0</v>
      </c>
      <c r="X664" s="155">
        <f>Ruimtestaat[[#This Row],[uren / jaar werkdagen]]*Tariefsopbouw!$E$35</f>
        <v>0</v>
      </c>
      <c r="Y664" s="33"/>
      <c r="Z664" s="33">
        <f>IF(Ruimtestaat[[#This Row],[Frequentie weekend]]&gt;0,VALUE(LEFT(Y664,1))*R664,0)</f>
        <v>0</v>
      </c>
      <c r="AA664" s="97">
        <f>IF($Z664&gt;0,VLOOKUP($J664,Ruimtegroepen[],3,FALSE)*VLOOKUP($L664,Vloersoorten[],3,FALSE)*VLOOKUP($Y664,Frequenties[],3,FALSE)*VLOOKUP(Ruimtestaat[[#This Row],[Code]],Locaties[],3,FALSE),0)</f>
        <v>0</v>
      </c>
      <c r="AB664" s="97">
        <f>Ruimtestaat[[#This Row],[Uitvoeringen weekend]]*Ruimtestaat[[#This Row],[Oppervlak (netto)]]</f>
        <v>0</v>
      </c>
      <c r="AC664" s="97">
        <f>IF(AA664&gt;0,Ruimtestaat[[#This Row],[Prest. (m2 /jaar) weekend]]/Ruimtestaat[[#This Row],[Norm (m2/uur) weekend]],0)</f>
        <v>0</v>
      </c>
      <c r="AD664" s="155">
        <f>Ruimtestaat[[#This Row],[uren / jaar weekend]]*Tariefsopbouw!$D$40</f>
        <v>0</v>
      </c>
      <c r="AE664" s="154">
        <f>Ruimtestaat[[#This Row],[Prest. (m2 /jaar) weekend]]+Ruimtestaat[[#This Row],[Prest. (m2 /jaar) werkdagen]]</f>
        <v>1000</v>
      </c>
      <c r="AF664" s="154">
        <f>Ruimtestaat[[#This Row],[uren / jaar weekend]]+Ruimtestaat[[#This Row],[uren / jaar werkdagen]]</f>
        <v>0</v>
      </c>
      <c r="AG664" s="69">
        <f>Ruimtestaat[[#This Row],[kosten / jaar weekend]]+Ruimtestaat[[#This Row],[kosten / jaar werkdagen]]</f>
        <v>0</v>
      </c>
      <c r="AH664" s="69"/>
      <c r="AI664" s="256" t="str">
        <f>IF(Ruimtestaat[[#This Row],[Frequentie werkdagen]]="","",_xlfn.CONCAT(Ruimtestaat[[#This Row],[Ruimte code]],"-",Ruimtestaat[[#This Row],[Frequentie werkdagen]]," ",Ruimtestaat[[#This Row],[Vloer code]]))</f>
        <v>6-5w S</v>
      </c>
      <c r="AJ664" s="300" t="str">
        <f>_xlfn.IFNA(VLOOKUP($AI664,Programma!$F$3:$G$1107,2,0),"")</f>
        <v>_</v>
      </c>
      <c r="AK664" s="300" t="str">
        <f>_xlfn.IFNA(VLOOKUP($AI664,Programma!$F$3:$H$1107,3,0),"")</f>
        <v>_</v>
      </c>
      <c r="AL664" s="300" t="str">
        <f>_xlfn.IFNA(VLOOKUP($AI664,Programma!$F$3:$I$1107,4,0),"")</f>
        <v>5w</v>
      </c>
      <c r="AM664" s="300" t="str">
        <f>_xlfn.IFNA(VLOOKUP($AI664,Programma!$F$3:$J$1107,5,0),"")</f>
        <v>_</v>
      </c>
      <c r="AN664" s="300" t="str">
        <f>_xlfn.IFNA(VLOOKUP($AI664,Programma!$F$3:$K$1107,6,0),"")</f>
        <v>5w</v>
      </c>
      <c r="AO664" s="300" t="str">
        <f>_xlfn.IFNA(VLOOKUP($AI664,Programma!$F$3:$L$1107,7,0),"")</f>
        <v>_</v>
      </c>
      <c r="AP664" s="300" t="str">
        <f>_xlfn.IFNA(VLOOKUP($AI664,Programma!$F$3:$M$1107,8,0),"")</f>
        <v>_</v>
      </c>
      <c r="AQ664" s="300" t="str">
        <f>_xlfn.IFNA(VLOOKUP($AI664,Programma!$F$3:$N$1107,9,0),"")</f>
        <v>_</v>
      </c>
      <c r="AR664" s="300" t="str">
        <f>_xlfn.IFNA(VLOOKUP($AI664,Programma!$F$3:$O$1107,10,0),"")</f>
        <v>5w</v>
      </c>
      <c r="AS664" s="300" t="str">
        <f>_xlfn.IFNA(VLOOKUP($AI664,Programma!$F$3:$P$1107,11,0),"")</f>
        <v>5w</v>
      </c>
      <c r="AT664" s="300" t="str">
        <f>_xlfn.IFNA(VLOOKUP($AI664,Programma!$F$3:$Q$1107,12,0),"")</f>
        <v>1w</v>
      </c>
      <c r="AU664" s="300" t="str">
        <f>_xlfn.IFNA(VLOOKUP($AI664,Programma!$F$3:$R$1107,13,0),"")</f>
        <v>1w</v>
      </c>
      <c r="AV664" s="300" t="str">
        <f>_xlfn.IFNA(VLOOKUP($AI664,Programma!$F$3:$S$1107,14,0),"")</f>
        <v>1m</v>
      </c>
      <c r="AW664" s="300" t="str">
        <f>_xlfn.IFNA(VLOOKUP($AI664,Programma!$F$3:$T$1107,15,0),"")</f>
        <v>2j</v>
      </c>
      <c r="AX664" s="300" t="str">
        <f>_xlfn.IFNA(VLOOKUP($AI664,Programma!$F$3:$U$1107,16,0),"")</f>
        <v>1j</v>
      </c>
      <c r="AY664" s="300" t="str">
        <f>_xlfn.IFNA(VLOOKUP($AI664,Programma!$F$3:$V$1107,17,0),"")</f>
        <v>_</v>
      </c>
      <c r="AZ664" s="300" t="str">
        <f>_xlfn.IFNA(VLOOKUP($AI664,Programma!$F$3:$W$1107,18,0),"")</f>
        <v>_</v>
      </c>
      <c r="BA664" s="300" t="str">
        <f>_xlfn.IFNA(VLOOKUP($AI664,Programma!$F$3:$X$1107,19,0),"")</f>
        <v>_</v>
      </c>
      <c r="BB664" s="300" t="str">
        <f>_xlfn.IFNA(VLOOKUP($AI664,Programma!$F$3:$Y$1107,20,0),"")</f>
        <v>_</v>
      </c>
      <c r="BC664" s="257"/>
      <c r="BD664" s="256" t="str">
        <f>IF(Ruimtestaat[[#This Row],[Frequentie weekend]]="","",_xlfn.CONCAT(Ruimtestaat[[#This Row],[Ruimte code]],"-",Ruimtestaat[[#This Row],[Frequentie weekend]]," ",Ruimtestaat[[#This Row],[Vloer code]]))</f>
        <v/>
      </c>
      <c r="BE664" s="300" t="str">
        <f>_xlfn.IFNA(VLOOKUP($BD664,Programma!$F$3:$G$1107,2,0),"")</f>
        <v/>
      </c>
      <c r="BF664" s="300" t="str">
        <f>_xlfn.IFNA(VLOOKUP($BD664,Programma!$F$3:$H$1107,3,0),"")</f>
        <v/>
      </c>
      <c r="BG664" s="300" t="str">
        <f>_xlfn.IFNA(VLOOKUP($BD664,Programma!$F$3:$I$1107,4,0),"")</f>
        <v/>
      </c>
      <c r="BH664" s="300" t="str">
        <f>_xlfn.IFNA(VLOOKUP($BD664,Programma!$F$3:$J$1107,5,0),"")</f>
        <v/>
      </c>
      <c r="BI664" s="300" t="str">
        <f>_xlfn.IFNA(VLOOKUP($BD664,Programma!$F$3:$K$1107,6,0),"")</f>
        <v/>
      </c>
      <c r="BJ664" s="300" t="str">
        <f>_xlfn.IFNA(VLOOKUP($BD664,Programma!$F$3:$L$1107,7,0),"")</f>
        <v/>
      </c>
      <c r="BK664" s="300" t="str">
        <f>_xlfn.IFNA(VLOOKUP($BD664,Programma!$F$3:$M$1107,8,0),"")</f>
        <v/>
      </c>
      <c r="BL664" s="300" t="str">
        <f>_xlfn.IFNA(VLOOKUP($BD664,Programma!$F$3:$N$1107,9,0),"")</f>
        <v/>
      </c>
      <c r="BM664" s="300" t="str">
        <f>_xlfn.IFNA(VLOOKUP($BD664,Programma!$F$3:$O$1107,10,0),"")</f>
        <v/>
      </c>
      <c r="BN664" s="300" t="str">
        <f>_xlfn.IFNA(VLOOKUP($BD664,Programma!$F$3:$P$1107,11,0),"")</f>
        <v/>
      </c>
      <c r="BO664" s="300" t="str">
        <f>_xlfn.IFNA(VLOOKUP($BD664,Programma!$F$3:$Q$1107,12,0),"")</f>
        <v/>
      </c>
      <c r="BP664" s="300" t="str">
        <f>_xlfn.IFNA(VLOOKUP($BD664,Programma!$F$3:$R$1107,13,0),"")</f>
        <v/>
      </c>
      <c r="BQ664" s="300" t="str">
        <f>_xlfn.IFNA(VLOOKUP($BD664,Programma!$F$3:$S$1107,14,0),"")</f>
        <v/>
      </c>
      <c r="BR664" s="300" t="str">
        <f>_xlfn.IFNA(VLOOKUP($BD664,Programma!$F$3:$T$1107,15,0),"")</f>
        <v/>
      </c>
      <c r="BS664" s="300" t="str">
        <f>_xlfn.IFNA(VLOOKUP($BD664,Programma!$F$3:$U$1107,16,0),"")</f>
        <v/>
      </c>
      <c r="BT664" s="300" t="str">
        <f>_xlfn.IFNA(VLOOKUP($BD664,Programma!$F$3:$V$1107,17,0),"")</f>
        <v/>
      </c>
      <c r="BU664" s="300" t="str">
        <f>_xlfn.IFNA(VLOOKUP($BD664,Programma!$F$3:$W$1107,18,0),"")</f>
        <v/>
      </c>
      <c r="BV664" s="300" t="str">
        <f>_xlfn.IFNA(VLOOKUP($BD664,Programma!$F$3:$X$1107,19,0),"")</f>
        <v/>
      </c>
      <c r="BW664" s="300" t="str">
        <f>_xlfn.IFNA(VLOOKUP($BD664,Programma!$F$3:$Y$1107,20,0),"")</f>
        <v/>
      </c>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c r="GK664" s="4"/>
      <c r="GL664" s="4"/>
      <c r="GM664" s="4"/>
      <c r="GN664" s="4"/>
      <c r="GO664" s="4"/>
      <c r="GP664" s="4"/>
      <c r="GQ664" s="4"/>
      <c r="GR664" s="4"/>
      <c r="GS664" s="4"/>
      <c r="GT664" s="4"/>
      <c r="GU664" s="4"/>
      <c r="GV664" s="4"/>
      <c r="GW664" s="4"/>
      <c r="GX664" s="4"/>
      <c r="GY664" s="4"/>
      <c r="GZ664" s="4"/>
      <c r="HA664" s="4"/>
      <c r="HB664" s="4"/>
      <c r="HC664" s="4"/>
      <c r="HD664" s="4"/>
      <c r="HE664" s="4"/>
      <c r="HF664" s="4"/>
      <c r="HG664" s="4"/>
      <c r="HH664" s="4"/>
      <c r="HI664" s="4"/>
      <c r="HJ664" s="4"/>
      <c r="HK664" s="4"/>
      <c r="HL664" s="4"/>
    </row>
    <row r="665" spans="1:220" ht="15" customHeight="1">
      <c r="A665" s="21">
        <v>8</v>
      </c>
      <c r="B665" s="157" t="str">
        <f>VLOOKUP(Ruimtestaat[[#This Row],[Code]],Locaties[[Code]:[Locatie]],2,FALSE)</f>
        <v>Dalton College</v>
      </c>
      <c r="C665" s="157" t="str">
        <f>VLOOKUP(Ruimtestaat[[#This Row],[Code]],Locaties[[#All],[Code]:[Adres]],4,FALSE)</f>
        <v>Loolaan 125</v>
      </c>
      <c r="D665" s="157" t="str">
        <f>VLOOKUP(Ruimtestaat[[#This Row],[Code]],Locaties[[#All],[Code]:[Postcode]],5,FALSE)</f>
        <v xml:space="preserve">2271 TM </v>
      </c>
      <c r="E665" s="157" t="str">
        <f>VLOOKUP(Ruimtestaat[[#This Row],[Code]],Locaties[#All],6,FALSE)</f>
        <v>Voorburg</v>
      </c>
      <c r="F665" s="62"/>
      <c r="G665" s="21" t="s">
        <v>1632</v>
      </c>
      <c r="H665" s="21">
        <v>2</v>
      </c>
      <c r="I665" s="62" t="s">
        <v>2202</v>
      </c>
      <c r="J665" s="21">
        <v>6</v>
      </c>
      <c r="K665" s="62" t="str">
        <f>VLOOKUP(Ruimtestaat[[#This Row],[Ruimte code]],Ruimtegroepen[[#All],[Code]:[Ruimte omschrijving]],2,FALSE)</f>
        <v>Gangen/hallen</v>
      </c>
      <c r="L665" s="33" t="s">
        <v>102</v>
      </c>
      <c r="M665" s="367" t="s">
        <v>2509</v>
      </c>
      <c r="N665" s="140">
        <v>10</v>
      </c>
      <c r="O665" s="140"/>
      <c r="P665" s="125" t="str">
        <f>VLOOKUP(Ruimtestaat[[#This Row],[Ruimte code]],Ruimtegroepen[],4,FALSE)</f>
        <v>Ve</v>
      </c>
      <c r="R665" s="33">
        <v>40</v>
      </c>
      <c r="S665" s="33" t="s">
        <v>2</v>
      </c>
      <c r="T665" s="33">
        <f>IF(R665&gt;0,IF(RIGHT(Ruimtestaat[[#This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65" s="33">
        <f>IF(T665&gt;0,VLOOKUP($J665,Ruimtegroepen[],3,FALSE)*VLOOKUP($L665,Vloersoorten[],3,FALSE)*VLOOKUP($S665,Frequenties[],3,FALSE)*VLOOKUP($A665,Locaties[],3,FALSE),0)</f>
        <v>0</v>
      </c>
      <c r="V665" s="33">
        <f>Ruimtestaat[[#This Row],[Uitvoeringen werkdagen]]*Ruimtestaat[[#This Row],[Oppervlak (netto)]]</f>
        <v>2000</v>
      </c>
      <c r="W665" s="154">
        <f>IF(U665&gt;0,Ruimtestaat[[#This Row],[Prest. (m2 /jaar) werkdagen]]/Ruimtestaat[[#This Row],[Norm (m2/uur) werkdagen]],0)</f>
        <v>0</v>
      </c>
      <c r="X665" s="155">
        <f>Ruimtestaat[[#This Row],[uren / jaar werkdagen]]*Tariefsopbouw!$E$35</f>
        <v>0</v>
      </c>
      <c r="Y665" s="33"/>
      <c r="Z665" s="33">
        <f>IF(Ruimtestaat[[#This Row],[Frequentie weekend]]&gt;0,VALUE(LEFT(Y665,1))*R665,0)</f>
        <v>0</v>
      </c>
      <c r="AA665" s="97">
        <f>IF($Z665&gt;0,VLOOKUP($J665,Ruimtegroepen[],3,FALSE)*VLOOKUP($L665,Vloersoorten[],3,FALSE)*VLOOKUP($Y665,Frequenties[],3,FALSE)*VLOOKUP(Ruimtestaat[[#This Row],[Code]],Locaties[],3,FALSE),0)</f>
        <v>0</v>
      </c>
      <c r="AB665" s="97">
        <f>Ruimtestaat[[#This Row],[Uitvoeringen weekend]]*Ruimtestaat[[#This Row],[Oppervlak (netto)]]</f>
        <v>0</v>
      </c>
      <c r="AC665" s="97">
        <f>IF(AA665&gt;0,Ruimtestaat[[#This Row],[Prest. (m2 /jaar) weekend]]/Ruimtestaat[[#This Row],[Norm (m2/uur) weekend]],0)</f>
        <v>0</v>
      </c>
      <c r="AD665" s="155">
        <f>Ruimtestaat[[#This Row],[uren / jaar weekend]]*Tariefsopbouw!$D$40</f>
        <v>0</v>
      </c>
      <c r="AE665" s="154">
        <f>Ruimtestaat[[#This Row],[Prest. (m2 /jaar) weekend]]+Ruimtestaat[[#This Row],[Prest. (m2 /jaar) werkdagen]]</f>
        <v>2000</v>
      </c>
      <c r="AF665" s="154">
        <f>Ruimtestaat[[#This Row],[uren / jaar weekend]]+Ruimtestaat[[#This Row],[uren / jaar werkdagen]]</f>
        <v>0</v>
      </c>
      <c r="AG665" s="69">
        <f>Ruimtestaat[[#This Row],[kosten / jaar weekend]]+Ruimtestaat[[#This Row],[kosten / jaar werkdagen]]</f>
        <v>0</v>
      </c>
      <c r="AH665" s="69"/>
      <c r="AI665" s="256" t="str">
        <f>IF(Ruimtestaat[[#This Row],[Frequentie werkdagen]]="","",_xlfn.CONCAT(Ruimtestaat[[#This Row],[Ruimte code]],"-",Ruimtestaat[[#This Row],[Frequentie werkdagen]]," ",Ruimtestaat[[#This Row],[Vloer code]]))</f>
        <v>6-5w S</v>
      </c>
      <c r="AJ665" s="300" t="str">
        <f>_xlfn.IFNA(VLOOKUP($AI665,Programma!$F$3:$G$1107,2,0),"")</f>
        <v>_</v>
      </c>
      <c r="AK665" s="300" t="str">
        <f>_xlfn.IFNA(VLOOKUP($AI665,Programma!$F$3:$H$1107,3,0),"")</f>
        <v>_</v>
      </c>
      <c r="AL665" s="300" t="str">
        <f>_xlfn.IFNA(VLOOKUP($AI665,Programma!$F$3:$I$1107,4,0),"")</f>
        <v>5w</v>
      </c>
      <c r="AM665" s="300" t="str">
        <f>_xlfn.IFNA(VLOOKUP($AI665,Programma!$F$3:$J$1107,5,0),"")</f>
        <v>_</v>
      </c>
      <c r="AN665" s="300" t="str">
        <f>_xlfn.IFNA(VLOOKUP($AI665,Programma!$F$3:$K$1107,6,0),"")</f>
        <v>5w</v>
      </c>
      <c r="AO665" s="300" t="str">
        <f>_xlfn.IFNA(VLOOKUP($AI665,Programma!$F$3:$L$1107,7,0),"")</f>
        <v>_</v>
      </c>
      <c r="AP665" s="300" t="str">
        <f>_xlfn.IFNA(VLOOKUP($AI665,Programma!$F$3:$M$1107,8,0),"")</f>
        <v>_</v>
      </c>
      <c r="AQ665" s="300" t="str">
        <f>_xlfn.IFNA(VLOOKUP($AI665,Programma!$F$3:$N$1107,9,0),"")</f>
        <v>_</v>
      </c>
      <c r="AR665" s="300" t="str">
        <f>_xlfn.IFNA(VLOOKUP($AI665,Programma!$F$3:$O$1107,10,0),"")</f>
        <v>5w</v>
      </c>
      <c r="AS665" s="300" t="str">
        <f>_xlfn.IFNA(VLOOKUP($AI665,Programma!$F$3:$P$1107,11,0),"")</f>
        <v>5w</v>
      </c>
      <c r="AT665" s="300" t="str">
        <f>_xlfn.IFNA(VLOOKUP($AI665,Programma!$F$3:$Q$1107,12,0),"")</f>
        <v>1w</v>
      </c>
      <c r="AU665" s="300" t="str">
        <f>_xlfn.IFNA(VLOOKUP($AI665,Programma!$F$3:$R$1107,13,0),"")</f>
        <v>1w</v>
      </c>
      <c r="AV665" s="300" t="str">
        <f>_xlfn.IFNA(VLOOKUP($AI665,Programma!$F$3:$S$1107,14,0),"")</f>
        <v>1m</v>
      </c>
      <c r="AW665" s="300" t="str">
        <f>_xlfn.IFNA(VLOOKUP($AI665,Programma!$F$3:$T$1107,15,0),"")</f>
        <v>2j</v>
      </c>
      <c r="AX665" s="300" t="str">
        <f>_xlfn.IFNA(VLOOKUP($AI665,Programma!$F$3:$U$1107,16,0),"")</f>
        <v>1j</v>
      </c>
      <c r="AY665" s="300" t="str">
        <f>_xlfn.IFNA(VLOOKUP($AI665,Programma!$F$3:$V$1107,17,0),"")</f>
        <v>_</v>
      </c>
      <c r="AZ665" s="300" t="str">
        <f>_xlfn.IFNA(VLOOKUP($AI665,Programma!$F$3:$W$1107,18,0),"")</f>
        <v>_</v>
      </c>
      <c r="BA665" s="300" t="str">
        <f>_xlfn.IFNA(VLOOKUP($AI665,Programma!$F$3:$X$1107,19,0),"")</f>
        <v>_</v>
      </c>
      <c r="BB665" s="300" t="str">
        <f>_xlfn.IFNA(VLOOKUP($AI665,Programma!$F$3:$Y$1107,20,0),"")</f>
        <v>_</v>
      </c>
      <c r="BC665" s="257"/>
      <c r="BD665" s="256" t="str">
        <f>IF(Ruimtestaat[[#This Row],[Frequentie weekend]]="","",_xlfn.CONCAT(Ruimtestaat[[#This Row],[Ruimte code]],"-",Ruimtestaat[[#This Row],[Frequentie weekend]]," ",Ruimtestaat[[#This Row],[Vloer code]]))</f>
        <v/>
      </c>
      <c r="BE665" s="300" t="str">
        <f>_xlfn.IFNA(VLOOKUP($BD665,Programma!$F$3:$G$1107,2,0),"")</f>
        <v/>
      </c>
      <c r="BF665" s="300" t="str">
        <f>_xlfn.IFNA(VLOOKUP($BD665,Programma!$F$3:$H$1107,3,0),"")</f>
        <v/>
      </c>
      <c r="BG665" s="300" t="str">
        <f>_xlfn.IFNA(VLOOKUP($BD665,Programma!$F$3:$I$1107,4,0),"")</f>
        <v/>
      </c>
      <c r="BH665" s="300" t="str">
        <f>_xlfn.IFNA(VLOOKUP($BD665,Programma!$F$3:$J$1107,5,0),"")</f>
        <v/>
      </c>
      <c r="BI665" s="300" t="str">
        <f>_xlfn.IFNA(VLOOKUP($BD665,Programma!$F$3:$K$1107,6,0),"")</f>
        <v/>
      </c>
      <c r="BJ665" s="300" t="str">
        <f>_xlfn.IFNA(VLOOKUP($BD665,Programma!$F$3:$L$1107,7,0),"")</f>
        <v/>
      </c>
      <c r="BK665" s="300" t="str">
        <f>_xlfn.IFNA(VLOOKUP($BD665,Programma!$F$3:$M$1107,8,0),"")</f>
        <v/>
      </c>
      <c r="BL665" s="300" t="str">
        <f>_xlfn.IFNA(VLOOKUP($BD665,Programma!$F$3:$N$1107,9,0),"")</f>
        <v/>
      </c>
      <c r="BM665" s="300" t="str">
        <f>_xlfn.IFNA(VLOOKUP($BD665,Programma!$F$3:$O$1107,10,0),"")</f>
        <v/>
      </c>
      <c r="BN665" s="300" t="str">
        <f>_xlfn.IFNA(VLOOKUP($BD665,Programma!$F$3:$P$1107,11,0),"")</f>
        <v/>
      </c>
      <c r="BO665" s="300" t="str">
        <f>_xlfn.IFNA(VLOOKUP($BD665,Programma!$F$3:$Q$1107,12,0),"")</f>
        <v/>
      </c>
      <c r="BP665" s="300" t="str">
        <f>_xlfn.IFNA(VLOOKUP($BD665,Programma!$F$3:$R$1107,13,0),"")</f>
        <v/>
      </c>
      <c r="BQ665" s="300" t="str">
        <f>_xlfn.IFNA(VLOOKUP($BD665,Programma!$F$3:$S$1107,14,0),"")</f>
        <v/>
      </c>
      <c r="BR665" s="300" t="str">
        <f>_xlfn.IFNA(VLOOKUP($BD665,Programma!$F$3:$T$1107,15,0),"")</f>
        <v/>
      </c>
      <c r="BS665" s="300" t="str">
        <f>_xlfn.IFNA(VLOOKUP($BD665,Programma!$F$3:$U$1107,16,0),"")</f>
        <v/>
      </c>
      <c r="BT665" s="300" t="str">
        <f>_xlfn.IFNA(VLOOKUP($BD665,Programma!$F$3:$V$1107,17,0),"")</f>
        <v/>
      </c>
      <c r="BU665" s="300" t="str">
        <f>_xlfn.IFNA(VLOOKUP($BD665,Programma!$F$3:$W$1107,18,0),"")</f>
        <v/>
      </c>
      <c r="BV665" s="300" t="str">
        <f>_xlfn.IFNA(VLOOKUP($BD665,Programma!$F$3:$X$1107,19,0),"")</f>
        <v/>
      </c>
      <c r="BW665" s="300" t="str">
        <f>_xlfn.IFNA(VLOOKUP($BD665,Programma!$F$3:$Y$1107,20,0),"")</f>
        <v/>
      </c>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c r="GK665" s="4"/>
      <c r="GL665" s="4"/>
      <c r="GM665" s="4"/>
      <c r="GN665" s="4"/>
      <c r="GO665" s="4"/>
      <c r="GP665" s="4"/>
      <c r="GQ665" s="4"/>
      <c r="GR665" s="4"/>
      <c r="GS665" s="4"/>
      <c r="GT665" s="4"/>
      <c r="GU665" s="4"/>
      <c r="GV665" s="4"/>
      <c r="GW665" s="4"/>
      <c r="GX665" s="4"/>
      <c r="GY665" s="4"/>
      <c r="GZ665" s="4"/>
      <c r="HA665" s="4"/>
      <c r="HB665" s="4"/>
      <c r="HC665" s="4"/>
      <c r="HD665" s="4"/>
      <c r="HE665" s="4"/>
      <c r="HF665" s="4"/>
      <c r="HG665" s="4"/>
      <c r="HH665" s="4"/>
      <c r="HI665" s="4"/>
      <c r="HJ665" s="4"/>
      <c r="HK665" s="4"/>
      <c r="HL665" s="4"/>
    </row>
    <row r="666" spans="1:220" ht="15" customHeight="1">
      <c r="A666" s="21">
        <v>8</v>
      </c>
      <c r="B666" s="157" t="str">
        <f>VLOOKUP(Ruimtestaat[[#This Row],[Code]],Locaties[[Code]:[Locatie]],2,FALSE)</f>
        <v>Dalton College</v>
      </c>
      <c r="C666" s="157" t="str">
        <f>VLOOKUP(Ruimtestaat[[#This Row],[Code]],Locaties[[#All],[Code]:[Adres]],4,FALSE)</f>
        <v>Loolaan 125</v>
      </c>
      <c r="D666" s="157" t="str">
        <f>VLOOKUP(Ruimtestaat[[#This Row],[Code]],Locaties[[#All],[Code]:[Postcode]],5,FALSE)</f>
        <v xml:space="preserve">2271 TM </v>
      </c>
      <c r="E666" s="157" t="str">
        <f>VLOOKUP(Ruimtestaat[[#This Row],[Code]],Locaties[#All],6,FALSE)</f>
        <v>Voorburg</v>
      </c>
      <c r="F666" s="62"/>
      <c r="G666" s="21" t="s">
        <v>1632</v>
      </c>
      <c r="H666" s="21">
        <v>3</v>
      </c>
      <c r="I666" s="62" t="s">
        <v>1640</v>
      </c>
      <c r="J666" s="21">
        <v>5</v>
      </c>
      <c r="K666" s="62" t="str">
        <f>VLOOKUP(Ruimtestaat[[#This Row],[Ruimte code]],Ruimtegroepen[[#All],[Code]:[Ruimte omschrijving]],2,FALSE)</f>
        <v>Sanitair</v>
      </c>
      <c r="L666" s="33" t="s">
        <v>102</v>
      </c>
      <c r="M666" s="367" t="s">
        <v>2496</v>
      </c>
      <c r="N666" s="140">
        <v>26</v>
      </c>
      <c r="O666" s="140"/>
      <c r="P666" s="125" t="str">
        <f>VLOOKUP(Ruimtestaat[[#This Row],[Ruimte code]],Ruimtegroepen[],4,FALSE)</f>
        <v>Sa</v>
      </c>
      <c r="R666" s="33">
        <v>40</v>
      </c>
      <c r="S666" s="33" t="s">
        <v>2</v>
      </c>
      <c r="T666" s="33">
        <f>IF(R666&gt;0,IF(RIGHT(Ruimtestaat[[#This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66" s="33">
        <f>IF(T666&gt;0,VLOOKUP($J666,Ruimtegroepen[],3,FALSE)*VLOOKUP($L666,Vloersoorten[],3,FALSE)*VLOOKUP($S666,Frequenties[],3,FALSE)*VLOOKUP($A666,Locaties[],3,FALSE),0)</f>
        <v>0</v>
      </c>
      <c r="V666" s="33">
        <f>Ruimtestaat[[#This Row],[Uitvoeringen werkdagen]]*Ruimtestaat[[#This Row],[Oppervlak (netto)]]</f>
        <v>5200</v>
      </c>
      <c r="W666" s="154">
        <f>IF(U666&gt;0,Ruimtestaat[[#This Row],[Prest. (m2 /jaar) werkdagen]]/Ruimtestaat[[#This Row],[Norm (m2/uur) werkdagen]],0)</f>
        <v>0</v>
      </c>
      <c r="X666" s="155">
        <f>Ruimtestaat[[#This Row],[uren / jaar werkdagen]]*Tariefsopbouw!$E$35</f>
        <v>0</v>
      </c>
      <c r="Y666" s="33"/>
      <c r="Z666" s="33">
        <f>IF(Ruimtestaat[[#This Row],[Frequentie weekend]]&gt;0,VALUE(LEFT(Y666,1))*R666,0)</f>
        <v>0</v>
      </c>
      <c r="AA666" s="97">
        <f>IF($Z666&gt;0,VLOOKUP($J666,Ruimtegroepen[],3,FALSE)*VLOOKUP($L666,Vloersoorten[],3,FALSE)*VLOOKUP($Y666,Frequenties[],3,FALSE)*VLOOKUP(Ruimtestaat[[#This Row],[Code]],Locaties[],3,FALSE),0)</f>
        <v>0</v>
      </c>
      <c r="AB666" s="97">
        <f>Ruimtestaat[[#This Row],[Uitvoeringen weekend]]*Ruimtestaat[[#This Row],[Oppervlak (netto)]]</f>
        <v>0</v>
      </c>
      <c r="AC666" s="97">
        <f>IF(AA666&gt;0,Ruimtestaat[[#This Row],[Prest. (m2 /jaar) weekend]]/Ruimtestaat[[#This Row],[Norm (m2/uur) weekend]],0)</f>
        <v>0</v>
      </c>
      <c r="AD666" s="155">
        <f>Ruimtestaat[[#This Row],[uren / jaar weekend]]*Tariefsopbouw!$D$40</f>
        <v>0</v>
      </c>
      <c r="AE666" s="154">
        <f>Ruimtestaat[[#This Row],[Prest. (m2 /jaar) weekend]]+Ruimtestaat[[#This Row],[Prest. (m2 /jaar) werkdagen]]</f>
        <v>5200</v>
      </c>
      <c r="AF666" s="154">
        <f>Ruimtestaat[[#This Row],[uren / jaar weekend]]+Ruimtestaat[[#This Row],[uren / jaar werkdagen]]</f>
        <v>0</v>
      </c>
      <c r="AG666" s="69">
        <f>Ruimtestaat[[#This Row],[kosten / jaar weekend]]+Ruimtestaat[[#This Row],[kosten / jaar werkdagen]]</f>
        <v>0</v>
      </c>
      <c r="AH666" s="69"/>
      <c r="AI666" s="256" t="str">
        <f>IF(Ruimtestaat[[#This Row],[Frequentie werkdagen]]="","",_xlfn.CONCAT(Ruimtestaat[[#This Row],[Ruimte code]],"-",Ruimtestaat[[#This Row],[Frequentie werkdagen]]," ",Ruimtestaat[[#This Row],[Vloer code]]))</f>
        <v>5-5w S</v>
      </c>
      <c r="AJ666" s="300" t="str">
        <f>_xlfn.IFNA(VLOOKUP($AI666,Programma!$F$3:$G$1107,2,0),"")</f>
        <v>_</v>
      </c>
      <c r="AK666" s="300" t="str">
        <f>_xlfn.IFNA(VLOOKUP($AI666,Programma!$F$3:$H$1107,3,0),"")</f>
        <v>_</v>
      </c>
      <c r="AL666" s="300" t="str">
        <f>_xlfn.IFNA(VLOOKUP($AI666,Programma!$F$3:$I$1107,4,0),"")</f>
        <v>_</v>
      </c>
      <c r="AM666" s="300" t="str">
        <f>_xlfn.IFNA(VLOOKUP($AI666,Programma!$F$3:$J$1107,5,0),"")</f>
        <v>4w</v>
      </c>
      <c r="AN666" s="300" t="str">
        <f>_xlfn.IFNA(VLOOKUP($AI666,Programma!$F$3:$K$1107,6,0),"")</f>
        <v>1w</v>
      </c>
      <c r="AO666" s="300" t="str">
        <f>_xlfn.IFNA(VLOOKUP($AI666,Programma!$F$3:$L$1107,7,0),"")</f>
        <v>_</v>
      </c>
      <c r="AP666" s="300" t="str">
        <f>_xlfn.IFNA(VLOOKUP($AI666,Programma!$F$3:$M$1107,8,0),"")</f>
        <v>_</v>
      </c>
      <c r="AQ666" s="300" t="str">
        <f>_xlfn.IFNA(VLOOKUP($AI666,Programma!$F$3:$N$1107,9,0),"")</f>
        <v>_</v>
      </c>
      <c r="AR666" s="300" t="str">
        <f>_xlfn.IFNA(VLOOKUP($AI666,Programma!$F$3:$O$1107,10,0),"")</f>
        <v>_</v>
      </c>
      <c r="AS666" s="300" t="str">
        <f>_xlfn.IFNA(VLOOKUP($AI666,Programma!$F$3:$P$1107,11,0),"")</f>
        <v>_</v>
      </c>
      <c r="AT666" s="300" t="str">
        <f>_xlfn.IFNA(VLOOKUP($AI666,Programma!$F$3:$Q$1107,12,0),"")</f>
        <v>_</v>
      </c>
      <c r="AU666" s="300" t="str">
        <f>_xlfn.IFNA(VLOOKUP($AI666,Programma!$F$3:$R$1107,13,0),"")</f>
        <v>_</v>
      </c>
      <c r="AV666" s="300" t="str">
        <f>_xlfn.IFNA(VLOOKUP($AI666,Programma!$F$3:$S$1107,14,0),"")</f>
        <v>_</v>
      </c>
      <c r="AW666" s="300" t="str">
        <f>_xlfn.IFNA(VLOOKUP($AI666,Programma!$F$3:$T$1107,15,0),"")</f>
        <v>_</v>
      </c>
      <c r="AX666" s="300" t="str">
        <f>_xlfn.IFNA(VLOOKUP($AI666,Programma!$F$3:$U$1107,16,0),"")</f>
        <v>_</v>
      </c>
      <c r="AY666" s="300" t="str">
        <f>_xlfn.IFNA(VLOOKUP($AI666,Programma!$F$3:$V$1107,17,0),"")</f>
        <v>_</v>
      </c>
      <c r="AZ666" s="300" t="str">
        <f>_xlfn.IFNA(VLOOKUP($AI666,Programma!$F$3:$W$1107,18,0),"")</f>
        <v>4w</v>
      </c>
      <c r="BA666" s="300" t="str">
        <f>_xlfn.IFNA(VLOOKUP($AI666,Programma!$F$3:$X$1107,19,0),"")</f>
        <v>1w</v>
      </c>
      <c r="BB666" s="300" t="str">
        <f>_xlfn.IFNA(VLOOKUP($AI666,Programma!$F$3:$Y$1107,20,0),"")</f>
        <v>_</v>
      </c>
      <c r="BC666" s="257"/>
      <c r="BD666" s="256" t="str">
        <f>IF(Ruimtestaat[[#This Row],[Frequentie weekend]]="","",_xlfn.CONCAT(Ruimtestaat[[#This Row],[Ruimte code]],"-",Ruimtestaat[[#This Row],[Frequentie weekend]]," ",Ruimtestaat[[#This Row],[Vloer code]]))</f>
        <v/>
      </c>
      <c r="BE666" s="300" t="str">
        <f>_xlfn.IFNA(VLOOKUP($BD666,Programma!$F$3:$G$1107,2,0),"")</f>
        <v/>
      </c>
      <c r="BF666" s="300" t="str">
        <f>_xlfn.IFNA(VLOOKUP($BD666,Programma!$F$3:$H$1107,3,0),"")</f>
        <v/>
      </c>
      <c r="BG666" s="300" t="str">
        <f>_xlfn.IFNA(VLOOKUP($BD666,Programma!$F$3:$I$1107,4,0),"")</f>
        <v/>
      </c>
      <c r="BH666" s="300" t="str">
        <f>_xlfn.IFNA(VLOOKUP($BD666,Programma!$F$3:$J$1107,5,0),"")</f>
        <v/>
      </c>
      <c r="BI666" s="300" t="str">
        <f>_xlfn.IFNA(VLOOKUP($BD666,Programma!$F$3:$K$1107,6,0),"")</f>
        <v/>
      </c>
      <c r="BJ666" s="300" t="str">
        <f>_xlfn.IFNA(VLOOKUP($BD666,Programma!$F$3:$L$1107,7,0),"")</f>
        <v/>
      </c>
      <c r="BK666" s="300" t="str">
        <f>_xlfn.IFNA(VLOOKUP($BD666,Programma!$F$3:$M$1107,8,0),"")</f>
        <v/>
      </c>
      <c r="BL666" s="300" t="str">
        <f>_xlfn.IFNA(VLOOKUP($BD666,Programma!$F$3:$N$1107,9,0),"")</f>
        <v/>
      </c>
      <c r="BM666" s="300" t="str">
        <f>_xlfn.IFNA(VLOOKUP($BD666,Programma!$F$3:$O$1107,10,0),"")</f>
        <v/>
      </c>
      <c r="BN666" s="300" t="str">
        <f>_xlfn.IFNA(VLOOKUP($BD666,Programma!$F$3:$P$1107,11,0),"")</f>
        <v/>
      </c>
      <c r="BO666" s="300" t="str">
        <f>_xlfn.IFNA(VLOOKUP($BD666,Programma!$F$3:$Q$1107,12,0),"")</f>
        <v/>
      </c>
      <c r="BP666" s="300" t="str">
        <f>_xlfn.IFNA(VLOOKUP($BD666,Programma!$F$3:$R$1107,13,0),"")</f>
        <v/>
      </c>
      <c r="BQ666" s="300" t="str">
        <f>_xlfn.IFNA(VLOOKUP($BD666,Programma!$F$3:$S$1107,14,0),"")</f>
        <v/>
      </c>
      <c r="BR666" s="300" t="str">
        <f>_xlfn.IFNA(VLOOKUP($BD666,Programma!$F$3:$T$1107,15,0),"")</f>
        <v/>
      </c>
      <c r="BS666" s="300" t="str">
        <f>_xlfn.IFNA(VLOOKUP($BD666,Programma!$F$3:$U$1107,16,0),"")</f>
        <v/>
      </c>
      <c r="BT666" s="300" t="str">
        <f>_xlfn.IFNA(VLOOKUP($BD666,Programma!$F$3:$V$1107,17,0),"")</f>
        <v/>
      </c>
      <c r="BU666" s="300" t="str">
        <f>_xlfn.IFNA(VLOOKUP($BD666,Programma!$F$3:$W$1107,18,0),"")</f>
        <v/>
      </c>
      <c r="BV666" s="300" t="str">
        <f>_xlfn.IFNA(VLOOKUP($BD666,Programma!$F$3:$X$1107,19,0),"")</f>
        <v/>
      </c>
      <c r="BW666" s="300" t="str">
        <f>_xlfn.IFNA(VLOOKUP($BD666,Programma!$F$3:$Y$1107,20,0),"")</f>
        <v/>
      </c>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c r="GK666" s="4"/>
      <c r="GL666" s="4"/>
      <c r="GM666" s="4"/>
      <c r="GN666" s="4"/>
      <c r="GO666" s="4"/>
      <c r="GP666" s="4"/>
      <c r="GQ666" s="4"/>
      <c r="GR666" s="4"/>
      <c r="GS666" s="4"/>
      <c r="GT666" s="4"/>
      <c r="GU666" s="4"/>
      <c r="GV666" s="4"/>
      <c r="GW666" s="4"/>
      <c r="GX666" s="4"/>
      <c r="GY666" s="4"/>
      <c r="GZ666" s="4"/>
      <c r="HA666" s="4"/>
      <c r="HB666" s="4"/>
      <c r="HC666" s="4"/>
      <c r="HD666" s="4"/>
      <c r="HE666" s="4"/>
      <c r="HF666" s="4"/>
      <c r="HG666" s="4"/>
      <c r="HH666" s="4"/>
      <c r="HI666" s="4"/>
      <c r="HJ666" s="4"/>
      <c r="HK666" s="4"/>
      <c r="HL666" s="4"/>
    </row>
    <row r="667" spans="1:220" ht="15" customHeight="1">
      <c r="A667" s="21">
        <v>8</v>
      </c>
      <c r="B667" s="157" t="str">
        <f>VLOOKUP(Ruimtestaat[[#This Row],[Code]],Locaties[[Code]:[Locatie]],2,FALSE)</f>
        <v>Dalton College</v>
      </c>
      <c r="C667" s="157" t="str">
        <f>VLOOKUP(Ruimtestaat[[#This Row],[Code]],Locaties[[#All],[Code]:[Adres]],4,FALSE)</f>
        <v>Loolaan 125</v>
      </c>
      <c r="D667" s="157" t="str">
        <f>VLOOKUP(Ruimtestaat[[#This Row],[Code]],Locaties[[#All],[Code]:[Postcode]],5,FALSE)</f>
        <v xml:space="preserve">2271 TM </v>
      </c>
      <c r="E667" s="157" t="str">
        <f>VLOOKUP(Ruimtestaat[[#This Row],[Code]],Locaties[#All],6,FALSE)</f>
        <v>Voorburg</v>
      </c>
      <c r="F667" s="62"/>
      <c r="G667" s="21" t="s">
        <v>1632</v>
      </c>
      <c r="H667" s="21">
        <v>4</v>
      </c>
      <c r="I667" s="62" t="s">
        <v>1639</v>
      </c>
      <c r="J667" s="21">
        <v>5</v>
      </c>
      <c r="K667" s="62" t="str">
        <f>VLOOKUP(Ruimtestaat[[#This Row],[Ruimte code]],Ruimtegroepen[[#All],[Code]:[Ruimte omschrijving]],2,FALSE)</f>
        <v>Sanitair</v>
      </c>
      <c r="L667" s="33" t="s">
        <v>102</v>
      </c>
      <c r="M667" s="367" t="s">
        <v>2496</v>
      </c>
      <c r="N667" s="140">
        <v>22</v>
      </c>
      <c r="O667" s="140"/>
      <c r="P667" s="125" t="str">
        <f>VLOOKUP(Ruimtestaat[[#This Row],[Ruimte code]],Ruimtegroepen[],4,FALSE)</f>
        <v>Sa</v>
      </c>
      <c r="R667" s="33">
        <v>40</v>
      </c>
      <c r="S667" s="33" t="s">
        <v>2</v>
      </c>
      <c r="T667" s="33">
        <f>IF(R667&gt;0,IF(RIGHT(Ruimtestaat[[#This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67" s="33">
        <f>IF(T667&gt;0,VLOOKUP($J667,Ruimtegroepen[],3,FALSE)*VLOOKUP($L667,Vloersoorten[],3,FALSE)*VLOOKUP($S667,Frequenties[],3,FALSE)*VLOOKUP($A667,Locaties[],3,FALSE),0)</f>
        <v>0</v>
      </c>
      <c r="V667" s="33">
        <f>Ruimtestaat[[#This Row],[Uitvoeringen werkdagen]]*Ruimtestaat[[#This Row],[Oppervlak (netto)]]</f>
        <v>4400</v>
      </c>
      <c r="W667" s="154">
        <f>IF(U667&gt;0,Ruimtestaat[[#This Row],[Prest. (m2 /jaar) werkdagen]]/Ruimtestaat[[#This Row],[Norm (m2/uur) werkdagen]],0)</f>
        <v>0</v>
      </c>
      <c r="X667" s="155">
        <f>Ruimtestaat[[#This Row],[uren / jaar werkdagen]]*Tariefsopbouw!$E$35</f>
        <v>0</v>
      </c>
      <c r="Y667" s="33"/>
      <c r="Z667" s="33">
        <f>IF(Ruimtestaat[[#This Row],[Frequentie weekend]]&gt;0,VALUE(LEFT(Y667,1))*R667,0)</f>
        <v>0</v>
      </c>
      <c r="AA667" s="97">
        <f>IF($Z667&gt;0,VLOOKUP($J667,Ruimtegroepen[],3,FALSE)*VLOOKUP($L667,Vloersoorten[],3,FALSE)*VLOOKUP($Y667,Frequenties[],3,FALSE)*VLOOKUP(Ruimtestaat[[#This Row],[Code]],Locaties[],3,FALSE),0)</f>
        <v>0</v>
      </c>
      <c r="AB667" s="97">
        <f>Ruimtestaat[[#This Row],[Uitvoeringen weekend]]*Ruimtestaat[[#This Row],[Oppervlak (netto)]]</f>
        <v>0</v>
      </c>
      <c r="AC667" s="97">
        <f>IF(AA667&gt;0,Ruimtestaat[[#This Row],[Prest. (m2 /jaar) weekend]]/Ruimtestaat[[#This Row],[Norm (m2/uur) weekend]],0)</f>
        <v>0</v>
      </c>
      <c r="AD667" s="155">
        <f>Ruimtestaat[[#This Row],[uren / jaar weekend]]*Tariefsopbouw!$D$40</f>
        <v>0</v>
      </c>
      <c r="AE667" s="154">
        <f>Ruimtestaat[[#This Row],[Prest. (m2 /jaar) weekend]]+Ruimtestaat[[#This Row],[Prest. (m2 /jaar) werkdagen]]</f>
        <v>4400</v>
      </c>
      <c r="AF667" s="154">
        <f>Ruimtestaat[[#This Row],[uren / jaar weekend]]+Ruimtestaat[[#This Row],[uren / jaar werkdagen]]</f>
        <v>0</v>
      </c>
      <c r="AG667" s="69">
        <f>Ruimtestaat[[#This Row],[kosten / jaar weekend]]+Ruimtestaat[[#This Row],[kosten / jaar werkdagen]]</f>
        <v>0</v>
      </c>
      <c r="AH667" s="69"/>
      <c r="AI667" s="256" t="str">
        <f>IF(Ruimtestaat[[#This Row],[Frequentie werkdagen]]="","",_xlfn.CONCAT(Ruimtestaat[[#This Row],[Ruimte code]],"-",Ruimtestaat[[#This Row],[Frequentie werkdagen]]," ",Ruimtestaat[[#This Row],[Vloer code]]))</f>
        <v>5-5w S</v>
      </c>
      <c r="AJ667" s="300" t="str">
        <f>_xlfn.IFNA(VLOOKUP($AI667,Programma!$F$3:$G$1107,2,0),"")</f>
        <v>_</v>
      </c>
      <c r="AK667" s="300" t="str">
        <f>_xlfn.IFNA(VLOOKUP($AI667,Programma!$F$3:$H$1107,3,0),"")</f>
        <v>_</v>
      </c>
      <c r="AL667" s="300" t="str">
        <f>_xlfn.IFNA(VLOOKUP($AI667,Programma!$F$3:$I$1107,4,0),"")</f>
        <v>_</v>
      </c>
      <c r="AM667" s="300" t="str">
        <f>_xlfn.IFNA(VLOOKUP($AI667,Programma!$F$3:$J$1107,5,0),"")</f>
        <v>4w</v>
      </c>
      <c r="AN667" s="300" t="str">
        <f>_xlfn.IFNA(VLOOKUP($AI667,Programma!$F$3:$K$1107,6,0),"")</f>
        <v>1w</v>
      </c>
      <c r="AO667" s="300" t="str">
        <f>_xlfn.IFNA(VLOOKUP($AI667,Programma!$F$3:$L$1107,7,0),"")</f>
        <v>_</v>
      </c>
      <c r="AP667" s="300" t="str">
        <f>_xlfn.IFNA(VLOOKUP($AI667,Programma!$F$3:$M$1107,8,0),"")</f>
        <v>_</v>
      </c>
      <c r="AQ667" s="300" t="str">
        <f>_xlfn.IFNA(VLOOKUP($AI667,Programma!$F$3:$N$1107,9,0),"")</f>
        <v>_</v>
      </c>
      <c r="AR667" s="300" t="str">
        <f>_xlfn.IFNA(VLOOKUP($AI667,Programma!$F$3:$O$1107,10,0),"")</f>
        <v>_</v>
      </c>
      <c r="AS667" s="300" t="str">
        <f>_xlfn.IFNA(VLOOKUP($AI667,Programma!$F$3:$P$1107,11,0),"")</f>
        <v>_</v>
      </c>
      <c r="AT667" s="300" t="str">
        <f>_xlfn.IFNA(VLOOKUP($AI667,Programma!$F$3:$Q$1107,12,0),"")</f>
        <v>_</v>
      </c>
      <c r="AU667" s="300" t="str">
        <f>_xlfn.IFNA(VLOOKUP($AI667,Programma!$F$3:$R$1107,13,0),"")</f>
        <v>_</v>
      </c>
      <c r="AV667" s="300" t="str">
        <f>_xlfn.IFNA(VLOOKUP($AI667,Programma!$F$3:$S$1107,14,0),"")</f>
        <v>_</v>
      </c>
      <c r="AW667" s="300" t="str">
        <f>_xlfn.IFNA(VLOOKUP($AI667,Programma!$F$3:$T$1107,15,0),"")</f>
        <v>_</v>
      </c>
      <c r="AX667" s="300" t="str">
        <f>_xlfn.IFNA(VLOOKUP($AI667,Programma!$F$3:$U$1107,16,0),"")</f>
        <v>_</v>
      </c>
      <c r="AY667" s="300" t="str">
        <f>_xlfn.IFNA(VLOOKUP($AI667,Programma!$F$3:$V$1107,17,0),"")</f>
        <v>_</v>
      </c>
      <c r="AZ667" s="300" t="str">
        <f>_xlfn.IFNA(VLOOKUP($AI667,Programma!$F$3:$W$1107,18,0),"")</f>
        <v>4w</v>
      </c>
      <c r="BA667" s="300" t="str">
        <f>_xlfn.IFNA(VLOOKUP($AI667,Programma!$F$3:$X$1107,19,0),"")</f>
        <v>1w</v>
      </c>
      <c r="BB667" s="300" t="str">
        <f>_xlfn.IFNA(VLOOKUP($AI667,Programma!$F$3:$Y$1107,20,0),"")</f>
        <v>_</v>
      </c>
      <c r="BC667" s="257"/>
      <c r="BD667" s="256" t="str">
        <f>IF(Ruimtestaat[[#This Row],[Frequentie weekend]]="","",_xlfn.CONCAT(Ruimtestaat[[#This Row],[Ruimte code]],"-",Ruimtestaat[[#This Row],[Frequentie weekend]]," ",Ruimtestaat[[#This Row],[Vloer code]]))</f>
        <v/>
      </c>
      <c r="BE667" s="300" t="str">
        <f>_xlfn.IFNA(VLOOKUP($BD667,Programma!$F$3:$G$1107,2,0),"")</f>
        <v/>
      </c>
      <c r="BF667" s="300" t="str">
        <f>_xlfn.IFNA(VLOOKUP($BD667,Programma!$F$3:$H$1107,3,0),"")</f>
        <v/>
      </c>
      <c r="BG667" s="300" t="str">
        <f>_xlfn.IFNA(VLOOKUP($BD667,Programma!$F$3:$I$1107,4,0),"")</f>
        <v/>
      </c>
      <c r="BH667" s="300" t="str">
        <f>_xlfn.IFNA(VLOOKUP($BD667,Programma!$F$3:$J$1107,5,0),"")</f>
        <v/>
      </c>
      <c r="BI667" s="300" t="str">
        <f>_xlfn.IFNA(VLOOKUP($BD667,Programma!$F$3:$K$1107,6,0),"")</f>
        <v/>
      </c>
      <c r="BJ667" s="300" t="str">
        <f>_xlfn.IFNA(VLOOKUP($BD667,Programma!$F$3:$L$1107,7,0),"")</f>
        <v/>
      </c>
      <c r="BK667" s="300" t="str">
        <f>_xlfn.IFNA(VLOOKUP($BD667,Programma!$F$3:$M$1107,8,0),"")</f>
        <v/>
      </c>
      <c r="BL667" s="300" t="str">
        <f>_xlfn.IFNA(VLOOKUP($BD667,Programma!$F$3:$N$1107,9,0),"")</f>
        <v/>
      </c>
      <c r="BM667" s="300" t="str">
        <f>_xlfn.IFNA(VLOOKUP($BD667,Programma!$F$3:$O$1107,10,0),"")</f>
        <v/>
      </c>
      <c r="BN667" s="300" t="str">
        <f>_xlfn.IFNA(VLOOKUP($BD667,Programma!$F$3:$P$1107,11,0),"")</f>
        <v/>
      </c>
      <c r="BO667" s="300" t="str">
        <f>_xlfn.IFNA(VLOOKUP($BD667,Programma!$F$3:$Q$1107,12,0),"")</f>
        <v/>
      </c>
      <c r="BP667" s="300" t="str">
        <f>_xlfn.IFNA(VLOOKUP($BD667,Programma!$F$3:$R$1107,13,0),"")</f>
        <v/>
      </c>
      <c r="BQ667" s="300" t="str">
        <f>_xlfn.IFNA(VLOOKUP($BD667,Programma!$F$3:$S$1107,14,0),"")</f>
        <v/>
      </c>
      <c r="BR667" s="300" t="str">
        <f>_xlfn.IFNA(VLOOKUP($BD667,Programma!$F$3:$T$1107,15,0),"")</f>
        <v/>
      </c>
      <c r="BS667" s="300" t="str">
        <f>_xlfn.IFNA(VLOOKUP($BD667,Programma!$F$3:$U$1107,16,0),"")</f>
        <v/>
      </c>
      <c r="BT667" s="300" t="str">
        <f>_xlfn.IFNA(VLOOKUP($BD667,Programma!$F$3:$V$1107,17,0),"")</f>
        <v/>
      </c>
      <c r="BU667" s="300" t="str">
        <f>_xlfn.IFNA(VLOOKUP($BD667,Programma!$F$3:$W$1107,18,0),"")</f>
        <v/>
      </c>
      <c r="BV667" s="300" t="str">
        <f>_xlfn.IFNA(VLOOKUP($BD667,Programma!$F$3:$X$1107,19,0),"")</f>
        <v/>
      </c>
      <c r="BW667" s="300" t="str">
        <f>_xlfn.IFNA(VLOOKUP($BD667,Programma!$F$3:$Y$1107,20,0),"")</f>
        <v/>
      </c>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c r="GK667" s="4"/>
      <c r="GL667" s="4"/>
      <c r="GM667" s="4"/>
      <c r="GN667" s="4"/>
      <c r="GO667" s="4"/>
      <c r="GP667" s="4"/>
      <c r="GQ667" s="4"/>
      <c r="GR667" s="4"/>
      <c r="GS667" s="4"/>
      <c r="GT667" s="4"/>
      <c r="GU667" s="4"/>
      <c r="GV667" s="4"/>
      <c r="GW667" s="4"/>
      <c r="GX667" s="4"/>
      <c r="GY667" s="4"/>
      <c r="GZ667" s="4"/>
      <c r="HA667" s="4"/>
      <c r="HB667" s="4"/>
      <c r="HC667" s="4"/>
      <c r="HD667" s="4"/>
      <c r="HE667" s="4"/>
      <c r="HF667" s="4"/>
      <c r="HG667" s="4"/>
      <c r="HH667" s="4"/>
      <c r="HI667" s="4"/>
      <c r="HJ667" s="4"/>
      <c r="HK667" s="4"/>
      <c r="HL667" s="4"/>
    </row>
    <row r="668" spans="1:220" ht="15" customHeight="1">
      <c r="A668" s="21">
        <v>8</v>
      </c>
      <c r="B668" s="157" t="str">
        <f>VLOOKUP(Ruimtestaat[[#This Row],[Code]],Locaties[[Code]:[Locatie]],2,FALSE)</f>
        <v>Dalton College</v>
      </c>
      <c r="C668" s="157" t="str">
        <f>VLOOKUP(Ruimtestaat[[#This Row],[Code]],Locaties[[#All],[Code]:[Adres]],4,FALSE)</f>
        <v>Loolaan 125</v>
      </c>
      <c r="D668" s="157" t="str">
        <f>VLOOKUP(Ruimtestaat[[#This Row],[Code]],Locaties[[#All],[Code]:[Postcode]],5,FALSE)</f>
        <v xml:space="preserve">2271 TM </v>
      </c>
      <c r="E668" s="157" t="str">
        <f>VLOOKUP(Ruimtestaat[[#This Row],[Code]],Locaties[#All],6,FALSE)</f>
        <v>Voorburg</v>
      </c>
      <c r="F668" s="62"/>
      <c r="G668" s="21" t="s">
        <v>1632</v>
      </c>
      <c r="H668" s="21">
        <v>5</v>
      </c>
      <c r="I668" s="62" t="s">
        <v>1763</v>
      </c>
      <c r="J668" s="21">
        <v>20</v>
      </c>
      <c r="K668" s="62" t="str">
        <f>VLOOKUP(Ruimtestaat[[#This Row],[Ruimte code]],Ruimtegroepen[[#All],[Code]:[Ruimte omschrijving]],2,FALSE)</f>
        <v>Niet in Onderhoud</v>
      </c>
      <c r="L668" s="33" t="s">
        <v>102</v>
      </c>
      <c r="M668" s="367" t="s">
        <v>2509</v>
      </c>
      <c r="N668" s="140"/>
      <c r="O668" s="140"/>
      <c r="P668" s="125">
        <f>VLOOKUP(Ruimtestaat[[#This Row],[Ruimte code]],Ruimtegroepen[],4,FALSE)</f>
        <v>0</v>
      </c>
      <c r="Q668" s="125" t="s">
        <v>2532</v>
      </c>
      <c r="R668" s="33"/>
      <c r="S668" s="33"/>
      <c r="T668" s="33">
        <f>IF(R668&gt;0,IF(RIGHT(Ruimtestaat[[#This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68" s="33">
        <f>IF(T668&gt;0,VLOOKUP($J668,Ruimtegroepen[],3,FALSE)*VLOOKUP($L668,Vloersoorten[],3,FALSE)*VLOOKUP($S668,Frequenties[],3,FALSE)*VLOOKUP($A668,Locaties[],3,FALSE),0)</f>
        <v>0</v>
      </c>
      <c r="V668" s="33">
        <f>Ruimtestaat[[#This Row],[Uitvoeringen werkdagen]]*Ruimtestaat[[#This Row],[Oppervlak (netto)]]</f>
        <v>0</v>
      </c>
      <c r="W668" s="154">
        <f>IF(U668&gt;0,Ruimtestaat[[#This Row],[Prest. (m2 /jaar) werkdagen]]/Ruimtestaat[[#This Row],[Norm (m2/uur) werkdagen]],0)</f>
        <v>0</v>
      </c>
      <c r="X668" s="155">
        <f>Ruimtestaat[[#This Row],[uren / jaar werkdagen]]*Tariefsopbouw!$E$35</f>
        <v>0</v>
      </c>
      <c r="Y668" s="33"/>
      <c r="Z668" s="33">
        <f>IF(Ruimtestaat[[#This Row],[Frequentie weekend]]&gt;0,VALUE(LEFT(Y668,1))*R668,0)</f>
        <v>0</v>
      </c>
      <c r="AA668" s="97">
        <f>IF($Z668&gt;0,VLOOKUP($J668,Ruimtegroepen[],3,FALSE)*VLOOKUP($L668,Vloersoorten[],3,FALSE)*VLOOKUP($Y668,Frequenties[],3,FALSE)*VLOOKUP(Ruimtestaat[[#This Row],[Code]],Locaties[],3,FALSE),0)</f>
        <v>0</v>
      </c>
      <c r="AB668" s="97">
        <f>Ruimtestaat[[#This Row],[Uitvoeringen weekend]]*Ruimtestaat[[#This Row],[Oppervlak (netto)]]</f>
        <v>0</v>
      </c>
      <c r="AC668" s="97">
        <f>IF(AA668&gt;0,Ruimtestaat[[#This Row],[Prest. (m2 /jaar) weekend]]/Ruimtestaat[[#This Row],[Norm (m2/uur) weekend]],0)</f>
        <v>0</v>
      </c>
      <c r="AD668" s="155">
        <f>Ruimtestaat[[#This Row],[uren / jaar weekend]]*Tariefsopbouw!$D$40</f>
        <v>0</v>
      </c>
      <c r="AE668" s="154">
        <f>Ruimtestaat[[#This Row],[Prest. (m2 /jaar) weekend]]+Ruimtestaat[[#This Row],[Prest. (m2 /jaar) werkdagen]]</f>
        <v>0</v>
      </c>
      <c r="AF668" s="154">
        <f>Ruimtestaat[[#This Row],[uren / jaar weekend]]+Ruimtestaat[[#This Row],[uren / jaar werkdagen]]</f>
        <v>0</v>
      </c>
      <c r="AG668" s="69">
        <f>Ruimtestaat[[#This Row],[kosten / jaar weekend]]+Ruimtestaat[[#This Row],[kosten / jaar werkdagen]]</f>
        <v>0</v>
      </c>
      <c r="AH668" s="69"/>
      <c r="AI668" s="256" t="str">
        <f>IF(Ruimtestaat[[#This Row],[Frequentie werkdagen]]="","",_xlfn.CONCAT(Ruimtestaat[[#This Row],[Ruimte code]],"-",Ruimtestaat[[#This Row],[Frequentie werkdagen]]," ",Ruimtestaat[[#This Row],[Vloer code]]))</f>
        <v/>
      </c>
      <c r="AJ668" s="300" t="str">
        <f>_xlfn.IFNA(VLOOKUP($AI668,Programma!$F$3:$G$1107,2,0),"")</f>
        <v/>
      </c>
      <c r="AK668" s="300" t="str">
        <f>_xlfn.IFNA(VLOOKUP($AI668,Programma!$F$3:$H$1107,3,0),"")</f>
        <v/>
      </c>
      <c r="AL668" s="300" t="str">
        <f>_xlfn.IFNA(VLOOKUP($AI668,Programma!$F$3:$I$1107,4,0),"")</f>
        <v/>
      </c>
      <c r="AM668" s="300" t="str">
        <f>_xlfn.IFNA(VLOOKUP($AI668,Programma!$F$3:$J$1107,5,0),"")</f>
        <v/>
      </c>
      <c r="AN668" s="300" t="str">
        <f>_xlfn.IFNA(VLOOKUP($AI668,Programma!$F$3:$K$1107,6,0),"")</f>
        <v/>
      </c>
      <c r="AO668" s="300" t="str">
        <f>_xlfn.IFNA(VLOOKUP($AI668,Programma!$F$3:$L$1107,7,0),"")</f>
        <v/>
      </c>
      <c r="AP668" s="300" t="str">
        <f>_xlfn.IFNA(VLOOKUP($AI668,Programma!$F$3:$M$1107,8,0),"")</f>
        <v/>
      </c>
      <c r="AQ668" s="300" t="str">
        <f>_xlfn.IFNA(VLOOKUP($AI668,Programma!$F$3:$N$1107,9,0),"")</f>
        <v/>
      </c>
      <c r="AR668" s="300" t="str">
        <f>_xlfn.IFNA(VLOOKUP($AI668,Programma!$F$3:$O$1107,10,0),"")</f>
        <v/>
      </c>
      <c r="AS668" s="300" t="str">
        <f>_xlfn.IFNA(VLOOKUP($AI668,Programma!$F$3:$P$1107,11,0),"")</f>
        <v/>
      </c>
      <c r="AT668" s="300" t="str">
        <f>_xlfn.IFNA(VLOOKUP($AI668,Programma!$F$3:$Q$1107,12,0),"")</f>
        <v/>
      </c>
      <c r="AU668" s="300" t="str">
        <f>_xlfn.IFNA(VLOOKUP($AI668,Programma!$F$3:$R$1107,13,0),"")</f>
        <v/>
      </c>
      <c r="AV668" s="300" t="str">
        <f>_xlfn.IFNA(VLOOKUP($AI668,Programma!$F$3:$S$1107,14,0),"")</f>
        <v/>
      </c>
      <c r="AW668" s="300" t="str">
        <f>_xlfn.IFNA(VLOOKUP($AI668,Programma!$F$3:$T$1107,15,0),"")</f>
        <v/>
      </c>
      <c r="AX668" s="300" t="str">
        <f>_xlfn.IFNA(VLOOKUP($AI668,Programma!$F$3:$U$1107,16,0),"")</f>
        <v/>
      </c>
      <c r="AY668" s="300" t="str">
        <f>_xlfn.IFNA(VLOOKUP($AI668,Programma!$F$3:$V$1107,17,0),"")</f>
        <v/>
      </c>
      <c r="AZ668" s="300" t="str">
        <f>_xlfn.IFNA(VLOOKUP($AI668,Programma!$F$3:$W$1107,18,0),"")</f>
        <v/>
      </c>
      <c r="BA668" s="300" t="str">
        <f>_xlfn.IFNA(VLOOKUP($AI668,Programma!$F$3:$X$1107,19,0),"")</f>
        <v/>
      </c>
      <c r="BB668" s="300" t="str">
        <f>_xlfn.IFNA(VLOOKUP($AI668,Programma!$F$3:$Y$1107,20,0),"")</f>
        <v/>
      </c>
      <c r="BC668" s="257"/>
      <c r="BD668" s="256" t="str">
        <f>IF(Ruimtestaat[[#This Row],[Frequentie weekend]]="","",_xlfn.CONCAT(Ruimtestaat[[#This Row],[Ruimte code]],"-",Ruimtestaat[[#This Row],[Frequentie weekend]]," ",Ruimtestaat[[#This Row],[Vloer code]]))</f>
        <v/>
      </c>
      <c r="BE668" s="300" t="str">
        <f>_xlfn.IFNA(VLOOKUP($BD668,Programma!$F$3:$G$1107,2,0),"")</f>
        <v/>
      </c>
      <c r="BF668" s="300" t="str">
        <f>_xlfn.IFNA(VLOOKUP($BD668,Programma!$F$3:$H$1107,3,0),"")</f>
        <v/>
      </c>
      <c r="BG668" s="300" t="str">
        <f>_xlfn.IFNA(VLOOKUP($BD668,Programma!$F$3:$I$1107,4,0),"")</f>
        <v/>
      </c>
      <c r="BH668" s="300" t="str">
        <f>_xlfn.IFNA(VLOOKUP($BD668,Programma!$F$3:$J$1107,5,0),"")</f>
        <v/>
      </c>
      <c r="BI668" s="300" t="str">
        <f>_xlfn.IFNA(VLOOKUP($BD668,Programma!$F$3:$K$1107,6,0),"")</f>
        <v/>
      </c>
      <c r="BJ668" s="300" t="str">
        <f>_xlfn.IFNA(VLOOKUP($BD668,Programma!$F$3:$L$1107,7,0),"")</f>
        <v/>
      </c>
      <c r="BK668" s="300" t="str">
        <f>_xlfn.IFNA(VLOOKUP($BD668,Programma!$F$3:$M$1107,8,0),"")</f>
        <v/>
      </c>
      <c r="BL668" s="300" t="str">
        <f>_xlfn.IFNA(VLOOKUP($BD668,Programma!$F$3:$N$1107,9,0),"")</f>
        <v/>
      </c>
      <c r="BM668" s="300" t="str">
        <f>_xlfn.IFNA(VLOOKUP($BD668,Programma!$F$3:$O$1107,10,0),"")</f>
        <v/>
      </c>
      <c r="BN668" s="300" t="str">
        <f>_xlfn.IFNA(VLOOKUP($BD668,Programma!$F$3:$P$1107,11,0),"")</f>
        <v/>
      </c>
      <c r="BO668" s="300" t="str">
        <f>_xlfn.IFNA(VLOOKUP($BD668,Programma!$F$3:$Q$1107,12,0),"")</f>
        <v/>
      </c>
      <c r="BP668" s="300" t="str">
        <f>_xlfn.IFNA(VLOOKUP($BD668,Programma!$F$3:$R$1107,13,0),"")</f>
        <v/>
      </c>
      <c r="BQ668" s="300" t="str">
        <f>_xlfn.IFNA(VLOOKUP($BD668,Programma!$F$3:$S$1107,14,0),"")</f>
        <v/>
      </c>
      <c r="BR668" s="300" t="str">
        <f>_xlfn.IFNA(VLOOKUP($BD668,Programma!$F$3:$T$1107,15,0),"")</f>
        <v/>
      </c>
      <c r="BS668" s="300" t="str">
        <f>_xlfn.IFNA(VLOOKUP($BD668,Programma!$F$3:$U$1107,16,0),"")</f>
        <v/>
      </c>
      <c r="BT668" s="300" t="str">
        <f>_xlfn.IFNA(VLOOKUP($BD668,Programma!$F$3:$V$1107,17,0),"")</f>
        <v/>
      </c>
      <c r="BU668" s="300" t="str">
        <f>_xlfn.IFNA(VLOOKUP($BD668,Programma!$F$3:$W$1107,18,0),"")</f>
        <v/>
      </c>
      <c r="BV668" s="300" t="str">
        <f>_xlfn.IFNA(VLOOKUP($BD668,Programma!$F$3:$X$1107,19,0),"")</f>
        <v/>
      </c>
      <c r="BW668" s="300" t="str">
        <f>_xlfn.IFNA(VLOOKUP($BD668,Programma!$F$3:$Y$1107,20,0),"")</f>
        <v/>
      </c>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c r="GK668" s="4"/>
      <c r="GL668" s="4"/>
      <c r="GM668" s="4"/>
      <c r="GN668" s="4"/>
      <c r="GO668" s="4"/>
      <c r="GP668" s="4"/>
      <c r="GQ668" s="4"/>
      <c r="GR668" s="4"/>
      <c r="GS668" s="4"/>
      <c r="GT668" s="4"/>
      <c r="GU668" s="4"/>
      <c r="GV668" s="4"/>
      <c r="GW668" s="4"/>
      <c r="GX668" s="4"/>
      <c r="GY668" s="4"/>
      <c r="GZ668" s="4"/>
      <c r="HA668" s="4"/>
      <c r="HB668" s="4"/>
      <c r="HC668" s="4"/>
      <c r="HD668" s="4"/>
      <c r="HE668" s="4"/>
      <c r="HF668" s="4"/>
      <c r="HG668" s="4"/>
      <c r="HH668" s="4"/>
      <c r="HI668" s="4"/>
      <c r="HJ668" s="4"/>
      <c r="HK668" s="4"/>
      <c r="HL668" s="4"/>
    </row>
    <row r="669" spans="1:220" ht="15" customHeight="1">
      <c r="A669" s="21">
        <v>8</v>
      </c>
      <c r="B669" s="157" t="str">
        <f>VLOOKUP(Ruimtestaat[[#This Row],[Code]],Locaties[[Code]:[Locatie]],2,FALSE)</f>
        <v>Dalton College</v>
      </c>
      <c r="C669" s="157" t="str">
        <f>VLOOKUP(Ruimtestaat[[#This Row],[Code]],Locaties[[#All],[Code]:[Adres]],4,FALSE)</f>
        <v>Loolaan 125</v>
      </c>
      <c r="D669" s="157" t="str">
        <f>VLOOKUP(Ruimtestaat[[#This Row],[Code]],Locaties[[#All],[Code]:[Postcode]],5,FALSE)</f>
        <v xml:space="preserve">2271 TM </v>
      </c>
      <c r="E669" s="157" t="str">
        <f>VLOOKUP(Ruimtestaat[[#This Row],[Code]],Locaties[#All],6,FALSE)</f>
        <v>Voorburg</v>
      </c>
      <c r="F669" s="62"/>
      <c r="G669" s="21" t="s">
        <v>1632</v>
      </c>
      <c r="H669" s="21">
        <v>6</v>
      </c>
      <c r="I669" s="62" t="s">
        <v>1636</v>
      </c>
      <c r="J669" s="21">
        <v>12</v>
      </c>
      <c r="K669" s="62" t="str">
        <f>VLOOKUP(Ruimtestaat[[#This Row],[Ruimte code]],Ruimtegroepen[[#All],[Code]:[Ruimte omschrijving]],2,FALSE)</f>
        <v>Kantine</v>
      </c>
      <c r="L669" s="33" t="s">
        <v>101</v>
      </c>
      <c r="M669" s="367" t="s">
        <v>2495</v>
      </c>
      <c r="N669" s="140">
        <v>274</v>
      </c>
      <c r="O669" s="140"/>
      <c r="P669" s="125" t="str">
        <f>VLOOKUP(Ruimtestaat[[#This Row],[Ruimte code]],Ruimtegroepen[],4,FALSE)</f>
        <v>Ve</v>
      </c>
      <c r="Q669" s="125" t="s">
        <v>2539</v>
      </c>
      <c r="R669" s="33">
        <v>40</v>
      </c>
      <c r="S669" s="33" t="s">
        <v>2</v>
      </c>
      <c r="T669" s="33">
        <f>IF(R669&gt;0,IF(RIGHT(Ruimtestaat[[#This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69" s="33">
        <f>IF(T669&gt;0,VLOOKUP($J669,Ruimtegroepen[],3,FALSE)*VLOOKUP($L669,Vloersoorten[],3,FALSE)*VLOOKUP($S669,Frequenties[],3,FALSE)*VLOOKUP($A669,Locaties[],3,FALSE),0)</f>
        <v>0</v>
      </c>
      <c r="V669" s="33">
        <f>Ruimtestaat[[#This Row],[Uitvoeringen werkdagen]]*Ruimtestaat[[#This Row],[Oppervlak (netto)]]</f>
        <v>54800</v>
      </c>
      <c r="W669" s="154">
        <f>IF(U669&gt;0,Ruimtestaat[[#This Row],[Prest. (m2 /jaar) werkdagen]]/Ruimtestaat[[#This Row],[Norm (m2/uur) werkdagen]],0)</f>
        <v>0</v>
      </c>
      <c r="X669" s="155">
        <f>Ruimtestaat[[#This Row],[uren / jaar werkdagen]]*Tariefsopbouw!$E$35</f>
        <v>0</v>
      </c>
      <c r="Y669" s="33"/>
      <c r="Z669" s="33">
        <f>IF(Ruimtestaat[[#This Row],[Frequentie weekend]]&gt;0,VALUE(LEFT(Y669,1))*R669,0)</f>
        <v>0</v>
      </c>
      <c r="AA669" s="97">
        <f>IF($Z669&gt;0,VLOOKUP($J669,Ruimtegroepen[],3,FALSE)*VLOOKUP($L669,Vloersoorten[],3,FALSE)*VLOOKUP($Y669,Frequenties[],3,FALSE)*VLOOKUP(Ruimtestaat[[#This Row],[Code]],Locaties[],3,FALSE),0)</f>
        <v>0</v>
      </c>
      <c r="AB669" s="97">
        <f>Ruimtestaat[[#This Row],[Uitvoeringen weekend]]*Ruimtestaat[[#This Row],[Oppervlak (netto)]]</f>
        <v>0</v>
      </c>
      <c r="AC669" s="97">
        <f>IF(AA669&gt;0,Ruimtestaat[[#This Row],[Prest. (m2 /jaar) weekend]]/Ruimtestaat[[#This Row],[Norm (m2/uur) weekend]],0)</f>
        <v>0</v>
      </c>
      <c r="AD669" s="155">
        <f>Ruimtestaat[[#This Row],[uren / jaar weekend]]*Tariefsopbouw!$D$40</f>
        <v>0</v>
      </c>
      <c r="AE669" s="154">
        <f>Ruimtestaat[[#This Row],[Prest. (m2 /jaar) weekend]]+Ruimtestaat[[#This Row],[Prest. (m2 /jaar) werkdagen]]</f>
        <v>54800</v>
      </c>
      <c r="AF669" s="154">
        <f>Ruimtestaat[[#This Row],[uren / jaar weekend]]+Ruimtestaat[[#This Row],[uren / jaar werkdagen]]</f>
        <v>0</v>
      </c>
      <c r="AG669" s="69">
        <f>Ruimtestaat[[#This Row],[kosten / jaar weekend]]+Ruimtestaat[[#This Row],[kosten / jaar werkdagen]]</f>
        <v>0</v>
      </c>
      <c r="AH669" s="69"/>
      <c r="AI669" s="256" t="str">
        <f>IF(Ruimtestaat[[#This Row],[Frequentie werkdagen]]="","",_xlfn.CONCAT(Ruimtestaat[[#This Row],[Ruimte code]],"-",Ruimtestaat[[#This Row],[Frequentie werkdagen]]," ",Ruimtestaat[[#This Row],[Vloer code]]))</f>
        <v>12-5w L</v>
      </c>
      <c r="AJ669" s="300" t="str">
        <f>_xlfn.IFNA(VLOOKUP($AI669,Programma!$F$3:$G$1107,2,0),"")</f>
        <v>_</v>
      </c>
      <c r="AK669" s="300" t="str">
        <f>_xlfn.IFNA(VLOOKUP($AI669,Programma!$F$3:$H$1107,3,0),"")</f>
        <v>_</v>
      </c>
      <c r="AL669" s="300" t="str">
        <f>_xlfn.IFNA(VLOOKUP($AI669,Programma!$F$3:$I$1107,4,0),"")</f>
        <v>_</v>
      </c>
      <c r="AM669" s="300" t="str">
        <f>_xlfn.IFNA(VLOOKUP($AI669,Programma!$F$3:$J$1107,5,0),"")</f>
        <v>5w</v>
      </c>
      <c r="AN669" s="300" t="str">
        <f>_xlfn.IFNA(VLOOKUP($AI669,Programma!$F$3:$K$1107,6,0),"")</f>
        <v>_</v>
      </c>
      <c r="AO669" s="300" t="str">
        <f>_xlfn.IFNA(VLOOKUP($AI669,Programma!$F$3:$L$1107,7,0),"")</f>
        <v>_</v>
      </c>
      <c r="AP669" s="300" t="str">
        <f>_xlfn.IFNA(VLOOKUP($AI669,Programma!$F$3:$M$1107,8,0),"")</f>
        <v>_</v>
      </c>
      <c r="AQ669" s="300" t="str">
        <f>_xlfn.IFNA(VLOOKUP($AI669,Programma!$F$3:$N$1107,9,0),"")</f>
        <v>_</v>
      </c>
      <c r="AR669" s="300" t="str">
        <f>_xlfn.IFNA(VLOOKUP($AI669,Programma!$F$3:$O$1107,10,0),"")</f>
        <v>5w</v>
      </c>
      <c r="AS669" s="300" t="str">
        <f>_xlfn.IFNA(VLOOKUP($AI669,Programma!$F$3:$P$1107,11,0),"")</f>
        <v>5w</v>
      </c>
      <c r="AT669" s="300" t="str">
        <f>_xlfn.IFNA(VLOOKUP($AI669,Programma!$F$3:$Q$1107,12,0),"")</f>
        <v>1w</v>
      </c>
      <c r="AU669" s="300" t="str">
        <f>_xlfn.IFNA(VLOOKUP($AI669,Programma!$F$3:$R$1107,13,0),"")</f>
        <v>1w</v>
      </c>
      <c r="AV669" s="300" t="str">
        <f>_xlfn.IFNA(VLOOKUP($AI669,Programma!$F$3:$S$1107,14,0),"")</f>
        <v>1m</v>
      </c>
      <c r="AW669" s="300" t="str">
        <f>_xlfn.IFNA(VLOOKUP($AI669,Programma!$F$3:$T$1107,15,0),"")</f>
        <v>2j</v>
      </c>
      <c r="AX669" s="300" t="str">
        <f>_xlfn.IFNA(VLOOKUP($AI669,Programma!$F$3:$U$1107,16,0),"")</f>
        <v>1j</v>
      </c>
      <c r="AY669" s="300" t="str">
        <f>_xlfn.IFNA(VLOOKUP($AI669,Programma!$F$3:$V$1107,17,0),"")</f>
        <v>_</v>
      </c>
      <c r="AZ669" s="300" t="str">
        <f>_xlfn.IFNA(VLOOKUP($AI669,Programma!$F$3:$W$1107,18,0),"")</f>
        <v>_</v>
      </c>
      <c r="BA669" s="300" t="str">
        <f>_xlfn.IFNA(VLOOKUP($AI669,Programma!$F$3:$X$1107,19,0),"")</f>
        <v>_</v>
      </c>
      <c r="BB669" s="300" t="str">
        <f>_xlfn.IFNA(VLOOKUP($AI669,Programma!$F$3:$Y$1107,20,0),"")</f>
        <v>_</v>
      </c>
      <c r="BC669" s="257"/>
      <c r="BD669" s="256" t="str">
        <f>IF(Ruimtestaat[[#This Row],[Frequentie weekend]]="","",_xlfn.CONCAT(Ruimtestaat[[#This Row],[Ruimte code]],"-",Ruimtestaat[[#This Row],[Frequentie weekend]]," ",Ruimtestaat[[#This Row],[Vloer code]]))</f>
        <v/>
      </c>
      <c r="BE669" s="300" t="str">
        <f>_xlfn.IFNA(VLOOKUP($BD669,Programma!$F$3:$G$1107,2,0),"")</f>
        <v/>
      </c>
      <c r="BF669" s="300" t="str">
        <f>_xlfn.IFNA(VLOOKUP($BD669,Programma!$F$3:$H$1107,3,0),"")</f>
        <v/>
      </c>
      <c r="BG669" s="300" t="str">
        <f>_xlfn.IFNA(VLOOKUP($BD669,Programma!$F$3:$I$1107,4,0),"")</f>
        <v/>
      </c>
      <c r="BH669" s="300" t="str">
        <f>_xlfn.IFNA(VLOOKUP($BD669,Programma!$F$3:$J$1107,5,0),"")</f>
        <v/>
      </c>
      <c r="BI669" s="300" t="str">
        <f>_xlfn.IFNA(VLOOKUP($BD669,Programma!$F$3:$K$1107,6,0),"")</f>
        <v/>
      </c>
      <c r="BJ669" s="300" t="str">
        <f>_xlfn.IFNA(VLOOKUP($BD669,Programma!$F$3:$L$1107,7,0),"")</f>
        <v/>
      </c>
      <c r="BK669" s="300" t="str">
        <f>_xlfn.IFNA(VLOOKUP($BD669,Programma!$F$3:$M$1107,8,0),"")</f>
        <v/>
      </c>
      <c r="BL669" s="300" t="str">
        <f>_xlfn.IFNA(VLOOKUP($BD669,Programma!$F$3:$N$1107,9,0),"")</f>
        <v/>
      </c>
      <c r="BM669" s="300" t="str">
        <f>_xlfn.IFNA(VLOOKUP($BD669,Programma!$F$3:$O$1107,10,0),"")</f>
        <v/>
      </c>
      <c r="BN669" s="300" t="str">
        <f>_xlfn.IFNA(VLOOKUP($BD669,Programma!$F$3:$P$1107,11,0),"")</f>
        <v/>
      </c>
      <c r="BO669" s="300" t="str">
        <f>_xlfn.IFNA(VLOOKUP($BD669,Programma!$F$3:$Q$1107,12,0),"")</f>
        <v/>
      </c>
      <c r="BP669" s="300" t="str">
        <f>_xlfn.IFNA(VLOOKUP($BD669,Programma!$F$3:$R$1107,13,0),"")</f>
        <v/>
      </c>
      <c r="BQ669" s="300" t="str">
        <f>_xlfn.IFNA(VLOOKUP($BD669,Programma!$F$3:$S$1107,14,0),"")</f>
        <v/>
      </c>
      <c r="BR669" s="300" t="str">
        <f>_xlfn.IFNA(VLOOKUP($BD669,Programma!$F$3:$T$1107,15,0),"")</f>
        <v/>
      </c>
      <c r="BS669" s="300" t="str">
        <f>_xlfn.IFNA(VLOOKUP($BD669,Programma!$F$3:$U$1107,16,0),"")</f>
        <v/>
      </c>
      <c r="BT669" s="300" t="str">
        <f>_xlfn.IFNA(VLOOKUP($BD669,Programma!$F$3:$V$1107,17,0),"")</f>
        <v/>
      </c>
      <c r="BU669" s="300" t="str">
        <f>_xlfn.IFNA(VLOOKUP($BD669,Programma!$F$3:$W$1107,18,0),"")</f>
        <v/>
      </c>
      <c r="BV669" s="300" t="str">
        <f>_xlfn.IFNA(VLOOKUP($BD669,Programma!$F$3:$X$1107,19,0),"")</f>
        <v/>
      </c>
      <c r="BW669" s="300" t="str">
        <f>_xlfn.IFNA(VLOOKUP($BD669,Programma!$F$3:$Y$1107,20,0),"")</f>
        <v/>
      </c>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c r="GK669" s="4"/>
      <c r="GL669" s="4"/>
      <c r="GM669" s="4"/>
      <c r="GN669" s="4"/>
      <c r="GO669" s="4"/>
      <c r="GP669" s="4"/>
      <c r="GQ669" s="4"/>
      <c r="GR669" s="4"/>
      <c r="GS669" s="4"/>
      <c r="GT669" s="4"/>
      <c r="GU669" s="4"/>
      <c r="GV669" s="4"/>
      <c r="GW669" s="4"/>
      <c r="GX669" s="4"/>
      <c r="GY669" s="4"/>
      <c r="GZ669" s="4"/>
      <c r="HA669" s="4"/>
      <c r="HB669" s="4"/>
      <c r="HC669" s="4"/>
      <c r="HD669" s="4"/>
      <c r="HE669" s="4"/>
      <c r="HF669" s="4"/>
      <c r="HG669" s="4"/>
      <c r="HH669" s="4"/>
      <c r="HI669" s="4"/>
      <c r="HJ669" s="4"/>
      <c r="HK669" s="4"/>
      <c r="HL669" s="4"/>
    </row>
    <row r="670" spans="1:220" ht="15" customHeight="1">
      <c r="A670" s="21">
        <v>8</v>
      </c>
      <c r="B670" s="157" t="str">
        <f>VLOOKUP(Ruimtestaat[[#This Row],[Code]],Locaties[[Code]:[Locatie]],2,FALSE)</f>
        <v>Dalton College</v>
      </c>
      <c r="C670" s="157" t="str">
        <f>VLOOKUP(Ruimtestaat[[#This Row],[Code]],Locaties[[#All],[Code]:[Adres]],4,FALSE)</f>
        <v>Loolaan 125</v>
      </c>
      <c r="D670" s="157" t="str">
        <f>VLOOKUP(Ruimtestaat[[#This Row],[Code]],Locaties[[#All],[Code]:[Postcode]],5,FALSE)</f>
        <v xml:space="preserve">2271 TM </v>
      </c>
      <c r="E670" s="157" t="str">
        <f>VLOOKUP(Ruimtestaat[[#This Row],[Code]],Locaties[#All],6,FALSE)</f>
        <v>Voorburg</v>
      </c>
      <c r="F670" s="62"/>
      <c r="G670" s="21" t="s">
        <v>1632</v>
      </c>
      <c r="H670" s="21">
        <v>7</v>
      </c>
      <c r="I670" s="62" t="s">
        <v>1636</v>
      </c>
      <c r="J670" s="21">
        <v>12</v>
      </c>
      <c r="K670" s="62" t="str">
        <f>VLOOKUP(Ruimtestaat[[#This Row],[Ruimte code]],Ruimtegroepen[[#All],[Code]:[Ruimte omschrijving]],2,FALSE)</f>
        <v>Kantine</v>
      </c>
      <c r="L670" s="33" t="s">
        <v>102</v>
      </c>
      <c r="M670" s="367" t="s">
        <v>2509</v>
      </c>
      <c r="N670" s="140">
        <v>476</v>
      </c>
      <c r="O670" s="140"/>
      <c r="P670" s="125" t="str">
        <f>VLOOKUP(Ruimtestaat[[#This Row],[Ruimte code]],Ruimtegroepen[],4,FALSE)</f>
        <v>Ve</v>
      </c>
      <c r="Q670" s="125" t="s">
        <v>2540</v>
      </c>
      <c r="R670" s="33">
        <v>40</v>
      </c>
      <c r="S670" s="33" t="s">
        <v>2</v>
      </c>
      <c r="T670" s="33">
        <f>IF(R670&gt;0,IF(RIGHT(Ruimtestaat[[#This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70" s="33">
        <f>IF(T670&gt;0,VLOOKUP($J670,Ruimtegroepen[],3,FALSE)*VLOOKUP($L670,Vloersoorten[],3,FALSE)*VLOOKUP($S670,Frequenties[],3,FALSE)*VLOOKUP($A670,Locaties[],3,FALSE),0)</f>
        <v>0</v>
      </c>
      <c r="V670" s="33">
        <f>Ruimtestaat[[#This Row],[Uitvoeringen werkdagen]]*Ruimtestaat[[#This Row],[Oppervlak (netto)]]</f>
        <v>95200</v>
      </c>
      <c r="W670" s="154">
        <f>IF(U670&gt;0,Ruimtestaat[[#This Row],[Prest. (m2 /jaar) werkdagen]]/Ruimtestaat[[#This Row],[Norm (m2/uur) werkdagen]],0)</f>
        <v>0</v>
      </c>
      <c r="X670" s="155">
        <f>Ruimtestaat[[#This Row],[uren / jaar werkdagen]]*Tariefsopbouw!$E$35</f>
        <v>0</v>
      </c>
      <c r="Y670" s="33"/>
      <c r="Z670" s="33">
        <f>IF(Ruimtestaat[[#This Row],[Frequentie weekend]]&gt;0,VALUE(LEFT(Y670,1))*R670,0)</f>
        <v>0</v>
      </c>
      <c r="AA670" s="97">
        <f>IF($Z670&gt;0,VLOOKUP($J670,Ruimtegroepen[],3,FALSE)*VLOOKUP($L670,Vloersoorten[],3,FALSE)*VLOOKUP($Y670,Frequenties[],3,FALSE)*VLOOKUP(Ruimtestaat[[#This Row],[Code]],Locaties[],3,FALSE),0)</f>
        <v>0</v>
      </c>
      <c r="AB670" s="97">
        <f>Ruimtestaat[[#This Row],[Uitvoeringen weekend]]*Ruimtestaat[[#This Row],[Oppervlak (netto)]]</f>
        <v>0</v>
      </c>
      <c r="AC670" s="97">
        <f>IF(AA670&gt;0,Ruimtestaat[[#This Row],[Prest. (m2 /jaar) weekend]]/Ruimtestaat[[#This Row],[Norm (m2/uur) weekend]],0)</f>
        <v>0</v>
      </c>
      <c r="AD670" s="155">
        <f>Ruimtestaat[[#This Row],[uren / jaar weekend]]*Tariefsopbouw!$D$40</f>
        <v>0</v>
      </c>
      <c r="AE670" s="154">
        <f>Ruimtestaat[[#This Row],[Prest. (m2 /jaar) weekend]]+Ruimtestaat[[#This Row],[Prest. (m2 /jaar) werkdagen]]</f>
        <v>95200</v>
      </c>
      <c r="AF670" s="154">
        <f>Ruimtestaat[[#This Row],[uren / jaar weekend]]+Ruimtestaat[[#This Row],[uren / jaar werkdagen]]</f>
        <v>0</v>
      </c>
      <c r="AG670" s="69">
        <f>Ruimtestaat[[#This Row],[kosten / jaar weekend]]+Ruimtestaat[[#This Row],[kosten / jaar werkdagen]]</f>
        <v>0</v>
      </c>
      <c r="AH670" s="69"/>
      <c r="AI670" s="256" t="str">
        <f>IF(Ruimtestaat[[#This Row],[Frequentie werkdagen]]="","",_xlfn.CONCAT(Ruimtestaat[[#This Row],[Ruimte code]],"-",Ruimtestaat[[#This Row],[Frequentie werkdagen]]," ",Ruimtestaat[[#This Row],[Vloer code]]))</f>
        <v>12-5w S</v>
      </c>
      <c r="AJ670" s="300" t="str">
        <f>_xlfn.IFNA(VLOOKUP($AI670,Programma!$F$3:$G$1107,2,0),"")</f>
        <v>_</v>
      </c>
      <c r="AK670" s="300" t="str">
        <f>_xlfn.IFNA(VLOOKUP($AI670,Programma!$F$3:$H$1107,3,0),"")</f>
        <v>_</v>
      </c>
      <c r="AL670" s="300" t="str">
        <f>_xlfn.IFNA(VLOOKUP($AI670,Programma!$F$3:$I$1107,4,0),"")</f>
        <v>5w</v>
      </c>
      <c r="AM670" s="300" t="str">
        <f>_xlfn.IFNA(VLOOKUP($AI670,Programma!$F$3:$J$1107,5,0),"")</f>
        <v>_</v>
      </c>
      <c r="AN670" s="300" t="str">
        <f>_xlfn.IFNA(VLOOKUP($AI670,Programma!$F$3:$K$1107,6,0),"")</f>
        <v>5w</v>
      </c>
      <c r="AO670" s="300" t="str">
        <f>_xlfn.IFNA(VLOOKUP($AI670,Programma!$F$3:$L$1107,7,0),"")</f>
        <v>_</v>
      </c>
      <c r="AP670" s="300" t="str">
        <f>_xlfn.IFNA(VLOOKUP($AI670,Programma!$F$3:$M$1107,8,0),"")</f>
        <v>_</v>
      </c>
      <c r="AQ670" s="300" t="str">
        <f>_xlfn.IFNA(VLOOKUP($AI670,Programma!$F$3:$N$1107,9,0),"")</f>
        <v>_</v>
      </c>
      <c r="AR670" s="300" t="str">
        <f>_xlfn.IFNA(VLOOKUP($AI670,Programma!$F$3:$O$1107,10,0),"")</f>
        <v>5w</v>
      </c>
      <c r="AS670" s="300" t="str">
        <f>_xlfn.IFNA(VLOOKUP($AI670,Programma!$F$3:$P$1107,11,0),"")</f>
        <v>5w</v>
      </c>
      <c r="AT670" s="300" t="str">
        <f>_xlfn.IFNA(VLOOKUP($AI670,Programma!$F$3:$Q$1107,12,0),"")</f>
        <v>1w</v>
      </c>
      <c r="AU670" s="300" t="str">
        <f>_xlfn.IFNA(VLOOKUP($AI670,Programma!$F$3:$R$1107,13,0),"")</f>
        <v>1w</v>
      </c>
      <c r="AV670" s="300" t="str">
        <f>_xlfn.IFNA(VLOOKUP($AI670,Programma!$F$3:$S$1107,14,0),"")</f>
        <v>1m</v>
      </c>
      <c r="AW670" s="300" t="str">
        <f>_xlfn.IFNA(VLOOKUP($AI670,Programma!$F$3:$T$1107,15,0),"")</f>
        <v>2j</v>
      </c>
      <c r="AX670" s="300" t="str">
        <f>_xlfn.IFNA(VLOOKUP($AI670,Programma!$F$3:$U$1107,16,0),"")</f>
        <v>1j</v>
      </c>
      <c r="AY670" s="300" t="str">
        <f>_xlfn.IFNA(VLOOKUP($AI670,Programma!$F$3:$V$1107,17,0),"")</f>
        <v>_</v>
      </c>
      <c r="AZ670" s="300" t="str">
        <f>_xlfn.IFNA(VLOOKUP($AI670,Programma!$F$3:$W$1107,18,0),"")</f>
        <v>_</v>
      </c>
      <c r="BA670" s="300" t="str">
        <f>_xlfn.IFNA(VLOOKUP($AI670,Programma!$F$3:$X$1107,19,0),"")</f>
        <v>_</v>
      </c>
      <c r="BB670" s="300" t="str">
        <f>_xlfn.IFNA(VLOOKUP($AI670,Programma!$F$3:$Y$1107,20,0),"")</f>
        <v>_</v>
      </c>
      <c r="BC670" s="257"/>
      <c r="BD670" s="256" t="str">
        <f>IF(Ruimtestaat[[#This Row],[Frequentie weekend]]="","",_xlfn.CONCAT(Ruimtestaat[[#This Row],[Ruimte code]],"-",Ruimtestaat[[#This Row],[Frequentie weekend]]," ",Ruimtestaat[[#This Row],[Vloer code]]))</f>
        <v/>
      </c>
      <c r="BE670" s="300" t="str">
        <f>_xlfn.IFNA(VLOOKUP($BD670,Programma!$F$3:$G$1107,2,0),"")</f>
        <v/>
      </c>
      <c r="BF670" s="300" t="str">
        <f>_xlfn.IFNA(VLOOKUP($BD670,Programma!$F$3:$H$1107,3,0),"")</f>
        <v/>
      </c>
      <c r="BG670" s="300" t="str">
        <f>_xlfn.IFNA(VLOOKUP($BD670,Programma!$F$3:$I$1107,4,0),"")</f>
        <v/>
      </c>
      <c r="BH670" s="300" t="str">
        <f>_xlfn.IFNA(VLOOKUP($BD670,Programma!$F$3:$J$1107,5,0),"")</f>
        <v/>
      </c>
      <c r="BI670" s="300" t="str">
        <f>_xlfn.IFNA(VLOOKUP($BD670,Programma!$F$3:$K$1107,6,0),"")</f>
        <v/>
      </c>
      <c r="BJ670" s="300" t="str">
        <f>_xlfn.IFNA(VLOOKUP($BD670,Programma!$F$3:$L$1107,7,0),"")</f>
        <v/>
      </c>
      <c r="BK670" s="300" t="str">
        <f>_xlfn.IFNA(VLOOKUP($BD670,Programma!$F$3:$M$1107,8,0),"")</f>
        <v/>
      </c>
      <c r="BL670" s="300" t="str">
        <f>_xlfn.IFNA(VLOOKUP($BD670,Programma!$F$3:$N$1107,9,0),"")</f>
        <v/>
      </c>
      <c r="BM670" s="300" t="str">
        <f>_xlfn.IFNA(VLOOKUP($BD670,Programma!$F$3:$O$1107,10,0),"")</f>
        <v/>
      </c>
      <c r="BN670" s="300" t="str">
        <f>_xlfn.IFNA(VLOOKUP($BD670,Programma!$F$3:$P$1107,11,0),"")</f>
        <v/>
      </c>
      <c r="BO670" s="300" t="str">
        <f>_xlfn.IFNA(VLOOKUP($BD670,Programma!$F$3:$Q$1107,12,0),"")</f>
        <v/>
      </c>
      <c r="BP670" s="300" t="str">
        <f>_xlfn.IFNA(VLOOKUP($BD670,Programma!$F$3:$R$1107,13,0),"")</f>
        <v/>
      </c>
      <c r="BQ670" s="300" t="str">
        <f>_xlfn.IFNA(VLOOKUP($BD670,Programma!$F$3:$S$1107,14,0),"")</f>
        <v/>
      </c>
      <c r="BR670" s="300" t="str">
        <f>_xlfn.IFNA(VLOOKUP($BD670,Programma!$F$3:$T$1107,15,0),"")</f>
        <v/>
      </c>
      <c r="BS670" s="300" t="str">
        <f>_xlfn.IFNA(VLOOKUP($BD670,Programma!$F$3:$U$1107,16,0),"")</f>
        <v/>
      </c>
      <c r="BT670" s="300" t="str">
        <f>_xlfn.IFNA(VLOOKUP($BD670,Programma!$F$3:$V$1107,17,0),"")</f>
        <v/>
      </c>
      <c r="BU670" s="300" t="str">
        <f>_xlfn.IFNA(VLOOKUP($BD670,Programma!$F$3:$W$1107,18,0),"")</f>
        <v/>
      </c>
      <c r="BV670" s="300" t="str">
        <f>_xlfn.IFNA(VLOOKUP($BD670,Programma!$F$3:$X$1107,19,0),"")</f>
        <v/>
      </c>
      <c r="BW670" s="300" t="str">
        <f>_xlfn.IFNA(VLOOKUP($BD670,Programma!$F$3:$Y$1107,20,0),"")</f>
        <v/>
      </c>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c r="GK670" s="4"/>
      <c r="GL670" s="4"/>
      <c r="GM670" s="4"/>
      <c r="GN670" s="4"/>
      <c r="GO670" s="4"/>
      <c r="GP670" s="4"/>
      <c r="GQ670" s="4"/>
      <c r="GR670" s="4"/>
      <c r="GS670" s="4"/>
      <c r="GT670" s="4"/>
      <c r="GU670" s="4"/>
      <c r="GV670" s="4"/>
      <c r="GW670" s="4"/>
      <c r="GX670" s="4"/>
      <c r="GY670" s="4"/>
      <c r="GZ670" s="4"/>
      <c r="HA670" s="4"/>
      <c r="HB670" s="4"/>
      <c r="HC670" s="4"/>
      <c r="HD670" s="4"/>
      <c r="HE670" s="4"/>
      <c r="HF670" s="4"/>
      <c r="HG670" s="4"/>
      <c r="HH670" s="4"/>
      <c r="HI670" s="4"/>
      <c r="HJ670" s="4"/>
      <c r="HK670" s="4"/>
      <c r="HL670" s="4"/>
    </row>
    <row r="671" spans="1:220" ht="15" customHeight="1">
      <c r="A671" s="21">
        <v>8</v>
      </c>
      <c r="B671" s="157" t="str">
        <f>VLOOKUP(Ruimtestaat[[#This Row],[Code]],Locaties[[Code]:[Locatie]],2,FALSE)</f>
        <v>Dalton College</v>
      </c>
      <c r="C671" s="157" t="str">
        <f>VLOOKUP(Ruimtestaat[[#This Row],[Code]],Locaties[[#All],[Code]:[Adres]],4,FALSE)</f>
        <v>Loolaan 125</v>
      </c>
      <c r="D671" s="157" t="str">
        <f>VLOOKUP(Ruimtestaat[[#This Row],[Code]],Locaties[[#All],[Code]:[Postcode]],5,FALSE)</f>
        <v xml:space="preserve">2271 TM </v>
      </c>
      <c r="E671" s="157" t="str">
        <f>VLOOKUP(Ruimtestaat[[#This Row],[Code]],Locaties[#All],6,FALSE)</f>
        <v>Voorburg</v>
      </c>
      <c r="F671" s="62"/>
      <c r="G671" s="21" t="s">
        <v>1632</v>
      </c>
      <c r="H671" s="21">
        <v>8</v>
      </c>
      <c r="I671" s="62" t="s">
        <v>2203</v>
      </c>
      <c r="J671" s="21">
        <v>15</v>
      </c>
      <c r="K671" s="62" t="str">
        <f>VLOOKUP(Ruimtestaat[[#This Row],[Ruimte code]],Ruimtegroepen[[#All],[Code]:[Ruimte omschrijving]],2,FALSE)</f>
        <v>Keuken/pantry</v>
      </c>
      <c r="L671" s="33" t="s">
        <v>101</v>
      </c>
      <c r="M671" s="367" t="s">
        <v>2495</v>
      </c>
      <c r="N671" s="140">
        <v>20</v>
      </c>
      <c r="O671" s="140"/>
      <c r="P671" s="125" t="str">
        <f>VLOOKUP(Ruimtestaat[[#This Row],[Ruimte code]],Ruimtegroepen[],4,FALSE)</f>
        <v>Ve</v>
      </c>
      <c r="R671" s="33">
        <v>40</v>
      </c>
      <c r="S671" s="33" t="s">
        <v>2</v>
      </c>
      <c r="T671" s="33">
        <f>IF(R671&gt;0,IF(RIGHT(Ruimtestaat[[#This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71" s="33">
        <f>IF(T671&gt;0,VLOOKUP($J671,Ruimtegroepen[],3,FALSE)*VLOOKUP($L671,Vloersoorten[],3,FALSE)*VLOOKUP($S671,Frequenties[],3,FALSE)*VLOOKUP($A671,Locaties[],3,FALSE),0)</f>
        <v>0</v>
      </c>
      <c r="V671" s="33">
        <f>Ruimtestaat[[#This Row],[Uitvoeringen werkdagen]]*Ruimtestaat[[#This Row],[Oppervlak (netto)]]</f>
        <v>4000</v>
      </c>
      <c r="W671" s="154">
        <f>IF(U671&gt;0,Ruimtestaat[[#This Row],[Prest. (m2 /jaar) werkdagen]]/Ruimtestaat[[#This Row],[Norm (m2/uur) werkdagen]],0)</f>
        <v>0</v>
      </c>
      <c r="X671" s="155">
        <f>Ruimtestaat[[#This Row],[uren / jaar werkdagen]]*Tariefsopbouw!$E$35</f>
        <v>0</v>
      </c>
      <c r="Y671" s="33"/>
      <c r="Z671" s="33">
        <f>IF(Ruimtestaat[[#This Row],[Frequentie weekend]]&gt;0,VALUE(LEFT(Y671,1))*R671,0)</f>
        <v>0</v>
      </c>
      <c r="AA671" s="97">
        <f>IF($Z671&gt;0,VLOOKUP($J671,Ruimtegroepen[],3,FALSE)*VLOOKUP($L671,Vloersoorten[],3,FALSE)*VLOOKUP($Y671,Frequenties[],3,FALSE)*VLOOKUP(Ruimtestaat[[#This Row],[Code]],Locaties[],3,FALSE),0)</f>
        <v>0</v>
      </c>
      <c r="AB671" s="97">
        <f>Ruimtestaat[[#This Row],[Uitvoeringen weekend]]*Ruimtestaat[[#This Row],[Oppervlak (netto)]]</f>
        <v>0</v>
      </c>
      <c r="AC671" s="97">
        <f>IF(AA671&gt;0,Ruimtestaat[[#This Row],[Prest. (m2 /jaar) weekend]]/Ruimtestaat[[#This Row],[Norm (m2/uur) weekend]],0)</f>
        <v>0</v>
      </c>
      <c r="AD671" s="155">
        <f>Ruimtestaat[[#This Row],[uren / jaar weekend]]*Tariefsopbouw!$D$40</f>
        <v>0</v>
      </c>
      <c r="AE671" s="154">
        <f>Ruimtestaat[[#This Row],[Prest. (m2 /jaar) weekend]]+Ruimtestaat[[#This Row],[Prest. (m2 /jaar) werkdagen]]</f>
        <v>4000</v>
      </c>
      <c r="AF671" s="154">
        <f>Ruimtestaat[[#This Row],[uren / jaar weekend]]+Ruimtestaat[[#This Row],[uren / jaar werkdagen]]</f>
        <v>0</v>
      </c>
      <c r="AG671" s="69">
        <f>Ruimtestaat[[#This Row],[kosten / jaar weekend]]+Ruimtestaat[[#This Row],[kosten / jaar werkdagen]]</f>
        <v>0</v>
      </c>
      <c r="AH671" s="69"/>
      <c r="AI671" s="256" t="str">
        <f>IF(Ruimtestaat[[#This Row],[Frequentie werkdagen]]="","",_xlfn.CONCAT(Ruimtestaat[[#This Row],[Ruimte code]],"-",Ruimtestaat[[#This Row],[Frequentie werkdagen]]," ",Ruimtestaat[[#This Row],[Vloer code]]))</f>
        <v>15-5w L</v>
      </c>
      <c r="AJ671" s="300" t="str">
        <f>_xlfn.IFNA(VLOOKUP($AI671,Programma!$F$3:$G$1107,2,0),"")</f>
        <v>_</v>
      </c>
      <c r="AK671" s="300" t="str">
        <f>_xlfn.IFNA(VLOOKUP($AI671,Programma!$F$3:$H$1107,3,0),"")</f>
        <v>_</v>
      </c>
      <c r="AL671" s="300" t="str">
        <f>_xlfn.IFNA(VLOOKUP($AI671,Programma!$F$3:$I$1107,4,0),"")</f>
        <v>_</v>
      </c>
      <c r="AM671" s="300" t="str">
        <f>_xlfn.IFNA(VLOOKUP($AI671,Programma!$F$3:$J$1107,5,0),"")</f>
        <v>5w</v>
      </c>
      <c r="AN671" s="300" t="str">
        <f>_xlfn.IFNA(VLOOKUP($AI671,Programma!$F$3:$K$1107,6,0),"")</f>
        <v>_</v>
      </c>
      <c r="AO671" s="300" t="str">
        <f>_xlfn.IFNA(VLOOKUP($AI671,Programma!$F$3:$L$1107,7,0),"")</f>
        <v>_</v>
      </c>
      <c r="AP671" s="300" t="str">
        <f>_xlfn.IFNA(VLOOKUP($AI671,Programma!$F$3:$M$1107,8,0),"")</f>
        <v>_</v>
      </c>
      <c r="AQ671" s="300" t="str">
        <f>_xlfn.IFNA(VLOOKUP($AI671,Programma!$F$3:$N$1107,9,0),"")</f>
        <v>_</v>
      </c>
      <c r="AR671" s="300" t="str">
        <f>_xlfn.IFNA(VLOOKUP($AI671,Programma!$F$3:$O$1107,10,0),"")</f>
        <v>5w</v>
      </c>
      <c r="AS671" s="300" t="str">
        <f>_xlfn.IFNA(VLOOKUP($AI671,Programma!$F$3:$P$1107,11,0),"")</f>
        <v>5w</v>
      </c>
      <c r="AT671" s="300" t="str">
        <f>_xlfn.IFNA(VLOOKUP($AI671,Programma!$F$3:$Q$1107,12,0),"")</f>
        <v>1w</v>
      </c>
      <c r="AU671" s="300" t="str">
        <f>_xlfn.IFNA(VLOOKUP($AI671,Programma!$F$3:$R$1107,13,0),"")</f>
        <v>1w</v>
      </c>
      <c r="AV671" s="300" t="str">
        <f>_xlfn.IFNA(VLOOKUP($AI671,Programma!$F$3:$S$1107,14,0),"")</f>
        <v>1m</v>
      </c>
      <c r="AW671" s="300" t="str">
        <f>_xlfn.IFNA(VLOOKUP($AI671,Programma!$F$3:$T$1107,15,0),"")</f>
        <v>2j</v>
      </c>
      <c r="AX671" s="300" t="str">
        <f>_xlfn.IFNA(VLOOKUP($AI671,Programma!$F$3:$U$1107,16,0),"")</f>
        <v>1j</v>
      </c>
      <c r="AY671" s="300" t="str">
        <f>_xlfn.IFNA(VLOOKUP($AI671,Programma!$F$3:$V$1107,17,0),"")</f>
        <v>_</v>
      </c>
      <c r="AZ671" s="300" t="str">
        <f>_xlfn.IFNA(VLOOKUP($AI671,Programma!$F$3:$W$1107,18,0),"")</f>
        <v>_</v>
      </c>
      <c r="BA671" s="300" t="str">
        <f>_xlfn.IFNA(VLOOKUP($AI671,Programma!$F$3:$X$1107,19,0),"")</f>
        <v>_</v>
      </c>
      <c r="BB671" s="300" t="str">
        <f>_xlfn.IFNA(VLOOKUP($AI671,Programma!$F$3:$Y$1107,20,0),"")</f>
        <v>_</v>
      </c>
      <c r="BC671" s="257"/>
      <c r="BD671" s="256" t="str">
        <f>IF(Ruimtestaat[[#This Row],[Frequentie weekend]]="","",_xlfn.CONCAT(Ruimtestaat[[#This Row],[Ruimte code]],"-",Ruimtestaat[[#This Row],[Frequentie weekend]]," ",Ruimtestaat[[#This Row],[Vloer code]]))</f>
        <v/>
      </c>
      <c r="BE671" s="300" t="str">
        <f>_xlfn.IFNA(VLOOKUP($BD671,Programma!$F$3:$G$1107,2,0),"")</f>
        <v/>
      </c>
      <c r="BF671" s="300" t="str">
        <f>_xlfn.IFNA(VLOOKUP($BD671,Programma!$F$3:$H$1107,3,0),"")</f>
        <v/>
      </c>
      <c r="BG671" s="300" t="str">
        <f>_xlfn.IFNA(VLOOKUP($BD671,Programma!$F$3:$I$1107,4,0),"")</f>
        <v/>
      </c>
      <c r="BH671" s="300" t="str">
        <f>_xlfn.IFNA(VLOOKUP($BD671,Programma!$F$3:$J$1107,5,0),"")</f>
        <v/>
      </c>
      <c r="BI671" s="300" t="str">
        <f>_xlfn.IFNA(VLOOKUP($BD671,Programma!$F$3:$K$1107,6,0),"")</f>
        <v/>
      </c>
      <c r="BJ671" s="300" t="str">
        <f>_xlfn.IFNA(VLOOKUP($BD671,Programma!$F$3:$L$1107,7,0),"")</f>
        <v/>
      </c>
      <c r="BK671" s="300" t="str">
        <f>_xlfn.IFNA(VLOOKUP($BD671,Programma!$F$3:$M$1107,8,0),"")</f>
        <v/>
      </c>
      <c r="BL671" s="300" t="str">
        <f>_xlfn.IFNA(VLOOKUP($BD671,Programma!$F$3:$N$1107,9,0),"")</f>
        <v/>
      </c>
      <c r="BM671" s="300" t="str">
        <f>_xlfn.IFNA(VLOOKUP($BD671,Programma!$F$3:$O$1107,10,0),"")</f>
        <v/>
      </c>
      <c r="BN671" s="300" t="str">
        <f>_xlfn.IFNA(VLOOKUP($BD671,Programma!$F$3:$P$1107,11,0),"")</f>
        <v/>
      </c>
      <c r="BO671" s="300" t="str">
        <f>_xlfn.IFNA(VLOOKUP($BD671,Programma!$F$3:$Q$1107,12,0),"")</f>
        <v/>
      </c>
      <c r="BP671" s="300" t="str">
        <f>_xlfn.IFNA(VLOOKUP($BD671,Programma!$F$3:$R$1107,13,0),"")</f>
        <v/>
      </c>
      <c r="BQ671" s="300" t="str">
        <f>_xlfn.IFNA(VLOOKUP($BD671,Programma!$F$3:$S$1107,14,0),"")</f>
        <v/>
      </c>
      <c r="BR671" s="300" t="str">
        <f>_xlfn.IFNA(VLOOKUP($BD671,Programma!$F$3:$T$1107,15,0),"")</f>
        <v/>
      </c>
      <c r="BS671" s="300" t="str">
        <f>_xlfn.IFNA(VLOOKUP($BD671,Programma!$F$3:$U$1107,16,0),"")</f>
        <v/>
      </c>
      <c r="BT671" s="300" t="str">
        <f>_xlfn.IFNA(VLOOKUP($BD671,Programma!$F$3:$V$1107,17,0),"")</f>
        <v/>
      </c>
      <c r="BU671" s="300" t="str">
        <f>_xlfn.IFNA(VLOOKUP($BD671,Programma!$F$3:$W$1107,18,0),"")</f>
        <v/>
      </c>
      <c r="BV671" s="300" t="str">
        <f>_xlfn.IFNA(VLOOKUP($BD671,Programma!$F$3:$X$1107,19,0),"")</f>
        <v/>
      </c>
      <c r="BW671" s="300" t="str">
        <f>_xlfn.IFNA(VLOOKUP($BD671,Programma!$F$3:$Y$1107,20,0),"")</f>
        <v/>
      </c>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c r="GK671" s="4"/>
      <c r="GL671" s="4"/>
      <c r="GM671" s="4"/>
      <c r="GN671" s="4"/>
      <c r="GO671" s="4"/>
      <c r="GP671" s="4"/>
      <c r="GQ671" s="4"/>
      <c r="GR671" s="4"/>
      <c r="GS671" s="4"/>
      <c r="GT671" s="4"/>
      <c r="GU671" s="4"/>
      <c r="GV671" s="4"/>
      <c r="GW671" s="4"/>
      <c r="GX671" s="4"/>
      <c r="GY671" s="4"/>
      <c r="GZ671" s="4"/>
      <c r="HA671" s="4"/>
      <c r="HB671" s="4"/>
      <c r="HC671" s="4"/>
      <c r="HD671" s="4"/>
      <c r="HE671" s="4"/>
      <c r="HF671" s="4"/>
      <c r="HG671" s="4"/>
      <c r="HH671" s="4"/>
      <c r="HI671" s="4"/>
      <c r="HJ671" s="4"/>
      <c r="HK671" s="4"/>
      <c r="HL671" s="4"/>
    </row>
    <row r="672" spans="1:220" ht="15" customHeight="1">
      <c r="A672" s="21">
        <v>8</v>
      </c>
      <c r="B672" s="157" t="str">
        <f>VLOOKUP(Ruimtestaat[[#This Row],[Code]],Locaties[[Code]:[Locatie]],2,FALSE)</f>
        <v>Dalton College</v>
      </c>
      <c r="C672" s="157" t="str">
        <f>VLOOKUP(Ruimtestaat[[#This Row],[Code]],Locaties[[#All],[Code]:[Adres]],4,FALSE)</f>
        <v>Loolaan 125</v>
      </c>
      <c r="D672" s="157" t="str">
        <f>VLOOKUP(Ruimtestaat[[#This Row],[Code]],Locaties[[#All],[Code]:[Postcode]],5,FALSE)</f>
        <v xml:space="preserve">2271 TM </v>
      </c>
      <c r="E672" s="157" t="str">
        <f>VLOOKUP(Ruimtestaat[[#This Row],[Code]],Locaties[#All],6,FALSE)</f>
        <v>Voorburg</v>
      </c>
      <c r="F672" s="62"/>
      <c r="G672" s="21" t="s">
        <v>1632</v>
      </c>
      <c r="H672" s="21">
        <v>9</v>
      </c>
      <c r="I672" s="62" t="s">
        <v>2204</v>
      </c>
      <c r="J672" s="21">
        <v>1</v>
      </c>
      <c r="K672" s="62" t="str">
        <f>VLOOKUP(Ruimtestaat[[#This Row],[Ruimte code]],Ruimtegroepen[[#All],[Code]:[Ruimte omschrijving]],2,FALSE)</f>
        <v>Magazijnen/bergingen</v>
      </c>
      <c r="L672" s="33" t="s">
        <v>101</v>
      </c>
      <c r="M672" s="367" t="s">
        <v>2495</v>
      </c>
      <c r="N672" s="140">
        <v>4</v>
      </c>
      <c r="O672" s="140"/>
      <c r="P672" s="125" t="str">
        <f>VLOOKUP(Ruimtestaat[[#This Row],[Ruimte code]],Ruimtegroepen[],4,FALSE)</f>
        <v>Ve</v>
      </c>
      <c r="R672" s="33">
        <v>40</v>
      </c>
      <c r="S672" s="33" t="s">
        <v>16</v>
      </c>
      <c r="T672" s="33">
        <f>IF(R672&gt;0,IF(RIGHT(Ruimtestaat[[#This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672" s="33">
        <f>IF(T672&gt;0,VLOOKUP($J672,Ruimtegroepen[],3,FALSE)*VLOOKUP($L672,Vloersoorten[],3,FALSE)*VLOOKUP($S672,Frequenties[],3,FALSE)*VLOOKUP($A672,Locaties[],3,FALSE),0)</f>
        <v>0</v>
      </c>
      <c r="V672" s="33">
        <f>Ruimtestaat[[#This Row],[Uitvoeringen werkdagen]]*Ruimtestaat[[#This Row],[Oppervlak (netto)]]</f>
        <v>48</v>
      </c>
      <c r="W672" s="154">
        <f>IF(U672&gt;0,Ruimtestaat[[#This Row],[Prest. (m2 /jaar) werkdagen]]/Ruimtestaat[[#This Row],[Norm (m2/uur) werkdagen]],0)</f>
        <v>0</v>
      </c>
      <c r="X672" s="155">
        <f>Ruimtestaat[[#This Row],[uren / jaar werkdagen]]*Tariefsopbouw!$E$35</f>
        <v>0</v>
      </c>
      <c r="Y672" s="33"/>
      <c r="Z672" s="33">
        <f>IF(Ruimtestaat[[#This Row],[Frequentie weekend]]&gt;0,VALUE(LEFT(Y672,1))*R672,0)</f>
        <v>0</v>
      </c>
      <c r="AA672" s="97">
        <f>IF($Z672&gt;0,VLOOKUP($J672,Ruimtegroepen[],3,FALSE)*VLOOKUP($L672,Vloersoorten[],3,FALSE)*VLOOKUP($Y672,Frequenties[],3,FALSE)*VLOOKUP(Ruimtestaat[[#This Row],[Code]],Locaties[],3,FALSE),0)</f>
        <v>0</v>
      </c>
      <c r="AB672" s="97">
        <f>Ruimtestaat[[#This Row],[Uitvoeringen weekend]]*Ruimtestaat[[#This Row],[Oppervlak (netto)]]</f>
        <v>0</v>
      </c>
      <c r="AC672" s="97">
        <f>IF(AA672&gt;0,Ruimtestaat[[#This Row],[Prest. (m2 /jaar) weekend]]/Ruimtestaat[[#This Row],[Norm (m2/uur) weekend]],0)</f>
        <v>0</v>
      </c>
      <c r="AD672" s="155">
        <f>Ruimtestaat[[#This Row],[uren / jaar weekend]]*Tariefsopbouw!$D$40</f>
        <v>0</v>
      </c>
      <c r="AE672" s="154">
        <f>Ruimtestaat[[#This Row],[Prest. (m2 /jaar) weekend]]+Ruimtestaat[[#This Row],[Prest. (m2 /jaar) werkdagen]]</f>
        <v>48</v>
      </c>
      <c r="AF672" s="154">
        <f>Ruimtestaat[[#This Row],[uren / jaar weekend]]+Ruimtestaat[[#This Row],[uren / jaar werkdagen]]</f>
        <v>0</v>
      </c>
      <c r="AG672" s="69">
        <f>Ruimtestaat[[#This Row],[kosten / jaar weekend]]+Ruimtestaat[[#This Row],[kosten / jaar werkdagen]]</f>
        <v>0</v>
      </c>
      <c r="AH672" s="69"/>
      <c r="AI672" s="256" t="str">
        <f>IF(Ruimtestaat[[#This Row],[Frequentie werkdagen]]="","",_xlfn.CONCAT(Ruimtestaat[[#This Row],[Ruimte code]],"-",Ruimtestaat[[#This Row],[Frequentie werkdagen]]," ",Ruimtestaat[[#This Row],[Vloer code]]))</f>
        <v>1-1m L</v>
      </c>
      <c r="AJ672" s="300" t="str">
        <f>_xlfn.IFNA(VLOOKUP($AI672,Programma!$F$3:$G$1107,2,0),"")</f>
        <v>_</v>
      </c>
      <c r="AK672" s="300" t="str">
        <f>_xlfn.IFNA(VLOOKUP($AI672,Programma!$F$3:$H$1107,3,0),"")</f>
        <v>_</v>
      </c>
      <c r="AL672" s="300" t="str">
        <f>_xlfn.IFNA(VLOOKUP($AI672,Programma!$F$3:$I$1107,4,0),"")</f>
        <v>1m</v>
      </c>
      <c r="AM672" s="300" t="str">
        <f>_xlfn.IFNA(VLOOKUP($AI672,Programma!$F$3:$J$1107,5,0),"")</f>
        <v>1m</v>
      </c>
      <c r="AN672" s="300" t="str">
        <f>_xlfn.IFNA(VLOOKUP($AI672,Programma!$F$3:$K$1107,6,0),"")</f>
        <v>_</v>
      </c>
      <c r="AO672" s="300" t="str">
        <f>_xlfn.IFNA(VLOOKUP($AI672,Programma!$F$3:$L$1107,7,0),"")</f>
        <v>_</v>
      </c>
      <c r="AP672" s="300" t="str">
        <f>_xlfn.IFNA(VLOOKUP($AI672,Programma!$F$3:$M$1107,8,0),"")</f>
        <v>_</v>
      </c>
      <c r="AQ672" s="300" t="str">
        <f>_xlfn.IFNA(VLOOKUP($AI672,Programma!$F$3:$N$1107,9,0),"")</f>
        <v>_</v>
      </c>
      <c r="AR672" s="300" t="str">
        <f>_xlfn.IFNA(VLOOKUP($AI672,Programma!$F$3:$O$1107,10,0),"")</f>
        <v>_</v>
      </c>
      <c r="AS672" s="300" t="str">
        <f>_xlfn.IFNA(VLOOKUP($AI672,Programma!$F$3:$P$1107,11,0),"")</f>
        <v>_</v>
      </c>
      <c r="AT672" s="300" t="str">
        <f>_xlfn.IFNA(VLOOKUP($AI672,Programma!$F$3:$Q$1107,12,0),"")</f>
        <v>_</v>
      </c>
      <c r="AU672" s="300" t="str">
        <f>_xlfn.IFNA(VLOOKUP($AI672,Programma!$F$3:$R$1107,13,0),"")</f>
        <v>_</v>
      </c>
      <c r="AV672" s="300" t="str">
        <f>_xlfn.IFNA(VLOOKUP($AI672,Programma!$F$3:$S$1107,14,0),"")</f>
        <v>1m</v>
      </c>
      <c r="AW672" s="300" t="str">
        <f>_xlfn.IFNA(VLOOKUP($AI672,Programma!$F$3:$T$1107,15,0),"")</f>
        <v>4j</v>
      </c>
      <c r="AX672" s="300" t="str">
        <f>_xlfn.IFNA(VLOOKUP($AI672,Programma!$F$3:$U$1107,16,0),"")</f>
        <v>4j</v>
      </c>
      <c r="AY672" s="300" t="str">
        <f>_xlfn.IFNA(VLOOKUP($AI672,Programma!$F$3:$V$1107,17,0),"")</f>
        <v>_</v>
      </c>
      <c r="AZ672" s="300" t="str">
        <f>_xlfn.IFNA(VLOOKUP($AI672,Programma!$F$3:$W$1107,18,0),"")</f>
        <v>_</v>
      </c>
      <c r="BA672" s="300" t="str">
        <f>_xlfn.IFNA(VLOOKUP($AI672,Programma!$F$3:$X$1107,19,0),"")</f>
        <v>_</v>
      </c>
      <c r="BB672" s="300" t="str">
        <f>_xlfn.IFNA(VLOOKUP($AI672,Programma!$F$3:$Y$1107,20,0),"")</f>
        <v>_</v>
      </c>
      <c r="BC672" s="257"/>
      <c r="BD672" s="256" t="str">
        <f>IF(Ruimtestaat[[#This Row],[Frequentie weekend]]="","",_xlfn.CONCAT(Ruimtestaat[[#This Row],[Ruimte code]],"-",Ruimtestaat[[#This Row],[Frequentie weekend]]," ",Ruimtestaat[[#This Row],[Vloer code]]))</f>
        <v/>
      </c>
      <c r="BE672" s="300" t="str">
        <f>_xlfn.IFNA(VLOOKUP($BD672,Programma!$F$3:$G$1107,2,0),"")</f>
        <v/>
      </c>
      <c r="BF672" s="300" t="str">
        <f>_xlfn.IFNA(VLOOKUP($BD672,Programma!$F$3:$H$1107,3,0),"")</f>
        <v/>
      </c>
      <c r="BG672" s="300" t="str">
        <f>_xlfn.IFNA(VLOOKUP($BD672,Programma!$F$3:$I$1107,4,0),"")</f>
        <v/>
      </c>
      <c r="BH672" s="300" t="str">
        <f>_xlfn.IFNA(VLOOKUP($BD672,Programma!$F$3:$J$1107,5,0),"")</f>
        <v/>
      </c>
      <c r="BI672" s="300" t="str">
        <f>_xlfn.IFNA(VLOOKUP($BD672,Programma!$F$3:$K$1107,6,0),"")</f>
        <v/>
      </c>
      <c r="BJ672" s="300" t="str">
        <f>_xlfn.IFNA(VLOOKUP($BD672,Programma!$F$3:$L$1107,7,0),"")</f>
        <v/>
      </c>
      <c r="BK672" s="300" t="str">
        <f>_xlfn.IFNA(VLOOKUP($BD672,Programma!$F$3:$M$1107,8,0),"")</f>
        <v/>
      </c>
      <c r="BL672" s="300" t="str">
        <f>_xlfn.IFNA(VLOOKUP($BD672,Programma!$F$3:$N$1107,9,0),"")</f>
        <v/>
      </c>
      <c r="BM672" s="300" t="str">
        <f>_xlfn.IFNA(VLOOKUP($BD672,Programma!$F$3:$O$1107,10,0),"")</f>
        <v/>
      </c>
      <c r="BN672" s="300" t="str">
        <f>_xlfn.IFNA(VLOOKUP($BD672,Programma!$F$3:$P$1107,11,0),"")</f>
        <v/>
      </c>
      <c r="BO672" s="300" t="str">
        <f>_xlfn.IFNA(VLOOKUP($BD672,Programma!$F$3:$Q$1107,12,0),"")</f>
        <v/>
      </c>
      <c r="BP672" s="300" t="str">
        <f>_xlfn.IFNA(VLOOKUP($BD672,Programma!$F$3:$R$1107,13,0),"")</f>
        <v/>
      </c>
      <c r="BQ672" s="300" t="str">
        <f>_xlfn.IFNA(VLOOKUP($BD672,Programma!$F$3:$S$1107,14,0),"")</f>
        <v/>
      </c>
      <c r="BR672" s="300" t="str">
        <f>_xlfn.IFNA(VLOOKUP($BD672,Programma!$F$3:$T$1107,15,0),"")</f>
        <v/>
      </c>
      <c r="BS672" s="300" t="str">
        <f>_xlfn.IFNA(VLOOKUP($BD672,Programma!$F$3:$U$1107,16,0),"")</f>
        <v/>
      </c>
      <c r="BT672" s="300" t="str">
        <f>_xlfn.IFNA(VLOOKUP($BD672,Programma!$F$3:$V$1107,17,0),"")</f>
        <v/>
      </c>
      <c r="BU672" s="300" t="str">
        <f>_xlfn.IFNA(VLOOKUP($BD672,Programma!$F$3:$W$1107,18,0),"")</f>
        <v/>
      </c>
      <c r="BV672" s="300" t="str">
        <f>_xlfn.IFNA(VLOOKUP($BD672,Programma!$F$3:$X$1107,19,0),"")</f>
        <v/>
      </c>
      <c r="BW672" s="300" t="str">
        <f>_xlfn.IFNA(VLOOKUP($BD672,Programma!$F$3:$Y$1107,20,0),"")</f>
        <v/>
      </c>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c r="GK672" s="4"/>
      <c r="GL672" s="4"/>
      <c r="GM672" s="4"/>
      <c r="GN672" s="4"/>
      <c r="GO672" s="4"/>
      <c r="GP672" s="4"/>
      <c r="GQ672" s="4"/>
      <c r="GR672" s="4"/>
      <c r="GS672" s="4"/>
      <c r="GT672" s="4"/>
      <c r="GU672" s="4"/>
      <c r="GV672" s="4"/>
      <c r="GW672" s="4"/>
      <c r="GX672" s="4"/>
      <c r="GY672" s="4"/>
      <c r="GZ672" s="4"/>
      <c r="HA672" s="4"/>
      <c r="HB672" s="4"/>
      <c r="HC672" s="4"/>
      <c r="HD672" s="4"/>
      <c r="HE672" s="4"/>
      <c r="HF672" s="4"/>
      <c r="HG672" s="4"/>
      <c r="HH672" s="4"/>
      <c r="HI672" s="4"/>
      <c r="HJ672" s="4"/>
      <c r="HK672" s="4"/>
      <c r="HL672" s="4"/>
    </row>
    <row r="673" spans="1:220" ht="15" customHeight="1">
      <c r="A673" s="21">
        <v>8</v>
      </c>
      <c r="B673" s="157" t="str">
        <f>VLOOKUP(Ruimtestaat[[#This Row],[Code]],Locaties[[Code]:[Locatie]],2,FALSE)</f>
        <v>Dalton College</v>
      </c>
      <c r="C673" s="157" t="str">
        <f>VLOOKUP(Ruimtestaat[[#This Row],[Code]],Locaties[[#All],[Code]:[Adres]],4,FALSE)</f>
        <v>Loolaan 125</v>
      </c>
      <c r="D673" s="157" t="str">
        <f>VLOOKUP(Ruimtestaat[[#This Row],[Code]],Locaties[[#All],[Code]:[Postcode]],5,FALSE)</f>
        <v xml:space="preserve">2271 TM </v>
      </c>
      <c r="E673" s="157" t="str">
        <f>VLOOKUP(Ruimtestaat[[#This Row],[Code]],Locaties[#All],6,FALSE)</f>
        <v>Voorburg</v>
      </c>
      <c r="F673" s="62"/>
      <c r="G673" s="21" t="s">
        <v>1632</v>
      </c>
      <c r="H673" s="21">
        <v>10</v>
      </c>
      <c r="I673" s="62" t="s">
        <v>2205</v>
      </c>
      <c r="J673" s="21">
        <v>2</v>
      </c>
      <c r="K673" s="62" t="str">
        <f>VLOOKUP(Ruimtestaat[[#This Row],[Ruimte code]],Ruimtegroepen[[#All],[Code]:[Ruimte omschrijving]],2,FALSE)</f>
        <v>Kantoren</v>
      </c>
      <c r="L673" s="33" t="s">
        <v>101</v>
      </c>
      <c r="M673" s="367" t="s">
        <v>2495</v>
      </c>
      <c r="N673" s="140">
        <v>6</v>
      </c>
      <c r="O673" s="140"/>
      <c r="P673" s="125" t="str">
        <f>VLOOKUP(Ruimtestaat[[#This Row],[Ruimte code]],Ruimtegroepen[],4,FALSE)</f>
        <v>Bu</v>
      </c>
      <c r="R673" s="33">
        <v>42</v>
      </c>
      <c r="S673" s="33" t="s">
        <v>18</v>
      </c>
      <c r="T673" s="33">
        <f>IF(R673&gt;0,IF(RIGHT(Ruimtestaat[[#This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73" s="33">
        <f>IF(T673&gt;0,VLOOKUP($J673,Ruimtegroepen[],3,FALSE)*VLOOKUP($L673,Vloersoorten[],3,FALSE)*VLOOKUP($S673,Frequenties[],3,FALSE)*VLOOKUP($A673,Locaties[],3,FALSE),0)</f>
        <v>0</v>
      </c>
      <c r="V673" s="33">
        <f>Ruimtestaat[[#This Row],[Uitvoeringen werkdagen]]*Ruimtestaat[[#This Row],[Oppervlak (netto)]]</f>
        <v>756</v>
      </c>
      <c r="W673" s="154">
        <f>IF(U673&gt;0,Ruimtestaat[[#This Row],[Prest. (m2 /jaar) werkdagen]]/Ruimtestaat[[#This Row],[Norm (m2/uur) werkdagen]],0)</f>
        <v>0</v>
      </c>
      <c r="X673" s="155">
        <f>Ruimtestaat[[#This Row],[uren / jaar werkdagen]]*Tariefsopbouw!$E$35</f>
        <v>0</v>
      </c>
      <c r="Y673" s="33"/>
      <c r="Z673" s="33">
        <f>IF(Ruimtestaat[[#This Row],[Frequentie weekend]]&gt;0,VALUE(LEFT(Y673,1))*R673,0)</f>
        <v>0</v>
      </c>
      <c r="AA673" s="97">
        <f>IF($Z673&gt;0,VLOOKUP($J673,Ruimtegroepen[],3,FALSE)*VLOOKUP($L673,Vloersoorten[],3,FALSE)*VLOOKUP($Y673,Frequenties[],3,FALSE)*VLOOKUP(Ruimtestaat[[#This Row],[Code]],Locaties[],3,FALSE),0)</f>
        <v>0</v>
      </c>
      <c r="AB673" s="97">
        <f>Ruimtestaat[[#This Row],[Uitvoeringen weekend]]*Ruimtestaat[[#This Row],[Oppervlak (netto)]]</f>
        <v>0</v>
      </c>
      <c r="AC673" s="97">
        <f>IF(AA673&gt;0,Ruimtestaat[[#This Row],[Prest. (m2 /jaar) weekend]]/Ruimtestaat[[#This Row],[Norm (m2/uur) weekend]],0)</f>
        <v>0</v>
      </c>
      <c r="AD673" s="155">
        <f>Ruimtestaat[[#This Row],[uren / jaar weekend]]*Tariefsopbouw!$D$40</f>
        <v>0</v>
      </c>
      <c r="AE673" s="154">
        <f>Ruimtestaat[[#This Row],[Prest. (m2 /jaar) weekend]]+Ruimtestaat[[#This Row],[Prest. (m2 /jaar) werkdagen]]</f>
        <v>756</v>
      </c>
      <c r="AF673" s="154">
        <f>Ruimtestaat[[#This Row],[uren / jaar weekend]]+Ruimtestaat[[#This Row],[uren / jaar werkdagen]]</f>
        <v>0</v>
      </c>
      <c r="AG673" s="69">
        <f>Ruimtestaat[[#This Row],[kosten / jaar weekend]]+Ruimtestaat[[#This Row],[kosten / jaar werkdagen]]</f>
        <v>0</v>
      </c>
      <c r="AH673" s="69"/>
      <c r="AI673" s="256" t="str">
        <f>IF(Ruimtestaat[[#This Row],[Frequentie werkdagen]]="","",_xlfn.CONCAT(Ruimtestaat[[#This Row],[Ruimte code]],"-",Ruimtestaat[[#This Row],[Frequentie werkdagen]]," ",Ruimtestaat[[#This Row],[Vloer code]]))</f>
        <v>2-3w L</v>
      </c>
      <c r="AJ673" s="300" t="str">
        <f>_xlfn.IFNA(VLOOKUP($AI673,Programma!$F$3:$G$1107,2,0),"")</f>
        <v>_</v>
      </c>
      <c r="AK673" s="300" t="str">
        <f>_xlfn.IFNA(VLOOKUP($AI673,Programma!$F$3:$H$1107,3,0),"")</f>
        <v>_</v>
      </c>
      <c r="AL673" s="300" t="str">
        <f>_xlfn.IFNA(VLOOKUP($AI673,Programma!$F$3:$I$1107,4,0),"")</f>
        <v>2w</v>
      </c>
      <c r="AM673" s="300" t="str">
        <f>_xlfn.IFNA(VLOOKUP($AI673,Programma!$F$3:$J$1107,5,0),"")</f>
        <v>1w</v>
      </c>
      <c r="AN673" s="300" t="str">
        <f>_xlfn.IFNA(VLOOKUP($AI673,Programma!$F$3:$K$1107,6,0),"")</f>
        <v>_</v>
      </c>
      <c r="AO673" s="300" t="str">
        <f>_xlfn.IFNA(VLOOKUP($AI673,Programma!$F$3:$L$1107,7,0),"")</f>
        <v>_</v>
      </c>
      <c r="AP673" s="300" t="str">
        <f>_xlfn.IFNA(VLOOKUP($AI673,Programma!$F$3:$M$1107,8,0),"")</f>
        <v>_</v>
      </c>
      <c r="AQ673" s="300" t="str">
        <f>_xlfn.IFNA(VLOOKUP($AI673,Programma!$F$3:$N$1107,9,0),"")</f>
        <v>_</v>
      </c>
      <c r="AR673" s="300" t="str">
        <f>_xlfn.IFNA(VLOOKUP($AI673,Programma!$F$3:$O$1107,10,0),"")</f>
        <v>3w</v>
      </c>
      <c r="AS673" s="300" t="str">
        <f>_xlfn.IFNA(VLOOKUP($AI673,Programma!$F$3:$P$1107,11,0),"")</f>
        <v>3w</v>
      </c>
      <c r="AT673" s="300" t="str">
        <f>_xlfn.IFNA(VLOOKUP($AI673,Programma!$F$3:$Q$1107,12,0),"")</f>
        <v>1w</v>
      </c>
      <c r="AU673" s="300" t="str">
        <f>_xlfn.IFNA(VLOOKUP($AI673,Programma!$F$3:$R$1107,13,0),"")</f>
        <v>1w</v>
      </c>
      <c r="AV673" s="300" t="str">
        <f>_xlfn.IFNA(VLOOKUP($AI673,Programma!$F$3:$S$1107,14,0),"")</f>
        <v>1m</v>
      </c>
      <c r="AW673" s="300" t="str">
        <f>_xlfn.IFNA(VLOOKUP($AI673,Programma!$F$3:$T$1107,15,0),"")</f>
        <v>2j</v>
      </c>
      <c r="AX673" s="300" t="str">
        <f>_xlfn.IFNA(VLOOKUP($AI673,Programma!$F$3:$U$1107,16,0),"")</f>
        <v>1j</v>
      </c>
      <c r="AY673" s="300" t="str">
        <f>_xlfn.IFNA(VLOOKUP($AI673,Programma!$F$3:$V$1107,17,0),"")</f>
        <v>_</v>
      </c>
      <c r="AZ673" s="300" t="str">
        <f>_xlfn.IFNA(VLOOKUP($AI673,Programma!$F$3:$W$1107,18,0),"")</f>
        <v>_</v>
      </c>
      <c r="BA673" s="300" t="str">
        <f>_xlfn.IFNA(VLOOKUP($AI673,Programma!$F$3:$X$1107,19,0),"")</f>
        <v>_</v>
      </c>
      <c r="BB673" s="300" t="str">
        <f>_xlfn.IFNA(VLOOKUP($AI673,Programma!$F$3:$Y$1107,20,0),"")</f>
        <v>_</v>
      </c>
      <c r="BC673" s="257"/>
      <c r="BD673" s="256" t="str">
        <f>IF(Ruimtestaat[[#This Row],[Frequentie weekend]]="","",_xlfn.CONCAT(Ruimtestaat[[#This Row],[Ruimte code]],"-",Ruimtestaat[[#This Row],[Frequentie weekend]]," ",Ruimtestaat[[#This Row],[Vloer code]]))</f>
        <v/>
      </c>
      <c r="BE673" s="300" t="str">
        <f>_xlfn.IFNA(VLOOKUP($BD673,Programma!$F$3:$G$1107,2,0),"")</f>
        <v/>
      </c>
      <c r="BF673" s="300" t="str">
        <f>_xlfn.IFNA(VLOOKUP($BD673,Programma!$F$3:$H$1107,3,0),"")</f>
        <v/>
      </c>
      <c r="BG673" s="300" t="str">
        <f>_xlfn.IFNA(VLOOKUP($BD673,Programma!$F$3:$I$1107,4,0),"")</f>
        <v/>
      </c>
      <c r="BH673" s="300" t="str">
        <f>_xlfn.IFNA(VLOOKUP($BD673,Programma!$F$3:$J$1107,5,0),"")</f>
        <v/>
      </c>
      <c r="BI673" s="300" t="str">
        <f>_xlfn.IFNA(VLOOKUP($BD673,Programma!$F$3:$K$1107,6,0),"")</f>
        <v/>
      </c>
      <c r="BJ673" s="300" t="str">
        <f>_xlfn.IFNA(VLOOKUP($BD673,Programma!$F$3:$L$1107,7,0),"")</f>
        <v/>
      </c>
      <c r="BK673" s="300" t="str">
        <f>_xlfn.IFNA(VLOOKUP($BD673,Programma!$F$3:$M$1107,8,0),"")</f>
        <v/>
      </c>
      <c r="BL673" s="300" t="str">
        <f>_xlfn.IFNA(VLOOKUP($BD673,Programma!$F$3:$N$1107,9,0),"")</f>
        <v/>
      </c>
      <c r="BM673" s="300" t="str">
        <f>_xlfn.IFNA(VLOOKUP($BD673,Programma!$F$3:$O$1107,10,0),"")</f>
        <v/>
      </c>
      <c r="BN673" s="300" t="str">
        <f>_xlfn.IFNA(VLOOKUP($BD673,Programma!$F$3:$P$1107,11,0),"")</f>
        <v/>
      </c>
      <c r="BO673" s="300" t="str">
        <f>_xlfn.IFNA(VLOOKUP($BD673,Programma!$F$3:$Q$1107,12,0),"")</f>
        <v/>
      </c>
      <c r="BP673" s="300" t="str">
        <f>_xlfn.IFNA(VLOOKUP($BD673,Programma!$F$3:$R$1107,13,0),"")</f>
        <v/>
      </c>
      <c r="BQ673" s="300" t="str">
        <f>_xlfn.IFNA(VLOOKUP($BD673,Programma!$F$3:$S$1107,14,0),"")</f>
        <v/>
      </c>
      <c r="BR673" s="300" t="str">
        <f>_xlfn.IFNA(VLOOKUP($BD673,Programma!$F$3:$T$1107,15,0),"")</f>
        <v/>
      </c>
      <c r="BS673" s="300" t="str">
        <f>_xlfn.IFNA(VLOOKUP($BD673,Programma!$F$3:$U$1107,16,0),"")</f>
        <v/>
      </c>
      <c r="BT673" s="300" t="str">
        <f>_xlfn.IFNA(VLOOKUP($BD673,Programma!$F$3:$V$1107,17,0),"")</f>
        <v/>
      </c>
      <c r="BU673" s="300" t="str">
        <f>_xlfn.IFNA(VLOOKUP($BD673,Programma!$F$3:$W$1107,18,0),"")</f>
        <v/>
      </c>
      <c r="BV673" s="300" t="str">
        <f>_xlfn.IFNA(VLOOKUP($BD673,Programma!$F$3:$X$1107,19,0),"")</f>
        <v/>
      </c>
      <c r="BW673" s="300" t="str">
        <f>_xlfn.IFNA(VLOOKUP($BD673,Programma!$F$3:$Y$1107,20,0),"")</f>
        <v/>
      </c>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c r="GB673" s="4"/>
      <c r="GC673" s="4"/>
      <c r="GD673" s="4"/>
      <c r="GE673" s="4"/>
      <c r="GF673" s="4"/>
      <c r="GG673" s="4"/>
      <c r="GH673" s="4"/>
      <c r="GI673" s="4"/>
      <c r="GJ673" s="4"/>
      <c r="GK673" s="4"/>
      <c r="GL673" s="4"/>
      <c r="GM673" s="4"/>
      <c r="GN673" s="4"/>
      <c r="GO673" s="4"/>
      <c r="GP673" s="4"/>
      <c r="GQ673" s="4"/>
      <c r="GR673" s="4"/>
      <c r="GS673" s="4"/>
      <c r="GT673" s="4"/>
      <c r="GU673" s="4"/>
      <c r="GV673" s="4"/>
      <c r="GW673" s="4"/>
      <c r="GX673" s="4"/>
      <c r="GY673" s="4"/>
      <c r="GZ673" s="4"/>
      <c r="HA673" s="4"/>
      <c r="HB673" s="4"/>
      <c r="HC673" s="4"/>
      <c r="HD673" s="4"/>
      <c r="HE673" s="4"/>
      <c r="HF673" s="4"/>
      <c r="HG673" s="4"/>
      <c r="HH673" s="4"/>
      <c r="HI673" s="4"/>
      <c r="HJ673" s="4"/>
      <c r="HK673" s="4"/>
      <c r="HL673" s="4"/>
    </row>
    <row r="674" spans="1:220" ht="15" customHeight="1">
      <c r="A674" s="21">
        <v>8</v>
      </c>
      <c r="B674" s="157" t="str">
        <f>VLOOKUP(Ruimtestaat[[#This Row],[Code]],Locaties[[Code]:[Locatie]],2,FALSE)</f>
        <v>Dalton College</v>
      </c>
      <c r="C674" s="157" t="str">
        <f>VLOOKUP(Ruimtestaat[[#This Row],[Code]],Locaties[[#All],[Code]:[Adres]],4,FALSE)</f>
        <v>Loolaan 125</v>
      </c>
      <c r="D674" s="157" t="str">
        <f>VLOOKUP(Ruimtestaat[[#This Row],[Code]],Locaties[[#All],[Code]:[Postcode]],5,FALSE)</f>
        <v xml:space="preserve">2271 TM </v>
      </c>
      <c r="E674" s="157" t="str">
        <f>VLOOKUP(Ruimtestaat[[#This Row],[Code]],Locaties[#All],6,FALSE)</f>
        <v>Voorburg</v>
      </c>
      <c r="F674" s="62"/>
      <c r="G674" s="21" t="s">
        <v>1632</v>
      </c>
      <c r="H674" s="21">
        <v>11</v>
      </c>
      <c r="I674" s="62" t="s">
        <v>2204</v>
      </c>
      <c r="J674" s="21">
        <v>1</v>
      </c>
      <c r="K674" s="62" t="str">
        <f>VLOOKUP(Ruimtestaat[[#This Row],[Ruimte code]],Ruimtegroepen[[#All],[Code]:[Ruimte omschrijving]],2,FALSE)</f>
        <v>Magazijnen/bergingen</v>
      </c>
      <c r="L674" s="33" t="s">
        <v>101</v>
      </c>
      <c r="M674" s="367" t="s">
        <v>2495</v>
      </c>
      <c r="N674" s="140">
        <v>11</v>
      </c>
      <c r="O674" s="140"/>
      <c r="P674" s="125" t="str">
        <f>VLOOKUP(Ruimtestaat[[#This Row],[Ruimte code]],Ruimtegroepen[],4,FALSE)</f>
        <v>Ve</v>
      </c>
      <c r="R674" s="33">
        <v>40</v>
      </c>
      <c r="S674" s="33" t="s">
        <v>16</v>
      </c>
      <c r="T674" s="33">
        <f>IF(R674&gt;0,IF(RIGHT(Ruimtestaat[[#This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674" s="33">
        <f>IF(T674&gt;0,VLOOKUP($J674,Ruimtegroepen[],3,FALSE)*VLOOKUP($L674,Vloersoorten[],3,FALSE)*VLOOKUP($S674,Frequenties[],3,FALSE)*VLOOKUP($A674,Locaties[],3,FALSE),0)</f>
        <v>0</v>
      </c>
      <c r="V674" s="33">
        <f>Ruimtestaat[[#This Row],[Uitvoeringen werkdagen]]*Ruimtestaat[[#This Row],[Oppervlak (netto)]]</f>
        <v>132</v>
      </c>
      <c r="W674" s="154">
        <f>IF(U674&gt;0,Ruimtestaat[[#This Row],[Prest. (m2 /jaar) werkdagen]]/Ruimtestaat[[#This Row],[Norm (m2/uur) werkdagen]],0)</f>
        <v>0</v>
      </c>
      <c r="X674" s="155">
        <f>Ruimtestaat[[#This Row],[uren / jaar werkdagen]]*Tariefsopbouw!$E$35</f>
        <v>0</v>
      </c>
      <c r="Y674" s="33"/>
      <c r="Z674" s="33">
        <f>IF(Ruimtestaat[[#This Row],[Frequentie weekend]]&gt;0,VALUE(LEFT(Y674,1))*R674,0)</f>
        <v>0</v>
      </c>
      <c r="AA674" s="97">
        <f>IF($Z674&gt;0,VLOOKUP($J674,Ruimtegroepen[],3,FALSE)*VLOOKUP($L674,Vloersoorten[],3,FALSE)*VLOOKUP($Y674,Frequenties[],3,FALSE)*VLOOKUP(Ruimtestaat[[#This Row],[Code]],Locaties[],3,FALSE),0)</f>
        <v>0</v>
      </c>
      <c r="AB674" s="97">
        <f>Ruimtestaat[[#This Row],[Uitvoeringen weekend]]*Ruimtestaat[[#This Row],[Oppervlak (netto)]]</f>
        <v>0</v>
      </c>
      <c r="AC674" s="97">
        <f>IF(AA674&gt;0,Ruimtestaat[[#This Row],[Prest. (m2 /jaar) weekend]]/Ruimtestaat[[#This Row],[Norm (m2/uur) weekend]],0)</f>
        <v>0</v>
      </c>
      <c r="AD674" s="155">
        <f>Ruimtestaat[[#This Row],[uren / jaar weekend]]*Tariefsopbouw!$D$40</f>
        <v>0</v>
      </c>
      <c r="AE674" s="154">
        <f>Ruimtestaat[[#This Row],[Prest. (m2 /jaar) weekend]]+Ruimtestaat[[#This Row],[Prest. (m2 /jaar) werkdagen]]</f>
        <v>132</v>
      </c>
      <c r="AF674" s="154">
        <f>Ruimtestaat[[#This Row],[uren / jaar weekend]]+Ruimtestaat[[#This Row],[uren / jaar werkdagen]]</f>
        <v>0</v>
      </c>
      <c r="AG674" s="69">
        <f>Ruimtestaat[[#This Row],[kosten / jaar weekend]]+Ruimtestaat[[#This Row],[kosten / jaar werkdagen]]</f>
        <v>0</v>
      </c>
      <c r="AH674" s="69"/>
      <c r="AI674" s="256" t="str">
        <f>IF(Ruimtestaat[[#This Row],[Frequentie werkdagen]]="","",_xlfn.CONCAT(Ruimtestaat[[#This Row],[Ruimte code]],"-",Ruimtestaat[[#This Row],[Frequentie werkdagen]]," ",Ruimtestaat[[#This Row],[Vloer code]]))</f>
        <v>1-1m L</v>
      </c>
      <c r="AJ674" s="300" t="str">
        <f>_xlfn.IFNA(VLOOKUP($AI674,Programma!$F$3:$G$1107,2,0),"")</f>
        <v>_</v>
      </c>
      <c r="AK674" s="300" t="str">
        <f>_xlfn.IFNA(VLOOKUP($AI674,Programma!$F$3:$H$1107,3,0),"")</f>
        <v>_</v>
      </c>
      <c r="AL674" s="300" t="str">
        <f>_xlfn.IFNA(VLOOKUP($AI674,Programma!$F$3:$I$1107,4,0),"")</f>
        <v>1m</v>
      </c>
      <c r="AM674" s="300" t="str">
        <f>_xlfn.IFNA(VLOOKUP($AI674,Programma!$F$3:$J$1107,5,0),"")</f>
        <v>1m</v>
      </c>
      <c r="AN674" s="300" t="str">
        <f>_xlfn.IFNA(VLOOKUP($AI674,Programma!$F$3:$K$1107,6,0),"")</f>
        <v>_</v>
      </c>
      <c r="AO674" s="300" t="str">
        <f>_xlfn.IFNA(VLOOKUP($AI674,Programma!$F$3:$L$1107,7,0),"")</f>
        <v>_</v>
      </c>
      <c r="AP674" s="300" t="str">
        <f>_xlfn.IFNA(VLOOKUP($AI674,Programma!$F$3:$M$1107,8,0),"")</f>
        <v>_</v>
      </c>
      <c r="AQ674" s="300" t="str">
        <f>_xlfn.IFNA(VLOOKUP($AI674,Programma!$F$3:$N$1107,9,0),"")</f>
        <v>_</v>
      </c>
      <c r="AR674" s="300" t="str">
        <f>_xlfn.IFNA(VLOOKUP($AI674,Programma!$F$3:$O$1107,10,0),"")</f>
        <v>_</v>
      </c>
      <c r="AS674" s="300" t="str">
        <f>_xlfn.IFNA(VLOOKUP($AI674,Programma!$F$3:$P$1107,11,0),"")</f>
        <v>_</v>
      </c>
      <c r="AT674" s="300" t="str">
        <f>_xlfn.IFNA(VLOOKUP($AI674,Programma!$F$3:$Q$1107,12,0),"")</f>
        <v>_</v>
      </c>
      <c r="AU674" s="300" t="str">
        <f>_xlfn.IFNA(VLOOKUP($AI674,Programma!$F$3:$R$1107,13,0),"")</f>
        <v>_</v>
      </c>
      <c r="AV674" s="300" t="str">
        <f>_xlfn.IFNA(VLOOKUP($AI674,Programma!$F$3:$S$1107,14,0),"")</f>
        <v>1m</v>
      </c>
      <c r="AW674" s="300" t="str">
        <f>_xlfn.IFNA(VLOOKUP($AI674,Programma!$F$3:$T$1107,15,0),"")</f>
        <v>4j</v>
      </c>
      <c r="AX674" s="300" t="str">
        <f>_xlfn.IFNA(VLOOKUP($AI674,Programma!$F$3:$U$1107,16,0),"")</f>
        <v>4j</v>
      </c>
      <c r="AY674" s="300" t="str">
        <f>_xlfn.IFNA(VLOOKUP($AI674,Programma!$F$3:$V$1107,17,0),"")</f>
        <v>_</v>
      </c>
      <c r="AZ674" s="300" t="str">
        <f>_xlfn.IFNA(VLOOKUP($AI674,Programma!$F$3:$W$1107,18,0),"")</f>
        <v>_</v>
      </c>
      <c r="BA674" s="300" t="str">
        <f>_xlfn.IFNA(VLOOKUP($AI674,Programma!$F$3:$X$1107,19,0),"")</f>
        <v>_</v>
      </c>
      <c r="BB674" s="300" t="str">
        <f>_xlfn.IFNA(VLOOKUP($AI674,Programma!$F$3:$Y$1107,20,0),"")</f>
        <v>_</v>
      </c>
      <c r="BC674" s="257"/>
      <c r="BD674" s="256" t="str">
        <f>IF(Ruimtestaat[[#This Row],[Frequentie weekend]]="","",_xlfn.CONCAT(Ruimtestaat[[#This Row],[Ruimte code]],"-",Ruimtestaat[[#This Row],[Frequentie weekend]]," ",Ruimtestaat[[#This Row],[Vloer code]]))</f>
        <v/>
      </c>
      <c r="BE674" s="300" t="str">
        <f>_xlfn.IFNA(VLOOKUP($BD674,Programma!$F$3:$G$1107,2,0),"")</f>
        <v/>
      </c>
      <c r="BF674" s="300" t="str">
        <f>_xlfn.IFNA(VLOOKUP($BD674,Programma!$F$3:$H$1107,3,0),"")</f>
        <v/>
      </c>
      <c r="BG674" s="300" t="str">
        <f>_xlfn.IFNA(VLOOKUP($BD674,Programma!$F$3:$I$1107,4,0),"")</f>
        <v/>
      </c>
      <c r="BH674" s="300" t="str">
        <f>_xlfn.IFNA(VLOOKUP($BD674,Programma!$F$3:$J$1107,5,0),"")</f>
        <v/>
      </c>
      <c r="BI674" s="300" t="str">
        <f>_xlfn.IFNA(VLOOKUP($BD674,Programma!$F$3:$K$1107,6,0),"")</f>
        <v/>
      </c>
      <c r="BJ674" s="300" t="str">
        <f>_xlfn.IFNA(VLOOKUP($BD674,Programma!$F$3:$L$1107,7,0),"")</f>
        <v/>
      </c>
      <c r="BK674" s="300" t="str">
        <f>_xlfn.IFNA(VLOOKUP($BD674,Programma!$F$3:$M$1107,8,0),"")</f>
        <v/>
      </c>
      <c r="BL674" s="300" t="str">
        <f>_xlfn.IFNA(VLOOKUP($BD674,Programma!$F$3:$N$1107,9,0),"")</f>
        <v/>
      </c>
      <c r="BM674" s="300" t="str">
        <f>_xlfn.IFNA(VLOOKUP($BD674,Programma!$F$3:$O$1107,10,0),"")</f>
        <v/>
      </c>
      <c r="BN674" s="300" t="str">
        <f>_xlfn.IFNA(VLOOKUP($BD674,Programma!$F$3:$P$1107,11,0),"")</f>
        <v/>
      </c>
      <c r="BO674" s="300" t="str">
        <f>_xlfn.IFNA(VLOOKUP($BD674,Programma!$F$3:$Q$1107,12,0),"")</f>
        <v/>
      </c>
      <c r="BP674" s="300" t="str">
        <f>_xlfn.IFNA(VLOOKUP($BD674,Programma!$F$3:$R$1107,13,0),"")</f>
        <v/>
      </c>
      <c r="BQ674" s="300" t="str">
        <f>_xlfn.IFNA(VLOOKUP($BD674,Programma!$F$3:$S$1107,14,0),"")</f>
        <v/>
      </c>
      <c r="BR674" s="300" t="str">
        <f>_xlfn.IFNA(VLOOKUP($BD674,Programma!$F$3:$T$1107,15,0),"")</f>
        <v/>
      </c>
      <c r="BS674" s="300" t="str">
        <f>_xlfn.IFNA(VLOOKUP($BD674,Programma!$F$3:$U$1107,16,0),"")</f>
        <v/>
      </c>
      <c r="BT674" s="300" t="str">
        <f>_xlfn.IFNA(VLOOKUP($BD674,Programma!$F$3:$V$1107,17,0),"")</f>
        <v/>
      </c>
      <c r="BU674" s="300" t="str">
        <f>_xlfn.IFNA(VLOOKUP($BD674,Programma!$F$3:$W$1107,18,0),"")</f>
        <v/>
      </c>
      <c r="BV674" s="300" t="str">
        <f>_xlfn.IFNA(VLOOKUP($BD674,Programma!$F$3:$X$1107,19,0),"")</f>
        <v/>
      </c>
      <c r="BW674" s="300" t="str">
        <f>_xlfn.IFNA(VLOOKUP($BD674,Programma!$F$3:$Y$1107,20,0),"")</f>
        <v/>
      </c>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c r="GB674" s="4"/>
      <c r="GC674" s="4"/>
      <c r="GD674" s="4"/>
      <c r="GE674" s="4"/>
      <c r="GF674" s="4"/>
      <c r="GG674" s="4"/>
      <c r="GH674" s="4"/>
      <c r="GI674" s="4"/>
      <c r="GJ674" s="4"/>
      <c r="GK674" s="4"/>
      <c r="GL674" s="4"/>
      <c r="GM674" s="4"/>
      <c r="GN674" s="4"/>
      <c r="GO674" s="4"/>
      <c r="GP674" s="4"/>
      <c r="GQ674" s="4"/>
      <c r="GR674" s="4"/>
      <c r="GS674" s="4"/>
      <c r="GT674" s="4"/>
      <c r="GU674" s="4"/>
      <c r="GV674" s="4"/>
      <c r="GW674" s="4"/>
      <c r="GX674" s="4"/>
      <c r="GY674" s="4"/>
      <c r="GZ674" s="4"/>
      <c r="HA674" s="4"/>
      <c r="HB674" s="4"/>
      <c r="HC674" s="4"/>
      <c r="HD674" s="4"/>
      <c r="HE674" s="4"/>
      <c r="HF674" s="4"/>
      <c r="HG674" s="4"/>
      <c r="HH674" s="4"/>
      <c r="HI674" s="4"/>
      <c r="HJ674" s="4"/>
      <c r="HK674" s="4"/>
      <c r="HL674" s="4"/>
    </row>
    <row r="675" spans="1:220" ht="15" customHeight="1">
      <c r="A675" s="21">
        <v>8</v>
      </c>
      <c r="B675" s="157" t="str">
        <f>VLOOKUP(Ruimtestaat[[#This Row],[Code]],Locaties[[Code]:[Locatie]],2,FALSE)</f>
        <v>Dalton College</v>
      </c>
      <c r="C675" s="157" t="str">
        <f>VLOOKUP(Ruimtestaat[[#This Row],[Code]],Locaties[[#All],[Code]:[Adres]],4,FALSE)</f>
        <v>Loolaan 125</v>
      </c>
      <c r="D675" s="157" t="str">
        <f>VLOOKUP(Ruimtestaat[[#This Row],[Code]],Locaties[[#All],[Code]:[Postcode]],5,FALSE)</f>
        <v xml:space="preserve">2271 TM </v>
      </c>
      <c r="E675" s="157" t="str">
        <f>VLOOKUP(Ruimtestaat[[#This Row],[Code]],Locaties[#All],6,FALSE)</f>
        <v>Voorburg</v>
      </c>
      <c r="F675" s="62"/>
      <c r="G675" s="21" t="s">
        <v>1632</v>
      </c>
      <c r="H675" s="21">
        <v>12</v>
      </c>
      <c r="I675" s="62" t="s">
        <v>1631</v>
      </c>
      <c r="J675" s="21">
        <v>2</v>
      </c>
      <c r="K675" s="62" t="str">
        <f>VLOOKUP(Ruimtestaat[[#This Row],[Ruimte code]],Ruimtegroepen[[#All],[Code]:[Ruimte omschrijving]],2,FALSE)</f>
        <v>Kantoren</v>
      </c>
      <c r="L675" s="33" t="s">
        <v>101</v>
      </c>
      <c r="M675" s="367" t="s">
        <v>2495</v>
      </c>
      <c r="N675" s="140">
        <v>30</v>
      </c>
      <c r="O675" s="140"/>
      <c r="P675" s="125" t="str">
        <f>VLOOKUP(Ruimtestaat[[#This Row],[Ruimte code]],Ruimtegroepen[],4,FALSE)</f>
        <v>Bu</v>
      </c>
      <c r="R675" s="33">
        <v>42</v>
      </c>
      <c r="S675" s="33" t="s">
        <v>18</v>
      </c>
      <c r="T675" s="33">
        <f>IF(R675&gt;0,IF(RIGHT(Ruimtestaat[[#This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75" s="33">
        <f>IF(T675&gt;0,VLOOKUP($J675,Ruimtegroepen[],3,FALSE)*VLOOKUP($L675,Vloersoorten[],3,FALSE)*VLOOKUP($S675,Frequenties[],3,FALSE)*VLOOKUP($A675,Locaties[],3,FALSE),0)</f>
        <v>0</v>
      </c>
      <c r="V675" s="33">
        <f>Ruimtestaat[[#This Row],[Uitvoeringen werkdagen]]*Ruimtestaat[[#This Row],[Oppervlak (netto)]]</f>
        <v>3780</v>
      </c>
      <c r="W675" s="154">
        <f>IF(U675&gt;0,Ruimtestaat[[#This Row],[Prest. (m2 /jaar) werkdagen]]/Ruimtestaat[[#This Row],[Norm (m2/uur) werkdagen]],0)</f>
        <v>0</v>
      </c>
      <c r="X675" s="155">
        <f>Ruimtestaat[[#This Row],[uren / jaar werkdagen]]*Tariefsopbouw!$E$35</f>
        <v>0</v>
      </c>
      <c r="Y675" s="33"/>
      <c r="Z675" s="33">
        <f>IF(Ruimtestaat[[#This Row],[Frequentie weekend]]&gt;0,VALUE(LEFT(Y675,1))*R675,0)</f>
        <v>0</v>
      </c>
      <c r="AA675" s="97">
        <f>IF($Z675&gt;0,VLOOKUP($J675,Ruimtegroepen[],3,FALSE)*VLOOKUP($L675,Vloersoorten[],3,FALSE)*VLOOKUP($Y675,Frequenties[],3,FALSE)*VLOOKUP(Ruimtestaat[[#This Row],[Code]],Locaties[],3,FALSE),0)</f>
        <v>0</v>
      </c>
      <c r="AB675" s="97">
        <f>Ruimtestaat[[#This Row],[Uitvoeringen weekend]]*Ruimtestaat[[#This Row],[Oppervlak (netto)]]</f>
        <v>0</v>
      </c>
      <c r="AC675" s="97">
        <f>IF(AA675&gt;0,Ruimtestaat[[#This Row],[Prest. (m2 /jaar) weekend]]/Ruimtestaat[[#This Row],[Norm (m2/uur) weekend]],0)</f>
        <v>0</v>
      </c>
      <c r="AD675" s="155">
        <f>Ruimtestaat[[#This Row],[uren / jaar weekend]]*Tariefsopbouw!$D$40</f>
        <v>0</v>
      </c>
      <c r="AE675" s="154">
        <f>Ruimtestaat[[#This Row],[Prest. (m2 /jaar) weekend]]+Ruimtestaat[[#This Row],[Prest. (m2 /jaar) werkdagen]]</f>
        <v>3780</v>
      </c>
      <c r="AF675" s="154">
        <f>Ruimtestaat[[#This Row],[uren / jaar weekend]]+Ruimtestaat[[#This Row],[uren / jaar werkdagen]]</f>
        <v>0</v>
      </c>
      <c r="AG675" s="69">
        <f>Ruimtestaat[[#This Row],[kosten / jaar weekend]]+Ruimtestaat[[#This Row],[kosten / jaar werkdagen]]</f>
        <v>0</v>
      </c>
      <c r="AH675" s="69"/>
      <c r="AI675" s="256" t="str">
        <f>IF(Ruimtestaat[[#This Row],[Frequentie werkdagen]]="","",_xlfn.CONCAT(Ruimtestaat[[#This Row],[Ruimte code]],"-",Ruimtestaat[[#This Row],[Frequentie werkdagen]]," ",Ruimtestaat[[#This Row],[Vloer code]]))</f>
        <v>2-3w L</v>
      </c>
      <c r="AJ675" s="300" t="str">
        <f>_xlfn.IFNA(VLOOKUP($AI675,Programma!$F$3:$G$1107,2,0),"")</f>
        <v>_</v>
      </c>
      <c r="AK675" s="300" t="str">
        <f>_xlfn.IFNA(VLOOKUP($AI675,Programma!$F$3:$H$1107,3,0),"")</f>
        <v>_</v>
      </c>
      <c r="AL675" s="300" t="str">
        <f>_xlfn.IFNA(VLOOKUP($AI675,Programma!$F$3:$I$1107,4,0),"")</f>
        <v>2w</v>
      </c>
      <c r="AM675" s="300" t="str">
        <f>_xlfn.IFNA(VLOOKUP($AI675,Programma!$F$3:$J$1107,5,0),"")</f>
        <v>1w</v>
      </c>
      <c r="AN675" s="300" t="str">
        <f>_xlfn.IFNA(VLOOKUP($AI675,Programma!$F$3:$K$1107,6,0),"")</f>
        <v>_</v>
      </c>
      <c r="AO675" s="300" t="str">
        <f>_xlfn.IFNA(VLOOKUP($AI675,Programma!$F$3:$L$1107,7,0),"")</f>
        <v>_</v>
      </c>
      <c r="AP675" s="300" t="str">
        <f>_xlfn.IFNA(VLOOKUP($AI675,Programma!$F$3:$M$1107,8,0),"")</f>
        <v>_</v>
      </c>
      <c r="AQ675" s="300" t="str">
        <f>_xlfn.IFNA(VLOOKUP($AI675,Programma!$F$3:$N$1107,9,0),"")</f>
        <v>_</v>
      </c>
      <c r="AR675" s="300" t="str">
        <f>_xlfn.IFNA(VLOOKUP($AI675,Programma!$F$3:$O$1107,10,0),"")</f>
        <v>3w</v>
      </c>
      <c r="AS675" s="300" t="str">
        <f>_xlfn.IFNA(VLOOKUP($AI675,Programma!$F$3:$P$1107,11,0),"")</f>
        <v>3w</v>
      </c>
      <c r="AT675" s="300" t="str">
        <f>_xlfn.IFNA(VLOOKUP($AI675,Programma!$F$3:$Q$1107,12,0),"")</f>
        <v>1w</v>
      </c>
      <c r="AU675" s="300" t="str">
        <f>_xlfn.IFNA(VLOOKUP($AI675,Programma!$F$3:$R$1107,13,0),"")</f>
        <v>1w</v>
      </c>
      <c r="AV675" s="300" t="str">
        <f>_xlfn.IFNA(VLOOKUP($AI675,Programma!$F$3:$S$1107,14,0),"")</f>
        <v>1m</v>
      </c>
      <c r="AW675" s="300" t="str">
        <f>_xlfn.IFNA(VLOOKUP($AI675,Programma!$F$3:$T$1107,15,0),"")</f>
        <v>2j</v>
      </c>
      <c r="AX675" s="300" t="str">
        <f>_xlfn.IFNA(VLOOKUP($AI675,Programma!$F$3:$U$1107,16,0),"")</f>
        <v>1j</v>
      </c>
      <c r="AY675" s="300" t="str">
        <f>_xlfn.IFNA(VLOOKUP($AI675,Programma!$F$3:$V$1107,17,0),"")</f>
        <v>_</v>
      </c>
      <c r="AZ675" s="300" t="str">
        <f>_xlfn.IFNA(VLOOKUP($AI675,Programma!$F$3:$W$1107,18,0),"")</f>
        <v>_</v>
      </c>
      <c r="BA675" s="300" t="str">
        <f>_xlfn.IFNA(VLOOKUP($AI675,Programma!$F$3:$X$1107,19,0),"")</f>
        <v>_</v>
      </c>
      <c r="BB675" s="300" t="str">
        <f>_xlfn.IFNA(VLOOKUP($AI675,Programma!$F$3:$Y$1107,20,0),"")</f>
        <v>_</v>
      </c>
      <c r="BC675" s="257"/>
      <c r="BD675" s="256" t="str">
        <f>IF(Ruimtestaat[[#This Row],[Frequentie weekend]]="","",_xlfn.CONCAT(Ruimtestaat[[#This Row],[Ruimte code]],"-",Ruimtestaat[[#This Row],[Frequentie weekend]]," ",Ruimtestaat[[#This Row],[Vloer code]]))</f>
        <v/>
      </c>
      <c r="BE675" s="300" t="str">
        <f>_xlfn.IFNA(VLOOKUP($BD675,Programma!$F$3:$G$1107,2,0),"")</f>
        <v/>
      </c>
      <c r="BF675" s="300" t="str">
        <f>_xlfn.IFNA(VLOOKUP($BD675,Programma!$F$3:$H$1107,3,0),"")</f>
        <v/>
      </c>
      <c r="BG675" s="300" t="str">
        <f>_xlfn.IFNA(VLOOKUP($BD675,Programma!$F$3:$I$1107,4,0),"")</f>
        <v/>
      </c>
      <c r="BH675" s="300" t="str">
        <f>_xlfn.IFNA(VLOOKUP($BD675,Programma!$F$3:$J$1107,5,0),"")</f>
        <v/>
      </c>
      <c r="BI675" s="300" t="str">
        <f>_xlfn.IFNA(VLOOKUP($BD675,Programma!$F$3:$K$1107,6,0),"")</f>
        <v/>
      </c>
      <c r="BJ675" s="300" t="str">
        <f>_xlfn.IFNA(VLOOKUP($BD675,Programma!$F$3:$L$1107,7,0),"")</f>
        <v/>
      </c>
      <c r="BK675" s="300" t="str">
        <f>_xlfn.IFNA(VLOOKUP($BD675,Programma!$F$3:$M$1107,8,0),"")</f>
        <v/>
      </c>
      <c r="BL675" s="300" t="str">
        <f>_xlfn.IFNA(VLOOKUP($BD675,Programma!$F$3:$N$1107,9,0),"")</f>
        <v/>
      </c>
      <c r="BM675" s="300" t="str">
        <f>_xlfn.IFNA(VLOOKUP($BD675,Programma!$F$3:$O$1107,10,0),"")</f>
        <v/>
      </c>
      <c r="BN675" s="300" t="str">
        <f>_xlfn.IFNA(VLOOKUP($BD675,Programma!$F$3:$P$1107,11,0),"")</f>
        <v/>
      </c>
      <c r="BO675" s="300" t="str">
        <f>_xlfn.IFNA(VLOOKUP($BD675,Programma!$F$3:$Q$1107,12,0),"")</f>
        <v/>
      </c>
      <c r="BP675" s="300" t="str">
        <f>_xlfn.IFNA(VLOOKUP($BD675,Programma!$F$3:$R$1107,13,0),"")</f>
        <v/>
      </c>
      <c r="BQ675" s="300" t="str">
        <f>_xlfn.IFNA(VLOOKUP($BD675,Programma!$F$3:$S$1107,14,0),"")</f>
        <v/>
      </c>
      <c r="BR675" s="300" t="str">
        <f>_xlfn.IFNA(VLOOKUP($BD675,Programma!$F$3:$T$1107,15,0),"")</f>
        <v/>
      </c>
      <c r="BS675" s="300" t="str">
        <f>_xlfn.IFNA(VLOOKUP($BD675,Programma!$F$3:$U$1107,16,0),"")</f>
        <v/>
      </c>
      <c r="BT675" s="300" t="str">
        <f>_xlfn.IFNA(VLOOKUP($BD675,Programma!$F$3:$V$1107,17,0),"")</f>
        <v/>
      </c>
      <c r="BU675" s="300" t="str">
        <f>_xlfn.IFNA(VLOOKUP($BD675,Programma!$F$3:$W$1107,18,0),"")</f>
        <v/>
      </c>
      <c r="BV675" s="300" t="str">
        <f>_xlfn.IFNA(VLOOKUP($BD675,Programma!$F$3:$X$1107,19,0),"")</f>
        <v/>
      </c>
      <c r="BW675" s="300" t="str">
        <f>_xlfn.IFNA(VLOOKUP($BD675,Programma!$F$3:$Y$1107,20,0),"")</f>
        <v/>
      </c>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c r="GK675" s="4"/>
      <c r="GL675" s="4"/>
      <c r="GM675" s="4"/>
      <c r="GN675" s="4"/>
      <c r="GO675" s="4"/>
      <c r="GP675" s="4"/>
      <c r="GQ675" s="4"/>
      <c r="GR675" s="4"/>
      <c r="GS675" s="4"/>
      <c r="GT675" s="4"/>
      <c r="GU675" s="4"/>
      <c r="GV675" s="4"/>
      <c r="GW675" s="4"/>
      <c r="GX675" s="4"/>
      <c r="GY675" s="4"/>
      <c r="GZ675" s="4"/>
      <c r="HA675" s="4"/>
      <c r="HB675" s="4"/>
      <c r="HC675" s="4"/>
      <c r="HD675" s="4"/>
      <c r="HE675" s="4"/>
      <c r="HF675" s="4"/>
      <c r="HG675" s="4"/>
      <c r="HH675" s="4"/>
      <c r="HI675" s="4"/>
      <c r="HJ675" s="4"/>
      <c r="HK675" s="4"/>
      <c r="HL675" s="4"/>
    </row>
    <row r="676" spans="1:220" ht="15" customHeight="1">
      <c r="A676" s="21">
        <v>8</v>
      </c>
      <c r="B676" s="157" t="str">
        <f>VLOOKUP(Ruimtestaat[[#This Row],[Code]],Locaties[[Code]:[Locatie]],2,FALSE)</f>
        <v>Dalton College</v>
      </c>
      <c r="C676" s="157" t="str">
        <f>VLOOKUP(Ruimtestaat[[#This Row],[Code]],Locaties[[#All],[Code]:[Adres]],4,FALSE)</f>
        <v>Loolaan 125</v>
      </c>
      <c r="D676" s="157" t="str">
        <f>VLOOKUP(Ruimtestaat[[#This Row],[Code]],Locaties[[#All],[Code]:[Postcode]],5,FALSE)</f>
        <v xml:space="preserve">2271 TM </v>
      </c>
      <c r="E676" s="157" t="str">
        <f>VLOOKUP(Ruimtestaat[[#This Row],[Code]],Locaties[#All],6,FALSE)</f>
        <v>Voorburg</v>
      </c>
      <c r="F676" s="62"/>
      <c r="G676" s="21" t="s">
        <v>1632</v>
      </c>
      <c r="H676" s="21">
        <v>13</v>
      </c>
      <c r="I676" s="62" t="s">
        <v>1631</v>
      </c>
      <c r="J676" s="21">
        <v>2</v>
      </c>
      <c r="K676" s="62" t="str">
        <f>VLOOKUP(Ruimtestaat[[#This Row],[Ruimte code]],Ruimtegroepen[[#All],[Code]:[Ruimte omschrijving]],2,FALSE)</f>
        <v>Kantoren</v>
      </c>
      <c r="L676" s="33" t="s">
        <v>101</v>
      </c>
      <c r="M676" s="367" t="s">
        <v>2495</v>
      </c>
      <c r="N676" s="140">
        <v>35</v>
      </c>
      <c r="O676" s="140"/>
      <c r="P676" s="125" t="str">
        <f>VLOOKUP(Ruimtestaat[[#This Row],[Ruimte code]],Ruimtegroepen[],4,FALSE)</f>
        <v>Bu</v>
      </c>
      <c r="R676" s="33">
        <v>42</v>
      </c>
      <c r="S676" s="33" t="s">
        <v>18</v>
      </c>
      <c r="T676" s="33">
        <f>IF(R676&gt;0,IF(RIGHT(Ruimtestaat[[#This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76" s="33">
        <f>IF(T676&gt;0,VLOOKUP($J676,Ruimtegroepen[],3,FALSE)*VLOOKUP($L676,Vloersoorten[],3,FALSE)*VLOOKUP($S676,Frequenties[],3,FALSE)*VLOOKUP($A676,Locaties[],3,FALSE),0)</f>
        <v>0</v>
      </c>
      <c r="V676" s="33">
        <f>Ruimtestaat[[#This Row],[Uitvoeringen werkdagen]]*Ruimtestaat[[#This Row],[Oppervlak (netto)]]</f>
        <v>4410</v>
      </c>
      <c r="W676" s="154">
        <f>IF(U676&gt;0,Ruimtestaat[[#This Row],[Prest. (m2 /jaar) werkdagen]]/Ruimtestaat[[#This Row],[Norm (m2/uur) werkdagen]],0)</f>
        <v>0</v>
      </c>
      <c r="X676" s="155">
        <f>Ruimtestaat[[#This Row],[uren / jaar werkdagen]]*Tariefsopbouw!$E$35</f>
        <v>0</v>
      </c>
      <c r="Y676" s="33"/>
      <c r="Z676" s="33">
        <f>IF(Ruimtestaat[[#This Row],[Frequentie weekend]]&gt;0,VALUE(LEFT(Y676,1))*R676,0)</f>
        <v>0</v>
      </c>
      <c r="AA676" s="97">
        <f>IF($Z676&gt;0,VLOOKUP($J676,Ruimtegroepen[],3,FALSE)*VLOOKUP($L676,Vloersoorten[],3,FALSE)*VLOOKUP($Y676,Frequenties[],3,FALSE)*VLOOKUP(Ruimtestaat[[#This Row],[Code]],Locaties[],3,FALSE),0)</f>
        <v>0</v>
      </c>
      <c r="AB676" s="97">
        <f>Ruimtestaat[[#This Row],[Uitvoeringen weekend]]*Ruimtestaat[[#This Row],[Oppervlak (netto)]]</f>
        <v>0</v>
      </c>
      <c r="AC676" s="97">
        <f>IF(AA676&gt;0,Ruimtestaat[[#This Row],[Prest. (m2 /jaar) weekend]]/Ruimtestaat[[#This Row],[Norm (m2/uur) weekend]],0)</f>
        <v>0</v>
      </c>
      <c r="AD676" s="155">
        <f>Ruimtestaat[[#This Row],[uren / jaar weekend]]*Tariefsopbouw!$D$40</f>
        <v>0</v>
      </c>
      <c r="AE676" s="154">
        <f>Ruimtestaat[[#This Row],[Prest. (m2 /jaar) weekend]]+Ruimtestaat[[#This Row],[Prest. (m2 /jaar) werkdagen]]</f>
        <v>4410</v>
      </c>
      <c r="AF676" s="154">
        <f>Ruimtestaat[[#This Row],[uren / jaar weekend]]+Ruimtestaat[[#This Row],[uren / jaar werkdagen]]</f>
        <v>0</v>
      </c>
      <c r="AG676" s="69">
        <f>Ruimtestaat[[#This Row],[kosten / jaar weekend]]+Ruimtestaat[[#This Row],[kosten / jaar werkdagen]]</f>
        <v>0</v>
      </c>
      <c r="AH676" s="69"/>
      <c r="AI676" s="256" t="str">
        <f>IF(Ruimtestaat[[#This Row],[Frequentie werkdagen]]="","",_xlfn.CONCAT(Ruimtestaat[[#This Row],[Ruimte code]],"-",Ruimtestaat[[#This Row],[Frequentie werkdagen]]," ",Ruimtestaat[[#This Row],[Vloer code]]))</f>
        <v>2-3w L</v>
      </c>
      <c r="AJ676" s="300" t="str">
        <f>_xlfn.IFNA(VLOOKUP($AI676,Programma!$F$3:$G$1107,2,0),"")</f>
        <v>_</v>
      </c>
      <c r="AK676" s="300" t="str">
        <f>_xlfn.IFNA(VLOOKUP($AI676,Programma!$F$3:$H$1107,3,0),"")</f>
        <v>_</v>
      </c>
      <c r="AL676" s="300" t="str">
        <f>_xlfn.IFNA(VLOOKUP($AI676,Programma!$F$3:$I$1107,4,0),"")</f>
        <v>2w</v>
      </c>
      <c r="AM676" s="300" t="str">
        <f>_xlfn.IFNA(VLOOKUP($AI676,Programma!$F$3:$J$1107,5,0),"")</f>
        <v>1w</v>
      </c>
      <c r="AN676" s="300" t="str">
        <f>_xlfn.IFNA(VLOOKUP($AI676,Programma!$F$3:$K$1107,6,0),"")</f>
        <v>_</v>
      </c>
      <c r="AO676" s="300" t="str">
        <f>_xlfn.IFNA(VLOOKUP($AI676,Programma!$F$3:$L$1107,7,0),"")</f>
        <v>_</v>
      </c>
      <c r="AP676" s="300" t="str">
        <f>_xlfn.IFNA(VLOOKUP($AI676,Programma!$F$3:$M$1107,8,0),"")</f>
        <v>_</v>
      </c>
      <c r="AQ676" s="300" t="str">
        <f>_xlfn.IFNA(VLOOKUP($AI676,Programma!$F$3:$N$1107,9,0),"")</f>
        <v>_</v>
      </c>
      <c r="AR676" s="300" t="str">
        <f>_xlfn.IFNA(VLOOKUP($AI676,Programma!$F$3:$O$1107,10,0),"")</f>
        <v>3w</v>
      </c>
      <c r="AS676" s="300" t="str">
        <f>_xlfn.IFNA(VLOOKUP($AI676,Programma!$F$3:$P$1107,11,0),"")</f>
        <v>3w</v>
      </c>
      <c r="AT676" s="300" t="str">
        <f>_xlfn.IFNA(VLOOKUP($AI676,Programma!$F$3:$Q$1107,12,0),"")</f>
        <v>1w</v>
      </c>
      <c r="AU676" s="300" t="str">
        <f>_xlfn.IFNA(VLOOKUP($AI676,Programma!$F$3:$R$1107,13,0),"")</f>
        <v>1w</v>
      </c>
      <c r="AV676" s="300" t="str">
        <f>_xlfn.IFNA(VLOOKUP($AI676,Programma!$F$3:$S$1107,14,0),"")</f>
        <v>1m</v>
      </c>
      <c r="AW676" s="300" t="str">
        <f>_xlfn.IFNA(VLOOKUP($AI676,Programma!$F$3:$T$1107,15,0),"")</f>
        <v>2j</v>
      </c>
      <c r="AX676" s="300" t="str">
        <f>_xlfn.IFNA(VLOOKUP($AI676,Programma!$F$3:$U$1107,16,0),"")</f>
        <v>1j</v>
      </c>
      <c r="AY676" s="300" t="str">
        <f>_xlfn.IFNA(VLOOKUP($AI676,Programma!$F$3:$V$1107,17,0),"")</f>
        <v>_</v>
      </c>
      <c r="AZ676" s="300" t="str">
        <f>_xlfn.IFNA(VLOOKUP($AI676,Programma!$F$3:$W$1107,18,0),"")</f>
        <v>_</v>
      </c>
      <c r="BA676" s="300" t="str">
        <f>_xlfn.IFNA(VLOOKUP($AI676,Programma!$F$3:$X$1107,19,0),"")</f>
        <v>_</v>
      </c>
      <c r="BB676" s="300" t="str">
        <f>_xlfn.IFNA(VLOOKUP($AI676,Programma!$F$3:$Y$1107,20,0),"")</f>
        <v>_</v>
      </c>
      <c r="BC676" s="257"/>
      <c r="BD676" s="256" t="str">
        <f>IF(Ruimtestaat[[#This Row],[Frequentie weekend]]="","",_xlfn.CONCAT(Ruimtestaat[[#This Row],[Ruimte code]],"-",Ruimtestaat[[#This Row],[Frequentie weekend]]," ",Ruimtestaat[[#This Row],[Vloer code]]))</f>
        <v/>
      </c>
      <c r="BE676" s="300" t="str">
        <f>_xlfn.IFNA(VLOOKUP($BD676,Programma!$F$3:$G$1107,2,0),"")</f>
        <v/>
      </c>
      <c r="BF676" s="300" t="str">
        <f>_xlfn.IFNA(VLOOKUP($BD676,Programma!$F$3:$H$1107,3,0),"")</f>
        <v/>
      </c>
      <c r="BG676" s="300" t="str">
        <f>_xlfn.IFNA(VLOOKUP($BD676,Programma!$F$3:$I$1107,4,0),"")</f>
        <v/>
      </c>
      <c r="BH676" s="300" t="str">
        <f>_xlfn.IFNA(VLOOKUP($BD676,Programma!$F$3:$J$1107,5,0),"")</f>
        <v/>
      </c>
      <c r="BI676" s="300" t="str">
        <f>_xlfn.IFNA(VLOOKUP($BD676,Programma!$F$3:$K$1107,6,0),"")</f>
        <v/>
      </c>
      <c r="BJ676" s="300" t="str">
        <f>_xlfn.IFNA(VLOOKUP($BD676,Programma!$F$3:$L$1107,7,0),"")</f>
        <v/>
      </c>
      <c r="BK676" s="300" t="str">
        <f>_xlfn.IFNA(VLOOKUP($BD676,Programma!$F$3:$M$1107,8,0),"")</f>
        <v/>
      </c>
      <c r="BL676" s="300" t="str">
        <f>_xlfn.IFNA(VLOOKUP($BD676,Programma!$F$3:$N$1107,9,0),"")</f>
        <v/>
      </c>
      <c r="BM676" s="300" t="str">
        <f>_xlfn.IFNA(VLOOKUP($BD676,Programma!$F$3:$O$1107,10,0),"")</f>
        <v/>
      </c>
      <c r="BN676" s="300" t="str">
        <f>_xlfn.IFNA(VLOOKUP($BD676,Programma!$F$3:$P$1107,11,0),"")</f>
        <v/>
      </c>
      <c r="BO676" s="300" t="str">
        <f>_xlfn.IFNA(VLOOKUP($BD676,Programma!$F$3:$Q$1107,12,0),"")</f>
        <v/>
      </c>
      <c r="BP676" s="300" t="str">
        <f>_xlfn.IFNA(VLOOKUP($BD676,Programma!$F$3:$R$1107,13,0),"")</f>
        <v/>
      </c>
      <c r="BQ676" s="300" t="str">
        <f>_xlfn.IFNA(VLOOKUP($BD676,Programma!$F$3:$S$1107,14,0),"")</f>
        <v/>
      </c>
      <c r="BR676" s="300" t="str">
        <f>_xlfn.IFNA(VLOOKUP($BD676,Programma!$F$3:$T$1107,15,0),"")</f>
        <v/>
      </c>
      <c r="BS676" s="300" t="str">
        <f>_xlfn.IFNA(VLOOKUP($BD676,Programma!$F$3:$U$1107,16,0),"")</f>
        <v/>
      </c>
      <c r="BT676" s="300" t="str">
        <f>_xlfn.IFNA(VLOOKUP($BD676,Programma!$F$3:$V$1107,17,0),"")</f>
        <v/>
      </c>
      <c r="BU676" s="300" t="str">
        <f>_xlfn.IFNA(VLOOKUP($BD676,Programma!$F$3:$W$1107,18,0),"")</f>
        <v/>
      </c>
      <c r="BV676" s="300" t="str">
        <f>_xlfn.IFNA(VLOOKUP($BD676,Programma!$F$3:$X$1107,19,0),"")</f>
        <v/>
      </c>
      <c r="BW676" s="300" t="str">
        <f>_xlfn.IFNA(VLOOKUP($BD676,Programma!$F$3:$Y$1107,20,0),"")</f>
        <v/>
      </c>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c r="GK676" s="4"/>
      <c r="GL676" s="4"/>
      <c r="GM676" s="4"/>
      <c r="GN676" s="4"/>
      <c r="GO676" s="4"/>
      <c r="GP676" s="4"/>
      <c r="GQ676" s="4"/>
      <c r="GR676" s="4"/>
      <c r="GS676" s="4"/>
      <c r="GT676" s="4"/>
      <c r="GU676" s="4"/>
      <c r="GV676" s="4"/>
      <c r="GW676" s="4"/>
      <c r="GX676" s="4"/>
      <c r="GY676" s="4"/>
      <c r="GZ676" s="4"/>
      <c r="HA676" s="4"/>
      <c r="HB676" s="4"/>
      <c r="HC676" s="4"/>
      <c r="HD676" s="4"/>
      <c r="HE676" s="4"/>
      <c r="HF676" s="4"/>
      <c r="HG676" s="4"/>
      <c r="HH676" s="4"/>
      <c r="HI676" s="4"/>
      <c r="HJ676" s="4"/>
      <c r="HK676" s="4"/>
      <c r="HL676" s="4"/>
    </row>
    <row r="677" spans="1:220" ht="15" customHeight="1">
      <c r="A677" s="21">
        <v>8</v>
      </c>
      <c r="B677" s="157" t="str">
        <f>VLOOKUP(Ruimtestaat[[#This Row],[Code]],Locaties[[Code]:[Locatie]],2,FALSE)</f>
        <v>Dalton College</v>
      </c>
      <c r="C677" s="157" t="str">
        <f>VLOOKUP(Ruimtestaat[[#This Row],[Code]],Locaties[[#All],[Code]:[Adres]],4,FALSE)</f>
        <v>Loolaan 125</v>
      </c>
      <c r="D677" s="157" t="str">
        <f>VLOOKUP(Ruimtestaat[[#This Row],[Code]],Locaties[[#All],[Code]:[Postcode]],5,FALSE)</f>
        <v xml:space="preserve">2271 TM </v>
      </c>
      <c r="E677" s="157" t="str">
        <f>VLOOKUP(Ruimtestaat[[#This Row],[Code]],Locaties[#All],6,FALSE)</f>
        <v>Voorburg</v>
      </c>
      <c r="F677" s="62"/>
      <c r="G677" s="21" t="s">
        <v>1632</v>
      </c>
      <c r="H677" s="21">
        <v>14</v>
      </c>
      <c r="I677" s="62" t="s">
        <v>1631</v>
      </c>
      <c r="J677" s="21">
        <v>2</v>
      </c>
      <c r="K677" s="62" t="str">
        <f>VLOOKUP(Ruimtestaat[[#This Row],[Ruimte code]],Ruimtegroepen[[#All],[Code]:[Ruimte omschrijving]],2,FALSE)</f>
        <v>Kantoren</v>
      </c>
      <c r="L677" s="33" t="s">
        <v>101</v>
      </c>
      <c r="M677" s="367" t="s">
        <v>2495</v>
      </c>
      <c r="N677" s="140">
        <v>27</v>
      </c>
      <c r="O677" s="140"/>
      <c r="P677" s="125" t="str">
        <f>VLOOKUP(Ruimtestaat[[#This Row],[Ruimte code]],Ruimtegroepen[],4,FALSE)</f>
        <v>Bu</v>
      </c>
      <c r="Q677" s="125" t="s">
        <v>2541</v>
      </c>
      <c r="R677" s="33">
        <v>42</v>
      </c>
      <c r="S677" s="33" t="s">
        <v>18</v>
      </c>
      <c r="T677" s="33">
        <f>IF(R677&gt;0,IF(RIGHT(Ruimtestaat[[#This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77" s="33">
        <f>IF(T677&gt;0,VLOOKUP($J677,Ruimtegroepen[],3,FALSE)*VLOOKUP($L677,Vloersoorten[],3,FALSE)*VLOOKUP($S677,Frequenties[],3,FALSE)*VLOOKUP($A677,Locaties[],3,FALSE),0)</f>
        <v>0</v>
      </c>
      <c r="V677" s="33">
        <f>Ruimtestaat[[#This Row],[Uitvoeringen werkdagen]]*Ruimtestaat[[#This Row],[Oppervlak (netto)]]</f>
        <v>3402</v>
      </c>
      <c r="W677" s="154">
        <f>IF(U677&gt;0,Ruimtestaat[[#This Row],[Prest. (m2 /jaar) werkdagen]]/Ruimtestaat[[#This Row],[Norm (m2/uur) werkdagen]],0)</f>
        <v>0</v>
      </c>
      <c r="X677" s="155">
        <f>Ruimtestaat[[#This Row],[uren / jaar werkdagen]]*Tariefsopbouw!$E$35</f>
        <v>0</v>
      </c>
      <c r="Y677" s="33"/>
      <c r="Z677" s="33">
        <f>IF(Ruimtestaat[[#This Row],[Frequentie weekend]]&gt;0,VALUE(LEFT(Y677,1))*R677,0)</f>
        <v>0</v>
      </c>
      <c r="AA677" s="97">
        <f>IF($Z677&gt;0,VLOOKUP($J677,Ruimtegroepen[],3,FALSE)*VLOOKUP($L677,Vloersoorten[],3,FALSE)*VLOOKUP($Y677,Frequenties[],3,FALSE)*VLOOKUP(Ruimtestaat[[#This Row],[Code]],Locaties[],3,FALSE),0)</f>
        <v>0</v>
      </c>
      <c r="AB677" s="97">
        <f>Ruimtestaat[[#This Row],[Uitvoeringen weekend]]*Ruimtestaat[[#This Row],[Oppervlak (netto)]]</f>
        <v>0</v>
      </c>
      <c r="AC677" s="97">
        <f>IF(AA677&gt;0,Ruimtestaat[[#This Row],[Prest. (m2 /jaar) weekend]]/Ruimtestaat[[#This Row],[Norm (m2/uur) weekend]],0)</f>
        <v>0</v>
      </c>
      <c r="AD677" s="155">
        <f>Ruimtestaat[[#This Row],[uren / jaar weekend]]*Tariefsopbouw!$D$40</f>
        <v>0</v>
      </c>
      <c r="AE677" s="154">
        <f>Ruimtestaat[[#This Row],[Prest. (m2 /jaar) weekend]]+Ruimtestaat[[#This Row],[Prest. (m2 /jaar) werkdagen]]</f>
        <v>3402</v>
      </c>
      <c r="AF677" s="154">
        <f>Ruimtestaat[[#This Row],[uren / jaar weekend]]+Ruimtestaat[[#This Row],[uren / jaar werkdagen]]</f>
        <v>0</v>
      </c>
      <c r="AG677" s="69">
        <f>Ruimtestaat[[#This Row],[kosten / jaar weekend]]+Ruimtestaat[[#This Row],[kosten / jaar werkdagen]]</f>
        <v>0</v>
      </c>
      <c r="AH677" s="69"/>
      <c r="AI677" s="256" t="str">
        <f>IF(Ruimtestaat[[#This Row],[Frequentie werkdagen]]="","",_xlfn.CONCAT(Ruimtestaat[[#This Row],[Ruimte code]],"-",Ruimtestaat[[#This Row],[Frequentie werkdagen]]," ",Ruimtestaat[[#This Row],[Vloer code]]))</f>
        <v>2-3w L</v>
      </c>
      <c r="AJ677" s="300" t="str">
        <f>_xlfn.IFNA(VLOOKUP($AI677,Programma!$F$3:$G$1107,2,0),"")</f>
        <v>_</v>
      </c>
      <c r="AK677" s="300" t="str">
        <f>_xlfn.IFNA(VLOOKUP($AI677,Programma!$F$3:$H$1107,3,0),"")</f>
        <v>_</v>
      </c>
      <c r="AL677" s="300" t="str">
        <f>_xlfn.IFNA(VLOOKUP($AI677,Programma!$F$3:$I$1107,4,0),"")</f>
        <v>2w</v>
      </c>
      <c r="AM677" s="300" t="str">
        <f>_xlfn.IFNA(VLOOKUP($AI677,Programma!$F$3:$J$1107,5,0),"")</f>
        <v>1w</v>
      </c>
      <c r="AN677" s="300" t="str">
        <f>_xlfn.IFNA(VLOOKUP($AI677,Programma!$F$3:$K$1107,6,0),"")</f>
        <v>_</v>
      </c>
      <c r="AO677" s="300" t="str">
        <f>_xlfn.IFNA(VLOOKUP($AI677,Programma!$F$3:$L$1107,7,0),"")</f>
        <v>_</v>
      </c>
      <c r="AP677" s="300" t="str">
        <f>_xlfn.IFNA(VLOOKUP($AI677,Programma!$F$3:$M$1107,8,0),"")</f>
        <v>_</v>
      </c>
      <c r="AQ677" s="300" t="str">
        <f>_xlfn.IFNA(VLOOKUP($AI677,Programma!$F$3:$N$1107,9,0),"")</f>
        <v>_</v>
      </c>
      <c r="AR677" s="300" t="str">
        <f>_xlfn.IFNA(VLOOKUP($AI677,Programma!$F$3:$O$1107,10,0),"")</f>
        <v>3w</v>
      </c>
      <c r="AS677" s="300" t="str">
        <f>_xlfn.IFNA(VLOOKUP($AI677,Programma!$F$3:$P$1107,11,0),"")</f>
        <v>3w</v>
      </c>
      <c r="AT677" s="300" t="str">
        <f>_xlfn.IFNA(VLOOKUP($AI677,Programma!$F$3:$Q$1107,12,0),"")</f>
        <v>1w</v>
      </c>
      <c r="AU677" s="300" t="str">
        <f>_xlfn.IFNA(VLOOKUP($AI677,Programma!$F$3:$R$1107,13,0),"")</f>
        <v>1w</v>
      </c>
      <c r="AV677" s="300" t="str">
        <f>_xlfn.IFNA(VLOOKUP($AI677,Programma!$F$3:$S$1107,14,0),"")</f>
        <v>1m</v>
      </c>
      <c r="AW677" s="300" t="str">
        <f>_xlfn.IFNA(VLOOKUP($AI677,Programma!$F$3:$T$1107,15,0),"")</f>
        <v>2j</v>
      </c>
      <c r="AX677" s="300" t="str">
        <f>_xlfn.IFNA(VLOOKUP($AI677,Programma!$F$3:$U$1107,16,0),"")</f>
        <v>1j</v>
      </c>
      <c r="AY677" s="300" t="str">
        <f>_xlfn.IFNA(VLOOKUP($AI677,Programma!$F$3:$V$1107,17,0),"")</f>
        <v>_</v>
      </c>
      <c r="AZ677" s="300" t="str">
        <f>_xlfn.IFNA(VLOOKUP($AI677,Programma!$F$3:$W$1107,18,0),"")</f>
        <v>_</v>
      </c>
      <c r="BA677" s="300" t="str">
        <f>_xlfn.IFNA(VLOOKUP($AI677,Programma!$F$3:$X$1107,19,0),"")</f>
        <v>_</v>
      </c>
      <c r="BB677" s="300" t="str">
        <f>_xlfn.IFNA(VLOOKUP($AI677,Programma!$F$3:$Y$1107,20,0),"")</f>
        <v>_</v>
      </c>
      <c r="BC677" s="257"/>
      <c r="BD677" s="256" t="str">
        <f>IF(Ruimtestaat[[#This Row],[Frequentie weekend]]="","",_xlfn.CONCAT(Ruimtestaat[[#This Row],[Ruimte code]],"-",Ruimtestaat[[#This Row],[Frequentie weekend]]," ",Ruimtestaat[[#This Row],[Vloer code]]))</f>
        <v/>
      </c>
      <c r="BE677" s="300" t="str">
        <f>_xlfn.IFNA(VLOOKUP($BD677,Programma!$F$3:$G$1107,2,0),"")</f>
        <v/>
      </c>
      <c r="BF677" s="300" t="str">
        <f>_xlfn.IFNA(VLOOKUP($BD677,Programma!$F$3:$H$1107,3,0),"")</f>
        <v/>
      </c>
      <c r="BG677" s="300" t="str">
        <f>_xlfn.IFNA(VLOOKUP($BD677,Programma!$F$3:$I$1107,4,0),"")</f>
        <v/>
      </c>
      <c r="BH677" s="300" t="str">
        <f>_xlfn.IFNA(VLOOKUP($BD677,Programma!$F$3:$J$1107,5,0),"")</f>
        <v/>
      </c>
      <c r="BI677" s="300" t="str">
        <f>_xlfn.IFNA(VLOOKUP($BD677,Programma!$F$3:$K$1107,6,0),"")</f>
        <v/>
      </c>
      <c r="BJ677" s="300" t="str">
        <f>_xlfn.IFNA(VLOOKUP($BD677,Programma!$F$3:$L$1107,7,0),"")</f>
        <v/>
      </c>
      <c r="BK677" s="300" t="str">
        <f>_xlfn.IFNA(VLOOKUP($BD677,Programma!$F$3:$M$1107,8,0),"")</f>
        <v/>
      </c>
      <c r="BL677" s="300" t="str">
        <f>_xlfn.IFNA(VLOOKUP($BD677,Programma!$F$3:$N$1107,9,0),"")</f>
        <v/>
      </c>
      <c r="BM677" s="300" t="str">
        <f>_xlfn.IFNA(VLOOKUP($BD677,Programma!$F$3:$O$1107,10,0),"")</f>
        <v/>
      </c>
      <c r="BN677" s="300" t="str">
        <f>_xlfn.IFNA(VLOOKUP($BD677,Programma!$F$3:$P$1107,11,0),"")</f>
        <v/>
      </c>
      <c r="BO677" s="300" t="str">
        <f>_xlfn.IFNA(VLOOKUP($BD677,Programma!$F$3:$Q$1107,12,0),"")</f>
        <v/>
      </c>
      <c r="BP677" s="300" t="str">
        <f>_xlfn.IFNA(VLOOKUP($BD677,Programma!$F$3:$R$1107,13,0),"")</f>
        <v/>
      </c>
      <c r="BQ677" s="300" t="str">
        <f>_xlfn.IFNA(VLOOKUP($BD677,Programma!$F$3:$S$1107,14,0),"")</f>
        <v/>
      </c>
      <c r="BR677" s="300" t="str">
        <f>_xlfn.IFNA(VLOOKUP($BD677,Programma!$F$3:$T$1107,15,0),"")</f>
        <v/>
      </c>
      <c r="BS677" s="300" t="str">
        <f>_xlfn.IFNA(VLOOKUP($BD677,Programma!$F$3:$U$1107,16,0),"")</f>
        <v/>
      </c>
      <c r="BT677" s="300" t="str">
        <f>_xlfn.IFNA(VLOOKUP($BD677,Programma!$F$3:$V$1107,17,0),"")</f>
        <v/>
      </c>
      <c r="BU677" s="300" t="str">
        <f>_xlfn.IFNA(VLOOKUP($BD677,Programma!$F$3:$W$1107,18,0),"")</f>
        <v/>
      </c>
      <c r="BV677" s="300" t="str">
        <f>_xlfn.IFNA(VLOOKUP($BD677,Programma!$F$3:$X$1107,19,0),"")</f>
        <v/>
      </c>
      <c r="BW677" s="300" t="str">
        <f>_xlfn.IFNA(VLOOKUP($BD677,Programma!$F$3:$Y$1107,20,0),"")</f>
        <v/>
      </c>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c r="GK677" s="4"/>
      <c r="GL677" s="4"/>
      <c r="GM677" s="4"/>
      <c r="GN677" s="4"/>
      <c r="GO677" s="4"/>
      <c r="GP677" s="4"/>
      <c r="GQ677" s="4"/>
      <c r="GR677" s="4"/>
      <c r="GS677" s="4"/>
      <c r="GT677" s="4"/>
      <c r="GU677" s="4"/>
      <c r="GV677" s="4"/>
      <c r="GW677" s="4"/>
      <c r="GX677" s="4"/>
      <c r="GY677" s="4"/>
      <c r="GZ677" s="4"/>
      <c r="HA677" s="4"/>
      <c r="HB677" s="4"/>
      <c r="HC677" s="4"/>
      <c r="HD677" s="4"/>
      <c r="HE677" s="4"/>
      <c r="HF677" s="4"/>
      <c r="HG677" s="4"/>
      <c r="HH677" s="4"/>
      <c r="HI677" s="4"/>
      <c r="HJ677" s="4"/>
      <c r="HK677" s="4"/>
      <c r="HL677" s="4"/>
    </row>
    <row r="678" spans="1:220" ht="15" customHeight="1">
      <c r="A678" s="21">
        <v>8</v>
      </c>
      <c r="B678" s="157" t="str">
        <f>VLOOKUP(Ruimtestaat[[#This Row],[Code]],Locaties[[Code]:[Locatie]],2,FALSE)</f>
        <v>Dalton College</v>
      </c>
      <c r="C678" s="157" t="str">
        <f>VLOOKUP(Ruimtestaat[[#This Row],[Code]],Locaties[[#All],[Code]:[Adres]],4,FALSE)</f>
        <v>Loolaan 125</v>
      </c>
      <c r="D678" s="157" t="str">
        <f>VLOOKUP(Ruimtestaat[[#This Row],[Code]],Locaties[[#All],[Code]:[Postcode]],5,FALSE)</f>
        <v xml:space="preserve">2271 TM </v>
      </c>
      <c r="E678" s="157" t="str">
        <f>VLOOKUP(Ruimtestaat[[#This Row],[Code]],Locaties[#All],6,FALSE)</f>
        <v>Voorburg</v>
      </c>
      <c r="F678" s="62"/>
      <c r="G678" s="21" t="s">
        <v>1632</v>
      </c>
      <c r="H678" s="21">
        <v>15</v>
      </c>
      <c r="I678" s="62" t="s">
        <v>2206</v>
      </c>
      <c r="J678" s="21">
        <v>2</v>
      </c>
      <c r="K678" s="62" t="str">
        <f>VLOOKUP(Ruimtestaat[[#This Row],[Ruimte code]],Ruimtegroepen[[#All],[Code]:[Ruimte omschrijving]],2,FALSE)</f>
        <v>Kantoren</v>
      </c>
      <c r="L678" s="33" t="s">
        <v>101</v>
      </c>
      <c r="M678" s="367" t="s">
        <v>2495</v>
      </c>
      <c r="N678" s="140">
        <v>19</v>
      </c>
      <c r="O678" s="140"/>
      <c r="P678" s="125" t="str">
        <f>VLOOKUP(Ruimtestaat[[#This Row],[Ruimte code]],Ruimtegroepen[],4,FALSE)</f>
        <v>Bu</v>
      </c>
      <c r="Q678" s="125" t="s">
        <v>2542</v>
      </c>
      <c r="R678" s="33">
        <v>42</v>
      </c>
      <c r="S678" s="33" t="s">
        <v>18</v>
      </c>
      <c r="T678" s="33">
        <f>IF(R678&gt;0,IF(RIGHT(Ruimtestaat[[#This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78" s="33">
        <f>IF(T678&gt;0,VLOOKUP($J678,Ruimtegroepen[],3,FALSE)*VLOOKUP($L678,Vloersoorten[],3,FALSE)*VLOOKUP($S678,Frequenties[],3,FALSE)*VLOOKUP($A678,Locaties[],3,FALSE),0)</f>
        <v>0</v>
      </c>
      <c r="V678" s="33">
        <f>Ruimtestaat[[#This Row],[Uitvoeringen werkdagen]]*Ruimtestaat[[#This Row],[Oppervlak (netto)]]</f>
        <v>2394</v>
      </c>
      <c r="W678" s="154">
        <f>IF(U678&gt;0,Ruimtestaat[[#This Row],[Prest. (m2 /jaar) werkdagen]]/Ruimtestaat[[#This Row],[Norm (m2/uur) werkdagen]],0)</f>
        <v>0</v>
      </c>
      <c r="X678" s="155">
        <f>Ruimtestaat[[#This Row],[uren / jaar werkdagen]]*Tariefsopbouw!$E$35</f>
        <v>0</v>
      </c>
      <c r="Y678" s="33"/>
      <c r="Z678" s="33">
        <f>IF(Ruimtestaat[[#This Row],[Frequentie weekend]]&gt;0,VALUE(LEFT(Y678,1))*R678,0)</f>
        <v>0</v>
      </c>
      <c r="AA678" s="97">
        <f>IF($Z678&gt;0,VLOOKUP($J678,Ruimtegroepen[],3,FALSE)*VLOOKUP($L678,Vloersoorten[],3,FALSE)*VLOOKUP($Y678,Frequenties[],3,FALSE)*VLOOKUP(Ruimtestaat[[#This Row],[Code]],Locaties[],3,FALSE),0)</f>
        <v>0</v>
      </c>
      <c r="AB678" s="97">
        <f>Ruimtestaat[[#This Row],[Uitvoeringen weekend]]*Ruimtestaat[[#This Row],[Oppervlak (netto)]]</f>
        <v>0</v>
      </c>
      <c r="AC678" s="97">
        <f>IF(AA678&gt;0,Ruimtestaat[[#This Row],[Prest. (m2 /jaar) weekend]]/Ruimtestaat[[#This Row],[Norm (m2/uur) weekend]],0)</f>
        <v>0</v>
      </c>
      <c r="AD678" s="155">
        <f>Ruimtestaat[[#This Row],[uren / jaar weekend]]*Tariefsopbouw!$D$40</f>
        <v>0</v>
      </c>
      <c r="AE678" s="154">
        <f>Ruimtestaat[[#This Row],[Prest. (m2 /jaar) weekend]]+Ruimtestaat[[#This Row],[Prest. (m2 /jaar) werkdagen]]</f>
        <v>2394</v>
      </c>
      <c r="AF678" s="154">
        <f>Ruimtestaat[[#This Row],[uren / jaar weekend]]+Ruimtestaat[[#This Row],[uren / jaar werkdagen]]</f>
        <v>0</v>
      </c>
      <c r="AG678" s="69">
        <f>Ruimtestaat[[#This Row],[kosten / jaar weekend]]+Ruimtestaat[[#This Row],[kosten / jaar werkdagen]]</f>
        <v>0</v>
      </c>
      <c r="AH678" s="69"/>
      <c r="AI678" s="256" t="str">
        <f>IF(Ruimtestaat[[#This Row],[Frequentie werkdagen]]="","",_xlfn.CONCAT(Ruimtestaat[[#This Row],[Ruimte code]],"-",Ruimtestaat[[#This Row],[Frequentie werkdagen]]," ",Ruimtestaat[[#This Row],[Vloer code]]))</f>
        <v>2-3w L</v>
      </c>
      <c r="AJ678" s="300" t="str">
        <f>_xlfn.IFNA(VLOOKUP($AI678,Programma!$F$3:$G$1107,2,0),"")</f>
        <v>_</v>
      </c>
      <c r="AK678" s="300" t="str">
        <f>_xlfn.IFNA(VLOOKUP($AI678,Programma!$F$3:$H$1107,3,0),"")</f>
        <v>_</v>
      </c>
      <c r="AL678" s="300" t="str">
        <f>_xlfn.IFNA(VLOOKUP($AI678,Programma!$F$3:$I$1107,4,0),"")</f>
        <v>2w</v>
      </c>
      <c r="AM678" s="300" t="str">
        <f>_xlfn.IFNA(VLOOKUP($AI678,Programma!$F$3:$J$1107,5,0),"")</f>
        <v>1w</v>
      </c>
      <c r="AN678" s="300" t="str">
        <f>_xlfn.IFNA(VLOOKUP($AI678,Programma!$F$3:$K$1107,6,0),"")</f>
        <v>_</v>
      </c>
      <c r="AO678" s="300" t="str">
        <f>_xlfn.IFNA(VLOOKUP($AI678,Programma!$F$3:$L$1107,7,0),"")</f>
        <v>_</v>
      </c>
      <c r="AP678" s="300" t="str">
        <f>_xlfn.IFNA(VLOOKUP($AI678,Programma!$F$3:$M$1107,8,0),"")</f>
        <v>_</v>
      </c>
      <c r="AQ678" s="300" t="str">
        <f>_xlfn.IFNA(VLOOKUP($AI678,Programma!$F$3:$N$1107,9,0),"")</f>
        <v>_</v>
      </c>
      <c r="AR678" s="300" t="str">
        <f>_xlfn.IFNA(VLOOKUP($AI678,Programma!$F$3:$O$1107,10,0),"")</f>
        <v>3w</v>
      </c>
      <c r="AS678" s="300" t="str">
        <f>_xlfn.IFNA(VLOOKUP($AI678,Programma!$F$3:$P$1107,11,0),"")</f>
        <v>3w</v>
      </c>
      <c r="AT678" s="300" t="str">
        <f>_xlfn.IFNA(VLOOKUP($AI678,Programma!$F$3:$Q$1107,12,0),"")</f>
        <v>1w</v>
      </c>
      <c r="AU678" s="300" t="str">
        <f>_xlfn.IFNA(VLOOKUP($AI678,Programma!$F$3:$R$1107,13,0),"")</f>
        <v>1w</v>
      </c>
      <c r="AV678" s="300" t="str">
        <f>_xlfn.IFNA(VLOOKUP($AI678,Programma!$F$3:$S$1107,14,0),"")</f>
        <v>1m</v>
      </c>
      <c r="AW678" s="300" t="str">
        <f>_xlfn.IFNA(VLOOKUP($AI678,Programma!$F$3:$T$1107,15,0),"")</f>
        <v>2j</v>
      </c>
      <c r="AX678" s="300" t="str">
        <f>_xlfn.IFNA(VLOOKUP($AI678,Programma!$F$3:$U$1107,16,0),"")</f>
        <v>1j</v>
      </c>
      <c r="AY678" s="300" t="str">
        <f>_xlfn.IFNA(VLOOKUP($AI678,Programma!$F$3:$V$1107,17,0),"")</f>
        <v>_</v>
      </c>
      <c r="AZ678" s="300" t="str">
        <f>_xlfn.IFNA(VLOOKUP($AI678,Programma!$F$3:$W$1107,18,0),"")</f>
        <v>_</v>
      </c>
      <c r="BA678" s="300" t="str">
        <f>_xlfn.IFNA(VLOOKUP($AI678,Programma!$F$3:$X$1107,19,0),"")</f>
        <v>_</v>
      </c>
      <c r="BB678" s="300" t="str">
        <f>_xlfn.IFNA(VLOOKUP($AI678,Programma!$F$3:$Y$1107,20,0),"")</f>
        <v>_</v>
      </c>
      <c r="BC678" s="257"/>
      <c r="BD678" s="256" t="str">
        <f>IF(Ruimtestaat[[#This Row],[Frequentie weekend]]="","",_xlfn.CONCAT(Ruimtestaat[[#This Row],[Ruimte code]],"-",Ruimtestaat[[#This Row],[Frequentie weekend]]," ",Ruimtestaat[[#This Row],[Vloer code]]))</f>
        <v/>
      </c>
      <c r="BE678" s="300" t="str">
        <f>_xlfn.IFNA(VLOOKUP($BD678,Programma!$F$3:$G$1107,2,0),"")</f>
        <v/>
      </c>
      <c r="BF678" s="300" t="str">
        <f>_xlfn.IFNA(VLOOKUP($BD678,Programma!$F$3:$H$1107,3,0),"")</f>
        <v/>
      </c>
      <c r="BG678" s="300" t="str">
        <f>_xlfn.IFNA(VLOOKUP($BD678,Programma!$F$3:$I$1107,4,0),"")</f>
        <v/>
      </c>
      <c r="BH678" s="300" t="str">
        <f>_xlfn.IFNA(VLOOKUP($BD678,Programma!$F$3:$J$1107,5,0),"")</f>
        <v/>
      </c>
      <c r="BI678" s="300" t="str">
        <f>_xlfn.IFNA(VLOOKUP($BD678,Programma!$F$3:$K$1107,6,0),"")</f>
        <v/>
      </c>
      <c r="BJ678" s="300" t="str">
        <f>_xlfn.IFNA(VLOOKUP($BD678,Programma!$F$3:$L$1107,7,0),"")</f>
        <v/>
      </c>
      <c r="BK678" s="300" t="str">
        <f>_xlfn.IFNA(VLOOKUP($BD678,Programma!$F$3:$M$1107,8,0),"")</f>
        <v/>
      </c>
      <c r="BL678" s="300" t="str">
        <f>_xlfn.IFNA(VLOOKUP($BD678,Programma!$F$3:$N$1107,9,0),"")</f>
        <v/>
      </c>
      <c r="BM678" s="300" t="str">
        <f>_xlfn.IFNA(VLOOKUP($BD678,Programma!$F$3:$O$1107,10,0),"")</f>
        <v/>
      </c>
      <c r="BN678" s="300" t="str">
        <f>_xlfn.IFNA(VLOOKUP($BD678,Programma!$F$3:$P$1107,11,0),"")</f>
        <v/>
      </c>
      <c r="BO678" s="300" t="str">
        <f>_xlfn.IFNA(VLOOKUP($BD678,Programma!$F$3:$Q$1107,12,0),"")</f>
        <v/>
      </c>
      <c r="BP678" s="300" t="str">
        <f>_xlfn.IFNA(VLOOKUP($BD678,Programma!$F$3:$R$1107,13,0),"")</f>
        <v/>
      </c>
      <c r="BQ678" s="300" t="str">
        <f>_xlfn.IFNA(VLOOKUP($BD678,Programma!$F$3:$S$1107,14,0),"")</f>
        <v/>
      </c>
      <c r="BR678" s="300" t="str">
        <f>_xlfn.IFNA(VLOOKUP($BD678,Programma!$F$3:$T$1107,15,0),"")</f>
        <v/>
      </c>
      <c r="BS678" s="300" t="str">
        <f>_xlfn.IFNA(VLOOKUP($BD678,Programma!$F$3:$U$1107,16,0),"")</f>
        <v/>
      </c>
      <c r="BT678" s="300" t="str">
        <f>_xlfn.IFNA(VLOOKUP($BD678,Programma!$F$3:$V$1107,17,0),"")</f>
        <v/>
      </c>
      <c r="BU678" s="300" t="str">
        <f>_xlfn.IFNA(VLOOKUP($BD678,Programma!$F$3:$W$1107,18,0),"")</f>
        <v/>
      </c>
      <c r="BV678" s="300" t="str">
        <f>_xlfn.IFNA(VLOOKUP($BD678,Programma!$F$3:$X$1107,19,0),"")</f>
        <v/>
      </c>
      <c r="BW678" s="300" t="str">
        <f>_xlfn.IFNA(VLOOKUP($BD678,Programma!$F$3:$Y$1107,20,0),"")</f>
        <v/>
      </c>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c r="GK678" s="4"/>
      <c r="GL678" s="4"/>
      <c r="GM678" s="4"/>
      <c r="GN678" s="4"/>
      <c r="GO678" s="4"/>
      <c r="GP678" s="4"/>
      <c r="GQ678" s="4"/>
      <c r="GR678" s="4"/>
      <c r="GS678" s="4"/>
      <c r="GT678" s="4"/>
      <c r="GU678" s="4"/>
      <c r="GV678" s="4"/>
      <c r="GW678" s="4"/>
      <c r="GX678" s="4"/>
      <c r="GY678" s="4"/>
      <c r="GZ678" s="4"/>
      <c r="HA678" s="4"/>
      <c r="HB678" s="4"/>
      <c r="HC678" s="4"/>
      <c r="HD678" s="4"/>
      <c r="HE678" s="4"/>
      <c r="HF678" s="4"/>
      <c r="HG678" s="4"/>
      <c r="HH678" s="4"/>
      <c r="HI678" s="4"/>
      <c r="HJ678" s="4"/>
      <c r="HK678" s="4"/>
      <c r="HL678" s="4"/>
    </row>
    <row r="679" spans="1:220" ht="15" customHeight="1">
      <c r="A679" s="21">
        <v>8</v>
      </c>
      <c r="B679" s="157" t="str">
        <f>VLOOKUP(Ruimtestaat[[#This Row],[Code]],Locaties[[Code]:[Locatie]],2,FALSE)</f>
        <v>Dalton College</v>
      </c>
      <c r="C679" s="157" t="str">
        <f>VLOOKUP(Ruimtestaat[[#This Row],[Code]],Locaties[[#All],[Code]:[Adres]],4,FALSE)</f>
        <v>Loolaan 125</v>
      </c>
      <c r="D679" s="157" t="str">
        <f>VLOOKUP(Ruimtestaat[[#This Row],[Code]],Locaties[[#All],[Code]:[Postcode]],5,FALSE)</f>
        <v xml:space="preserve">2271 TM </v>
      </c>
      <c r="E679" s="157" t="str">
        <f>VLOOKUP(Ruimtestaat[[#This Row],[Code]],Locaties[#All],6,FALSE)</f>
        <v>Voorburg</v>
      </c>
      <c r="F679" s="62"/>
      <c r="G679" s="21" t="s">
        <v>1632</v>
      </c>
      <c r="H679" s="21">
        <v>16</v>
      </c>
      <c r="I679" s="62" t="s">
        <v>1633</v>
      </c>
      <c r="J679" s="21">
        <v>7</v>
      </c>
      <c r="K679" s="62" t="str">
        <f>VLOOKUP(Ruimtestaat[[#This Row],[Ruimte code]],Ruimtegroepen[[#All],[Code]:[Ruimte omschrijving]],2,FALSE)</f>
        <v>Entree</v>
      </c>
      <c r="L679" s="33" t="s">
        <v>100</v>
      </c>
      <c r="M679" s="367" t="s">
        <v>2493</v>
      </c>
      <c r="N679" s="140">
        <v>20</v>
      </c>
      <c r="O679" s="140"/>
      <c r="P679" s="125" t="str">
        <f>VLOOKUP(Ruimtestaat[[#This Row],[Ruimte code]],Ruimtegroepen[],4,FALSE)</f>
        <v>Ve</v>
      </c>
      <c r="R679" s="33">
        <v>40</v>
      </c>
      <c r="S679" s="33" t="s">
        <v>2</v>
      </c>
      <c r="T679" s="33">
        <f>IF(R679&gt;0,IF(RIGHT(Ruimtestaat[[#This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79" s="33">
        <f>IF(T679&gt;0,VLOOKUP($J679,Ruimtegroepen[],3,FALSE)*VLOOKUP($L679,Vloersoorten[],3,FALSE)*VLOOKUP($S679,Frequenties[],3,FALSE)*VLOOKUP($A679,Locaties[],3,FALSE),0)</f>
        <v>0</v>
      </c>
      <c r="V679" s="33">
        <f>Ruimtestaat[[#This Row],[Uitvoeringen werkdagen]]*Ruimtestaat[[#This Row],[Oppervlak (netto)]]</f>
        <v>4000</v>
      </c>
      <c r="W679" s="154">
        <f>IF(U679&gt;0,Ruimtestaat[[#This Row],[Prest. (m2 /jaar) werkdagen]]/Ruimtestaat[[#This Row],[Norm (m2/uur) werkdagen]],0)</f>
        <v>0</v>
      </c>
      <c r="X679" s="155">
        <f>Ruimtestaat[[#This Row],[uren / jaar werkdagen]]*Tariefsopbouw!$E$35</f>
        <v>0</v>
      </c>
      <c r="Y679" s="33"/>
      <c r="Z679" s="33">
        <f>IF(Ruimtestaat[[#This Row],[Frequentie weekend]]&gt;0,VALUE(LEFT(Y679,1))*R679,0)</f>
        <v>0</v>
      </c>
      <c r="AA679" s="97">
        <f>IF($Z679&gt;0,VLOOKUP($J679,Ruimtegroepen[],3,FALSE)*VLOOKUP($L679,Vloersoorten[],3,FALSE)*VLOOKUP($Y679,Frequenties[],3,FALSE)*VLOOKUP(Ruimtestaat[[#This Row],[Code]],Locaties[],3,FALSE),0)</f>
        <v>0</v>
      </c>
      <c r="AB679" s="97">
        <f>Ruimtestaat[[#This Row],[Uitvoeringen weekend]]*Ruimtestaat[[#This Row],[Oppervlak (netto)]]</f>
        <v>0</v>
      </c>
      <c r="AC679" s="97">
        <f>IF(AA679&gt;0,Ruimtestaat[[#This Row],[Prest. (m2 /jaar) weekend]]/Ruimtestaat[[#This Row],[Norm (m2/uur) weekend]],0)</f>
        <v>0</v>
      </c>
      <c r="AD679" s="155">
        <f>Ruimtestaat[[#This Row],[uren / jaar weekend]]*Tariefsopbouw!$D$40</f>
        <v>0</v>
      </c>
      <c r="AE679" s="154">
        <f>Ruimtestaat[[#This Row],[Prest. (m2 /jaar) weekend]]+Ruimtestaat[[#This Row],[Prest. (m2 /jaar) werkdagen]]</f>
        <v>4000</v>
      </c>
      <c r="AF679" s="154">
        <f>Ruimtestaat[[#This Row],[uren / jaar weekend]]+Ruimtestaat[[#This Row],[uren / jaar werkdagen]]</f>
        <v>0</v>
      </c>
      <c r="AG679" s="69">
        <f>Ruimtestaat[[#This Row],[kosten / jaar weekend]]+Ruimtestaat[[#This Row],[kosten / jaar werkdagen]]</f>
        <v>0</v>
      </c>
      <c r="AH679" s="69"/>
      <c r="AI679" s="256" t="str">
        <f>IF(Ruimtestaat[[#This Row],[Frequentie werkdagen]]="","",_xlfn.CONCAT(Ruimtestaat[[#This Row],[Ruimte code]],"-",Ruimtestaat[[#This Row],[Frequentie werkdagen]]," ",Ruimtestaat[[#This Row],[Vloer code]]))</f>
        <v>7-5w T</v>
      </c>
      <c r="AJ679" s="300" t="str">
        <f>_xlfn.IFNA(VLOOKUP($AI679,Programma!$F$3:$G$1107,2,0),"")</f>
        <v>_</v>
      </c>
      <c r="AK679" s="300" t="str">
        <f>_xlfn.IFNA(VLOOKUP($AI679,Programma!$F$3:$H$1107,3,0),"")</f>
        <v>5w</v>
      </c>
      <c r="AL679" s="300" t="str">
        <f>_xlfn.IFNA(VLOOKUP($AI679,Programma!$F$3:$I$1107,4,0),"")</f>
        <v>_</v>
      </c>
      <c r="AM679" s="300" t="str">
        <f>_xlfn.IFNA(VLOOKUP($AI679,Programma!$F$3:$J$1107,5,0),"")</f>
        <v>_</v>
      </c>
      <c r="AN679" s="300" t="str">
        <f>_xlfn.IFNA(VLOOKUP($AI679,Programma!$F$3:$K$1107,6,0),"")</f>
        <v>_</v>
      </c>
      <c r="AO679" s="300" t="str">
        <f>_xlfn.IFNA(VLOOKUP($AI679,Programma!$F$3:$L$1107,7,0),"")</f>
        <v>_</v>
      </c>
      <c r="AP679" s="300" t="str">
        <f>_xlfn.IFNA(VLOOKUP($AI679,Programma!$F$3:$M$1107,8,0),"")</f>
        <v>_</v>
      </c>
      <c r="AQ679" s="300" t="str">
        <f>_xlfn.IFNA(VLOOKUP($AI679,Programma!$F$3:$N$1107,9,0),"")</f>
        <v>_</v>
      </c>
      <c r="AR679" s="300" t="str">
        <f>_xlfn.IFNA(VLOOKUP($AI679,Programma!$F$3:$O$1107,10,0),"")</f>
        <v>5w</v>
      </c>
      <c r="AS679" s="300" t="str">
        <f>_xlfn.IFNA(VLOOKUP($AI679,Programma!$F$3:$P$1107,11,0),"")</f>
        <v>5w</v>
      </c>
      <c r="AT679" s="300" t="str">
        <f>_xlfn.IFNA(VLOOKUP($AI679,Programma!$F$3:$Q$1107,12,0),"")</f>
        <v>1w</v>
      </c>
      <c r="AU679" s="300" t="str">
        <f>_xlfn.IFNA(VLOOKUP($AI679,Programma!$F$3:$R$1107,13,0),"")</f>
        <v>1w</v>
      </c>
      <c r="AV679" s="300" t="str">
        <f>_xlfn.IFNA(VLOOKUP($AI679,Programma!$F$3:$S$1107,14,0),"")</f>
        <v>1m</v>
      </c>
      <c r="AW679" s="300" t="str">
        <f>_xlfn.IFNA(VLOOKUP($AI679,Programma!$F$3:$T$1107,15,0),"")</f>
        <v>2j</v>
      </c>
      <c r="AX679" s="300" t="str">
        <f>_xlfn.IFNA(VLOOKUP($AI679,Programma!$F$3:$U$1107,16,0),"")</f>
        <v>1j</v>
      </c>
      <c r="AY679" s="300" t="str">
        <f>_xlfn.IFNA(VLOOKUP($AI679,Programma!$F$3:$V$1107,17,0),"")</f>
        <v>_</v>
      </c>
      <c r="AZ679" s="300" t="str">
        <f>_xlfn.IFNA(VLOOKUP($AI679,Programma!$F$3:$W$1107,18,0),"")</f>
        <v>_</v>
      </c>
      <c r="BA679" s="300" t="str">
        <f>_xlfn.IFNA(VLOOKUP($AI679,Programma!$F$3:$X$1107,19,0),"")</f>
        <v>_</v>
      </c>
      <c r="BB679" s="300" t="str">
        <f>_xlfn.IFNA(VLOOKUP($AI679,Programma!$F$3:$Y$1107,20,0),"")</f>
        <v>_</v>
      </c>
      <c r="BC679" s="257"/>
      <c r="BD679" s="256" t="str">
        <f>IF(Ruimtestaat[[#This Row],[Frequentie weekend]]="","",_xlfn.CONCAT(Ruimtestaat[[#This Row],[Ruimte code]],"-",Ruimtestaat[[#This Row],[Frequentie weekend]]," ",Ruimtestaat[[#This Row],[Vloer code]]))</f>
        <v/>
      </c>
      <c r="BE679" s="300" t="str">
        <f>_xlfn.IFNA(VLOOKUP($BD679,Programma!$F$3:$G$1107,2,0),"")</f>
        <v/>
      </c>
      <c r="BF679" s="300" t="str">
        <f>_xlfn.IFNA(VLOOKUP($BD679,Programma!$F$3:$H$1107,3,0),"")</f>
        <v/>
      </c>
      <c r="BG679" s="300" t="str">
        <f>_xlfn.IFNA(VLOOKUP($BD679,Programma!$F$3:$I$1107,4,0),"")</f>
        <v/>
      </c>
      <c r="BH679" s="300" t="str">
        <f>_xlfn.IFNA(VLOOKUP($BD679,Programma!$F$3:$J$1107,5,0),"")</f>
        <v/>
      </c>
      <c r="BI679" s="300" t="str">
        <f>_xlfn.IFNA(VLOOKUP($BD679,Programma!$F$3:$K$1107,6,0),"")</f>
        <v/>
      </c>
      <c r="BJ679" s="300" t="str">
        <f>_xlfn.IFNA(VLOOKUP($BD679,Programma!$F$3:$L$1107,7,0),"")</f>
        <v/>
      </c>
      <c r="BK679" s="300" t="str">
        <f>_xlfn.IFNA(VLOOKUP($BD679,Programma!$F$3:$M$1107,8,0),"")</f>
        <v/>
      </c>
      <c r="BL679" s="300" t="str">
        <f>_xlfn.IFNA(VLOOKUP($BD679,Programma!$F$3:$N$1107,9,0),"")</f>
        <v/>
      </c>
      <c r="BM679" s="300" t="str">
        <f>_xlfn.IFNA(VLOOKUP($BD679,Programma!$F$3:$O$1107,10,0),"")</f>
        <v/>
      </c>
      <c r="BN679" s="300" t="str">
        <f>_xlfn.IFNA(VLOOKUP($BD679,Programma!$F$3:$P$1107,11,0),"")</f>
        <v/>
      </c>
      <c r="BO679" s="300" t="str">
        <f>_xlfn.IFNA(VLOOKUP($BD679,Programma!$F$3:$Q$1107,12,0),"")</f>
        <v/>
      </c>
      <c r="BP679" s="300" t="str">
        <f>_xlfn.IFNA(VLOOKUP($BD679,Programma!$F$3:$R$1107,13,0),"")</f>
        <v/>
      </c>
      <c r="BQ679" s="300" t="str">
        <f>_xlfn.IFNA(VLOOKUP($BD679,Programma!$F$3:$S$1107,14,0),"")</f>
        <v/>
      </c>
      <c r="BR679" s="300" t="str">
        <f>_xlfn.IFNA(VLOOKUP($BD679,Programma!$F$3:$T$1107,15,0),"")</f>
        <v/>
      </c>
      <c r="BS679" s="300" t="str">
        <f>_xlfn.IFNA(VLOOKUP($BD679,Programma!$F$3:$U$1107,16,0),"")</f>
        <v/>
      </c>
      <c r="BT679" s="300" t="str">
        <f>_xlfn.IFNA(VLOOKUP($BD679,Programma!$F$3:$V$1107,17,0),"")</f>
        <v/>
      </c>
      <c r="BU679" s="300" t="str">
        <f>_xlfn.IFNA(VLOOKUP($BD679,Programma!$F$3:$W$1107,18,0),"")</f>
        <v/>
      </c>
      <c r="BV679" s="300" t="str">
        <f>_xlfn.IFNA(VLOOKUP($BD679,Programma!$F$3:$X$1107,19,0),"")</f>
        <v/>
      </c>
      <c r="BW679" s="300" t="str">
        <f>_xlfn.IFNA(VLOOKUP($BD679,Programma!$F$3:$Y$1107,20,0),"")</f>
        <v/>
      </c>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c r="GK679" s="4"/>
      <c r="GL679" s="4"/>
      <c r="GM679" s="4"/>
      <c r="GN679" s="4"/>
      <c r="GO679" s="4"/>
      <c r="GP679" s="4"/>
      <c r="GQ679" s="4"/>
      <c r="GR679" s="4"/>
      <c r="GS679" s="4"/>
      <c r="GT679" s="4"/>
      <c r="GU679" s="4"/>
      <c r="GV679" s="4"/>
      <c r="GW679" s="4"/>
      <c r="GX679" s="4"/>
      <c r="GY679" s="4"/>
      <c r="GZ679" s="4"/>
      <c r="HA679" s="4"/>
      <c r="HB679" s="4"/>
      <c r="HC679" s="4"/>
      <c r="HD679" s="4"/>
      <c r="HE679" s="4"/>
      <c r="HF679" s="4"/>
      <c r="HG679" s="4"/>
      <c r="HH679" s="4"/>
      <c r="HI679" s="4"/>
      <c r="HJ679" s="4"/>
      <c r="HK679" s="4"/>
      <c r="HL679" s="4"/>
    </row>
    <row r="680" spans="1:220" ht="15" customHeight="1">
      <c r="A680" s="21">
        <v>8</v>
      </c>
      <c r="B680" s="157" t="str">
        <f>VLOOKUP(Ruimtestaat[[#This Row],[Code]],Locaties[[Code]:[Locatie]],2,FALSE)</f>
        <v>Dalton College</v>
      </c>
      <c r="C680" s="157" t="str">
        <f>VLOOKUP(Ruimtestaat[[#This Row],[Code]],Locaties[[#All],[Code]:[Adres]],4,FALSE)</f>
        <v>Loolaan 125</v>
      </c>
      <c r="D680" s="157" t="str">
        <f>VLOOKUP(Ruimtestaat[[#This Row],[Code]],Locaties[[#All],[Code]:[Postcode]],5,FALSE)</f>
        <v xml:space="preserve">2271 TM </v>
      </c>
      <c r="E680" s="157" t="str">
        <f>VLOOKUP(Ruimtestaat[[#This Row],[Code]],Locaties[#All],6,FALSE)</f>
        <v>Voorburg</v>
      </c>
      <c r="F680" s="62"/>
      <c r="G680" s="21" t="s">
        <v>1632</v>
      </c>
      <c r="H680" s="21">
        <v>17</v>
      </c>
      <c r="I680" s="62" t="s">
        <v>2147</v>
      </c>
      <c r="J680" s="21">
        <v>13</v>
      </c>
      <c r="K680" s="62" t="str">
        <f>VLOOKUP(Ruimtestaat[[#This Row],[Ruimte code]],Ruimtegroepen[[#All],[Code]:[Ruimte omschrijving]],2,FALSE)</f>
        <v>HV/Technieklokaal</v>
      </c>
      <c r="L680" s="33" t="s">
        <v>101</v>
      </c>
      <c r="M680" s="367" t="s">
        <v>2495</v>
      </c>
      <c r="N680" s="140">
        <v>179</v>
      </c>
      <c r="O680" s="140"/>
      <c r="P680" s="125" t="str">
        <f>VLOOKUP(Ruimtestaat[[#This Row],[Ruimte code]],Ruimtegroepen[],4,FALSE)</f>
        <v>Le</v>
      </c>
      <c r="R680" s="33">
        <v>40</v>
      </c>
      <c r="S680" s="33" t="s">
        <v>2</v>
      </c>
      <c r="T680" s="33">
        <f>IF(R680&gt;0,IF(RIGHT(Ruimtestaat[[#This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80" s="33">
        <f>IF(T680&gt;0,VLOOKUP($J680,Ruimtegroepen[],3,FALSE)*VLOOKUP($L680,Vloersoorten[],3,FALSE)*VLOOKUP($S680,Frequenties[],3,FALSE)*VLOOKUP($A680,Locaties[],3,FALSE),0)</f>
        <v>0</v>
      </c>
      <c r="V680" s="33">
        <f>Ruimtestaat[[#This Row],[Uitvoeringen werkdagen]]*Ruimtestaat[[#This Row],[Oppervlak (netto)]]</f>
        <v>35800</v>
      </c>
      <c r="W680" s="154">
        <f>IF(U680&gt;0,Ruimtestaat[[#This Row],[Prest. (m2 /jaar) werkdagen]]/Ruimtestaat[[#This Row],[Norm (m2/uur) werkdagen]],0)</f>
        <v>0</v>
      </c>
      <c r="X680" s="155">
        <f>Ruimtestaat[[#This Row],[uren / jaar werkdagen]]*Tariefsopbouw!$E$35</f>
        <v>0</v>
      </c>
      <c r="Y680" s="33"/>
      <c r="Z680" s="33">
        <f>IF(Ruimtestaat[[#This Row],[Frequentie weekend]]&gt;0,VALUE(LEFT(Y680,1))*R680,0)</f>
        <v>0</v>
      </c>
      <c r="AA680" s="97">
        <f>IF($Z680&gt;0,VLOOKUP($J680,Ruimtegroepen[],3,FALSE)*VLOOKUP($L680,Vloersoorten[],3,FALSE)*VLOOKUP($Y680,Frequenties[],3,FALSE)*VLOOKUP(Ruimtestaat[[#This Row],[Code]],Locaties[],3,FALSE),0)</f>
        <v>0</v>
      </c>
      <c r="AB680" s="97">
        <f>Ruimtestaat[[#This Row],[Uitvoeringen weekend]]*Ruimtestaat[[#This Row],[Oppervlak (netto)]]</f>
        <v>0</v>
      </c>
      <c r="AC680" s="97">
        <f>IF(AA680&gt;0,Ruimtestaat[[#This Row],[Prest. (m2 /jaar) weekend]]/Ruimtestaat[[#This Row],[Norm (m2/uur) weekend]],0)</f>
        <v>0</v>
      </c>
      <c r="AD680" s="155">
        <f>Ruimtestaat[[#This Row],[uren / jaar weekend]]*Tariefsopbouw!$D$40</f>
        <v>0</v>
      </c>
      <c r="AE680" s="154">
        <f>Ruimtestaat[[#This Row],[Prest. (m2 /jaar) weekend]]+Ruimtestaat[[#This Row],[Prest. (m2 /jaar) werkdagen]]</f>
        <v>35800</v>
      </c>
      <c r="AF680" s="154">
        <f>Ruimtestaat[[#This Row],[uren / jaar weekend]]+Ruimtestaat[[#This Row],[uren / jaar werkdagen]]</f>
        <v>0</v>
      </c>
      <c r="AG680" s="69">
        <f>Ruimtestaat[[#This Row],[kosten / jaar weekend]]+Ruimtestaat[[#This Row],[kosten / jaar werkdagen]]</f>
        <v>0</v>
      </c>
      <c r="AH680" s="69"/>
      <c r="AI680" s="256" t="str">
        <f>IF(Ruimtestaat[[#This Row],[Frequentie werkdagen]]="","",_xlfn.CONCAT(Ruimtestaat[[#This Row],[Ruimte code]],"-",Ruimtestaat[[#This Row],[Frequentie werkdagen]]," ",Ruimtestaat[[#This Row],[Vloer code]]))</f>
        <v>13-5w L</v>
      </c>
      <c r="AJ680" s="300" t="str">
        <f>_xlfn.IFNA(VLOOKUP($AI680,Programma!$F$3:$G$1107,2,0),"")</f>
        <v>_</v>
      </c>
      <c r="AK680" s="300" t="str">
        <f>_xlfn.IFNA(VLOOKUP($AI680,Programma!$F$3:$H$1107,3,0),"")</f>
        <v>_</v>
      </c>
      <c r="AL680" s="300" t="str">
        <f>_xlfn.IFNA(VLOOKUP($AI680,Programma!$F$3:$I$1107,4,0),"")</f>
        <v>4w</v>
      </c>
      <c r="AM680" s="300" t="str">
        <f>_xlfn.IFNA(VLOOKUP($AI680,Programma!$F$3:$J$1107,5,0),"")</f>
        <v>1w</v>
      </c>
      <c r="AN680" s="300" t="str">
        <f>_xlfn.IFNA(VLOOKUP($AI680,Programma!$F$3:$K$1107,6,0),"")</f>
        <v>_</v>
      </c>
      <c r="AO680" s="300" t="str">
        <f>_xlfn.IFNA(VLOOKUP($AI680,Programma!$F$3:$L$1107,7,0),"")</f>
        <v>_</v>
      </c>
      <c r="AP680" s="300" t="str">
        <f>_xlfn.IFNA(VLOOKUP($AI680,Programma!$F$3:$M$1107,8,0),"")</f>
        <v>_</v>
      </c>
      <c r="AQ680" s="300" t="str">
        <f>_xlfn.IFNA(VLOOKUP($AI680,Programma!$F$3:$N$1107,9,0),"")</f>
        <v>_</v>
      </c>
      <c r="AR680" s="300" t="str">
        <f>_xlfn.IFNA(VLOOKUP($AI680,Programma!$F$3:$O$1107,10,0),"")</f>
        <v>5w</v>
      </c>
      <c r="AS680" s="300" t="str">
        <f>_xlfn.IFNA(VLOOKUP($AI680,Programma!$F$3:$P$1107,11,0),"")</f>
        <v>5w</v>
      </c>
      <c r="AT680" s="300" t="str">
        <f>_xlfn.IFNA(VLOOKUP($AI680,Programma!$F$3:$Q$1107,12,0),"")</f>
        <v>1w</v>
      </c>
      <c r="AU680" s="300" t="str">
        <f>_xlfn.IFNA(VLOOKUP($AI680,Programma!$F$3:$R$1107,13,0),"")</f>
        <v>1w</v>
      </c>
      <c r="AV680" s="300" t="str">
        <f>_xlfn.IFNA(VLOOKUP($AI680,Programma!$F$3:$S$1107,14,0),"")</f>
        <v>1m</v>
      </c>
      <c r="AW680" s="300" t="str">
        <f>_xlfn.IFNA(VLOOKUP($AI680,Programma!$F$3:$T$1107,15,0),"")</f>
        <v>2j</v>
      </c>
      <c r="AX680" s="300" t="str">
        <f>_xlfn.IFNA(VLOOKUP($AI680,Programma!$F$3:$U$1107,16,0),"")</f>
        <v>1j</v>
      </c>
      <c r="AY680" s="300" t="str">
        <f>_xlfn.IFNA(VLOOKUP($AI680,Programma!$F$3:$V$1107,17,0),"")</f>
        <v>_</v>
      </c>
      <c r="AZ680" s="300" t="str">
        <f>_xlfn.IFNA(VLOOKUP($AI680,Programma!$F$3:$W$1107,18,0),"")</f>
        <v>_</v>
      </c>
      <c r="BA680" s="300" t="str">
        <f>_xlfn.IFNA(VLOOKUP($AI680,Programma!$F$3:$X$1107,19,0),"")</f>
        <v>_</v>
      </c>
      <c r="BB680" s="300" t="str">
        <f>_xlfn.IFNA(VLOOKUP($AI680,Programma!$F$3:$Y$1107,20,0),"")</f>
        <v>_</v>
      </c>
      <c r="BC680" s="257"/>
      <c r="BD680" s="256" t="str">
        <f>IF(Ruimtestaat[[#This Row],[Frequentie weekend]]="","",_xlfn.CONCAT(Ruimtestaat[[#This Row],[Ruimte code]],"-",Ruimtestaat[[#This Row],[Frequentie weekend]]," ",Ruimtestaat[[#This Row],[Vloer code]]))</f>
        <v/>
      </c>
      <c r="BE680" s="300" t="str">
        <f>_xlfn.IFNA(VLOOKUP($BD680,Programma!$F$3:$G$1107,2,0),"")</f>
        <v/>
      </c>
      <c r="BF680" s="300" t="str">
        <f>_xlfn.IFNA(VLOOKUP($BD680,Programma!$F$3:$H$1107,3,0),"")</f>
        <v/>
      </c>
      <c r="BG680" s="300" t="str">
        <f>_xlfn.IFNA(VLOOKUP($BD680,Programma!$F$3:$I$1107,4,0),"")</f>
        <v/>
      </c>
      <c r="BH680" s="300" t="str">
        <f>_xlfn.IFNA(VLOOKUP($BD680,Programma!$F$3:$J$1107,5,0),"")</f>
        <v/>
      </c>
      <c r="BI680" s="300" t="str">
        <f>_xlfn.IFNA(VLOOKUP($BD680,Programma!$F$3:$K$1107,6,0),"")</f>
        <v/>
      </c>
      <c r="BJ680" s="300" t="str">
        <f>_xlfn.IFNA(VLOOKUP($BD680,Programma!$F$3:$L$1107,7,0),"")</f>
        <v/>
      </c>
      <c r="BK680" s="300" t="str">
        <f>_xlfn.IFNA(VLOOKUP($BD680,Programma!$F$3:$M$1107,8,0),"")</f>
        <v/>
      </c>
      <c r="BL680" s="300" t="str">
        <f>_xlfn.IFNA(VLOOKUP($BD680,Programma!$F$3:$N$1107,9,0),"")</f>
        <v/>
      </c>
      <c r="BM680" s="300" t="str">
        <f>_xlfn.IFNA(VLOOKUP($BD680,Programma!$F$3:$O$1107,10,0),"")</f>
        <v/>
      </c>
      <c r="BN680" s="300" t="str">
        <f>_xlfn.IFNA(VLOOKUP($BD680,Programma!$F$3:$P$1107,11,0),"")</f>
        <v/>
      </c>
      <c r="BO680" s="300" t="str">
        <f>_xlfn.IFNA(VLOOKUP($BD680,Programma!$F$3:$Q$1107,12,0),"")</f>
        <v/>
      </c>
      <c r="BP680" s="300" t="str">
        <f>_xlfn.IFNA(VLOOKUP($BD680,Programma!$F$3:$R$1107,13,0),"")</f>
        <v/>
      </c>
      <c r="BQ680" s="300" t="str">
        <f>_xlfn.IFNA(VLOOKUP($BD680,Programma!$F$3:$S$1107,14,0),"")</f>
        <v/>
      </c>
      <c r="BR680" s="300" t="str">
        <f>_xlfn.IFNA(VLOOKUP($BD680,Programma!$F$3:$T$1107,15,0),"")</f>
        <v/>
      </c>
      <c r="BS680" s="300" t="str">
        <f>_xlfn.IFNA(VLOOKUP($BD680,Programma!$F$3:$U$1107,16,0),"")</f>
        <v/>
      </c>
      <c r="BT680" s="300" t="str">
        <f>_xlfn.IFNA(VLOOKUP($BD680,Programma!$F$3:$V$1107,17,0),"")</f>
        <v/>
      </c>
      <c r="BU680" s="300" t="str">
        <f>_xlfn.IFNA(VLOOKUP($BD680,Programma!$F$3:$W$1107,18,0),"")</f>
        <v/>
      </c>
      <c r="BV680" s="300" t="str">
        <f>_xlfn.IFNA(VLOOKUP($BD680,Programma!$F$3:$X$1107,19,0),"")</f>
        <v/>
      </c>
      <c r="BW680" s="300" t="str">
        <f>_xlfn.IFNA(VLOOKUP($BD680,Programma!$F$3:$Y$1107,20,0),"")</f>
        <v/>
      </c>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c r="GK680" s="4"/>
      <c r="GL680" s="4"/>
      <c r="GM680" s="4"/>
      <c r="GN680" s="4"/>
      <c r="GO680" s="4"/>
      <c r="GP680" s="4"/>
      <c r="GQ680" s="4"/>
      <c r="GR680" s="4"/>
      <c r="GS680" s="4"/>
      <c r="GT680" s="4"/>
      <c r="GU680" s="4"/>
      <c r="GV680" s="4"/>
      <c r="GW680" s="4"/>
      <c r="GX680" s="4"/>
      <c r="GY680" s="4"/>
      <c r="GZ680" s="4"/>
      <c r="HA680" s="4"/>
      <c r="HB680" s="4"/>
      <c r="HC680" s="4"/>
      <c r="HD680" s="4"/>
      <c r="HE680" s="4"/>
      <c r="HF680" s="4"/>
      <c r="HG680" s="4"/>
      <c r="HH680" s="4"/>
      <c r="HI680" s="4"/>
      <c r="HJ680" s="4"/>
      <c r="HK680" s="4"/>
      <c r="HL680" s="4"/>
    </row>
    <row r="681" spans="1:220" ht="15" customHeight="1">
      <c r="A681" s="21">
        <v>8</v>
      </c>
      <c r="B681" s="157" t="str">
        <f>VLOOKUP(Ruimtestaat[[#This Row],[Code]],Locaties[[Code]:[Locatie]],2,FALSE)</f>
        <v>Dalton College</v>
      </c>
      <c r="C681" s="157" t="str">
        <f>VLOOKUP(Ruimtestaat[[#This Row],[Code]],Locaties[[#All],[Code]:[Adres]],4,FALSE)</f>
        <v>Loolaan 125</v>
      </c>
      <c r="D681" s="157" t="str">
        <f>VLOOKUP(Ruimtestaat[[#This Row],[Code]],Locaties[[#All],[Code]:[Postcode]],5,FALSE)</f>
        <v xml:space="preserve">2271 TM </v>
      </c>
      <c r="E681" s="157" t="str">
        <f>VLOOKUP(Ruimtestaat[[#This Row],[Code]],Locaties[#All],6,FALSE)</f>
        <v>Voorburg</v>
      </c>
      <c r="F681" s="62"/>
      <c r="G681" s="21" t="s">
        <v>1632</v>
      </c>
      <c r="H681" s="21">
        <v>18</v>
      </c>
      <c r="I681" s="62" t="s">
        <v>1652</v>
      </c>
      <c r="J681" s="21">
        <v>3</v>
      </c>
      <c r="K681" s="62" t="str">
        <f>VLOOKUP(Ruimtestaat[[#This Row],[Ruimte code]],Ruimtegroepen[[#All],[Code]:[Ruimte omschrijving]],2,FALSE)</f>
        <v>Reproruimte</v>
      </c>
      <c r="L681" s="33" t="s">
        <v>101</v>
      </c>
      <c r="M681" s="367" t="s">
        <v>2495</v>
      </c>
      <c r="N681" s="140">
        <v>30</v>
      </c>
      <c r="O681" s="140"/>
      <c r="P681" s="125" t="str">
        <f>VLOOKUP(Ruimtestaat[[#This Row],[Ruimte code]],Ruimtegroepen[],4,FALSE)</f>
        <v>Ve</v>
      </c>
      <c r="R681" s="33">
        <v>40</v>
      </c>
      <c r="S681" s="33" t="s">
        <v>2</v>
      </c>
      <c r="T681" s="33">
        <f>IF(R681&gt;0,IF(RIGHT(Ruimtestaat[[#This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81" s="33">
        <f>IF(T681&gt;0,VLOOKUP($J681,Ruimtegroepen[],3,FALSE)*VLOOKUP($L681,Vloersoorten[],3,FALSE)*VLOOKUP($S681,Frequenties[],3,FALSE)*VLOOKUP($A681,Locaties[],3,FALSE),0)</f>
        <v>0</v>
      </c>
      <c r="V681" s="33">
        <f>Ruimtestaat[[#This Row],[Uitvoeringen werkdagen]]*Ruimtestaat[[#This Row],[Oppervlak (netto)]]</f>
        <v>6000</v>
      </c>
      <c r="W681" s="154">
        <f>IF(U681&gt;0,Ruimtestaat[[#This Row],[Prest. (m2 /jaar) werkdagen]]/Ruimtestaat[[#This Row],[Norm (m2/uur) werkdagen]],0)</f>
        <v>0</v>
      </c>
      <c r="X681" s="155">
        <f>Ruimtestaat[[#This Row],[uren / jaar werkdagen]]*Tariefsopbouw!$E$35</f>
        <v>0</v>
      </c>
      <c r="Y681" s="33"/>
      <c r="Z681" s="33">
        <f>IF(Ruimtestaat[[#This Row],[Frequentie weekend]]&gt;0,VALUE(LEFT(Y681,1))*R681,0)</f>
        <v>0</v>
      </c>
      <c r="AA681" s="97">
        <f>IF($Z681&gt;0,VLOOKUP($J681,Ruimtegroepen[],3,FALSE)*VLOOKUP($L681,Vloersoorten[],3,FALSE)*VLOOKUP($Y681,Frequenties[],3,FALSE)*VLOOKUP(Ruimtestaat[[#This Row],[Code]],Locaties[],3,FALSE),0)</f>
        <v>0</v>
      </c>
      <c r="AB681" s="97">
        <f>Ruimtestaat[[#This Row],[Uitvoeringen weekend]]*Ruimtestaat[[#This Row],[Oppervlak (netto)]]</f>
        <v>0</v>
      </c>
      <c r="AC681" s="97">
        <f>IF(AA681&gt;0,Ruimtestaat[[#This Row],[Prest. (m2 /jaar) weekend]]/Ruimtestaat[[#This Row],[Norm (m2/uur) weekend]],0)</f>
        <v>0</v>
      </c>
      <c r="AD681" s="155">
        <f>Ruimtestaat[[#This Row],[uren / jaar weekend]]*Tariefsopbouw!$D$40</f>
        <v>0</v>
      </c>
      <c r="AE681" s="154">
        <f>Ruimtestaat[[#This Row],[Prest. (m2 /jaar) weekend]]+Ruimtestaat[[#This Row],[Prest. (m2 /jaar) werkdagen]]</f>
        <v>6000</v>
      </c>
      <c r="AF681" s="154">
        <f>Ruimtestaat[[#This Row],[uren / jaar weekend]]+Ruimtestaat[[#This Row],[uren / jaar werkdagen]]</f>
        <v>0</v>
      </c>
      <c r="AG681" s="69">
        <f>Ruimtestaat[[#This Row],[kosten / jaar weekend]]+Ruimtestaat[[#This Row],[kosten / jaar werkdagen]]</f>
        <v>0</v>
      </c>
      <c r="AH681" s="69"/>
      <c r="AI681" s="256" t="str">
        <f>IF(Ruimtestaat[[#This Row],[Frequentie werkdagen]]="","",_xlfn.CONCAT(Ruimtestaat[[#This Row],[Ruimte code]],"-",Ruimtestaat[[#This Row],[Frequentie werkdagen]]," ",Ruimtestaat[[#This Row],[Vloer code]]))</f>
        <v>3-5w L</v>
      </c>
      <c r="AJ681" s="300" t="str">
        <f>_xlfn.IFNA(VLOOKUP($AI681,Programma!$F$3:$G$1107,2,0),"")</f>
        <v>_</v>
      </c>
      <c r="AK681" s="300" t="str">
        <f>_xlfn.IFNA(VLOOKUP($AI681,Programma!$F$3:$H$1107,3,0),"")</f>
        <v>_</v>
      </c>
      <c r="AL681" s="300" t="str">
        <f>_xlfn.IFNA(VLOOKUP($AI681,Programma!$F$3:$I$1107,4,0),"")</f>
        <v>4w</v>
      </c>
      <c r="AM681" s="300" t="str">
        <f>_xlfn.IFNA(VLOOKUP($AI681,Programma!$F$3:$J$1107,5,0),"")</f>
        <v>1w</v>
      </c>
      <c r="AN681" s="300" t="str">
        <f>_xlfn.IFNA(VLOOKUP($AI681,Programma!$F$3:$K$1107,6,0),"")</f>
        <v>_</v>
      </c>
      <c r="AO681" s="300" t="str">
        <f>_xlfn.IFNA(VLOOKUP($AI681,Programma!$F$3:$L$1107,7,0),"")</f>
        <v>_</v>
      </c>
      <c r="AP681" s="300" t="str">
        <f>_xlfn.IFNA(VLOOKUP($AI681,Programma!$F$3:$M$1107,8,0),"")</f>
        <v>_</v>
      </c>
      <c r="AQ681" s="300" t="str">
        <f>_xlfn.IFNA(VLOOKUP($AI681,Programma!$F$3:$N$1107,9,0),"")</f>
        <v>_</v>
      </c>
      <c r="AR681" s="300" t="str">
        <f>_xlfn.IFNA(VLOOKUP($AI681,Programma!$F$3:$O$1107,10,0),"")</f>
        <v>5w</v>
      </c>
      <c r="AS681" s="300" t="str">
        <f>_xlfn.IFNA(VLOOKUP($AI681,Programma!$F$3:$P$1107,11,0),"")</f>
        <v>5w</v>
      </c>
      <c r="AT681" s="300" t="str">
        <f>_xlfn.IFNA(VLOOKUP($AI681,Programma!$F$3:$Q$1107,12,0),"")</f>
        <v>1w</v>
      </c>
      <c r="AU681" s="300" t="str">
        <f>_xlfn.IFNA(VLOOKUP($AI681,Programma!$F$3:$R$1107,13,0),"")</f>
        <v>1w</v>
      </c>
      <c r="AV681" s="300" t="str">
        <f>_xlfn.IFNA(VLOOKUP($AI681,Programma!$F$3:$S$1107,14,0),"")</f>
        <v>1m</v>
      </c>
      <c r="AW681" s="300" t="str">
        <f>_xlfn.IFNA(VLOOKUP($AI681,Programma!$F$3:$T$1107,15,0),"")</f>
        <v>4j</v>
      </c>
      <c r="AX681" s="300" t="str">
        <f>_xlfn.IFNA(VLOOKUP($AI681,Programma!$F$3:$U$1107,16,0),"")</f>
        <v>1j</v>
      </c>
      <c r="AY681" s="300" t="str">
        <f>_xlfn.IFNA(VLOOKUP($AI681,Programma!$F$3:$V$1107,17,0),"")</f>
        <v>_</v>
      </c>
      <c r="AZ681" s="300" t="str">
        <f>_xlfn.IFNA(VLOOKUP($AI681,Programma!$F$3:$W$1107,18,0),"")</f>
        <v>_</v>
      </c>
      <c r="BA681" s="300" t="str">
        <f>_xlfn.IFNA(VLOOKUP($AI681,Programma!$F$3:$X$1107,19,0),"")</f>
        <v>_</v>
      </c>
      <c r="BB681" s="300" t="str">
        <f>_xlfn.IFNA(VLOOKUP($AI681,Programma!$F$3:$Y$1107,20,0),"")</f>
        <v>_</v>
      </c>
      <c r="BC681" s="257"/>
      <c r="BD681" s="256" t="str">
        <f>IF(Ruimtestaat[[#This Row],[Frequentie weekend]]="","",_xlfn.CONCAT(Ruimtestaat[[#This Row],[Ruimte code]],"-",Ruimtestaat[[#This Row],[Frequentie weekend]]," ",Ruimtestaat[[#This Row],[Vloer code]]))</f>
        <v/>
      </c>
      <c r="BE681" s="300" t="str">
        <f>_xlfn.IFNA(VLOOKUP($BD681,Programma!$F$3:$G$1107,2,0),"")</f>
        <v/>
      </c>
      <c r="BF681" s="300" t="str">
        <f>_xlfn.IFNA(VLOOKUP($BD681,Programma!$F$3:$H$1107,3,0),"")</f>
        <v/>
      </c>
      <c r="BG681" s="300" t="str">
        <f>_xlfn.IFNA(VLOOKUP($BD681,Programma!$F$3:$I$1107,4,0),"")</f>
        <v/>
      </c>
      <c r="BH681" s="300" t="str">
        <f>_xlfn.IFNA(VLOOKUP($BD681,Programma!$F$3:$J$1107,5,0),"")</f>
        <v/>
      </c>
      <c r="BI681" s="300" t="str">
        <f>_xlfn.IFNA(VLOOKUP($BD681,Programma!$F$3:$K$1107,6,0),"")</f>
        <v/>
      </c>
      <c r="BJ681" s="300" t="str">
        <f>_xlfn.IFNA(VLOOKUP($BD681,Programma!$F$3:$L$1107,7,0),"")</f>
        <v/>
      </c>
      <c r="BK681" s="300" t="str">
        <f>_xlfn.IFNA(VLOOKUP($BD681,Programma!$F$3:$M$1107,8,0),"")</f>
        <v/>
      </c>
      <c r="BL681" s="300" t="str">
        <f>_xlfn.IFNA(VLOOKUP($BD681,Programma!$F$3:$N$1107,9,0),"")</f>
        <v/>
      </c>
      <c r="BM681" s="300" t="str">
        <f>_xlfn.IFNA(VLOOKUP($BD681,Programma!$F$3:$O$1107,10,0),"")</f>
        <v/>
      </c>
      <c r="BN681" s="300" t="str">
        <f>_xlfn.IFNA(VLOOKUP($BD681,Programma!$F$3:$P$1107,11,0),"")</f>
        <v/>
      </c>
      <c r="BO681" s="300" t="str">
        <f>_xlfn.IFNA(VLOOKUP($BD681,Programma!$F$3:$Q$1107,12,0),"")</f>
        <v/>
      </c>
      <c r="BP681" s="300" t="str">
        <f>_xlfn.IFNA(VLOOKUP($BD681,Programma!$F$3:$R$1107,13,0),"")</f>
        <v/>
      </c>
      <c r="BQ681" s="300" t="str">
        <f>_xlfn.IFNA(VLOOKUP($BD681,Programma!$F$3:$S$1107,14,0),"")</f>
        <v/>
      </c>
      <c r="BR681" s="300" t="str">
        <f>_xlfn.IFNA(VLOOKUP($BD681,Programma!$F$3:$T$1107,15,0),"")</f>
        <v/>
      </c>
      <c r="BS681" s="300" t="str">
        <f>_xlfn.IFNA(VLOOKUP($BD681,Programma!$F$3:$U$1107,16,0),"")</f>
        <v/>
      </c>
      <c r="BT681" s="300" t="str">
        <f>_xlfn.IFNA(VLOOKUP($BD681,Programma!$F$3:$V$1107,17,0),"")</f>
        <v/>
      </c>
      <c r="BU681" s="300" t="str">
        <f>_xlfn.IFNA(VLOOKUP($BD681,Programma!$F$3:$W$1107,18,0),"")</f>
        <v/>
      </c>
      <c r="BV681" s="300" t="str">
        <f>_xlfn.IFNA(VLOOKUP($BD681,Programma!$F$3:$X$1107,19,0),"")</f>
        <v/>
      </c>
      <c r="BW681" s="300" t="str">
        <f>_xlfn.IFNA(VLOOKUP($BD681,Programma!$F$3:$Y$1107,20,0),"")</f>
        <v/>
      </c>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c r="GK681" s="4"/>
      <c r="GL681" s="4"/>
      <c r="GM681" s="4"/>
      <c r="GN681" s="4"/>
      <c r="GO681" s="4"/>
      <c r="GP681" s="4"/>
      <c r="GQ681" s="4"/>
      <c r="GR681" s="4"/>
      <c r="GS681" s="4"/>
      <c r="GT681" s="4"/>
      <c r="GU681" s="4"/>
      <c r="GV681" s="4"/>
      <c r="GW681" s="4"/>
      <c r="GX681" s="4"/>
      <c r="GY681" s="4"/>
      <c r="GZ681" s="4"/>
      <c r="HA681" s="4"/>
      <c r="HB681" s="4"/>
      <c r="HC681" s="4"/>
      <c r="HD681" s="4"/>
      <c r="HE681" s="4"/>
      <c r="HF681" s="4"/>
      <c r="HG681" s="4"/>
      <c r="HH681" s="4"/>
      <c r="HI681" s="4"/>
      <c r="HJ681" s="4"/>
      <c r="HK681" s="4"/>
      <c r="HL681" s="4"/>
    </row>
    <row r="682" spans="1:220" ht="15" customHeight="1">
      <c r="A682" s="21">
        <v>8</v>
      </c>
      <c r="B682" s="157" t="str">
        <f>VLOOKUP(Ruimtestaat[[#This Row],[Code]],Locaties[[Code]:[Locatie]],2,FALSE)</f>
        <v>Dalton College</v>
      </c>
      <c r="C682" s="157" t="str">
        <f>VLOOKUP(Ruimtestaat[[#This Row],[Code]],Locaties[[#All],[Code]:[Adres]],4,FALSE)</f>
        <v>Loolaan 125</v>
      </c>
      <c r="D682" s="157" t="str">
        <f>VLOOKUP(Ruimtestaat[[#This Row],[Code]],Locaties[[#All],[Code]:[Postcode]],5,FALSE)</f>
        <v xml:space="preserve">2271 TM </v>
      </c>
      <c r="E682" s="157" t="str">
        <f>VLOOKUP(Ruimtestaat[[#This Row],[Code]],Locaties[#All],6,FALSE)</f>
        <v>Voorburg</v>
      </c>
      <c r="F682" s="62"/>
      <c r="G682" s="21" t="s">
        <v>1632</v>
      </c>
      <c r="H682" s="21">
        <v>19</v>
      </c>
      <c r="I682" s="62" t="s">
        <v>2207</v>
      </c>
      <c r="J682" s="21">
        <v>2</v>
      </c>
      <c r="K682" s="62" t="str">
        <f>VLOOKUP(Ruimtestaat[[#This Row],[Ruimte code]],Ruimtegroepen[[#All],[Code]:[Ruimte omschrijving]],2,FALSE)</f>
        <v>Kantoren</v>
      </c>
      <c r="L682" s="33" t="s">
        <v>101</v>
      </c>
      <c r="M682" s="367" t="s">
        <v>2495</v>
      </c>
      <c r="N682" s="140">
        <v>15</v>
      </c>
      <c r="O682" s="140"/>
      <c r="P682" s="125" t="str">
        <f>VLOOKUP(Ruimtestaat[[#This Row],[Ruimte code]],Ruimtegroepen[],4,FALSE)</f>
        <v>Bu</v>
      </c>
      <c r="R682" s="33">
        <v>42</v>
      </c>
      <c r="S682" s="33" t="s">
        <v>18</v>
      </c>
      <c r="T682" s="33">
        <f>IF(R682&gt;0,IF(RIGHT(Ruimtestaat[[#This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82" s="33">
        <f>IF(T682&gt;0,VLOOKUP($J682,Ruimtegroepen[],3,FALSE)*VLOOKUP($L682,Vloersoorten[],3,FALSE)*VLOOKUP($S682,Frequenties[],3,FALSE)*VLOOKUP($A682,Locaties[],3,FALSE),0)</f>
        <v>0</v>
      </c>
      <c r="V682" s="33">
        <f>Ruimtestaat[[#This Row],[Uitvoeringen werkdagen]]*Ruimtestaat[[#This Row],[Oppervlak (netto)]]</f>
        <v>1890</v>
      </c>
      <c r="W682" s="154">
        <f>IF(U682&gt;0,Ruimtestaat[[#This Row],[Prest. (m2 /jaar) werkdagen]]/Ruimtestaat[[#This Row],[Norm (m2/uur) werkdagen]],0)</f>
        <v>0</v>
      </c>
      <c r="X682" s="155">
        <f>Ruimtestaat[[#This Row],[uren / jaar werkdagen]]*Tariefsopbouw!$E$35</f>
        <v>0</v>
      </c>
      <c r="Y682" s="33"/>
      <c r="Z682" s="33">
        <f>IF(Ruimtestaat[[#This Row],[Frequentie weekend]]&gt;0,VALUE(LEFT(Y682,1))*R682,0)</f>
        <v>0</v>
      </c>
      <c r="AA682" s="97">
        <f>IF($Z682&gt;0,VLOOKUP($J682,Ruimtegroepen[],3,FALSE)*VLOOKUP($L682,Vloersoorten[],3,FALSE)*VLOOKUP($Y682,Frequenties[],3,FALSE)*VLOOKUP(Ruimtestaat[[#This Row],[Code]],Locaties[],3,FALSE),0)</f>
        <v>0</v>
      </c>
      <c r="AB682" s="97">
        <f>Ruimtestaat[[#This Row],[Uitvoeringen weekend]]*Ruimtestaat[[#This Row],[Oppervlak (netto)]]</f>
        <v>0</v>
      </c>
      <c r="AC682" s="97">
        <f>IF(AA682&gt;0,Ruimtestaat[[#This Row],[Prest. (m2 /jaar) weekend]]/Ruimtestaat[[#This Row],[Norm (m2/uur) weekend]],0)</f>
        <v>0</v>
      </c>
      <c r="AD682" s="155">
        <f>Ruimtestaat[[#This Row],[uren / jaar weekend]]*Tariefsopbouw!$D$40</f>
        <v>0</v>
      </c>
      <c r="AE682" s="154">
        <f>Ruimtestaat[[#This Row],[Prest. (m2 /jaar) weekend]]+Ruimtestaat[[#This Row],[Prest. (m2 /jaar) werkdagen]]</f>
        <v>1890</v>
      </c>
      <c r="AF682" s="154">
        <f>Ruimtestaat[[#This Row],[uren / jaar weekend]]+Ruimtestaat[[#This Row],[uren / jaar werkdagen]]</f>
        <v>0</v>
      </c>
      <c r="AG682" s="69">
        <f>Ruimtestaat[[#This Row],[kosten / jaar weekend]]+Ruimtestaat[[#This Row],[kosten / jaar werkdagen]]</f>
        <v>0</v>
      </c>
      <c r="AH682" s="69"/>
      <c r="AI682" s="256" t="str">
        <f>IF(Ruimtestaat[[#This Row],[Frequentie werkdagen]]="","",_xlfn.CONCAT(Ruimtestaat[[#This Row],[Ruimte code]],"-",Ruimtestaat[[#This Row],[Frequentie werkdagen]]," ",Ruimtestaat[[#This Row],[Vloer code]]))</f>
        <v>2-3w L</v>
      </c>
      <c r="AJ682" s="300" t="str">
        <f>_xlfn.IFNA(VLOOKUP($AI682,Programma!$F$3:$G$1107,2,0),"")</f>
        <v>_</v>
      </c>
      <c r="AK682" s="300" t="str">
        <f>_xlfn.IFNA(VLOOKUP($AI682,Programma!$F$3:$H$1107,3,0),"")</f>
        <v>_</v>
      </c>
      <c r="AL682" s="300" t="str">
        <f>_xlfn.IFNA(VLOOKUP($AI682,Programma!$F$3:$I$1107,4,0),"")</f>
        <v>2w</v>
      </c>
      <c r="AM682" s="300" t="str">
        <f>_xlfn.IFNA(VLOOKUP($AI682,Programma!$F$3:$J$1107,5,0),"")</f>
        <v>1w</v>
      </c>
      <c r="AN682" s="300" t="str">
        <f>_xlfn.IFNA(VLOOKUP($AI682,Programma!$F$3:$K$1107,6,0),"")</f>
        <v>_</v>
      </c>
      <c r="AO682" s="300" t="str">
        <f>_xlfn.IFNA(VLOOKUP($AI682,Programma!$F$3:$L$1107,7,0),"")</f>
        <v>_</v>
      </c>
      <c r="AP682" s="300" t="str">
        <f>_xlfn.IFNA(VLOOKUP($AI682,Programma!$F$3:$M$1107,8,0),"")</f>
        <v>_</v>
      </c>
      <c r="AQ682" s="300" t="str">
        <f>_xlfn.IFNA(VLOOKUP($AI682,Programma!$F$3:$N$1107,9,0),"")</f>
        <v>_</v>
      </c>
      <c r="AR682" s="300" t="str">
        <f>_xlfn.IFNA(VLOOKUP($AI682,Programma!$F$3:$O$1107,10,0),"")</f>
        <v>3w</v>
      </c>
      <c r="AS682" s="300" t="str">
        <f>_xlfn.IFNA(VLOOKUP($AI682,Programma!$F$3:$P$1107,11,0),"")</f>
        <v>3w</v>
      </c>
      <c r="AT682" s="300" t="str">
        <f>_xlfn.IFNA(VLOOKUP($AI682,Programma!$F$3:$Q$1107,12,0),"")</f>
        <v>1w</v>
      </c>
      <c r="AU682" s="300" t="str">
        <f>_xlfn.IFNA(VLOOKUP($AI682,Programma!$F$3:$R$1107,13,0),"")</f>
        <v>1w</v>
      </c>
      <c r="AV682" s="300" t="str">
        <f>_xlfn.IFNA(VLOOKUP($AI682,Programma!$F$3:$S$1107,14,0),"")</f>
        <v>1m</v>
      </c>
      <c r="AW682" s="300" t="str">
        <f>_xlfn.IFNA(VLOOKUP($AI682,Programma!$F$3:$T$1107,15,0),"")</f>
        <v>2j</v>
      </c>
      <c r="AX682" s="300" t="str">
        <f>_xlfn.IFNA(VLOOKUP($AI682,Programma!$F$3:$U$1107,16,0),"")</f>
        <v>1j</v>
      </c>
      <c r="AY682" s="300" t="str">
        <f>_xlfn.IFNA(VLOOKUP($AI682,Programma!$F$3:$V$1107,17,0),"")</f>
        <v>_</v>
      </c>
      <c r="AZ682" s="300" t="str">
        <f>_xlfn.IFNA(VLOOKUP($AI682,Programma!$F$3:$W$1107,18,0),"")</f>
        <v>_</v>
      </c>
      <c r="BA682" s="300" t="str">
        <f>_xlfn.IFNA(VLOOKUP($AI682,Programma!$F$3:$X$1107,19,0),"")</f>
        <v>_</v>
      </c>
      <c r="BB682" s="300" t="str">
        <f>_xlfn.IFNA(VLOOKUP($AI682,Programma!$F$3:$Y$1107,20,0),"")</f>
        <v>_</v>
      </c>
      <c r="BC682" s="257"/>
      <c r="BD682" s="256" t="str">
        <f>IF(Ruimtestaat[[#This Row],[Frequentie weekend]]="","",_xlfn.CONCAT(Ruimtestaat[[#This Row],[Ruimte code]],"-",Ruimtestaat[[#This Row],[Frequentie weekend]]," ",Ruimtestaat[[#This Row],[Vloer code]]))</f>
        <v/>
      </c>
      <c r="BE682" s="300" t="str">
        <f>_xlfn.IFNA(VLOOKUP($BD682,Programma!$F$3:$G$1107,2,0),"")</f>
        <v/>
      </c>
      <c r="BF682" s="300" t="str">
        <f>_xlfn.IFNA(VLOOKUP($BD682,Programma!$F$3:$H$1107,3,0),"")</f>
        <v/>
      </c>
      <c r="BG682" s="300" t="str">
        <f>_xlfn.IFNA(VLOOKUP($BD682,Programma!$F$3:$I$1107,4,0),"")</f>
        <v/>
      </c>
      <c r="BH682" s="300" t="str">
        <f>_xlfn.IFNA(VLOOKUP($BD682,Programma!$F$3:$J$1107,5,0),"")</f>
        <v/>
      </c>
      <c r="BI682" s="300" t="str">
        <f>_xlfn.IFNA(VLOOKUP($BD682,Programma!$F$3:$K$1107,6,0),"")</f>
        <v/>
      </c>
      <c r="BJ682" s="300" t="str">
        <f>_xlfn.IFNA(VLOOKUP($BD682,Programma!$F$3:$L$1107,7,0),"")</f>
        <v/>
      </c>
      <c r="BK682" s="300" t="str">
        <f>_xlfn.IFNA(VLOOKUP($BD682,Programma!$F$3:$M$1107,8,0),"")</f>
        <v/>
      </c>
      <c r="BL682" s="300" t="str">
        <f>_xlfn.IFNA(VLOOKUP($BD682,Programma!$F$3:$N$1107,9,0),"")</f>
        <v/>
      </c>
      <c r="BM682" s="300" t="str">
        <f>_xlfn.IFNA(VLOOKUP($BD682,Programma!$F$3:$O$1107,10,0),"")</f>
        <v/>
      </c>
      <c r="BN682" s="300" t="str">
        <f>_xlfn.IFNA(VLOOKUP($BD682,Programma!$F$3:$P$1107,11,0),"")</f>
        <v/>
      </c>
      <c r="BO682" s="300" t="str">
        <f>_xlfn.IFNA(VLOOKUP($BD682,Programma!$F$3:$Q$1107,12,0),"")</f>
        <v/>
      </c>
      <c r="BP682" s="300" t="str">
        <f>_xlfn.IFNA(VLOOKUP($BD682,Programma!$F$3:$R$1107,13,0),"")</f>
        <v/>
      </c>
      <c r="BQ682" s="300" t="str">
        <f>_xlfn.IFNA(VLOOKUP($BD682,Programma!$F$3:$S$1107,14,0),"")</f>
        <v/>
      </c>
      <c r="BR682" s="300" t="str">
        <f>_xlfn.IFNA(VLOOKUP($BD682,Programma!$F$3:$T$1107,15,0),"")</f>
        <v/>
      </c>
      <c r="BS682" s="300" t="str">
        <f>_xlfn.IFNA(VLOOKUP($BD682,Programma!$F$3:$U$1107,16,0),"")</f>
        <v/>
      </c>
      <c r="BT682" s="300" t="str">
        <f>_xlfn.IFNA(VLOOKUP($BD682,Programma!$F$3:$V$1107,17,0),"")</f>
        <v/>
      </c>
      <c r="BU682" s="300" t="str">
        <f>_xlfn.IFNA(VLOOKUP($BD682,Programma!$F$3:$W$1107,18,0),"")</f>
        <v/>
      </c>
      <c r="BV682" s="300" t="str">
        <f>_xlfn.IFNA(VLOOKUP($BD682,Programma!$F$3:$X$1107,19,0),"")</f>
        <v/>
      </c>
      <c r="BW682" s="300" t="str">
        <f>_xlfn.IFNA(VLOOKUP($BD682,Programma!$F$3:$Y$1107,20,0),"")</f>
        <v/>
      </c>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c r="GK682" s="4"/>
      <c r="GL682" s="4"/>
      <c r="GM682" s="4"/>
      <c r="GN682" s="4"/>
      <c r="GO682" s="4"/>
      <c r="GP682" s="4"/>
      <c r="GQ682" s="4"/>
      <c r="GR682" s="4"/>
      <c r="GS682" s="4"/>
      <c r="GT682" s="4"/>
      <c r="GU682" s="4"/>
      <c r="GV682" s="4"/>
      <c r="GW682" s="4"/>
      <c r="GX682" s="4"/>
      <c r="GY682" s="4"/>
      <c r="GZ682" s="4"/>
      <c r="HA682" s="4"/>
      <c r="HB682" s="4"/>
      <c r="HC682" s="4"/>
      <c r="HD682" s="4"/>
      <c r="HE682" s="4"/>
      <c r="HF682" s="4"/>
      <c r="HG682" s="4"/>
      <c r="HH682" s="4"/>
      <c r="HI682" s="4"/>
      <c r="HJ682" s="4"/>
      <c r="HK682" s="4"/>
      <c r="HL682" s="4"/>
    </row>
    <row r="683" spans="1:220" ht="15" customHeight="1">
      <c r="A683" s="21">
        <v>8</v>
      </c>
      <c r="B683" s="157" t="str">
        <f>VLOOKUP(Ruimtestaat[[#This Row],[Code]],Locaties[[Code]:[Locatie]],2,FALSE)</f>
        <v>Dalton College</v>
      </c>
      <c r="C683" s="157" t="str">
        <f>VLOOKUP(Ruimtestaat[[#This Row],[Code]],Locaties[[#All],[Code]:[Adres]],4,FALSE)</f>
        <v>Loolaan 125</v>
      </c>
      <c r="D683" s="157" t="str">
        <f>VLOOKUP(Ruimtestaat[[#This Row],[Code]],Locaties[[#All],[Code]:[Postcode]],5,FALSE)</f>
        <v xml:space="preserve">2271 TM </v>
      </c>
      <c r="E683" s="157" t="str">
        <f>VLOOKUP(Ruimtestaat[[#This Row],[Code]],Locaties[#All],6,FALSE)</f>
        <v>Voorburg</v>
      </c>
      <c r="F683" s="62"/>
      <c r="G683" s="21" t="s">
        <v>1632</v>
      </c>
      <c r="H683" s="21">
        <v>20</v>
      </c>
      <c r="I683" s="62" t="s">
        <v>1869</v>
      </c>
      <c r="J683" s="21">
        <v>2</v>
      </c>
      <c r="K683" s="62" t="str">
        <f>VLOOKUP(Ruimtestaat[[#This Row],[Ruimte code]],Ruimtegroepen[[#All],[Code]:[Ruimte omschrijving]],2,FALSE)</f>
        <v>Kantoren</v>
      </c>
      <c r="L683" s="33" t="s">
        <v>101</v>
      </c>
      <c r="M683" s="367" t="s">
        <v>2495</v>
      </c>
      <c r="N683" s="140">
        <v>26</v>
      </c>
      <c r="O683" s="140"/>
      <c r="P683" s="125" t="str">
        <f>VLOOKUP(Ruimtestaat[[#This Row],[Ruimte code]],Ruimtegroepen[],4,FALSE)</f>
        <v>Bu</v>
      </c>
      <c r="R683" s="33">
        <v>42</v>
      </c>
      <c r="S683" s="33" t="s">
        <v>18</v>
      </c>
      <c r="T683" s="33">
        <f>IF(R683&gt;0,IF(RIGHT(Ruimtestaat[[#This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83" s="33">
        <f>IF(T683&gt;0,VLOOKUP($J683,Ruimtegroepen[],3,FALSE)*VLOOKUP($L683,Vloersoorten[],3,FALSE)*VLOOKUP($S683,Frequenties[],3,FALSE)*VLOOKUP($A683,Locaties[],3,FALSE),0)</f>
        <v>0</v>
      </c>
      <c r="V683" s="33">
        <f>Ruimtestaat[[#This Row],[Uitvoeringen werkdagen]]*Ruimtestaat[[#This Row],[Oppervlak (netto)]]</f>
        <v>3276</v>
      </c>
      <c r="W683" s="154">
        <f>IF(U683&gt;0,Ruimtestaat[[#This Row],[Prest. (m2 /jaar) werkdagen]]/Ruimtestaat[[#This Row],[Norm (m2/uur) werkdagen]],0)</f>
        <v>0</v>
      </c>
      <c r="X683" s="155">
        <f>Ruimtestaat[[#This Row],[uren / jaar werkdagen]]*Tariefsopbouw!$E$35</f>
        <v>0</v>
      </c>
      <c r="Y683" s="33"/>
      <c r="Z683" s="33">
        <f>IF(Ruimtestaat[[#This Row],[Frequentie weekend]]&gt;0,VALUE(LEFT(Y683,1))*R683,0)</f>
        <v>0</v>
      </c>
      <c r="AA683" s="97">
        <f>IF($Z683&gt;0,VLOOKUP($J683,Ruimtegroepen[],3,FALSE)*VLOOKUP($L683,Vloersoorten[],3,FALSE)*VLOOKUP($Y683,Frequenties[],3,FALSE)*VLOOKUP(Ruimtestaat[[#This Row],[Code]],Locaties[],3,FALSE),0)</f>
        <v>0</v>
      </c>
      <c r="AB683" s="97">
        <f>Ruimtestaat[[#This Row],[Uitvoeringen weekend]]*Ruimtestaat[[#This Row],[Oppervlak (netto)]]</f>
        <v>0</v>
      </c>
      <c r="AC683" s="97">
        <f>IF(AA683&gt;0,Ruimtestaat[[#This Row],[Prest. (m2 /jaar) weekend]]/Ruimtestaat[[#This Row],[Norm (m2/uur) weekend]],0)</f>
        <v>0</v>
      </c>
      <c r="AD683" s="155">
        <f>Ruimtestaat[[#This Row],[uren / jaar weekend]]*Tariefsopbouw!$D$40</f>
        <v>0</v>
      </c>
      <c r="AE683" s="154">
        <f>Ruimtestaat[[#This Row],[Prest. (m2 /jaar) weekend]]+Ruimtestaat[[#This Row],[Prest. (m2 /jaar) werkdagen]]</f>
        <v>3276</v>
      </c>
      <c r="AF683" s="154">
        <f>Ruimtestaat[[#This Row],[uren / jaar weekend]]+Ruimtestaat[[#This Row],[uren / jaar werkdagen]]</f>
        <v>0</v>
      </c>
      <c r="AG683" s="69">
        <f>Ruimtestaat[[#This Row],[kosten / jaar weekend]]+Ruimtestaat[[#This Row],[kosten / jaar werkdagen]]</f>
        <v>0</v>
      </c>
      <c r="AH683" s="69"/>
      <c r="AI683" s="256" t="str">
        <f>IF(Ruimtestaat[[#This Row],[Frequentie werkdagen]]="","",_xlfn.CONCAT(Ruimtestaat[[#This Row],[Ruimte code]],"-",Ruimtestaat[[#This Row],[Frequentie werkdagen]]," ",Ruimtestaat[[#This Row],[Vloer code]]))</f>
        <v>2-3w L</v>
      </c>
      <c r="AJ683" s="300" t="str">
        <f>_xlfn.IFNA(VLOOKUP($AI683,Programma!$F$3:$G$1107,2,0),"")</f>
        <v>_</v>
      </c>
      <c r="AK683" s="300" t="str">
        <f>_xlfn.IFNA(VLOOKUP($AI683,Programma!$F$3:$H$1107,3,0),"")</f>
        <v>_</v>
      </c>
      <c r="AL683" s="300" t="str">
        <f>_xlfn.IFNA(VLOOKUP($AI683,Programma!$F$3:$I$1107,4,0),"")</f>
        <v>2w</v>
      </c>
      <c r="AM683" s="300" t="str">
        <f>_xlfn.IFNA(VLOOKUP($AI683,Programma!$F$3:$J$1107,5,0),"")</f>
        <v>1w</v>
      </c>
      <c r="AN683" s="300" t="str">
        <f>_xlfn.IFNA(VLOOKUP($AI683,Programma!$F$3:$K$1107,6,0),"")</f>
        <v>_</v>
      </c>
      <c r="AO683" s="300" t="str">
        <f>_xlfn.IFNA(VLOOKUP($AI683,Programma!$F$3:$L$1107,7,0),"")</f>
        <v>_</v>
      </c>
      <c r="AP683" s="300" t="str">
        <f>_xlfn.IFNA(VLOOKUP($AI683,Programma!$F$3:$M$1107,8,0),"")</f>
        <v>_</v>
      </c>
      <c r="AQ683" s="300" t="str">
        <f>_xlfn.IFNA(VLOOKUP($AI683,Programma!$F$3:$N$1107,9,0),"")</f>
        <v>_</v>
      </c>
      <c r="AR683" s="300" t="str">
        <f>_xlfn.IFNA(VLOOKUP($AI683,Programma!$F$3:$O$1107,10,0),"")</f>
        <v>3w</v>
      </c>
      <c r="AS683" s="300" t="str">
        <f>_xlfn.IFNA(VLOOKUP($AI683,Programma!$F$3:$P$1107,11,0),"")</f>
        <v>3w</v>
      </c>
      <c r="AT683" s="300" t="str">
        <f>_xlfn.IFNA(VLOOKUP($AI683,Programma!$F$3:$Q$1107,12,0),"")</f>
        <v>1w</v>
      </c>
      <c r="AU683" s="300" t="str">
        <f>_xlfn.IFNA(VLOOKUP($AI683,Programma!$F$3:$R$1107,13,0),"")</f>
        <v>1w</v>
      </c>
      <c r="AV683" s="300" t="str">
        <f>_xlfn.IFNA(VLOOKUP($AI683,Programma!$F$3:$S$1107,14,0),"")</f>
        <v>1m</v>
      </c>
      <c r="AW683" s="300" t="str">
        <f>_xlfn.IFNA(VLOOKUP($AI683,Programma!$F$3:$T$1107,15,0),"")</f>
        <v>2j</v>
      </c>
      <c r="AX683" s="300" t="str">
        <f>_xlfn.IFNA(VLOOKUP($AI683,Programma!$F$3:$U$1107,16,0),"")</f>
        <v>1j</v>
      </c>
      <c r="AY683" s="300" t="str">
        <f>_xlfn.IFNA(VLOOKUP($AI683,Programma!$F$3:$V$1107,17,0),"")</f>
        <v>_</v>
      </c>
      <c r="AZ683" s="300" t="str">
        <f>_xlfn.IFNA(VLOOKUP($AI683,Programma!$F$3:$W$1107,18,0),"")</f>
        <v>_</v>
      </c>
      <c r="BA683" s="300" t="str">
        <f>_xlfn.IFNA(VLOOKUP($AI683,Programma!$F$3:$X$1107,19,0),"")</f>
        <v>_</v>
      </c>
      <c r="BB683" s="300" t="str">
        <f>_xlfn.IFNA(VLOOKUP($AI683,Programma!$F$3:$Y$1107,20,0),"")</f>
        <v>_</v>
      </c>
      <c r="BC683" s="257"/>
      <c r="BD683" s="256" t="str">
        <f>IF(Ruimtestaat[[#This Row],[Frequentie weekend]]="","",_xlfn.CONCAT(Ruimtestaat[[#This Row],[Ruimte code]],"-",Ruimtestaat[[#This Row],[Frequentie weekend]]," ",Ruimtestaat[[#This Row],[Vloer code]]))</f>
        <v/>
      </c>
      <c r="BE683" s="300" t="str">
        <f>_xlfn.IFNA(VLOOKUP($BD683,Programma!$F$3:$G$1107,2,0),"")</f>
        <v/>
      </c>
      <c r="BF683" s="300" t="str">
        <f>_xlfn.IFNA(VLOOKUP($BD683,Programma!$F$3:$H$1107,3,0),"")</f>
        <v/>
      </c>
      <c r="BG683" s="300" t="str">
        <f>_xlfn.IFNA(VLOOKUP($BD683,Programma!$F$3:$I$1107,4,0),"")</f>
        <v/>
      </c>
      <c r="BH683" s="300" t="str">
        <f>_xlfn.IFNA(VLOOKUP($BD683,Programma!$F$3:$J$1107,5,0),"")</f>
        <v/>
      </c>
      <c r="BI683" s="300" t="str">
        <f>_xlfn.IFNA(VLOOKUP($BD683,Programma!$F$3:$K$1107,6,0),"")</f>
        <v/>
      </c>
      <c r="BJ683" s="300" t="str">
        <f>_xlfn.IFNA(VLOOKUP($BD683,Programma!$F$3:$L$1107,7,0),"")</f>
        <v/>
      </c>
      <c r="BK683" s="300" t="str">
        <f>_xlfn.IFNA(VLOOKUP($BD683,Programma!$F$3:$M$1107,8,0),"")</f>
        <v/>
      </c>
      <c r="BL683" s="300" t="str">
        <f>_xlfn.IFNA(VLOOKUP($BD683,Programma!$F$3:$N$1107,9,0),"")</f>
        <v/>
      </c>
      <c r="BM683" s="300" t="str">
        <f>_xlfn.IFNA(VLOOKUP($BD683,Programma!$F$3:$O$1107,10,0),"")</f>
        <v/>
      </c>
      <c r="BN683" s="300" t="str">
        <f>_xlfn.IFNA(VLOOKUP($BD683,Programma!$F$3:$P$1107,11,0),"")</f>
        <v/>
      </c>
      <c r="BO683" s="300" t="str">
        <f>_xlfn.IFNA(VLOOKUP($BD683,Programma!$F$3:$Q$1107,12,0),"")</f>
        <v/>
      </c>
      <c r="BP683" s="300" t="str">
        <f>_xlfn.IFNA(VLOOKUP($BD683,Programma!$F$3:$R$1107,13,0),"")</f>
        <v/>
      </c>
      <c r="BQ683" s="300" t="str">
        <f>_xlfn.IFNA(VLOOKUP($BD683,Programma!$F$3:$S$1107,14,0),"")</f>
        <v/>
      </c>
      <c r="BR683" s="300" t="str">
        <f>_xlfn.IFNA(VLOOKUP($BD683,Programma!$F$3:$T$1107,15,0),"")</f>
        <v/>
      </c>
      <c r="BS683" s="300" t="str">
        <f>_xlfn.IFNA(VLOOKUP($BD683,Programma!$F$3:$U$1107,16,0),"")</f>
        <v/>
      </c>
      <c r="BT683" s="300" t="str">
        <f>_xlfn.IFNA(VLOOKUP($BD683,Programma!$F$3:$V$1107,17,0),"")</f>
        <v/>
      </c>
      <c r="BU683" s="300" t="str">
        <f>_xlfn.IFNA(VLOOKUP($BD683,Programma!$F$3:$W$1107,18,0),"")</f>
        <v/>
      </c>
      <c r="BV683" s="300" t="str">
        <f>_xlfn.IFNA(VLOOKUP($BD683,Programma!$F$3:$X$1107,19,0),"")</f>
        <v/>
      </c>
      <c r="BW683" s="300" t="str">
        <f>_xlfn.IFNA(VLOOKUP($BD683,Programma!$F$3:$Y$1107,20,0),"")</f>
        <v/>
      </c>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c r="GK683" s="4"/>
      <c r="GL683" s="4"/>
      <c r="GM683" s="4"/>
      <c r="GN683" s="4"/>
      <c r="GO683" s="4"/>
      <c r="GP683" s="4"/>
      <c r="GQ683" s="4"/>
      <c r="GR683" s="4"/>
      <c r="GS683" s="4"/>
      <c r="GT683" s="4"/>
      <c r="GU683" s="4"/>
      <c r="GV683" s="4"/>
      <c r="GW683" s="4"/>
      <c r="GX683" s="4"/>
      <c r="GY683" s="4"/>
      <c r="GZ683" s="4"/>
      <c r="HA683" s="4"/>
      <c r="HB683" s="4"/>
      <c r="HC683" s="4"/>
      <c r="HD683" s="4"/>
      <c r="HE683" s="4"/>
      <c r="HF683" s="4"/>
      <c r="HG683" s="4"/>
      <c r="HH683" s="4"/>
      <c r="HI683" s="4"/>
      <c r="HJ683" s="4"/>
      <c r="HK683" s="4"/>
      <c r="HL683" s="4"/>
    </row>
    <row r="684" spans="1:220" ht="15" customHeight="1">
      <c r="A684" s="21">
        <v>8</v>
      </c>
      <c r="B684" s="157" t="str">
        <f>VLOOKUP(Ruimtestaat[[#This Row],[Code]],Locaties[[Code]:[Locatie]],2,FALSE)</f>
        <v>Dalton College</v>
      </c>
      <c r="C684" s="157" t="str">
        <f>VLOOKUP(Ruimtestaat[[#This Row],[Code]],Locaties[[#All],[Code]:[Adres]],4,FALSE)</f>
        <v>Loolaan 125</v>
      </c>
      <c r="D684" s="157" t="str">
        <f>VLOOKUP(Ruimtestaat[[#This Row],[Code]],Locaties[[#All],[Code]:[Postcode]],5,FALSE)</f>
        <v xml:space="preserve">2271 TM </v>
      </c>
      <c r="E684" s="157" t="str">
        <f>VLOOKUP(Ruimtestaat[[#This Row],[Code]],Locaties[#All],6,FALSE)</f>
        <v>Voorburg</v>
      </c>
      <c r="F684" s="62"/>
      <c r="G684" s="21" t="s">
        <v>1632</v>
      </c>
      <c r="H684" s="21">
        <v>21</v>
      </c>
      <c r="I684" s="62" t="s">
        <v>2208</v>
      </c>
      <c r="J684" s="21">
        <v>2</v>
      </c>
      <c r="K684" s="62" t="str">
        <f>VLOOKUP(Ruimtestaat[[#This Row],[Ruimte code]],Ruimtegroepen[[#All],[Code]:[Ruimte omschrijving]],2,FALSE)</f>
        <v>Kantoren</v>
      </c>
      <c r="L684" s="33" t="s">
        <v>101</v>
      </c>
      <c r="M684" s="367" t="s">
        <v>2495</v>
      </c>
      <c r="N684" s="140">
        <v>40</v>
      </c>
      <c r="O684" s="140"/>
      <c r="P684" s="125" t="str">
        <f>VLOOKUP(Ruimtestaat[[#This Row],[Ruimte code]],Ruimtegroepen[],4,FALSE)</f>
        <v>Bu</v>
      </c>
      <c r="R684" s="33">
        <v>42</v>
      </c>
      <c r="S684" s="33" t="s">
        <v>18</v>
      </c>
      <c r="T684" s="33">
        <f>IF(R684&gt;0,IF(RIGHT(Ruimtestaat[[#This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84" s="33">
        <f>IF(T684&gt;0,VLOOKUP($J684,Ruimtegroepen[],3,FALSE)*VLOOKUP($L684,Vloersoorten[],3,FALSE)*VLOOKUP($S684,Frequenties[],3,FALSE)*VLOOKUP($A684,Locaties[],3,FALSE),0)</f>
        <v>0</v>
      </c>
      <c r="V684" s="33">
        <f>Ruimtestaat[[#This Row],[Uitvoeringen werkdagen]]*Ruimtestaat[[#This Row],[Oppervlak (netto)]]</f>
        <v>5040</v>
      </c>
      <c r="W684" s="154">
        <f>IF(U684&gt;0,Ruimtestaat[[#This Row],[Prest. (m2 /jaar) werkdagen]]/Ruimtestaat[[#This Row],[Norm (m2/uur) werkdagen]],0)</f>
        <v>0</v>
      </c>
      <c r="X684" s="155">
        <f>Ruimtestaat[[#This Row],[uren / jaar werkdagen]]*Tariefsopbouw!$E$35</f>
        <v>0</v>
      </c>
      <c r="Y684" s="33"/>
      <c r="Z684" s="33">
        <f>IF(Ruimtestaat[[#This Row],[Frequentie weekend]]&gt;0,VALUE(LEFT(Y684,1))*R684,0)</f>
        <v>0</v>
      </c>
      <c r="AA684" s="97">
        <f>IF($Z684&gt;0,VLOOKUP($J684,Ruimtegroepen[],3,FALSE)*VLOOKUP($L684,Vloersoorten[],3,FALSE)*VLOOKUP($Y684,Frequenties[],3,FALSE)*VLOOKUP(Ruimtestaat[[#This Row],[Code]],Locaties[],3,FALSE),0)</f>
        <v>0</v>
      </c>
      <c r="AB684" s="97">
        <f>Ruimtestaat[[#This Row],[Uitvoeringen weekend]]*Ruimtestaat[[#This Row],[Oppervlak (netto)]]</f>
        <v>0</v>
      </c>
      <c r="AC684" s="97">
        <f>IF(AA684&gt;0,Ruimtestaat[[#This Row],[Prest. (m2 /jaar) weekend]]/Ruimtestaat[[#This Row],[Norm (m2/uur) weekend]],0)</f>
        <v>0</v>
      </c>
      <c r="AD684" s="155">
        <f>Ruimtestaat[[#This Row],[uren / jaar weekend]]*Tariefsopbouw!$D$40</f>
        <v>0</v>
      </c>
      <c r="AE684" s="154">
        <f>Ruimtestaat[[#This Row],[Prest. (m2 /jaar) weekend]]+Ruimtestaat[[#This Row],[Prest. (m2 /jaar) werkdagen]]</f>
        <v>5040</v>
      </c>
      <c r="AF684" s="154">
        <f>Ruimtestaat[[#This Row],[uren / jaar weekend]]+Ruimtestaat[[#This Row],[uren / jaar werkdagen]]</f>
        <v>0</v>
      </c>
      <c r="AG684" s="69">
        <f>Ruimtestaat[[#This Row],[kosten / jaar weekend]]+Ruimtestaat[[#This Row],[kosten / jaar werkdagen]]</f>
        <v>0</v>
      </c>
      <c r="AH684" s="69"/>
      <c r="AI684" s="256" t="str">
        <f>IF(Ruimtestaat[[#This Row],[Frequentie werkdagen]]="","",_xlfn.CONCAT(Ruimtestaat[[#This Row],[Ruimte code]],"-",Ruimtestaat[[#This Row],[Frequentie werkdagen]]," ",Ruimtestaat[[#This Row],[Vloer code]]))</f>
        <v>2-3w L</v>
      </c>
      <c r="AJ684" s="300" t="str">
        <f>_xlfn.IFNA(VLOOKUP($AI684,Programma!$F$3:$G$1107,2,0),"")</f>
        <v>_</v>
      </c>
      <c r="AK684" s="300" t="str">
        <f>_xlfn.IFNA(VLOOKUP($AI684,Programma!$F$3:$H$1107,3,0),"")</f>
        <v>_</v>
      </c>
      <c r="AL684" s="300" t="str">
        <f>_xlfn.IFNA(VLOOKUP($AI684,Programma!$F$3:$I$1107,4,0),"")</f>
        <v>2w</v>
      </c>
      <c r="AM684" s="300" t="str">
        <f>_xlfn.IFNA(VLOOKUP($AI684,Programma!$F$3:$J$1107,5,0),"")</f>
        <v>1w</v>
      </c>
      <c r="AN684" s="300" t="str">
        <f>_xlfn.IFNA(VLOOKUP($AI684,Programma!$F$3:$K$1107,6,0),"")</f>
        <v>_</v>
      </c>
      <c r="AO684" s="300" t="str">
        <f>_xlfn.IFNA(VLOOKUP($AI684,Programma!$F$3:$L$1107,7,0),"")</f>
        <v>_</v>
      </c>
      <c r="AP684" s="300" t="str">
        <f>_xlfn.IFNA(VLOOKUP($AI684,Programma!$F$3:$M$1107,8,0),"")</f>
        <v>_</v>
      </c>
      <c r="AQ684" s="300" t="str">
        <f>_xlfn.IFNA(VLOOKUP($AI684,Programma!$F$3:$N$1107,9,0),"")</f>
        <v>_</v>
      </c>
      <c r="AR684" s="300" t="str">
        <f>_xlfn.IFNA(VLOOKUP($AI684,Programma!$F$3:$O$1107,10,0),"")</f>
        <v>3w</v>
      </c>
      <c r="AS684" s="300" t="str">
        <f>_xlfn.IFNA(VLOOKUP($AI684,Programma!$F$3:$P$1107,11,0),"")</f>
        <v>3w</v>
      </c>
      <c r="AT684" s="300" t="str">
        <f>_xlfn.IFNA(VLOOKUP($AI684,Programma!$F$3:$Q$1107,12,0),"")</f>
        <v>1w</v>
      </c>
      <c r="AU684" s="300" t="str">
        <f>_xlfn.IFNA(VLOOKUP($AI684,Programma!$F$3:$R$1107,13,0),"")</f>
        <v>1w</v>
      </c>
      <c r="AV684" s="300" t="str">
        <f>_xlfn.IFNA(VLOOKUP($AI684,Programma!$F$3:$S$1107,14,0),"")</f>
        <v>1m</v>
      </c>
      <c r="AW684" s="300" t="str">
        <f>_xlfn.IFNA(VLOOKUP($AI684,Programma!$F$3:$T$1107,15,0),"")</f>
        <v>2j</v>
      </c>
      <c r="AX684" s="300" t="str">
        <f>_xlfn.IFNA(VLOOKUP($AI684,Programma!$F$3:$U$1107,16,0),"")</f>
        <v>1j</v>
      </c>
      <c r="AY684" s="300" t="str">
        <f>_xlfn.IFNA(VLOOKUP($AI684,Programma!$F$3:$V$1107,17,0),"")</f>
        <v>_</v>
      </c>
      <c r="AZ684" s="300" t="str">
        <f>_xlfn.IFNA(VLOOKUP($AI684,Programma!$F$3:$W$1107,18,0),"")</f>
        <v>_</v>
      </c>
      <c r="BA684" s="300" t="str">
        <f>_xlfn.IFNA(VLOOKUP($AI684,Programma!$F$3:$X$1107,19,0),"")</f>
        <v>_</v>
      </c>
      <c r="BB684" s="300" t="str">
        <f>_xlfn.IFNA(VLOOKUP($AI684,Programma!$F$3:$Y$1107,20,0),"")</f>
        <v>_</v>
      </c>
      <c r="BC684" s="257"/>
      <c r="BD684" s="256" t="str">
        <f>IF(Ruimtestaat[[#This Row],[Frequentie weekend]]="","",_xlfn.CONCAT(Ruimtestaat[[#This Row],[Ruimte code]],"-",Ruimtestaat[[#This Row],[Frequentie weekend]]," ",Ruimtestaat[[#This Row],[Vloer code]]))</f>
        <v/>
      </c>
      <c r="BE684" s="300" t="str">
        <f>_xlfn.IFNA(VLOOKUP($BD684,Programma!$F$3:$G$1107,2,0),"")</f>
        <v/>
      </c>
      <c r="BF684" s="300" t="str">
        <f>_xlfn.IFNA(VLOOKUP($BD684,Programma!$F$3:$H$1107,3,0),"")</f>
        <v/>
      </c>
      <c r="BG684" s="300" t="str">
        <f>_xlfn.IFNA(VLOOKUP($BD684,Programma!$F$3:$I$1107,4,0),"")</f>
        <v/>
      </c>
      <c r="BH684" s="300" t="str">
        <f>_xlfn.IFNA(VLOOKUP($BD684,Programma!$F$3:$J$1107,5,0),"")</f>
        <v/>
      </c>
      <c r="BI684" s="300" t="str">
        <f>_xlfn.IFNA(VLOOKUP($BD684,Programma!$F$3:$K$1107,6,0),"")</f>
        <v/>
      </c>
      <c r="BJ684" s="300" t="str">
        <f>_xlfn.IFNA(VLOOKUP($BD684,Programma!$F$3:$L$1107,7,0),"")</f>
        <v/>
      </c>
      <c r="BK684" s="300" t="str">
        <f>_xlfn.IFNA(VLOOKUP($BD684,Programma!$F$3:$M$1107,8,0),"")</f>
        <v/>
      </c>
      <c r="BL684" s="300" t="str">
        <f>_xlfn.IFNA(VLOOKUP($BD684,Programma!$F$3:$N$1107,9,0),"")</f>
        <v/>
      </c>
      <c r="BM684" s="300" t="str">
        <f>_xlfn.IFNA(VLOOKUP($BD684,Programma!$F$3:$O$1107,10,0),"")</f>
        <v/>
      </c>
      <c r="BN684" s="300" t="str">
        <f>_xlfn.IFNA(VLOOKUP($BD684,Programma!$F$3:$P$1107,11,0),"")</f>
        <v/>
      </c>
      <c r="BO684" s="300" t="str">
        <f>_xlfn.IFNA(VLOOKUP($BD684,Programma!$F$3:$Q$1107,12,0),"")</f>
        <v/>
      </c>
      <c r="BP684" s="300" t="str">
        <f>_xlfn.IFNA(VLOOKUP($BD684,Programma!$F$3:$R$1107,13,0),"")</f>
        <v/>
      </c>
      <c r="BQ684" s="300" t="str">
        <f>_xlfn.IFNA(VLOOKUP($BD684,Programma!$F$3:$S$1107,14,0),"")</f>
        <v/>
      </c>
      <c r="BR684" s="300" t="str">
        <f>_xlfn.IFNA(VLOOKUP($BD684,Programma!$F$3:$T$1107,15,0),"")</f>
        <v/>
      </c>
      <c r="BS684" s="300" t="str">
        <f>_xlfn.IFNA(VLOOKUP($BD684,Programma!$F$3:$U$1107,16,0),"")</f>
        <v/>
      </c>
      <c r="BT684" s="300" t="str">
        <f>_xlfn.IFNA(VLOOKUP($BD684,Programma!$F$3:$V$1107,17,0),"")</f>
        <v/>
      </c>
      <c r="BU684" s="300" t="str">
        <f>_xlfn.IFNA(VLOOKUP($BD684,Programma!$F$3:$W$1107,18,0),"")</f>
        <v/>
      </c>
      <c r="BV684" s="300" t="str">
        <f>_xlfn.IFNA(VLOOKUP($BD684,Programma!$F$3:$X$1107,19,0),"")</f>
        <v/>
      </c>
      <c r="BW684" s="300" t="str">
        <f>_xlfn.IFNA(VLOOKUP($BD684,Programma!$F$3:$Y$1107,20,0),"")</f>
        <v/>
      </c>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c r="GK684" s="4"/>
      <c r="GL684" s="4"/>
      <c r="GM684" s="4"/>
      <c r="GN684" s="4"/>
      <c r="GO684" s="4"/>
      <c r="GP684" s="4"/>
      <c r="GQ684" s="4"/>
      <c r="GR684" s="4"/>
      <c r="GS684" s="4"/>
      <c r="GT684" s="4"/>
      <c r="GU684" s="4"/>
      <c r="GV684" s="4"/>
      <c r="GW684" s="4"/>
      <c r="GX684" s="4"/>
      <c r="GY684" s="4"/>
      <c r="GZ684" s="4"/>
      <c r="HA684" s="4"/>
      <c r="HB684" s="4"/>
      <c r="HC684" s="4"/>
      <c r="HD684" s="4"/>
      <c r="HE684" s="4"/>
      <c r="HF684" s="4"/>
      <c r="HG684" s="4"/>
      <c r="HH684" s="4"/>
      <c r="HI684" s="4"/>
      <c r="HJ684" s="4"/>
      <c r="HK684" s="4"/>
      <c r="HL684" s="4"/>
    </row>
    <row r="685" spans="1:220" ht="15" customHeight="1">
      <c r="A685" s="21">
        <v>8</v>
      </c>
      <c r="B685" s="157" t="str">
        <f>VLOOKUP(Ruimtestaat[[#This Row],[Code]],Locaties[[Code]:[Locatie]],2,FALSE)</f>
        <v>Dalton College</v>
      </c>
      <c r="C685" s="157" t="str">
        <f>VLOOKUP(Ruimtestaat[[#This Row],[Code]],Locaties[[#All],[Code]:[Adres]],4,FALSE)</f>
        <v>Loolaan 125</v>
      </c>
      <c r="D685" s="157" t="str">
        <f>VLOOKUP(Ruimtestaat[[#This Row],[Code]],Locaties[[#All],[Code]:[Postcode]],5,FALSE)</f>
        <v xml:space="preserve">2271 TM </v>
      </c>
      <c r="E685" s="157" t="str">
        <f>VLOOKUP(Ruimtestaat[[#This Row],[Code]],Locaties[#All],6,FALSE)</f>
        <v>Voorburg</v>
      </c>
      <c r="F685" s="62"/>
      <c r="G685" s="21" t="s">
        <v>1632</v>
      </c>
      <c r="H685" s="21">
        <v>22</v>
      </c>
      <c r="I685" s="62" t="s">
        <v>2209</v>
      </c>
      <c r="J685" s="21">
        <v>2</v>
      </c>
      <c r="K685" s="62" t="str">
        <f>VLOOKUP(Ruimtestaat[[#This Row],[Ruimte code]],Ruimtegroepen[[#All],[Code]:[Ruimte omschrijving]],2,FALSE)</f>
        <v>Kantoren</v>
      </c>
      <c r="L685" s="33" t="s">
        <v>101</v>
      </c>
      <c r="M685" s="367" t="s">
        <v>2495</v>
      </c>
      <c r="N685" s="140">
        <v>26</v>
      </c>
      <c r="O685" s="140"/>
      <c r="P685" s="125" t="str">
        <f>VLOOKUP(Ruimtestaat[[#This Row],[Ruimte code]],Ruimtegroepen[],4,FALSE)</f>
        <v>Bu</v>
      </c>
      <c r="R685" s="33">
        <v>42</v>
      </c>
      <c r="S685" s="33" t="s">
        <v>18</v>
      </c>
      <c r="T685" s="33">
        <f>IF(R685&gt;0,IF(RIGHT(Ruimtestaat[[#This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85" s="33">
        <f>IF(T685&gt;0,VLOOKUP($J685,Ruimtegroepen[],3,FALSE)*VLOOKUP($L685,Vloersoorten[],3,FALSE)*VLOOKUP($S685,Frequenties[],3,FALSE)*VLOOKUP($A685,Locaties[],3,FALSE),0)</f>
        <v>0</v>
      </c>
      <c r="V685" s="33">
        <f>Ruimtestaat[[#This Row],[Uitvoeringen werkdagen]]*Ruimtestaat[[#This Row],[Oppervlak (netto)]]</f>
        <v>3276</v>
      </c>
      <c r="W685" s="154">
        <f>IF(U685&gt;0,Ruimtestaat[[#This Row],[Prest. (m2 /jaar) werkdagen]]/Ruimtestaat[[#This Row],[Norm (m2/uur) werkdagen]],0)</f>
        <v>0</v>
      </c>
      <c r="X685" s="155">
        <f>Ruimtestaat[[#This Row],[uren / jaar werkdagen]]*Tariefsopbouw!$E$35</f>
        <v>0</v>
      </c>
      <c r="Y685" s="33"/>
      <c r="Z685" s="33">
        <f>IF(Ruimtestaat[[#This Row],[Frequentie weekend]]&gt;0,VALUE(LEFT(Y685,1))*R685,0)</f>
        <v>0</v>
      </c>
      <c r="AA685" s="97">
        <f>IF($Z685&gt;0,VLOOKUP($J685,Ruimtegroepen[],3,FALSE)*VLOOKUP($L685,Vloersoorten[],3,FALSE)*VLOOKUP($Y685,Frequenties[],3,FALSE)*VLOOKUP(Ruimtestaat[[#This Row],[Code]],Locaties[],3,FALSE),0)</f>
        <v>0</v>
      </c>
      <c r="AB685" s="97">
        <f>Ruimtestaat[[#This Row],[Uitvoeringen weekend]]*Ruimtestaat[[#This Row],[Oppervlak (netto)]]</f>
        <v>0</v>
      </c>
      <c r="AC685" s="97">
        <f>IF(AA685&gt;0,Ruimtestaat[[#This Row],[Prest. (m2 /jaar) weekend]]/Ruimtestaat[[#This Row],[Norm (m2/uur) weekend]],0)</f>
        <v>0</v>
      </c>
      <c r="AD685" s="155">
        <f>Ruimtestaat[[#This Row],[uren / jaar weekend]]*Tariefsopbouw!$D$40</f>
        <v>0</v>
      </c>
      <c r="AE685" s="154">
        <f>Ruimtestaat[[#This Row],[Prest. (m2 /jaar) weekend]]+Ruimtestaat[[#This Row],[Prest. (m2 /jaar) werkdagen]]</f>
        <v>3276</v>
      </c>
      <c r="AF685" s="154">
        <f>Ruimtestaat[[#This Row],[uren / jaar weekend]]+Ruimtestaat[[#This Row],[uren / jaar werkdagen]]</f>
        <v>0</v>
      </c>
      <c r="AG685" s="69">
        <f>Ruimtestaat[[#This Row],[kosten / jaar weekend]]+Ruimtestaat[[#This Row],[kosten / jaar werkdagen]]</f>
        <v>0</v>
      </c>
      <c r="AH685" s="69"/>
      <c r="AI685" s="256" t="str">
        <f>IF(Ruimtestaat[[#This Row],[Frequentie werkdagen]]="","",_xlfn.CONCAT(Ruimtestaat[[#This Row],[Ruimte code]],"-",Ruimtestaat[[#This Row],[Frequentie werkdagen]]," ",Ruimtestaat[[#This Row],[Vloer code]]))</f>
        <v>2-3w L</v>
      </c>
      <c r="AJ685" s="300" t="str">
        <f>_xlfn.IFNA(VLOOKUP($AI685,Programma!$F$3:$G$1107,2,0),"")</f>
        <v>_</v>
      </c>
      <c r="AK685" s="300" t="str">
        <f>_xlfn.IFNA(VLOOKUP($AI685,Programma!$F$3:$H$1107,3,0),"")</f>
        <v>_</v>
      </c>
      <c r="AL685" s="300" t="str">
        <f>_xlfn.IFNA(VLOOKUP($AI685,Programma!$F$3:$I$1107,4,0),"")</f>
        <v>2w</v>
      </c>
      <c r="AM685" s="300" t="str">
        <f>_xlfn.IFNA(VLOOKUP($AI685,Programma!$F$3:$J$1107,5,0),"")</f>
        <v>1w</v>
      </c>
      <c r="AN685" s="300" t="str">
        <f>_xlfn.IFNA(VLOOKUP($AI685,Programma!$F$3:$K$1107,6,0),"")</f>
        <v>_</v>
      </c>
      <c r="AO685" s="300" t="str">
        <f>_xlfn.IFNA(VLOOKUP($AI685,Programma!$F$3:$L$1107,7,0),"")</f>
        <v>_</v>
      </c>
      <c r="AP685" s="300" t="str">
        <f>_xlfn.IFNA(VLOOKUP($AI685,Programma!$F$3:$M$1107,8,0),"")</f>
        <v>_</v>
      </c>
      <c r="AQ685" s="300" t="str">
        <f>_xlfn.IFNA(VLOOKUP($AI685,Programma!$F$3:$N$1107,9,0),"")</f>
        <v>_</v>
      </c>
      <c r="AR685" s="300" t="str">
        <f>_xlfn.IFNA(VLOOKUP($AI685,Programma!$F$3:$O$1107,10,0),"")</f>
        <v>3w</v>
      </c>
      <c r="AS685" s="300" t="str">
        <f>_xlfn.IFNA(VLOOKUP($AI685,Programma!$F$3:$P$1107,11,0),"")</f>
        <v>3w</v>
      </c>
      <c r="AT685" s="300" t="str">
        <f>_xlfn.IFNA(VLOOKUP($AI685,Programma!$F$3:$Q$1107,12,0),"")</f>
        <v>1w</v>
      </c>
      <c r="AU685" s="300" t="str">
        <f>_xlfn.IFNA(VLOOKUP($AI685,Programma!$F$3:$R$1107,13,0),"")</f>
        <v>1w</v>
      </c>
      <c r="AV685" s="300" t="str">
        <f>_xlfn.IFNA(VLOOKUP($AI685,Programma!$F$3:$S$1107,14,0),"")</f>
        <v>1m</v>
      </c>
      <c r="AW685" s="300" t="str">
        <f>_xlfn.IFNA(VLOOKUP($AI685,Programma!$F$3:$T$1107,15,0),"")</f>
        <v>2j</v>
      </c>
      <c r="AX685" s="300" t="str">
        <f>_xlfn.IFNA(VLOOKUP($AI685,Programma!$F$3:$U$1107,16,0),"")</f>
        <v>1j</v>
      </c>
      <c r="AY685" s="300" t="str">
        <f>_xlfn.IFNA(VLOOKUP($AI685,Programma!$F$3:$V$1107,17,0),"")</f>
        <v>_</v>
      </c>
      <c r="AZ685" s="300" t="str">
        <f>_xlfn.IFNA(VLOOKUP($AI685,Programma!$F$3:$W$1107,18,0),"")</f>
        <v>_</v>
      </c>
      <c r="BA685" s="300" t="str">
        <f>_xlfn.IFNA(VLOOKUP($AI685,Programma!$F$3:$X$1107,19,0),"")</f>
        <v>_</v>
      </c>
      <c r="BB685" s="300" t="str">
        <f>_xlfn.IFNA(VLOOKUP($AI685,Programma!$F$3:$Y$1107,20,0),"")</f>
        <v>_</v>
      </c>
      <c r="BC685" s="257"/>
      <c r="BD685" s="256" t="str">
        <f>IF(Ruimtestaat[[#This Row],[Frequentie weekend]]="","",_xlfn.CONCAT(Ruimtestaat[[#This Row],[Ruimte code]],"-",Ruimtestaat[[#This Row],[Frequentie weekend]]," ",Ruimtestaat[[#This Row],[Vloer code]]))</f>
        <v/>
      </c>
      <c r="BE685" s="300" t="str">
        <f>_xlfn.IFNA(VLOOKUP($BD685,Programma!$F$3:$G$1107,2,0),"")</f>
        <v/>
      </c>
      <c r="BF685" s="300" t="str">
        <f>_xlfn.IFNA(VLOOKUP($BD685,Programma!$F$3:$H$1107,3,0),"")</f>
        <v/>
      </c>
      <c r="BG685" s="300" t="str">
        <f>_xlfn.IFNA(VLOOKUP($BD685,Programma!$F$3:$I$1107,4,0),"")</f>
        <v/>
      </c>
      <c r="BH685" s="300" t="str">
        <f>_xlfn.IFNA(VLOOKUP($BD685,Programma!$F$3:$J$1107,5,0),"")</f>
        <v/>
      </c>
      <c r="BI685" s="300" t="str">
        <f>_xlfn.IFNA(VLOOKUP($BD685,Programma!$F$3:$K$1107,6,0),"")</f>
        <v/>
      </c>
      <c r="BJ685" s="300" t="str">
        <f>_xlfn.IFNA(VLOOKUP($BD685,Programma!$F$3:$L$1107,7,0),"")</f>
        <v/>
      </c>
      <c r="BK685" s="300" t="str">
        <f>_xlfn.IFNA(VLOOKUP($BD685,Programma!$F$3:$M$1107,8,0),"")</f>
        <v/>
      </c>
      <c r="BL685" s="300" t="str">
        <f>_xlfn.IFNA(VLOOKUP($BD685,Programma!$F$3:$N$1107,9,0),"")</f>
        <v/>
      </c>
      <c r="BM685" s="300" t="str">
        <f>_xlfn.IFNA(VLOOKUP($BD685,Programma!$F$3:$O$1107,10,0),"")</f>
        <v/>
      </c>
      <c r="BN685" s="300" t="str">
        <f>_xlfn.IFNA(VLOOKUP($BD685,Programma!$F$3:$P$1107,11,0),"")</f>
        <v/>
      </c>
      <c r="BO685" s="300" t="str">
        <f>_xlfn.IFNA(VLOOKUP($BD685,Programma!$F$3:$Q$1107,12,0),"")</f>
        <v/>
      </c>
      <c r="BP685" s="300" t="str">
        <f>_xlfn.IFNA(VLOOKUP($BD685,Programma!$F$3:$R$1107,13,0),"")</f>
        <v/>
      </c>
      <c r="BQ685" s="300" t="str">
        <f>_xlfn.IFNA(VLOOKUP($BD685,Programma!$F$3:$S$1107,14,0),"")</f>
        <v/>
      </c>
      <c r="BR685" s="300" t="str">
        <f>_xlfn.IFNA(VLOOKUP($BD685,Programma!$F$3:$T$1107,15,0),"")</f>
        <v/>
      </c>
      <c r="BS685" s="300" t="str">
        <f>_xlfn.IFNA(VLOOKUP($BD685,Programma!$F$3:$U$1107,16,0),"")</f>
        <v/>
      </c>
      <c r="BT685" s="300" t="str">
        <f>_xlfn.IFNA(VLOOKUP($BD685,Programma!$F$3:$V$1107,17,0),"")</f>
        <v/>
      </c>
      <c r="BU685" s="300" t="str">
        <f>_xlfn.IFNA(VLOOKUP($BD685,Programma!$F$3:$W$1107,18,0),"")</f>
        <v/>
      </c>
      <c r="BV685" s="300" t="str">
        <f>_xlfn.IFNA(VLOOKUP($BD685,Programma!$F$3:$X$1107,19,0),"")</f>
        <v/>
      </c>
      <c r="BW685" s="300" t="str">
        <f>_xlfn.IFNA(VLOOKUP($BD685,Programma!$F$3:$Y$1107,20,0),"")</f>
        <v/>
      </c>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c r="GK685" s="4"/>
      <c r="GL685" s="4"/>
      <c r="GM685" s="4"/>
      <c r="GN685" s="4"/>
      <c r="GO685" s="4"/>
      <c r="GP685" s="4"/>
      <c r="GQ685" s="4"/>
      <c r="GR685" s="4"/>
      <c r="GS685" s="4"/>
      <c r="GT685" s="4"/>
      <c r="GU685" s="4"/>
      <c r="GV685" s="4"/>
      <c r="GW685" s="4"/>
      <c r="GX685" s="4"/>
      <c r="GY685" s="4"/>
      <c r="GZ685" s="4"/>
      <c r="HA685" s="4"/>
      <c r="HB685" s="4"/>
      <c r="HC685" s="4"/>
      <c r="HD685" s="4"/>
      <c r="HE685" s="4"/>
      <c r="HF685" s="4"/>
      <c r="HG685" s="4"/>
      <c r="HH685" s="4"/>
      <c r="HI685" s="4"/>
      <c r="HJ685" s="4"/>
      <c r="HK685" s="4"/>
      <c r="HL685" s="4"/>
    </row>
    <row r="686" spans="1:220" ht="15" customHeight="1">
      <c r="A686" s="21">
        <v>8</v>
      </c>
      <c r="B686" s="157" t="str">
        <f>VLOOKUP(Ruimtestaat[[#This Row],[Code]],Locaties[[Code]:[Locatie]],2,FALSE)</f>
        <v>Dalton College</v>
      </c>
      <c r="C686" s="157" t="str">
        <f>VLOOKUP(Ruimtestaat[[#This Row],[Code]],Locaties[[#All],[Code]:[Adres]],4,FALSE)</f>
        <v>Loolaan 125</v>
      </c>
      <c r="D686" s="157" t="str">
        <f>VLOOKUP(Ruimtestaat[[#This Row],[Code]],Locaties[[#All],[Code]:[Postcode]],5,FALSE)</f>
        <v xml:space="preserve">2271 TM </v>
      </c>
      <c r="E686" s="157" t="str">
        <f>VLOOKUP(Ruimtestaat[[#This Row],[Code]],Locaties[#All],6,FALSE)</f>
        <v>Voorburg</v>
      </c>
      <c r="F686" s="62"/>
      <c r="G686" s="21" t="s">
        <v>1632</v>
      </c>
      <c r="H686" s="21">
        <v>23</v>
      </c>
      <c r="I686" s="62" t="s">
        <v>2210</v>
      </c>
      <c r="J686" s="21">
        <v>2</v>
      </c>
      <c r="K686" s="62" t="str">
        <f>VLOOKUP(Ruimtestaat[[#This Row],[Ruimte code]],Ruimtegroepen[[#All],[Code]:[Ruimte omschrijving]],2,FALSE)</f>
        <v>Kantoren</v>
      </c>
      <c r="L686" s="33" t="s">
        <v>101</v>
      </c>
      <c r="M686" s="367" t="s">
        <v>2495</v>
      </c>
      <c r="N686" s="140">
        <v>26</v>
      </c>
      <c r="O686" s="140"/>
      <c r="P686" s="125" t="str">
        <f>VLOOKUP(Ruimtestaat[[#This Row],[Ruimte code]],Ruimtegroepen[],4,FALSE)</f>
        <v>Bu</v>
      </c>
      <c r="R686" s="33">
        <v>42</v>
      </c>
      <c r="S686" s="33" t="s">
        <v>18</v>
      </c>
      <c r="T686" s="33">
        <f>IF(R686&gt;0,IF(RIGHT(Ruimtestaat[[#This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86" s="33">
        <f>IF(T686&gt;0,VLOOKUP($J686,Ruimtegroepen[],3,FALSE)*VLOOKUP($L686,Vloersoorten[],3,FALSE)*VLOOKUP($S686,Frequenties[],3,FALSE)*VLOOKUP($A686,Locaties[],3,FALSE),0)</f>
        <v>0</v>
      </c>
      <c r="V686" s="33">
        <f>Ruimtestaat[[#This Row],[Uitvoeringen werkdagen]]*Ruimtestaat[[#This Row],[Oppervlak (netto)]]</f>
        <v>3276</v>
      </c>
      <c r="W686" s="154">
        <f>IF(U686&gt;0,Ruimtestaat[[#This Row],[Prest. (m2 /jaar) werkdagen]]/Ruimtestaat[[#This Row],[Norm (m2/uur) werkdagen]],0)</f>
        <v>0</v>
      </c>
      <c r="X686" s="155">
        <f>Ruimtestaat[[#This Row],[uren / jaar werkdagen]]*Tariefsopbouw!$E$35</f>
        <v>0</v>
      </c>
      <c r="Y686" s="33"/>
      <c r="Z686" s="33">
        <f>IF(Ruimtestaat[[#This Row],[Frequentie weekend]]&gt;0,VALUE(LEFT(Y686,1))*R686,0)</f>
        <v>0</v>
      </c>
      <c r="AA686" s="97">
        <f>IF($Z686&gt;0,VLOOKUP($J686,Ruimtegroepen[],3,FALSE)*VLOOKUP($L686,Vloersoorten[],3,FALSE)*VLOOKUP($Y686,Frequenties[],3,FALSE)*VLOOKUP(Ruimtestaat[[#This Row],[Code]],Locaties[],3,FALSE),0)</f>
        <v>0</v>
      </c>
      <c r="AB686" s="97">
        <f>Ruimtestaat[[#This Row],[Uitvoeringen weekend]]*Ruimtestaat[[#This Row],[Oppervlak (netto)]]</f>
        <v>0</v>
      </c>
      <c r="AC686" s="97">
        <f>IF(AA686&gt;0,Ruimtestaat[[#This Row],[Prest. (m2 /jaar) weekend]]/Ruimtestaat[[#This Row],[Norm (m2/uur) weekend]],0)</f>
        <v>0</v>
      </c>
      <c r="AD686" s="155">
        <f>Ruimtestaat[[#This Row],[uren / jaar weekend]]*Tariefsopbouw!$D$40</f>
        <v>0</v>
      </c>
      <c r="AE686" s="154">
        <f>Ruimtestaat[[#This Row],[Prest. (m2 /jaar) weekend]]+Ruimtestaat[[#This Row],[Prest. (m2 /jaar) werkdagen]]</f>
        <v>3276</v>
      </c>
      <c r="AF686" s="154">
        <f>Ruimtestaat[[#This Row],[uren / jaar weekend]]+Ruimtestaat[[#This Row],[uren / jaar werkdagen]]</f>
        <v>0</v>
      </c>
      <c r="AG686" s="69">
        <f>Ruimtestaat[[#This Row],[kosten / jaar weekend]]+Ruimtestaat[[#This Row],[kosten / jaar werkdagen]]</f>
        <v>0</v>
      </c>
      <c r="AH686" s="69"/>
      <c r="AI686" s="256" t="str">
        <f>IF(Ruimtestaat[[#This Row],[Frequentie werkdagen]]="","",_xlfn.CONCAT(Ruimtestaat[[#This Row],[Ruimte code]],"-",Ruimtestaat[[#This Row],[Frequentie werkdagen]]," ",Ruimtestaat[[#This Row],[Vloer code]]))</f>
        <v>2-3w L</v>
      </c>
      <c r="AJ686" s="300" t="str">
        <f>_xlfn.IFNA(VLOOKUP($AI686,Programma!$F$3:$G$1107,2,0),"")</f>
        <v>_</v>
      </c>
      <c r="AK686" s="300" t="str">
        <f>_xlfn.IFNA(VLOOKUP($AI686,Programma!$F$3:$H$1107,3,0),"")</f>
        <v>_</v>
      </c>
      <c r="AL686" s="300" t="str">
        <f>_xlfn.IFNA(VLOOKUP($AI686,Programma!$F$3:$I$1107,4,0),"")</f>
        <v>2w</v>
      </c>
      <c r="AM686" s="300" t="str">
        <f>_xlfn.IFNA(VLOOKUP($AI686,Programma!$F$3:$J$1107,5,0),"")</f>
        <v>1w</v>
      </c>
      <c r="AN686" s="300" t="str">
        <f>_xlfn.IFNA(VLOOKUP($AI686,Programma!$F$3:$K$1107,6,0),"")</f>
        <v>_</v>
      </c>
      <c r="AO686" s="300" t="str">
        <f>_xlfn.IFNA(VLOOKUP($AI686,Programma!$F$3:$L$1107,7,0),"")</f>
        <v>_</v>
      </c>
      <c r="AP686" s="300" t="str">
        <f>_xlfn.IFNA(VLOOKUP($AI686,Programma!$F$3:$M$1107,8,0),"")</f>
        <v>_</v>
      </c>
      <c r="AQ686" s="300" t="str">
        <f>_xlfn.IFNA(VLOOKUP($AI686,Programma!$F$3:$N$1107,9,0),"")</f>
        <v>_</v>
      </c>
      <c r="AR686" s="300" t="str">
        <f>_xlfn.IFNA(VLOOKUP($AI686,Programma!$F$3:$O$1107,10,0),"")</f>
        <v>3w</v>
      </c>
      <c r="AS686" s="300" t="str">
        <f>_xlfn.IFNA(VLOOKUP($AI686,Programma!$F$3:$P$1107,11,0),"")</f>
        <v>3w</v>
      </c>
      <c r="AT686" s="300" t="str">
        <f>_xlfn.IFNA(VLOOKUP($AI686,Programma!$F$3:$Q$1107,12,0),"")</f>
        <v>1w</v>
      </c>
      <c r="AU686" s="300" t="str">
        <f>_xlfn.IFNA(VLOOKUP($AI686,Programma!$F$3:$R$1107,13,0),"")</f>
        <v>1w</v>
      </c>
      <c r="AV686" s="300" t="str">
        <f>_xlfn.IFNA(VLOOKUP($AI686,Programma!$F$3:$S$1107,14,0),"")</f>
        <v>1m</v>
      </c>
      <c r="AW686" s="300" t="str">
        <f>_xlfn.IFNA(VLOOKUP($AI686,Programma!$F$3:$T$1107,15,0),"")</f>
        <v>2j</v>
      </c>
      <c r="AX686" s="300" t="str">
        <f>_xlfn.IFNA(VLOOKUP($AI686,Programma!$F$3:$U$1107,16,0),"")</f>
        <v>1j</v>
      </c>
      <c r="AY686" s="300" t="str">
        <f>_xlfn.IFNA(VLOOKUP($AI686,Programma!$F$3:$V$1107,17,0),"")</f>
        <v>_</v>
      </c>
      <c r="AZ686" s="300" t="str">
        <f>_xlfn.IFNA(VLOOKUP($AI686,Programma!$F$3:$W$1107,18,0),"")</f>
        <v>_</v>
      </c>
      <c r="BA686" s="300" t="str">
        <f>_xlfn.IFNA(VLOOKUP($AI686,Programma!$F$3:$X$1107,19,0),"")</f>
        <v>_</v>
      </c>
      <c r="BB686" s="300" t="str">
        <f>_xlfn.IFNA(VLOOKUP($AI686,Programma!$F$3:$Y$1107,20,0),"")</f>
        <v>_</v>
      </c>
      <c r="BC686" s="257"/>
      <c r="BD686" s="256" t="str">
        <f>IF(Ruimtestaat[[#This Row],[Frequentie weekend]]="","",_xlfn.CONCAT(Ruimtestaat[[#This Row],[Ruimte code]],"-",Ruimtestaat[[#This Row],[Frequentie weekend]]," ",Ruimtestaat[[#This Row],[Vloer code]]))</f>
        <v/>
      </c>
      <c r="BE686" s="300" t="str">
        <f>_xlfn.IFNA(VLOOKUP($BD686,Programma!$F$3:$G$1107,2,0),"")</f>
        <v/>
      </c>
      <c r="BF686" s="300" t="str">
        <f>_xlfn.IFNA(VLOOKUP($BD686,Programma!$F$3:$H$1107,3,0),"")</f>
        <v/>
      </c>
      <c r="BG686" s="300" t="str">
        <f>_xlfn.IFNA(VLOOKUP($BD686,Programma!$F$3:$I$1107,4,0),"")</f>
        <v/>
      </c>
      <c r="BH686" s="300" t="str">
        <f>_xlfn.IFNA(VLOOKUP($BD686,Programma!$F$3:$J$1107,5,0),"")</f>
        <v/>
      </c>
      <c r="BI686" s="300" t="str">
        <f>_xlfn.IFNA(VLOOKUP($BD686,Programma!$F$3:$K$1107,6,0),"")</f>
        <v/>
      </c>
      <c r="BJ686" s="300" t="str">
        <f>_xlfn.IFNA(VLOOKUP($BD686,Programma!$F$3:$L$1107,7,0),"")</f>
        <v/>
      </c>
      <c r="BK686" s="300" t="str">
        <f>_xlfn.IFNA(VLOOKUP($BD686,Programma!$F$3:$M$1107,8,0),"")</f>
        <v/>
      </c>
      <c r="BL686" s="300" t="str">
        <f>_xlfn.IFNA(VLOOKUP($BD686,Programma!$F$3:$N$1107,9,0),"")</f>
        <v/>
      </c>
      <c r="BM686" s="300" t="str">
        <f>_xlfn.IFNA(VLOOKUP($BD686,Programma!$F$3:$O$1107,10,0),"")</f>
        <v/>
      </c>
      <c r="BN686" s="300" t="str">
        <f>_xlfn.IFNA(VLOOKUP($BD686,Programma!$F$3:$P$1107,11,0),"")</f>
        <v/>
      </c>
      <c r="BO686" s="300" t="str">
        <f>_xlfn.IFNA(VLOOKUP($BD686,Programma!$F$3:$Q$1107,12,0),"")</f>
        <v/>
      </c>
      <c r="BP686" s="300" t="str">
        <f>_xlfn.IFNA(VLOOKUP($BD686,Programma!$F$3:$R$1107,13,0),"")</f>
        <v/>
      </c>
      <c r="BQ686" s="300" t="str">
        <f>_xlfn.IFNA(VLOOKUP($BD686,Programma!$F$3:$S$1107,14,0),"")</f>
        <v/>
      </c>
      <c r="BR686" s="300" t="str">
        <f>_xlfn.IFNA(VLOOKUP($BD686,Programma!$F$3:$T$1107,15,0),"")</f>
        <v/>
      </c>
      <c r="BS686" s="300" t="str">
        <f>_xlfn.IFNA(VLOOKUP($BD686,Programma!$F$3:$U$1107,16,0),"")</f>
        <v/>
      </c>
      <c r="BT686" s="300" t="str">
        <f>_xlfn.IFNA(VLOOKUP($BD686,Programma!$F$3:$V$1107,17,0),"")</f>
        <v/>
      </c>
      <c r="BU686" s="300" t="str">
        <f>_xlfn.IFNA(VLOOKUP($BD686,Programma!$F$3:$W$1107,18,0),"")</f>
        <v/>
      </c>
      <c r="BV686" s="300" t="str">
        <f>_xlfn.IFNA(VLOOKUP($BD686,Programma!$F$3:$X$1107,19,0),"")</f>
        <v/>
      </c>
      <c r="BW686" s="300" t="str">
        <f>_xlfn.IFNA(VLOOKUP($BD686,Programma!$F$3:$Y$1107,20,0),"")</f>
        <v/>
      </c>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c r="GK686" s="4"/>
      <c r="GL686" s="4"/>
      <c r="GM686" s="4"/>
      <c r="GN686" s="4"/>
      <c r="GO686" s="4"/>
      <c r="GP686" s="4"/>
      <c r="GQ686" s="4"/>
      <c r="GR686" s="4"/>
      <c r="GS686" s="4"/>
      <c r="GT686" s="4"/>
      <c r="GU686" s="4"/>
      <c r="GV686" s="4"/>
      <c r="GW686" s="4"/>
      <c r="GX686" s="4"/>
      <c r="GY686" s="4"/>
      <c r="GZ686" s="4"/>
      <c r="HA686" s="4"/>
      <c r="HB686" s="4"/>
      <c r="HC686" s="4"/>
      <c r="HD686" s="4"/>
      <c r="HE686" s="4"/>
      <c r="HF686" s="4"/>
      <c r="HG686" s="4"/>
      <c r="HH686" s="4"/>
      <c r="HI686" s="4"/>
      <c r="HJ686" s="4"/>
      <c r="HK686" s="4"/>
      <c r="HL686" s="4"/>
    </row>
    <row r="687" spans="1:220" ht="15" customHeight="1">
      <c r="A687" s="21">
        <v>8</v>
      </c>
      <c r="B687" s="157" t="str">
        <f>VLOOKUP(Ruimtestaat[[#This Row],[Code]],Locaties[[Code]:[Locatie]],2,FALSE)</f>
        <v>Dalton College</v>
      </c>
      <c r="C687" s="157" t="str">
        <f>VLOOKUP(Ruimtestaat[[#This Row],[Code]],Locaties[[#All],[Code]:[Adres]],4,FALSE)</f>
        <v>Loolaan 125</v>
      </c>
      <c r="D687" s="157" t="str">
        <f>VLOOKUP(Ruimtestaat[[#This Row],[Code]],Locaties[[#All],[Code]:[Postcode]],5,FALSE)</f>
        <v xml:space="preserve">2271 TM </v>
      </c>
      <c r="E687" s="157" t="str">
        <f>VLOOKUP(Ruimtestaat[[#This Row],[Code]],Locaties[#All],6,FALSE)</f>
        <v>Voorburg</v>
      </c>
      <c r="F687" s="62"/>
      <c r="G687" s="21" t="s">
        <v>1632</v>
      </c>
      <c r="H687" s="21">
        <v>24</v>
      </c>
      <c r="I687" s="62" t="s">
        <v>2211</v>
      </c>
      <c r="J687" s="21">
        <v>2</v>
      </c>
      <c r="K687" s="62" t="str">
        <f>VLOOKUP(Ruimtestaat[[#This Row],[Ruimte code]],Ruimtegroepen[[#All],[Code]:[Ruimte omschrijving]],2,FALSE)</f>
        <v>Kantoren</v>
      </c>
      <c r="L687" s="33" t="s">
        <v>101</v>
      </c>
      <c r="M687" s="367" t="s">
        <v>2495</v>
      </c>
      <c r="N687" s="140">
        <v>38</v>
      </c>
      <c r="O687" s="140"/>
      <c r="P687" s="125" t="str">
        <f>VLOOKUP(Ruimtestaat[[#This Row],[Ruimte code]],Ruimtegroepen[],4,FALSE)</f>
        <v>Bu</v>
      </c>
      <c r="R687" s="33">
        <v>42</v>
      </c>
      <c r="S687" s="33" t="s">
        <v>18</v>
      </c>
      <c r="T687" s="33">
        <f>IF(R687&gt;0,IF(RIGHT(Ruimtestaat[[#This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87" s="33">
        <f>IF(T687&gt;0,VLOOKUP($J687,Ruimtegroepen[],3,FALSE)*VLOOKUP($L687,Vloersoorten[],3,FALSE)*VLOOKUP($S687,Frequenties[],3,FALSE)*VLOOKUP($A687,Locaties[],3,FALSE),0)</f>
        <v>0</v>
      </c>
      <c r="V687" s="33">
        <f>Ruimtestaat[[#This Row],[Uitvoeringen werkdagen]]*Ruimtestaat[[#This Row],[Oppervlak (netto)]]</f>
        <v>4788</v>
      </c>
      <c r="W687" s="154">
        <f>IF(U687&gt;0,Ruimtestaat[[#This Row],[Prest. (m2 /jaar) werkdagen]]/Ruimtestaat[[#This Row],[Norm (m2/uur) werkdagen]],0)</f>
        <v>0</v>
      </c>
      <c r="X687" s="155">
        <f>Ruimtestaat[[#This Row],[uren / jaar werkdagen]]*Tariefsopbouw!$E$35</f>
        <v>0</v>
      </c>
      <c r="Y687" s="33"/>
      <c r="Z687" s="33">
        <f>IF(Ruimtestaat[[#This Row],[Frequentie weekend]]&gt;0,VALUE(LEFT(Y687,1))*R687,0)</f>
        <v>0</v>
      </c>
      <c r="AA687" s="97">
        <f>IF($Z687&gt;0,VLOOKUP($J687,Ruimtegroepen[],3,FALSE)*VLOOKUP($L687,Vloersoorten[],3,FALSE)*VLOOKUP($Y687,Frequenties[],3,FALSE)*VLOOKUP(Ruimtestaat[[#This Row],[Code]],Locaties[],3,FALSE),0)</f>
        <v>0</v>
      </c>
      <c r="AB687" s="97">
        <f>Ruimtestaat[[#This Row],[Uitvoeringen weekend]]*Ruimtestaat[[#This Row],[Oppervlak (netto)]]</f>
        <v>0</v>
      </c>
      <c r="AC687" s="97">
        <f>IF(AA687&gt;0,Ruimtestaat[[#This Row],[Prest. (m2 /jaar) weekend]]/Ruimtestaat[[#This Row],[Norm (m2/uur) weekend]],0)</f>
        <v>0</v>
      </c>
      <c r="AD687" s="155">
        <f>Ruimtestaat[[#This Row],[uren / jaar weekend]]*Tariefsopbouw!$D$40</f>
        <v>0</v>
      </c>
      <c r="AE687" s="154">
        <f>Ruimtestaat[[#This Row],[Prest. (m2 /jaar) weekend]]+Ruimtestaat[[#This Row],[Prest. (m2 /jaar) werkdagen]]</f>
        <v>4788</v>
      </c>
      <c r="AF687" s="154">
        <f>Ruimtestaat[[#This Row],[uren / jaar weekend]]+Ruimtestaat[[#This Row],[uren / jaar werkdagen]]</f>
        <v>0</v>
      </c>
      <c r="AG687" s="69">
        <f>Ruimtestaat[[#This Row],[kosten / jaar weekend]]+Ruimtestaat[[#This Row],[kosten / jaar werkdagen]]</f>
        <v>0</v>
      </c>
      <c r="AH687" s="69"/>
      <c r="AI687" s="256" t="str">
        <f>IF(Ruimtestaat[[#This Row],[Frequentie werkdagen]]="","",_xlfn.CONCAT(Ruimtestaat[[#This Row],[Ruimte code]],"-",Ruimtestaat[[#This Row],[Frequentie werkdagen]]," ",Ruimtestaat[[#This Row],[Vloer code]]))</f>
        <v>2-3w L</v>
      </c>
      <c r="AJ687" s="300" t="str">
        <f>_xlfn.IFNA(VLOOKUP($AI687,Programma!$F$3:$G$1107,2,0),"")</f>
        <v>_</v>
      </c>
      <c r="AK687" s="300" t="str">
        <f>_xlfn.IFNA(VLOOKUP($AI687,Programma!$F$3:$H$1107,3,0),"")</f>
        <v>_</v>
      </c>
      <c r="AL687" s="300" t="str">
        <f>_xlfn.IFNA(VLOOKUP($AI687,Programma!$F$3:$I$1107,4,0),"")</f>
        <v>2w</v>
      </c>
      <c r="AM687" s="300" t="str">
        <f>_xlfn.IFNA(VLOOKUP($AI687,Programma!$F$3:$J$1107,5,0),"")</f>
        <v>1w</v>
      </c>
      <c r="AN687" s="300" t="str">
        <f>_xlfn.IFNA(VLOOKUP($AI687,Programma!$F$3:$K$1107,6,0),"")</f>
        <v>_</v>
      </c>
      <c r="AO687" s="300" t="str">
        <f>_xlfn.IFNA(VLOOKUP($AI687,Programma!$F$3:$L$1107,7,0),"")</f>
        <v>_</v>
      </c>
      <c r="AP687" s="300" t="str">
        <f>_xlfn.IFNA(VLOOKUP($AI687,Programma!$F$3:$M$1107,8,0),"")</f>
        <v>_</v>
      </c>
      <c r="AQ687" s="300" t="str">
        <f>_xlfn.IFNA(VLOOKUP($AI687,Programma!$F$3:$N$1107,9,0),"")</f>
        <v>_</v>
      </c>
      <c r="AR687" s="300" t="str">
        <f>_xlfn.IFNA(VLOOKUP($AI687,Programma!$F$3:$O$1107,10,0),"")</f>
        <v>3w</v>
      </c>
      <c r="AS687" s="300" t="str">
        <f>_xlfn.IFNA(VLOOKUP($AI687,Programma!$F$3:$P$1107,11,0),"")</f>
        <v>3w</v>
      </c>
      <c r="AT687" s="300" t="str">
        <f>_xlfn.IFNA(VLOOKUP($AI687,Programma!$F$3:$Q$1107,12,0),"")</f>
        <v>1w</v>
      </c>
      <c r="AU687" s="300" t="str">
        <f>_xlfn.IFNA(VLOOKUP($AI687,Programma!$F$3:$R$1107,13,0),"")</f>
        <v>1w</v>
      </c>
      <c r="AV687" s="300" t="str">
        <f>_xlfn.IFNA(VLOOKUP($AI687,Programma!$F$3:$S$1107,14,0),"")</f>
        <v>1m</v>
      </c>
      <c r="AW687" s="300" t="str">
        <f>_xlfn.IFNA(VLOOKUP($AI687,Programma!$F$3:$T$1107,15,0),"")</f>
        <v>2j</v>
      </c>
      <c r="AX687" s="300" t="str">
        <f>_xlfn.IFNA(VLOOKUP($AI687,Programma!$F$3:$U$1107,16,0),"")</f>
        <v>1j</v>
      </c>
      <c r="AY687" s="300" t="str">
        <f>_xlfn.IFNA(VLOOKUP($AI687,Programma!$F$3:$V$1107,17,0),"")</f>
        <v>_</v>
      </c>
      <c r="AZ687" s="300" t="str">
        <f>_xlfn.IFNA(VLOOKUP($AI687,Programma!$F$3:$W$1107,18,0),"")</f>
        <v>_</v>
      </c>
      <c r="BA687" s="300" t="str">
        <f>_xlfn.IFNA(VLOOKUP($AI687,Programma!$F$3:$X$1107,19,0),"")</f>
        <v>_</v>
      </c>
      <c r="BB687" s="300" t="str">
        <f>_xlfn.IFNA(VLOOKUP($AI687,Programma!$F$3:$Y$1107,20,0),"")</f>
        <v>_</v>
      </c>
      <c r="BC687" s="257"/>
      <c r="BD687" s="256" t="str">
        <f>IF(Ruimtestaat[[#This Row],[Frequentie weekend]]="","",_xlfn.CONCAT(Ruimtestaat[[#This Row],[Ruimte code]],"-",Ruimtestaat[[#This Row],[Frequentie weekend]]," ",Ruimtestaat[[#This Row],[Vloer code]]))</f>
        <v/>
      </c>
      <c r="BE687" s="300" t="str">
        <f>_xlfn.IFNA(VLOOKUP($BD687,Programma!$F$3:$G$1107,2,0),"")</f>
        <v/>
      </c>
      <c r="BF687" s="300" t="str">
        <f>_xlfn.IFNA(VLOOKUP($BD687,Programma!$F$3:$H$1107,3,0),"")</f>
        <v/>
      </c>
      <c r="BG687" s="300" t="str">
        <f>_xlfn.IFNA(VLOOKUP($BD687,Programma!$F$3:$I$1107,4,0),"")</f>
        <v/>
      </c>
      <c r="BH687" s="300" t="str">
        <f>_xlfn.IFNA(VLOOKUP($BD687,Programma!$F$3:$J$1107,5,0),"")</f>
        <v/>
      </c>
      <c r="BI687" s="300" t="str">
        <f>_xlfn.IFNA(VLOOKUP($BD687,Programma!$F$3:$K$1107,6,0),"")</f>
        <v/>
      </c>
      <c r="BJ687" s="300" t="str">
        <f>_xlfn.IFNA(VLOOKUP($BD687,Programma!$F$3:$L$1107,7,0),"")</f>
        <v/>
      </c>
      <c r="BK687" s="300" t="str">
        <f>_xlfn.IFNA(VLOOKUP($BD687,Programma!$F$3:$M$1107,8,0),"")</f>
        <v/>
      </c>
      <c r="BL687" s="300" t="str">
        <f>_xlfn.IFNA(VLOOKUP($BD687,Programma!$F$3:$N$1107,9,0),"")</f>
        <v/>
      </c>
      <c r="BM687" s="300" t="str">
        <f>_xlfn.IFNA(VLOOKUP($BD687,Programma!$F$3:$O$1107,10,0),"")</f>
        <v/>
      </c>
      <c r="BN687" s="300" t="str">
        <f>_xlfn.IFNA(VLOOKUP($BD687,Programma!$F$3:$P$1107,11,0),"")</f>
        <v/>
      </c>
      <c r="BO687" s="300" t="str">
        <f>_xlfn.IFNA(VLOOKUP($BD687,Programma!$F$3:$Q$1107,12,0),"")</f>
        <v/>
      </c>
      <c r="BP687" s="300" t="str">
        <f>_xlfn.IFNA(VLOOKUP($BD687,Programma!$F$3:$R$1107,13,0),"")</f>
        <v/>
      </c>
      <c r="BQ687" s="300" t="str">
        <f>_xlfn.IFNA(VLOOKUP($BD687,Programma!$F$3:$S$1107,14,0),"")</f>
        <v/>
      </c>
      <c r="BR687" s="300" t="str">
        <f>_xlfn.IFNA(VLOOKUP($BD687,Programma!$F$3:$T$1107,15,0),"")</f>
        <v/>
      </c>
      <c r="BS687" s="300" t="str">
        <f>_xlfn.IFNA(VLOOKUP($BD687,Programma!$F$3:$U$1107,16,0),"")</f>
        <v/>
      </c>
      <c r="BT687" s="300" t="str">
        <f>_xlfn.IFNA(VLOOKUP($BD687,Programma!$F$3:$V$1107,17,0),"")</f>
        <v/>
      </c>
      <c r="BU687" s="300" t="str">
        <f>_xlfn.IFNA(VLOOKUP($BD687,Programma!$F$3:$W$1107,18,0),"")</f>
        <v/>
      </c>
      <c r="BV687" s="300" t="str">
        <f>_xlfn.IFNA(VLOOKUP($BD687,Programma!$F$3:$X$1107,19,0),"")</f>
        <v/>
      </c>
      <c r="BW687" s="300" t="str">
        <f>_xlfn.IFNA(VLOOKUP($BD687,Programma!$F$3:$Y$1107,20,0),"")</f>
        <v/>
      </c>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c r="GK687" s="4"/>
      <c r="GL687" s="4"/>
      <c r="GM687" s="4"/>
      <c r="GN687" s="4"/>
      <c r="GO687" s="4"/>
      <c r="GP687" s="4"/>
      <c r="GQ687" s="4"/>
      <c r="GR687" s="4"/>
      <c r="GS687" s="4"/>
      <c r="GT687" s="4"/>
      <c r="GU687" s="4"/>
      <c r="GV687" s="4"/>
      <c r="GW687" s="4"/>
      <c r="GX687" s="4"/>
      <c r="GY687" s="4"/>
      <c r="GZ687" s="4"/>
      <c r="HA687" s="4"/>
      <c r="HB687" s="4"/>
      <c r="HC687" s="4"/>
      <c r="HD687" s="4"/>
      <c r="HE687" s="4"/>
      <c r="HF687" s="4"/>
      <c r="HG687" s="4"/>
      <c r="HH687" s="4"/>
      <c r="HI687" s="4"/>
      <c r="HJ687" s="4"/>
      <c r="HK687" s="4"/>
      <c r="HL687" s="4"/>
    </row>
    <row r="688" spans="1:220" ht="15" customHeight="1">
      <c r="A688" s="21">
        <v>8</v>
      </c>
      <c r="B688" s="157" t="str">
        <f>VLOOKUP(Ruimtestaat[[#This Row],[Code]],Locaties[[Code]:[Locatie]],2,FALSE)</f>
        <v>Dalton College</v>
      </c>
      <c r="C688" s="157" t="str">
        <f>VLOOKUP(Ruimtestaat[[#This Row],[Code]],Locaties[[#All],[Code]:[Adres]],4,FALSE)</f>
        <v>Loolaan 125</v>
      </c>
      <c r="D688" s="157" t="str">
        <f>VLOOKUP(Ruimtestaat[[#This Row],[Code]],Locaties[[#All],[Code]:[Postcode]],5,FALSE)</f>
        <v xml:space="preserve">2271 TM </v>
      </c>
      <c r="E688" s="157" t="str">
        <f>VLOOKUP(Ruimtestaat[[#This Row],[Code]],Locaties[#All],6,FALSE)</f>
        <v>Voorburg</v>
      </c>
      <c r="F688" s="62"/>
      <c r="G688" s="21" t="s">
        <v>1632</v>
      </c>
      <c r="H688" s="21">
        <v>25</v>
      </c>
      <c r="I688" s="62" t="s">
        <v>1625</v>
      </c>
      <c r="J688" s="21">
        <v>6</v>
      </c>
      <c r="K688" s="62" t="str">
        <f>VLOOKUP(Ruimtestaat[[#This Row],[Ruimte code]],Ruimtegroepen[[#All],[Code]:[Ruimte omschrijving]],2,FALSE)</f>
        <v>Gangen/hallen</v>
      </c>
      <c r="L688" s="33" t="s">
        <v>102</v>
      </c>
      <c r="M688" s="367" t="s">
        <v>2509</v>
      </c>
      <c r="N688" s="140">
        <v>40</v>
      </c>
      <c r="O688" s="140"/>
      <c r="P688" s="125" t="str">
        <f>VLOOKUP(Ruimtestaat[[#This Row],[Ruimte code]],Ruimtegroepen[],4,FALSE)</f>
        <v>Ve</v>
      </c>
      <c r="R688" s="33">
        <v>40</v>
      </c>
      <c r="S688" s="33" t="s">
        <v>2</v>
      </c>
      <c r="T688" s="33">
        <f>IF(R688&gt;0,IF(RIGHT(Ruimtestaat[[#This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88" s="33">
        <f>IF(T688&gt;0,VLOOKUP($J688,Ruimtegroepen[],3,FALSE)*VLOOKUP($L688,Vloersoorten[],3,FALSE)*VLOOKUP($S688,Frequenties[],3,FALSE)*VLOOKUP($A688,Locaties[],3,FALSE),0)</f>
        <v>0</v>
      </c>
      <c r="V688" s="33">
        <f>Ruimtestaat[[#This Row],[Uitvoeringen werkdagen]]*Ruimtestaat[[#This Row],[Oppervlak (netto)]]</f>
        <v>8000</v>
      </c>
      <c r="W688" s="154">
        <f>IF(U688&gt;0,Ruimtestaat[[#This Row],[Prest. (m2 /jaar) werkdagen]]/Ruimtestaat[[#This Row],[Norm (m2/uur) werkdagen]],0)</f>
        <v>0</v>
      </c>
      <c r="X688" s="155">
        <f>Ruimtestaat[[#This Row],[uren / jaar werkdagen]]*Tariefsopbouw!$E$35</f>
        <v>0</v>
      </c>
      <c r="Y688" s="33"/>
      <c r="Z688" s="33">
        <f>IF(Ruimtestaat[[#This Row],[Frequentie weekend]]&gt;0,VALUE(LEFT(Y688,1))*R688,0)</f>
        <v>0</v>
      </c>
      <c r="AA688" s="97">
        <f>IF($Z688&gt;0,VLOOKUP($J688,Ruimtegroepen[],3,FALSE)*VLOOKUP($L688,Vloersoorten[],3,FALSE)*VLOOKUP($Y688,Frequenties[],3,FALSE)*VLOOKUP(Ruimtestaat[[#This Row],[Code]],Locaties[],3,FALSE),0)</f>
        <v>0</v>
      </c>
      <c r="AB688" s="97">
        <f>Ruimtestaat[[#This Row],[Uitvoeringen weekend]]*Ruimtestaat[[#This Row],[Oppervlak (netto)]]</f>
        <v>0</v>
      </c>
      <c r="AC688" s="97">
        <f>IF(AA688&gt;0,Ruimtestaat[[#This Row],[Prest. (m2 /jaar) weekend]]/Ruimtestaat[[#This Row],[Norm (m2/uur) weekend]],0)</f>
        <v>0</v>
      </c>
      <c r="AD688" s="155">
        <f>Ruimtestaat[[#This Row],[uren / jaar weekend]]*Tariefsopbouw!$D$40</f>
        <v>0</v>
      </c>
      <c r="AE688" s="154">
        <f>Ruimtestaat[[#This Row],[Prest. (m2 /jaar) weekend]]+Ruimtestaat[[#This Row],[Prest. (m2 /jaar) werkdagen]]</f>
        <v>8000</v>
      </c>
      <c r="AF688" s="154">
        <f>Ruimtestaat[[#This Row],[uren / jaar weekend]]+Ruimtestaat[[#This Row],[uren / jaar werkdagen]]</f>
        <v>0</v>
      </c>
      <c r="AG688" s="69">
        <f>Ruimtestaat[[#This Row],[kosten / jaar weekend]]+Ruimtestaat[[#This Row],[kosten / jaar werkdagen]]</f>
        <v>0</v>
      </c>
      <c r="AH688" s="69"/>
      <c r="AI688" s="256" t="str">
        <f>IF(Ruimtestaat[[#This Row],[Frequentie werkdagen]]="","",_xlfn.CONCAT(Ruimtestaat[[#This Row],[Ruimte code]],"-",Ruimtestaat[[#This Row],[Frequentie werkdagen]]," ",Ruimtestaat[[#This Row],[Vloer code]]))</f>
        <v>6-5w S</v>
      </c>
      <c r="AJ688" s="300" t="str">
        <f>_xlfn.IFNA(VLOOKUP($AI688,Programma!$F$3:$G$1107,2,0),"")</f>
        <v>_</v>
      </c>
      <c r="AK688" s="300" t="str">
        <f>_xlfn.IFNA(VLOOKUP($AI688,Programma!$F$3:$H$1107,3,0),"")</f>
        <v>_</v>
      </c>
      <c r="AL688" s="300" t="str">
        <f>_xlfn.IFNA(VLOOKUP($AI688,Programma!$F$3:$I$1107,4,0),"")</f>
        <v>5w</v>
      </c>
      <c r="AM688" s="300" t="str">
        <f>_xlfn.IFNA(VLOOKUP($AI688,Programma!$F$3:$J$1107,5,0),"")</f>
        <v>_</v>
      </c>
      <c r="AN688" s="300" t="str">
        <f>_xlfn.IFNA(VLOOKUP($AI688,Programma!$F$3:$K$1107,6,0),"")</f>
        <v>5w</v>
      </c>
      <c r="AO688" s="300" t="str">
        <f>_xlfn.IFNA(VLOOKUP($AI688,Programma!$F$3:$L$1107,7,0),"")</f>
        <v>_</v>
      </c>
      <c r="AP688" s="300" t="str">
        <f>_xlfn.IFNA(VLOOKUP($AI688,Programma!$F$3:$M$1107,8,0),"")</f>
        <v>_</v>
      </c>
      <c r="AQ688" s="300" t="str">
        <f>_xlfn.IFNA(VLOOKUP($AI688,Programma!$F$3:$N$1107,9,0),"")</f>
        <v>_</v>
      </c>
      <c r="AR688" s="300" t="str">
        <f>_xlfn.IFNA(VLOOKUP($AI688,Programma!$F$3:$O$1107,10,0),"")</f>
        <v>5w</v>
      </c>
      <c r="AS688" s="300" t="str">
        <f>_xlfn.IFNA(VLOOKUP($AI688,Programma!$F$3:$P$1107,11,0),"")</f>
        <v>5w</v>
      </c>
      <c r="AT688" s="300" t="str">
        <f>_xlfn.IFNA(VLOOKUP($AI688,Programma!$F$3:$Q$1107,12,0),"")</f>
        <v>1w</v>
      </c>
      <c r="AU688" s="300" t="str">
        <f>_xlfn.IFNA(VLOOKUP($AI688,Programma!$F$3:$R$1107,13,0),"")</f>
        <v>1w</v>
      </c>
      <c r="AV688" s="300" t="str">
        <f>_xlfn.IFNA(VLOOKUP($AI688,Programma!$F$3:$S$1107,14,0),"")</f>
        <v>1m</v>
      </c>
      <c r="AW688" s="300" t="str">
        <f>_xlfn.IFNA(VLOOKUP($AI688,Programma!$F$3:$T$1107,15,0),"")</f>
        <v>2j</v>
      </c>
      <c r="AX688" s="300" t="str">
        <f>_xlfn.IFNA(VLOOKUP($AI688,Programma!$F$3:$U$1107,16,0),"")</f>
        <v>1j</v>
      </c>
      <c r="AY688" s="300" t="str">
        <f>_xlfn.IFNA(VLOOKUP($AI688,Programma!$F$3:$V$1107,17,0),"")</f>
        <v>_</v>
      </c>
      <c r="AZ688" s="300" t="str">
        <f>_xlfn.IFNA(VLOOKUP($AI688,Programma!$F$3:$W$1107,18,0),"")</f>
        <v>_</v>
      </c>
      <c r="BA688" s="300" t="str">
        <f>_xlfn.IFNA(VLOOKUP($AI688,Programma!$F$3:$X$1107,19,0),"")</f>
        <v>_</v>
      </c>
      <c r="BB688" s="300" t="str">
        <f>_xlfn.IFNA(VLOOKUP($AI688,Programma!$F$3:$Y$1107,20,0),"")</f>
        <v>_</v>
      </c>
      <c r="BC688" s="257"/>
      <c r="BD688" s="256" t="str">
        <f>IF(Ruimtestaat[[#This Row],[Frequentie weekend]]="","",_xlfn.CONCAT(Ruimtestaat[[#This Row],[Ruimte code]],"-",Ruimtestaat[[#This Row],[Frequentie weekend]]," ",Ruimtestaat[[#This Row],[Vloer code]]))</f>
        <v/>
      </c>
      <c r="BE688" s="300" t="str">
        <f>_xlfn.IFNA(VLOOKUP($BD688,Programma!$F$3:$G$1107,2,0),"")</f>
        <v/>
      </c>
      <c r="BF688" s="300" t="str">
        <f>_xlfn.IFNA(VLOOKUP($BD688,Programma!$F$3:$H$1107,3,0),"")</f>
        <v/>
      </c>
      <c r="BG688" s="300" t="str">
        <f>_xlfn.IFNA(VLOOKUP($BD688,Programma!$F$3:$I$1107,4,0),"")</f>
        <v/>
      </c>
      <c r="BH688" s="300" t="str">
        <f>_xlfn.IFNA(VLOOKUP($BD688,Programma!$F$3:$J$1107,5,0),"")</f>
        <v/>
      </c>
      <c r="BI688" s="300" t="str">
        <f>_xlfn.IFNA(VLOOKUP($BD688,Programma!$F$3:$K$1107,6,0),"")</f>
        <v/>
      </c>
      <c r="BJ688" s="300" t="str">
        <f>_xlfn.IFNA(VLOOKUP($BD688,Programma!$F$3:$L$1107,7,0),"")</f>
        <v/>
      </c>
      <c r="BK688" s="300" t="str">
        <f>_xlfn.IFNA(VLOOKUP($BD688,Programma!$F$3:$M$1107,8,0),"")</f>
        <v/>
      </c>
      <c r="BL688" s="300" t="str">
        <f>_xlfn.IFNA(VLOOKUP($BD688,Programma!$F$3:$N$1107,9,0),"")</f>
        <v/>
      </c>
      <c r="BM688" s="300" t="str">
        <f>_xlfn.IFNA(VLOOKUP($BD688,Programma!$F$3:$O$1107,10,0),"")</f>
        <v/>
      </c>
      <c r="BN688" s="300" t="str">
        <f>_xlfn.IFNA(VLOOKUP($BD688,Programma!$F$3:$P$1107,11,0),"")</f>
        <v/>
      </c>
      <c r="BO688" s="300" t="str">
        <f>_xlfn.IFNA(VLOOKUP($BD688,Programma!$F$3:$Q$1107,12,0),"")</f>
        <v/>
      </c>
      <c r="BP688" s="300" t="str">
        <f>_xlfn.IFNA(VLOOKUP($BD688,Programma!$F$3:$R$1107,13,0),"")</f>
        <v/>
      </c>
      <c r="BQ688" s="300" t="str">
        <f>_xlfn.IFNA(VLOOKUP($BD688,Programma!$F$3:$S$1107,14,0),"")</f>
        <v/>
      </c>
      <c r="BR688" s="300" t="str">
        <f>_xlfn.IFNA(VLOOKUP($BD688,Programma!$F$3:$T$1107,15,0),"")</f>
        <v/>
      </c>
      <c r="BS688" s="300" t="str">
        <f>_xlfn.IFNA(VLOOKUP($BD688,Programma!$F$3:$U$1107,16,0),"")</f>
        <v/>
      </c>
      <c r="BT688" s="300" t="str">
        <f>_xlfn.IFNA(VLOOKUP($BD688,Programma!$F$3:$V$1107,17,0),"")</f>
        <v/>
      </c>
      <c r="BU688" s="300" t="str">
        <f>_xlfn.IFNA(VLOOKUP($BD688,Programma!$F$3:$W$1107,18,0),"")</f>
        <v/>
      </c>
      <c r="BV688" s="300" t="str">
        <f>_xlfn.IFNA(VLOOKUP($BD688,Programma!$F$3:$X$1107,19,0),"")</f>
        <v/>
      </c>
      <c r="BW688" s="300" t="str">
        <f>_xlfn.IFNA(VLOOKUP($BD688,Programma!$F$3:$Y$1107,20,0),"")</f>
        <v/>
      </c>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c r="GK688" s="4"/>
      <c r="GL688" s="4"/>
      <c r="GM688" s="4"/>
      <c r="GN688" s="4"/>
      <c r="GO688" s="4"/>
      <c r="GP688" s="4"/>
      <c r="GQ688" s="4"/>
      <c r="GR688" s="4"/>
      <c r="GS688" s="4"/>
      <c r="GT688" s="4"/>
      <c r="GU688" s="4"/>
      <c r="GV688" s="4"/>
      <c r="GW688" s="4"/>
      <c r="GX688" s="4"/>
      <c r="GY688" s="4"/>
      <c r="GZ688" s="4"/>
      <c r="HA688" s="4"/>
      <c r="HB688" s="4"/>
      <c r="HC688" s="4"/>
      <c r="HD688" s="4"/>
      <c r="HE688" s="4"/>
      <c r="HF688" s="4"/>
      <c r="HG688" s="4"/>
      <c r="HH688" s="4"/>
      <c r="HI688" s="4"/>
      <c r="HJ688" s="4"/>
      <c r="HK688" s="4"/>
      <c r="HL688" s="4"/>
    </row>
    <row r="689" spans="1:220" ht="15" customHeight="1">
      <c r="A689" s="21">
        <v>8</v>
      </c>
      <c r="B689" s="157" t="str">
        <f>VLOOKUP(Ruimtestaat[[#This Row],[Code]],Locaties[[Code]:[Locatie]],2,FALSE)</f>
        <v>Dalton College</v>
      </c>
      <c r="C689" s="157" t="str">
        <f>VLOOKUP(Ruimtestaat[[#This Row],[Code]],Locaties[[#All],[Code]:[Adres]],4,FALSE)</f>
        <v>Loolaan 125</v>
      </c>
      <c r="D689" s="157" t="str">
        <f>VLOOKUP(Ruimtestaat[[#This Row],[Code]],Locaties[[#All],[Code]:[Postcode]],5,FALSE)</f>
        <v xml:space="preserve">2271 TM </v>
      </c>
      <c r="E689" s="157" t="str">
        <f>VLOOKUP(Ruimtestaat[[#This Row],[Code]],Locaties[#All],6,FALSE)</f>
        <v>Voorburg</v>
      </c>
      <c r="F689" s="62"/>
      <c r="G689" s="21" t="s">
        <v>1632</v>
      </c>
      <c r="H689" s="21">
        <v>26</v>
      </c>
      <c r="I689" s="62" t="s">
        <v>2212</v>
      </c>
      <c r="J689" s="21">
        <v>6</v>
      </c>
      <c r="K689" s="62" t="str">
        <f>VLOOKUP(Ruimtestaat[[#This Row],[Ruimte code]],Ruimtegroepen[[#All],[Code]:[Ruimte omschrijving]],2,FALSE)</f>
        <v>Gangen/hallen</v>
      </c>
      <c r="L689" s="33" t="s">
        <v>102</v>
      </c>
      <c r="M689" s="367" t="s">
        <v>2509</v>
      </c>
      <c r="N689" s="140">
        <v>42</v>
      </c>
      <c r="O689" s="140"/>
      <c r="P689" s="125" t="str">
        <f>VLOOKUP(Ruimtestaat[[#This Row],[Ruimte code]],Ruimtegroepen[],4,FALSE)</f>
        <v>Ve</v>
      </c>
      <c r="R689" s="33">
        <v>40</v>
      </c>
      <c r="S689" s="33" t="s">
        <v>2</v>
      </c>
      <c r="T689" s="33">
        <f>IF(R689&gt;0,IF(RIGHT(Ruimtestaat[[#This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89" s="33">
        <f>IF(T689&gt;0,VLOOKUP($J689,Ruimtegroepen[],3,FALSE)*VLOOKUP($L689,Vloersoorten[],3,FALSE)*VLOOKUP($S689,Frequenties[],3,FALSE)*VLOOKUP($A689,Locaties[],3,FALSE),0)</f>
        <v>0</v>
      </c>
      <c r="V689" s="33">
        <f>Ruimtestaat[[#This Row],[Uitvoeringen werkdagen]]*Ruimtestaat[[#This Row],[Oppervlak (netto)]]</f>
        <v>8400</v>
      </c>
      <c r="W689" s="154">
        <f>IF(U689&gt;0,Ruimtestaat[[#This Row],[Prest. (m2 /jaar) werkdagen]]/Ruimtestaat[[#This Row],[Norm (m2/uur) werkdagen]],0)</f>
        <v>0</v>
      </c>
      <c r="X689" s="155">
        <f>Ruimtestaat[[#This Row],[uren / jaar werkdagen]]*Tariefsopbouw!$E$35</f>
        <v>0</v>
      </c>
      <c r="Y689" s="33"/>
      <c r="Z689" s="33">
        <f>IF(Ruimtestaat[[#This Row],[Frequentie weekend]]&gt;0,VALUE(LEFT(Y689,1))*R689,0)</f>
        <v>0</v>
      </c>
      <c r="AA689" s="97">
        <f>IF($Z689&gt;0,VLOOKUP($J689,Ruimtegroepen[],3,FALSE)*VLOOKUP($L689,Vloersoorten[],3,FALSE)*VLOOKUP($Y689,Frequenties[],3,FALSE)*VLOOKUP(Ruimtestaat[[#This Row],[Code]],Locaties[],3,FALSE),0)</f>
        <v>0</v>
      </c>
      <c r="AB689" s="97">
        <f>Ruimtestaat[[#This Row],[Uitvoeringen weekend]]*Ruimtestaat[[#This Row],[Oppervlak (netto)]]</f>
        <v>0</v>
      </c>
      <c r="AC689" s="97">
        <f>IF(AA689&gt;0,Ruimtestaat[[#This Row],[Prest. (m2 /jaar) weekend]]/Ruimtestaat[[#This Row],[Norm (m2/uur) weekend]],0)</f>
        <v>0</v>
      </c>
      <c r="AD689" s="155">
        <f>Ruimtestaat[[#This Row],[uren / jaar weekend]]*Tariefsopbouw!$D$40</f>
        <v>0</v>
      </c>
      <c r="AE689" s="154">
        <f>Ruimtestaat[[#This Row],[Prest. (m2 /jaar) weekend]]+Ruimtestaat[[#This Row],[Prest. (m2 /jaar) werkdagen]]</f>
        <v>8400</v>
      </c>
      <c r="AF689" s="154">
        <f>Ruimtestaat[[#This Row],[uren / jaar weekend]]+Ruimtestaat[[#This Row],[uren / jaar werkdagen]]</f>
        <v>0</v>
      </c>
      <c r="AG689" s="69">
        <f>Ruimtestaat[[#This Row],[kosten / jaar weekend]]+Ruimtestaat[[#This Row],[kosten / jaar werkdagen]]</f>
        <v>0</v>
      </c>
      <c r="AH689" s="69"/>
      <c r="AI689" s="256" t="str">
        <f>IF(Ruimtestaat[[#This Row],[Frequentie werkdagen]]="","",_xlfn.CONCAT(Ruimtestaat[[#This Row],[Ruimte code]],"-",Ruimtestaat[[#This Row],[Frequentie werkdagen]]," ",Ruimtestaat[[#This Row],[Vloer code]]))</f>
        <v>6-5w S</v>
      </c>
      <c r="AJ689" s="300" t="str">
        <f>_xlfn.IFNA(VLOOKUP($AI689,Programma!$F$3:$G$1107,2,0),"")</f>
        <v>_</v>
      </c>
      <c r="AK689" s="300" t="str">
        <f>_xlfn.IFNA(VLOOKUP($AI689,Programma!$F$3:$H$1107,3,0),"")</f>
        <v>_</v>
      </c>
      <c r="AL689" s="300" t="str">
        <f>_xlfn.IFNA(VLOOKUP($AI689,Programma!$F$3:$I$1107,4,0),"")</f>
        <v>5w</v>
      </c>
      <c r="AM689" s="300" t="str">
        <f>_xlfn.IFNA(VLOOKUP($AI689,Programma!$F$3:$J$1107,5,0),"")</f>
        <v>_</v>
      </c>
      <c r="AN689" s="300" t="str">
        <f>_xlfn.IFNA(VLOOKUP($AI689,Programma!$F$3:$K$1107,6,0),"")</f>
        <v>5w</v>
      </c>
      <c r="AO689" s="300" t="str">
        <f>_xlfn.IFNA(VLOOKUP($AI689,Programma!$F$3:$L$1107,7,0),"")</f>
        <v>_</v>
      </c>
      <c r="AP689" s="300" t="str">
        <f>_xlfn.IFNA(VLOOKUP($AI689,Programma!$F$3:$M$1107,8,0),"")</f>
        <v>_</v>
      </c>
      <c r="AQ689" s="300" t="str">
        <f>_xlfn.IFNA(VLOOKUP($AI689,Programma!$F$3:$N$1107,9,0),"")</f>
        <v>_</v>
      </c>
      <c r="AR689" s="300" t="str">
        <f>_xlfn.IFNA(VLOOKUP($AI689,Programma!$F$3:$O$1107,10,0),"")</f>
        <v>5w</v>
      </c>
      <c r="AS689" s="300" t="str">
        <f>_xlfn.IFNA(VLOOKUP($AI689,Programma!$F$3:$P$1107,11,0),"")</f>
        <v>5w</v>
      </c>
      <c r="AT689" s="300" t="str">
        <f>_xlfn.IFNA(VLOOKUP($AI689,Programma!$F$3:$Q$1107,12,0),"")</f>
        <v>1w</v>
      </c>
      <c r="AU689" s="300" t="str">
        <f>_xlfn.IFNA(VLOOKUP($AI689,Programma!$F$3:$R$1107,13,0),"")</f>
        <v>1w</v>
      </c>
      <c r="AV689" s="300" t="str">
        <f>_xlfn.IFNA(VLOOKUP($AI689,Programma!$F$3:$S$1107,14,0),"")</f>
        <v>1m</v>
      </c>
      <c r="AW689" s="300" t="str">
        <f>_xlfn.IFNA(VLOOKUP($AI689,Programma!$F$3:$T$1107,15,0),"")</f>
        <v>2j</v>
      </c>
      <c r="AX689" s="300" t="str">
        <f>_xlfn.IFNA(VLOOKUP($AI689,Programma!$F$3:$U$1107,16,0),"")</f>
        <v>1j</v>
      </c>
      <c r="AY689" s="300" t="str">
        <f>_xlfn.IFNA(VLOOKUP($AI689,Programma!$F$3:$V$1107,17,0),"")</f>
        <v>_</v>
      </c>
      <c r="AZ689" s="300" t="str">
        <f>_xlfn.IFNA(VLOOKUP($AI689,Programma!$F$3:$W$1107,18,0),"")</f>
        <v>_</v>
      </c>
      <c r="BA689" s="300" t="str">
        <f>_xlfn.IFNA(VLOOKUP($AI689,Programma!$F$3:$X$1107,19,0),"")</f>
        <v>_</v>
      </c>
      <c r="BB689" s="300" t="str">
        <f>_xlfn.IFNA(VLOOKUP($AI689,Programma!$F$3:$Y$1107,20,0),"")</f>
        <v>_</v>
      </c>
      <c r="BC689" s="257"/>
      <c r="BD689" s="256" t="str">
        <f>IF(Ruimtestaat[[#This Row],[Frequentie weekend]]="","",_xlfn.CONCAT(Ruimtestaat[[#This Row],[Ruimte code]],"-",Ruimtestaat[[#This Row],[Frequentie weekend]]," ",Ruimtestaat[[#This Row],[Vloer code]]))</f>
        <v/>
      </c>
      <c r="BE689" s="300" t="str">
        <f>_xlfn.IFNA(VLOOKUP($BD689,Programma!$F$3:$G$1107,2,0),"")</f>
        <v/>
      </c>
      <c r="BF689" s="300" t="str">
        <f>_xlfn.IFNA(VLOOKUP($BD689,Programma!$F$3:$H$1107,3,0),"")</f>
        <v/>
      </c>
      <c r="BG689" s="300" t="str">
        <f>_xlfn.IFNA(VLOOKUP($BD689,Programma!$F$3:$I$1107,4,0),"")</f>
        <v/>
      </c>
      <c r="BH689" s="300" t="str">
        <f>_xlfn.IFNA(VLOOKUP($BD689,Programma!$F$3:$J$1107,5,0),"")</f>
        <v/>
      </c>
      <c r="BI689" s="300" t="str">
        <f>_xlfn.IFNA(VLOOKUP($BD689,Programma!$F$3:$K$1107,6,0),"")</f>
        <v/>
      </c>
      <c r="BJ689" s="300" t="str">
        <f>_xlfn.IFNA(VLOOKUP($BD689,Programma!$F$3:$L$1107,7,0),"")</f>
        <v/>
      </c>
      <c r="BK689" s="300" t="str">
        <f>_xlfn.IFNA(VLOOKUP($BD689,Programma!$F$3:$M$1107,8,0),"")</f>
        <v/>
      </c>
      <c r="BL689" s="300" t="str">
        <f>_xlfn.IFNA(VLOOKUP($BD689,Programma!$F$3:$N$1107,9,0),"")</f>
        <v/>
      </c>
      <c r="BM689" s="300" t="str">
        <f>_xlfn.IFNA(VLOOKUP($BD689,Programma!$F$3:$O$1107,10,0),"")</f>
        <v/>
      </c>
      <c r="BN689" s="300" t="str">
        <f>_xlfn.IFNA(VLOOKUP($BD689,Programma!$F$3:$P$1107,11,0),"")</f>
        <v/>
      </c>
      <c r="BO689" s="300" t="str">
        <f>_xlfn.IFNA(VLOOKUP($BD689,Programma!$F$3:$Q$1107,12,0),"")</f>
        <v/>
      </c>
      <c r="BP689" s="300" t="str">
        <f>_xlfn.IFNA(VLOOKUP($BD689,Programma!$F$3:$R$1107,13,0),"")</f>
        <v/>
      </c>
      <c r="BQ689" s="300" t="str">
        <f>_xlfn.IFNA(VLOOKUP($BD689,Programma!$F$3:$S$1107,14,0),"")</f>
        <v/>
      </c>
      <c r="BR689" s="300" t="str">
        <f>_xlfn.IFNA(VLOOKUP($BD689,Programma!$F$3:$T$1107,15,0),"")</f>
        <v/>
      </c>
      <c r="BS689" s="300" t="str">
        <f>_xlfn.IFNA(VLOOKUP($BD689,Programma!$F$3:$U$1107,16,0),"")</f>
        <v/>
      </c>
      <c r="BT689" s="300" t="str">
        <f>_xlfn.IFNA(VLOOKUP($BD689,Programma!$F$3:$V$1107,17,0),"")</f>
        <v/>
      </c>
      <c r="BU689" s="300" t="str">
        <f>_xlfn.IFNA(VLOOKUP($BD689,Programma!$F$3:$W$1107,18,0),"")</f>
        <v/>
      </c>
      <c r="BV689" s="300" t="str">
        <f>_xlfn.IFNA(VLOOKUP($BD689,Programma!$F$3:$X$1107,19,0),"")</f>
        <v/>
      </c>
      <c r="BW689" s="300" t="str">
        <f>_xlfn.IFNA(VLOOKUP($BD689,Programma!$F$3:$Y$1107,20,0),"")</f>
        <v/>
      </c>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c r="GK689" s="4"/>
      <c r="GL689" s="4"/>
      <c r="GM689" s="4"/>
      <c r="GN689" s="4"/>
      <c r="GO689" s="4"/>
      <c r="GP689" s="4"/>
      <c r="GQ689" s="4"/>
      <c r="GR689" s="4"/>
      <c r="GS689" s="4"/>
      <c r="GT689" s="4"/>
      <c r="GU689" s="4"/>
      <c r="GV689" s="4"/>
      <c r="GW689" s="4"/>
      <c r="GX689" s="4"/>
      <c r="GY689" s="4"/>
      <c r="GZ689" s="4"/>
      <c r="HA689" s="4"/>
      <c r="HB689" s="4"/>
      <c r="HC689" s="4"/>
      <c r="HD689" s="4"/>
      <c r="HE689" s="4"/>
      <c r="HF689" s="4"/>
      <c r="HG689" s="4"/>
      <c r="HH689" s="4"/>
      <c r="HI689" s="4"/>
      <c r="HJ689" s="4"/>
      <c r="HK689" s="4"/>
      <c r="HL689" s="4"/>
    </row>
    <row r="690" spans="1:220" ht="15" customHeight="1">
      <c r="A690" s="21">
        <v>8</v>
      </c>
      <c r="B690" s="157" t="str">
        <f>VLOOKUP(Ruimtestaat[[#This Row],[Code]],Locaties[[Code]:[Locatie]],2,FALSE)</f>
        <v>Dalton College</v>
      </c>
      <c r="C690" s="157" t="str">
        <f>VLOOKUP(Ruimtestaat[[#This Row],[Code]],Locaties[[#All],[Code]:[Adres]],4,FALSE)</f>
        <v>Loolaan 125</v>
      </c>
      <c r="D690" s="157" t="str">
        <f>VLOOKUP(Ruimtestaat[[#This Row],[Code]],Locaties[[#All],[Code]:[Postcode]],5,FALSE)</f>
        <v xml:space="preserve">2271 TM </v>
      </c>
      <c r="E690" s="157" t="str">
        <f>VLOOKUP(Ruimtestaat[[#This Row],[Code]],Locaties[#All],6,FALSE)</f>
        <v>Voorburg</v>
      </c>
      <c r="F690" s="62"/>
      <c r="G690" s="21" t="s">
        <v>1632</v>
      </c>
      <c r="H690" s="21">
        <v>27</v>
      </c>
      <c r="I690" s="62" t="s">
        <v>2213</v>
      </c>
      <c r="J690" s="21">
        <v>6</v>
      </c>
      <c r="K690" s="62" t="str">
        <f>VLOOKUP(Ruimtestaat[[#This Row],[Ruimte code]],Ruimtegroepen[[#All],[Code]:[Ruimte omschrijving]],2,FALSE)</f>
        <v>Gangen/hallen</v>
      </c>
      <c r="L690" s="33" t="s">
        <v>102</v>
      </c>
      <c r="M690" s="367" t="s">
        <v>2509</v>
      </c>
      <c r="N690" s="140">
        <v>253</v>
      </c>
      <c r="O690" s="140"/>
      <c r="P690" s="125" t="str">
        <f>VLOOKUP(Ruimtestaat[[#This Row],[Ruimte code]],Ruimtegroepen[],4,FALSE)</f>
        <v>Ve</v>
      </c>
      <c r="R690" s="33">
        <v>40</v>
      </c>
      <c r="S690" s="33" t="s">
        <v>2</v>
      </c>
      <c r="T690" s="33">
        <f>IF(R690&gt;0,IF(RIGHT(Ruimtestaat[[#This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90" s="33">
        <f>IF(T690&gt;0,VLOOKUP($J690,Ruimtegroepen[],3,FALSE)*VLOOKUP($L690,Vloersoorten[],3,FALSE)*VLOOKUP($S690,Frequenties[],3,FALSE)*VLOOKUP($A690,Locaties[],3,FALSE),0)</f>
        <v>0</v>
      </c>
      <c r="V690" s="33">
        <f>Ruimtestaat[[#This Row],[Uitvoeringen werkdagen]]*Ruimtestaat[[#This Row],[Oppervlak (netto)]]</f>
        <v>50600</v>
      </c>
      <c r="W690" s="154">
        <f>IF(U690&gt;0,Ruimtestaat[[#This Row],[Prest. (m2 /jaar) werkdagen]]/Ruimtestaat[[#This Row],[Norm (m2/uur) werkdagen]],0)</f>
        <v>0</v>
      </c>
      <c r="X690" s="155">
        <f>Ruimtestaat[[#This Row],[uren / jaar werkdagen]]*Tariefsopbouw!$E$35</f>
        <v>0</v>
      </c>
      <c r="Y690" s="33"/>
      <c r="Z690" s="33">
        <f>IF(Ruimtestaat[[#This Row],[Frequentie weekend]]&gt;0,VALUE(LEFT(Y690,1))*R690,0)</f>
        <v>0</v>
      </c>
      <c r="AA690" s="97">
        <f>IF($Z690&gt;0,VLOOKUP($J690,Ruimtegroepen[],3,FALSE)*VLOOKUP($L690,Vloersoorten[],3,FALSE)*VLOOKUP($Y690,Frequenties[],3,FALSE)*VLOOKUP(Ruimtestaat[[#This Row],[Code]],Locaties[],3,FALSE),0)</f>
        <v>0</v>
      </c>
      <c r="AB690" s="97">
        <f>Ruimtestaat[[#This Row],[Uitvoeringen weekend]]*Ruimtestaat[[#This Row],[Oppervlak (netto)]]</f>
        <v>0</v>
      </c>
      <c r="AC690" s="97">
        <f>IF(AA690&gt;0,Ruimtestaat[[#This Row],[Prest. (m2 /jaar) weekend]]/Ruimtestaat[[#This Row],[Norm (m2/uur) weekend]],0)</f>
        <v>0</v>
      </c>
      <c r="AD690" s="155">
        <f>Ruimtestaat[[#This Row],[uren / jaar weekend]]*Tariefsopbouw!$D$40</f>
        <v>0</v>
      </c>
      <c r="AE690" s="154">
        <f>Ruimtestaat[[#This Row],[Prest. (m2 /jaar) weekend]]+Ruimtestaat[[#This Row],[Prest. (m2 /jaar) werkdagen]]</f>
        <v>50600</v>
      </c>
      <c r="AF690" s="154">
        <f>Ruimtestaat[[#This Row],[uren / jaar weekend]]+Ruimtestaat[[#This Row],[uren / jaar werkdagen]]</f>
        <v>0</v>
      </c>
      <c r="AG690" s="69">
        <f>Ruimtestaat[[#This Row],[kosten / jaar weekend]]+Ruimtestaat[[#This Row],[kosten / jaar werkdagen]]</f>
        <v>0</v>
      </c>
      <c r="AH690" s="69"/>
      <c r="AI690" s="256" t="str">
        <f>IF(Ruimtestaat[[#This Row],[Frequentie werkdagen]]="","",_xlfn.CONCAT(Ruimtestaat[[#This Row],[Ruimte code]],"-",Ruimtestaat[[#This Row],[Frequentie werkdagen]]," ",Ruimtestaat[[#This Row],[Vloer code]]))</f>
        <v>6-5w S</v>
      </c>
      <c r="AJ690" s="300" t="str">
        <f>_xlfn.IFNA(VLOOKUP($AI690,Programma!$F$3:$G$1107,2,0),"")</f>
        <v>_</v>
      </c>
      <c r="AK690" s="300" t="str">
        <f>_xlfn.IFNA(VLOOKUP($AI690,Programma!$F$3:$H$1107,3,0),"")</f>
        <v>_</v>
      </c>
      <c r="AL690" s="300" t="str">
        <f>_xlfn.IFNA(VLOOKUP($AI690,Programma!$F$3:$I$1107,4,0),"")</f>
        <v>5w</v>
      </c>
      <c r="AM690" s="300" t="str">
        <f>_xlfn.IFNA(VLOOKUP($AI690,Programma!$F$3:$J$1107,5,0),"")</f>
        <v>_</v>
      </c>
      <c r="AN690" s="300" t="str">
        <f>_xlfn.IFNA(VLOOKUP($AI690,Programma!$F$3:$K$1107,6,0),"")</f>
        <v>5w</v>
      </c>
      <c r="AO690" s="300" t="str">
        <f>_xlfn.IFNA(VLOOKUP($AI690,Programma!$F$3:$L$1107,7,0),"")</f>
        <v>_</v>
      </c>
      <c r="AP690" s="300" t="str">
        <f>_xlfn.IFNA(VLOOKUP($AI690,Programma!$F$3:$M$1107,8,0),"")</f>
        <v>_</v>
      </c>
      <c r="AQ690" s="300" t="str">
        <f>_xlfn.IFNA(VLOOKUP($AI690,Programma!$F$3:$N$1107,9,0),"")</f>
        <v>_</v>
      </c>
      <c r="AR690" s="300" t="str">
        <f>_xlfn.IFNA(VLOOKUP($AI690,Programma!$F$3:$O$1107,10,0),"")</f>
        <v>5w</v>
      </c>
      <c r="AS690" s="300" t="str">
        <f>_xlfn.IFNA(VLOOKUP($AI690,Programma!$F$3:$P$1107,11,0),"")</f>
        <v>5w</v>
      </c>
      <c r="AT690" s="300" t="str">
        <f>_xlfn.IFNA(VLOOKUP($AI690,Programma!$F$3:$Q$1107,12,0),"")</f>
        <v>1w</v>
      </c>
      <c r="AU690" s="300" t="str">
        <f>_xlfn.IFNA(VLOOKUP($AI690,Programma!$F$3:$R$1107,13,0),"")</f>
        <v>1w</v>
      </c>
      <c r="AV690" s="300" t="str">
        <f>_xlfn.IFNA(VLOOKUP($AI690,Programma!$F$3:$S$1107,14,0),"")</f>
        <v>1m</v>
      </c>
      <c r="AW690" s="300" t="str">
        <f>_xlfn.IFNA(VLOOKUP($AI690,Programma!$F$3:$T$1107,15,0),"")</f>
        <v>2j</v>
      </c>
      <c r="AX690" s="300" t="str">
        <f>_xlfn.IFNA(VLOOKUP($AI690,Programma!$F$3:$U$1107,16,0),"")</f>
        <v>1j</v>
      </c>
      <c r="AY690" s="300" t="str">
        <f>_xlfn.IFNA(VLOOKUP($AI690,Programma!$F$3:$V$1107,17,0),"")</f>
        <v>_</v>
      </c>
      <c r="AZ690" s="300" t="str">
        <f>_xlfn.IFNA(VLOOKUP($AI690,Programma!$F$3:$W$1107,18,0),"")</f>
        <v>_</v>
      </c>
      <c r="BA690" s="300" t="str">
        <f>_xlfn.IFNA(VLOOKUP($AI690,Programma!$F$3:$X$1107,19,0),"")</f>
        <v>_</v>
      </c>
      <c r="BB690" s="300" t="str">
        <f>_xlfn.IFNA(VLOOKUP($AI690,Programma!$F$3:$Y$1107,20,0),"")</f>
        <v>_</v>
      </c>
      <c r="BC690" s="257"/>
      <c r="BD690" s="256" t="str">
        <f>IF(Ruimtestaat[[#This Row],[Frequentie weekend]]="","",_xlfn.CONCAT(Ruimtestaat[[#This Row],[Ruimte code]],"-",Ruimtestaat[[#This Row],[Frequentie weekend]]," ",Ruimtestaat[[#This Row],[Vloer code]]))</f>
        <v/>
      </c>
      <c r="BE690" s="300" t="str">
        <f>_xlfn.IFNA(VLOOKUP($BD690,Programma!$F$3:$G$1107,2,0),"")</f>
        <v/>
      </c>
      <c r="BF690" s="300" t="str">
        <f>_xlfn.IFNA(VLOOKUP($BD690,Programma!$F$3:$H$1107,3,0),"")</f>
        <v/>
      </c>
      <c r="BG690" s="300" t="str">
        <f>_xlfn.IFNA(VLOOKUP($BD690,Programma!$F$3:$I$1107,4,0),"")</f>
        <v/>
      </c>
      <c r="BH690" s="300" t="str">
        <f>_xlfn.IFNA(VLOOKUP($BD690,Programma!$F$3:$J$1107,5,0),"")</f>
        <v/>
      </c>
      <c r="BI690" s="300" t="str">
        <f>_xlfn.IFNA(VLOOKUP($BD690,Programma!$F$3:$K$1107,6,0),"")</f>
        <v/>
      </c>
      <c r="BJ690" s="300" t="str">
        <f>_xlfn.IFNA(VLOOKUP($BD690,Programma!$F$3:$L$1107,7,0),"")</f>
        <v/>
      </c>
      <c r="BK690" s="300" t="str">
        <f>_xlfn.IFNA(VLOOKUP($BD690,Programma!$F$3:$M$1107,8,0),"")</f>
        <v/>
      </c>
      <c r="BL690" s="300" t="str">
        <f>_xlfn.IFNA(VLOOKUP($BD690,Programma!$F$3:$N$1107,9,0),"")</f>
        <v/>
      </c>
      <c r="BM690" s="300" t="str">
        <f>_xlfn.IFNA(VLOOKUP($BD690,Programma!$F$3:$O$1107,10,0),"")</f>
        <v/>
      </c>
      <c r="BN690" s="300" t="str">
        <f>_xlfn.IFNA(VLOOKUP($BD690,Programma!$F$3:$P$1107,11,0),"")</f>
        <v/>
      </c>
      <c r="BO690" s="300" t="str">
        <f>_xlfn.IFNA(VLOOKUP($BD690,Programma!$F$3:$Q$1107,12,0),"")</f>
        <v/>
      </c>
      <c r="BP690" s="300" t="str">
        <f>_xlfn.IFNA(VLOOKUP($BD690,Programma!$F$3:$R$1107,13,0),"")</f>
        <v/>
      </c>
      <c r="BQ690" s="300" t="str">
        <f>_xlfn.IFNA(VLOOKUP($BD690,Programma!$F$3:$S$1107,14,0),"")</f>
        <v/>
      </c>
      <c r="BR690" s="300" t="str">
        <f>_xlfn.IFNA(VLOOKUP($BD690,Programma!$F$3:$T$1107,15,0),"")</f>
        <v/>
      </c>
      <c r="BS690" s="300" t="str">
        <f>_xlfn.IFNA(VLOOKUP($BD690,Programma!$F$3:$U$1107,16,0),"")</f>
        <v/>
      </c>
      <c r="BT690" s="300" t="str">
        <f>_xlfn.IFNA(VLOOKUP($BD690,Programma!$F$3:$V$1107,17,0),"")</f>
        <v/>
      </c>
      <c r="BU690" s="300" t="str">
        <f>_xlfn.IFNA(VLOOKUP($BD690,Programma!$F$3:$W$1107,18,0),"")</f>
        <v/>
      </c>
      <c r="BV690" s="300" t="str">
        <f>_xlfn.IFNA(VLOOKUP($BD690,Programma!$F$3:$X$1107,19,0),"")</f>
        <v/>
      </c>
      <c r="BW690" s="300" t="str">
        <f>_xlfn.IFNA(VLOOKUP($BD690,Programma!$F$3:$Y$1107,20,0),"")</f>
        <v/>
      </c>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c r="GK690" s="4"/>
      <c r="GL690" s="4"/>
      <c r="GM690" s="4"/>
      <c r="GN690" s="4"/>
      <c r="GO690" s="4"/>
      <c r="GP690" s="4"/>
      <c r="GQ690" s="4"/>
      <c r="GR690" s="4"/>
      <c r="GS690" s="4"/>
      <c r="GT690" s="4"/>
      <c r="GU690" s="4"/>
      <c r="GV690" s="4"/>
      <c r="GW690" s="4"/>
      <c r="GX690" s="4"/>
      <c r="GY690" s="4"/>
      <c r="GZ690" s="4"/>
      <c r="HA690" s="4"/>
      <c r="HB690" s="4"/>
      <c r="HC690" s="4"/>
      <c r="HD690" s="4"/>
      <c r="HE690" s="4"/>
      <c r="HF690" s="4"/>
      <c r="HG690" s="4"/>
      <c r="HH690" s="4"/>
      <c r="HI690" s="4"/>
      <c r="HJ690" s="4"/>
      <c r="HK690" s="4"/>
      <c r="HL690" s="4"/>
    </row>
    <row r="691" spans="1:220" ht="15" customHeight="1">
      <c r="A691" s="21">
        <v>8</v>
      </c>
      <c r="B691" s="157" t="str">
        <f>VLOOKUP(Ruimtestaat[[#This Row],[Code]],Locaties[[Code]:[Locatie]],2,FALSE)</f>
        <v>Dalton College</v>
      </c>
      <c r="C691" s="157" t="str">
        <f>VLOOKUP(Ruimtestaat[[#This Row],[Code]],Locaties[[#All],[Code]:[Adres]],4,FALSE)</f>
        <v>Loolaan 125</v>
      </c>
      <c r="D691" s="157" t="str">
        <f>VLOOKUP(Ruimtestaat[[#This Row],[Code]],Locaties[[#All],[Code]:[Postcode]],5,FALSE)</f>
        <v xml:space="preserve">2271 TM </v>
      </c>
      <c r="E691" s="157" t="str">
        <f>VLOOKUP(Ruimtestaat[[#This Row],[Code]],Locaties[#All],6,FALSE)</f>
        <v>Voorburg</v>
      </c>
      <c r="F691" s="62"/>
      <c r="G691" s="21" t="s">
        <v>1632</v>
      </c>
      <c r="H691" s="21">
        <v>28</v>
      </c>
      <c r="I691" s="62" t="s">
        <v>2214</v>
      </c>
      <c r="J691" s="21">
        <v>6</v>
      </c>
      <c r="K691" s="62" t="str">
        <f>VLOOKUP(Ruimtestaat[[#This Row],[Ruimte code]],Ruimtegroepen[[#All],[Code]:[Ruimte omschrijving]],2,FALSE)</f>
        <v>Gangen/hallen</v>
      </c>
      <c r="L691" s="33" t="s">
        <v>102</v>
      </c>
      <c r="M691" s="367" t="s">
        <v>2509</v>
      </c>
      <c r="N691" s="140">
        <v>22</v>
      </c>
      <c r="O691" s="140"/>
      <c r="P691" s="125" t="str">
        <f>VLOOKUP(Ruimtestaat[[#This Row],[Ruimte code]],Ruimtegroepen[],4,FALSE)</f>
        <v>Ve</v>
      </c>
      <c r="R691" s="33">
        <v>40</v>
      </c>
      <c r="S691" s="33" t="s">
        <v>2</v>
      </c>
      <c r="T691" s="33">
        <f>IF(R691&gt;0,IF(RIGHT(Ruimtestaat[[#This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91" s="33">
        <f>IF(T691&gt;0,VLOOKUP($J691,Ruimtegroepen[],3,FALSE)*VLOOKUP($L691,Vloersoorten[],3,FALSE)*VLOOKUP($S691,Frequenties[],3,FALSE)*VLOOKUP($A691,Locaties[],3,FALSE),0)</f>
        <v>0</v>
      </c>
      <c r="V691" s="33">
        <f>Ruimtestaat[[#This Row],[Uitvoeringen werkdagen]]*Ruimtestaat[[#This Row],[Oppervlak (netto)]]</f>
        <v>4400</v>
      </c>
      <c r="W691" s="154">
        <f>IF(U691&gt;0,Ruimtestaat[[#This Row],[Prest. (m2 /jaar) werkdagen]]/Ruimtestaat[[#This Row],[Norm (m2/uur) werkdagen]],0)</f>
        <v>0</v>
      </c>
      <c r="X691" s="155">
        <f>Ruimtestaat[[#This Row],[uren / jaar werkdagen]]*Tariefsopbouw!$E$35</f>
        <v>0</v>
      </c>
      <c r="Y691" s="33"/>
      <c r="Z691" s="33">
        <f>IF(Ruimtestaat[[#This Row],[Frequentie weekend]]&gt;0,VALUE(LEFT(Y691,1))*R691,0)</f>
        <v>0</v>
      </c>
      <c r="AA691" s="97">
        <f>IF($Z691&gt;0,VLOOKUP($J691,Ruimtegroepen[],3,FALSE)*VLOOKUP($L691,Vloersoorten[],3,FALSE)*VLOOKUP($Y691,Frequenties[],3,FALSE)*VLOOKUP(Ruimtestaat[[#This Row],[Code]],Locaties[],3,FALSE),0)</f>
        <v>0</v>
      </c>
      <c r="AB691" s="97">
        <f>Ruimtestaat[[#This Row],[Uitvoeringen weekend]]*Ruimtestaat[[#This Row],[Oppervlak (netto)]]</f>
        <v>0</v>
      </c>
      <c r="AC691" s="97">
        <f>IF(AA691&gt;0,Ruimtestaat[[#This Row],[Prest. (m2 /jaar) weekend]]/Ruimtestaat[[#This Row],[Norm (m2/uur) weekend]],0)</f>
        <v>0</v>
      </c>
      <c r="AD691" s="155">
        <f>Ruimtestaat[[#This Row],[uren / jaar weekend]]*Tariefsopbouw!$D$40</f>
        <v>0</v>
      </c>
      <c r="AE691" s="154">
        <f>Ruimtestaat[[#This Row],[Prest. (m2 /jaar) weekend]]+Ruimtestaat[[#This Row],[Prest. (m2 /jaar) werkdagen]]</f>
        <v>4400</v>
      </c>
      <c r="AF691" s="154">
        <f>Ruimtestaat[[#This Row],[uren / jaar weekend]]+Ruimtestaat[[#This Row],[uren / jaar werkdagen]]</f>
        <v>0</v>
      </c>
      <c r="AG691" s="69">
        <f>Ruimtestaat[[#This Row],[kosten / jaar weekend]]+Ruimtestaat[[#This Row],[kosten / jaar werkdagen]]</f>
        <v>0</v>
      </c>
      <c r="AH691" s="69"/>
      <c r="AI691" s="256" t="str">
        <f>IF(Ruimtestaat[[#This Row],[Frequentie werkdagen]]="","",_xlfn.CONCAT(Ruimtestaat[[#This Row],[Ruimte code]],"-",Ruimtestaat[[#This Row],[Frequentie werkdagen]]," ",Ruimtestaat[[#This Row],[Vloer code]]))</f>
        <v>6-5w S</v>
      </c>
      <c r="AJ691" s="300" t="str">
        <f>_xlfn.IFNA(VLOOKUP($AI691,Programma!$F$3:$G$1107,2,0),"")</f>
        <v>_</v>
      </c>
      <c r="AK691" s="300" t="str">
        <f>_xlfn.IFNA(VLOOKUP($AI691,Programma!$F$3:$H$1107,3,0),"")</f>
        <v>_</v>
      </c>
      <c r="AL691" s="300" t="str">
        <f>_xlfn.IFNA(VLOOKUP($AI691,Programma!$F$3:$I$1107,4,0),"")</f>
        <v>5w</v>
      </c>
      <c r="AM691" s="300" t="str">
        <f>_xlfn.IFNA(VLOOKUP($AI691,Programma!$F$3:$J$1107,5,0),"")</f>
        <v>_</v>
      </c>
      <c r="AN691" s="300" t="str">
        <f>_xlfn.IFNA(VLOOKUP($AI691,Programma!$F$3:$K$1107,6,0),"")</f>
        <v>5w</v>
      </c>
      <c r="AO691" s="300" t="str">
        <f>_xlfn.IFNA(VLOOKUP($AI691,Programma!$F$3:$L$1107,7,0),"")</f>
        <v>_</v>
      </c>
      <c r="AP691" s="300" t="str">
        <f>_xlfn.IFNA(VLOOKUP($AI691,Programma!$F$3:$M$1107,8,0),"")</f>
        <v>_</v>
      </c>
      <c r="AQ691" s="300" t="str">
        <f>_xlfn.IFNA(VLOOKUP($AI691,Programma!$F$3:$N$1107,9,0),"")</f>
        <v>_</v>
      </c>
      <c r="AR691" s="300" t="str">
        <f>_xlfn.IFNA(VLOOKUP($AI691,Programma!$F$3:$O$1107,10,0),"")</f>
        <v>5w</v>
      </c>
      <c r="AS691" s="300" t="str">
        <f>_xlfn.IFNA(VLOOKUP($AI691,Programma!$F$3:$P$1107,11,0),"")</f>
        <v>5w</v>
      </c>
      <c r="AT691" s="300" t="str">
        <f>_xlfn.IFNA(VLOOKUP($AI691,Programma!$F$3:$Q$1107,12,0),"")</f>
        <v>1w</v>
      </c>
      <c r="AU691" s="300" t="str">
        <f>_xlfn.IFNA(VLOOKUP($AI691,Programma!$F$3:$R$1107,13,0),"")</f>
        <v>1w</v>
      </c>
      <c r="AV691" s="300" t="str">
        <f>_xlfn.IFNA(VLOOKUP($AI691,Programma!$F$3:$S$1107,14,0),"")</f>
        <v>1m</v>
      </c>
      <c r="AW691" s="300" t="str">
        <f>_xlfn.IFNA(VLOOKUP($AI691,Programma!$F$3:$T$1107,15,0),"")</f>
        <v>2j</v>
      </c>
      <c r="AX691" s="300" t="str">
        <f>_xlfn.IFNA(VLOOKUP($AI691,Programma!$F$3:$U$1107,16,0),"")</f>
        <v>1j</v>
      </c>
      <c r="AY691" s="300" t="str">
        <f>_xlfn.IFNA(VLOOKUP($AI691,Programma!$F$3:$V$1107,17,0),"")</f>
        <v>_</v>
      </c>
      <c r="AZ691" s="300" t="str">
        <f>_xlfn.IFNA(VLOOKUP($AI691,Programma!$F$3:$W$1107,18,0),"")</f>
        <v>_</v>
      </c>
      <c r="BA691" s="300" t="str">
        <f>_xlfn.IFNA(VLOOKUP($AI691,Programma!$F$3:$X$1107,19,0),"")</f>
        <v>_</v>
      </c>
      <c r="BB691" s="300" t="str">
        <f>_xlfn.IFNA(VLOOKUP($AI691,Programma!$F$3:$Y$1107,20,0),"")</f>
        <v>_</v>
      </c>
      <c r="BC691" s="257"/>
      <c r="BD691" s="256" t="str">
        <f>IF(Ruimtestaat[[#This Row],[Frequentie weekend]]="","",_xlfn.CONCAT(Ruimtestaat[[#This Row],[Ruimte code]],"-",Ruimtestaat[[#This Row],[Frequentie weekend]]," ",Ruimtestaat[[#This Row],[Vloer code]]))</f>
        <v/>
      </c>
      <c r="BE691" s="300" t="str">
        <f>_xlfn.IFNA(VLOOKUP($BD691,Programma!$F$3:$G$1107,2,0),"")</f>
        <v/>
      </c>
      <c r="BF691" s="300" t="str">
        <f>_xlfn.IFNA(VLOOKUP($BD691,Programma!$F$3:$H$1107,3,0),"")</f>
        <v/>
      </c>
      <c r="BG691" s="300" t="str">
        <f>_xlfn.IFNA(VLOOKUP($BD691,Programma!$F$3:$I$1107,4,0),"")</f>
        <v/>
      </c>
      <c r="BH691" s="300" t="str">
        <f>_xlfn.IFNA(VLOOKUP($BD691,Programma!$F$3:$J$1107,5,0),"")</f>
        <v/>
      </c>
      <c r="BI691" s="300" t="str">
        <f>_xlfn.IFNA(VLOOKUP($BD691,Programma!$F$3:$K$1107,6,0),"")</f>
        <v/>
      </c>
      <c r="BJ691" s="300" t="str">
        <f>_xlfn.IFNA(VLOOKUP($BD691,Programma!$F$3:$L$1107,7,0),"")</f>
        <v/>
      </c>
      <c r="BK691" s="300" t="str">
        <f>_xlfn.IFNA(VLOOKUP($BD691,Programma!$F$3:$M$1107,8,0),"")</f>
        <v/>
      </c>
      <c r="BL691" s="300" t="str">
        <f>_xlfn.IFNA(VLOOKUP($BD691,Programma!$F$3:$N$1107,9,0),"")</f>
        <v/>
      </c>
      <c r="BM691" s="300" t="str">
        <f>_xlfn.IFNA(VLOOKUP($BD691,Programma!$F$3:$O$1107,10,0),"")</f>
        <v/>
      </c>
      <c r="BN691" s="300" t="str">
        <f>_xlfn.IFNA(VLOOKUP($BD691,Programma!$F$3:$P$1107,11,0),"")</f>
        <v/>
      </c>
      <c r="BO691" s="300" t="str">
        <f>_xlfn.IFNA(VLOOKUP($BD691,Programma!$F$3:$Q$1107,12,0),"")</f>
        <v/>
      </c>
      <c r="BP691" s="300" t="str">
        <f>_xlfn.IFNA(VLOOKUP($BD691,Programma!$F$3:$R$1107,13,0),"")</f>
        <v/>
      </c>
      <c r="BQ691" s="300" t="str">
        <f>_xlfn.IFNA(VLOOKUP($BD691,Programma!$F$3:$S$1107,14,0),"")</f>
        <v/>
      </c>
      <c r="BR691" s="300" t="str">
        <f>_xlfn.IFNA(VLOOKUP($BD691,Programma!$F$3:$T$1107,15,0),"")</f>
        <v/>
      </c>
      <c r="BS691" s="300" t="str">
        <f>_xlfn.IFNA(VLOOKUP($BD691,Programma!$F$3:$U$1107,16,0),"")</f>
        <v/>
      </c>
      <c r="BT691" s="300" t="str">
        <f>_xlfn.IFNA(VLOOKUP($BD691,Programma!$F$3:$V$1107,17,0),"")</f>
        <v/>
      </c>
      <c r="BU691" s="300" t="str">
        <f>_xlfn.IFNA(VLOOKUP($BD691,Programma!$F$3:$W$1107,18,0),"")</f>
        <v/>
      </c>
      <c r="BV691" s="300" t="str">
        <f>_xlfn.IFNA(VLOOKUP($BD691,Programma!$F$3:$X$1107,19,0),"")</f>
        <v/>
      </c>
      <c r="BW691" s="300" t="str">
        <f>_xlfn.IFNA(VLOOKUP($BD691,Programma!$F$3:$Y$1107,20,0),"")</f>
        <v/>
      </c>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c r="GK691" s="4"/>
      <c r="GL691" s="4"/>
      <c r="GM691" s="4"/>
      <c r="GN691" s="4"/>
      <c r="GO691" s="4"/>
      <c r="GP691" s="4"/>
      <c r="GQ691" s="4"/>
      <c r="GR691" s="4"/>
      <c r="GS691" s="4"/>
      <c r="GT691" s="4"/>
      <c r="GU691" s="4"/>
      <c r="GV691" s="4"/>
      <c r="GW691" s="4"/>
      <c r="GX691" s="4"/>
      <c r="GY691" s="4"/>
      <c r="GZ691" s="4"/>
      <c r="HA691" s="4"/>
      <c r="HB691" s="4"/>
      <c r="HC691" s="4"/>
      <c r="HD691" s="4"/>
      <c r="HE691" s="4"/>
      <c r="HF691" s="4"/>
      <c r="HG691" s="4"/>
      <c r="HH691" s="4"/>
      <c r="HI691" s="4"/>
      <c r="HJ691" s="4"/>
      <c r="HK691" s="4"/>
      <c r="HL691" s="4"/>
    </row>
    <row r="692" spans="1:220" ht="15" customHeight="1">
      <c r="A692" s="21">
        <v>8</v>
      </c>
      <c r="B692" s="157" t="str">
        <f>VLOOKUP(Ruimtestaat[[#This Row],[Code]],Locaties[[Code]:[Locatie]],2,FALSE)</f>
        <v>Dalton College</v>
      </c>
      <c r="C692" s="157" t="str">
        <f>VLOOKUP(Ruimtestaat[[#This Row],[Code]],Locaties[[#All],[Code]:[Adres]],4,FALSE)</f>
        <v>Loolaan 125</v>
      </c>
      <c r="D692" s="157" t="str">
        <f>VLOOKUP(Ruimtestaat[[#This Row],[Code]],Locaties[[#All],[Code]:[Postcode]],5,FALSE)</f>
        <v xml:space="preserve">2271 TM </v>
      </c>
      <c r="E692" s="157" t="str">
        <f>VLOOKUP(Ruimtestaat[[#This Row],[Code]],Locaties[#All],6,FALSE)</f>
        <v>Voorburg</v>
      </c>
      <c r="F692" s="62"/>
      <c r="G692" s="21" t="s">
        <v>1632</v>
      </c>
      <c r="H692" s="21">
        <v>29</v>
      </c>
      <c r="I692" s="62" t="s">
        <v>2215</v>
      </c>
      <c r="J692" s="21">
        <v>5</v>
      </c>
      <c r="K692" s="62" t="str">
        <f>VLOOKUP(Ruimtestaat[[#This Row],[Ruimte code]],Ruimtegroepen[[#All],[Code]:[Ruimte omschrijving]],2,FALSE)</f>
        <v>Sanitair</v>
      </c>
      <c r="L692" s="33" t="s">
        <v>102</v>
      </c>
      <c r="M692" s="367" t="s">
        <v>2509</v>
      </c>
      <c r="N692" s="140">
        <v>29</v>
      </c>
      <c r="O692" s="140"/>
      <c r="P692" s="125" t="str">
        <f>VLOOKUP(Ruimtestaat[[#This Row],[Ruimte code]],Ruimtegroepen[],4,FALSE)</f>
        <v>Sa</v>
      </c>
      <c r="R692" s="33">
        <v>40</v>
      </c>
      <c r="S692" s="33" t="s">
        <v>2</v>
      </c>
      <c r="T692" s="33">
        <f>IF(R692&gt;0,IF(RIGHT(Ruimtestaat[[#This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92" s="33">
        <f>IF(T692&gt;0,VLOOKUP($J692,Ruimtegroepen[],3,FALSE)*VLOOKUP($L692,Vloersoorten[],3,FALSE)*VLOOKUP($S692,Frequenties[],3,FALSE)*VLOOKUP($A692,Locaties[],3,FALSE),0)</f>
        <v>0</v>
      </c>
      <c r="V692" s="33">
        <f>Ruimtestaat[[#This Row],[Uitvoeringen werkdagen]]*Ruimtestaat[[#This Row],[Oppervlak (netto)]]</f>
        <v>5800</v>
      </c>
      <c r="W692" s="154">
        <f>IF(U692&gt;0,Ruimtestaat[[#This Row],[Prest. (m2 /jaar) werkdagen]]/Ruimtestaat[[#This Row],[Norm (m2/uur) werkdagen]],0)</f>
        <v>0</v>
      </c>
      <c r="X692" s="155">
        <f>Ruimtestaat[[#This Row],[uren / jaar werkdagen]]*Tariefsopbouw!$E$35</f>
        <v>0</v>
      </c>
      <c r="Y692" s="33"/>
      <c r="Z692" s="33">
        <f>IF(Ruimtestaat[[#This Row],[Frequentie weekend]]&gt;0,VALUE(LEFT(Y692,1))*R692,0)</f>
        <v>0</v>
      </c>
      <c r="AA692" s="97">
        <f>IF($Z692&gt;0,VLOOKUP($J692,Ruimtegroepen[],3,FALSE)*VLOOKUP($L692,Vloersoorten[],3,FALSE)*VLOOKUP($Y692,Frequenties[],3,FALSE)*VLOOKUP(Ruimtestaat[[#This Row],[Code]],Locaties[],3,FALSE),0)</f>
        <v>0</v>
      </c>
      <c r="AB692" s="97">
        <f>Ruimtestaat[[#This Row],[Uitvoeringen weekend]]*Ruimtestaat[[#This Row],[Oppervlak (netto)]]</f>
        <v>0</v>
      </c>
      <c r="AC692" s="97">
        <f>IF(AA692&gt;0,Ruimtestaat[[#This Row],[Prest. (m2 /jaar) weekend]]/Ruimtestaat[[#This Row],[Norm (m2/uur) weekend]],0)</f>
        <v>0</v>
      </c>
      <c r="AD692" s="155">
        <f>Ruimtestaat[[#This Row],[uren / jaar weekend]]*Tariefsopbouw!$D$40</f>
        <v>0</v>
      </c>
      <c r="AE692" s="154">
        <f>Ruimtestaat[[#This Row],[Prest. (m2 /jaar) weekend]]+Ruimtestaat[[#This Row],[Prest. (m2 /jaar) werkdagen]]</f>
        <v>5800</v>
      </c>
      <c r="AF692" s="154">
        <f>Ruimtestaat[[#This Row],[uren / jaar weekend]]+Ruimtestaat[[#This Row],[uren / jaar werkdagen]]</f>
        <v>0</v>
      </c>
      <c r="AG692" s="69">
        <f>Ruimtestaat[[#This Row],[kosten / jaar weekend]]+Ruimtestaat[[#This Row],[kosten / jaar werkdagen]]</f>
        <v>0</v>
      </c>
      <c r="AH692" s="69"/>
      <c r="AI692" s="256" t="str">
        <f>IF(Ruimtestaat[[#This Row],[Frequentie werkdagen]]="","",_xlfn.CONCAT(Ruimtestaat[[#This Row],[Ruimte code]],"-",Ruimtestaat[[#This Row],[Frequentie werkdagen]]," ",Ruimtestaat[[#This Row],[Vloer code]]))</f>
        <v>5-5w S</v>
      </c>
      <c r="AJ692" s="300" t="str">
        <f>_xlfn.IFNA(VLOOKUP($AI692,Programma!$F$3:$G$1107,2,0),"")</f>
        <v>_</v>
      </c>
      <c r="AK692" s="300" t="str">
        <f>_xlfn.IFNA(VLOOKUP($AI692,Programma!$F$3:$H$1107,3,0),"")</f>
        <v>_</v>
      </c>
      <c r="AL692" s="300" t="str">
        <f>_xlfn.IFNA(VLOOKUP($AI692,Programma!$F$3:$I$1107,4,0),"")</f>
        <v>_</v>
      </c>
      <c r="AM692" s="300" t="str">
        <f>_xlfn.IFNA(VLOOKUP($AI692,Programma!$F$3:$J$1107,5,0),"")</f>
        <v>4w</v>
      </c>
      <c r="AN692" s="300" t="str">
        <f>_xlfn.IFNA(VLOOKUP($AI692,Programma!$F$3:$K$1107,6,0),"")</f>
        <v>1w</v>
      </c>
      <c r="AO692" s="300" t="str">
        <f>_xlfn.IFNA(VLOOKUP($AI692,Programma!$F$3:$L$1107,7,0),"")</f>
        <v>_</v>
      </c>
      <c r="AP692" s="300" t="str">
        <f>_xlfn.IFNA(VLOOKUP($AI692,Programma!$F$3:$M$1107,8,0),"")</f>
        <v>_</v>
      </c>
      <c r="AQ692" s="300" t="str">
        <f>_xlfn.IFNA(VLOOKUP($AI692,Programma!$F$3:$N$1107,9,0),"")</f>
        <v>_</v>
      </c>
      <c r="AR692" s="300" t="str">
        <f>_xlfn.IFNA(VLOOKUP($AI692,Programma!$F$3:$O$1107,10,0),"")</f>
        <v>_</v>
      </c>
      <c r="AS692" s="300" t="str">
        <f>_xlfn.IFNA(VLOOKUP($AI692,Programma!$F$3:$P$1107,11,0),"")</f>
        <v>_</v>
      </c>
      <c r="AT692" s="300" t="str">
        <f>_xlfn.IFNA(VLOOKUP($AI692,Programma!$F$3:$Q$1107,12,0),"")</f>
        <v>_</v>
      </c>
      <c r="AU692" s="300" t="str">
        <f>_xlfn.IFNA(VLOOKUP($AI692,Programma!$F$3:$R$1107,13,0),"")</f>
        <v>_</v>
      </c>
      <c r="AV692" s="300" t="str">
        <f>_xlfn.IFNA(VLOOKUP($AI692,Programma!$F$3:$S$1107,14,0),"")</f>
        <v>_</v>
      </c>
      <c r="AW692" s="300" t="str">
        <f>_xlfn.IFNA(VLOOKUP($AI692,Programma!$F$3:$T$1107,15,0),"")</f>
        <v>_</v>
      </c>
      <c r="AX692" s="300" t="str">
        <f>_xlfn.IFNA(VLOOKUP($AI692,Programma!$F$3:$U$1107,16,0),"")</f>
        <v>_</v>
      </c>
      <c r="AY692" s="300" t="str">
        <f>_xlfn.IFNA(VLOOKUP($AI692,Programma!$F$3:$V$1107,17,0),"")</f>
        <v>_</v>
      </c>
      <c r="AZ692" s="300" t="str">
        <f>_xlfn.IFNA(VLOOKUP($AI692,Programma!$F$3:$W$1107,18,0),"")</f>
        <v>4w</v>
      </c>
      <c r="BA692" s="300" t="str">
        <f>_xlfn.IFNA(VLOOKUP($AI692,Programma!$F$3:$X$1107,19,0),"")</f>
        <v>1w</v>
      </c>
      <c r="BB692" s="300" t="str">
        <f>_xlfn.IFNA(VLOOKUP($AI692,Programma!$F$3:$Y$1107,20,0),"")</f>
        <v>_</v>
      </c>
      <c r="BC692" s="257"/>
      <c r="BD692" s="256" t="str">
        <f>IF(Ruimtestaat[[#This Row],[Frequentie weekend]]="","",_xlfn.CONCAT(Ruimtestaat[[#This Row],[Ruimte code]],"-",Ruimtestaat[[#This Row],[Frequentie weekend]]," ",Ruimtestaat[[#This Row],[Vloer code]]))</f>
        <v/>
      </c>
      <c r="BE692" s="300" t="str">
        <f>_xlfn.IFNA(VLOOKUP($BD692,Programma!$F$3:$G$1107,2,0),"")</f>
        <v/>
      </c>
      <c r="BF692" s="300" t="str">
        <f>_xlfn.IFNA(VLOOKUP($BD692,Programma!$F$3:$H$1107,3,0),"")</f>
        <v/>
      </c>
      <c r="BG692" s="300" t="str">
        <f>_xlfn.IFNA(VLOOKUP($BD692,Programma!$F$3:$I$1107,4,0),"")</f>
        <v/>
      </c>
      <c r="BH692" s="300" t="str">
        <f>_xlfn.IFNA(VLOOKUP($BD692,Programma!$F$3:$J$1107,5,0),"")</f>
        <v/>
      </c>
      <c r="BI692" s="300" t="str">
        <f>_xlfn.IFNA(VLOOKUP($BD692,Programma!$F$3:$K$1107,6,0),"")</f>
        <v/>
      </c>
      <c r="BJ692" s="300" t="str">
        <f>_xlfn.IFNA(VLOOKUP($BD692,Programma!$F$3:$L$1107,7,0),"")</f>
        <v/>
      </c>
      <c r="BK692" s="300" t="str">
        <f>_xlfn.IFNA(VLOOKUP($BD692,Programma!$F$3:$M$1107,8,0),"")</f>
        <v/>
      </c>
      <c r="BL692" s="300" t="str">
        <f>_xlfn.IFNA(VLOOKUP($BD692,Programma!$F$3:$N$1107,9,0),"")</f>
        <v/>
      </c>
      <c r="BM692" s="300" t="str">
        <f>_xlfn.IFNA(VLOOKUP($BD692,Programma!$F$3:$O$1107,10,0),"")</f>
        <v/>
      </c>
      <c r="BN692" s="300" t="str">
        <f>_xlfn.IFNA(VLOOKUP($BD692,Programma!$F$3:$P$1107,11,0),"")</f>
        <v/>
      </c>
      <c r="BO692" s="300" t="str">
        <f>_xlfn.IFNA(VLOOKUP($BD692,Programma!$F$3:$Q$1107,12,0),"")</f>
        <v/>
      </c>
      <c r="BP692" s="300" t="str">
        <f>_xlfn.IFNA(VLOOKUP($BD692,Programma!$F$3:$R$1107,13,0),"")</f>
        <v/>
      </c>
      <c r="BQ692" s="300" t="str">
        <f>_xlfn.IFNA(VLOOKUP($BD692,Programma!$F$3:$S$1107,14,0),"")</f>
        <v/>
      </c>
      <c r="BR692" s="300" t="str">
        <f>_xlfn.IFNA(VLOOKUP($BD692,Programma!$F$3:$T$1107,15,0),"")</f>
        <v/>
      </c>
      <c r="BS692" s="300" t="str">
        <f>_xlfn.IFNA(VLOOKUP($BD692,Programma!$F$3:$U$1107,16,0),"")</f>
        <v/>
      </c>
      <c r="BT692" s="300" t="str">
        <f>_xlfn.IFNA(VLOOKUP($BD692,Programma!$F$3:$V$1107,17,0),"")</f>
        <v/>
      </c>
      <c r="BU692" s="300" t="str">
        <f>_xlfn.IFNA(VLOOKUP($BD692,Programma!$F$3:$W$1107,18,0),"")</f>
        <v/>
      </c>
      <c r="BV692" s="300" t="str">
        <f>_xlfn.IFNA(VLOOKUP($BD692,Programma!$F$3:$X$1107,19,0),"")</f>
        <v/>
      </c>
      <c r="BW692" s="300" t="str">
        <f>_xlfn.IFNA(VLOOKUP($BD692,Programma!$F$3:$Y$1107,20,0),"")</f>
        <v/>
      </c>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c r="GK692" s="4"/>
      <c r="GL692" s="4"/>
      <c r="GM692" s="4"/>
      <c r="GN692" s="4"/>
      <c r="GO692" s="4"/>
      <c r="GP692" s="4"/>
      <c r="GQ692" s="4"/>
      <c r="GR692" s="4"/>
      <c r="GS692" s="4"/>
      <c r="GT692" s="4"/>
      <c r="GU692" s="4"/>
      <c r="GV692" s="4"/>
      <c r="GW692" s="4"/>
      <c r="GX692" s="4"/>
      <c r="GY692" s="4"/>
      <c r="GZ692" s="4"/>
      <c r="HA692" s="4"/>
      <c r="HB692" s="4"/>
      <c r="HC692" s="4"/>
      <c r="HD692" s="4"/>
      <c r="HE692" s="4"/>
      <c r="HF692" s="4"/>
      <c r="HG692" s="4"/>
      <c r="HH692" s="4"/>
      <c r="HI692" s="4"/>
      <c r="HJ692" s="4"/>
      <c r="HK692" s="4"/>
      <c r="HL692" s="4"/>
    </row>
    <row r="693" spans="1:220" ht="15" customHeight="1">
      <c r="A693" s="21">
        <v>8</v>
      </c>
      <c r="B693" s="157" t="str">
        <f>VLOOKUP(Ruimtestaat[[#This Row],[Code]],Locaties[[Code]:[Locatie]],2,FALSE)</f>
        <v>Dalton College</v>
      </c>
      <c r="C693" s="157" t="str">
        <f>VLOOKUP(Ruimtestaat[[#This Row],[Code]],Locaties[[#All],[Code]:[Adres]],4,FALSE)</f>
        <v>Loolaan 125</v>
      </c>
      <c r="D693" s="157" t="str">
        <f>VLOOKUP(Ruimtestaat[[#This Row],[Code]],Locaties[[#All],[Code]:[Postcode]],5,FALSE)</f>
        <v xml:space="preserve">2271 TM </v>
      </c>
      <c r="E693" s="157" t="str">
        <f>VLOOKUP(Ruimtestaat[[#This Row],[Code]],Locaties[#All],6,FALSE)</f>
        <v>Voorburg</v>
      </c>
      <c r="F693" s="62"/>
      <c r="G693" s="21" t="s">
        <v>1632</v>
      </c>
      <c r="H693" s="21">
        <v>30</v>
      </c>
      <c r="I693" s="62" t="s">
        <v>1627</v>
      </c>
      <c r="J693" s="21">
        <v>5</v>
      </c>
      <c r="K693" s="62" t="str">
        <f>VLOOKUP(Ruimtestaat[[#This Row],[Ruimte code]],Ruimtegroepen[[#All],[Code]:[Ruimte omschrijving]],2,FALSE)</f>
        <v>Sanitair</v>
      </c>
      <c r="L693" s="33" t="s">
        <v>102</v>
      </c>
      <c r="M693" s="367" t="s">
        <v>2509</v>
      </c>
      <c r="N693" s="140">
        <v>5</v>
      </c>
      <c r="O693" s="140"/>
      <c r="P693" s="125" t="str">
        <f>VLOOKUP(Ruimtestaat[[#This Row],[Ruimte code]],Ruimtegroepen[],4,FALSE)</f>
        <v>Sa</v>
      </c>
      <c r="R693" s="33">
        <v>40</v>
      </c>
      <c r="S693" s="33" t="s">
        <v>2</v>
      </c>
      <c r="T693" s="33">
        <f>IF(R693&gt;0,IF(RIGHT(Ruimtestaat[[#This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93" s="33">
        <f>IF(T693&gt;0,VLOOKUP($J693,Ruimtegroepen[],3,FALSE)*VLOOKUP($L693,Vloersoorten[],3,FALSE)*VLOOKUP($S693,Frequenties[],3,FALSE)*VLOOKUP($A693,Locaties[],3,FALSE),0)</f>
        <v>0</v>
      </c>
      <c r="V693" s="33">
        <f>Ruimtestaat[[#This Row],[Uitvoeringen werkdagen]]*Ruimtestaat[[#This Row],[Oppervlak (netto)]]</f>
        <v>1000</v>
      </c>
      <c r="W693" s="154">
        <f>IF(U693&gt;0,Ruimtestaat[[#This Row],[Prest. (m2 /jaar) werkdagen]]/Ruimtestaat[[#This Row],[Norm (m2/uur) werkdagen]],0)</f>
        <v>0</v>
      </c>
      <c r="X693" s="155">
        <f>Ruimtestaat[[#This Row],[uren / jaar werkdagen]]*Tariefsopbouw!$E$35</f>
        <v>0</v>
      </c>
      <c r="Y693" s="33"/>
      <c r="Z693" s="33">
        <f>IF(Ruimtestaat[[#This Row],[Frequentie weekend]]&gt;0,VALUE(LEFT(Y693,1))*R693,0)</f>
        <v>0</v>
      </c>
      <c r="AA693" s="97">
        <f>IF($Z693&gt;0,VLOOKUP($J693,Ruimtegroepen[],3,FALSE)*VLOOKUP($L693,Vloersoorten[],3,FALSE)*VLOOKUP($Y693,Frequenties[],3,FALSE)*VLOOKUP(Ruimtestaat[[#This Row],[Code]],Locaties[],3,FALSE),0)</f>
        <v>0</v>
      </c>
      <c r="AB693" s="97">
        <f>Ruimtestaat[[#This Row],[Uitvoeringen weekend]]*Ruimtestaat[[#This Row],[Oppervlak (netto)]]</f>
        <v>0</v>
      </c>
      <c r="AC693" s="97">
        <f>IF(AA693&gt;0,Ruimtestaat[[#This Row],[Prest. (m2 /jaar) weekend]]/Ruimtestaat[[#This Row],[Norm (m2/uur) weekend]],0)</f>
        <v>0</v>
      </c>
      <c r="AD693" s="155">
        <f>Ruimtestaat[[#This Row],[uren / jaar weekend]]*Tariefsopbouw!$D$40</f>
        <v>0</v>
      </c>
      <c r="AE693" s="154">
        <f>Ruimtestaat[[#This Row],[Prest. (m2 /jaar) weekend]]+Ruimtestaat[[#This Row],[Prest. (m2 /jaar) werkdagen]]</f>
        <v>1000</v>
      </c>
      <c r="AF693" s="154">
        <f>Ruimtestaat[[#This Row],[uren / jaar weekend]]+Ruimtestaat[[#This Row],[uren / jaar werkdagen]]</f>
        <v>0</v>
      </c>
      <c r="AG693" s="69">
        <f>Ruimtestaat[[#This Row],[kosten / jaar weekend]]+Ruimtestaat[[#This Row],[kosten / jaar werkdagen]]</f>
        <v>0</v>
      </c>
      <c r="AH693" s="69"/>
      <c r="AI693" s="256" t="str">
        <f>IF(Ruimtestaat[[#This Row],[Frequentie werkdagen]]="","",_xlfn.CONCAT(Ruimtestaat[[#This Row],[Ruimte code]],"-",Ruimtestaat[[#This Row],[Frequentie werkdagen]]," ",Ruimtestaat[[#This Row],[Vloer code]]))</f>
        <v>5-5w S</v>
      </c>
      <c r="AJ693" s="300" t="str">
        <f>_xlfn.IFNA(VLOOKUP($AI693,Programma!$F$3:$G$1107,2,0),"")</f>
        <v>_</v>
      </c>
      <c r="AK693" s="300" t="str">
        <f>_xlfn.IFNA(VLOOKUP($AI693,Programma!$F$3:$H$1107,3,0),"")</f>
        <v>_</v>
      </c>
      <c r="AL693" s="300" t="str">
        <f>_xlfn.IFNA(VLOOKUP($AI693,Programma!$F$3:$I$1107,4,0),"")</f>
        <v>_</v>
      </c>
      <c r="AM693" s="300" t="str">
        <f>_xlfn.IFNA(VLOOKUP($AI693,Programma!$F$3:$J$1107,5,0),"")</f>
        <v>4w</v>
      </c>
      <c r="AN693" s="300" t="str">
        <f>_xlfn.IFNA(VLOOKUP($AI693,Programma!$F$3:$K$1107,6,0),"")</f>
        <v>1w</v>
      </c>
      <c r="AO693" s="300" t="str">
        <f>_xlfn.IFNA(VLOOKUP($AI693,Programma!$F$3:$L$1107,7,0),"")</f>
        <v>_</v>
      </c>
      <c r="AP693" s="300" t="str">
        <f>_xlfn.IFNA(VLOOKUP($AI693,Programma!$F$3:$M$1107,8,0),"")</f>
        <v>_</v>
      </c>
      <c r="AQ693" s="300" t="str">
        <f>_xlfn.IFNA(VLOOKUP($AI693,Programma!$F$3:$N$1107,9,0),"")</f>
        <v>_</v>
      </c>
      <c r="AR693" s="300" t="str">
        <f>_xlfn.IFNA(VLOOKUP($AI693,Programma!$F$3:$O$1107,10,0),"")</f>
        <v>_</v>
      </c>
      <c r="AS693" s="300" t="str">
        <f>_xlfn.IFNA(VLOOKUP($AI693,Programma!$F$3:$P$1107,11,0),"")</f>
        <v>_</v>
      </c>
      <c r="AT693" s="300" t="str">
        <f>_xlfn.IFNA(VLOOKUP($AI693,Programma!$F$3:$Q$1107,12,0),"")</f>
        <v>_</v>
      </c>
      <c r="AU693" s="300" t="str">
        <f>_xlfn.IFNA(VLOOKUP($AI693,Programma!$F$3:$R$1107,13,0),"")</f>
        <v>_</v>
      </c>
      <c r="AV693" s="300" t="str">
        <f>_xlfn.IFNA(VLOOKUP($AI693,Programma!$F$3:$S$1107,14,0),"")</f>
        <v>_</v>
      </c>
      <c r="AW693" s="300" t="str">
        <f>_xlfn.IFNA(VLOOKUP($AI693,Programma!$F$3:$T$1107,15,0),"")</f>
        <v>_</v>
      </c>
      <c r="AX693" s="300" t="str">
        <f>_xlfn.IFNA(VLOOKUP($AI693,Programma!$F$3:$U$1107,16,0),"")</f>
        <v>_</v>
      </c>
      <c r="AY693" s="300" t="str">
        <f>_xlfn.IFNA(VLOOKUP($AI693,Programma!$F$3:$V$1107,17,0),"")</f>
        <v>_</v>
      </c>
      <c r="AZ693" s="300" t="str">
        <f>_xlfn.IFNA(VLOOKUP($AI693,Programma!$F$3:$W$1107,18,0),"")</f>
        <v>4w</v>
      </c>
      <c r="BA693" s="300" t="str">
        <f>_xlfn.IFNA(VLOOKUP($AI693,Programma!$F$3:$X$1107,19,0),"")</f>
        <v>1w</v>
      </c>
      <c r="BB693" s="300" t="str">
        <f>_xlfn.IFNA(VLOOKUP($AI693,Programma!$F$3:$Y$1107,20,0),"")</f>
        <v>_</v>
      </c>
      <c r="BC693" s="257"/>
      <c r="BD693" s="256" t="str">
        <f>IF(Ruimtestaat[[#This Row],[Frequentie weekend]]="","",_xlfn.CONCAT(Ruimtestaat[[#This Row],[Ruimte code]],"-",Ruimtestaat[[#This Row],[Frequentie weekend]]," ",Ruimtestaat[[#This Row],[Vloer code]]))</f>
        <v/>
      </c>
      <c r="BE693" s="300" t="str">
        <f>_xlfn.IFNA(VLOOKUP($BD693,Programma!$F$3:$G$1107,2,0),"")</f>
        <v/>
      </c>
      <c r="BF693" s="300" t="str">
        <f>_xlfn.IFNA(VLOOKUP($BD693,Programma!$F$3:$H$1107,3,0),"")</f>
        <v/>
      </c>
      <c r="BG693" s="300" t="str">
        <f>_xlfn.IFNA(VLOOKUP($BD693,Programma!$F$3:$I$1107,4,0),"")</f>
        <v/>
      </c>
      <c r="BH693" s="300" t="str">
        <f>_xlfn.IFNA(VLOOKUP($BD693,Programma!$F$3:$J$1107,5,0),"")</f>
        <v/>
      </c>
      <c r="BI693" s="300" t="str">
        <f>_xlfn.IFNA(VLOOKUP($BD693,Programma!$F$3:$K$1107,6,0),"")</f>
        <v/>
      </c>
      <c r="BJ693" s="300" t="str">
        <f>_xlfn.IFNA(VLOOKUP($BD693,Programma!$F$3:$L$1107,7,0),"")</f>
        <v/>
      </c>
      <c r="BK693" s="300" t="str">
        <f>_xlfn.IFNA(VLOOKUP($BD693,Programma!$F$3:$M$1107,8,0),"")</f>
        <v/>
      </c>
      <c r="BL693" s="300" t="str">
        <f>_xlfn.IFNA(VLOOKUP($BD693,Programma!$F$3:$N$1107,9,0),"")</f>
        <v/>
      </c>
      <c r="BM693" s="300" t="str">
        <f>_xlfn.IFNA(VLOOKUP($BD693,Programma!$F$3:$O$1107,10,0),"")</f>
        <v/>
      </c>
      <c r="BN693" s="300" t="str">
        <f>_xlfn.IFNA(VLOOKUP($BD693,Programma!$F$3:$P$1107,11,0),"")</f>
        <v/>
      </c>
      <c r="BO693" s="300" t="str">
        <f>_xlfn.IFNA(VLOOKUP($BD693,Programma!$F$3:$Q$1107,12,0),"")</f>
        <v/>
      </c>
      <c r="BP693" s="300" t="str">
        <f>_xlfn.IFNA(VLOOKUP($BD693,Programma!$F$3:$R$1107,13,0),"")</f>
        <v/>
      </c>
      <c r="BQ693" s="300" t="str">
        <f>_xlfn.IFNA(VLOOKUP($BD693,Programma!$F$3:$S$1107,14,0),"")</f>
        <v/>
      </c>
      <c r="BR693" s="300" t="str">
        <f>_xlfn.IFNA(VLOOKUP($BD693,Programma!$F$3:$T$1107,15,0),"")</f>
        <v/>
      </c>
      <c r="BS693" s="300" t="str">
        <f>_xlfn.IFNA(VLOOKUP($BD693,Programma!$F$3:$U$1107,16,0),"")</f>
        <v/>
      </c>
      <c r="BT693" s="300" t="str">
        <f>_xlfn.IFNA(VLOOKUP($BD693,Programma!$F$3:$V$1107,17,0),"")</f>
        <v/>
      </c>
      <c r="BU693" s="300" t="str">
        <f>_xlfn.IFNA(VLOOKUP($BD693,Programma!$F$3:$W$1107,18,0),"")</f>
        <v/>
      </c>
      <c r="BV693" s="300" t="str">
        <f>_xlfn.IFNA(VLOOKUP($BD693,Programma!$F$3:$X$1107,19,0),"")</f>
        <v/>
      </c>
      <c r="BW693" s="300" t="str">
        <f>_xlfn.IFNA(VLOOKUP($BD693,Programma!$F$3:$Y$1107,20,0),"")</f>
        <v/>
      </c>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c r="GK693" s="4"/>
      <c r="GL693" s="4"/>
      <c r="GM693" s="4"/>
      <c r="GN693" s="4"/>
      <c r="GO693" s="4"/>
      <c r="GP693" s="4"/>
      <c r="GQ693" s="4"/>
      <c r="GR693" s="4"/>
      <c r="GS693" s="4"/>
      <c r="GT693" s="4"/>
      <c r="GU693" s="4"/>
      <c r="GV693" s="4"/>
      <c r="GW693" s="4"/>
      <c r="GX693" s="4"/>
      <c r="GY693" s="4"/>
      <c r="GZ693" s="4"/>
      <c r="HA693" s="4"/>
      <c r="HB693" s="4"/>
      <c r="HC693" s="4"/>
      <c r="HD693" s="4"/>
      <c r="HE693" s="4"/>
      <c r="HF693" s="4"/>
      <c r="HG693" s="4"/>
      <c r="HH693" s="4"/>
      <c r="HI693" s="4"/>
      <c r="HJ693" s="4"/>
      <c r="HK693" s="4"/>
      <c r="HL693" s="4"/>
    </row>
    <row r="694" spans="1:220" ht="15" customHeight="1">
      <c r="A694" s="21">
        <v>8</v>
      </c>
      <c r="B694" s="157" t="str">
        <f>VLOOKUP(Ruimtestaat[[#This Row],[Code]],Locaties[[Code]:[Locatie]],2,FALSE)</f>
        <v>Dalton College</v>
      </c>
      <c r="C694" s="157" t="str">
        <f>VLOOKUP(Ruimtestaat[[#This Row],[Code]],Locaties[[#All],[Code]:[Adres]],4,FALSE)</f>
        <v>Loolaan 125</v>
      </c>
      <c r="D694" s="157" t="str">
        <f>VLOOKUP(Ruimtestaat[[#This Row],[Code]],Locaties[[#All],[Code]:[Postcode]],5,FALSE)</f>
        <v xml:space="preserve">2271 TM </v>
      </c>
      <c r="E694" s="157" t="str">
        <f>VLOOKUP(Ruimtestaat[[#This Row],[Code]],Locaties[#All],6,FALSE)</f>
        <v>Voorburg</v>
      </c>
      <c r="F694" s="62"/>
      <c r="G694" s="21" t="s">
        <v>1632</v>
      </c>
      <c r="H694" s="21">
        <v>31</v>
      </c>
      <c r="I694" s="62" t="s">
        <v>2009</v>
      </c>
      <c r="J694" s="21">
        <v>19</v>
      </c>
      <c r="K694" s="62" t="str">
        <f>VLOOKUP(Ruimtestaat[[#This Row],[Ruimte code]],Ruimtegroepen[[#All],[Code]:[Ruimte omschrijving]],2,FALSE)</f>
        <v>kleedruimten</v>
      </c>
      <c r="L694" s="33" t="s">
        <v>102</v>
      </c>
      <c r="M694" s="367" t="s">
        <v>2509</v>
      </c>
      <c r="N694" s="140">
        <v>32</v>
      </c>
      <c r="O694" s="140"/>
      <c r="P694" s="125" t="str">
        <f>VLOOKUP(Ruimtestaat[[#This Row],[Ruimte code]],Ruimtegroepen[],4,FALSE)</f>
        <v>Ve</v>
      </c>
      <c r="R694" s="33">
        <v>40</v>
      </c>
      <c r="S694" s="33" t="s">
        <v>2</v>
      </c>
      <c r="T694" s="33">
        <f>IF(R694&gt;0,IF(RIGHT(Ruimtestaat[[#This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94" s="33">
        <f>IF(T694&gt;0,VLOOKUP($J694,Ruimtegroepen[],3,FALSE)*VLOOKUP($L694,Vloersoorten[],3,FALSE)*VLOOKUP($S694,Frequenties[],3,FALSE)*VLOOKUP($A694,Locaties[],3,FALSE),0)</f>
        <v>0</v>
      </c>
      <c r="V694" s="33">
        <f>Ruimtestaat[[#This Row],[Uitvoeringen werkdagen]]*Ruimtestaat[[#This Row],[Oppervlak (netto)]]</f>
        <v>6400</v>
      </c>
      <c r="W694" s="154">
        <f>IF(U694&gt;0,Ruimtestaat[[#This Row],[Prest. (m2 /jaar) werkdagen]]/Ruimtestaat[[#This Row],[Norm (m2/uur) werkdagen]],0)</f>
        <v>0</v>
      </c>
      <c r="X694" s="155">
        <f>Ruimtestaat[[#This Row],[uren / jaar werkdagen]]*Tariefsopbouw!$E$35</f>
        <v>0</v>
      </c>
      <c r="Y694" s="33"/>
      <c r="Z694" s="33">
        <f>IF(Ruimtestaat[[#This Row],[Frequentie weekend]]&gt;0,VALUE(LEFT(Y694,1))*R694,0)</f>
        <v>0</v>
      </c>
      <c r="AA694" s="97">
        <f>IF($Z694&gt;0,VLOOKUP($J694,Ruimtegroepen[],3,FALSE)*VLOOKUP($L694,Vloersoorten[],3,FALSE)*VLOOKUP($Y694,Frequenties[],3,FALSE)*VLOOKUP(Ruimtestaat[[#This Row],[Code]],Locaties[],3,FALSE),0)</f>
        <v>0</v>
      </c>
      <c r="AB694" s="97">
        <f>Ruimtestaat[[#This Row],[Uitvoeringen weekend]]*Ruimtestaat[[#This Row],[Oppervlak (netto)]]</f>
        <v>0</v>
      </c>
      <c r="AC694" s="97">
        <f>IF(AA694&gt;0,Ruimtestaat[[#This Row],[Prest. (m2 /jaar) weekend]]/Ruimtestaat[[#This Row],[Norm (m2/uur) weekend]],0)</f>
        <v>0</v>
      </c>
      <c r="AD694" s="155">
        <f>Ruimtestaat[[#This Row],[uren / jaar weekend]]*Tariefsopbouw!$D$40</f>
        <v>0</v>
      </c>
      <c r="AE694" s="154">
        <f>Ruimtestaat[[#This Row],[Prest. (m2 /jaar) weekend]]+Ruimtestaat[[#This Row],[Prest. (m2 /jaar) werkdagen]]</f>
        <v>6400</v>
      </c>
      <c r="AF694" s="154">
        <f>Ruimtestaat[[#This Row],[uren / jaar weekend]]+Ruimtestaat[[#This Row],[uren / jaar werkdagen]]</f>
        <v>0</v>
      </c>
      <c r="AG694" s="69">
        <f>Ruimtestaat[[#This Row],[kosten / jaar weekend]]+Ruimtestaat[[#This Row],[kosten / jaar werkdagen]]</f>
        <v>0</v>
      </c>
      <c r="AH694" s="69"/>
      <c r="AI694" s="256" t="str">
        <f>IF(Ruimtestaat[[#This Row],[Frequentie werkdagen]]="","",_xlfn.CONCAT(Ruimtestaat[[#This Row],[Ruimte code]],"-",Ruimtestaat[[#This Row],[Frequentie werkdagen]]," ",Ruimtestaat[[#This Row],[Vloer code]]))</f>
        <v>19-5w S</v>
      </c>
      <c r="AJ694" s="300" t="str">
        <f>_xlfn.IFNA(VLOOKUP($AI694,Programma!$F$3:$G$1107,2,0),"")</f>
        <v>_</v>
      </c>
      <c r="AK694" s="300" t="str">
        <f>_xlfn.IFNA(VLOOKUP($AI694,Programma!$F$3:$H$1107,3,0),"")</f>
        <v>_</v>
      </c>
      <c r="AL694" s="300" t="str">
        <f>_xlfn.IFNA(VLOOKUP($AI694,Programma!$F$3:$I$1107,4,0),"")</f>
        <v>5w</v>
      </c>
      <c r="AM694" s="300" t="str">
        <f>_xlfn.IFNA(VLOOKUP($AI694,Programma!$F$3:$J$1107,5,0),"")</f>
        <v>_</v>
      </c>
      <c r="AN694" s="300" t="str">
        <f>_xlfn.IFNA(VLOOKUP($AI694,Programma!$F$3:$K$1107,6,0),"")</f>
        <v>5w</v>
      </c>
      <c r="AO694" s="300" t="str">
        <f>_xlfn.IFNA(VLOOKUP($AI694,Programma!$F$3:$L$1107,7,0),"")</f>
        <v>_</v>
      </c>
      <c r="AP694" s="300" t="str">
        <f>_xlfn.IFNA(VLOOKUP($AI694,Programma!$F$3:$M$1107,8,0),"")</f>
        <v>_</v>
      </c>
      <c r="AQ694" s="300" t="str">
        <f>_xlfn.IFNA(VLOOKUP($AI694,Programma!$F$3:$N$1107,9,0),"")</f>
        <v>_</v>
      </c>
      <c r="AR694" s="300" t="str">
        <f>_xlfn.IFNA(VLOOKUP($AI694,Programma!$F$3:$O$1107,10,0),"")</f>
        <v>5w</v>
      </c>
      <c r="AS694" s="300" t="str">
        <f>_xlfn.IFNA(VLOOKUP($AI694,Programma!$F$3:$P$1107,11,0),"")</f>
        <v>5w</v>
      </c>
      <c r="AT694" s="300" t="str">
        <f>_xlfn.IFNA(VLOOKUP($AI694,Programma!$F$3:$Q$1107,12,0),"")</f>
        <v>1w</v>
      </c>
      <c r="AU694" s="300" t="str">
        <f>_xlfn.IFNA(VLOOKUP($AI694,Programma!$F$3:$R$1107,13,0),"")</f>
        <v>1w</v>
      </c>
      <c r="AV694" s="300" t="str">
        <f>_xlfn.IFNA(VLOOKUP($AI694,Programma!$F$3:$S$1107,14,0),"")</f>
        <v>1m</v>
      </c>
      <c r="AW694" s="300" t="str">
        <f>_xlfn.IFNA(VLOOKUP($AI694,Programma!$F$3:$T$1107,15,0),"")</f>
        <v>2j</v>
      </c>
      <c r="AX694" s="300" t="str">
        <f>_xlfn.IFNA(VLOOKUP($AI694,Programma!$F$3:$U$1107,16,0),"")</f>
        <v>1j</v>
      </c>
      <c r="AY694" s="300" t="str">
        <f>_xlfn.IFNA(VLOOKUP($AI694,Programma!$F$3:$V$1107,17,0),"")</f>
        <v>_</v>
      </c>
      <c r="AZ694" s="300" t="str">
        <f>_xlfn.IFNA(VLOOKUP($AI694,Programma!$F$3:$W$1107,18,0),"")</f>
        <v>_</v>
      </c>
      <c r="BA694" s="300" t="str">
        <f>_xlfn.IFNA(VLOOKUP($AI694,Programma!$F$3:$X$1107,19,0),"")</f>
        <v>_</v>
      </c>
      <c r="BB694" s="300" t="str">
        <f>_xlfn.IFNA(VLOOKUP($AI694,Programma!$F$3:$Y$1107,20,0),"")</f>
        <v>_</v>
      </c>
      <c r="BC694" s="257"/>
      <c r="BD694" s="256" t="str">
        <f>IF(Ruimtestaat[[#This Row],[Frequentie weekend]]="","",_xlfn.CONCAT(Ruimtestaat[[#This Row],[Ruimte code]],"-",Ruimtestaat[[#This Row],[Frequentie weekend]]," ",Ruimtestaat[[#This Row],[Vloer code]]))</f>
        <v/>
      </c>
      <c r="BE694" s="300" t="str">
        <f>_xlfn.IFNA(VLOOKUP($BD694,Programma!$F$3:$G$1107,2,0),"")</f>
        <v/>
      </c>
      <c r="BF694" s="300" t="str">
        <f>_xlfn.IFNA(VLOOKUP($BD694,Programma!$F$3:$H$1107,3,0),"")</f>
        <v/>
      </c>
      <c r="BG694" s="300" t="str">
        <f>_xlfn.IFNA(VLOOKUP($BD694,Programma!$F$3:$I$1107,4,0),"")</f>
        <v/>
      </c>
      <c r="BH694" s="300" t="str">
        <f>_xlfn.IFNA(VLOOKUP($BD694,Programma!$F$3:$J$1107,5,0),"")</f>
        <v/>
      </c>
      <c r="BI694" s="300" t="str">
        <f>_xlfn.IFNA(VLOOKUP($BD694,Programma!$F$3:$K$1107,6,0),"")</f>
        <v/>
      </c>
      <c r="BJ694" s="300" t="str">
        <f>_xlfn.IFNA(VLOOKUP($BD694,Programma!$F$3:$L$1107,7,0),"")</f>
        <v/>
      </c>
      <c r="BK694" s="300" t="str">
        <f>_xlfn.IFNA(VLOOKUP($BD694,Programma!$F$3:$M$1107,8,0),"")</f>
        <v/>
      </c>
      <c r="BL694" s="300" t="str">
        <f>_xlfn.IFNA(VLOOKUP($BD694,Programma!$F$3:$N$1107,9,0),"")</f>
        <v/>
      </c>
      <c r="BM694" s="300" t="str">
        <f>_xlfn.IFNA(VLOOKUP($BD694,Programma!$F$3:$O$1107,10,0),"")</f>
        <v/>
      </c>
      <c r="BN694" s="300" t="str">
        <f>_xlfn.IFNA(VLOOKUP($BD694,Programma!$F$3:$P$1107,11,0),"")</f>
        <v/>
      </c>
      <c r="BO694" s="300" t="str">
        <f>_xlfn.IFNA(VLOOKUP($BD694,Programma!$F$3:$Q$1107,12,0),"")</f>
        <v/>
      </c>
      <c r="BP694" s="300" t="str">
        <f>_xlfn.IFNA(VLOOKUP($BD694,Programma!$F$3:$R$1107,13,0),"")</f>
        <v/>
      </c>
      <c r="BQ694" s="300" t="str">
        <f>_xlfn.IFNA(VLOOKUP($BD694,Programma!$F$3:$S$1107,14,0),"")</f>
        <v/>
      </c>
      <c r="BR694" s="300" t="str">
        <f>_xlfn.IFNA(VLOOKUP($BD694,Programma!$F$3:$T$1107,15,0),"")</f>
        <v/>
      </c>
      <c r="BS694" s="300" t="str">
        <f>_xlfn.IFNA(VLOOKUP($BD694,Programma!$F$3:$U$1107,16,0),"")</f>
        <v/>
      </c>
      <c r="BT694" s="300" t="str">
        <f>_xlfn.IFNA(VLOOKUP($BD694,Programma!$F$3:$V$1107,17,0),"")</f>
        <v/>
      </c>
      <c r="BU694" s="300" t="str">
        <f>_xlfn.IFNA(VLOOKUP($BD694,Programma!$F$3:$W$1107,18,0),"")</f>
        <v/>
      </c>
      <c r="BV694" s="300" t="str">
        <f>_xlfn.IFNA(VLOOKUP($BD694,Programma!$F$3:$X$1107,19,0),"")</f>
        <v/>
      </c>
      <c r="BW694" s="300" t="str">
        <f>_xlfn.IFNA(VLOOKUP($BD694,Programma!$F$3:$Y$1107,20,0),"")</f>
        <v/>
      </c>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c r="GK694" s="4"/>
      <c r="GL694" s="4"/>
      <c r="GM694" s="4"/>
      <c r="GN694" s="4"/>
      <c r="GO694" s="4"/>
      <c r="GP694" s="4"/>
      <c r="GQ694" s="4"/>
      <c r="GR694" s="4"/>
      <c r="GS694" s="4"/>
      <c r="GT694" s="4"/>
      <c r="GU694" s="4"/>
      <c r="GV694" s="4"/>
      <c r="GW694" s="4"/>
      <c r="GX694" s="4"/>
      <c r="GY694" s="4"/>
      <c r="GZ694" s="4"/>
      <c r="HA694" s="4"/>
      <c r="HB694" s="4"/>
      <c r="HC694" s="4"/>
      <c r="HD694" s="4"/>
      <c r="HE694" s="4"/>
      <c r="HF694" s="4"/>
      <c r="HG694" s="4"/>
      <c r="HH694" s="4"/>
      <c r="HI694" s="4"/>
      <c r="HJ694" s="4"/>
      <c r="HK694" s="4"/>
      <c r="HL694" s="4"/>
    </row>
    <row r="695" spans="1:220" ht="15" customHeight="1">
      <c r="A695" s="21">
        <v>8</v>
      </c>
      <c r="B695" s="157" t="str">
        <f>VLOOKUP(Ruimtestaat[[#This Row],[Code]],Locaties[[Code]:[Locatie]],2,FALSE)</f>
        <v>Dalton College</v>
      </c>
      <c r="C695" s="157" t="str">
        <f>VLOOKUP(Ruimtestaat[[#This Row],[Code]],Locaties[[#All],[Code]:[Adres]],4,FALSE)</f>
        <v>Loolaan 125</v>
      </c>
      <c r="D695" s="157" t="str">
        <f>VLOOKUP(Ruimtestaat[[#This Row],[Code]],Locaties[[#All],[Code]:[Postcode]],5,FALSE)</f>
        <v xml:space="preserve">2271 TM </v>
      </c>
      <c r="E695" s="157" t="str">
        <f>VLOOKUP(Ruimtestaat[[#This Row],[Code]],Locaties[#All],6,FALSE)</f>
        <v>Voorburg</v>
      </c>
      <c r="F695" s="62"/>
      <c r="G695" s="21" t="s">
        <v>1632</v>
      </c>
      <c r="H695" s="21">
        <v>32</v>
      </c>
      <c r="I695" s="62" t="s">
        <v>2008</v>
      </c>
      <c r="J695" s="21">
        <v>19</v>
      </c>
      <c r="K695" s="62" t="str">
        <f>VLOOKUP(Ruimtestaat[[#This Row],[Ruimte code]],Ruimtegroepen[[#All],[Code]:[Ruimte omschrijving]],2,FALSE)</f>
        <v>kleedruimten</v>
      </c>
      <c r="L695" s="33" t="s">
        <v>102</v>
      </c>
      <c r="M695" s="367" t="s">
        <v>2509</v>
      </c>
      <c r="N695" s="140">
        <v>27</v>
      </c>
      <c r="O695" s="140"/>
      <c r="P695" s="125" t="str">
        <f>VLOOKUP(Ruimtestaat[[#This Row],[Ruimte code]],Ruimtegroepen[],4,FALSE)</f>
        <v>Ve</v>
      </c>
      <c r="R695" s="33">
        <v>40</v>
      </c>
      <c r="S695" s="33" t="s">
        <v>2</v>
      </c>
      <c r="T695" s="33">
        <f>IF(R695&gt;0,IF(RIGHT(Ruimtestaat[[#This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95" s="33">
        <f>IF(T695&gt;0,VLOOKUP($J695,Ruimtegroepen[],3,FALSE)*VLOOKUP($L695,Vloersoorten[],3,FALSE)*VLOOKUP($S695,Frequenties[],3,FALSE)*VLOOKUP($A695,Locaties[],3,FALSE),0)</f>
        <v>0</v>
      </c>
      <c r="V695" s="33">
        <f>Ruimtestaat[[#This Row],[Uitvoeringen werkdagen]]*Ruimtestaat[[#This Row],[Oppervlak (netto)]]</f>
        <v>5400</v>
      </c>
      <c r="W695" s="154">
        <f>IF(U695&gt;0,Ruimtestaat[[#This Row],[Prest. (m2 /jaar) werkdagen]]/Ruimtestaat[[#This Row],[Norm (m2/uur) werkdagen]],0)</f>
        <v>0</v>
      </c>
      <c r="X695" s="155">
        <f>Ruimtestaat[[#This Row],[uren / jaar werkdagen]]*Tariefsopbouw!$E$35</f>
        <v>0</v>
      </c>
      <c r="Y695" s="33"/>
      <c r="Z695" s="33">
        <f>IF(Ruimtestaat[[#This Row],[Frequentie weekend]]&gt;0,VALUE(LEFT(Y695,1))*R695,0)</f>
        <v>0</v>
      </c>
      <c r="AA695" s="97">
        <f>IF($Z695&gt;0,VLOOKUP($J695,Ruimtegroepen[],3,FALSE)*VLOOKUP($L695,Vloersoorten[],3,FALSE)*VLOOKUP($Y695,Frequenties[],3,FALSE)*VLOOKUP(Ruimtestaat[[#This Row],[Code]],Locaties[],3,FALSE),0)</f>
        <v>0</v>
      </c>
      <c r="AB695" s="97">
        <f>Ruimtestaat[[#This Row],[Uitvoeringen weekend]]*Ruimtestaat[[#This Row],[Oppervlak (netto)]]</f>
        <v>0</v>
      </c>
      <c r="AC695" s="97">
        <f>IF(AA695&gt;0,Ruimtestaat[[#This Row],[Prest. (m2 /jaar) weekend]]/Ruimtestaat[[#This Row],[Norm (m2/uur) weekend]],0)</f>
        <v>0</v>
      </c>
      <c r="AD695" s="155">
        <f>Ruimtestaat[[#This Row],[uren / jaar weekend]]*Tariefsopbouw!$D$40</f>
        <v>0</v>
      </c>
      <c r="AE695" s="154">
        <f>Ruimtestaat[[#This Row],[Prest. (m2 /jaar) weekend]]+Ruimtestaat[[#This Row],[Prest. (m2 /jaar) werkdagen]]</f>
        <v>5400</v>
      </c>
      <c r="AF695" s="154">
        <f>Ruimtestaat[[#This Row],[uren / jaar weekend]]+Ruimtestaat[[#This Row],[uren / jaar werkdagen]]</f>
        <v>0</v>
      </c>
      <c r="AG695" s="69">
        <f>Ruimtestaat[[#This Row],[kosten / jaar weekend]]+Ruimtestaat[[#This Row],[kosten / jaar werkdagen]]</f>
        <v>0</v>
      </c>
      <c r="AH695" s="69"/>
      <c r="AI695" s="256" t="str">
        <f>IF(Ruimtestaat[[#This Row],[Frequentie werkdagen]]="","",_xlfn.CONCAT(Ruimtestaat[[#This Row],[Ruimte code]],"-",Ruimtestaat[[#This Row],[Frequentie werkdagen]]," ",Ruimtestaat[[#This Row],[Vloer code]]))</f>
        <v>19-5w S</v>
      </c>
      <c r="AJ695" s="300" t="str">
        <f>_xlfn.IFNA(VLOOKUP($AI695,Programma!$F$3:$G$1107,2,0),"")</f>
        <v>_</v>
      </c>
      <c r="AK695" s="300" t="str">
        <f>_xlfn.IFNA(VLOOKUP($AI695,Programma!$F$3:$H$1107,3,0),"")</f>
        <v>_</v>
      </c>
      <c r="AL695" s="300" t="str">
        <f>_xlfn.IFNA(VLOOKUP($AI695,Programma!$F$3:$I$1107,4,0),"")</f>
        <v>5w</v>
      </c>
      <c r="AM695" s="300" t="str">
        <f>_xlfn.IFNA(VLOOKUP($AI695,Programma!$F$3:$J$1107,5,0),"")</f>
        <v>_</v>
      </c>
      <c r="AN695" s="300" t="str">
        <f>_xlfn.IFNA(VLOOKUP($AI695,Programma!$F$3:$K$1107,6,0),"")</f>
        <v>5w</v>
      </c>
      <c r="AO695" s="300" t="str">
        <f>_xlfn.IFNA(VLOOKUP($AI695,Programma!$F$3:$L$1107,7,0),"")</f>
        <v>_</v>
      </c>
      <c r="AP695" s="300" t="str">
        <f>_xlfn.IFNA(VLOOKUP($AI695,Programma!$F$3:$M$1107,8,0),"")</f>
        <v>_</v>
      </c>
      <c r="AQ695" s="300" t="str">
        <f>_xlfn.IFNA(VLOOKUP($AI695,Programma!$F$3:$N$1107,9,0),"")</f>
        <v>_</v>
      </c>
      <c r="AR695" s="300" t="str">
        <f>_xlfn.IFNA(VLOOKUP($AI695,Programma!$F$3:$O$1107,10,0),"")</f>
        <v>5w</v>
      </c>
      <c r="AS695" s="300" t="str">
        <f>_xlfn.IFNA(VLOOKUP($AI695,Programma!$F$3:$P$1107,11,0),"")</f>
        <v>5w</v>
      </c>
      <c r="AT695" s="300" t="str">
        <f>_xlfn.IFNA(VLOOKUP($AI695,Programma!$F$3:$Q$1107,12,0),"")</f>
        <v>1w</v>
      </c>
      <c r="AU695" s="300" t="str">
        <f>_xlfn.IFNA(VLOOKUP($AI695,Programma!$F$3:$R$1107,13,0),"")</f>
        <v>1w</v>
      </c>
      <c r="AV695" s="300" t="str">
        <f>_xlfn.IFNA(VLOOKUP($AI695,Programma!$F$3:$S$1107,14,0),"")</f>
        <v>1m</v>
      </c>
      <c r="AW695" s="300" t="str">
        <f>_xlfn.IFNA(VLOOKUP($AI695,Programma!$F$3:$T$1107,15,0),"")</f>
        <v>2j</v>
      </c>
      <c r="AX695" s="300" t="str">
        <f>_xlfn.IFNA(VLOOKUP($AI695,Programma!$F$3:$U$1107,16,0),"")</f>
        <v>1j</v>
      </c>
      <c r="AY695" s="300" t="str">
        <f>_xlfn.IFNA(VLOOKUP($AI695,Programma!$F$3:$V$1107,17,0),"")</f>
        <v>_</v>
      </c>
      <c r="AZ695" s="300" t="str">
        <f>_xlfn.IFNA(VLOOKUP($AI695,Programma!$F$3:$W$1107,18,0),"")</f>
        <v>_</v>
      </c>
      <c r="BA695" s="300" t="str">
        <f>_xlfn.IFNA(VLOOKUP($AI695,Programma!$F$3:$X$1107,19,0),"")</f>
        <v>_</v>
      </c>
      <c r="BB695" s="300" t="str">
        <f>_xlfn.IFNA(VLOOKUP($AI695,Programma!$F$3:$Y$1107,20,0),"")</f>
        <v>_</v>
      </c>
      <c r="BC695" s="257"/>
      <c r="BD695" s="256" t="str">
        <f>IF(Ruimtestaat[[#This Row],[Frequentie weekend]]="","",_xlfn.CONCAT(Ruimtestaat[[#This Row],[Ruimte code]],"-",Ruimtestaat[[#This Row],[Frequentie weekend]]," ",Ruimtestaat[[#This Row],[Vloer code]]))</f>
        <v/>
      </c>
      <c r="BE695" s="300" t="str">
        <f>_xlfn.IFNA(VLOOKUP($BD695,Programma!$F$3:$G$1107,2,0),"")</f>
        <v/>
      </c>
      <c r="BF695" s="300" t="str">
        <f>_xlfn.IFNA(VLOOKUP($BD695,Programma!$F$3:$H$1107,3,0),"")</f>
        <v/>
      </c>
      <c r="BG695" s="300" t="str">
        <f>_xlfn.IFNA(VLOOKUP($BD695,Programma!$F$3:$I$1107,4,0),"")</f>
        <v/>
      </c>
      <c r="BH695" s="300" t="str">
        <f>_xlfn.IFNA(VLOOKUP($BD695,Programma!$F$3:$J$1107,5,0),"")</f>
        <v/>
      </c>
      <c r="BI695" s="300" t="str">
        <f>_xlfn.IFNA(VLOOKUP($BD695,Programma!$F$3:$K$1107,6,0),"")</f>
        <v/>
      </c>
      <c r="BJ695" s="300" t="str">
        <f>_xlfn.IFNA(VLOOKUP($BD695,Programma!$F$3:$L$1107,7,0),"")</f>
        <v/>
      </c>
      <c r="BK695" s="300" t="str">
        <f>_xlfn.IFNA(VLOOKUP($BD695,Programma!$F$3:$M$1107,8,0),"")</f>
        <v/>
      </c>
      <c r="BL695" s="300" t="str">
        <f>_xlfn.IFNA(VLOOKUP($BD695,Programma!$F$3:$N$1107,9,0),"")</f>
        <v/>
      </c>
      <c r="BM695" s="300" t="str">
        <f>_xlfn.IFNA(VLOOKUP($BD695,Programma!$F$3:$O$1107,10,0),"")</f>
        <v/>
      </c>
      <c r="BN695" s="300" t="str">
        <f>_xlfn.IFNA(VLOOKUP($BD695,Programma!$F$3:$P$1107,11,0),"")</f>
        <v/>
      </c>
      <c r="BO695" s="300" t="str">
        <f>_xlfn.IFNA(VLOOKUP($BD695,Programma!$F$3:$Q$1107,12,0),"")</f>
        <v/>
      </c>
      <c r="BP695" s="300" t="str">
        <f>_xlfn.IFNA(VLOOKUP($BD695,Programma!$F$3:$R$1107,13,0),"")</f>
        <v/>
      </c>
      <c r="BQ695" s="300" t="str">
        <f>_xlfn.IFNA(VLOOKUP($BD695,Programma!$F$3:$S$1107,14,0),"")</f>
        <v/>
      </c>
      <c r="BR695" s="300" t="str">
        <f>_xlfn.IFNA(VLOOKUP($BD695,Programma!$F$3:$T$1107,15,0),"")</f>
        <v/>
      </c>
      <c r="BS695" s="300" t="str">
        <f>_xlfn.IFNA(VLOOKUP($BD695,Programma!$F$3:$U$1107,16,0),"")</f>
        <v/>
      </c>
      <c r="BT695" s="300" t="str">
        <f>_xlfn.IFNA(VLOOKUP($BD695,Programma!$F$3:$V$1107,17,0),"")</f>
        <v/>
      </c>
      <c r="BU695" s="300" t="str">
        <f>_xlfn.IFNA(VLOOKUP($BD695,Programma!$F$3:$W$1107,18,0),"")</f>
        <v/>
      </c>
      <c r="BV695" s="300" t="str">
        <f>_xlfn.IFNA(VLOOKUP($BD695,Programma!$F$3:$X$1107,19,0),"")</f>
        <v/>
      </c>
      <c r="BW695" s="300" t="str">
        <f>_xlfn.IFNA(VLOOKUP($BD695,Programma!$F$3:$Y$1107,20,0),"")</f>
        <v/>
      </c>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c r="GK695" s="4"/>
      <c r="GL695" s="4"/>
      <c r="GM695" s="4"/>
      <c r="GN695" s="4"/>
      <c r="GO695" s="4"/>
      <c r="GP695" s="4"/>
      <c r="GQ695" s="4"/>
      <c r="GR695" s="4"/>
      <c r="GS695" s="4"/>
      <c r="GT695" s="4"/>
      <c r="GU695" s="4"/>
      <c r="GV695" s="4"/>
      <c r="GW695" s="4"/>
      <c r="GX695" s="4"/>
      <c r="GY695" s="4"/>
      <c r="GZ695" s="4"/>
      <c r="HA695" s="4"/>
      <c r="HB695" s="4"/>
      <c r="HC695" s="4"/>
      <c r="HD695" s="4"/>
      <c r="HE695" s="4"/>
      <c r="HF695" s="4"/>
      <c r="HG695" s="4"/>
      <c r="HH695" s="4"/>
      <c r="HI695" s="4"/>
      <c r="HJ695" s="4"/>
      <c r="HK695" s="4"/>
      <c r="HL695" s="4"/>
    </row>
    <row r="696" spans="1:220" ht="15" customHeight="1">
      <c r="A696" s="21">
        <v>8</v>
      </c>
      <c r="B696" s="157" t="str">
        <f>VLOOKUP(Ruimtestaat[[#This Row],[Code]],Locaties[[Code]:[Locatie]],2,FALSE)</f>
        <v>Dalton College</v>
      </c>
      <c r="C696" s="157" t="str">
        <f>VLOOKUP(Ruimtestaat[[#This Row],[Code]],Locaties[[#All],[Code]:[Adres]],4,FALSE)</f>
        <v>Loolaan 125</v>
      </c>
      <c r="D696" s="157" t="str">
        <f>VLOOKUP(Ruimtestaat[[#This Row],[Code]],Locaties[[#All],[Code]:[Postcode]],5,FALSE)</f>
        <v xml:space="preserve">2271 TM </v>
      </c>
      <c r="E696" s="157" t="str">
        <f>VLOOKUP(Ruimtestaat[[#This Row],[Code]],Locaties[#All],6,FALSE)</f>
        <v>Voorburg</v>
      </c>
      <c r="F696" s="62"/>
      <c r="G696" s="21" t="s">
        <v>1632</v>
      </c>
      <c r="H696" s="21">
        <v>33</v>
      </c>
      <c r="I696" s="62" t="s">
        <v>2216</v>
      </c>
      <c r="J696" s="21">
        <v>2</v>
      </c>
      <c r="K696" s="62" t="str">
        <f>VLOOKUP(Ruimtestaat[[#This Row],[Ruimte code]],Ruimtegroepen[[#All],[Code]:[Ruimte omschrijving]],2,FALSE)</f>
        <v>Kantoren</v>
      </c>
      <c r="L696" s="33" t="s">
        <v>102</v>
      </c>
      <c r="M696" s="367" t="s">
        <v>2509</v>
      </c>
      <c r="N696" s="140">
        <v>3</v>
      </c>
      <c r="O696" s="140"/>
      <c r="P696" s="125" t="str">
        <f>VLOOKUP(Ruimtestaat[[#This Row],[Ruimte code]],Ruimtegroepen[],4,FALSE)</f>
        <v>Bu</v>
      </c>
      <c r="R696" s="33">
        <v>42</v>
      </c>
      <c r="S696" s="33" t="s">
        <v>18</v>
      </c>
      <c r="T696" s="33">
        <f>IF(R696&gt;0,IF(RIGHT(Ruimtestaat[[#This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96" s="33">
        <f>IF(T696&gt;0,VLOOKUP($J696,Ruimtegroepen[],3,FALSE)*VLOOKUP($L696,Vloersoorten[],3,FALSE)*VLOOKUP($S696,Frequenties[],3,FALSE)*VLOOKUP($A696,Locaties[],3,FALSE),0)</f>
        <v>0</v>
      </c>
      <c r="V696" s="33">
        <f>Ruimtestaat[[#This Row],[Uitvoeringen werkdagen]]*Ruimtestaat[[#This Row],[Oppervlak (netto)]]</f>
        <v>378</v>
      </c>
      <c r="W696" s="154">
        <f>IF(U696&gt;0,Ruimtestaat[[#This Row],[Prest. (m2 /jaar) werkdagen]]/Ruimtestaat[[#This Row],[Norm (m2/uur) werkdagen]],0)</f>
        <v>0</v>
      </c>
      <c r="X696" s="155">
        <f>Ruimtestaat[[#This Row],[uren / jaar werkdagen]]*Tariefsopbouw!$E$35</f>
        <v>0</v>
      </c>
      <c r="Y696" s="33"/>
      <c r="Z696" s="33">
        <f>IF(Ruimtestaat[[#This Row],[Frequentie weekend]]&gt;0,VALUE(LEFT(Y696,1))*R696,0)</f>
        <v>0</v>
      </c>
      <c r="AA696" s="97">
        <f>IF($Z696&gt;0,VLOOKUP($J696,Ruimtegroepen[],3,FALSE)*VLOOKUP($L696,Vloersoorten[],3,FALSE)*VLOOKUP($Y696,Frequenties[],3,FALSE)*VLOOKUP(Ruimtestaat[[#This Row],[Code]],Locaties[],3,FALSE),0)</f>
        <v>0</v>
      </c>
      <c r="AB696" s="97">
        <f>Ruimtestaat[[#This Row],[Uitvoeringen weekend]]*Ruimtestaat[[#This Row],[Oppervlak (netto)]]</f>
        <v>0</v>
      </c>
      <c r="AC696" s="97">
        <f>IF(AA696&gt;0,Ruimtestaat[[#This Row],[Prest. (m2 /jaar) weekend]]/Ruimtestaat[[#This Row],[Norm (m2/uur) weekend]],0)</f>
        <v>0</v>
      </c>
      <c r="AD696" s="155">
        <f>Ruimtestaat[[#This Row],[uren / jaar weekend]]*Tariefsopbouw!$D$40</f>
        <v>0</v>
      </c>
      <c r="AE696" s="154">
        <f>Ruimtestaat[[#This Row],[Prest. (m2 /jaar) weekend]]+Ruimtestaat[[#This Row],[Prest. (m2 /jaar) werkdagen]]</f>
        <v>378</v>
      </c>
      <c r="AF696" s="154">
        <f>Ruimtestaat[[#This Row],[uren / jaar weekend]]+Ruimtestaat[[#This Row],[uren / jaar werkdagen]]</f>
        <v>0</v>
      </c>
      <c r="AG696" s="69">
        <f>Ruimtestaat[[#This Row],[kosten / jaar weekend]]+Ruimtestaat[[#This Row],[kosten / jaar werkdagen]]</f>
        <v>0</v>
      </c>
      <c r="AH696" s="69"/>
      <c r="AI696" s="256" t="str">
        <f>IF(Ruimtestaat[[#This Row],[Frequentie werkdagen]]="","",_xlfn.CONCAT(Ruimtestaat[[#This Row],[Ruimte code]],"-",Ruimtestaat[[#This Row],[Frequentie werkdagen]]," ",Ruimtestaat[[#This Row],[Vloer code]]))</f>
        <v>2-3w S</v>
      </c>
      <c r="AJ696" s="300" t="str">
        <f>_xlfn.IFNA(VLOOKUP($AI696,Programma!$F$3:$G$1107,2,0),"")</f>
        <v>_</v>
      </c>
      <c r="AK696" s="300" t="str">
        <f>_xlfn.IFNA(VLOOKUP($AI696,Programma!$F$3:$H$1107,3,0),"")</f>
        <v>_</v>
      </c>
      <c r="AL696" s="300" t="str">
        <f>_xlfn.IFNA(VLOOKUP($AI696,Programma!$F$3:$I$1107,4,0),"")</f>
        <v>2w</v>
      </c>
      <c r="AM696" s="300" t="str">
        <f>_xlfn.IFNA(VLOOKUP($AI696,Programma!$F$3:$J$1107,5,0),"")</f>
        <v>1w</v>
      </c>
      <c r="AN696" s="300" t="str">
        <f>_xlfn.IFNA(VLOOKUP($AI696,Programma!$F$3:$K$1107,6,0),"")</f>
        <v>1j</v>
      </c>
      <c r="AO696" s="300" t="str">
        <f>_xlfn.IFNA(VLOOKUP($AI696,Programma!$F$3:$L$1107,7,0),"")</f>
        <v>_</v>
      </c>
      <c r="AP696" s="300" t="str">
        <f>_xlfn.IFNA(VLOOKUP($AI696,Programma!$F$3:$M$1107,8,0),"")</f>
        <v>_</v>
      </c>
      <c r="AQ696" s="300" t="str">
        <f>_xlfn.IFNA(VLOOKUP($AI696,Programma!$F$3:$N$1107,9,0),"")</f>
        <v>_</v>
      </c>
      <c r="AR696" s="300" t="str">
        <f>_xlfn.IFNA(VLOOKUP($AI696,Programma!$F$3:$O$1107,10,0),"")</f>
        <v>3w</v>
      </c>
      <c r="AS696" s="300" t="str">
        <f>_xlfn.IFNA(VLOOKUP($AI696,Programma!$F$3:$P$1107,11,0),"")</f>
        <v>3w</v>
      </c>
      <c r="AT696" s="300" t="str">
        <f>_xlfn.IFNA(VLOOKUP($AI696,Programma!$F$3:$Q$1107,12,0),"")</f>
        <v>1w</v>
      </c>
      <c r="AU696" s="300" t="str">
        <f>_xlfn.IFNA(VLOOKUP($AI696,Programma!$F$3:$R$1107,13,0),"")</f>
        <v>1w</v>
      </c>
      <c r="AV696" s="300" t="str">
        <f>_xlfn.IFNA(VLOOKUP($AI696,Programma!$F$3:$S$1107,14,0),"")</f>
        <v>1m</v>
      </c>
      <c r="AW696" s="300" t="str">
        <f>_xlfn.IFNA(VLOOKUP($AI696,Programma!$F$3:$T$1107,15,0),"")</f>
        <v>2j</v>
      </c>
      <c r="AX696" s="300" t="str">
        <f>_xlfn.IFNA(VLOOKUP($AI696,Programma!$F$3:$U$1107,16,0),"")</f>
        <v>1j</v>
      </c>
      <c r="AY696" s="300" t="str">
        <f>_xlfn.IFNA(VLOOKUP($AI696,Programma!$F$3:$V$1107,17,0),"")</f>
        <v>_</v>
      </c>
      <c r="AZ696" s="300" t="str">
        <f>_xlfn.IFNA(VLOOKUP($AI696,Programma!$F$3:$W$1107,18,0),"")</f>
        <v>_</v>
      </c>
      <c r="BA696" s="300" t="str">
        <f>_xlfn.IFNA(VLOOKUP($AI696,Programma!$F$3:$X$1107,19,0),"")</f>
        <v>_</v>
      </c>
      <c r="BB696" s="300" t="str">
        <f>_xlfn.IFNA(VLOOKUP($AI696,Programma!$F$3:$Y$1107,20,0),"")</f>
        <v>_</v>
      </c>
      <c r="BC696" s="257"/>
      <c r="BD696" s="256" t="str">
        <f>IF(Ruimtestaat[[#This Row],[Frequentie weekend]]="","",_xlfn.CONCAT(Ruimtestaat[[#This Row],[Ruimte code]],"-",Ruimtestaat[[#This Row],[Frequentie weekend]]," ",Ruimtestaat[[#This Row],[Vloer code]]))</f>
        <v/>
      </c>
      <c r="BE696" s="300" t="str">
        <f>_xlfn.IFNA(VLOOKUP($BD696,Programma!$F$3:$G$1107,2,0),"")</f>
        <v/>
      </c>
      <c r="BF696" s="300" t="str">
        <f>_xlfn.IFNA(VLOOKUP($BD696,Programma!$F$3:$H$1107,3,0),"")</f>
        <v/>
      </c>
      <c r="BG696" s="300" t="str">
        <f>_xlfn.IFNA(VLOOKUP($BD696,Programma!$F$3:$I$1107,4,0),"")</f>
        <v/>
      </c>
      <c r="BH696" s="300" t="str">
        <f>_xlfn.IFNA(VLOOKUP($BD696,Programma!$F$3:$J$1107,5,0),"")</f>
        <v/>
      </c>
      <c r="BI696" s="300" t="str">
        <f>_xlfn.IFNA(VLOOKUP($BD696,Programma!$F$3:$K$1107,6,0),"")</f>
        <v/>
      </c>
      <c r="BJ696" s="300" t="str">
        <f>_xlfn.IFNA(VLOOKUP($BD696,Programma!$F$3:$L$1107,7,0),"")</f>
        <v/>
      </c>
      <c r="BK696" s="300" t="str">
        <f>_xlfn.IFNA(VLOOKUP($BD696,Programma!$F$3:$M$1107,8,0),"")</f>
        <v/>
      </c>
      <c r="BL696" s="300" t="str">
        <f>_xlfn.IFNA(VLOOKUP($BD696,Programma!$F$3:$N$1107,9,0),"")</f>
        <v/>
      </c>
      <c r="BM696" s="300" t="str">
        <f>_xlfn.IFNA(VLOOKUP($BD696,Programma!$F$3:$O$1107,10,0),"")</f>
        <v/>
      </c>
      <c r="BN696" s="300" t="str">
        <f>_xlfn.IFNA(VLOOKUP($BD696,Programma!$F$3:$P$1107,11,0),"")</f>
        <v/>
      </c>
      <c r="BO696" s="300" t="str">
        <f>_xlfn.IFNA(VLOOKUP($BD696,Programma!$F$3:$Q$1107,12,0),"")</f>
        <v/>
      </c>
      <c r="BP696" s="300" t="str">
        <f>_xlfn.IFNA(VLOOKUP($BD696,Programma!$F$3:$R$1107,13,0),"")</f>
        <v/>
      </c>
      <c r="BQ696" s="300" t="str">
        <f>_xlfn.IFNA(VLOOKUP($BD696,Programma!$F$3:$S$1107,14,0),"")</f>
        <v/>
      </c>
      <c r="BR696" s="300" t="str">
        <f>_xlfn.IFNA(VLOOKUP($BD696,Programma!$F$3:$T$1107,15,0),"")</f>
        <v/>
      </c>
      <c r="BS696" s="300" t="str">
        <f>_xlfn.IFNA(VLOOKUP($BD696,Programma!$F$3:$U$1107,16,0),"")</f>
        <v/>
      </c>
      <c r="BT696" s="300" t="str">
        <f>_xlfn.IFNA(VLOOKUP($BD696,Programma!$F$3:$V$1107,17,0),"")</f>
        <v/>
      </c>
      <c r="BU696" s="300" t="str">
        <f>_xlfn.IFNA(VLOOKUP($BD696,Programma!$F$3:$W$1107,18,0),"")</f>
        <v/>
      </c>
      <c r="BV696" s="300" t="str">
        <f>_xlfn.IFNA(VLOOKUP($BD696,Programma!$F$3:$X$1107,19,0),"")</f>
        <v/>
      </c>
      <c r="BW696" s="300" t="str">
        <f>_xlfn.IFNA(VLOOKUP($BD696,Programma!$F$3:$Y$1107,20,0),"")</f>
        <v/>
      </c>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c r="GK696" s="4"/>
      <c r="GL696" s="4"/>
      <c r="GM696" s="4"/>
      <c r="GN696" s="4"/>
      <c r="GO696" s="4"/>
      <c r="GP696" s="4"/>
      <c r="GQ696" s="4"/>
      <c r="GR696" s="4"/>
      <c r="GS696" s="4"/>
      <c r="GT696" s="4"/>
      <c r="GU696" s="4"/>
      <c r="GV696" s="4"/>
      <c r="GW696" s="4"/>
      <c r="GX696" s="4"/>
      <c r="GY696" s="4"/>
      <c r="GZ696" s="4"/>
      <c r="HA696" s="4"/>
      <c r="HB696" s="4"/>
      <c r="HC696" s="4"/>
      <c r="HD696" s="4"/>
      <c r="HE696" s="4"/>
      <c r="HF696" s="4"/>
      <c r="HG696" s="4"/>
      <c r="HH696" s="4"/>
      <c r="HI696" s="4"/>
      <c r="HJ696" s="4"/>
      <c r="HK696" s="4"/>
      <c r="HL696" s="4"/>
    </row>
    <row r="697" spans="1:220" ht="15" customHeight="1">
      <c r="A697" s="21">
        <v>8</v>
      </c>
      <c r="B697" s="157" t="str">
        <f>VLOOKUP(Ruimtestaat[[#This Row],[Code]],Locaties[[Code]:[Locatie]],2,FALSE)</f>
        <v>Dalton College</v>
      </c>
      <c r="C697" s="157" t="str">
        <f>VLOOKUP(Ruimtestaat[[#This Row],[Code]],Locaties[[#All],[Code]:[Adres]],4,FALSE)</f>
        <v>Loolaan 125</v>
      </c>
      <c r="D697" s="157" t="str">
        <f>VLOOKUP(Ruimtestaat[[#This Row],[Code]],Locaties[[#All],[Code]:[Postcode]],5,FALSE)</f>
        <v xml:space="preserve">2271 TM </v>
      </c>
      <c r="E697" s="157" t="str">
        <f>VLOOKUP(Ruimtestaat[[#This Row],[Code]],Locaties[#All],6,FALSE)</f>
        <v>Voorburg</v>
      </c>
      <c r="F697" s="62"/>
      <c r="G697" s="21" t="s">
        <v>1632</v>
      </c>
      <c r="H697" s="21">
        <v>34</v>
      </c>
      <c r="I697" s="62" t="s">
        <v>1288</v>
      </c>
      <c r="J697" s="21">
        <v>18</v>
      </c>
      <c r="K697" s="62" t="str">
        <f>VLOOKUP(Ruimtestaat[[#This Row],[Ruimte code]],Ruimtegroepen[[#All],[Code]:[Ruimte omschrijving]],2,FALSE)</f>
        <v>Gymzaal</v>
      </c>
      <c r="L697" s="33" t="s">
        <v>103</v>
      </c>
      <c r="M697" s="367" t="s">
        <v>2508</v>
      </c>
      <c r="N697" s="140">
        <v>258</v>
      </c>
      <c r="O697" s="140"/>
      <c r="P697" s="125" t="str">
        <f>VLOOKUP(Ruimtestaat[[#This Row],[Ruimte code]],Ruimtegroepen[],4,FALSE)</f>
        <v>Sp</v>
      </c>
      <c r="R697" s="33">
        <v>40</v>
      </c>
      <c r="S697" s="33" t="s">
        <v>2</v>
      </c>
      <c r="T697" s="33">
        <f>IF(R697&gt;0,IF(RIGHT(Ruimtestaat[[#This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97" s="33">
        <f>IF(T697&gt;0,VLOOKUP($J697,Ruimtegroepen[],3,FALSE)*VLOOKUP($L697,Vloersoorten[],3,FALSE)*VLOOKUP($S697,Frequenties[],3,FALSE)*VLOOKUP($A697,Locaties[],3,FALSE),0)</f>
        <v>0</v>
      </c>
      <c r="V697" s="33">
        <f>Ruimtestaat[[#This Row],[Uitvoeringen werkdagen]]*Ruimtestaat[[#This Row],[Oppervlak (netto)]]</f>
        <v>51600</v>
      </c>
      <c r="W697" s="154">
        <f>IF(U697&gt;0,Ruimtestaat[[#This Row],[Prest. (m2 /jaar) werkdagen]]/Ruimtestaat[[#This Row],[Norm (m2/uur) werkdagen]],0)</f>
        <v>0</v>
      </c>
      <c r="X697" s="155">
        <f>Ruimtestaat[[#This Row],[uren / jaar werkdagen]]*Tariefsopbouw!$E$35</f>
        <v>0</v>
      </c>
      <c r="Y697" s="33"/>
      <c r="Z697" s="33">
        <f>IF(Ruimtestaat[[#This Row],[Frequentie weekend]]&gt;0,VALUE(LEFT(Y697,1))*R697,0)</f>
        <v>0</v>
      </c>
      <c r="AA697" s="97">
        <f>IF($Z697&gt;0,VLOOKUP($J697,Ruimtegroepen[],3,FALSE)*VLOOKUP($L697,Vloersoorten[],3,FALSE)*VLOOKUP($Y697,Frequenties[],3,FALSE)*VLOOKUP(Ruimtestaat[[#This Row],[Code]],Locaties[],3,FALSE),0)</f>
        <v>0</v>
      </c>
      <c r="AB697" s="97">
        <f>Ruimtestaat[[#This Row],[Uitvoeringen weekend]]*Ruimtestaat[[#This Row],[Oppervlak (netto)]]</f>
        <v>0</v>
      </c>
      <c r="AC697" s="97">
        <f>IF(AA697&gt;0,Ruimtestaat[[#This Row],[Prest. (m2 /jaar) weekend]]/Ruimtestaat[[#This Row],[Norm (m2/uur) weekend]],0)</f>
        <v>0</v>
      </c>
      <c r="AD697" s="155">
        <f>Ruimtestaat[[#This Row],[uren / jaar weekend]]*Tariefsopbouw!$D$40</f>
        <v>0</v>
      </c>
      <c r="AE697" s="154">
        <f>Ruimtestaat[[#This Row],[Prest. (m2 /jaar) weekend]]+Ruimtestaat[[#This Row],[Prest. (m2 /jaar) werkdagen]]</f>
        <v>51600</v>
      </c>
      <c r="AF697" s="154">
        <f>Ruimtestaat[[#This Row],[uren / jaar weekend]]+Ruimtestaat[[#This Row],[uren / jaar werkdagen]]</f>
        <v>0</v>
      </c>
      <c r="AG697" s="69">
        <f>Ruimtestaat[[#This Row],[kosten / jaar weekend]]+Ruimtestaat[[#This Row],[kosten / jaar werkdagen]]</f>
        <v>0</v>
      </c>
      <c r="AH697" s="69"/>
      <c r="AI697" s="256" t="str">
        <f>IF(Ruimtestaat[[#This Row],[Frequentie werkdagen]]="","",_xlfn.CONCAT(Ruimtestaat[[#This Row],[Ruimte code]],"-",Ruimtestaat[[#This Row],[Frequentie werkdagen]]," ",Ruimtestaat[[#This Row],[Vloer code]]))</f>
        <v>18-5w P</v>
      </c>
      <c r="AJ697" s="300" t="str">
        <f>_xlfn.IFNA(VLOOKUP($AI697,Programma!$F$3:$G$1107,2,0),"")</f>
        <v>_</v>
      </c>
      <c r="AK697" s="300" t="str">
        <f>_xlfn.IFNA(VLOOKUP($AI697,Programma!$F$3:$H$1107,3,0),"")</f>
        <v>_</v>
      </c>
      <c r="AL697" s="300" t="str">
        <f>_xlfn.IFNA(VLOOKUP($AI697,Programma!$F$3:$I$1107,4,0),"")</f>
        <v>4w</v>
      </c>
      <c r="AM697" s="300" t="str">
        <f>_xlfn.IFNA(VLOOKUP($AI697,Programma!$F$3:$J$1107,5,0),"")</f>
        <v>1w</v>
      </c>
      <c r="AN697" s="300" t="str">
        <f>_xlfn.IFNA(VLOOKUP($AI697,Programma!$F$3:$K$1107,6,0),"")</f>
        <v>4j</v>
      </c>
      <c r="AO697" s="300" t="str">
        <f>_xlfn.IFNA(VLOOKUP($AI697,Programma!$F$3:$L$1107,7,0),"")</f>
        <v>_</v>
      </c>
      <c r="AP697" s="300" t="str">
        <f>_xlfn.IFNA(VLOOKUP($AI697,Programma!$F$3:$M$1107,8,0),"")</f>
        <v>_</v>
      </c>
      <c r="AQ697" s="300" t="str">
        <f>_xlfn.IFNA(VLOOKUP($AI697,Programma!$F$3:$N$1107,9,0),"")</f>
        <v>_</v>
      </c>
      <c r="AR697" s="300" t="str">
        <f>_xlfn.IFNA(VLOOKUP($AI697,Programma!$F$3:$O$1107,10,0),"")</f>
        <v>5w</v>
      </c>
      <c r="AS697" s="300" t="str">
        <f>_xlfn.IFNA(VLOOKUP($AI697,Programma!$F$3:$P$1107,11,0),"")</f>
        <v>5w</v>
      </c>
      <c r="AT697" s="300" t="str">
        <f>_xlfn.IFNA(VLOOKUP($AI697,Programma!$F$3:$Q$1107,12,0),"")</f>
        <v>5w</v>
      </c>
      <c r="AU697" s="300" t="str">
        <f>_xlfn.IFNA(VLOOKUP($AI697,Programma!$F$3:$R$1107,13,0),"")</f>
        <v>5w</v>
      </c>
      <c r="AV697" s="300" t="str">
        <f>_xlfn.IFNA(VLOOKUP($AI697,Programma!$F$3:$S$1107,14,0),"")</f>
        <v>1m</v>
      </c>
      <c r="AW697" s="300" t="str">
        <f>_xlfn.IFNA(VLOOKUP($AI697,Programma!$F$3:$T$1107,15,0),"")</f>
        <v>2j</v>
      </c>
      <c r="AX697" s="300" t="str">
        <f>_xlfn.IFNA(VLOOKUP($AI697,Programma!$F$3:$U$1107,16,0),"")</f>
        <v>1j</v>
      </c>
      <c r="AY697" s="300" t="str">
        <f>_xlfn.IFNA(VLOOKUP($AI697,Programma!$F$3:$V$1107,17,0),"")</f>
        <v>_</v>
      </c>
      <c r="AZ697" s="300" t="str">
        <f>_xlfn.IFNA(VLOOKUP($AI697,Programma!$F$3:$W$1107,18,0),"")</f>
        <v>_</v>
      </c>
      <c r="BA697" s="300" t="str">
        <f>_xlfn.IFNA(VLOOKUP($AI697,Programma!$F$3:$X$1107,19,0),"")</f>
        <v>_</v>
      </c>
      <c r="BB697" s="300" t="str">
        <f>_xlfn.IFNA(VLOOKUP($AI697,Programma!$F$3:$Y$1107,20,0),"")</f>
        <v>_</v>
      </c>
      <c r="BC697" s="257"/>
      <c r="BD697" s="256" t="str">
        <f>IF(Ruimtestaat[[#This Row],[Frequentie weekend]]="","",_xlfn.CONCAT(Ruimtestaat[[#This Row],[Ruimte code]],"-",Ruimtestaat[[#This Row],[Frequentie weekend]]," ",Ruimtestaat[[#This Row],[Vloer code]]))</f>
        <v/>
      </c>
      <c r="BE697" s="300" t="str">
        <f>_xlfn.IFNA(VLOOKUP($BD697,Programma!$F$3:$G$1107,2,0),"")</f>
        <v/>
      </c>
      <c r="BF697" s="300" t="str">
        <f>_xlfn.IFNA(VLOOKUP($BD697,Programma!$F$3:$H$1107,3,0),"")</f>
        <v/>
      </c>
      <c r="BG697" s="300" t="str">
        <f>_xlfn.IFNA(VLOOKUP($BD697,Programma!$F$3:$I$1107,4,0),"")</f>
        <v/>
      </c>
      <c r="BH697" s="300" t="str">
        <f>_xlfn.IFNA(VLOOKUP($BD697,Programma!$F$3:$J$1107,5,0),"")</f>
        <v/>
      </c>
      <c r="BI697" s="300" t="str">
        <f>_xlfn.IFNA(VLOOKUP($BD697,Programma!$F$3:$K$1107,6,0),"")</f>
        <v/>
      </c>
      <c r="BJ697" s="300" t="str">
        <f>_xlfn.IFNA(VLOOKUP($BD697,Programma!$F$3:$L$1107,7,0),"")</f>
        <v/>
      </c>
      <c r="BK697" s="300" t="str">
        <f>_xlfn.IFNA(VLOOKUP($BD697,Programma!$F$3:$M$1107,8,0),"")</f>
        <v/>
      </c>
      <c r="BL697" s="300" t="str">
        <f>_xlfn.IFNA(VLOOKUP($BD697,Programma!$F$3:$N$1107,9,0),"")</f>
        <v/>
      </c>
      <c r="BM697" s="300" t="str">
        <f>_xlfn.IFNA(VLOOKUP($BD697,Programma!$F$3:$O$1107,10,0),"")</f>
        <v/>
      </c>
      <c r="BN697" s="300" t="str">
        <f>_xlfn.IFNA(VLOOKUP($BD697,Programma!$F$3:$P$1107,11,0),"")</f>
        <v/>
      </c>
      <c r="BO697" s="300" t="str">
        <f>_xlfn.IFNA(VLOOKUP($BD697,Programma!$F$3:$Q$1107,12,0),"")</f>
        <v/>
      </c>
      <c r="BP697" s="300" t="str">
        <f>_xlfn.IFNA(VLOOKUP($BD697,Programma!$F$3:$R$1107,13,0),"")</f>
        <v/>
      </c>
      <c r="BQ697" s="300" t="str">
        <f>_xlfn.IFNA(VLOOKUP($BD697,Programma!$F$3:$S$1107,14,0),"")</f>
        <v/>
      </c>
      <c r="BR697" s="300" t="str">
        <f>_xlfn.IFNA(VLOOKUP($BD697,Programma!$F$3:$T$1107,15,0),"")</f>
        <v/>
      </c>
      <c r="BS697" s="300" t="str">
        <f>_xlfn.IFNA(VLOOKUP($BD697,Programma!$F$3:$U$1107,16,0),"")</f>
        <v/>
      </c>
      <c r="BT697" s="300" t="str">
        <f>_xlfn.IFNA(VLOOKUP($BD697,Programma!$F$3:$V$1107,17,0),"")</f>
        <v/>
      </c>
      <c r="BU697" s="300" t="str">
        <f>_xlfn.IFNA(VLOOKUP($BD697,Programma!$F$3:$W$1107,18,0),"")</f>
        <v/>
      </c>
      <c r="BV697" s="300" t="str">
        <f>_xlfn.IFNA(VLOOKUP($BD697,Programma!$F$3:$X$1107,19,0),"")</f>
        <v/>
      </c>
      <c r="BW697" s="300" t="str">
        <f>_xlfn.IFNA(VLOOKUP($BD697,Programma!$F$3:$Y$1107,20,0),"")</f>
        <v/>
      </c>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c r="GK697" s="4"/>
      <c r="GL697" s="4"/>
      <c r="GM697" s="4"/>
      <c r="GN697" s="4"/>
      <c r="GO697" s="4"/>
      <c r="GP697" s="4"/>
      <c r="GQ697" s="4"/>
      <c r="GR697" s="4"/>
      <c r="GS697" s="4"/>
      <c r="GT697" s="4"/>
      <c r="GU697" s="4"/>
      <c r="GV697" s="4"/>
      <c r="GW697" s="4"/>
      <c r="GX697" s="4"/>
      <c r="GY697" s="4"/>
      <c r="GZ697" s="4"/>
      <c r="HA697" s="4"/>
      <c r="HB697" s="4"/>
      <c r="HC697" s="4"/>
      <c r="HD697" s="4"/>
      <c r="HE697" s="4"/>
      <c r="HF697" s="4"/>
      <c r="HG697" s="4"/>
      <c r="HH697" s="4"/>
      <c r="HI697" s="4"/>
      <c r="HJ697" s="4"/>
      <c r="HK697" s="4"/>
      <c r="HL697" s="4"/>
    </row>
    <row r="698" spans="1:220" ht="15" customHeight="1">
      <c r="A698" s="21">
        <v>8</v>
      </c>
      <c r="B698" s="157" t="str">
        <f>VLOOKUP(Ruimtestaat[[#This Row],[Code]],Locaties[[Code]:[Locatie]],2,FALSE)</f>
        <v>Dalton College</v>
      </c>
      <c r="C698" s="157" t="str">
        <f>VLOOKUP(Ruimtestaat[[#This Row],[Code]],Locaties[[#All],[Code]:[Adres]],4,FALSE)</f>
        <v>Loolaan 125</v>
      </c>
      <c r="D698" s="157" t="str">
        <f>VLOOKUP(Ruimtestaat[[#This Row],[Code]],Locaties[[#All],[Code]:[Postcode]],5,FALSE)</f>
        <v xml:space="preserve">2271 TM </v>
      </c>
      <c r="E698" s="157" t="str">
        <f>VLOOKUP(Ruimtestaat[[#This Row],[Code]],Locaties[#All],6,FALSE)</f>
        <v>Voorburg</v>
      </c>
      <c r="F698" s="62"/>
      <c r="G698" s="21" t="s">
        <v>1632</v>
      </c>
      <c r="H698" s="21">
        <v>35</v>
      </c>
      <c r="I698" s="62" t="s">
        <v>2217</v>
      </c>
      <c r="J698" s="21">
        <v>17</v>
      </c>
      <c r="K698" s="62" t="str">
        <f>VLOOKUP(Ruimtestaat[[#This Row],[Ruimte code]],Ruimtegroepen[[#All],[Code]:[Ruimte omschrijving]],2,FALSE)</f>
        <v>Toestelberging</v>
      </c>
      <c r="L698" s="33" t="s">
        <v>103</v>
      </c>
      <c r="M698" s="367" t="s">
        <v>2508</v>
      </c>
      <c r="N698" s="140">
        <v>38</v>
      </c>
      <c r="O698" s="140"/>
      <c r="P698" s="125" t="str">
        <f>VLOOKUP(Ruimtestaat[[#This Row],[Ruimte code]],Ruimtegroepen[],4,FALSE)</f>
        <v>Ve</v>
      </c>
      <c r="R698" s="33">
        <v>40</v>
      </c>
      <c r="S698" s="33" t="s">
        <v>16</v>
      </c>
      <c r="T698" s="33">
        <f>IF(R698&gt;0,IF(RIGHT(Ruimtestaat[[#This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698" s="33">
        <f>IF(T698&gt;0,VLOOKUP($J698,Ruimtegroepen[],3,FALSE)*VLOOKUP($L698,Vloersoorten[],3,FALSE)*VLOOKUP($S698,Frequenties[],3,FALSE)*VLOOKUP($A698,Locaties[],3,FALSE),0)</f>
        <v>0</v>
      </c>
      <c r="V698" s="33">
        <f>Ruimtestaat[[#This Row],[Uitvoeringen werkdagen]]*Ruimtestaat[[#This Row],[Oppervlak (netto)]]</f>
        <v>456</v>
      </c>
      <c r="W698" s="154">
        <f>IF(U698&gt;0,Ruimtestaat[[#This Row],[Prest. (m2 /jaar) werkdagen]]/Ruimtestaat[[#This Row],[Norm (m2/uur) werkdagen]],0)</f>
        <v>0</v>
      </c>
      <c r="X698" s="155">
        <f>Ruimtestaat[[#This Row],[uren / jaar werkdagen]]*Tariefsopbouw!$E$35</f>
        <v>0</v>
      </c>
      <c r="Y698" s="33"/>
      <c r="Z698" s="33">
        <f>IF(Ruimtestaat[[#This Row],[Frequentie weekend]]&gt;0,VALUE(LEFT(Y698,1))*R698,0)</f>
        <v>0</v>
      </c>
      <c r="AA698" s="97">
        <f>IF($Z698&gt;0,VLOOKUP($J698,Ruimtegroepen[],3,FALSE)*VLOOKUP($L698,Vloersoorten[],3,FALSE)*VLOOKUP($Y698,Frequenties[],3,FALSE)*VLOOKUP(Ruimtestaat[[#This Row],[Code]],Locaties[],3,FALSE),0)</f>
        <v>0</v>
      </c>
      <c r="AB698" s="97">
        <f>Ruimtestaat[[#This Row],[Uitvoeringen weekend]]*Ruimtestaat[[#This Row],[Oppervlak (netto)]]</f>
        <v>0</v>
      </c>
      <c r="AC698" s="97">
        <f>IF(AA698&gt;0,Ruimtestaat[[#This Row],[Prest. (m2 /jaar) weekend]]/Ruimtestaat[[#This Row],[Norm (m2/uur) weekend]],0)</f>
        <v>0</v>
      </c>
      <c r="AD698" s="155">
        <f>Ruimtestaat[[#This Row],[uren / jaar weekend]]*Tariefsopbouw!$D$40</f>
        <v>0</v>
      </c>
      <c r="AE698" s="154">
        <f>Ruimtestaat[[#This Row],[Prest. (m2 /jaar) weekend]]+Ruimtestaat[[#This Row],[Prest. (m2 /jaar) werkdagen]]</f>
        <v>456</v>
      </c>
      <c r="AF698" s="154">
        <f>Ruimtestaat[[#This Row],[uren / jaar weekend]]+Ruimtestaat[[#This Row],[uren / jaar werkdagen]]</f>
        <v>0</v>
      </c>
      <c r="AG698" s="69">
        <f>Ruimtestaat[[#This Row],[kosten / jaar weekend]]+Ruimtestaat[[#This Row],[kosten / jaar werkdagen]]</f>
        <v>0</v>
      </c>
      <c r="AH698" s="69"/>
      <c r="AI698" s="256" t="str">
        <f>IF(Ruimtestaat[[#This Row],[Frequentie werkdagen]]="","",_xlfn.CONCAT(Ruimtestaat[[#This Row],[Ruimte code]],"-",Ruimtestaat[[#This Row],[Frequentie werkdagen]]," ",Ruimtestaat[[#This Row],[Vloer code]]))</f>
        <v>17-1m P</v>
      </c>
      <c r="AJ698" s="300" t="str">
        <f>_xlfn.IFNA(VLOOKUP($AI698,Programma!$F$3:$G$1107,2,0),"")</f>
        <v>_</v>
      </c>
      <c r="AK698" s="300" t="str">
        <f>_xlfn.IFNA(VLOOKUP($AI698,Programma!$F$3:$H$1107,3,0),"")</f>
        <v>_</v>
      </c>
      <c r="AL698" s="300" t="str">
        <f>_xlfn.IFNA(VLOOKUP($AI698,Programma!$F$3:$I$1107,4,0),"")</f>
        <v>1m</v>
      </c>
      <c r="AM698" s="300" t="str">
        <f>_xlfn.IFNA(VLOOKUP($AI698,Programma!$F$3:$J$1107,5,0),"")</f>
        <v>_</v>
      </c>
      <c r="AN698" s="300" t="str">
        <f>_xlfn.IFNA(VLOOKUP($AI698,Programma!$F$3:$K$1107,6,0),"")</f>
        <v>4j</v>
      </c>
      <c r="AO698" s="300" t="str">
        <f>_xlfn.IFNA(VLOOKUP($AI698,Programma!$F$3:$L$1107,7,0),"")</f>
        <v>_</v>
      </c>
      <c r="AP698" s="300" t="str">
        <f>_xlfn.IFNA(VLOOKUP($AI698,Programma!$F$3:$M$1107,8,0),"")</f>
        <v>_</v>
      </c>
      <c r="AQ698" s="300" t="str">
        <f>_xlfn.IFNA(VLOOKUP($AI698,Programma!$F$3:$N$1107,9,0),"")</f>
        <v>_</v>
      </c>
      <c r="AR698" s="300" t="str">
        <f>_xlfn.IFNA(VLOOKUP($AI698,Programma!$F$3:$O$1107,10,0),"")</f>
        <v>1m</v>
      </c>
      <c r="AS698" s="300" t="str">
        <f>_xlfn.IFNA(VLOOKUP($AI698,Programma!$F$3:$P$1107,11,0),"")</f>
        <v>1m</v>
      </c>
      <c r="AT698" s="300" t="str">
        <f>_xlfn.IFNA(VLOOKUP($AI698,Programma!$F$3:$Q$1107,12,0),"")</f>
        <v>1m</v>
      </c>
      <c r="AU698" s="300" t="str">
        <f>_xlfn.IFNA(VLOOKUP($AI698,Programma!$F$3:$R$1107,13,0),"")</f>
        <v>1m</v>
      </c>
      <c r="AV698" s="300" t="str">
        <f>_xlfn.IFNA(VLOOKUP($AI698,Programma!$F$3:$S$1107,14,0),"")</f>
        <v>1m</v>
      </c>
      <c r="AW698" s="300" t="str">
        <f>_xlfn.IFNA(VLOOKUP($AI698,Programma!$F$3:$T$1107,15,0),"")</f>
        <v>2j</v>
      </c>
      <c r="AX698" s="300" t="str">
        <f>_xlfn.IFNA(VLOOKUP($AI698,Programma!$F$3:$U$1107,16,0),"")</f>
        <v>1j</v>
      </c>
      <c r="AY698" s="300" t="str">
        <f>_xlfn.IFNA(VLOOKUP($AI698,Programma!$F$3:$V$1107,17,0),"")</f>
        <v>_</v>
      </c>
      <c r="AZ698" s="300" t="str">
        <f>_xlfn.IFNA(VLOOKUP($AI698,Programma!$F$3:$W$1107,18,0),"")</f>
        <v>_</v>
      </c>
      <c r="BA698" s="300" t="str">
        <f>_xlfn.IFNA(VLOOKUP($AI698,Programma!$F$3:$X$1107,19,0),"")</f>
        <v>_</v>
      </c>
      <c r="BB698" s="300" t="str">
        <f>_xlfn.IFNA(VLOOKUP($AI698,Programma!$F$3:$Y$1107,20,0),"")</f>
        <v>_</v>
      </c>
      <c r="BC698" s="257"/>
      <c r="BD698" s="256" t="str">
        <f>IF(Ruimtestaat[[#This Row],[Frequentie weekend]]="","",_xlfn.CONCAT(Ruimtestaat[[#This Row],[Ruimte code]],"-",Ruimtestaat[[#This Row],[Frequentie weekend]]," ",Ruimtestaat[[#This Row],[Vloer code]]))</f>
        <v/>
      </c>
      <c r="BE698" s="300" t="str">
        <f>_xlfn.IFNA(VLOOKUP($BD698,Programma!$F$3:$G$1107,2,0),"")</f>
        <v/>
      </c>
      <c r="BF698" s="300" t="str">
        <f>_xlfn.IFNA(VLOOKUP($BD698,Programma!$F$3:$H$1107,3,0),"")</f>
        <v/>
      </c>
      <c r="BG698" s="300" t="str">
        <f>_xlfn.IFNA(VLOOKUP($BD698,Programma!$F$3:$I$1107,4,0),"")</f>
        <v/>
      </c>
      <c r="BH698" s="300" t="str">
        <f>_xlfn.IFNA(VLOOKUP($BD698,Programma!$F$3:$J$1107,5,0),"")</f>
        <v/>
      </c>
      <c r="BI698" s="300" t="str">
        <f>_xlfn.IFNA(VLOOKUP($BD698,Programma!$F$3:$K$1107,6,0),"")</f>
        <v/>
      </c>
      <c r="BJ698" s="300" t="str">
        <f>_xlfn.IFNA(VLOOKUP($BD698,Programma!$F$3:$L$1107,7,0),"")</f>
        <v/>
      </c>
      <c r="BK698" s="300" t="str">
        <f>_xlfn.IFNA(VLOOKUP($BD698,Programma!$F$3:$M$1107,8,0),"")</f>
        <v/>
      </c>
      <c r="BL698" s="300" t="str">
        <f>_xlfn.IFNA(VLOOKUP($BD698,Programma!$F$3:$N$1107,9,0),"")</f>
        <v/>
      </c>
      <c r="BM698" s="300" t="str">
        <f>_xlfn.IFNA(VLOOKUP($BD698,Programma!$F$3:$O$1107,10,0),"")</f>
        <v/>
      </c>
      <c r="BN698" s="300" t="str">
        <f>_xlfn.IFNA(VLOOKUP($BD698,Programma!$F$3:$P$1107,11,0),"")</f>
        <v/>
      </c>
      <c r="BO698" s="300" t="str">
        <f>_xlfn.IFNA(VLOOKUP($BD698,Programma!$F$3:$Q$1107,12,0),"")</f>
        <v/>
      </c>
      <c r="BP698" s="300" t="str">
        <f>_xlfn.IFNA(VLOOKUP($BD698,Programma!$F$3:$R$1107,13,0),"")</f>
        <v/>
      </c>
      <c r="BQ698" s="300" t="str">
        <f>_xlfn.IFNA(VLOOKUP($BD698,Programma!$F$3:$S$1107,14,0),"")</f>
        <v/>
      </c>
      <c r="BR698" s="300" t="str">
        <f>_xlfn.IFNA(VLOOKUP($BD698,Programma!$F$3:$T$1107,15,0),"")</f>
        <v/>
      </c>
      <c r="BS698" s="300" t="str">
        <f>_xlfn.IFNA(VLOOKUP($BD698,Programma!$F$3:$U$1107,16,0),"")</f>
        <v/>
      </c>
      <c r="BT698" s="300" t="str">
        <f>_xlfn.IFNA(VLOOKUP($BD698,Programma!$F$3:$V$1107,17,0),"")</f>
        <v/>
      </c>
      <c r="BU698" s="300" t="str">
        <f>_xlfn.IFNA(VLOOKUP($BD698,Programma!$F$3:$W$1107,18,0),"")</f>
        <v/>
      </c>
      <c r="BV698" s="300" t="str">
        <f>_xlfn.IFNA(VLOOKUP($BD698,Programma!$F$3:$X$1107,19,0),"")</f>
        <v/>
      </c>
      <c r="BW698" s="300" t="str">
        <f>_xlfn.IFNA(VLOOKUP($BD698,Programma!$F$3:$Y$1107,20,0),"")</f>
        <v/>
      </c>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c r="GK698" s="4"/>
      <c r="GL698" s="4"/>
      <c r="GM698" s="4"/>
      <c r="GN698" s="4"/>
      <c r="GO698" s="4"/>
      <c r="GP698" s="4"/>
      <c r="GQ698" s="4"/>
      <c r="GR698" s="4"/>
      <c r="GS698" s="4"/>
      <c r="GT698" s="4"/>
      <c r="GU698" s="4"/>
      <c r="GV698" s="4"/>
      <c r="GW698" s="4"/>
      <c r="GX698" s="4"/>
      <c r="GY698" s="4"/>
      <c r="GZ698" s="4"/>
      <c r="HA698" s="4"/>
      <c r="HB698" s="4"/>
      <c r="HC698" s="4"/>
      <c r="HD698" s="4"/>
      <c r="HE698" s="4"/>
      <c r="HF698" s="4"/>
      <c r="HG698" s="4"/>
      <c r="HH698" s="4"/>
      <c r="HI698" s="4"/>
      <c r="HJ698" s="4"/>
      <c r="HK698" s="4"/>
      <c r="HL698" s="4"/>
    </row>
    <row r="699" spans="1:220" ht="15" customHeight="1">
      <c r="A699" s="21">
        <v>8</v>
      </c>
      <c r="B699" s="157" t="str">
        <f>VLOOKUP(Ruimtestaat[[#This Row],[Code]],Locaties[[Code]:[Locatie]],2,FALSE)</f>
        <v>Dalton College</v>
      </c>
      <c r="C699" s="157" t="str">
        <f>VLOOKUP(Ruimtestaat[[#This Row],[Code]],Locaties[[#All],[Code]:[Adres]],4,FALSE)</f>
        <v>Loolaan 125</v>
      </c>
      <c r="D699" s="157" t="str">
        <f>VLOOKUP(Ruimtestaat[[#This Row],[Code]],Locaties[[#All],[Code]:[Postcode]],5,FALSE)</f>
        <v xml:space="preserve">2271 TM </v>
      </c>
      <c r="E699" s="157" t="str">
        <f>VLOOKUP(Ruimtestaat[[#This Row],[Code]],Locaties[#All],6,FALSE)</f>
        <v>Voorburg</v>
      </c>
      <c r="F699" s="62"/>
      <c r="G699" s="21" t="s">
        <v>1632</v>
      </c>
      <c r="H699" s="21">
        <v>36</v>
      </c>
      <c r="I699" s="62" t="s">
        <v>2218</v>
      </c>
      <c r="J699" s="21">
        <v>6</v>
      </c>
      <c r="K699" s="62" t="str">
        <f>VLOOKUP(Ruimtestaat[[#This Row],[Ruimte code]],Ruimtegroepen[[#All],[Code]:[Ruimte omschrijving]],2,FALSE)</f>
        <v>Gangen/hallen</v>
      </c>
      <c r="L699" s="33" t="s">
        <v>102</v>
      </c>
      <c r="M699" s="367" t="s">
        <v>2509</v>
      </c>
      <c r="N699" s="140">
        <v>22</v>
      </c>
      <c r="O699" s="140"/>
      <c r="P699" s="125" t="str">
        <f>VLOOKUP(Ruimtestaat[[#This Row],[Ruimte code]],Ruimtegroepen[],4,FALSE)</f>
        <v>Ve</v>
      </c>
      <c r="R699" s="33">
        <v>40</v>
      </c>
      <c r="S699" s="33" t="s">
        <v>2</v>
      </c>
      <c r="T699" s="33">
        <f>IF(R699&gt;0,IF(RIGHT(Ruimtestaat[[#This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99" s="33">
        <f>IF(T699&gt;0,VLOOKUP($J699,Ruimtegroepen[],3,FALSE)*VLOOKUP($L699,Vloersoorten[],3,FALSE)*VLOOKUP($S699,Frequenties[],3,FALSE)*VLOOKUP($A699,Locaties[],3,FALSE),0)</f>
        <v>0</v>
      </c>
      <c r="V699" s="33">
        <f>Ruimtestaat[[#This Row],[Uitvoeringen werkdagen]]*Ruimtestaat[[#This Row],[Oppervlak (netto)]]</f>
        <v>4400</v>
      </c>
      <c r="W699" s="154">
        <f>IF(U699&gt;0,Ruimtestaat[[#This Row],[Prest. (m2 /jaar) werkdagen]]/Ruimtestaat[[#This Row],[Norm (m2/uur) werkdagen]],0)</f>
        <v>0</v>
      </c>
      <c r="X699" s="155">
        <f>Ruimtestaat[[#This Row],[uren / jaar werkdagen]]*Tariefsopbouw!$E$35</f>
        <v>0</v>
      </c>
      <c r="Y699" s="33"/>
      <c r="Z699" s="33">
        <f>IF(Ruimtestaat[[#This Row],[Frequentie weekend]]&gt;0,VALUE(LEFT(Y699,1))*R699,0)</f>
        <v>0</v>
      </c>
      <c r="AA699" s="97">
        <f>IF($Z699&gt;0,VLOOKUP($J699,Ruimtegroepen[],3,FALSE)*VLOOKUP($L699,Vloersoorten[],3,FALSE)*VLOOKUP($Y699,Frequenties[],3,FALSE)*VLOOKUP(Ruimtestaat[[#This Row],[Code]],Locaties[],3,FALSE),0)</f>
        <v>0</v>
      </c>
      <c r="AB699" s="97">
        <f>Ruimtestaat[[#This Row],[Uitvoeringen weekend]]*Ruimtestaat[[#This Row],[Oppervlak (netto)]]</f>
        <v>0</v>
      </c>
      <c r="AC699" s="97">
        <f>IF(AA699&gt;0,Ruimtestaat[[#This Row],[Prest. (m2 /jaar) weekend]]/Ruimtestaat[[#This Row],[Norm (m2/uur) weekend]],0)</f>
        <v>0</v>
      </c>
      <c r="AD699" s="155">
        <f>Ruimtestaat[[#This Row],[uren / jaar weekend]]*Tariefsopbouw!$D$40</f>
        <v>0</v>
      </c>
      <c r="AE699" s="154">
        <f>Ruimtestaat[[#This Row],[Prest. (m2 /jaar) weekend]]+Ruimtestaat[[#This Row],[Prest. (m2 /jaar) werkdagen]]</f>
        <v>4400</v>
      </c>
      <c r="AF699" s="154">
        <f>Ruimtestaat[[#This Row],[uren / jaar weekend]]+Ruimtestaat[[#This Row],[uren / jaar werkdagen]]</f>
        <v>0</v>
      </c>
      <c r="AG699" s="69">
        <f>Ruimtestaat[[#This Row],[kosten / jaar weekend]]+Ruimtestaat[[#This Row],[kosten / jaar werkdagen]]</f>
        <v>0</v>
      </c>
      <c r="AH699" s="69"/>
      <c r="AI699" s="256" t="str">
        <f>IF(Ruimtestaat[[#This Row],[Frequentie werkdagen]]="","",_xlfn.CONCAT(Ruimtestaat[[#This Row],[Ruimte code]],"-",Ruimtestaat[[#This Row],[Frequentie werkdagen]]," ",Ruimtestaat[[#This Row],[Vloer code]]))</f>
        <v>6-5w S</v>
      </c>
      <c r="AJ699" s="300" t="str">
        <f>_xlfn.IFNA(VLOOKUP($AI699,Programma!$F$3:$G$1107,2,0),"")</f>
        <v>_</v>
      </c>
      <c r="AK699" s="300" t="str">
        <f>_xlfn.IFNA(VLOOKUP($AI699,Programma!$F$3:$H$1107,3,0),"")</f>
        <v>_</v>
      </c>
      <c r="AL699" s="300" t="str">
        <f>_xlfn.IFNA(VLOOKUP($AI699,Programma!$F$3:$I$1107,4,0),"")</f>
        <v>5w</v>
      </c>
      <c r="AM699" s="300" t="str">
        <f>_xlfn.IFNA(VLOOKUP($AI699,Programma!$F$3:$J$1107,5,0),"")</f>
        <v>_</v>
      </c>
      <c r="AN699" s="300" t="str">
        <f>_xlfn.IFNA(VLOOKUP($AI699,Programma!$F$3:$K$1107,6,0),"")</f>
        <v>5w</v>
      </c>
      <c r="AO699" s="300" t="str">
        <f>_xlfn.IFNA(VLOOKUP($AI699,Programma!$F$3:$L$1107,7,0),"")</f>
        <v>_</v>
      </c>
      <c r="AP699" s="300" t="str">
        <f>_xlfn.IFNA(VLOOKUP($AI699,Programma!$F$3:$M$1107,8,0),"")</f>
        <v>_</v>
      </c>
      <c r="AQ699" s="300" t="str">
        <f>_xlfn.IFNA(VLOOKUP($AI699,Programma!$F$3:$N$1107,9,0),"")</f>
        <v>_</v>
      </c>
      <c r="AR699" s="300" t="str">
        <f>_xlfn.IFNA(VLOOKUP($AI699,Programma!$F$3:$O$1107,10,0),"")</f>
        <v>5w</v>
      </c>
      <c r="AS699" s="300" t="str">
        <f>_xlfn.IFNA(VLOOKUP($AI699,Programma!$F$3:$P$1107,11,0),"")</f>
        <v>5w</v>
      </c>
      <c r="AT699" s="300" t="str">
        <f>_xlfn.IFNA(VLOOKUP($AI699,Programma!$F$3:$Q$1107,12,0),"")</f>
        <v>1w</v>
      </c>
      <c r="AU699" s="300" t="str">
        <f>_xlfn.IFNA(VLOOKUP($AI699,Programma!$F$3:$R$1107,13,0),"")</f>
        <v>1w</v>
      </c>
      <c r="AV699" s="300" t="str">
        <f>_xlfn.IFNA(VLOOKUP($AI699,Programma!$F$3:$S$1107,14,0),"")</f>
        <v>1m</v>
      </c>
      <c r="AW699" s="300" t="str">
        <f>_xlfn.IFNA(VLOOKUP($AI699,Programma!$F$3:$T$1107,15,0),"")</f>
        <v>2j</v>
      </c>
      <c r="AX699" s="300" t="str">
        <f>_xlfn.IFNA(VLOOKUP($AI699,Programma!$F$3:$U$1107,16,0),"")</f>
        <v>1j</v>
      </c>
      <c r="AY699" s="300" t="str">
        <f>_xlfn.IFNA(VLOOKUP($AI699,Programma!$F$3:$V$1107,17,0),"")</f>
        <v>_</v>
      </c>
      <c r="AZ699" s="300" t="str">
        <f>_xlfn.IFNA(VLOOKUP($AI699,Programma!$F$3:$W$1107,18,0),"")</f>
        <v>_</v>
      </c>
      <c r="BA699" s="300" t="str">
        <f>_xlfn.IFNA(VLOOKUP($AI699,Programma!$F$3:$X$1107,19,0),"")</f>
        <v>_</v>
      </c>
      <c r="BB699" s="300" t="str">
        <f>_xlfn.IFNA(VLOOKUP($AI699,Programma!$F$3:$Y$1107,20,0),"")</f>
        <v>_</v>
      </c>
      <c r="BC699" s="257"/>
      <c r="BD699" s="256" t="str">
        <f>IF(Ruimtestaat[[#This Row],[Frequentie weekend]]="","",_xlfn.CONCAT(Ruimtestaat[[#This Row],[Ruimte code]],"-",Ruimtestaat[[#This Row],[Frequentie weekend]]," ",Ruimtestaat[[#This Row],[Vloer code]]))</f>
        <v/>
      </c>
      <c r="BE699" s="300" t="str">
        <f>_xlfn.IFNA(VLOOKUP($BD699,Programma!$F$3:$G$1107,2,0),"")</f>
        <v/>
      </c>
      <c r="BF699" s="300" t="str">
        <f>_xlfn.IFNA(VLOOKUP($BD699,Programma!$F$3:$H$1107,3,0),"")</f>
        <v/>
      </c>
      <c r="BG699" s="300" t="str">
        <f>_xlfn.IFNA(VLOOKUP($BD699,Programma!$F$3:$I$1107,4,0),"")</f>
        <v/>
      </c>
      <c r="BH699" s="300" t="str">
        <f>_xlfn.IFNA(VLOOKUP($BD699,Programma!$F$3:$J$1107,5,0),"")</f>
        <v/>
      </c>
      <c r="BI699" s="300" t="str">
        <f>_xlfn.IFNA(VLOOKUP($BD699,Programma!$F$3:$K$1107,6,0),"")</f>
        <v/>
      </c>
      <c r="BJ699" s="300" t="str">
        <f>_xlfn.IFNA(VLOOKUP($BD699,Programma!$F$3:$L$1107,7,0),"")</f>
        <v/>
      </c>
      <c r="BK699" s="300" t="str">
        <f>_xlfn.IFNA(VLOOKUP($BD699,Programma!$F$3:$M$1107,8,0),"")</f>
        <v/>
      </c>
      <c r="BL699" s="300" t="str">
        <f>_xlfn.IFNA(VLOOKUP($BD699,Programma!$F$3:$N$1107,9,0),"")</f>
        <v/>
      </c>
      <c r="BM699" s="300" t="str">
        <f>_xlfn.IFNA(VLOOKUP($BD699,Programma!$F$3:$O$1107,10,0),"")</f>
        <v/>
      </c>
      <c r="BN699" s="300" t="str">
        <f>_xlfn.IFNA(VLOOKUP($BD699,Programma!$F$3:$P$1107,11,0),"")</f>
        <v/>
      </c>
      <c r="BO699" s="300" t="str">
        <f>_xlfn.IFNA(VLOOKUP($BD699,Programma!$F$3:$Q$1107,12,0),"")</f>
        <v/>
      </c>
      <c r="BP699" s="300" t="str">
        <f>_xlfn.IFNA(VLOOKUP($BD699,Programma!$F$3:$R$1107,13,0),"")</f>
        <v/>
      </c>
      <c r="BQ699" s="300" t="str">
        <f>_xlfn.IFNA(VLOOKUP($BD699,Programma!$F$3:$S$1107,14,0),"")</f>
        <v/>
      </c>
      <c r="BR699" s="300" t="str">
        <f>_xlfn.IFNA(VLOOKUP($BD699,Programma!$F$3:$T$1107,15,0),"")</f>
        <v/>
      </c>
      <c r="BS699" s="300" t="str">
        <f>_xlfn.IFNA(VLOOKUP($BD699,Programma!$F$3:$U$1107,16,0),"")</f>
        <v/>
      </c>
      <c r="BT699" s="300" t="str">
        <f>_xlfn.IFNA(VLOOKUP($BD699,Programma!$F$3:$V$1107,17,0),"")</f>
        <v/>
      </c>
      <c r="BU699" s="300" t="str">
        <f>_xlfn.IFNA(VLOOKUP($BD699,Programma!$F$3:$W$1107,18,0),"")</f>
        <v/>
      </c>
      <c r="BV699" s="300" t="str">
        <f>_xlfn.IFNA(VLOOKUP($BD699,Programma!$F$3:$X$1107,19,0),"")</f>
        <v/>
      </c>
      <c r="BW699" s="300" t="str">
        <f>_xlfn.IFNA(VLOOKUP($BD699,Programma!$F$3:$Y$1107,20,0),"")</f>
        <v/>
      </c>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c r="GK699" s="4"/>
      <c r="GL699" s="4"/>
      <c r="GM699" s="4"/>
      <c r="GN699" s="4"/>
      <c r="GO699" s="4"/>
      <c r="GP699" s="4"/>
      <c r="GQ699" s="4"/>
      <c r="GR699" s="4"/>
      <c r="GS699" s="4"/>
      <c r="GT699" s="4"/>
      <c r="GU699" s="4"/>
      <c r="GV699" s="4"/>
      <c r="GW699" s="4"/>
      <c r="GX699" s="4"/>
      <c r="GY699" s="4"/>
      <c r="GZ699" s="4"/>
      <c r="HA699" s="4"/>
      <c r="HB699" s="4"/>
      <c r="HC699" s="4"/>
      <c r="HD699" s="4"/>
      <c r="HE699" s="4"/>
      <c r="HF699" s="4"/>
      <c r="HG699" s="4"/>
      <c r="HH699" s="4"/>
      <c r="HI699" s="4"/>
      <c r="HJ699" s="4"/>
      <c r="HK699" s="4"/>
      <c r="HL699" s="4"/>
    </row>
    <row r="700" spans="1:220" ht="15" customHeight="1">
      <c r="A700" s="21">
        <v>8</v>
      </c>
      <c r="B700" s="157" t="str">
        <f>VLOOKUP(Ruimtestaat[[#This Row],[Code]],Locaties[[Code]:[Locatie]],2,FALSE)</f>
        <v>Dalton College</v>
      </c>
      <c r="C700" s="157" t="str">
        <f>VLOOKUP(Ruimtestaat[[#This Row],[Code]],Locaties[[#All],[Code]:[Adres]],4,FALSE)</f>
        <v>Loolaan 125</v>
      </c>
      <c r="D700" s="157" t="str">
        <f>VLOOKUP(Ruimtestaat[[#This Row],[Code]],Locaties[[#All],[Code]:[Postcode]],5,FALSE)</f>
        <v xml:space="preserve">2271 TM </v>
      </c>
      <c r="E700" s="157" t="str">
        <f>VLOOKUP(Ruimtestaat[[#This Row],[Code]],Locaties[#All],6,FALSE)</f>
        <v>Voorburg</v>
      </c>
      <c r="F700" s="62"/>
      <c r="G700" s="21" t="s">
        <v>1632</v>
      </c>
      <c r="H700" s="21">
        <v>37</v>
      </c>
      <c r="I700" s="62" t="s">
        <v>2215</v>
      </c>
      <c r="J700" s="21">
        <v>5</v>
      </c>
      <c r="K700" s="62" t="str">
        <f>VLOOKUP(Ruimtestaat[[#This Row],[Ruimte code]],Ruimtegroepen[[#All],[Code]:[Ruimte omschrijving]],2,FALSE)</f>
        <v>Sanitair</v>
      </c>
      <c r="L700" s="33" t="s">
        <v>102</v>
      </c>
      <c r="M700" s="367" t="s">
        <v>2509</v>
      </c>
      <c r="N700" s="140">
        <v>29</v>
      </c>
      <c r="O700" s="140"/>
      <c r="P700" s="125" t="str">
        <f>VLOOKUP(Ruimtestaat[[#This Row],[Ruimte code]],Ruimtegroepen[],4,FALSE)</f>
        <v>Sa</v>
      </c>
      <c r="R700" s="33">
        <v>40</v>
      </c>
      <c r="S700" s="33" t="s">
        <v>2</v>
      </c>
      <c r="T700" s="33">
        <f>IF(R700&gt;0,IF(RIGHT(Ruimtestaat[[#This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00" s="33">
        <f>IF(T700&gt;0,VLOOKUP($J700,Ruimtegroepen[],3,FALSE)*VLOOKUP($L700,Vloersoorten[],3,FALSE)*VLOOKUP($S700,Frequenties[],3,FALSE)*VLOOKUP($A700,Locaties[],3,FALSE),0)</f>
        <v>0</v>
      </c>
      <c r="V700" s="33">
        <f>Ruimtestaat[[#This Row],[Uitvoeringen werkdagen]]*Ruimtestaat[[#This Row],[Oppervlak (netto)]]</f>
        <v>5800</v>
      </c>
      <c r="W700" s="154">
        <f>IF(U700&gt;0,Ruimtestaat[[#This Row],[Prest. (m2 /jaar) werkdagen]]/Ruimtestaat[[#This Row],[Norm (m2/uur) werkdagen]],0)</f>
        <v>0</v>
      </c>
      <c r="X700" s="155">
        <f>Ruimtestaat[[#This Row],[uren / jaar werkdagen]]*Tariefsopbouw!$E$35</f>
        <v>0</v>
      </c>
      <c r="Y700" s="33"/>
      <c r="Z700" s="33">
        <f>IF(Ruimtestaat[[#This Row],[Frequentie weekend]]&gt;0,VALUE(LEFT(Y700,1))*R700,0)</f>
        <v>0</v>
      </c>
      <c r="AA700" s="97">
        <f>IF($Z700&gt;0,VLOOKUP($J700,Ruimtegroepen[],3,FALSE)*VLOOKUP($L700,Vloersoorten[],3,FALSE)*VLOOKUP($Y700,Frequenties[],3,FALSE)*VLOOKUP(Ruimtestaat[[#This Row],[Code]],Locaties[],3,FALSE),0)</f>
        <v>0</v>
      </c>
      <c r="AB700" s="97">
        <f>Ruimtestaat[[#This Row],[Uitvoeringen weekend]]*Ruimtestaat[[#This Row],[Oppervlak (netto)]]</f>
        <v>0</v>
      </c>
      <c r="AC700" s="97">
        <f>IF(AA700&gt;0,Ruimtestaat[[#This Row],[Prest. (m2 /jaar) weekend]]/Ruimtestaat[[#This Row],[Norm (m2/uur) weekend]],0)</f>
        <v>0</v>
      </c>
      <c r="AD700" s="155">
        <f>Ruimtestaat[[#This Row],[uren / jaar weekend]]*Tariefsopbouw!$D$40</f>
        <v>0</v>
      </c>
      <c r="AE700" s="154">
        <f>Ruimtestaat[[#This Row],[Prest. (m2 /jaar) weekend]]+Ruimtestaat[[#This Row],[Prest. (m2 /jaar) werkdagen]]</f>
        <v>5800</v>
      </c>
      <c r="AF700" s="154">
        <f>Ruimtestaat[[#This Row],[uren / jaar weekend]]+Ruimtestaat[[#This Row],[uren / jaar werkdagen]]</f>
        <v>0</v>
      </c>
      <c r="AG700" s="69">
        <f>Ruimtestaat[[#This Row],[kosten / jaar weekend]]+Ruimtestaat[[#This Row],[kosten / jaar werkdagen]]</f>
        <v>0</v>
      </c>
      <c r="AH700" s="69"/>
      <c r="AI700" s="256" t="str">
        <f>IF(Ruimtestaat[[#This Row],[Frequentie werkdagen]]="","",_xlfn.CONCAT(Ruimtestaat[[#This Row],[Ruimte code]],"-",Ruimtestaat[[#This Row],[Frequentie werkdagen]]," ",Ruimtestaat[[#This Row],[Vloer code]]))</f>
        <v>5-5w S</v>
      </c>
      <c r="AJ700" s="300" t="str">
        <f>_xlfn.IFNA(VLOOKUP($AI700,Programma!$F$3:$G$1107,2,0),"")</f>
        <v>_</v>
      </c>
      <c r="AK700" s="300" t="str">
        <f>_xlfn.IFNA(VLOOKUP($AI700,Programma!$F$3:$H$1107,3,0),"")</f>
        <v>_</v>
      </c>
      <c r="AL700" s="300" t="str">
        <f>_xlfn.IFNA(VLOOKUP($AI700,Programma!$F$3:$I$1107,4,0),"")</f>
        <v>_</v>
      </c>
      <c r="AM700" s="300" t="str">
        <f>_xlfn.IFNA(VLOOKUP($AI700,Programma!$F$3:$J$1107,5,0),"")</f>
        <v>4w</v>
      </c>
      <c r="AN700" s="300" t="str">
        <f>_xlfn.IFNA(VLOOKUP($AI700,Programma!$F$3:$K$1107,6,0),"")</f>
        <v>1w</v>
      </c>
      <c r="AO700" s="300" t="str">
        <f>_xlfn.IFNA(VLOOKUP($AI700,Programma!$F$3:$L$1107,7,0),"")</f>
        <v>_</v>
      </c>
      <c r="AP700" s="300" t="str">
        <f>_xlfn.IFNA(VLOOKUP($AI700,Programma!$F$3:$M$1107,8,0),"")</f>
        <v>_</v>
      </c>
      <c r="AQ700" s="300" t="str">
        <f>_xlfn.IFNA(VLOOKUP($AI700,Programma!$F$3:$N$1107,9,0),"")</f>
        <v>_</v>
      </c>
      <c r="AR700" s="300" t="str">
        <f>_xlfn.IFNA(VLOOKUP($AI700,Programma!$F$3:$O$1107,10,0),"")</f>
        <v>_</v>
      </c>
      <c r="AS700" s="300" t="str">
        <f>_xlfn.IFNA(VLOOKUP($AI700,Programma!$F$3:$P$1107,11,0),"")</f>
        <v>_</v>
      </c>
      <c r="AT700" s="300" t="str">
        <f>_xlfn.IFNA(VLOOKUP($AI700,Programma!$F$3:$Q$1107,12,0),"")</f>
        <v>_</v>
      </c>
      <c r="AU700" s="300" t="str">
        <f>_xlfn.IFNA(VLOOKUP($AI700,Programma!$F$3:$R$1107,13,0),"")</f>
        <v>_</v>
      </c>
      <c r="AV700" s="300" t="str">
        <f>_xlfn.IFNA(VLOOKUP($AI700,Programma!$F$3:$S$1107,14,0),"")</f>
        <v>_</v>
      </c>
      <c r="AW700" s="300" t="str">
        <f>_xlfn.IFNA(VLOOKUP($AI700,Programma!$F$3:$T$1107,15,0),"")</f>
        <v>_</v>
      </c>
      <c r="AX700" s="300" t="str">
        <f>_xlfn.IFNA(VLOOKUP($AI700,Programma!$F$3:$U$1107,16,0),"")</f>
        <v>_</v>
      </c>
      <c r="AY700" s="300" t="str">
        <f>_xlfn.IFNA(VLOOKUP($AI700,Programma!$F$3:$V$1107,17,0),"")</f>
        <v>_</v>
      </c>
      <c r="AZ700" s="300" t="str">
        <f>_xlfn.IFNA(VLOOKUP($AI700,Programma!$F$3:$W$1107,18,0),"")</f>
        <v>4w</v>
      </c>
      <c r="BA700" s="300" t="str">
        <f>_xlfn.IFNA(VLOOKUP($AI700,Programma!$F$3:$X$1107,19,0),"")</f>
        <v>1w</v>
      </c>
      <c r="BB700" s="300" t="str">
        <f>_xlfn.IFNA(VLOOKUP($AI700,Programma!$F$3:$Y$1107,20,0),"")</f>
        <v>_</v>
      </c>
      <c r="BC700" s="257"/>
      <c r="BD700" s="256" t="str">
        <f>IF(Ruimtestaat[[#This Row],[Frequentie weekend]]="","",_xlfn.CONCAT(Ruimtestaat[[#This Row],[Ruimte code]],"-",Ruimtestaat[[#This Row],[Frequentie weekend]]," ",Ruimtestaat[[#This Row],[Vloer code]]))</f>
        <v/>
      </c>
      <c r="BE700" s="300" t="str">
        <f>_xlfn.IFNA(VLOOKUP($BD700,Programma!$F$3:$G$1107,2,0),"")</f>
        <v/>
      </c>
      <c r="BF700" s="300" t="str">
        <f>_xlfn.IFNA(VLOOKUP($BD700,Programma!$F$3:$H$1107,3,0),"")</f>
        <v/>
      </c>
      <c r="BG700" s="300" t="str">
        <f>_xlfn.IFNA(VLOOKUP($BD700,Programma!$F$3:$I$1107,4,0),"")</f>
        <v/>
      </c>
      <c r="BH700" s="300" t="str">
        <f>_xlfn.IFNA(VLOOKUP($BD700,Programma!$F$3:$J$1107,5,0),"")</f>
        <v/>
      </c>
      <c r="BI700" s="300" t="str">
        <f>_xlfn.IFNA(VLOOKUP($BD700,Programma!$F$3:$K$1107,6,0),"")</f>
        <v/>
      </c>
      <c r="BJ700" s="300" t="str">
        <f>_xlfn.IFNA(VLOOKUP($BD700,Programma!$F$3:$L$1107,7,0),"")</f>
        <v/>
      </c>
      <c r="BK700" s="300" t="str">
        <f>_xlfn.IFNA(VLOOKUP($BD700,Programma!$F$3:$M$1107,8,0),"")</f>
        <v/>
      </c>
      <c r="BL700" s="300" t="str">
        <f>_xlfn.IFNA(VLOOKUP($BD700,Programma!$F$3:$N$1107,9,0),"")</f>
        <v/>
      </c>
      <c r="BM700" s="300" t="str">
        <f>_xlfn.IFNA(VLOOKUP($BD700,Programma!$F$3:$O$1107,10,0),"")</f>
        <v/>
      </c>
      <c r="BN700" s="300" t="str">
        <f>_xlfn.IFNA(VLOOKUP($BD700,Programma!$F$3:$P$1107,11,0),"")</f>
        <v/>
      </c>
      <c r="BO700" s="300" t="str">
        <f>_xlfn.IFNA(VLOOKUP($BD700,Programma!$F$3:$Q$1107,12,0),"")</f>
        <v/>
      </c>
      <c r="BP700" s="300" t="str">
        <f>_xlfn.IFNA(VLOOKUP($BD700,Programma!$F$3:$R$1107,13,0),"")</f>
        <v/>
      </c>
      <c r="BQ700" s="300" t="str">
        <f>_xlfn.IFNA(VLOOKUP($BD700,Programma!$F$3:$S$1107,14,0),"")</f>
        <v/>
      </c>
      <c r="BR700" s="300" t="str">
        <f>_xlfn.IFNA(VLOOKUP($BD700,Programma!$F$3:$T$1107,15,0),"")</f>
        <v/>
      </c>
      <c r="BS700" s="300" t="str">
        <f>_xlfn.IFNA(VLOOKUP($BD700,Programma!$F$3:$U$1107,16,0),"")</f>
        <v/>
      </c>
      <c r="BT700" s="300" t="str">
        <f>_xlfn.IFNA(VLOOKUP($BD700,Programma!$F$3:$V$1107,17,0),"")</f>
        <v/>
      </c>
      <c r="BU700" s="300" t="str">
        <f>_xlfn.IFNA(VLOOKUP($BD700,Programma!$F$3:$W$1107,18,0),"")</f>
        <v/>
      </c>
      <c r="BV700" s="300" t="str">
        <f>_xlfn.IFNA(VLOOKUP($BD700,Programma!$F$3:$X$1107,19,0),"")</f>
        <v/>
      </c>
      <c r="BW700" s="300" t="str">
        <f>_xlfn.IFNA(VLOOKUP($BD700,Programma!$F$3:$Y$1107,20,0),"")</f>
        <v/>
      </c>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c r="GK700" s="4"/>
      <c r="GL700" s="4"/>
      <c r="GM700" s="4"/>
      <c r="GN700" s="4"/>
      <c r="GO700" s="4"/>
      <c r="GP700" s="4"/>
      <c r="GQ700" s="4"/>
      <c r="GR700" s="4"/>
      <c r="GS700" s="4"/>
      <c r="GT700" s="4"/>
      <c r="GU700" s="4"/>
      <c r="GV700" s="4"/>
      <c r="GW700" s="4"/>
      <c r="GX700" s="4"/>
      <c r="GY700" s="4"/>
      <c r="GZ700" s="4"/>
      <c r="HA700" s="4"/>
      <c r="HB700" s="4"/>
      <c r="HC700" s="4"/>
      <c r="HD700" s="4"/>
      <c r="HE700" s="4"/>
      <c r="HF700" s="4"/>
      <c r="HG700" s="4"/>
      <c r="HH700" s="4"/>
      <c r="HI700" s="4"/>
      <c r="HJ700" s="4"/>
      <c r="HK700" s="4"/>
      <c r="HL700" s="4"/>
    </row>
    <row r="701" spans="1:220" ht="15" customHeight="1">
      <c r="A701" s="21">
        <v>8</v>
      </c>
      <c r="B701" s="157" t="str">
        <f>VLOOKUP(Ruimtestaat[[#This Row],[Code]],Locaties[[Code]:[Locatie]],2,FALSE)</f>
        <v>Dalton College</v>
      </c>
      <c r="C701" s="157" t="str">
        <f>VLOOKUP(Ruimtestaat[[#This Row],[Code]],Locaties[[#All],[Code]:[Adres]],4,FALSE)</f>
        <v>Loolaan 125</v>
      </c>
      <c r="D701" s="157" t="str">
        <f>VLOOKUP(Ruimtestaat[[#This Row],[Code]],Locaties[[#All],[Code]:[Postcode]],5,FALSE)</f>
        <v xml:space="preserve">2271 TM </v>
      </c>
      <c r="E701" s="157" t="str">
        <f>VLOOKUP(Ruimtestaat[[#This Row],[Code]],Locaties[#All],6,FALSE)</f>
        <v>Voorburg</v>
      </c>
      <c r="F701" s="62"/>
      <c r="G701" s="21" t="s">
        <v>1632</v>
      </c>
      <c r="H701" s="21">
        <v>38</v>
      </c>
      <c r="I701" s="62" t="s">
        <v>1627</v>
      </c>
      <c r="J701" s="21">
        <v>5</v>
      </c>
      <c r="K701" s="62" t="str">
        <f>VLOOKUP(Ruimtestaat[[#This Row],[Ruimte code]],Ruimtegroepen[[#All],[Code]:[Ruimte omschrijving]],2,FALSE)</f>
        <v>Sanitair</v>
      </c>
      <c r="L701" s="33" t="s">
        <v>102</v>
      </c>
      <c r="M701" s="367" t="s">
        <v>2509</v>
      </c>
      <c r="N701" s="140">
        <v>5</v>
      </c>
      <c r="O701" s="140"/>
      <c r="P701" s="125" t="str">
        <f>VLOOKUP(Ruimtestaat[[#This Row],[Ruimte code]],Ruimtegroepen[],4,FALSE)</f>
        <v>Sa</v>
      </c>
      <c r="R701" s="33">
        <v>40</v>
      </c>
      <c r="S701" s="33" t="s">
        <v>2</v>
      </c>
      <c r="T701" s="33">
        <f>IF(R701&gt;0,IF(RIGHT(Ruimtestaat[[#This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01" s="33">
        <f>IF(T701&gt;0,VLOOKUP($J701,Ruimtegroepen[],3,FALSE)*VLOOKUP($L701,Vloersoorten[],3,FALSE)*VLOOKUP($S701,Frequenties[],3,FALSE)*VLOOKUP($A701,Locaties[],3,FALSE),0)</f>
        <v>0</v>
      </c>
      <c r="V701" s="33">
        <f>Ruimtestaat[[#This Row],[Uitvoeringen werkdagen]]*Ruimtestaat[[#This Row],[Oppervlak (netto)]]</f>
        <v>1000</v>
      </c>
      <c r="W701" s="154">
        <f>IF(U701&gt;0,Ruimtestaat[[#This Row],[Prest. (m2 /jaar) werkdagen]]/Ruimtestaat[[#This Row],[Norm (m2/uur) werkdagen]],0)</f>
        <v>0</v>
      </c>
      <c r="X701" s="155">
        <f>Ruimtestaat[[#This Row],[uren / jaar werkdagen]]*Tariefsopbouw!$E$35</f>
        <v>0</v>
      </c>
      <c r="Y701" s="33"/>
      <c r="Z701" s="33">
        <f>IF(Ruimtestaat[[#This Row],[Frequentie weekend]]&gt;0,VALUE(LEFT(Y701,1))*R701,0)</f>
        <v>0</v>
      </c>
      <c r="AA701" s="97">
        <f>IF($Z701&gt;0,VLOOKUP($J701,Ruimtegroepen[],3,FALSE)*VLOOKUP($L701,Vloersoorten[],3,FALSE)*VLOOKUP($Y701,Frequenties[],3,FALSE)*VLOOKUP(Ruimtestaat[[#This Row],[Code]],Locaties[],3,FALSE),0)</f>
        <v>0</v>
      </c>
      <c r="AB701" s="97">
        <f>Ruimtestaat[[#This Row],[Uitvoeringen weekend]]*Ruimtestaat[[#This Row],[Oppervlak (netto)]]</f>
        <v>0</v>
      </c>
      <c r="AC701" s="97">
        <f>IF(AA701&gt;0,Ruimtestaat[[#This Row],[Prest. (m2 /jaar) weekend]]/Ruimtestaat[[#This Row],[Norm (m2/uur) weekend]],0)</f>
        <v>0</v>
      </c>
      <c r="AD701" s="155">
        <f>Ruimtestaat[[#This Row],[uren / jaar weekend]]*Tariefsopbouw!$D$40</f>
        <v>0</v>
      </c>
      <c r="AE701" s="154">
        <f>Ruimtestaat[[#This Row],[Prest. (m2 /jaar) weekend]]+Ruimtestaat[[#This Row],[Prest. (m2 /jaar) werkdagen]]</f>
        <v>1000</v>
      </c>
      <c r="AF701" s="154">
        <f>Ruimtestaat[[#This Row],[uren / jaar weekend]]+Ruimtestaat[[#This Row],[uren / jaar werkdagen]]</f>
        <v>0</v>
      </c>
      <c r="AG701" s="69">
        <f>Ruimtestaat[[#This Row],[kosten / jaar weekend]]+Ruimtestaat[[#This Row],[kosten / jaar werkdagen]]</f>
        <v>0</v>
      </c>
      <c r="AH701" s="69"/>
      <c r="AI701" s="256" t="str">
        <f>IF(Ruimtestaat[[#This Row],[Frequentie werkdagen]]="","",_xlfn.CONCAT(Ruimtestaat[[#This Row],[Ruimte code]],"-",Ruimtestaat[[#This Row],[Frequentie werkdagen]]," ",Ruimtestaat[[#This Row],[Vloer code]]))</f>
        <v>5-5w S</v>
      </c>
      <c r="AJ701" s="300" t="str">
        <f>_xlfn.IFNA(VLOOKUP($AI701,Programma!$F$3:$G$1107,2,0),"")</f>
        <v>_</v>
      </c>
      <c r="AK701" s="300" t="str">
        <f>_xlfn.IFNA(VLOOKUP($AI701,Programma!$F$3:$H$1107,3,0),"")</f>
        <v>_</v>
      </c>
      <c r="AL701" s="300" t="str">
        <f>_xlfn.IFNA(VLOOKUP($AI701,Programma!$F$3:$I$1107,4,0),"")</f>
        <v>_</v>
      </c>
      <c r="AM701" s="300" t="str">
        <f>_xlfn.IFNA(VLOOKUP($AI701,Programma!$F$3:$J$1107,5,0),"")</f>
        <v>4w</v>
      </c>
      <c r="AN701" s="300" t="str">
        <f>_xlfn.IFNA(VLOOKUP($AI701,Programma!$F$3:$K$1107,6,0),"")</f>
        <v>1w</v>
      </c>
      <c r="AO701" s="300" t="str">
        <f>_xlfn.IFNA(VLOOKUP($AI701,Programma!$F$3:$L$1107,7,0),"")</f>
        <v>_</v>
      </c>
      <c r="AP701" s="300" t="str">
        <f>_xlfn.IFNA(VLOOKUP($AI701,Programma!$F$3:$M$1107,8,0),"")</f>
        <v>_</v>
      </c>
      <c r="AQ701" s="300" t="str">
        <f>_xlfn.IFNA(VLOOKUP($AI701,Programma!$F$3:$N$1107,9,0),"")</f>
        <v>_</v>
      </c>
      <c r="AR701" s="300" t="str">
        <f>_xlfn.IFNA(VLOOKUP($AI701,Programma!$F$3:$O$1107,10,0),"")</f>
        <v>_</v>
      </c>
      <c r="AS701" s="300" t="str">
        <f>_xlfn.IFNA(VLOOKUP($AI701,Programma!$F$3:$P$1107,11,0),"")</f>
        <v>_</v>
      </c>
      <c r="AT701" s="300" t="str">
        <f>_xlfn.IFNA(VLOOKUP($AI701,Programma!$F$3:$Q$1107,12,0),"")</f>
        <v>_</v>
      </c>
      <c r="AU701" s="300" t="str">
        <f>_xlfn.IFNA(VLOOKUP($AI701,Programma!$F$3:$R$1107,13,0),"")</f>
        <v>_</v>
      </c>
      <c r="AV701" s="300" t="str">
        <f>_xlfn.IFNA(VLOOKUP($AI701,Programma!$F$3:$S$1107,14,0),"")</f>
        <v>_</v>
      </c>
      <c r="AW701" s="300" t="str">
        <f>_xlfn.IFNA(VLOOKUP($AI701,Programma!$F$3:$T$1107,15,0),"")</f>
        <v>_</v>
      </c>
      <c r="AX701" s="300" t="str">
        <f>_xlfn.IFNA(VLOOKUP($AI701,Programma!$F$3:$U$1107,16,0),"")</f>
        <v>_</v>
      </c>
      <c r="AY701" s="300" t="str">
        <f>_xlfn.IFNA(VLOOKUP($AI701,Programma!$F$3:$V$1107,17,0),"")</f>
        <v>_</v>
      </c>
      <c r="AZ701" s="300" t="str">
        <f>_xlfn.IFNA(VLOOKUP($AI701,Programma!$F$3:$W$1107,18,0),"")</f>
        <v>4w</v>
      </c>
      <c r="BA701" s="300" t="str">
        <f>_xlfn.IFNA(VLOOKUP($AI701,Programma!$F$3:$X$1107,19,0),"")</f>
        <v>1w</v>
      </c>
      <c r="BB701" s="300" t="str">
        <f>_xlfn.IFNA(VLOOKUP($AI701,Programma!$F$3:$Y$1107,20,0),"")</f>
        <v>_</v>
      </c>
      <c r="BC701" s="257"/>
      <c r="BD701" s="256" t="str">
        <f>IF(Ruimtestaat[[#This Row],[Frequentie weekend]]="","",_xlfn.CONCAT(Ruimtestaat[[#This Row],[Ruimte code]],"-",Ruimtestaat[[#This Row],[Frequentie weekend]]," ",Ruimtestaat[[#This Row],[Vloer code]]))</f>
        <v/>
      </c>
      <c r="BE701" s="300" t="str">
        <f>_xlfn.IFNA(VLOOKUP($BD701,Programma!$F$3:$G$1107,2,0),"")</f>
        <v/>
      </c>
      <c r="BF701" s="300" t="str">
        <f>_xlfn.IFNA(VLOOKUP($BD701,Programma!$F$3:$H$1107,3,0),"")</f>
        <v/>
      </c>
      <c r="BG701" s="300" t="str">
        <f>_xlfn.IFNA(VLOOKUP($BD701,Programma!$F$3:$I$1107,4,0),"")</f>
        <v/>
      </c>
      <c r="BH701" s="300" t="str">
        <f>_xlfn.IFNA(VLOOKUP($BD701,Programma!$F$3:$J$1107,5,0),"")</f>
        <v/>
      </c>
      <c r="BI701" s="300" t="str">
        <f>_xlfn.IFNA(VLOOKUP($BD701,Programma!$F$3:$K$1107,6,0),"")</f>
        <v/>
      </c>
      <c r="BJ701" s="300" t="str">
        <f>_xlfn.IFNA(VLOOKUP($BD701,Programma!$F$3:$L$1107,7,0),"")</f>
        <v/>
      </c>
      <c r="BK701" s="300" t="str">
        <f>_xlfn.IFNA(VLOOKUP($BD701,Programma!$F$3:$M$1107,8,0),"")</f>
        <v/>
      </c>
      <c r="BL701" s="300" t="str">
        <f>_xlfn.IFNA(VLOOKUP($BD701,Programma!$F$3:$N$1107,9,0),"")</f>
        <v/>
      </c>
      <c r="BM701" s="300" t="str">
        <f>_xlfn.IFNA(VLOOKUP($BD701,Programma!$F$3:$O$1107,10,0),"")</f>
        <v/>
      </c>
      <c r="BN701" s="300" t="str">
        <f>_xlfn.IFNA(VLOOKUP($BD701,Programma!$F$3:$P$1107,11,0),"")</f>
        <v/>
      </c>
      <c r="BO701" s="300" t="str">
        <f>_xlfn.IFNA(VLOOKUP($BD701,Programma!$F$3:$Q$1107,12,0),"")</f>
        <v/>
      </c>
      <c r="BP701" s="300" t="str">
        <f>_xlfn.IFNA(VLOOKUP($BD701,Programma!$F$3:$R$1107,13,0),"")</f>
        <v/>
      </c>
      <c r="BQ701" s="300" t="str">
        <f>_xlfn.IFNA(VLOOKUP($BD701,Programma!$F$3:$S$1107,14,0),"")</f>
        <v/>
      </c>
      <c r="BR701" s="300" t="str">
        <f>_xlfn.IFNA(VLOOKUP($BD701,Programma!$F$3:$T$1107,15,0),"")</f>
        <v/>
      </c>
      <c r="BS701" s="300" t="str">
        <f>_xlfn.IFNA(VLOOKUP($BD701,Programma!$F$3:$U$1107,16,0),"")</f>
        <v/>
      </c>
      <c r="BT701" s="300" t="str">
        <f>_xlfn.IFNA(VLOOKUP($BD701,Programma!$F$3:$V$1107,17,0),"")</f>
        <v/>
      </c>
      <c r="BU701" s="300" t="str">
        <f>_xlfn.IFNA(VLOOKUP($BD701,Programma!$F$3:$W$1107,18,0),"")</f>
        <v/>
      </c>
      <c r="BV701" s="300" t="str">
        <f>_xlfn.IFNA(VLOOKUP($BD701,Programma!$F$3:$X$1107,19,0),"")</f>
        <v/>
      </c>
      <c r="BW701" s="300" t="str">
        <f>_xlfn.IFNA(VLOOKUP($BD701,Programma!$F$3:$Y$1107,20,0),"")</f>
        <v/>
      </c>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c r="GK701" s="4"/>
      <c r="GL701" s="4"/>
      <c r="GM701" s="4"/>
      <c r="GN701" s="4"/>
      <c r="GO701" s="4"/>
      <c r="GP701" s="4"/>
      <c r="GQ701" s="4"/>
      <c r="GR701" s="4"/>
      <c r="GS701" s="4"/>
      <c r="GT701" s="4"/>
      <c r="GU701" s="4"/>
      <c r="GV701" s="4"/>
      <c r="GW701" s="4"/>
      <c r="GX701" s="4"/>
      <c r="GY701" s="4"/>
      <c r="GZ701" s="4"/>
      <c r="HA701" s="4"/>
      <c r="HB701" s="4"/>
      <c r="HC701" s="4"/>
      <c r="HD701" s="4"/>
      <c r="HE701" s="4"/>
      <c r="HF701" s="4"/>
      <c r="HG701" s="4"/>
      <c r="HH701" s="4"/>
      <c r="HI701" s="4"/>
      <c r="HJ701" s="4"/>
      <c r="HK701" s="4"/>
      <c r="HL701" s="4"/>
    </row>
    <row r="702" spans="1:220" ht="15" customHeight="1">
      <c r="A702" s="21">
        <v>8</v>
      </c>
      <c r="B702" s="157" t="str">
        <f>VLOOKUP(Ruimtestaat[[#This Row],[Code]],Locaties[[Code]:[Locatie]],2,FALSE)</f>
        <v>Dalton College</v>
      </c>
      <c r="C702" s="157" t="str">
        <f>VLOOKUP(Ruimtestaat[[#This Row],[Code]],Locaties[[#All],[Code]:[Adres]],4,FALSE)</f>
        <v>Loolaan 125</v>
      </c>
      <c r="D702" s="157" t="str">
        <f>VLOOKUP(Ruimtestaat[[#This Row],[Code]],Locaties[[#All],[Code]:[Postcode]],5,FALSE)</f>
        <v xml:space="preserve">2271 TM </v>
      </c>
      <c r="E702" s="157" t="str">
        <f>VLOOKUP(Ruimtestaat[[#This Row],[Code]],Locaties[#All],6,FALSE)</f>
        <v>Voorburg</v>
      </c>
      <c r="F702" s="62"/>
      <c r="G702" s="21" t="s">
        <v>1632</v>
      </c>
      <c r="H702" s="21">
        <v>39</v>
      </c>
      <c r="I702" s="62" t="s">
        <v>2009</v>
      </c>
      <c r="J702" s="21">
        <v>19</v>
      </c>
      <c r="K702" s="62" t="str">
        <f>VLOOKUP(Ruimtestaat[[#This Row],[Ruimte code]],Ruimtegroepen[[#All],[Code]:[Ruimte omschrijving]],2,FALSE)</f>
        <v>kleedruimten</v>
      </c>
      <c r="L702" s="33" t="s">
        <v>102</v>
      </c>
      <c r="M702" s="367" t="s">
        <v>2509</v>
      </c>
      <c r="N702" s="140">
        <v>32</v>
      </c>
      <c r="O702" s="140"/>
      <c r="P702" s="125" t="str">
        <f>VLOOKUP(Ruimtestaat[[#This Row],[Ruimte code]],Ruimtegroepen[],4,FALSE)</f>
        <v>Ve</v>
      </c>
      <c r="R702" s="33">
        <v>40</v>
      </c>
      <c r="S702" s="33" t="s">
        <v>2</v>
      </c>
      <c r="T702" s="33">
        <f>IF(R702&gt;0,IF(RIGHT(Ruimtestaat[[#This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02" s="33">
        <f>IF(T702&gt;0,VLOOKUP($J702,Ruimtegroepen[],3,FALSE)*VLOOKUP($L702,Vloersoorten[],3,FALSE)*VLOOKUP($S702,Frequenties[],3,FALSE)*VLOOKUP($A702,Locaties[],3,FALSE),0)</f>
        <v>0</v>
      </c>
      <c r="V702" s="33">
        <f>Ruimtestaat[[#This Row],[Uitvoeringen werkdagen]]*Ruimtestaat[[#This Row],[Oppervlak (netto)]]</f>
        <v>6400</v>
      </c>
      <c r="W702" s="154">
        <f>IF(U702&gt;0,Ruimtestaat[[#This Row],[Prest. (m2 /jaar) werkdagen]]/Ruimtestaat[[#This Row],[Norm (m2/uur) werkdagen]],0)</f>
        <v>0</v>
      </c>
      <c r="X702" s="155">
        <f>Ruimtestaat[[#This Row],[uren / jaar werkdagen]]*Tariefsopbouw!$E$35</f>
        <v>0</v>
      </c>
      <c r="Y702" s="33"/>
      <c r="Z702" s="33">
        <f>IF(Ruimtestaat[[#This Row],[Frequentie weekend]]&gt;0,VALUE(LEFT(Y702,1))*R702,0)</f>
        <v>0</v>
      </c>
      <c r="AA702" s="97">
        <f>IF($Z702&gt;0,VLOOKUP($J702,Ruimtegroepen[],3,FALSE)*VLOOKUP($L702,Vloersoorten[],3,FALSE)*VLOOKUP($Y702,Frequenties[],3,FALSE)*VLOOKUP(Ruimtestaat[[#This Row],[Code]],Locaties[],3,FALSE),0)</f>
        <v>0</v>
      </c>
      <c r="AB702" s="97">
        <f>Ruimtestaat[[#This Row],[Uitvoeringen weekend]]*Ruimtestaat[[#This Row],[Oppervlak (netto)]]</f>
        <v>0</v>
      </c>
      <c r="AC702" s="97">
        <f>IF(AA702&gt;0,Ruimtestaat[[#This Row],[Prest. (m2 /jaar) weekend]]/Ruimtestaat[[#This Row],[Norm (m2/uur) weekend]],0)</f>
        <v>0</v>
      </c>
      <c r="AD702" s="155">
        <f>Ruimtestaat[[#This Row],[uren / jaar weekend]]*Tariefsopbouw!$D$40</f>
        <v>0</v>
      </c>
      <c r="AE702" s="154">
        <f>Ruimtestaat[[#This Row],[Prest. (m2 /jaar) weekend]]+Ruimtestaat[[#This Row],[Prest. (m2 /jaar) werkdagen]]</f>
        <v>6400</v>
      </c>
      <c r="AF702" s="154">
        <f>Ruimtestaat[[#This Row],[uren / jaar weekend]]+Ruimtestaat[[#This Row],[uren / jaar werkdagen]]</f>
        <v>0</v>
      </c>
      <c r="AG702" s="69">
        <f>Ruimtestaat[[#This Row],[kosten / jaar weekend]]+Ruimtestaat[[#This Row],[kosten / jaar werkdagen]]</f>
        <v>0</v>
      </c>
      <c r="AH702" s="69"/>
      <c r="AI702" s="256" t="str">
        <f>IF(Ruimtestaat[[#This Row],[Frequentie werkdagen]]="","",_xlfn.CONCAT(Ruimtestaat[[#This Row],[Ruimte code]],"-",Ruimtestaat[[#This Row],[Frequentie werkdagen]]," ",Ruimtestaat[[#This Row],[Vloer code]]))</f>
        <v>19-5w S</v>
      </c>
      <c r="AJ702" s="300" t="str">
        <f>_xlfn.IFNA(VLOOKUP($AI702,Programma!$F$3:$G$1107,2,0),"")</f>
        <v>_</v>
      </c>
      <c r="AK702" s="300" t="str">
        <f>_xlfn.IFNA(VLOOKUP($AI702,Programma!$F$3:$H$1107,3,0),"")</f>
        <v>_</v>
      </c>
      <c r="AL702" s="300" t="str">
        <f>_xlfn.IFNA(VLOOKUP($AI702,Programma!$F$3:$I$1107,4,0),"")</f>
        <v>5w</v>
      </c>
      <c r="AM702" s="300" t="str">
        <f>_xlfn.IFNA(VLOOKUP($AI702,Programma!$F$3:$J$1107,5,0),"")</f>
        <v>_</v>
      </c>
      <c r="AN702" s="300" t="str">
        <f>_xlfn.IFNA(VLOOKUP($AI702,Programma!$F$3:$K$1107,6,0),"")</f>
        <v>5w</v>
      </c>
      <c r="AO702" s="300" t="str">
        <f>_xlfn.IFNA(VLOOKUP($AI702,Programma!$F$3:$L$1107,7,0),"")</f>
        <v>_</v>
      </c>
      <c r="AP702" s="300" t="str">
        <f>_xlfn.IFNA(VLOOKUP($AI702,Programma!$F$3:$M$1107,8,0),"")</f>
        <v>_</v>
      </c>
      <c r="AQ702" s="300" t="str">
        <f>_xlfn.IFNA(VLOOKUP($AI702,Programma!$F$3:$N$1107,9,0),"")</f>
        <v>_</v>
      </c>
      <c r="AR702" s="300" t="str">
        <f>_xlfn.IFNA(VLOOKUP($AI702,Programma!$F$3:$O$1107,10,0),"")</f>
        <v>5w</v>
      </c>
      <c r="AS702" s="300" t="str">
        <f>_xlfn.IFNA(VLOOKUP($AI702,Programma!$F$3:$P$1107,11,0),"")</f>
        <v>5w</v>
      </c>
      <c r="AT702" s="300" t="str">
        <f>_xlfn.IFNA(VLOOKUP($AI702,Programma!$F$3:$Q$1107,12,0),"")</f>
        <v>1w</v>
      </c>
      <c r="AU702" s="300" t="str">
        <f>_xlfn.IFNA(VLOOKUP($AI702,Programma!$F$3:$R$1107,13,0),"")</f>
        <v>1w</v>
      </c>
      <c r="AV702" s="300" t="str">
        <f>_xlfn.IFNA(VLOOKUP($AI702,Programma!$F$3:$S$1107,14,0),"")</f>
        <v>1m</v>
      </c>
      <c r="AW702" s="300" t="str">
        <f>_xlfn.IFNA(VLOOKUP($AI702,Programma!$F$3:$T$1107,15,0),"")</f>
        <v>2j</v>
      </c>
      <c r="AX702" s="300" t="str">
        <f>_xlfn.IFNA(VLOOKUP($AI702,Programma!$F$3:$U$1107,16,0),"")</f>
        <v>1j</v>
      </c>
      <c r="AY702" s="300" t="str">
        <f>_xlfn.IFNA(VLOOKUP($AI702,Programma!$F$3:$V$1107,17,0),"")</f>
        <v>_</v>
      </c>
      <c r="AZ702" s="300" t="str">
        <f>_xlfn.IFNA(VLOOKUP($AI702,Programma!$F$3:$W$1107,18,0),"")</f>
        <v>_</v>
      </c>
      <c r="BA702" s="300" t="str">
        <f>_xlfn.IFNA(VLOOKUP($AI702,Programma!$F$3:$X$1107,19,0),"")</f>
        <v>_</v>
      </c>
      <c r="BB702" s="300" t="str">
        <f>_xlfn.IFNA(VLOOKUP($AI702,Programma!$F$3:$Y$1107,20,0),"")</f>
        <v>_</v>
      </c>
      <c r="BC702" s="257"/>
      <c r="BD702" s="256" t="str">
        <f>IF(Ruimtestaat[[#This Row],[Frequentie weekend]]="","",_xlfn.CONCAT(Ruimtestaat[[#This Row],[Ruimte code]],"-",Ruimtestaat[[#This Row],[Frequentie weekend]]," ",Ruimtestaat[[#This Row],[Vloer code]]))</f>
        <v/>
      </c>
      <c r="BE702" s="300" t="str">
        <f>_xlfn.IFNA(VLOOKUP($BD702,Programma!$F$3:$G$1107,2,0),"")</f>
        <v/>
      </c>
      <c r="BF702" s="300" t="str">
        <f>_xlfn.IFNA(VLOOKUP($BD702,Programma!$F$3:$H$1107,3,0),"")</f>
        <v/>
      </c>
      <c r="BG702" s="300" t="str">
        <f>_xlfn.IFNA(VLOOKUP($BD702,Programma!$F$3:$I$1107,4,0),"")</f>
        <v/>
      </c>
      <c r="BH702" s="300" t="str">
        <f>_xlfn.IFNA(VLOOKUP($BD702,Programma!$F$3:$J$1107,5,0),"")</f>
        <v/>
      </c>
      <c r="BI702" s="300" t="str">
        <f>_xlfn.IFNA(VLOOKUP($BD702,Programma!$F$3:$K$1107,6,0),"")</f>
        <v/>
      </c>
      <c r="BJ702" s="300" t="str">
        <f>_xlfn.IFNA(VLOOKUP($BD702,Programma!$F$3:$L$1107,7,0),"")</f>
        <v/>
      </c>
      <c r="BK702" s="300" t="str">
        <f>_xlfn.IFNA(VLOOKUP($BD702,Programma!$F$3:$M$1107,8,0),"")</f>
        <v/>
      </c>
      <c r="BL702" s="300" t="str">
        <f>_xlfn.IFNA(VLOOKUP($BD702,Programma!$F$3:$N$1107,9,0),"")</f>
        <v/>
      </c>
      <c r="BM702" s="300" t="str">
        <f>_xlfn.IFNA(VLOOKUP($BD702,Programma!$F$3:$O$1107,10,0),"")</f>
        <v/>
      </c>
      <c r="BN702" s="300" t="str">
        <f>_xlfn.IFNA(VLOOKUP($BD702,Programma!$F$3:$P$1107,11,0),"")</f>
        <v/>
      </c>
      <c r="BO702" s="300" t="str">
        <f>_xlfn.IFNA(VLOOKUP($BD702,Programma!$F$3:$Q$1107,12,0),"")</f>
        <v/>
      </c>
      <c r="BP702" s="300" t="str">
        <f>_xlfn.IFNA(VLOOKUP($BD702,Programma!$F$3:$R$1107,13,0),"")</f>
        <v/>
      </c>
      <c r="BQ702" s="300" t="str">
        <f>_xlfn.IFNA(VLOOKUP($BD702,Programma!$F$3:$S$1107,14,0),"")</f>
        <v/>
      </c>
      <c r="BR702" s="300" t="str">
        <f>_xlfn.IFNA(VLOOKUP($BD702,Programma!$F$3:$T$1107,15,0),"")</f>
        <v/>
      </c>
      <c r="BS702" s="300" t="str">
        <f>_xlfn.IFNA(VLOOKUP($BD702,Programma!$F$3:$U$1107,16,0),"")</f>
        <v/>
      </c>
      <c r="BT702" s="300" t="str">
        <f>_xlfn.IFNA(VLOOKUP($BD702,Programma!$F$3:$V$1107,17,0),"")</f>
        <v/>
      </c>
      <c r="BU702" s="300" t="str">
        <f>_xlfn.IFNA(VLOOKUP($BD702,Programma!$F$3:$W$1107,18,0),"")</f>
        <v/>
      </c>
      <c r="BV702" s="300" t="str">
        <f>_xlfn.IFNA(VLOOKUP($BD702,Programma!$F$3:$X$1107,19,0),"")</f>
        <v/>
      </c>
      <c r="BW702" s="300" t="str">
        <f>_xlfn.IFNA(VLOOKUP($BD702,Programma!$F$3:$Y$1107,20,0),"")</f>
        <v/>
      </c>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c r="GK702" s="4"/>
      <c r="GL702" s="4"/>
      <c r="GM702" s="4"/>
      <c r="GN702" s="4"/>
      <c r="GO702" s="4"/>
      <c r="GP702" s="4"/>
      <c r="GQ702" s="4"/>
      <c r="GR702" s="4"/>
      <c r="GS702" s="4"/>
      <c r="GT702" s="4"/>
      <c r="GU702" s="4"/>
      <c r="GV702" s="4"/>
      <c r="GW702" s="4"/>
      <c r="GX702" s="4"/>
      <c r="GY702" s="4"/>
      <c r="GZ702" s="4"/>
      <c r="HA702" s="4"/>
      <c r="HB702" s="4"/>
      <c r="HC702" s="4"/>
      <c r="HD702" s="4"/>
      <c r="HE702" s="4"/>
      <c r="HF702" s="4"/>
      <c r="HG702" s="4"/>
      <c r="HH702" s="4"/>
      <c r="HI702" s="4"/>
      <c r="HJ702" s="4"/>
      <c r="HK702" s="4"/>
      <c r="HL702" s="4"/>
    </row>
    <row r="703" spans="1:220" ht="15" customHeight="1">
      <c r="A703" s="21">
        <v>8</v>
      </c>
      <c r="B703" s="157" t="str">
        <f>VLOOKUP(Ruimtestaat[[#This Row],[Code]],Locaties[[Code]:[Locatie]],2,FALSE)</f>
        <v>Dalton College</v>
      </c>
      <c r="C703" s="157" t="str">
        <f>VLOOKUP(Ruimtestaat[[#This Row],[Code]],Locaties[[#All],[Code]:[Adres]],4,FALSE)</f>
        <v>Loolaan 125</v>
      </c>
      <c r="D703" s="157" t="str">
        <f>VLOOKUP(Ruimtestaat[[#This Row],[Code]],Locaties[[#All],[Code]:[Postcode]],5,FALSE)</f>
        <v xml:space="preserve">2271 TM </v>
      </c>
      <c r="E703" s="157" t="str">
        <f>VLOOKUP(Ruimtestaat[[#This Row],[Code]],Locaties[#All],6,FALSE)</f>
        <v>Voorburg</v>
      </c>
      <c r="F703" s="62"/>
      <c r="G703" s="21" t="s">
        <v>1632</v>
      </c>
      <c r="H703" s="21">
        <v>40</v>
      </c>
      <c r="I703" s="62" t="s">
        <v>2008</v>
      </c>
      <c r="J703" s="21">
        <v>19</v>
      </c>
      <c r="K703" s="62" t="str">
        <f>VLOOKUP(Ruimtestaat[[#This Row],[Ruimte code]],Ruimtegroepen[[#All],[Code]:[Ruimte omschrijving]],2,FALSE)</f>
        <v>kleedruimten</v>
      </c>
      <c r="L703" s="33" t="s">
        <v>102</v>
      </c>
      <c r="M703" s="367" t="s">
        <v>2509</v>
      </c>
      <c r="N703" s="140">
        <v>27</v>
      </c>
      <c r="O703" s="140"/>
      <c r="P703" s="125" t="str">
        <f>VLOOKUP(Ruimtestaat[[#This Row],[Ruimte code]],Ruimtegroepen[],4,FALSE)</f>
        <v>Ve</v>
      </c>
      <c r="R703" s="33">
        <v>40</v>
      </c>
      <c r="S703" s="33" t="s">
        <v>2</v>
      </c>
      <c r="T703" s="33">
        <f>IF(R703&gt;0,IF(RIGHT(Ruimtestaat[[#This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03" s="33">
        <f>IF(T703&gt;0,VLOOKUP($J703,Ruimtegroepen[],3,FALSE)*VLOOKUP($L703,Vloersoorten[],3,FALSE)*VLOOKUP($S703,Frequenties[],3,FALSE)*VLOOKUP($A703,Locaties[],3,FALSE),0)</f>
        <v>0</v>
      </c>
      <c r="V703" s="33">
        <f>Ruimtestaat[[#This Row],[Uitvoeringen werkdagen]]*Ruimtestaat[[#This Row],[Oppervlak (netto)]]</f>
        <v>5400</v>
      </c>
      <c r="W703" s="154">
        <f>IF(U703&gt;0,Ruimtestaat[[#This Row],[Prest. (m2 /jaar) werkdagen]]/Ruimtestaat[[#This Row],[Norm (m2/uur) werkdagen]],0)</f>
        <v>0</v>
      </c>
      <c r="X703" s="155">
        <f>Ruimtestaat[[#This Row],[uren / jaar werkdagen]]*Tariefsopbouw!$E$35</f>
        <v>0</v>
      </c>
      <c r="Y703" s="33"/>
      <c r="Z703" s="33">
        <f>IF(Ruimtestaat[[#This Row],[Frequentie weekend]]&gt;0,VALUE(LEFT(Y703,1))*R703,0)</f>
        <v>0</v>
      </c>
      <c r="AA703" s="97">
        <f>IF($Z703&gt;0,VLOOKUP($J703,Ruimtegroepen[],3,FALSE)*VLOOKUP($L703,Vloersoorten[],3,FALSE)*VLOOKUP($Y703,Frequenties[],3,FALSE)*VLOOKUP(Ruimtestaat[[#This Row],[Code]],Locaties[],3,FALSE),0)</f>
        <v>0</v>
      </c>
      <c r="AB703" s="97">
        <f>Ruimtestaat[[#This Row],[Uitvoeringen weekend]]*Ruimtestaat[[#This Row],[Oppervlak (netto)]]</f>
        <v>0</v>
      </c>
      <c r="AC703" s="97">
        <f>IF(AA703&gt;0,Ruimtestaat[[#This Row],[Prest. (m2 /jaar) weekend]]/Ruimtestaat[[#This Row],[Norm (m2/uur) weekend]],0)</f>
        <v>0</v>
      </c>
      <c r="AD703" s="155">
        <f>Ruimtestaat[[#This Row],[uren / jaar weekend]]*Tariefsopbouw!$D$40</f>
        <v>0</v>
      </c>
      <c r="AE703" s="154">
        <f>Ruimtestaat[[#This Row],[Prest. (m2 /jaar) weekend]]+Ruimtestaat[[#This Row],[Prest. (m2 /jaar) werkdagen]]</f>
        <v>5400</v>
      </c>
      <c r="AF703" s="154">
        <f>Ruimtestaat[[#This Row],[uren / jaar weekend]]+Ruimtestaat[[#This Row],[uren / jaar werkdagen]]</f>
        <v>0</v>
      </c>
      <c r="AG703" s="69">
        <f>Ruimtestaat[[#This Row],[kosten / jaar weekend]]+Ruimtestaat[[#This Row],[kosten / jaar werkdagen]]</f>
        <v>0</v>
      </c>
      <c r="AH703" s="69"/>
      <c r="AI703" s="256" t="str">
        <f>IF(Ruimtestaat[[#This Row],[Frequentie werkdagen]]="","",_xlfn.CONCAT(Ruimtestaat[[#This Row],[Ruimte code]],"-",Ruimtestaat[[#This Row],[Frequentie werkdagen]]," ",Ruimtestaat[[#This Row],[Vloer code]]))</f>
        <v>19-5w S</v>
      </c>
      <c r="AJ703" s="300" t="str">
        <f>_xlfn.IFNA(VLOOKUP($AI703,Programma!$F$3:$G$1107,2,0),"")</f>
        <v>_</v>
      </c>
      <c r="AK703" s="300" t="str">
        <f>_xlfn.IFNA(VLOOKUP($AI703,Programma!$F$3:$H$1107,3,0),"")</f>
        <v>_</v>
      </c>
      <c r="AL703" s="300" t="str">
        <f>_xlfn.IFNA(VLOOKUP($AI703,Programma!$F$3:$I$1107,4,0),"")</f>
        <v>5w</v>
      </c>
      <c r="AM703" s="300" t="str">
        <f>_xlfn.IFNA(VLOOKUP($AI703,Programma!$F$3:$J$1107,5,0),"")</f>
        <v>_</v>
      </c>
      <c r="AN703" s="300" t="str">
        <f>_xlfn.IFNA(VLOOKUP($AI703,Programma!$F$3:$K$1107,6,0),"")</f>
        <v>5w</v>
      </c>
      <c r="AO703" s="300" t="str">
        <f>_xlfn.IFNA(VLOOKUP($AI703,Programma!$F$3:$L$1107,7,0),"")</f>
        <v>_</v>
      </c>
      <c r="AP703" s="300" t="str">
        <f>_xlfn.IFNA(VLOOKUP($AI703,Programma!$F$3:$M$1107,8,0),"")</f>
        <v>_</v>
      </c>
      <c r="AQ703" s="300" t="str">
        <f>_xlfn.IFNA(VLOOKUP($AI703,Programma!$F$3:$N$1107,9,0),"")</f>
        <v>_</v>
      </c>
      <c r="AR703" s="300" t="str">
        <f>_xlfn.IFNA(VLOOKUP($AI703,Programma!$F$3:$O$1107,10,0),"")</f>
        <v>5w</v>
      </c>
      <c r="AS703" s="300" t="str">
        <f>_xlfn.IFNA(VLOOKUP($AI703,Programma!$F$3:$P$1107,11,0),"")</f>
        <v>5w</v>
      </c>
      <c r="AT703" s="300" t="str">
        <f>_xlfn.IFNA(VLOOKUP($AI703,Programma!$F$3:$Q$1107,12,0),"")</f>
        <v>1w</v>
      </c>
      <c r="AU703" s="300" t="str">
        <f>_xlfn.IFNA(VLOOKUP($AI703,Programma!$F$3:$R$1107,13,0),"")</f>
        <v>1w</v>
      </c>
      <c r="AV703" s="300" t="str">
        <f>_xlfn.IFNA(VLOOKUP($AI703,Programma!$F$3:$S$1107,14,0),"")</f>
        <v>1m</v>
      </c>
      <c r="AW703" s="300" t="str">
        <f>_xlfn.IFNA(VLOOKUP($AI703,Programma!$F$3:$T$1107,15,0),"")</f>
        <v>2j</v>
      </c>
      <c r="AX703" s="300" t="str">
        <f>_xlfn.IFNA(VLOOKUP($AI703,Programma!$F$3:$U$1107,16,0),"")</f>
        <v>1j</v>
      </c>
      <c r="AY703" s="300" t="str">
        <f>_xlfn.IFNA(VLOOKUP($AI703,Programma!$F$3:$V$1107,17,0),"")</f>
        <v>_</v>
      </c>
      <c r="AZ703" s="300" t="str">
        <f>_xlfn.IFNA(VLOOKUP($AI703,Programma!$F$3:$W$1107,18,0),"")</f>
        <v>_</v>
      </c>
      <c r="BA703" s="300" t="str">
        <f>_xlfn.IFNA(VLOOKUP($AI703,Programma!$F$3:$X$1107,19,0),"")</f>
        <v>_</v>
      </c>
      <c r="BB703" s="300" t="str">
        <f>_xlfn.IFNA(VLOOKUP($AI703,Programma!$F$3:$Y$1107,20,0),"")</f>
        <v>_</v>
      </c>
      <c r="BC703" s="257"/>
      <c r="BD703" s="256" t="str">
        <f>IF(Ruimtestaat[[#This Row],[Frequentie weekend]]="","",_xlfn.CONCAT(Ruimtestaat[[#This Row],[Ruimte code]],"-",Ruimtestaat[[#This Row],[Frequentie weekend]]," ",Ruimtestaat[[#This Row],[Vloer code]]))</f>
        <v/>
      </c>
      <c r="BE703" s="300" t="str">
        <f>_xlfn.IFNA(VLOOKUP($BD703,Programma!$F$3:$G$1107,2,0),"")</f>
        <v/>
      </c>
      <c r="BF703" s="300" t="str">
        <f>_xlfn.IFNA(VLOOKUP($BD703,Programma!$F$3:$H$1107,3,0),"")</f>
        <v/>
      </c>
      <c r="BG703" s="300" t="str">
        <f>_xlfn.IFNA(VLOOKUP($BD703,Programma!$F$3:$I$1107,4,0),"")</f>
        <v/>
      </c>
      <c r="BH703" s="300" t="str">
        <f>_xlfn.IFNA(VLOOKUP($BD703,Programma!$F$3:$J$1107,5,0),"")</f>
        <v/>
      </c>
      <c r="BI703" s="300" t="str">
        <f>_xlfn.IFNA(VLOOKUP($BD703,Programma!$F$3:$K$1107,6,0),"")</f>
        <v/>
      </c>
      <c r="BJ703" s="300" t="str">
        <f>_xlfn.IFNA(VLOOKUP($BD703,Programma!$F$3:$L$1107,7,0),"")</f>
        <v/>
      </c>
      <c r="BK703" s="300" t="str">
        <f>_xlfn.IFNA(VLOOKUP($BD703,Programma!$F$3:$M$1107,8,0),"")</f>
        <v/>
      </c>
      <c r="BL703" s="300" t="str">
        <f>_xlfn.IFNA(VLOOKUP($BD703,Programma!$F$3:$N$1107,9,0),"")</f>
        <v/>
      </c>
      <c r="BM703" s="300" t="str">
        <f>_xlfn.IFNA(VLOOKUP($BD703,Programma!$F$3:$O$1107,10,0),"")</f>
        <v/>
      </c>
      <c r="BN703" s="300" t="str">
        <f>_xlfn.IFNA(VLOOKUP($BD703,Programma!$F$3:$P$1107,11,0),"")</f>
        <v/>
      </c>
      <c r="BO703" s="300" t="str">
        <f>_xlfn.IFNA(VLOOKUP($BD703,Programma!$F$3:$Q$1107,12,0),"")</f>
        <v/>
      </c>
      <c r="BP703" s="300" t="str">
        <f>_xlfn.IFNA(VLOOKUP($BD703,Programma!$F$3:$R$1107,13,0),"")</f>
        <v/>
      </c>
      <c r="BQ703" s="300" t="str">
        <f>_xlfn.IFNA(VLOOKUP($BD703,Programma!$F$3:$S$1107,14,0),"")</f>
        <v/>
      </c>
      <c r="BR703" s="300" t="str">
        <f>_xlfn.IFNA(VLOOKUP($BD703,Programma!$F$3:$T$1107,15,0),"")</f>
        <v/>
      </c>
      <c r="BS703" s="300" t="str">
        <f>_xlfn.IFNA(VLOOKUP($BD703,Programma!$F$3:$U$1107,16,0),"")</f>
        <v/>
      </c>
      <c r="BT703" s="300" t="str">
        <f>_xlfn.IFNA(VLOOKUP($BD703,Programma!$F$3:$V$1107,17,0),"")</f>
        <v/>
      </c>
      <c r="BU703" s="300" t="str">
        <f>_xlfn.IFNA(VLOOKUP($BD703,Programma!$F$3:$W$1107,18,0),"")</f>
        <v/>
      </c>
      <c r="BV703" s="300" t="str">
        <f>_xlfn.IFNA(VLOOKUP($BD703,Programma!$F$3:$X$1107,19,0),"")</f>
        <v/>
      </c>
      <c r="BW703" s="300" t="str">
        <f>_xlfn.IFNA(VLOOKUP($BD703,Programma!$F$3:$Y$1107,20,0),"")</f>
        <v/>
      </c>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c r="GK703" s="4"/>
      <c r="GL703" s="4"/>
      <c r="GM703" s="4"/>
      <c r="GN703" s="4"/>
      <c r="GO703" s="4"/>
      <c r="GP703" s="4"/>
      <c r="GQ703" s="4"/>
      <c r="GR703" s="4"/>
      <c r="GS703" s="4"/>
      <c r="GT703" s="4"/>
      <c r="GU703" s="4"/>
      <c r="GV703" s="4"/>
      <c r="GW703" s="4"/>
      <c r="GX703" s="4"/>
      <c r="GY703" s="4"/>
      <c r="GZ703" s="4"/>
      <c r="HA703" s="4"/>
      <c r="HB703" s="4"/>
      <c r="HC703" s="4"/>
      <c r="HD703" s="4"/>
      <c r="HE703" s="4"/>
      <c r="HF703" s="4"/>
      <c r="HG703" s="4"/>
      <c r="HH703" s="4"/>
      <c r="HI703" s="4"/>
      <c r="HJ703" s="4"/>
      <c r="HK703" s="4"/>
      <c r="HL703" s="4"/>
    </row>
    <row r="704" spans="1:220" ht="15" customHeight="1">
      <c r="A704" s="21">
        <v>8</v>
      </c>
      <c r="B704" s="157" t="str">
        <f>VLOOKUP(Ruimtestaat[[#This Row],[Code]],Locaties[[Code]:[Locatie]],2,FALSE)</f>
        <v>Dalton College</v>
      </c>
      <c r="C704" s="157" t="str">
        <f>VLOOKUP(Ruimtestaat[[#This Row],[Code]],Locaties[[#All],[Code]:[Adres]],4,FALSE)</f>
        <v>Loolaan 125</v>
      </c>
      <c r="D704" s="157" t="str">
        <f>VLOOKUP(Ruimtestaat[[#This Row],[Code]],Locaties[[#All],[Code]:[Postcode]],5,FALSE)</f>
        <v xml:space="preserve">2271 TM </v>
      </c>
      <c r="E704" s="157" t="str">
        <f>VLOOKUP(Ruimtestaat[[#This Row],[Code]],Locaties[#All],6,FALSE)</f>
        <v>Voorburg</v>
      </c>
      <c r="F704" s="62"/>
      <c r="G704" s="21" t="s">
        <v>1632</v>
      </c>
      <c r="H704" s="21">
        <v>41</v>
      </c>
      <c r="I704" s="62" t="s">
        <v>2216</v>
      </c>
      <c r="J704" s="21">
        <v>2</v>
      </c>
      <c r="K704" s="62" t="str">
        <f>VLOOKUP(Ruimtestaat[[#This Row],[Ruimte code]],Ruimtegroepen[[#All],[Code]:[Ruimte omschrijving]],2,FALSE)</f>
        <v>Kantoren</v>
      </c>
      <c r="L704" s="33" t="s">
        <v>102</v>
      </c>
      <c r="M704" s="367" t="s">
        <v>2509</v>
      </c>
      <c r="N704" s="140">
        <v>3</v>
      </c>
      <c r="O704" s="140"/>
      <c r="P704" s="125" t="str">
        <f>VLOOKUP(Ruimtestaat[[#This Row],[Ruimte code]],Ruimtegroepen[],4,FALSE)</f>
        <v>Bu</v>
      </c>
      <c r="R704" s="33">
        <v>42</v>
      </c>
      <c r="S704" s="33" t="s">
        <v>18</v>
      </c>
      <c r="T704" s="33">
        <f>IF(R704&gt;0,IF(RIGHT(Ruimtestaat[[#This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04" s="33">
        <f>IF(T704&gt;0,VLOOKUP($J704,Ruimtegroepen[],3,FALSE)*VLOOKUP($L704,Vloersoorten[],3,FALSE)*VLOOKUP($S704,Frequenties[],3,FALSE)*VLOOKUP($A704,Locaties[],3,FALSE),0)</f>
        <v>0</v>
      </c>
      <c r="V704" s="33">
        <f>Ruimtestaat[[#This Row],[Uitvoeringen werkdagen]]*Ruimtestaat[[#This Row],[Oppervlak (netto)]]</f>
        <v>378</v>
      </c>
      <c r="W704" s="154">
        <f>IF(U704&gt;0,Ruimtestaat[[#This Row],[Prest. (m2 /jaar) werkdagen]]/Ruimtestaat[[#This Row],[Norm (m2/uur) werkdagen]],0)</f>
        <v>0</v>
      </c>
      <c r="X704" s="155">
        <f>Ruimtestaat[[#This Row],[uren / jaar werkdagen]]*Tariefsopbouw!$E$35</f>
        <v>0</v>
      </c>
      <c r="Y704" s="33"/>
      <c r="Z704" s="33">
        <f>IF(Ruimtestaat[[#This Row],[Frequentie weekend]]&gt;0,VALUE(LEFT(Y704,1))*R704,0)</f>
        <v>0</v>
      </c>
      <c r="AA704" s="97">
        <f>IF($Z704&gt;0,VLOOKUP($J704,Ruimtegroepen[],3,FALSE)*VLOOKUP($L704,Vloersoorten[],3,FALSE)*VLOOKUP($Y704,Frequenties[],3,FALSE)*VLOOKUP(Ruimtestaat[[#This Row],[Code]],Locaties[],3,FALSE),0)</f>
        <v>0</v>
      </c>
      <c r="AB704" s="97">
        <f>Ruimtestaat[[#This Row],[Uitvoeringen weekend]]*Ruimtestaat[[#This Row],[Oppervlak (netto)]]</f>
        <v>0</v>
      </c>
      <c r="AC704" s="97">
        <f>IF(AA704&gt;0,Ruimtestaat[[#This Row],[Prest. (m2 /jaar) weekend]]/Ruimtestaat[[#This Row],[Norm (m2/uur) weekend]],0)</f>
        <v>0</v>
      </c>
      <c r="AD704" s="155">
        <f>Ruimtestaat[[#This Row],[uren / jaar weekend]]*Tariefsopbouw!$D$40</f>
        <v>0</v>
      </c>
      <c r="AE704" s="154">
        <f>Ruimtestaat[[#This Row],[Prest. (m2 /jaar) weekend]]+Ruimtestaat[[#This Row],[Prest. (m2 /jaar) werkdagen]]</f>
        <v>378</v>
      </c>
      <c r="AF704" s="154">
        <f>Ruimtestaat[[#This Row],[uren / jaar weekend]]+Ruimtestaat[[#This Row],[uren / jaar werkdagen]]</f>
        <v>0</v>
      </c>
      <c r="AG704" s="69">
        <f>Ruimtestaat[[#This Row],[kosten / jaar weekend]]+Ruimtestaat[[#This Row],[kosten / jaar werkdagen]]</f>
        <v>0</v>
      </c>
      <c r="AH704" s="69"/>
      <c r="AI704" s="256" t="str">
        <f>IF(Ruimtestaat[[#This Row],[Frequentie werkdagen]]="","",_xlfn.CONCAT(Ruimtestaat[[#This Row],[Ruimte code]],"-",Ruimtestaat[[#This Row],[Frequentie werkdagen]]," ",Ruimtestaat[[#This Row],[Vloer code]]))</f>
        <v>2-3w S</v>
      </c>
      <c r="AJ704" s="300" t="str">
        <f>_xlfn.IFNA(VLOOKUP($AI704,Programma!$F$3:$G$1107,2,0),"")</f>
        <v>_</v>
      </c>
      <c r="AK704" s="300" t="str">
        <f>_xlfn.IFNA(VLOOKUP($AI704,Programma!$F$3:$H$1107,3,0),"")</f>
        <v>_</v>
      </c>
      <c r="AL704" s="300" t="str">
        <f>_xlfn.IFNA(VLOOKUP($AI704,Programma!$F$3:$I$1107,4,0),"")</f>
        <v>2w</v>
      </c>
      <c r="AM704" s="300" t="str">
        <f>_xlfn.IFNA(VLOOKUP($AI704,Programma!$F$3:$J$1107,5,0),"")</f>
        <v>1w</v>
      </c>
      <c r="AN704" s="300" t="str">
        <f>_xlfn.IFNA(VLOOKUP($AI704,Programma!$F$3:$K$1107,6,0),"")</f>
        <v>1j</v>
      </c>
      <c r="AO704" s="300" t="str">
        <f>_xlfn.IFNA(VLOOKUP($AI704,Programma!$F$3:$L$1107,7,0),"")</f>
        <v>_</v>
      </c>
      <c r="AP704" s="300" t="str">
        <f>_xlfn.IFNA(VLOOKUP($AI704,Programma!$F$3:$M$1107,8,0),"")</f>
        <v>_</v>
      </c>
      <c r="AQ704" s="300" t="str">
        <f>_xlfn.IFNA(VLOOKUP($AI704,Programma!$F$3:$N$1107,9,0),"")</f>
        <v>_</v>
      </c>
      <c r="AR704" s="300" t="str">
        <f>_xlfn.IFNA(VLOOKUP($AI704,Programma!$F$3:$O$1107,10,0),"")</f>
        <v>3w</v>
      </c>
      <c r="AS704" s="300" t="str">
        <f>_xlfn.IFNA(VLOOKUP($AI704,Programma!$F$3:$P$1107,11,0),"")</f>
        <v>3w</v>
      </c>
      <c r="AT704" s="300" t="str">
        <f>_xlfn.IFNA(VLOOKUP($AI704,Programma!$F$3:$Q$1107,12,0),"")</f>
        <v>1w</v>
      </c>
      <c r="AU704" s="300" t="str">
        <f>_xlfn.IFNA(VLOOKUP($AI704,Programma!$F$3:$R$1107,13,0),"")</f>
        <v>1w</v>
      </c>
      <c r="AV704" s="300" t="str">
        <f>_xlfn.IFNA(VLOOKUP($AI704,Programma!$F$3:$S$1107,14,0),"")</f>
        <v>1m</v>
      </c>
      <c r="AW704" s="300" t="str">
        <f>_xlfn.IFNA(VLOOKUP($AI704,Programma!$F$3:$T$1107,15,0),"")</f>
        <v>2j</v>
      </c>
      <c r="AX704" s="300" t="str">
        <f>_xlfn.IFNA(VLOOKUP($AI704,Programma!$F$3:$U$1107,16,0),"")</f>
        <v>1j</v>
      </c>
      <c r="AY704" s="300" t="str">
        <f>_xlfn.IFNA(VLOOKUP($AI704,Programma!$F$3:$V$1107,17,0),"")</f>
        <v>_</v>
      </c>
      <c r="AZ704" s="300" t="str">
        <f>_xlfn.IFNA(VLOOKUP($AI704,Programma!$F$3:$W$1107,18,0),"")</f>
        <v>_</v>
      </c>
      <c r="BA704" s="300" t="str">
        <f>_xlfn.IFNA(VLOOKUP($AI704,Programma!$F$3:$X$1107,19,0),"")</f>
        <v>_</v>
      </c>
      <c r="BB704" s="300" t="str">
        <f>_xlfn.IFNA(VLOOKUP($AI704,Programma!$F$3:$Y$1107,20,0),"")</f>
        <v>_</v>
      </c>
      <c r="BC704" s="257"/>
      <c r="BD704" s="256" t="str">
        <f>IF(Ruimtestaat[[#This Row],[Frequentie weekend]]="","",_xlfn.CONCAT(Ruimtestaat[[#This Row],[Ruimte code]],"-",Ruimtestaat[[#This Row],[Frequentie weekend]]," ",Ruimtestaat[[#This Row],[Vloer code]]))</f>
        <v/>
      </c>
      <c r="BE704" s="300" t="str">
        <f>_xlfn.IFNA(VLOOKUP($BD704,Programma!$F$3:$G$1107,2,0),"")</f>
        <v/>
      </c>
      <c r="BF704" s="300" t="str">
        <f>_xlfn.IFNA(VLOOKUP($BD704,Programma!$F$3:$H$1107,3,0),"")</f>
        <v/>
      </c>
      <c r="BG704" s="300" t="str">
        <f>_xlfn.IFNA(VLOOKUP($BD704,Programma!$F$3:$I$1107,4,0),"")</f>
        <v/>
      </c>
      <c r="BH704" s="300" t="str">
        <f>_xlfn.IFNA(VLOOKUP($BD704,Programma!$F$3:$J$1107,5,0),"")</f>
        <v/>
      </c>
      <c r="BI704" s="300" t="str">
        <f>_xlfn.IFNA(VLOOKUP($BD704,Programma!$F$3:$K$1107,6,0),"")</f>
        <v/>
      </c>
      <c r="BJ704" s="300" t="str">
        <f>_xlfn.IFNA(VLOOKUP($BD704,Programma!$F$3:$L$1107,7,0),"")</f>
        <v/>
      </c>
      <c r="BK704" s="300" t="str">
        <f>_xlfn.IFNA(VLOOKUP($BD704,Programma!$F$3:$M$1107,8,0),"")</f>
        <v/>
      </c>
      <c r="BL704" s="300" t="str">
        <f>_xlfn.IFNA(VLOOKUP($BD704,Programma!$F$3:$N$1107,9,0),"")</f>
        <v/>
      </c>
      <c r="BM704" s="300" t="str">
        <f>_xlfn.IFNA(VLOOKUP($BD704,Programma!$F$3:$O$1107,10,0),"")</f>
        <v/>
      </c>
      <c r="BN704" s="300" t="str">
        <f>_xlfn.IFNA(VLOOKUP($BD704,Programma!$F$3:$P$1107,11,0),"")</f>
        <v/>
      </c>
      <c r="BO704" s="300" t="str">
        <f>_xlfn.IFNA(VLOOKUP($BD704,Programma!$F$3:$Q$1107,12,0),"")</f>
        <v/>
      </c>
      <c r="BP704" s="300" t="str">
        <f>_xlfn.IFNA(VLOOKUP($BD704,Programma!$F$3:$R$1107,13,0),"")</f>
        <v/>
      </c>
      <c r="BQ704" s="300" t="str">
        <f>_xlfn.IFNA(VLOOKUP($BD704,Programma!$F$3:$S$1107,14,0),"")</f>
        <v/>
      </c>
      <c r="BR704" s="300" t="str">
        <f>_xlfn.IFNA(VLOOKUP($BD704,Programma!$F$3:$T$1107,15,0),"")</f>
        <v/>
      </c>
      <c r="BS704" s="300" t="str">
        <f>_xlfn.IFNA(VLOOKUP($BD704,Programma!$F$3:$U$1107,16,0),"")</f>
        <v/>
      </c>
      <c r="BT704" s="300" t="str">
        <f>_xlfn.IFNA(VLOOKUP($BD704,Programma!$F$3:$V$1107,17,0),"")</f>
        <v/>
      </c>
      <c r="BU704" s="300" t="str">
        <f>_xlfn.IFNA(VLOOKUP($BD704,Programma!$F$3:$W$1107,18,0),"")</f>
        <v/>
      </c>
      <c r="BV704" s="300" t="str">
        <f>_xlfn.IFNA(VLOOKUP($BD704,Programma!$F$3:$X$1107,19,0),"")</f>
        <v/>
      </c>
      <c r="BW704" s="300" t="str">
        <f>_xlfn.IFNA(VLOOKUP($BD704,Programma!$F$3:$Y$1107,20,0),"")</f>
        <v/>
      </c>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c r="GK704" s="4"/>
      <c r="GL704" s="4"/>
      <c r="GM704" s="4"/>
      <c r="GN704" s="4"/>
      <c r="GO704" s="4"/>
      <c r="GP704" s="4"/>
      <c r="GQ704" s="4"/>
      <c r="GR704" s="4"/>
      <c r="GS704" s="4"/>
      <c r="GT704" s="4"/>
      <c r="GU704" s="4"/>
      <c r="GV704" s="4"/>
      <c r="GW704" s="4"/>
      <c r="GX704" s="4"/>
      <c r="GY704" s="4"/>
      <c r="GZ704" s="4"/>
      <c r="HA704" s="4"/>
      <c r="HB704" s="4"/>
      <c r="HC704" s="4"/>
      <c r="HD704" s="4"/>
      <c r="HE704" s="4"/>
      <c r="HF704" s="4"/>
      <c r="HG704" s="4"/>
      <c r="HH704" s="4"/>
      <c r="HI704" s="4"/>
      <c r="HJ704" s="4"/>
      <c r="HK704" s="4"/>
      <c r="HL704" s="4"/>
    </row>
    <row r="705" spans="1:220" ht="15" customHeight="1">
      <c r="A705" s="21">
        <v>8</v>
      </c>
      <c r="B705" s="157" t="str">
        <f>VLOOKUP(Ruimtestaat[[#This Row],[Code]],Locaties[[Code]:[Locatie]],2,FALSE)</f>
        <v>Dalton College</v>
      </c>
      <c r="C705" s="157" t="str">
        <f>VLOOKUP(Ruimtestaat[[#This Row],[Code]],Locaties[[#All],[Code]:[Adres]],4,FALSE)</f>
        <v>Loolaan 125</v>
      </c>
      <c r="D705" s="157" t="str">
        <f>VLOOKUP(Ruimtestaat[[#This Row],[Code]],Locaties[[#All],[Code]:[Postcode]],5,FALSE)</f>
        <v xml:space="preserve">2271 TM </v>
      </c>
      <c r="E705" s="157" t="str">
        <f>VLOOKUP(Ruimtestaat[[#This Row],[Code]],Locaties[#All],6,FALSE)</f>
        <v>Voorburg</v>
      </c>
      <c r="F705" s="62"/>
      <c r="G705" s="21" t="s">
        <v>1632</v>
      </c>
      <c r="H705" s="21">
        <v>42</v>
      </c>
      <c r="I705" s="62" t="s">
        <v>1288</v>
      </c>
      <c r="J705" s="21">
        <v>18</v>
      </c>
      <c r="K705" s="62" t="str">
        <f>VLOOKUP(Ruimtestaat[[#This Row],[Ruimte code]],Ruimtegroepen[[#All],[Code]:[Ruimte omschrijving]],2,FALSE)</f>
        <v>Gymzaal</v>
      </c>
      <c r="L705" s="33" t="s">
        <v>103</v>
      </c>
      <c r="M705" s="367" t="s">
        <v>2508</v>
      </c>
      <c r="N705" s="140">
        <v>258</v>
      </c>
      <c r="O705" s="140"/>
      <c r="P705" s="125" t="str">
        <f>VLOOKUP(Ruimtestaat[[#This Row],[Ruimte code]],Ruimtegroepen[],4,FALSE)</f>
        <v>Sp</v>
      </c>
      <c r="R705" s="33">
        <v>40</v>
      </c>
      <c r="S705" s="33" t="s">
        <v>2</v>
      </c>
      <c r="T705" s="33">
        <f>IF(R705&gt;0,IF(RIGHT(Ruimtestaat[[#This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05" s="33">
        <f>IF(T705&gt;0,VLOOKUP($J705,Ruimtegroepen[],3,FALSE)*VLOOKUP($L705,Vloersoorten[],3,FALSE)*VLOOKUP($S705,Frequenties[],3,FALSE)*VLOOKUP($A705,Locaties[],3,FALSE),0)</f>
        <v>0</v>
      </c>
      <c r="V705" s="33">
        <f>Ruimtestaat[[#This Row],[Uitvoeringen werkdagen]]*Ruimtestaat[[#This Row],[Oppervlak (netto)]]</f>
        <v>51600</v>
      </c>
      <c r="W705" s="154">
        <f>IF(U705&gt;0,Ruimtestaat[[#This Row],[Prest. (m2 /jaar) werkdagen]]/Ruimtestaat[[#This Row],[Norm (m2/uur) werkdagen]],0)</f>
        <v>0</v>
      </c>
      <c r="X705" s="155">
        <f>Ruimtestaat[[#This Row],[uren / jaar werkdagen]]*Tariefsopbouw!$E$35</f>
        <v>0</v>
      </c>
      <c r="Y705" s="33"/>
      <c r="Z705" s="33">
        <f>IF(Ruimtestaat[[#This Row],[Frequentie weekend]]&gt;0,VALUE(LEFT(Y705,1))*R705,0)</f>
        <v>0</v>
      </c>
      <c r="AA705" s="97">
        <f>IF($Z705&gt;0,VLOOKUP($J705,Ruimtegroepen[],3,FALSE)*VLOOKUP($L705,Vloersoorten[],3,FALSE)*VLOOKUP($Y705,Frequenties[],3,FALSE)*VLOOKUP(Ruimtestaat[[#This Row],[Code]],Locaties[],3,FALSE),0)</f>
        <v>0</v>
      </c>
      <c r="AB705" s="97">
        <f>Ruimtestaat[[#This Row],[Uitvoeringen weekend]]*Ruimtestaat[[#This Row],[Oppervlak (netto)]]</f>
        <v>0</v>
      </c>
      <c r="AC705" s="97">
        <f>IF(AA705&gt;0,Ruimtestaat[[#This Row],[Prest. (m2 /jaar) weekend]]/Ruimtestaat[[#This Row],[Norm (m2/uur) weekend]],0)</f>
        <v>0</v>
      </c>
      <c r="AD705" s="155">
        <f>Ruimtestaat[[#This Row],[uren / jaar weekend]]*Tariefsopbouw!$D$40</f>
        <v>0</v>
      </c>
      <c r="AE705" s="154">
        <f>Ruimtestaat[[#This Row],[Prest. (m2 /jaar) weekend]]+Ruimtestaat[[#This Row],[Prest. (m2 /jaar) werkdagen]]</f>
        <v>51600</v>
      </c>
      <c r="AF705" s="154">
        <f>Ruimtestaat[[#This Row],[uren / jaar weekend]]+Ruimtestaat[[#This Row],[uren / jaar werkdagen]]</f>
        <v>0</v>
      </c>
      <c r="AG705" s="69">
        <f>Ruimtestaat[[#This Row],[kosten / jaar weekend]]+Ruimtestaat[[#This Row],[kosten / jaar werkdagen]]</f>
        <v>0</v>
      </c>
      <c r="AH705" s="69"/>
      <c r="AI705" s="256" t="str">
        <f>IF(Ruimtestaat[[#This Row],[Frequentie werkdagen]]="","",_xlfn.CONCAT(Ruimtestaat[[#This Row],[Ruimte code]],"-",Ruimtestaat[[#This Row],[Frequentie werkdagen]]," ",Ruimtestaat[[#This Row],[Vloer code]]))</f>
        <v>18-5w P</v>
      </c>
      <c r="AJ705" s="300" t="str">
        <f>_xlfn.IFNA(VLOOKUP($AI705,Programma!$F$3:$G$1107,2,0),"")</f>
        <v>_</v>
      </c>
      <c r="AK705" s="300" t="str">
        <f>_xlfn.IFNA(VLOOKUP($AI705,Programma!$F$3:$H$1107,3,0),"")</f>
        <v>_</v>
      </c>
      <c r="AL705" s="300" t="str">
        <f>_xlfn.IFNA(VLOOKUP($AI705,Programma!$F$3:$I$1107,4,0),"")</f>
        <v>4w</v>
      </c>
      <c r="AM705" s="300" t="str">
        <f>_xlfn.IFNA(VLOOKUP($AI705,Programma!$F$3:$J$1107,5,0),"")</f>
        <v>1w</v>
      </c>
      <c r="AN705" s="300" t="str">
        <f>_xlfn.IFNA(VLOOKUP($AI705,Programma!$F$3:$K$1107,6,0),"")</f>
        <v>4j</v>
      </c>
      <c r="AO705" s="300" t="str">
        <f>_xlfn.IFNA(VLOOKUP($AI705,Programma!$F$3:$L$1107,7,0),"")</f>
        <v>_</v>
      </c>
      <c r="AP705" s="300" t="str">
        <f>_xlfn.IFNA(VLOOKUP($AI705,Programma!$F$3:$M$1107,8,0),"")</f>
        <v>_</v>
      </c>
      <c r="AQ705" s="300" t="str">
        <f>_xlfn.IFNA(VLOOKUP($AI705,Programma!$F$3:$N$1107,9,0),"")</f>
        <v>_</v>
      </c>
      <c r="AR705" s="300" t="str">
        <f>_xlfn.IFNA(VLOOKUP($AI705,Programma!$F$3:$O$1107,10,0),"")</f>
        <v>5w</v>
      </c>
      <c r="AS705" s="300" t="str">
        <f>_xlfn.IFNA(VLOOKUP($AI705,Programma!$F$3:$P$1107,11,0),"")</f>
        <v>5w</v>
      </c>
      <c r="AT705" s="300" t="str">
        <f>_xlfn.IFNA(VLOOKUP($AI705,Programma!$F$3:$Q$1107,12,0),"")</f>
        <v>5w</v>
      </c>
      <c r="AU705" s="300" t="str">
        <f>_xlfn.IFNA(VLOOKUP($AI705,Programma!$F$3:$R$1107,13,0),"")</f>
        <v>5w</v>
      </c>
      <c r="AV705" s="300" t="str">
        <f>_xlfn.IFNA(VLOOKUP($AI705,Programma!$F$3:$S$1107,14,0),"")</f>
        <v>1m</v>
      </c>
      <c r="AW705" s="300" t="str">
        <f>_xlfn.IFNA(VLOOKUP($AI705,Programma!$F$3:$T$1107,15,0),"")</f>
        <v>2j</v>
      </c>
      <c r="AX705" s="300" t="str">
        <f>_xlfn.IFNA(VLOOKUP($AI705,Programma!$F$3:$U$1107,16,0),"")</f>
        <v>1j</v>
      </c>
      <c r="AY705" s="300" t="str">
        <f>_xlfn.IFNA(VLOOKUP($AI705,Programma!$F$3:$V$1107,17,0),"")</f>
        <v>_</v>
      </c>
      <c r="AZ705" s="300" t="str">
        <f>_xlfn.IFNA(VLOOKUP($AI705,Programma!$F$3:$W$1107,18,0),"")</f>
        <v>_</v>
      </c>
      <c r="BA705" s="300" t="str">
        <f>_xlfn.IFNA(VLOOKUP($AI705,Programma!$F$3:$X$1107,19,0),"")</f>
        <v>_</v>
      </c>
      <c r="BB705" s="300" t="str">
        <f>_xlfn.IFNA(VLOOKUP($AI705,Programma!$F$3:$Y$1107,20,0),"")</f>
        <v>_</v>
      </c>
      <c r="BC705" s="257"/>
      <c r="BD705" s="256" t="str">
        <f>IF(Ruimtestaat[[#This Row],[Frequentie weekend]]="","",_xlfn.CONCAT(Ruimtestaat[[#This Row],[Ruimte code]],"-",Ruimtestaat[[#This Row],[Frequentie weekend]]," ",Ruimtestaat[[#This Row],[Vloer code]]))</f>
        <v/>
      </c>
      <c r="BE705" s="300" t="str">
        <f>_xlfn.IFNA(VLOOKUP($BD705,Programma!$F$3:$G$1107,2,0),"")</f>
        <v/>
      </c>
      <c r="BF705" s="300" t="str">
        <f>_xlfn.IFNA(VLOOKUP($BD705,Programma!$F$3:$H$1107,3,0),"")</f>
        <v/>
      </c>
      <c r="BG705" s="300" t="str">
        <f>_xlfn.IFNA(VLOOKUP($BD705,Programma!$F$3:$I$1107,4,0),"")</f>
        <v/>
      </c>
      <c r="BH705" s="300" t="str">
        <f>_xlfn.IFNA(VLOOKUP($BD705,Programma!$F$3:$J$1107,5,0),"")</f>
        <v/>
      </c>
      <c r="BI705" s="300" t="str">
        <f>_xlfn.IFNA(VLOOKUP($BD705,Programma!$F$3:$K$1107,6,0),"")</f>
        <v/>
      </c>
      <c r="BJ705" s="300" t="str">
        <f>_xlfn.IFNA(VLOOKUP($BD705,Programma!$F$3:$L$1107,7,0),"")</f>
        <v/>
      </c>
      <c r="BK705" s="300" t="str">
        <f>_xlfn.IFNA(VLOOKUP($BD705,Programma!$F$3:$M$1107,8,0),"")</f>
        <v/>
      </c>
      <c r="BL705" s="300" t="str">
        <f>_xlfn.IFNA(VLOOKUP($BD705,Programma!$F$3:$N$1107,9,0),"")</f>
        <v/>
      </c>
      <c r="BM705" s="300" t="str">
        <f>_xlfn.IFNA(VLOOKUP($BD705,Programma!$F$3:$O$1107,10,0),"")</f>
        <v/>
      </c>
      <c r="BN705" s="300" t="str">
        <f>_xlfn.IFNA(VLOOKUP($BD705,Programma!$F$3:$P$1107,11,0),"")</f>
        <v/>
      </c>
      <c r="BO705" s="300" t="str">
        <f>_xlfn.IFNA(VLOOKUP($BD705,Programma!$F$3:$Q$1107,12,0),"")</f>
        <v/>
      </c>
      <c r="BP705" s="300" t="str">
        <f>_xlfn.IFNA(VLOOKUP($BD705,Programma!$F$3:$R$1107,13,0),"")</f>
        <v/>
      </c>
      <c r="BQ705" s="300" t="str">
        <f>_xlfn.IFNA(VLOOKUP($BD705,Programma!$F$3:$S$1107,14,0),"")</f>
        <v/>
      </c>
      <c r="BR705" s="300" t="str">
        <f>_xlfn.IFNA(VLOOKUP($BD705,Programma!$F$3:$T$1107,15,0),"")</f>
        <v/>
      </c>
      <c r="BS705" s="300" t="str">
        <f>_xlfn.IFNA(VLOOKUP($BD705,Programma!$F$3:$U$1107,16,0),"")</f>
        <v/>
      </c>
      <c r="BT705" s="300" t="str">
        <f>_xlfn.IFNA(VLOOKUP($BD705,Programma!$F$3:$V$1107,17,0),"")</f>
        <v/>
      </c>
      <c r="BU705" s="300" t="str">
        <f>_xlfn.IFNA(VLOOKUP($BD705,Programma!$F$3:$W$1107,18,0),"")</f>
        <v/>
      </c>
      <c r="BV705" s="300" t="str">
        <f>_xlfn.IFNA(VLOOKUP($BD705,Programma!$F$3:$X$1107,19,0),"")</f>
        <v/>
      </c>
      <c r="BW705" s="300" t="str">
        <f>_xlfn.IFNA(VLOOKUP($BD705,Programma!$F$3:$Y$1107,20,0),"")</f>
        <v/>
      </c>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c r="GK705" s="4"/>
      <c r="GL705" s="4"/>
      <c r="GM705" s="4"/>
      <c r="GN705" s="4"/>
      <c r="GO705" s="4"/>
      <c r="GP705" s="4"/>
      <c r="GQ705" s="4"/>
      <c r="GR705" s="4"/>
      <c r="GS705" s="4"/>
      <c r="GT705" s="4"/>
      <c r="GU705" s="4"/>
      <c r="GV705" s="4"/>
      <c r="GW705" s="4"/>
      <c r="GX705" s="4"/>
      <c r="GY705" s="4"/>
      <c r="GZ705" s="4"/>
      <c r="HA705" s="4"/>
      <c r="HB705" s="4"/>
      <c r="HC705" s="4"/>
      <c r="HD705" s="4"/>
      <c r="HE705" s="4"/>
      <c r="HF705" s="4"/>
      <c r="HG705" s="4"/>
      <c r="HH705" s="4"/>
      <c r="HI705" s="4"/>
      <c r="HJ705" s="4"/>
      <c r="HK705" s="4"/>
      <c r="HL705" s="4"/>
    </row>
    <row r="706" spans="1:220" ht="15" customHeight="1">
      <c r="A706" s="21">
        <v>8</v>
      </c>
      <c r="B706" s="157" t="str">
        <f>VLOOKUP(Ruimtestaat[[#This Row],[Code]],Locaties[[Code]:[Locatie]],2,FALSE)</f>
        <v>Dalton College</v>
      </c>
      <c r="C706" s="157" t="str">
        <f>VLOOKUP(Ruimtestaat[[#This Row],[Code]],Locaties[[#All],[Code]:[Adres]],4,FALSE)</f>
        <v>Loolaan 125</v>
      </c>
      <c r="D706" s="157" t="str">
        <f>VLOOKUP(Ruimtestaat[[#This Row],[Code]],Locaties[[#All],[Code]:[Postcode]],5,FALSE)</f>
        <v xml:space="preserve">2271 TM </v>
      </c>
      <c r="E706" s="157" t="str">
        <f>VLOOKUP(Ruimtestaat[[#This Row],[Code]],Locaties[#All],6,FALSE)</f>
        <v>Voorburg</v>
      </c>
      <c r="F706" s="62"/>
      <c r="G706" s="21" t="s">
        <v>1632</v>
      </c>
      <c r="H706" s="21">
        <v>43</v>
      </c>
      <c r="I706" s="62" t="s">
        <v>2217</v>
      </c>
      <c r="J706" s="21">
        <v>17</v>
      </c>
      <c r="K706" s="62" t="str">
        <f>VLOOKUP(Ruimtestaat[[#This Row],[Ruimte code]],Ruimtegroepen[[#All],[Code]:[Ruimte omschrijving]],2,FALSE)</f>
        <v>Toestelberging</v>
      </c>
      <c r="L706" s="33" t="s">
        <v>103</v>
      </c>
      <c r="M706" s="367" t="s">
        <v>2508</v>
      </c>
      <c r="N706" s="140">
        <v>38</v>
      </c>
      <c r="O706" s="140"/>
      <c r="P706" s="125" t="str">
        <f>VLOOKUP(Ruimtestaat[[#This Row],[Ruimte code]],Ruimtegroepen[],4,FALSE)</f>
        <v>Ve</v>
      </c>
      <c r="R706" s="33">
        <v>40</v>
      </c>
      <c r="S706" s="33" t="s">
        <v>16</v>
      </c>
      <c r="T706" s="33">
        <f>IF(R706&gt;0,IF(RIGHT(Ruimtestaat[[#This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706" s="33">
        <f>IF(T706&gt;0,VLOOKUP($J706,Ruimtegroepen[],3,FALSE)*VLOOKUP($L706,Vloersoorten[],3,FALSE)*VLOOKUP($S706,Frequenties[],3,FALSE)*VLOOKUP($A706,Locaties[],3,FALSE),0)</f>
        <v>0</v>
      </c>
      <c r="V706" s="33">
        <f>Ruimtestaat[[#This Row],[Uitvoeringen werkdagen]]*Ruimtestaat[[#This Row],[Oppervlak (netto)]]</f>
        <v>456</v>
      </c>
      <c r="W706" s="154">
        <f>IF(U706&gt;0,Ruimtestaat[[#This Row],[Prest. (m2 /jaar) werkdagen]]/Ruimtestaat[[#This Row],[Norm (m2/uur) werkdagen]],0)</f>
        <v>0</v>
      </c>
      <c r="X706" s="155">
        <f>Ruimtestaat[[#This Row],[uren / jaar werkdagen]]*Tariefsopbouw!$E$35</f>
        <v>0</v>
      </c>
      <c r="Y706" s="33"/>
      <c r="Z706" s="33">
        <f>IF(Ruimtestaat[[#This Row],[Frequentie weekend]]&gt;0,VALUE(LEFT(Y706,1))*R706,0)</f>
        <v>0</v>
      </c>
      <c r="AA706" s="97">
        <f>IF($Z706&gt;0,VLOOKUP($J706,Ruimtegroepen[],3,FALSE)*VLOOKUP($L706,Vloersoorten[],3,FALSE)*VLOOKUP($Y706,Frequenties[],3,FALSE)*VLOOKUP(Ruimtestaat[[#This Row],[Code]],Locaties[],3,FALSE),0)</f>
        <v>0</v>
      </c>
      <c r="AB706" s="97">
        <f>Ruimtestaat[[#This Row],[Uitvoeringen weekend]]*Ruimtestaat[[#This Row],[Oppervlak (netto)]]</f>
        <v>0</v>
      </c>
      <c r="AC706" s="97">
        <f>IF(AA706&gt;0,Ruimtestaat[[#This Row],[Prest. (m2 /jaar) weekend]]/Ruimtestaat[[#This Row],[Norm (m2/uur) weekend]],0)</f>
        <v>0</v>
      </c>
      <c r="AD706" s="155">
        <f>Ruimtestaat[[#This Row],[uren / jaar weekend]]*Tariefsopbouw!$D$40</f>
        <v>0</v>
      </c>
      <c r="AE706" s="154">
        <f>Ruimtestaat[[#This Row],[Prest. (m2 /jaar) weekend]]+Ruimtestaat[[#This Row],[Prest. (m2 /jaar) werkdagen]]</f>
        <v>456</v>
      </c>
      <c r="AF706" s="154">
        <f>Ruimtestaat[[#This Row],[uren / jaar weekend]]+Ruimtestaat[[#This Row],[uren / jaar werkdagen]]</f>
        <v>0</v>
      </c>
      <c r="AG706" s="69">
        <f>Ruimtestaat[[#This Row],[kosten / jaar weekend]]+Ruimtestaat[[#This Row],[kosten / jaar werkdagen]]</f>
        <v>0</v>
      </c>
      <c r="AH706" s="69"/>
      <c r="AI706" s="256" t="str">
        <f>IF(Ruimtestaat[[#This Row],[Frequentie werkdagen]]="","",_xlfn.CONCAT(Ruimtestaat[[#This Row],[Ruimte code]],"-",Ruimtestaat[[#This Row],[Frequentie werkdagen]]," ",Ruimtestaat[[#This Row],[Vloer code]]))</f>
        <v>17-1m P</v>
      </c>
      <c r="AJ706" s="300" t="str">
        <f>_xlfn.IFNA(VLOOKUP($AI706,Programma!$F$3:$G$1107,2,0),"")</f>
        <v>_</v>
      </c>
      <c r="AK706" s="300" t="str">
        <f>_xlfn.IFNA(VLOOKUP($AI706,Programma!$F$3:$H$1107,3,0),"")</f>
        <v>_</v>
      </c>
      <c r="AL706" s="300" t="str">
        <f>_xlfn.IFNA(VLOOKUP($AI706,Programma!$F$3:$I$1107,4,0),"")</f>
        <v>1m</v>
      </c>
      <c r="AM706" s="300" t="str">
        <f>_xlfn.IFNA(VLOOKUP($AI706,Programma!$F$3:$J$1107,5,0),"")</f>
        <v>_</v>
      </c>
      <c r="AN706" s="300" t="str">
        <f>_xlfn.IFNA(VLOOKUP($AI706,Programma!$F$3:$K$1107,6,0),"")</f>
        <v>4j</v>
      </c>
      <c r="AO706" s="300" t="str">
        <f>_xlfn.IFNA(VLOOKUP($AI706,Programma!$F$3:$L$1107,7,0),"")</f>
        <v>_</v>
      </c>
      <c r="AP706" s="300" t="str">
        <f>_xlfn.IFNA(VLOOKUP($AI706,Programma!$F$3:$M$1107,8,0),"")</f>
        <v>_</v>
      </c>
      <c r="AQ706" s="300" t="str">
        <f>_xlfn.IFNA(VLOOKUP($AI706,Programma!$F$3:$N$1107,9,0),"")</f>
        <v>_</v>
      </c>
      <c r="AR706" s="300" t="str">
        <f>_xlfn.IFNA(VLOOKUP($AI706,Programma!$F$3:$O$1107,10,0),"")</f>
        <v>1m</v>
      </c>
      <c r="AS706" s="300" t="str">
        <f>_xlfn.IFNA(VLOOKUP($AI706,Programma!$F$3:$P$1107,11,0),"")</f>
        <v>1m</v>
      </c>
      <c r="AT706" s="300" t="str">
        <f>_xlfn.IFNA(VLOOKUP($AI706,Programma!$F$3:$Q$1107,12,0),"")</f>
        <v>1m</v>
      </c>
      <c r="AU706" s="300" t="str">
        <f>_xlfn.IFNA(VLOOKUP($AI706,Programma!$F$3:$R$1107,13,0),"")</f>
        <v>1m</v>
      </c>
      <c r="AV706" s="300" t="str">
        <f>_xlfn.IFNA(VLOOKUP($AI706,Programma!$F$3:$S$1107,14,0),"")</f>
        <v>1m</v>
      </c>
      <c r="AW706" s="300" t="str">
        <f>_xlfn.IFNA(VLOOKUP($AI706,Programma!$F$3:$T$1107,15,0),"")</f>
        <v>2j</v>
      </c>
      <c r="AX706" s="300" t="str">
        <f>_xlfn.IFNA(VLOOKUP($AI706,Programma!$F$3:$U$1107,16,0),"")</f>
        <v>1j</v>
      </c>
      <c r="AY706" s="300" t="str">
        <f>_xlfn.IFNA(VLOOKUP($AI706,Programma!$F$3:$V$1107,17,0),"")</f>
        <v>_</v>
      </c>
      <c r="AZ706" s="300" t="str">
        <f>_xlfn.IFNA(VLOOKUP($AI706,Programma!$F$3:$W$1107,18,0),"")</f>
        <v>_</v>
      </c>
      <c r="BA706" s="300" t="str">
        <f>_xlfn.IFNA(VLOOKUP($AI706,Programma!$F$3:$X$1107,19,0),"")</f>
        <v>_</v>
      </c>
      <c r="BB706" s="300" t="str">
        <f>_xlfn.IFNA(VLOOKUP($AI706,Programma!$F$3:$Y$1107,20,0),"")</f>
        <v>_</v>
      </c>
      <c r="BC706" s="257"/>
      <c r="BD706" s="256" t="str">
        <f>IF(Ruimtestaat[[#This Row],[Frequentie weekend]]="","",_xlfn.CONCAT(Ruimtestaat[[#This Row],[Ruimte code]],"-",Ruimtestaat[[#This Row],[Frequentie weekend]]," ",Ruimtestaat[[#This Row],[Vloer code]]))</f>
        <v/>
      </c>
      <c r="BE706" s="300" t="str">
        <f>_xlfn.IFNA(VLOOKUP($BD706,Programma!$F$3:$G$1107,2,0),"")</f>
        <v/>
      </c>
      <c r="BF706" s="300" t="str">
        <f>_xlfn.IFNA(VLOOKUP($BD706,Programma!$F$3:$H$1107,3,0),"")</f>
        <v/>
      </c>
      <c r="BG706" s="300" t="str">
        <f>_xlfn.IFNA(VLOOKUP($BD706,Programma!$F$3:$I$1107,4,0),"")</f>
        <v/>
      </c>
      <c r="BH706" s="300" t="str">
        <f>_xlfn.IFNA(VLOOKUP($BD706,Programma!$F$3:$J$1107,5,0),"")</f>
        <v/>
      </c>
      <c r="BI706" s="300" t="str">
        <f>_xlfn.IFNA(VLOOKUP($BD706,Programma!$F$3:$K$1107,6,0),"")</f>
        <v/>
      </c>
      <c r="BJ706" s="300" t="str">
        <f>_xlfn.IFNA(VLOOKUP($BD706,Programma!$F$3:$L$1107,7,0),"")</f>
        <v/>
      </c>
      <c r="BK706" s="300" t="str">
        <f>_xlfn.IFNA(VLOOKUP($BD706,Programma!$F$3:$M$1107,8,0),"")</f>
        <v/>
      </c>
      <c r="BL706" s="300" t="str">
        <f>_xlfn.IFNA(VLOOKUP($BD706,Programma!$F$3:$N$1107,9,0),"")</f>
        <v/>
      </c>
      <c r="BM706" s="300" t="str">
        <f>_xlfn.IFNA(VLOOKUP($BD706,Programma!$F$3:$O$1107,10,0),"")</f>
        <v/>
      </c>
      <c r="BN706" s="300" t="str">
        <f>_xlfn.IFNA(VLOOKUP($BD706,Programma!$F$3:$P$1107,11,0),"")</f>
        <v/>
      </c>
      <c r="BO706" s="300" t="str">
        <f>_xlfn.IFNA(VLOOKUP($BD706,Programma!$F$3:$Q$1107,12,0),"")</f>
        <v/>
      </c>
      <c r="BP706" s="300" t="str">
        <f>_xlfn.IFNA(VLOOKUP($BD706,Programma!$F$3:$R$1107,13,0),"")</f>
        <v/>
      </c>
      <c r="BQ706" s="300" t="str">
        <f>_xlfn.IFNA(VLOOKUP($BD706,Programma!$F$3:$S$1107,14,0),"")</f>
        <v/>
      </c>
      <c r="BR706" s="300" t="str">
        <f>_xlfn.IFNA(VLOOKUP($BD706,Programma!$F$3:$T$1107,15,0),"")</f>
        <v/>
      </c>
      <c r="BS706" s="300" t="str">
        <f>_xlfn.IFNA(VLOOKUP($BD706,Programma!$F$3:$U$1107,16,0),"")</f>
        <v/>
      </c>
      <c r="BT706" s="300" t="str">
        <f>_xlfn.IFNA(VLOOKUP($BD706,Programma!$F$3:$V$1107,17,0),"")</f>
        <v/>
      </c>
      <c r="BU706" s="300" t="str">
        <f>_xlfn.IFNA(VLOOKUP($BD706,Programma!$F$3:$W$1107,18,0),"")</f>
        <v/>
      </c>
      <c r="BV706" s="300" t="str">
        <f>_xlfn.IFNA(VLOOKUP($BD706,Programma!$F$3:$X$1107,19,0),"")</f>
        <v/>
      </c>
      <c r="BW706" s="300" t="str">
        <f>_xlfn.IFNA(VLOOKUP($BD706,Programma!$F$3:$Y$1107,20,0),"")</f>
        <v/>
      </c>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c r="FS706" s="4"/>
      <c r="FT706" s="4"/>
      <c r="FU706" s="4"/>
      <c r="FV706" s="4"/>
      <c r="FW706" s="4"/>
      <c r="FX706" s="4"/>
      <c r="FY706" s="4"/>
      <c r="FZ706" s="4"/>
      <c r="GA706" s="4"/>
      <c r="GB706" s="4"/>
      <c r="GC706" s="4"/>
      <c r="GD706" s="4"/>
      <c r="GE706" s="4"/>
      <c r="GF706" s="4"/>
      <c r="GG706" s="4"/>
      <c r="GH706" s="4"/>
      <c r="GI706" s="4"/>
      <c r="GJ706" s="4"/>
      <c r="GK706" s="4"/>
      <c r="GL706" s="4"/>
      <c r="GM706" s="4"/>
      <c r="GN706" s="4"/>
      <c r="GO706" s="4"/>
      <c r="GP706" s="4"/>
      <c r="GQ706" s="4"/>
      <c r="GR706" s="4"/>
      <c r="GS706" s="4"/>
      <c r="GT706" s="4"/>
      <c r="GU706" s="4"/>
      <c r="GV706" s="4"/>
      <c r="GW706" s="4"/>
      <c r="GX706" s="4"/>
      <c r="GY706" s="4"/>
      <c r="GZ706" s="4"/>
      <c r="HA706" s="4"/>
      <c r="HB706" s="4"/>
      <c r="HC706" s="4"/>
      <c r="HD706" s="4"/>
      <c r="HE706" s="4"/>
      <c r="HF706" s="4"/>
      <c r="HG706" s="4"/>
      <c r="HH706" s="4"/>
      <c r="HI706" s="4"/>
      <c r="HJ706" s="4"/>
      <c r="HK706" s="4"/>
      <c r="HL706" s="4"/>
    </row>
    <row r="707" spans="1:220" ht="15" customHeight="1">
      <c r="A707" s="21">
        <v>8</v>
      </c>
      <c r="B707" s="157" t="str">
        <f>VLOOKUP(Ruimtestaat[[#This Row],[Code]],Locaties[[Code]:[Locatie]],2,FALSE)</f>
        <v>Dalton College</v>
      </c>
      <c r="C707" s="157" t="str">
        <f>VLOOKUP(Ruimtestaat[[#This Row],[Code]],Locaties[[#All],[Code]:[Adres]],4,FALSE)</f>
        <v>Loolaan 125</v>
      </c>
      <c r="D707" s="157" t="str">
        <f>VLOOKUP(Ruimtestaat[[#This Row],[Code]],Locaties[[#All],[Code]:[Postcode]],5,FALSE)</f>
        <v xml:space="preserve">2271 TM </v>
      </c>
      <c r="E707" s="157" t="str">
        <f>VLOOKUP(Ruimtestaat[[#This Row],[Code]],Locaties[#All],6,FALSE)</f>
        <v>Voorburg</v>
      </c>
      <c r="F707" s="62"/>
      <c r="G707" s="21" t="s">
        <v>1632</v>
      </c>
      <c r="H707" s="21">
        <v>44</v>
      </c>
      <c r="I707" s="62" t="s">
        <v>2219</v>
      </c>
      <c r="J707" s="21">
        <v>6</v>
      </c>
      <c r="K707" s="62" t="str">
        <f>VLOOKUP(Ruimtestaat[[#This Row],[Ruimte code]],Ruimtegroepen[[#All],[Code]:[Ruimte omschrijving]],2,FALSE)</f>
        <v>Gangen/hallen</v>
      </c>
      <c r="L707" s="33" t="s">
        <v>102</v>
      </c>
      <c r="M707" s="367" t="s">
        <v>2509</v>
      </c>
      <c r="N707" s="140">
        <v>10</v>
      </c>
      <c r="O707" s="140"/>
      <c r="P707" s="125" t="str">
        <f>VLOOKUP(Ruimtestaat[[#This Row],[Ruimte code]],Ruimtegroepen[],4,FALSE)</f>
        <v>Ve</v>
      </c>
      <c r="R707" s="33">
        <v>40</v>
      </c>
      <c r="S707" s="33" t="s">
        <v>2</v>
      </c>
      <c r="T707" s="33">
        <f>IF(R707&gt;0,IF(RIGHT(Ruimtestaat[[#This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07" s="33">
        <f>IF(T707&gt;0,VLOOKUP($J707,Ruimtegroepen[],3,FALSE)*VLOOKUP($L707,Vloersoorten[],3,FALSE)*VLOOKUP($S707,Frequenties[],3,FALSE)*VLOOKUP($A707,Locaties[],3,FALSE),0)</f>
        <v>0</v>
      </c>
      <c r="V707" s="33">
        <f>Ruimtestaat[[#This Row],[Uitvoeringen werkdagen]]*Ruimtestaat[[#This Row],[Oppervlak (netto)]]</f>
        <v>2000</v>
      </c>
      <c r="W707" s="154">
        <f>IF(U707&gt;0,Ruimtestaat[[#This Row],[Prest. (m2 /jaar) werkdagen]]/Ruimtestaat[[#This Row],[Norm (m2/uur) werkdagen]],0)</f>
        <v>0</v>
      </c>
      <c r="X707" s="155">
        <f>Ruimtestaat[[#This Row],[uren / jaar werkdagen]]*Tariefsopbouw!$E$35</f>
        <v>0</v>
      </c>
      <c r="Y707" s="33"/>
      <c r="Z707" s="33">
        <f>IF(Ruimtestaat[[#This Row],[Frequentie weekend]]&gt;0,VALUE(LEFT(Y707,1))*R707,0)</f>
        <v>0</v>
      </c>
      <c r="AA707" s="97">
        <f>IF($Z707&gt;0,VLOOKUP($J707,Ruimtegroepen[],3,FALSE)*VLOOKUP($L707,Vloersoorten[],3,FALSE)*VLOOKUP($Y707,Frequenties[],3,FALSE)*VLOOKUP(Ruimtestaat[[#This Row],[Code]],Locaties[],3,FALSE),0)</f>
        <v>0</v>
      </c>
      <c r="AB707" s="97">
        <f>Ruimtestaat[[#This Row],[Uitvoeringen weekend]]*Ruimtestaat[[#This Row],[Oppervlak (netto)]]</f>
        <v>0</v>
      </c>
      <c r="AC707" s="97">
        <f>IF(AA707&gt;0,Ruimtestaat[[#This Row],[Prest. (m2 /jaar) weekend]]/Ruimtestaat[[#This Row],[Norm (m2/uur) weekend]],0)</f>
        <v>0</v>
      </c>
      <c r="AD707" s="155">
        <f>Ruimtestaat[[#This Row],[uren / jaar weekend]]*Tariefsopbouw!$D$40</f>
        <v>0</v>
      </c>
      <c r="AE707" s="154">
        <f>Ruimtestaat[[#This Row],[Prest. (m2 /jaar) weekend]]+Ruimtestaat[[#This Row],[Prest. (m2 /jaar) werkdagen]]</f>
        <v>2000</v>
      </c>
      <c r="AF707" s="154">
        <f>Ruimtestaat[[#This Row],[uren / jaar weekend]]+Ruimtestaat[[#This Row],[uren / jaar werkdagen]]</f>
        <v>0</v>
      </c>
      <c r="AG707" s="69">
        <f>Ruimtestaat[[#This Row],[kosten / jaar weekend]]+Ruimtestaat[[#This Row],[kosten / jaar werkdagen]]</f>
        <v>0</v>
      </c>
      <c r="AH707" s="69"/>
      <c r="AI707" s="256" t="str">
        <f>IF(Ruimtestaat[[#This Row],[Frequentie werkdagen]]="","",_xlfn.CONCAT(Ruimtestaat[[#This Row],[Ruimte code]],"-",Ruimtestaat[[#This Row],[Frequentie werkdagen]]," ",Ruimtestaat[[#This Row],[Vloer code]]))</f>
        <v>6-5w S</v>
      </c>
      <c r="AJ707" s="300" t="str">
        <f>_xlfn.IFNA(VLOOKUP($AI707,Programma!$F$3:$G$1107,2,0),"")</f>
        <v>_</v>
      </c>
      <c r="AK707" s="300" t="str">
        <f>_xlfn.IFNA(VLOOKUP($AI707,Programma!$F$3:$H$1107,3,0),"")</f>
        <v>_</v>
      </c>
      <c r="AL707" s="300" t="str">
        <f>_xlfn.IFNA(VLOOKUP($AI707,Programma!$F$3:$I$1107,4,0),"")</f>
        <v>5w</v>
      </c>
      <c r="AM707" s="300" t="str">
        <f>_xlfn.IFNA(VLOOKUP($AI707,Programma!$F$3:$J$1107,5,0),"")</f>
        <v>_</v>
      </c>
      <c r="AN707" s="300" t="str">
        <f>_xlfn.IFNA(VLOOKUP($AI707,Programma!$F$3:$K$1107,6,0),"")</f>
        <v>5w</v>
      </c>
      <c r="AO707" s="300" t="str">
        <f>_xlfn.IFNA(VLOOKUP($AI707,Programma!$F$3:$L$1107,7,0),"")</f>
        <v>_</v>
      </c>
      <c r="AP707" s="300" t="str">
        <f>_xlfn.IFNA(VLOOKUP($AI707,Programma!$F$3:$M$1107,8,0),"")</f>
        <v>_</v>
      </c>
      <c r="AQ707" s="300" t="str">
        <f>_xlfn.IFNA(VLOOKUP($AI707,Programma!$F$3:$N$1107,9,0),"")</f>
        <v>_</v>
      </c>
      <c r="AR707" s="300" t="str">
        <f>_xlfn.IFNA(VLOOKUP($AI707,Programma!$F$3:$O$1107,10,0),"")</f>
        <v>5w</v>
      </c>
      <c r="AS707" s="300" t="str">
        <f>_xlfn.IFNA(VLOOKUP($AI707,Programma!$F$3:$P$1107,11,0),"")</f>
        <v>5w</v>
      </c>
      <c r="AT707" s="300" t="str">
        <f>_xlfn.IFNA(VLOOKUP($AI707,Programma!$F$3:$Q$1107,12,0),"")</f>
        <v>1w</v>
      </c>
      <c r="AU707" s="300" t="str">
        <f>_xlfn.IFNA(VLOOKUP($AI707,Programma!$F$3:$R$1107,13,0),"")</f>
        <v>1w</v>
      </c>
      <c r="AV707" s="300" t="str">
        <f>_xlfn.IFNA(VLOOKUP($AI707,Programma!$F$3:$S$1107,14,0),"")</f>
        <v>1m</v>
      </c>
      <c r="AW707" s="300" t="str">
        <f>_xlfn.IFNA(VLOOKUP($AI707,Programma!$F$3:$T$1107,15,0),"")</f>
        <v>2j</v>
      </c>
      <c r="AX707" s="300" t="str">
        <f>_xlfn.IFNA(VLOOKUP($AI707,Programma!$F$3:$U$1107,16,0),"")</f>
        <v>1j</v>
      </c>
      <c r="AY707" s="300" t="str">
        <f>_xlfn.IFNA(VLOOKUP($AI707,Programma!$F$3:$V$1107,17,0),"")</f>
        <v>_</v>
      </c>
      <c r="AZ707" s="300" t="str">
        <f>_xlfn.IFNA(VLOOKUP($AI707,Programma!$F$3:$W$1107,18,0),"")</f>
        <v>_</v>
      </c>
      <c r="BA707" s="300" t="str">
        <f>_xlfn.IFNA(VLOOKUP($AI707,Programma!$F$3:$X$1107,19,0),"")</f>
        <v>_</v>
      </c>
      <c r="BB707" s="300" t="str">
        <f>_xlfn.IFNA(VLOOKUP($AI707,Programma!$F$3:$Y$1107,20,0),"")</f>
        <v>_</v>
      </c>
      <c r="BC707" s="257"/>
      <c r="BD707" s="256" t="str">
        <f>IF(Ruimtestaat[[#This Row],[Frequentie weekend]]="","",_xlfn.CONCAT(Ruimtestaat[[#This Row],[Ruimte code]],"-",Ruimtestaat[[#This Row],[Frequentie weekend]]," ",Ruimtestaat[[#This Row],[Vloer code]]))</f>
        <v/>
      </c>
      <c r="BE707" s="300" t="str">
        <f>_xlfn.IFNA(VLOOKUP($BD707,Programma!$F$3:$G$1107,2,0),"")</f>
        <v/>
      </c>
      <c r="BF707" s="300" t="str">
        <f>_xlfn.IFNA(VLOOKUP($BD707,Programma!$F$3:$H$1107,3,0),"")</f>
        <v/>
      </c>
      <c r="BG707" s="300" t="str">
        <f>_xlfn.IFNA(VLOOKUP($BD707,Programma!$F$3:$I$1107,4,0),"")</f>
        <v/>
      </c>
      <c r="BH707" s="300" t="str">
        <f>_xlfn.IFNA(VLOOKUP($BD707,Programma!$F$3:$J$1107,5,0),"")</f>
        <v/>
      </c>
      <c r="BI707" s="300" t="str">
        <f>_xlfn.IFNA(VLOOKUP($BD707,Programma!$F$3:$K$1107,6,0),"")</f>
        <v/>
      </c>
      <c r="BJ707" s="300" t="str">
        <f>_xlfn.IFNA(VLOOKUP($BD707,Programma!$F$3:$L$1107,7,0),"")</f>
        <v/>
      </c>
      <c r="BK707" s="300" t="str">
        <f>_xlfn.IFNA(VLOOKUP($BD707,Programma!$F$3:$M$1107,8,0),"")</f>
        <v/>
      </c>
      <c r="BL707" s="300" t="str">
        <f>_xlfn.IFNA(VLOOKUP($BD707,Programma!$F$3:$N$1107,9,0),"")</f>
        <v/>
      </c>
      <c r="BM707" s="300" t="str">
        <f>_xlfn.IFNA(VLOOKUP($BD707,Programma!$F$3:$O$1107,10,0),"")</f>
        <v/>
      </c>
      <c r="BN707" s="300" t="str">
        <f>_xlfn.IFNA(VLOOKUP($BD707,Programma!$F$3:$P$1107,11,0),"")</f>
        <v/>
      </c>
      <c r="BO707" s="300" t="str">
        <f>_xlfn.IFNA(VLOOKUP($BD707,Programma!$F$3:$Q$1107,12,0),"")</f>
        <v/>
      </c>
      <c r="BP707" s="300" t="str">
        <f>_xlfn.IFNA(VLOOKUP($BD707,Programma!$F$3:$R$1107,13,0),"")</f>
        <v/>
      </c>
      <c r="BQ707" s="300" t="str">
        <f>_xlfn.IFNA(VLOOKUP($BD707,Programma!$F$3:$S$1107,14,0),"")</f>
        <v/>
      </c>
      <c r="BR707" s="300" t="str">
        <f>_xlfn.IFNA(VLOOKUP($BD707,Programma!$F$3:$T$1107,15,0),"")</f>
        <v/>
      </c>
      <c r="BS707" s="300" t="str">
        <f>_xlfn.IFNA(VLOOKUP($BD707,Programma!$F$3:$U$1107,16,0),"")</f>
        <v/>
      </c>
      <c r="BT707" s="300" t="str">
        <f>_xlfn.IFNA(VLOOKUP($BD707,Programma!$F$3:$V$1107,17,0),"")</f>
        <v/>
      </c>
      <c r="BU707" s="300" t="str">
        <f>_xlfn.IFNA(VLOOKUP($BD707,Programma!$F$3:$W$1107,18,0),"")</f>
        <v/>
      </c>
      <c r="BV707" s="300" t="str">
        <f>_xlfn.IFNA(VLOOKUP($BD707,Programma!$F$3:$X$1107,19,0),"")</f>
        <v/>
      </c>
      <c r="BW707" s="300" t="str">
        <f>_xlfn.IFNA(VLOOKUP($BD707,Programma!$F$3:$Y$1107,20,0),"")</f>
        <v/>
      </c>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c r="GB707" s="4"/>
      <c r="GC707" s="4"/>
      <c r="GD707" s="4"/>
      <c r="GE707" s="4"/>
      <c r="GF707" s="4"/>
      <c r="GG707" s="4"/>
      <c r="GH707" s="4"/>
      <c r="GI707" s="4"/>
      <c r="GJ707" s="4"/>
      <c r="GK707" s="4"/>
      <c r="GL707" s="4"/>
      <c r="GM707" s="4"/>
      <c r="GN707" s="4"/>
      <c r="GO707" s="4"/>
      <c r="GP707" s="4"/>
      <c r="GQ707" s="4"/>
      <c r="GR707" s="4"/>
      <c r="GS707" s="4"/>
      <c r="GT707" s="4"/>
      <c r="GU707" s="4"/>
      <c r="GV707" s="4"/>
      <c r="GW707" s="4"/>
      <c r="GX707" s="4"/>
      <c r="GY707" s="4"/>
      <c r="GZ707" s="4"/>
      <c r="HA707" s="4"/>
      <c r="HB707" s="4"/>
      <c r="HC707" s="4"/>
      <c r="HD707" s="4"/>
      <c r="HE707" s="4"/>
      <c r="HF707" s="4"/>
      <c r="HG707" s="4"/>
      <c r="HH707" s="4"/>
      <c r="HI707" s="4"/>
      <c r="HJ707" s="4"/>
      <c r="HK707" s="4"/>
      <c r="HL707" s="4"/>
    </row>
    <row r="708" spans="1:220" ht="15" customHeight="1">
      <c r="A708" s="21">
        <v>8</v>
      </c>
      <c r="B708" s="157" t="str">
        <f>VLOOKUP(Ruimtestaat[[#This Row],[Code]],Locaties[[Code]:[Locatie]],2,FALSE)</f>
        <v>Dalton College</v>
      </c>
      <c r="C708" s="157" t="str">
        <f>VLOOKUP(Ruimtestaat[[#This Row],[Code]],Locaties[[#All],[Code]:[Adres]],4,FALSE)</f>
        <v>Loolaan 125</v>
      </c>
      <c r="D708" s="157" t="str">
        <f>VLOOKUP(Ruimtestaat[[#This Row],[Code]],Locaties[[#All],[Code]:[Postcode]],5,FALSE)</f>
        <v xml:space="preserve">2271 TM </v>
      </c>
      <c r="E708" s="157" t="str">
        <f>VLOOKUP(Ruimtestaat[[#This Row],[Code]],Locaties[#All],6,FALSE)</f>
        <v>Voorburg</v>
      </c>
      <c r="F708" s="62"/>
      <c r="G708" s="21" t="s">
        <v>1632</v>
      </c>
      <c r="H708" s="21">
        <v>45</v>
      </c>
      <c r="I708" s="62" t="s">
        <v>2215</v>
      </c>
      <c r="J708" s="21">
        <v>5</v>
      </c>
      <c r="K708" s="62" t="str">
        <f>VLOOKUP(Ruimtestaat[[#This Row],[Ruimte code]],Ruimtegroepen[[#All],[Code]:[Ruimte omschrijving]],2,FALSE)</f>
        <v>Sanitair</v>
      </c>
      <c r="L708" s="33" t="s">
        <v>102</v>
      </c>
      <c r="M708" s="367" t="s">
        <v>2509</v>
      </c>
      <c r="N708" s="140">
        <v>30</v>
      </c>
      <c r="O708" s="140"/>
      <c r="P708" s="125" t="str">
        <f>VLOOKUP(Ruimtestaat[[#This Row],[Ruimte code]],Ruimtegroepen[],4,FALSE)</f>
        <v>Sa</v>
      </c>
      <c r="R708" s="33">
        <v>40</v>
      </c>
      <c r="S708" s="33" t="s">
        <v>2</v>
      </c>
      <c r="T708" s="33">
        <f>IF(R708&gt;0,IF(RIGHT(Ruimtestaat[[#This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08" s="33">
        <f>IF(T708&gt;0,VLOOKUP($J708,Ruimtegroepen[],3,FALSE)*VLOOKUP($L708,Vloersoorten[],3,FALSE)*VLOOKUP($S708,Frequenties[],3,FALSE)*VLOOKUP($A708,Locaties[],3,FALSE),0)</f>
        <v>0</v>
      </c>
      <c r="V708" s="33">
        <f>Ruimtestaat[[#This Row],[Uitvoeringen werkdagen]]*Ruimtestaat[[#This Row],[Oppervlak (netto)]]</f>
        <v>6000</v>
      </c>
      <c r="W708" s="154">
        <f>IF(U708&gt;0,Ruimtestaat[[#This Row],[Prest. (m2 /jaar) werkdagen]]/Ruimtestaat[[#This Row],[Norm (m2/uur) werkdagen]],0)</f>
        <v>0</v>
      </c>
      <c r="X708" s="155">
        <f>Ruimtestaat[[#This Row],[uren / jaar werkdagen]]*Tariefsopbouw!$E$35</f>
        <v>0</v>
      </c>
      <c r="Y708" s="33"/>
      <c r="Z708" s="33">
        <f>IF(Ruimtestaat[[#This Row],[Frequentie weekend]]&gt;0,VALUE(LEFT(Y708,1))*R708,0)</f>
        <v>0</v>
      </c>
      <c r="AA708" s="97">
        <f>IF($Z708&gt;0,VLOOKUP($J708,Ruimtegroepen[],3,FALSE)*VLOOKUP($L708,Vloersoorten[],3,FALSE)*VLOOKUP($Y708,Frequenties[],3,FALSE)*VLOOKUP(Ruimtestaat[[#This Row],[Code]],Locaties[],3,FALSE),0)</f>
        <v>0</v>
      </c>
      <c r="AB708" s="97">
        <f>Ruimtestaat[[#This Row],[Uitvoeringen weekend]]*Ruimtestaat[[#This Row],[Oppervlak (netto)]]</f>
        <v>0</v>
      </c>
      <c r="AC708" s="97">
        <f>IF(AA708&gt;0,Ruimtestaat[[#This Row],[Prest. (m2 /jaar) weekend]]/Ruimtestaat[[#This Row],[Norm (m2/uur) weekend]],0)</f>
        <v>0</v>
      </c>
      <c r="AD708" s="155">
        <f>Ruimtestaat[[#This Row],[uren / jaar weekend]]*Tariefsopbouw!$D$40</f>
        <v>0</v>
      </c>
      <c r="AE708" s="154">
        <f>Ruimtestaat[[#This Row],[Prest. (m2 /jaar) weekend]]+Ruimtestaat[[#This Row],[Prest. (m2 /jaar) werkdagen]]</f>
        <v>6000</v>
      </c>
      <c r="AF708" s="154">
        <f>Ruimtestaat[[#This Row],[uren / jaar weekend]]+Ruimtestaat[[#This Row],[uren / jaar werkdagen]]</f>
        <v>0</v>
      </c>
      <c r="AG708" s="69">
        <f>Ruimtestaat[[#This Row],[kosten / jaar weekend]]+Ruimtestaat[[#This Row],[kosten / jaar werkdagen]]</f>
        <v>0</v>
      </c>
      <c r="AH708" s="69"/>
      <c r="AI708" s="256" t="str">
        <f>IF(Ruimtestaat[[#This Row],[Frequentie werkdagen]]="","",_xlfn.CONCAT(Ruimtestaat[[#This Row],[Ruimte code]],"-",Ruimtestaat[[#This Row],[Frequentie werkdagen]]," ",Ruimtestaat[[#This Row],[Vloer code]]))</f>
        <v>5-5w S</v>
      </c>
      <c r="AJ708" s="300" t="str">
        <f>_xlfn.IFNA(VLOOKUP($AI708,Programma!$F$3:$G$1107,2,0),"")</f>
        <v>_</v>
      </c>
      <c r="AK708" s="300" t="str">
        <f>_xlfn.IFNA(VLOOKUP($AI708,Programma!$F$3:$H$1107,3,0),"")</f>
        <v>_</v>
      </c>
      <c r="AL708" s="300" t="str">
        <f>_xlfn.IFNA(VLOOKUP($AI708,Programma!$F$3:$I$1107,4,0),"")</f>
        <v>_</v>
      </c>
      <c r="AM708" s="300" t="str">
        <f>_xlfn.IFNA(VLOOKUP($AI708,Programma!$F$3:$J$1107,5,0),"")</f>
        <v>4w</v>
      </c>
      <c r="AN708" s="300" t="str">
        <f>_xlfn.IFNA(VLOOKUP($AI708,Programma!$F$3:$K$1107,6,0),"")</f>
        <v>1w</v>
      </c>
      <c r="AO708" s="300" t="str">
        <f>_xlfn.IFNA(VLOOKUP($AI708,Programma!$F$3:$L$1107,7,0),"")</f>
        <v>_</v>
      </c>
      <c r="AP708" s="300" t="str">
        <f>_xlfn.IFNA(VLOOKUP($AI708,Programma!$F$3:$M$1107,8,0),"")</f>
        <v>_</v>
      </c>
      <c r="AQ708" s="300" t="str">
        <f>_xlfn.IFNA(VLOOKUP($AI708,Programma!$F$3:$N$1107,9,0),"")</f>
        <v>_</v>
      </c>
      <c r="AR708" s="300" t="str">
        <f>_xlfn.IFNA(VLOOKUP($AI708,Programma!$F$3:$O$1107,10,0),"")</f>
        <v>_</v>
      </c>
      <c r="AS708" s="300" t="str">
        <f>_xlfn.IFNA(VLOOKUP($AI708,Programma!$F$3:$P$1107,11,0),"")</f>
        <v>_</v>
      </c>
      <c r="AT708" s="300" t="str">
        <f>_xlfn.IFNA(VLOOKUP($AI708,Programma!$F$3:$Q$1107,12,0),"")</f>
        <v>_</v>
      </c>
      <c r="AU708" s="300" t="str">
        <f>_xlfn.IFNA(VLOOKUP($AI708,Programma!$F$3:$R$1107,13,0),"")</f>
        <v>_</v>
      </c>
      <c r="AV708" s="300" t="str">
        <f>_xlfn.IFNA(VLOOKUP($AI708,Programma!$F$3:$S$1107,14,0),"")</f>
        <v>_</v>
      </c>
      <c r="AW708" s="300" t="str">
        <f>_xlfn.IFNA(VLOOKUP($AI708,Programma!$F$3:$T$1107,15,0),"")</f>
        <v>_</v>
      </c>
      <c r="AX708" s="300" t="str">
        <f>_xlfn.IFNA(VLOOKUP($AI708,Programma!$F$3:$U$1107,16,0),"")</f>
        <v>_</v>
      </c>
      <c r="AY708" s="300" t="str">
        <f>_xlfn.IFNA(VLOOKUP($AI708,Programma!$F$3:$V$1107,17,0),"")</f>
        <v>_</v>
      </c>
      <c r="AZ708" s="300" t="str">
        <f>_xlfn.IFNA(VLOOKUP($AI708,Programma!$F$3:$W$1107,18,0),"")</f>
        <v>4w</v>
      </c>
      <c r="BA708" s="300" t="str">
        <f>_xlfn.IFNA(VLOOKUP($AI708,Programma!$F$3:$X$1107,19,0),"")</f>
        <v>1w</v>
      </c>
      <c r="BB708" s="300" t="str">
        <f>_xlfn.IFNA(VLOOKUP($AI708,Programma!$F$3:$Y$1107,20,0),"")</f>
        <v>_</v>
      </c>
      <c r="BC708" s="257"/>
      <c r="BD708" s="256" t="str">
        <f>IF(Ruimtestaat[[#This Row],[Frequentie weekend]]="","",_xlfn.CONCAT(Ruimtestaat[[#This Row],[Ruimte code]],"-",Ruimtestaat[[#This Row],[Frequentie weekend]]," ",Ruimtestaat[[#This Row],[Vloer code]]))</f>
        <v/>
      </c>
      <c r="BE708" s="300" t="str">
        <f>_xlfn.IFNA(VLOOKUP($BD708,Programma!$F$3:$G$1107,2,0),"")</f>
        <v/>
      </c>
      <c r="BF708" s="300" t="str">
        <f>_xlfn.IFNA(VLOOKUP($BD708,Programma!$F$3:$H$1107,3,0),"")</f>
        <v/>
      </c>
      <c r="BG708" s="300" t="str">
        <f>_xlfn.IFNA(VLOOKUP($BD708,Programma!$F$3:$I$1107,4,0),"")</f>
        <v/>
      </c>
      <c r="BH708" s="300" t="str">
        <f>_xlfn.IFNA(VLOOKUP($BD708,Programma!$F$3:$J$1107,5,0),"")</f>
        <v/>
      </c>
      <c r="BI708" s="300" t="str">
        <f>_xlfn.IFNA(VLOOKUP($BD708,Programma!$F$3:$K$1107,6,0),"")</f>
        <v/>
      </c>
      <c r="BJ708" s="300" t="str">
        <f>_xlfn.IFNA(VLOOKUP($BD708,Programma!$F$3:$L$1107,7,0),"")</f>
        <v/>
      </c>
      <c r="BK708" s="300" t="str">
        <f>_xlfn.IFNA(VLOOKUP($BD708,Programma!$F$3:$M$1107,8,0),"")</f>
        <v/>
      </c>
      <c r="BL708" s="300" t="str">
        <f>_xlfn.IFNA(VLOOKUP($BD708,Programma!$F$3:$N$1107,9,0),"")</f>
        <v/>
      </c>
      <c r="BM708" s="300" t="str">
        <f>_xlfn.IFNA(VLOOKUP($BD708,Programma!$F$3:$O$1107,10,0),"")</f>
        <v/>
      </c>
      <c r="BN708" s="300" t="str">
        <f>_xlfn.IFNA(VLOOKUP($BD708,Programma!$F$3:$P$1107,11,0),"")</f>
        <v/>
      </c>
      <c r="BO708" s="300" t="str">
        <f>_xlfn.IFNA(VLOOKUP($BD708,Programma!$F$3:$Q$1107,12,0),"")</f>
        <v/>
      </c>
      <c r="BP708" s="300" t="str">
        <f>_xlfn.IFNA(VLOOKUP($BD708,Programma!$F$3:$R$1107,13,0),"")</f>
        <v/>
      </c>
      <c r="BQ708" s="300" t="str">
        <f>_xlfn.IFNA(VLOOKUP($BD708,Programma!$F$3:$S$1107,14,0),"")</f>
        <v/>
      </c>
      <c r="BR708" s="300" t="str">
        <f>_xlfn.IFNA(VLOOKUP($BD708,Programma!$F$3:$T$1107,15,0),"")</f>
        <v/>
      </c>
      <c r="BS708" s="300" t="str">
        <f>_xlfn.IFNA(VLOOKUP($BD708,Programma!$F$3:$U$1107,16,0),"")</f>
        <v/>
      </c>
      <c r="BT708" s="300" t="str">
        <f>_xlfn.IFNA(VLOOKUP($BD708,Programma!$F$3:$V$1107,17,0),"")</f>
        <v/>
      </c>
      <c r="BU708" s="300" t="str">
        <f>_xlfn.IFNA(VLOOKUP($BD708,Programma!$F$3:$W$1107,18,0),"")</f>
        <v/>
      </c>
      <c r="BV708" s="300" t="str">
        <f>_xlfn.IFNA(VLOOKUP($BD708,Programma!$F$3:$X$1107,19,0),"")</f>
        <v/>
      </c>
      <c r="BW708" s="300" t="str">
        <f>_xlfn.IFNA(VLOOKUP($BD708,Programma!$F$3:$Y$1107,20,0),"")</f>
        <v/>
      </c>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c r="GK708" s="4"/>
      <c r="GL708" s="4"/>
      <c r="GM708" s="4"/>
      <c r="GN708" s="4"/>
      <c r="GO708" s="4"/>
      <c r="GP708" s="4"/>
      <c r="GQ708" s="4"/>
      <c r="GR708" s="4"/>
      <c r="GS708" s="4"/>
      <c r="GT708" s="4"/>
      <c r="GU708" s="4"/>
      <c r="GV708" s="4"/>
      <c r="GW708" s="4"/>
      <c r="GX708" s="4"/>
      <c r="GY708" s="4"/>
      <c r="GZ708" s="4"/>
      <c r="HA708" s="4"/>
      <c r="HB708" s="4"/>
      <c r="HC708" s="4"/>
      <c r="HD708" s="4"/>
      <c r="HE708" s="4"/>
      <c r="HF708" s="4"/>
      <c r="HG708" s="4"/>
      <c r="HH708" s="4"/>
      <c r="HI708" s="4"/>
      <c r="HJ708" s="4"/>
      <c r="HK708" s="4"/>
      <c r="HL708" s="4"/>
    </row>
    <row r="709" spans="1:220" ht="15" customHeight="1">
      <c r="A709" s="21">
        <v>8</v>
      </c>
      <c r="B709" s="157" t="str">
        <f>VLOOKUP(Ruimtestaat[[#This Row],[Code]],Locaties[[Code]:[Locatie]],2,FALSE)</f>
        <v>Dalton College</v>
      </c>
      <c r="C709" s="157" t="str">
        <f>VLOOKUP(Ruimtestaat[[#This Row],[Code]],Locaties[[#All],[Code]:[Adres]],4,FALSE)</f>
        <v>Loolaan 125</v>
      </c>
      <c r="D709" s="157" t="str">
        <f>VLOOKUP(Ruimtestaat[[#This Row],[Code]],Locaties[[#All],[Code]:[Postcode]],5,FALSE)</f>
        <v xml:space="preserve">2271 TM </v>
      </c>
      <c r="E709" s="157" t="str">
        <f>VLOOKUP(Ruimtestaat[[#This Row],[Code]],Locaties[#All],6,FALSE)</f>
        <v>Voorburg</v>
      </c>
      <c r="F709" s="62"/>
      <c r="G709" s="21" t="s">
        <v>1632</v>
      </c>
      <c r="H709" s="21">
        <v>46</v>
      </c>
      <c r="I709" s="62" t="s">
        <v>1627</v>
      </c>
      <c r="J709" s="21">
        <v>5</v>
      </c>
      <c r="K709" s="62" t="str">
        <f>VLOOKUP(Ruimtestaat[[#This Row],[Ruimte code]],Ruimtegroepen[[#All],[Code]:[Ruimte omschrijving]],2,FALSE)</f>
        <v>Sanitair</v>
      </c>
      <c r="L709" s="33" t="s">
        <v>102</v>
      </c>
      <c r="M709" s="367" t="s">
        <v>2509</v>
      </c>
      <c r="N709" s="140">
        <v>6</v>
      </c>
      <c r="O709" s="140"/>
      <c r="P709" s="125" t="str">
        <f>VLOOKUP(Ruimtestaat[[#This Row],[Ruimte code]],Ruimtegroepen[],4,FALSE)</f>
        <v>Sa</v>
      </c>
      <c r="R709" s="33">
        <v>40</v>
      </c>
      <c r="S709" s="33" t="s">
        <v>2</v>
      </c>
      <c r="T709" s="33">
        <f>IF(R709&gt;0,IF(RIGHT(Ruimtestaat[[#This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09" s="33">
        <f>IF(T709&gt;0,VLOOKUP($J709,Ruimtegroepen[],3,FALSE)*VLOOKUP($L709,Vloersoorten[],3,FALSE)*VLOOKUP($S709,Frequenties[],3,FALSE)*VLOOKUP($A709,Locaties[],3,FALSE),0)</f>
        <v>0</v>
      </c>
      <c r="V709" s="33">
        <f>Ruimtestaat[[#This Row],[Uitvoeringen werkdagen]]*Ruimtestaat[[#This Row],[Oppervlak (netto)]]</f>
        <v>1200</v>
      </c>
      <c r="W709" s="154">
        <f>IF(U709&gt;0,Ruimtestaat[[#This Row],[Prest. (m2 /jaar) werkdagen]]/Ruimtestaat[[#This Row],[Norm (m2/uur) werkdagen]],0)</f>
        <v>0</v>
      </c>
      <c r="X709" s="155">
        <f>Ruimtestaat[[#This Row],[uren / jaar werkdagen]]*Tariefsopbouw!$E$35</f>
        <v>0</v>
      </c>
      <c r="Y709" s="33"/>
      <c r="Z709" s="33">
        <f>IF(Ruimtestaat[[#This Row],[Frequentie weekend]]&gt;0,VALUE(LEFT(Y709,1))*R709,0)</f>
        <v>0</v>
      </c>
      <c r="AA709" s="97">
        <f>IF($Z709&gt;0,VLOOKUP($J709,Ruimtegroepen[],3,FALSE)*VLOOKUP($L709,Vloersoorten[],3,FALSE)*VLOOKUP($Y709,Frequenties[],3,FALSE)*VLOOKUP(Ruimtestaat[[#This Row],[Code]],Locaties[],3,FALSE),0)</f>
        <v>0</v>
      </c>
      <c r="AB709" s="97">
        <f>Ruimtestaat[[#This Row],[Uitvoeringen weekend]]*Ruimtestaat[[#This Row],[Oppervlak (netto)]]</f>
        <v>0</v>
      </c>
      <c r="AC709" s="97">
        <f>IF(AA709&gt;0,Ruimtestaat[[#This Row],[Prest. (m2 /jaar) weekend]]/Ruimtestaat[[#This Row],[Norm (m2/uur) weekend]],0)</f>
        <v>0</v>
      </c>
      <c r="AD709" s="155">
        <f>Ruimtestaat[[#This Row],[uren / jaar weekend]]*Tariefsopbouw!$D$40</f>
        <v>0</v>
      </c>
      <c r="AE709" s="154">
        <f>Ruimtestaat[[#This Row],[Prest. (m2 /jaar) weekend]]+Ruimtestaat[[#This Row],[Prest. (m2 /jaar) werkdagen]]</f>
        <v>1200</v>
      </c>
      <c r="AF709" s="154">
        <f>Ruimtestaat[[#This Row],[uren / jaar weekend]]+Ruimtestaat[[#This Row],[uren / jaar werkdagen]]</f>
        <v>0</v>
      </c>
      <c r="AG709" s="69">
        <f>Ruimtestaat[[#This Row],[kosten / jaar weekend]]+Ruimtestaat[[#This Row],[kosten / jaar werkdagen]]</f>
        <v>0</v>
      </c>
      <c r="AH709" s="69"/>
      <c r="AI709" s="256" t="str">
        <f>IF(Ruimtestaat[[#This Row],[Frequentie werkdagen]]="","",_xlfn.CONCAT(Ruimtestaat[[#This Row],[Ruimte code]],"-",Ruimtestaat[[#This Row],[Frequentie werkdagen]]," ",Ruimtestaat[[#This Row],[Vloer code]]))</f>
        <v>5-5w S</v>
      </c>
      <c r="AJ709" s="300" t="str">
        <f>_xlfn.IFNA(VLOOKUP($AI709,Programma!$F$3:$G$1107,2,0),"")</f>
        <v>_</v>
      </c>
      <c r="AK709" s="300" t="str">
        <f>_xlfn.IFNA(VLOOKUP($AI709,Programma!$F$3:$H$1107,3,0),"")</f>
        <v>_</v>
      </c>
      <c r="AL709" s="300" t="str">
        <f>_xlfn.IFNA(VLOOKUP($AI709,Programma!$F$3:$I$1107,4,0),"")</f>
        <v>_</v>
      </c>
      <c r="AM709" s="300" t="str">
        <f>_xlfn.IFNA(VLOOKUP($AI709,Programma!$F$3:$J$1107,5,0),"")</f>
        <v>4w</v>
      </c>
      <c r="AN709" s="300" t="str">
        <f>_xlfn.IFNA(VLOOKUP($AI709,Programma!$F$3:$K$1107,6,0),"")</f>
        <v>1w</v>
      </c>
      <c r="AO709" s="300" t="str">
        <f>_xlfn.IFNA(VLOOKUP($AI709,Programma!$F$3:$L$1107,7,0),"")</f>
        <v>_</v>
      </c>
      <c r="AP709" s="300" t="str">
        <f>_xlfn.IFNA(VLOOKUP($AI709,Programma!$F$3:$M$1107,8,0),"")</f>
        <v>_</v>
      </c>
      <c r="AQ709" s="300" t="str">
        <f>_xlfn.IFNA(VLOOKUP($AI709,Programma!$F$3:$N$1107,9,0),"")</f>
        <v>_</v>
      </c>
      <c r="AR709" s="300" t="str">
        <f>_xlfn.IFNA(VLOOKUP($AI709,Programma!$F$3:$O$1107,10,0),"")</f>
        <v>_</v>
      </c>
      <c r="AS709" s="300" t="str">
        <f>_xlfn.IFNA(VLOOKUP($AI709,Programma!$F$3:$P$1107,11,0),"")</f>
        <v>_</v>
      </c>
      <c r="AT709" s="300" t="str">
        <f>_xlfn.IFNA(VLOOKUP($AI709,Programma!$F$3:$Q$1107,12,0),"")</f>
        <v>_</v>
      </c>
      <c r="AU709" s="300" t="str">
        <f>_xlfn.IFNA(VLOOKUP($AI709,Programma!$F$3:$R$1107,13,0),"")</f>
        <v>_</v>
      </c>
      <c r="AV709" s="300" t="str">
        <f>_xlfn.IFNA(VLOOKUP($AI709,Programma!$F$3:$S$1107,14,0),"")</f>
        <v>_</v>
      </c>
      <c r="AW709" s="300" t="str">
        <f>_xlfn.IFNA(VLOOKUP($AI709,Programma!$F$3:$T$1107,15,0),"")</f>
        <v>_</v>
      </c>
      <c r="AX709" s="300" t="str">
        <f>_xlfn.IFNA(VLOOKUP($AI709,Programma!$F$3:$U$1107,16,0),"")</f>
        <v>_</v>
      </c>
      <c r="AY709" s="300" t="str">
        <f>_xlfn.IFNA(VLOOKUP($AI709,Programma!$F$3:$V$1107,17,0),"")</f>
        <v>_</v>
      </c>
      <c r="AZ709" s="300" t="str">
        <f>_xlfn.IFNA(VLOOKUP($AI709,Programma!$F$3:$W$1107,18,0),"")</f>
        <v>4w</v>
      </c>
      <c r="BA709" s="300" t="str">
        <f>_xlfn.IFNA(VLOOKUP($AI709,Programma!$F$3:$X$1107,19,0),"")</f>
        <v>1w</v>
      </c>
      <c r="BB709" s="300" t="str">
        <f>_xlfn.IFNA(VLOOKUP($AI709,Programma!$F$3:$Y$1107,20,0),"")</f>
        <v>_</v>
      </c>
      <c r="BC709" s="257"/>
      <c r="BD709" s="256" t="str">
        <f>IF(Ruimtestaat[[#This Row],[Frequentie weekend]]="","",_xlfn.CONCAT(Ruimtestaat[[#This Row],[Ruimte code]],"-",Ruimtestaat[[#This Row],[Frequentie weekend]]," ",Ruimtestaat[[#This Row],[Vloer code]]))</f>
        <v/>
      </c>
      <c r="BE709" s="300" t="str">
        <f>_xlfn.IFNA(VLOOKUP($BD709,Programma!$F$3:$G$1107,2,0),"")</f>
        <v/>
      </c>
      <c r="BF709" s="300" t="str">
        <f>_xlfn.IFNA(VLOOKUP($BD709,Programma!$F$3:$H$1107,3,0),"")</f>
        <v/>
      </c>
      <c r="BG709" s="300" t="str">
        <f>_xlfn.IFNA(VLOOKUP($BD709,Programma!$F$3:$I$1107,4,0),"")</f>
        <v/>
      </c>
      <c r="BH709" s="300" t="str">
        <f>_xlfn.IFNA(VLOOKUP($BD709,Programma!$F$3:$J$1107,5,0),"")</f>
        <v/>
      </c>
      <c r="BI709" s="300" t="str">
        <f>_xlfn.IFNA(VLOOKUP($BD709,Programma!$F$3:$K$1107,6,0),"")</f>
        <v/>
      </c>
      <c r="BJ709" s="300" t="str">
        <f>_xlfn.IFNA(VLOOKUP($BD709,Programma!$F$3:$L$1107,7,0),"")</f>
        <v/>
      </c>
      <c r="BK709" s="300" t="str">
        <f>_xlfn.IFNA(VLOOKUP($BD709,Programma!$F$3:$M$1107,8,0),"")</f>
        <v/>
      </c>
      <c r="BL709" s="300" t="str">
        <f>_xlfn.IFNA(VLOOKUP($BD709,Programma!$F$3:$N$1107,9,0),"")</f>
        <v/>
      </c>
      <c r="BM709" s="300" t="str">
        <f>_xlfn.IFNA(VLOOKUP($BD709,Programma!$F$3:$O$1107,10,0),"")</f>
        <v/>
      </c>
      <c r="BN709" s="300" t="str">
        <f>_xlfn.IFNA(VLOOKUP($BD709,Programma!$F$3:$P$1107,11,0),"")</f>
        <v/>
      </c>
      <c r="BO709" s="300" t="str">
        <f>_xlfn.IFNA(VLOOKUP($BD709,Programma!$F$3:$Q$1107,12,0),"")</f>
        <v/>
      </c>
      <c r="BP709" s="300" t="str">
        <f>_xlfn.IFNA(VLOOKUP($BD709,Programma!$F$3:$R$1107,13,0),"")</f>
        <v/>
      </c>
      <c r="BQ709" s="300" t="str">
        <f>_xlfn.IFNA(VLOOKUP($BD709,Programma!$F$3:$S$1107,14,0),"")</f>
        <v/>
      </c>
      <c r="BR709" s="300" t="str">
        <f>_xlfn.IFNA(VLOOKUP($BD709,Programma!$F$3:$T$1107,15,0),"")</f>
        <v/>
      </c>
      <c r="BS709" s="300" t="str">
        <f>_xlfn.IFNA(VLOOKUP($BD709,Programma!$F$3:$U$1107,16,0),"")</f>
        <v/>
      </c>
      <c r="BT709" s="300" t="str">
        <f>_xlfn.IFNA(VLOOKUP($BD709,Programma!$F$3:$V$1107,17,0),"")</f>
        <v/>
      </c>
      <c r="BU709" s="300" t="str">
        <f>_xlfn.IFNA(VLOOKUP($BD709,Programma!$F$3:$W$1107,18,0),"")</f>
        <v/>
      </c>
      <c r="BV709" s="300" t="str">
        <f>_xlfn.IFNA(VLOOKUP($BD709,Programma!$F$3:$X$1107,19,0),"")</f>
        <v/>
      </c>
      <c r="BW709" s="300" t="str">
        <f>_xlfn.IFNA(VLOOKUP($BD709,Programma!$F$3:$Y$1107,20,0),"")</f>
        <v/>
      </c>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c r="GK709" s="4"/>
      <c r="GL709" s="4"/>
      <c r="GM709" s="4"/>
      <c r="GN709" s="4"/>
      <c r="GO709" s="4"/>
      <c r="GP709" s="4"/>
      <c r="GQ709" s="4"/>
      <c r="GR709" s="4"/>
      <c r="GS709" s="4"/>
      <c r="GT709" s="4"/>
      <c r="GU709" s="4"/>
      <c r="GV709" s="4"/>
      <c r="GW709" s="4"/>
      <c r="GX709" s="4"/>
      <c r="GY709" s="4"/>
      <c r="GZ709" s="4"/>
      <c r="HA709" s="4"/>
      <c r="HB709" s="4"/>
      <c r="HC709" s="4"/>
      <c r="HD709" s="4"/>
      <c r="HE709" s="4"/>
      <c r="HF709" s="4"/>
      <c r="HG709" s="4"/>
      <c r="HH709" s="4"/>
      <c r="HI709" s="4"/>
      <c r="HJ709" s="4"/>
      <c r="HK709" s="4"/>
      <c r="HL709" s="4"/>
    </row>
    <row r="710" spans="1:220" ht="15" customHeight="1">
      <c r="A710" s="21">
        <v>8</v>
      </c>
      <c r="B710" s="157" t="str">
        <f>VLOOKUP(Ruimtestaat[[#This Row],[Code]],Locaties[[Code]:[Locatie]],2,FALSE)</f>
        <v>Dalton College</v>
      </c>
      <c r="C710" s="157" t="str">
        <f>VLOOKUP(Ruimtestaat[[#This Row],[Code]],Locaties[[#All],[Code]:[Adres]],4,FALSE)</f>
        <v>Loolaan 125</v>
      </c>
      <c r="D710" s="157" t="str">
        <f>VLOOKUP(Ruimtestaat[[#This Row],[Code]],Locaties[[#All],[Code]:[Postcode]],5,FALSE)</f>
        <v xml:space="preserve">2271 TM </v>
      </c>
      <c r="E710" s="157" t="str">
        <f>VLOOKUP(Ruimtestaat[[#This Row],[Code]],Locaties[#All],6,FALSE)</f>
        <v>Voorburg</v>
      </c>
      <c r="F710" s="62"/>
      <c r="G710" s="21" t="s">
        <v>1632</v>
      </c>
      <c r="H710" s="21">
        <v>47</v>
      </c>
      <c r="I710" s="62" t="s">
        <v>2009</v>
      </c>
      <c r="J710" s="21">
        <v>19</v>
      </c>
      <c r="K710" s="62" t="str">
        <f>VLOOKUP(Ruimtestaat[[#This Row],[Ruimte code]],Ruimtegroepen[[#All],[Code]:[Ruimte omschrijving]],2,FALSE)</f>
        <v>kleedruimten</v>
      </c>
      <c r="L710" s="33" t="s">
        <v>102</v>
      </c>
      <c r="M710" s="367" t="s">
        <v>2509</v>
      </c>
      <c r="N710" s="140">
        <v>32</v>
      </c>
      <c r="O710" s="140"/>
      <c r="P710" s="125" t="str">
        <f>VLOOKUP(Ruimtestaat[[#This Row],[Ruimte code]],Ruimtegroepen[],4,FALSE)</f>
        <v>Ve</v>
      </c>
      <c r="R710" s="33">
        <v>40</v>
      </c>
      <c r="S710" s="33" t="s">
        <v>2</v>
      </c>
      <c r="T710" s="33">
        <f>IF(R710&gt;0,IF(RIGHT(Ruimtestaat[[#This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10" s="33">
        <f>IF(T710&gt;0,VLOOKUP($J710,Ruimtegroepen[],3,FALSE)*VLOOKUP($L710,Vloersoorten[],3,FALSE)*VLOOKUP($S710,Frequenties[],3,FALSE)*VLOOKUP($A710,Locaties[],3,FALSE),0)</f>
        <v>0</v>
      </c>
      <c r="V710" s="33">
        <f>Ruimtestaat[[#This Row],[Uitvoeringen werkdagen]]*Ruimtestaat[[#This Row],[Oppervlak (netto)]]</f>
        <v>6400</v>
      </c>
      <c r="W710" s="154">
        <f>IF(U710&gt;0,Ruimtestaat[[#This Row],[Prest. (m2 /jaar) werkdagen]]/Ruimtestaat[[#This Row],[Norm (m2/uur) werkdagen]],0)</f>
        <v>0</v>
      </c>
      <c r="X710" s="155">
        <f>Ruimtestaat[[#This Row],[uren / jaar werkdagen]]*Tariefsopbouw!$E$35</f>
        <v>0</v>
      </c>
      <c r="Y710" s="33"/>
      <c r="Z710" s="33">
        <f>IF(Ruimtestaat[[#This Row],[Frequentie weekend]]&gt;0,VALUE(LEFT(Y710,1))*R710,0)</f>
        <v>0</v>
      </c>
      <c r="AA710" s="97">
        <f>IF($Z710&gt;0,VLOOKUP($J710,Ruimtegroepen[],3,FALSE)*VLOOKUP($L710,Vloersoorten[],3,FALSE)*VLOOKUP($Y710,Frequenties[],3,FALSE)*VLOOKUP(Ruimtestaat[[#This Row],[Code]],Locaties[],3,FALSE),0)</f>
        <v>0</v>
      </c>
      <c r="AB710" s="97">
        <f>Ruimtestaat[[#This Row],[Uitvoeringen weekend]]*Ruimtestaat[[#This Row],[Oppervlak (netto)]]</f>
        <v>0</v>
      </c>
      <c r="AC710" s="97">
        <f>IF(AA710&gt;0,Ruimtestaat[[#This Row],[Prest. (m2 /jaar) weekend]]/Ruimtestaat[[#This Row],[Norm (m2/uur) weekend]],0)</f>
        <v>0</v>
      </c>
      <c r="AD710" s="155">
        <f>Ruimtestaat[[#This Row],[uren / jaar weekend]]*Tariefsopbouw!$D$40</f>
        <v>0</v>
      </c>
      <c r="AE710" s="154">
        <f>Ruimtestaat[[#This Row],[Prest. (m2 /jaar) weekend]]+Ruimtestaat[[#This Row],[Prest. (m2 /jaar) werkdagen]]</f>
        <v>6400</v>
      </c>
      <c r="AF710" s="154">
        <f>Ruimtestaat[[#This Row],[uren / jaar weekend]]+Ruimtestaat[[#This Row],[uren / jaar werkdagen]]</f>
        <v>0</v>
      </c>
      <c r="AG710" s="69">
        <f>Ruimtestaat[[#This Row],[kosten / jaar weekend]]+Ruimtestaat[[#This Row],[kosten / jaar werkdagen]]</f>
        <v>0</v>
      </c>
      <c r="AH710" s="69"/>
      <c r="AI710" s="256" t="str">
        <f>IF(Ruimtestaat[[#This Row],[Frequentie werkdagen]]="","",_xlfn.CONCAT(Ruimtestaat[[#This Row],[Ruimte code]],"-",Ruimtestaat[[#This Row],[Frequentie werkdagen]]," ",Ruimtestaat[[#This Row],[Vloer code]]))</f>
        <v>19-5w S</v>
      </c>
      <c r="AJ710" s="300" t="str">
        <f>_xlfn.IFNA(VLOOKUP($AI710,Programma!$F$3:$G$1107,2,0),"")</f>
        <v>_</v>
      </c>
      <c r="AK710" s="300" t="str">
        <f>_xlfn.IFNA(VLOOKUP($AI710,Programma!$F$3:$H$1107,3,0),"")</f>
        <v>_</v>
      </c>
      <c r="AL710" s="300" t="str">
        <f>_xlfn.IFNA(VLOOKUP($AI710,Programma!$F$3:$I$1107,4,0),"")</f>
        <v>5w</v>
      </c>
      <c r="AM710" s="300" t="str">
        <f>_xlfn.IFNA(VLOOKUP($AI710,Programma!$F$3:$J$1107,5,0),"")</f>
        <v>_</v>
      </c>
      <c r="AN710" s="300" t="str">
        <f>_xlfn.IFNA(VLOOKUP($AI710,Programma!$F$3:$K$1107,6,0),"")</f>
        <v>5w</v>
      </c>
      <c r="AO710" s="300" t="str">
        <f>_xlfn.IFNA(VLOOKUP($AI710,Programma!$F$3:$L$1107,7,0),"")</f>
        <v>_</v>
      </c>
      <c r="AP710" s="300" t="str">
        <f>_xlfn.IFNA(VLOOKUP($AI710,Programma!$F$3:$M$1107,8,0),"")</f>
        <v>_</v>
      </c>
      <c r="AQ710" s="300" t="str">
        <f>_xlfn.IFNA(VLOOKUP($AI710,Programma!$F$3:$N$1107,9,0),"")</f>
        <v>_</v>
      </c>
      <c r="AR710" s="300" t="str">
        <f>_xlfn.IFNA(VLOOKUP($AI710,Programma!$F$3:$O$1107,10,0),"")</f>
        <v>5w</v>
      </c>
      <c r="AS710" s="300" t="str">
        <f>_xlfn.IFNA(VLOOKUP($AI710,Programma!$F$3:$P$1107,11,0),"")</f>
        <v>5w</v>
      </c>
      <c r="AT710" s="300" t="str">
        <f>_xlfn.IFNA(VLOOKUP($AI710,Programma!$F$3:$Q$1107,12,0),"")</f>
        <v>1w</v>
      </c>
      <c r="AU710" s="300" t="str">
        <f>_xlfn.IFNA(VLOOKUP($AI710,Programma!$F$3:$R$1107,13,0),"")</f>
        <v>1w</v>
      </c>
      <c r="AV710" s="300" t="str">
        <f>_xlfn.IFNA(VLOOKUP($AI710,Programma!$F$3:$S$1107,14,0),"")</f>
        <v>1m</v>
      </c>
      <c r="AW710" s="300" t="str">
        <f>_xlfn.IFNA(VLOOKUP($AI710,Programma!$F$3:$T$1107,15,0),"")</f>
        <v>2j</v>
      </c>
      <c r="AX710" s="300" t="str">
        <f>_xlfn.IFNA(VLOOKUP($AI710,Programma!$F$3:$U$1107,16,0),"")</f>
        <v>1j</v>
      </c>
      <c r="AY710" s="300" t="str">
        <f>_xlfn.IFNA(VLOOKUP($AI710,Programma!$F$3:$V$1107,17,0),"")</f>
        <v>_</v>
      </c>
      <c r="AZ710" s="300" t="str">
        <f>_xlfn.IFNA(VLOOKUP($AI710,Programma!$F$3:$W$1107,18,0),"")</f>
        <v>_</v>
      </c>
      <c r="BA710" s="300" t="str">
        <f>_xlfn.IFNA(VLOOKUP($AI710,Programma!$F$3:$X$1107,19,0),"")</f>
        <v>_</v>
      </c>
      <c r="BB710" s="300" t="str">
        <f>_xlfn.IFNA(VLOOKUP($AI710,Programma!$F$3:$Y$1107,20,0),"")</f>
        <v>_</v>
      </c>
      <c r="BC710" s="257"/>
      <c r="BD710" s="256" t="str">
        <f>IF(Ruimtestaat[[#This Row],[Frequentie weekend]]="","",_xlfn.CONCAT(Ruimtestaat[[#This Row],[Ruimte code]],"-",Ruimtestaat[[#This Row],[Frequentie weekend]]," ",Ruimtestaat[[#This Row],[Vloer code]]))</f>
        <v/>
      </c>
      <c r="BE710" s="300" t="str">
        <f>_xlfn.IFNA(VLOOKUP($BD710,Programma!$F$3:$G$1107,2,0),"")</f>
        <v/>
      </c>
      <c r="BF710" s="300" t="str">
        <f>_xlfn.IFNA(VLOOKUP($BD710,Programma!$F$3:$H$1107,3,0),"")</f>
        <v/>
      </c>
      <c r="BG710" s="300" t="str">
        <f>_xlfn.IFNA(VLOOKUP($BD710,Programma!$F$3:$I$1107,4,0),"")</f>
        <v/>
      </c>
      <c r="BH710" s="300" t="str">
        <f>_xlfn.IFNA(VLOOKUP($BD710,Programma!$F$3:$J$1107,5,0),"")</f>
        <v/>
      </c>
      <c r="BI710" s="300" t="str">
        <f>_xlfn.IFNA(VLOOKUP($BD710,Programma!$F$3:$K$1107,6,0),"")</f>
        <v/>
      </c>
      <c r="BJ710" s="300" t="str">
        <f>_xlfn.IFNA(VLOOKUP($BD710,Programma!$F$3:$L$1107,7,0),"")</f>
        <v/>
      </c>
      <c r="BK710" s="300" t="str">
        <f>_xlfn.IFNA(VLOOKUP($BD710,Programma!$F$3:$M$1107,8,0),"")</f>
        <v/>
      </c>
      <c r="BL710" s="300" t="str">
        <f>_xlfn.IFNA(VLOOKUP($BD710,Programma!$F$3:$N$1107,9,0),"")</f>
        <v/>
      </c>
      <c r="BM710" s="300" t="str">
        <f>_xlfn.IFNA(VLOOKUP($BD710,Programma!$F$3:$O$1107,10,0),"")</f>
        <v/>
      </c>
      <c r="BN710" s="300" t="str">
        <f>_xlfn.IFNA(VLOOKUP($BD710,Programma!$F$3:$P$1107,11,0),"")</f>
        <v/>
      </c>
      <c r="BO710" s="300" t="str">
        <f>_xlfn.IFNA(VLOOKUP($BD710,Programma!$F$3:$Q$1107,12,0),"")</f>
        <v/>
      </c>
      <c r="BP710" s="300" t="str">
        <f>_xlfn.IFNA(VLOOKUP($BD710,Programma!$F$3:$R$1107,13,0),"")</f>
        <v/>
      </c>
      <c r="BQ710" s="300" t="str">
        <f>_xlfn.IFNA(VLOOKUP($BD710,Programma!$F$3:$S$1107,14,0),"")</f>
        <v/>
      </c>
      <c r="BR710" s="300" t="str">
        <f>_xlfn.IFNA(VLOOKUP($BD710,Programma!$F$3:$T$1107,15,0),"")</f>
        <v/>
      </c>
      <c r="BS710" s="300" t="str">
        <f>_xlfn.IFNA(VLOOKUP($BD710,Programma!$F$3:$U$1107,16,0),"")</f>
        <v/>
      </c>
      <c r="BT710" s="300" t="str">
        <f>_xlfn.IFNA(VLOOKUP($BD710,Programma!$F$3:$V$1107,17,0),"")</f>
        <v/>
      </c>
      <c r="BU710" s="300" t="str">
        <f>_xlfn.IFNA(VLOOKUP($BD710,Programma!$F$3:$W$1107,18,0),"")</f>
        <v/>
      </c>
      <c r="BV710" s="300" t="str">
        <f>_xlfn.IFNA(VLOOKUP($BD710,Programma!$F$3:$X$1107,19,0),"")</f>
        <v/>
      </c>
      <c r="BW710" s="300" t="str">
        <f>_xlfn.IFNA(VLOOKUP($BD710,Programma!$F$3:$Y$1107,20,0),"")</f>
        <v/>
      </c>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c r="GK710" s="4"/>
      <c r="GL710" s="4"/>
      <c r="GM710" s="4"/>
      <c r="GN710" s="4"/>
      <c r="GO710" s="4"/>
      <c r="GP710" s="4"/>
      <c r="GQ710" s="4"/>
      <c r="GR710" s="4"/>
      <c r="GS710" s="4"/>
      <c r="GT710" s="4"/>
      <c r="GU710" s="4"/>
      <c r="GV710" s="4"/>
      <c r="GW710" s="4"/>
      <c r="GX710" s="4"/>
      <c r="GY710" s="4"/>
      <c r="GZ710" s="4"/>
      <c r="HA710" s="4"/>
      <c r="HB710" s="4"/>
      <c r="HC710" s="4"/>
      <c r="HD710" s="4"/>
      <c r="HE710" s="4"/>
      <c r="HF710" s="4"/>
      <c r="HG710" s="4"/>
      <c r="HH710" s="4"/>
      <c r="HI710" s="4"/>
      <c r="HJ710" s="4"/>
      <c r="HK710" s="4"/>
      <c r="HL710" s="4"/>
    </row>
    <row r="711" spans="1:220" ht="15" customHeight="1">
      <c r="A711" s="21">
        <v>8</v>
      </c>
      <c r="B711" s="157" t="str">
        <f>VLOOKUP(Ruimtestaat[[#This Row],[Code]],Locaties[[Code]:[Locatie]],2,FALSE)</f>
        <v>Dalton College</v>
      </c>
      <c r="C711" s="157" t="str">
        <f>VLOOKUP(Ruimtestaat[[#This Row],[Code]],Locaties[[#All],[Code]:[Adres]],4,FALSE)</f>
        <v>Loolaan 125</v>
      </c>
      <c r="D711" s="157" t="str">
        <f>VLOOKUP(Ruimtestaat[[#This Row],[Code]],Locaties[[#All],[Code]:[Postcode]],5,FALSE)</f>
        <v xml:space="preserve">2271 TM </v>
      </c>
      <c r="E711" s="157" t="str">
        <f>VLOOKUP(Ruimtestaat[[#This Row],[Code]],Locaties[#All],6,FALSE)</f>
        <v>Voorburg</v>
      </c>
      <c r="F711" s="62"/>
      <c r="G711" s="21" t="s">
        <v>1632</v>
      </c>
      <c r="H711" s="21">
        <v>48</v>
      </c>
      <c r="I711" s="62" t="s">
        <v>2008</v>
      </c>
      <c r="J711" s="21">
        <v>19</v>
      </c>
      <c r="K711" s="62" t="str">
        <f>VLOOKUP(Ruimtestaat[[#This Row],[Ruimte code]],Ruimtegroepen[[#All],[Code]:[Ruimte omschrijving]],2,FALSE)</f>
        <v>kleedruimten</v>
      </c>
      <c r="L711" s="33" t="s">
        <v>102</v>
      </c>
      <c r="M711" s="367" t="s">
        <v>2509</v>
      </c>
      <c r="N711" s="140">
        <v>27</v>
      </c>
      <c r="O711" s="140"/>
      <c r="P711" s="125" t="str">
        <f>VLOOKUP(Ruimtestaat[[#This Row],[Ruimte code]],Ruimtegroepen[],4,FALSE)</f>
        <v>Ve</v>
      </c>
      <c r="R711" s="33">
        <v>40</v>
      </c>
      <c r="S711" s="33" t="s">
        <v>2</v>
      </c>
      <c r="T711" s="33">
        <f>IF(R711&gt;0,IF(RIGHT(Ruimtestaat[[#This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11" s="33">
        <f>IF(T711&gt;0,VLOOKUP($J711,Ruimtegroepen[],3,FALSE)*VLOOKUP($L711,Vloersoorten[],3,FALSE)*VLOOKUP($S711,Frequenties[],3,FALSE)*VLOOKUP($A711,Locaties[],3,FALSE),0)</f>
        <v>0</v>
      </c>
      <c r="V711" s="33">
        <f>Ruimtestaat[[#This Row],[Uitvoeringen werkdagen]]*Ruimtestaat[[#This Row],[Oppervlak (netto)]]</f>
        <v>5400</v>
      </c>
      <c r="W711" s="154">
        <f>IF(U711&gt;0,Ruimtestaat[[#This Row],[Prest. (m2 /jaar) werkdagen]]/Ruimtestaat[[#This Row],[Norm (m2/uur) werkdagen]],0)</f>
        <v>0</v>
      </c>
      <c r="X711" s="155">
        <f>Ruimtestaat[[#This Row],[uren / jaar werkdagen]]*Tariefsopbouw!$E$35</f>
        <v>0</v>
      </c>
      <c r="Y711" s="33"/>
      <c r="Z711" s="33">
        <f>IF(Ruimtestaat[[#This Row],[Frequentie weekend]]&gt;0,VALUE(LEFT(Y711,1))*R711,0)</f>
        <v>0</v>
      </c>
      <c r="AA711" s="97">
        <f>IF($Z711&gt;0,VLOOKUP($J711,Ruimtegroepen[],3,FALSE)*VLOOKUP($L711,Vloersoorten[],3,FALSE)*VLOOKUP($Y711,Frequenties[],3,FALSE)*VLOOKUP(Ruimtestaat[[#This Row],[Code]],Locaties[],3,FALSE),0)</f>
        <v>0</v>
      </c>
      <c r="AB711" s="97">
        <f>Ruimtestaat[[#This Row],[Uitvoeringen weekend]]*Ruimtestaat[[#This Row],[Oppervlak (netto)]]</f>
        <v>0</v>
      </c>
      <c r="AC711" s="97">
        <f>IF(AA711&gt;0,Ruimtestaat[[#This Row],[Prest. (m2 /jaar) weekend]]/Ruimtestaat[[#This Row],[Norm (m2/uur) weekend]],0)</f>
        <v>0</v>
      </c>
      <c r="AD711" s="155">
        <f>Ruimtestaat[[#This Row],[uren / jaar weekend]]*Tariefsopbouw!$D$40</f>
        <v>0</v>
      </c>
      <c r="AE711" s="154">
        <f>Ruimtestaat[[#This Row],[Prest. (m2 /jaar) weekend]]+Ruimtestaat[[#This Row],[Prest. (m2 /jaar) werkdagen]]</f>
        <v>5400</v>
      </c>
      <c r="AF711" s="154">
        <f>Ruimtestaat[[#This Row],[uren / jaar weekend]]+Ruimtestaat[[#This Row],[uren / jaar werkdagen]]</f>
        <v>0</v>
      </c>
      <c r="AG711" s="69">
        <f>Ruimtestaat[[#This Row],[kosten / jaar weekend]]+Ruimtestaat[[#This Row],[kosten / jaar werkdagen]]</f>
        <v>0</v>
      </c>
      <c r="AH711" s="69"/>
      <c r="AI711" s="256" t="str">
        <f>IF(Ruimtestaat[[#This Row],[Frequentie werkdagen]]="","",_xlfn.CONCAT(Ruimtestaat[[#This Row],[Ruimte code]],"-",Ruimtestaat[[#This Row],[Frequentie werkdagen]]," ",Ruimtestaat[[#This Row],[Vloer code]]))</f>
        <v>19-5w S</v>
      </c>
      <c r="AJ711" s="300" t="str">
        <f>_xlfn.IFNA(VLOOKUP($AI711,Programma!$F$3:$G$1107,2,0),"")</f>
        <v>_</v>
      </c>
      <c r="AK711" s="300" t="str">
        <f>_xlfn.IFNA(VLOOKUP($AI711,Programma!$F$3:$H$1107,3,0),"")</f>
        <v>_</v>
      </c>
      <c r="AL711" s="300" t="str">
        <f>_xlfn.IFNA(VLOOKUP($AI711,Programma!$F$3:$I$1107,4,0),"")</f>
        <v>5w</v>
      </c>
      <c r="AM711" s="300" t="str">
        <f>_xlfn.IFNA(VLOOKUP($AI711,Programma!$F$3:$J$1107,5,0),"")</f>
        <v>_</v>
      </c>
      <c r="AN711" s="300" t="str">
        <f>_xlfn.IFNA(VLOOKUP($AI711,Programma!$F$3:$K$1107,6,0),"")</f>
        <v>5w</v>
      </c>
      <c r="AO711" s="300" t="str">
        <f>_xlfn.IFNA(VLOOKUP($AI711,Programma!$F$3:$L$1107,7,0),"")</f>
        <v>_</v>
      </c>
      <c r="AP711" s="300" t="str">
        <f>_xlfn.IFNA(VLOOKUP($AI711,Programma!$F$3:$M$1107,8,0),"")</f>
        <v>_</v>
      </c>
      <c r="AQ711" s="300" t="str">
        <f>_xlfn.IFNA(VLOOKUP($AI711,Programma!$F$3:$N$1107,9,0),"")</f>
        <v>_</v>
      </c>
      <c r="AR711" s="300" t="str">
        <f>_xlfn.IFNA(VLOOKUP($AI711,Programma!$F$3:$O$1107,10,0),"")</f>
        <v>5w</v>
      </c>
      <c r="AS711" s="300" t="str">
        <f>_xlfn.IFNA(VLOOKUP($AI711,Programma!$F$3:$P$1107,11,0),"")</f>
        <v>5w</v>
      </c>
      <c r="AT711" s="300" t="str">
        <f>_xlfn.IFNA(VLOOKUP($AI711,Programma!$F$3:$Q$1107,12,0),"")</f>
        <v>1w</v>
      </c>
      <c r="AU711" s="300" t="str">
        <f>_xlfn.IFNA(VLOOKUP($AI711,Programma!$F$3:$R$1107,13,0),"")</f>
        <v>1w</v>
      </c>
      <c r="AV711" s="300" t="str">
        <f>_xlfn.IFNA(VLOOKUP($AI711,Programma!$F$3:$S$1107,14,0),"")</f>
        <v>1m</v>
      </c>
      <c r="AW711" s="300" t="str">
        <f>_xlfn.IFNA(VLOOKUP($AI711,Programma!$F$3:$T$1107,15,0),"")</f>
        <v>2j</v>
      </c>
      <c r="AX711" s="300" t="str">
        <f>_xlfn.IFNA(VLOOKUP($AI711,Programma!$F$3:$U$1107,16,0),"")</f>
        <v>1j</v>
      </c>
      <c r="AY711" s="300" t="str">
        <f>_xlfn.IFNA(VLOOKUP($AI711,Programma!$F$3:$V$1107,17,0),"")</f>
        <v>_</v>
      </c>
      <c r="AZ711" s="300" t="str">
        <f>_xlfn.IFNA(VLOOKUP($AI711,Programma!$F$3:$W$1107,18,0),"")</f>
        <v>_</v>
      </c>
      <c r="BA711" s="300" t="str">
        <f>_xlfn.IFNA(VLOOKUP($AI711,Programma!$F$3:$X$1107,19,0),"")</f>
        <v>_</v>
      </c>
      <c r="BB711" s="300" t="str">
        <f>_xlfn.IFNA(VLOOKUP($AI711,Programma!$F$3:$Y$1107,20,0),"")</f>
        <v>_</v>
      </c>
      <c r="BC711" s="257"/>
      <c r="BD711" s="256" t="str">
        <f>IF(Ruimtestaat[[#This Row],[Frequentie weekend]]="","",_xlfn.CONCAT(Ruimtestaat[[#This Row],[Ruimte code]],"-",Ruimtestaat[[#This Row],[Frequentie weekend]]," ",Ruimtestaat[[#This Row],[Vloer code]]))</f>
        <v/>
      </c>
      <c r="BE711" s="300" t="str">
        <f>_xlfn.IFNA(VLOOKUP($BD711,Programma!$F$3:$G$1107,2,0),"")</f>
        <v/>
      </c>
      <c r="BF711" s="300" t="str">
        <f>_xlfn.IFNA(VLOOKUP($BD711,Programma!$F$3:$H$1107,3,0),"")</f>
        <v/>
      </c>
      <c r="BG711" s="300" t="str">
        <f>_xlfn.IFNA(VLOOKUP($BD711,Programma!$F$3:$I$1107,4,0),"")</f>
        <v/>
      </c>
      <c r="BH711" s="300" t="str">
        <f>_xlfn.IFNA(VLOOKUP($BD711,Programma!$F$3:$J$1107,5,0),"")</f>
        <v/>
      </c>
      <c r="BI711" s="300" t="str">
        <f>_xlfn.IFNA(VLOOKUP($BD711,Programma!$F$3:$K$1107,6,0),"")</f>
        <v/>
      </c>
      <c r="BJ711" s="300" t="str">
        <f>_xlfn.IFNA(VLOOKUP($BD711,Programma!$F$3:$L$1107,7,0),"")</f>
        <v/>
      </c>
      <c r="BK711" s="300" t="str">
        <f>_xlfn.IFNA(VLOOKUP($BD711,Programma!$F$3:$M$1107,8,0),"")</f>
        <v/>
      </c>
      <c r="BL711" s="300" t="str">
        <f>_xlfn.IFNA(VLOOKUP($BD711,Programma!$F$3:$N$1107,9,0),"")</f>
        <v/>
      </c>
      <c r="BM711" s="300" t="str">
        <f>_xlfn.IFNA(VLOOKUP($BD711,Programma!$F$3:$O$1107,10,0),"")</f>
        <v/>
      </c>
      <c r="BN711" s="300" t="str">
        <f>_xlfn.IFNA(VLOOKUP($BD711,Programma!$F$3:$P$1107,11,0),"")</f>
        <v/>
      </c>
      <c r="BO711" s="300" t="str">
        <f>_xlfn.IFNA(VLOOKUP($BD711,Programma!$F$3:$Q$1107,12,0),"")</f>
        <v/>
      </c>
      <c r="BP711" s="300" t="str">
        <f>_xlfn.IFNA(VLOOKUP($BD711,Programma!$F$3:$R$1107,13,0),"")</f>
        <v/>
      </c>
      <c r="BQ711" s="300" t="str">
        <f>_xlfn.IFNA(VLOOKUP($BD711,Programma!$F$3:$S$1107,14,0),"")</f>
        <v/>
      </c>
      <c r="BR711" s="300" t="str">
        <f>_xlfn.IFNA(VLOOKUP($BD711,Programma!$F$3:$T$1107,15,0),"")</f>
        <v/>
      </c>
      <c r="BS711" s="300" t="str">
        <f>_xlfn.IFNA(VLOOKUP($BD711,Programma!$F$3:$U$1107,16,0),"")</f>
        <v/>
      </c>
      <c r="BT711" s="300" t="str">
        <f>_xlfn.IFNA(VLOOKUP($BD711,Programma!$F$3:$V$1107,17,0),"")</f>
        <v/>
      </c>
      <c r="BU711" s="300" t="str">
        <f>_xlfn.IFNA(VLOOKUP($BD711,Programma!$F$3:$W$1107,18,0),"")</f>
        <v/>
      </c>
      <c r="BV711" s="300" t="str">
        <f>_xlfn.IFNA(VLOOKUP($BD711,Programma!$F$3:$X$1107,19,0),"")</f>
        <v/>
      </c>
      <c r="BW711" s="300" t="str">
        <f>_xlfn.IFNA(VLOOKUP($BD711,Programma!$F$3:$Y$1107,20,0),"")</f>
        <v/>
      </c>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c r="GK711" s="4"/>
      <c r="GL711" s="4"/>
      <c r="GM711" s="4"/>
      <c r="GN711" s="4"/>
      <c r="GO711" s="4"/>
      <c r="GP711" s="4"/>
      <c r="GQ711" s="4"/>
      <c r="GR711" s="4"/>
      <c r="GS711" s="4"/>
      <c r="GT711" s="4"/>
      <c r="GU711" s="4"/>
      <c r="GV711" s="4"/>
      <c r="GW711" s="4"/>
      <c r="GX711" s="4"/>
      <c r="GY711" s="4"/>
      <c r="GZ711" s="4"/>
      <c r="HA711" s="4"/>
      <c r="HB711" s="4"/>
      <c r="HC711" s="4"/>
      <c r="HD711" s="4"/>
      <c r="HE711" s="4"/>
      <c r="HF711" s="4"/>
      <c r="HG711" s="4"/>
      <c r="HH711" s="4"/>
      <c r="HI711" s="4"/>
      <c r="HJ711" s="4"/>
      <c r="HK711" s="4"/>
      <c r="HL711" s="4"/>
    </row>
    <row r="712" spans="1:220" ht="15" customHeight="1">
      <c r="A712" s="21">
        <v>8</v>
      </c>
      <c r="B712" s="157" t="str">
        <f>VLOOKUP(Ruimtestaat[[#This Row],[Code]],Locaties[[Code]:[Locatie]],2,FALSE)</f>
        <v>Dalton College</v>
      </c>
      <c r="C712" s="157" t="str">
        <f>VLOOKUP(Ruimtestaat[[#This Row],[Code]],Locaties[[#All],[Code]:[Adres]],4,FALSE)</f>
        <v>Loolaan 125</v>
      </c>
      <c r="D712" s="157" t="str">
        <f>VLOOKUP(Ruimtestaat[[#This Row],[Code]],Locaties[[#All],[Code]:[Postcode]],5,FALSE)</f>
        <v xml:space="preserve">2271 TM </v>
      </c>
      <c r="E712" s="157" t="str">
        <f>VLOOKUP(Ruimtestaat[[#This Row],[Code]],Locaties[#All],6,FALSE)</f>
        <v>Voorburg</v>
      </c>
      <c r="F712" s="62"/>
      <c r="G712" s="21" t="s">
        <v>1632</v>
      </c>
      <c r="H712" s="21">
        <v>49</v>
      </c>
      <c r="I712" s="62" t="s">
        <v>2216</v>
      </c>
      <c r="J712" s="21">
        <v>2</v>
      </c>
      <c r="K712" s="62" t="str">
        <f>VLOOKUP(Ruimtestaat[[#This Row],[Ruimte code]],Ruimtegroepen[[#All],[Code]:[Ruimte omschrijving]],2,FALSE)</f>
        <v>Kantoren</v>
      </c>
      <c r="L712" s="33" t="s">
        <v>102</v>
      </c>
      <c r="M712" s="367" t="s">
        <v>2509</v>
      </c>
      <c r="N712" s="140">
        <v>4</v>
      </c>
      <c r="O712" s="140"/>
      <c r="P712" s="125" t="str">
        <f>VLOOKUP(Ruimtestaat[[#This Row],[Ruimte code]],Ruimtegroepen[],4,FALSE)</f>
        <v>Bu</v>
      </c>
      <c r="R712" s="33">
        <v>42</v>
      </c>
      <c r="S712" s="33" t="s">
        <v>18</v>
      </c>
      <c r="T712" s="33">
        <f>IF(R712&gt;0,IF(RIGHT(Ruimtestaat[[#This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12" s="33">
        <f>IF(T712&gt;0,VLOOKUP($J712,Ruimtegroepen[],3,FALSE)*VLOOKUP($L712,Vloersoorten[],3,FALSE)*VLOOKUP($S712,Frequenties[],3,FALSE)*VLOOKUP($A712,Locaties[],3,FALSE),0)</f>
        <v>0</v>
      </c>
      <c r="V712" s="33">
        <f>Ruimtestaat[[#This Row],[Uitvoeringen werkdagen]]*Ruimtestaat[[#This Row],[Oppervlak (netto)]]</f>
        <v>504</v>
      </c>
      <c r="W712" s="154">
        <f>IF(U712&gt;0,Ruimtestaat[[#This Row],[Prest. (m2 /jaar) werkdagen]]/Ruimtestaat[[#This Row],[Norm (m2/uur) werkdagen]],0)</f>
        <v>0</v>
      </c>
      <c r="X712" s="155">
        <f>Ruimtestaat[[#This Row],[uren / jaar werkdagen]]*Tariefsopbouw!$E$35</f>
        <v>0</v>
      </c>
      <c r="Y712" s="33"/>
      <c r="Z712" s="33">
        <f>IF(Ruimtestaat[[#This Row],[Frequentie weekend]]&gt;0,VALUE(LEFT(Y712,1))*R712,0)</f>
        <v>0</v>
      </c>
      <c r="AA712" s="97">
        <f>IF($Z712&gt;0,VLOOKUP($J712,Ruimtegroepen[],3,FALSE)*VLOOKUP($L712,Vloersoorten[],3,FALSE)*VLOOKUP($Y712,Frequenties[],3,FALSE)*VLOOKUP(Ruimtestaat[[#This Row],[Code]],Locaties[],3,FALSE),0)</f>
        <v>0</v>
      </c>
      <c r="AB712" s="97">
        <f>Ruimtestaat[[#This Row],[Uitvoeringen weekend]]*Ruimtestaat[[#This Row],[Oppervlak (netto)]]</f>
        <v>0</v>
      </c>
      <c r="AC712" s="97">
        <f>IF(AA712&gt;0,Ruimtestaat[[#This Row],[Prest. (m2 /jaar) weekend]]/Ruimtestaat[[#This Row],[Norm (m2/uur) weekend]],0)</f>
        <v>0</v>
      </c>
      <c r="AD712" s="155">
        <f>Ruimtestaat[[#This Row],[uren / jaar weekend]]*Tariefsopbouw!$D$40</f>
        <v>0</v>
      </c>
      <c r="AE712" s="154">
        <f>Ruimtestaat[[#This Row],[Prest. (m2 /jaar) weekend]]+Ruimtestaat[[#This Row],[Prest. (m2 /jaar) werkdagen]]</f>
        <v>504</v>
      </c>
      <c r="AF712" s="154">
        <f>Ruimtestaat[[#This Row],[uren / jaar weekend]]+Ruimtestaat[[#This Row],[uren / jaar werkdagen]]</f>
        <v>0</v>
      </c>
      <c r="AG712" s="69">
        <f>Ruimtestaat[[#This Row],[kosten / jaar weekend]]+Ruimtestaat[[#This Row],[kosten / jaar werkdagen]]</f>
        <v>0</v>
      </c>
      <c r="AH712" s="69"/>
      <c r="AI712" s="256" t="str">
        <f>IF(Ruimtestaat[[#This Row],[Frequentie werkdagen]]="","",_xlfn.CONCAT(Ruimtestaat[[#This Row],[Ruimte code]],"-",Ruimtestaat[[#This Row],[Frequentie werkdagen]]," ",Ruimtestaat[[#This Row],[Vloer code]]))</f>
        <v>2-3w S</v>
      </c>
      <c r="AJ712" s="300" t="str">
        <f>_xlfn.IFNA(VLOOKUP($AI712,Programma!$F$3:$G$1107,2,0),"")</f>
        <v>_</v>
      </c>
      <c r="AK712" s="300" t="str">
        <f>_xlfn.IFNA(VLOOKUP($AI712,Programma!$F$3:$H$1107,3,0),"")</f>
        <v>_</v>
      </c>
      <c r="AL712" s="300" t="str">
        <f>_xlfn.IFNA(VLOOKUP($AI712,Programma!$F$3:$I$1107,4,0),"")</f>
        <v>2w</v>
      </c>
      <c r="AM712" s="300" t="str">
        <f>_xlfn.IFNA(VLOOKUP($AI712,Programma!$F$3:$J$1107,5,0),"")</f>
        <v>1w</v>
      </c>
      <c r="AN712" s="300" t="str">
        <f>_xlfn.IFNA(VLOOKUP($AI712,Programma!$F$3:$K$1107,6,0),"")</f>
        <v>1j</v>
      </c>
      <c r="AO712" s="300" t="str">
        <f>_xlfn.IFNA(VLOOKUP($AI712,Programma!$F$3:$L$1107,7,0),"")</f>
        <v>_</v>
      </c>
      <c r="AP712" s="300" t="str">
        <f>_xlfn.IFNA(VLOOKUP($AI712,Programma!$F$3:$M$1107,8,0),"")</f>
        <v>_</v>
      </c>
      <c r="AQ712" s="300" t="str">
        <f>_xlfn.IFNA(VLOOKUP($AI712,Programma!$F$3:$N$1107,9,0),"")</f>
        <v>_</v>
      </c>
      <c r="AR712" s="300" t="str">
        <f>_xlfn.IFNA(VLOOKUP($AI712,Programma!$F$3:$O$1107,10,0),"")</f>
        <v>3w</v>
      </c>
      <c r="AS712" s="300" t="str">
        <f>_xlfn.IFNA(VLOOKUP($AI712,Programma!$F$3:$P$1107,11,0),"")</f>
        <v>3w</v>
      </c>
      <c r="AT712" s="300" t="str">
        <f>_xlfn.IFNA(VLOOKUP($AI712,Programma!$F$3:$Q$1107,12,0),"")</f>
        <v>1w</v>
      </c>
      <c r="AU712" s="300" t="str">
        <f>_xlfn.IFNA(VLOOKUP($AI712,Programma!$F$3:$R$1107,13,0),"")</f>
        <v>1w</v>
      </c>
      <c r="AV712" s="300" t="str">
        <f>_xlfn.IFNA(VLOOKUP($AI712,Programma!$F$3:$S$1107,14,0),"")</f>
        <v>1m</v>
      </c>
      <c r="AW712" s="300" t="str">
        <f>_xlfn.IFNA(VLOOKUP($AI712,Programma!$F$3:$T$1107,15,0),"")</f>
        <v>2j</v>
      </c>
      <c r="AX712" s="300" t="str">
        <f>_xlfn.IFNA(VLOOKUP($AI712,Programma!$F$3:$U$1107,16,0),"")</f>
        <v>1j</v>
      </c>
      <c r="AY712" s="300" t="str">
        <f>_xlfn.IFNA(VLOOKUP($AI712,Programma!$F$3:$V$1107,17,0),"")</f>
        <v>_</v>
      </c>
      <c r="AZ712" s="300" t="str">
        <f>_xlfn.IFNA(VLOOKUP($AI712,Programma!$F$3:$W$1107,18,0),"")</f>
        <v>_</v>
      </c>
      <c r="BA712" s="300" t="str">
        <f>_xlfn.IFNA(VLOOKUP($AI712,Programma!$F$3:$X$1107,19,0),"")</f>
        <v>_</v>
      </c>
      <c r="BB712" s="300" t="str">
        <f>_xlfn.IFNA(VLOOKUP($AI712,Programma!$F$3:$Y$1107,20,0),"")</f>
        <v>_</v>
      </c>
      <c r="BC712" s="257"/>
      <c r="BD712" s="256" t="str">
        <f>IF(Ruimtestaat[[#This Row],[Frequentie weekend]]="","",_xlfn.CONCAT(Ruimtestaat[[#This Row],[Ruimte code]],"-",Ruimtestaat[[#This Row],[Frequentie weekend]]," ",Ruimtestaat[[#This Row],[Vloer code]]))</f>
        <v/>
      </c>
      <c r="BE712" s="300" t="str">
        <f>_xlfn.IFNA(VLOOKUP($BD712,Programma!$F$3:$G$1107,2,0),"")</f>
        <v/>
      </c>
      <c r="BF712" s="300" t="str">
        <f>_xlfn.IFNA(VLOOKUP($BD712,Programma!$F$3:$H$1107,3,0),"")</f>
        <v/>
      </c>
      <c r="BG712" s="300" t="str">
        <f>_xlfn.IFNA(VLOOKUP($BD712,Programma!$F$3:$I$1107,4,0),"")</f>
        <v/>
      </c>
      <c r="BH712" s="300" t="str">
        <f>_xlfn.IFNA(VLOOKUP($BD712,Programma!$F$3:$J$1107,5,0),"")</f>
        <v/>
      </c>
      <c r="BI712" s="300" t="str">
        <f>_xlfn.IFNA(VLOOKUP($BD712,Programma!$F$3:$K$1107,6,0),"")</f>
        <v/>
      </c>
      <c r="BJ712" s="300" t="str">
        <f>_xlfn.IFNA(VLOOKUP($BD712,Programma!$F$3:$L$1107,7,0),"")</f>
        <v/>
      </c>
      <c r="BK712" s="300" t="str">
        <f>_xlfn.IFNA(VLOOKUP($BD712,Programma!$F$3:$M$1107,8,0),"")</f>
        <v/>
      </c>
      <c r="BL712" s="300" t="str">
        <f>_xlfn.IFNA(VLOOKUP($BD712,Programma!$F$3:$N$1107,9,0),"")</f>
        <v/>
      </c>
      <c r="BM712" s="300" t="str">
        <f>_xlfn.IFNA(VLOOKUP($BD712,Programma!$F$3:$O$1107,10,0),"")</f>
        <v/>
      </c>
      <c r="BN712" s="300" t="str">
        <f>_xlfn.IFNA(VLOOKUP($BD712,Programma!$F$3:$P$1107,11,0),"")</f>
        <v/>
      </c>
      <c r="BO712" s="300" t="str">
        <f>_xlfn.IFNA(VLOOKUP($BD712,Programma!$F$3:$Q$1107,12,0),"")</f>
        <v/>
      </c>
      <c r="BP712" s="300" t="str">
        <f>_xlfn.IFNA(VLOOKUP($BD712,Programma!$F$3:$R$1107,13,0),"")</f>
        <v/>
      </c>
      <c r="BQ712" s="300" t="str">
        <f>_xlfn.IFNA(VLOOKUP($BD712,Programma!$F$3:$S$1107,14,0),"")</f>
        <v/>
      </c>
      <c r="BR712" s="300" t="str">
        <f>_xlfn.IFNA(VLOOKUP($BD712,Programma!$F$3:$T$1107,15,0),"")</f>
        <v/>
      </c>
      <c r="BS712" s="300" t="str">
        <f>_xlfn.IFNA(VLOOKUP($BD712,Programma!$F$3:$U$1107,16,0),"")</f>
        <v/>
      </c>
      <c r="BT712" s="300" t="str">
        <f>_xlfn.IFNA(VLOOKUP($BD712,Programma!$F$3:$V$1107,17,0),"")</f>
        <v/>
      </c>
      <c r="BU712" s="300" t="str">
        <f>_xlfn.IFNA(VLOOKUP($BD712,Programma!$F$3:$W$1107,18,0),"")</f>
        <v/>
      </c>
      <c r="BV712" s="300" t="str">
        <f>_xlfn.IFNA(VLOOKUP($BD712,Programma!$F$3:$X$1107,19,0),"")</f>
        <v/>
      </c>
      <c r="BW712" s="300" t="str">
        <f>_xlfn.IFNA(VLOOKUP($BD712,Programma!$F$3:$Y$1107,20,0),"")</f>
        <v/>
      </c>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c r="GK712" s="4"/>
      <c r="GL712" s="4"/>
      <c r="GM712" s="4"/>
      <c r="GN712" s="4"/>
      <c r="GO712" s="4"/>
      <c r="GP712" s="4"/>
      <c r="GQ712" s="4"/>
      <c r="GR712" s="4"/>
      <c r="GS712" s="4"/>
      <c r="GT712" s="4"/>
      <c r="GU712" s="4"/>
      <c r="GV712" s="4"/>
      <c r="GW712" s="4"/>
      <c r="GX712" s="4"/>
      <c r="GY712" s="4"/>
      <c r="GZ712" s="4"/>
      <c r="HA712" s="4"/>
      <c r="HB712" s="4"/>
      <c r="HC712" s="4"/>
      <c r="HD712" s="4"/>
      <c r="HE712" s="4"/>
      <c r="HF712" s="4"/>
      <c r="HG712" s="4"/>
      <c r="HH712" s="4"/>
      <c r="HI712" s="4"/>
      <c r="HJ712" s="4"/>
      <c r="HK712" s="4"/>
      <c r="HL712" s="4"/>
    </row>
    <row r="713" spans="1:220" ht="15" customHeight="1">
      <c r="A713" s="21">
        <v>8</v>
      </c>
      <c r="B713" s="157" t="str">
        <f>VLOOKUP(Ruimtestaat[[#This Row],[Code]],Locaties[[Code]:[Locatie]],2,FALSE)</f>
        <v>Dalton College</v>
      </c>
      <c r="C713" s="157" t="str">
        <f>VLOOKUP(Ruimtestaat[[#This Row],[Code]],Locaties[[#All],[Code]:[Adres]],4,FALSE)</f>
        <v>Loolaan 125</v>
      </c>
      <c r="D713" s="157" t="str">
        <f>VLOOKUP(Ruimtestaat[[#This Row],[Code]],Locaties[[#All],[Code]:[Postcode]],5,FALSE)</f>
        <v xml:space="preserve">2271 TM </v>
      </c>
      <c r="E713" s="157" t="str">
        <f>VLOOKUP(Ruimtestaat[[#This Row],[Code]],Locaties[#All],6,FALSE)</f>
        <v>Voorburg</v>
      </c>
      <c r="F713" s="62"/>
      <c r="G713" s="21" t="s">
        <v>1632</v>
      </c>
      <c r="H713" s="21">
        <v>50</v>
      </c>
      <c r="I713" s="62" t="s">
        <v>1288</v>
      </c>
      <c r="J713" s="21">
        <v>18</v>
      </c>
      <c r="K713" s="62" t="str">
        <f>VLOOKUP(Ruimtestaat[[#This Row],[Ruimte code]],Ruimtegroepen[[#All],[Code]:[Ruimte omschrijving]],2,FALSE)</f>
        <v>Gymzaal</v>
      </c>
      <c r="L713" s="33" t="s">
        <v>103</v>
      </c>
      <c r="M713" s="367" t="s">
        <v>2508</v>
      </c>
      <c r="N713" s="140">
        <v>259</v>
      </c>
      <c r="O713" s="140"/>
      <c r="P713" s="125" t="str">
        <f>VLOOKUP(Ruimtestaat[[#This Row],[Ruimte code]],Ruimtegroepen[],4,FALSE)</f>
        <v>Sp</v>
      </c>
      <c r="R713" s="33">
        <v>40</v>
      </c>
      <c r="S713" s="33" t="s">
        <v>2</v>
      </c>
      <c r="T713" s="33">
        <f>IF(R713&gt;0,IF(RIGHT(Ruimtestaat[[#This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13" s="33">
        <f>IF(T713&gt;0,VLOOKUP($J713,Ruimtegroepen[],3,FALSE)*VLOOKUP($L713,Vloersoorten[],3,FALSE)*VLOOKUP($S713,Frequenties[],3,FALSE)*VLOOKUP($A713,Locaties[],3,FALSE),0)</f>
        <v>0</v>
      </c>
      <c r="V713" s="33">
        <f>Ruimtestaat[[#This Row],[Uitvoeringen werkdagen]]*Ruimtestaat[[#This Row],[Oppervlak (netto)]]</f>
        <v>51800</v>
      </c>
      <c r="W713" s="154">
        <f>IF(U713&gt;0,Ruimtestaat[[#This Row],[Prest. (m2 /jaar) werkdagen]]/Ruimtestaat[[#This Row],[Norm (m2/uur) werkdagen]],0)</f>
        <v>0</v>
      </c>
      <c r="X713" s="155">
        <f>Ruimtestaat[[#This Row],[uren / jaar werkdagen]]*Tariefsopbouw!$E$35</f>
        <v>0</v>
      </c>
      <c r="Y713" s="33"/>
      <c r="Z713" s="33">
        <f>IF(Ruimtestaat[[#This Row],[Frequentie weekend]]&gt;0,VALUE(LEFT(Y713,1))*R713,0)</f>
        <v>0</v>
      </c>
      <c r="AA713" s="97">
        <f>IF($Z713&gt;0,VLOOKUP($J713,Ruimtegroepen[],3,FALSE)*VLOOKUP($L713,Vloersoorten[],3,FALSE)*VLOOKUP($Y713,Frequenties[],3,FALSE)*VLOOKUP(Ruimtestaat[[#This Row],[Code]],Locaties[],3,FALSE),0)</f>
        <v>0</v>
      </c>
      <c r="AB713" s="97">
        <f>Ruimtestaat[[#This Row],[Uitvoeringen weekend]]*Ruimtestaat[[#This Row],[Oppervlak (netto)]]</f>
        <v>0</v>
      </c>
      <c r="AC713" s="97">
        <f>IF(AA713&gt;0,Ruimtestaat[[#This Row],[Prest. (m2 /jaar) weekend]]/Ruimtestaat[[#This Row],[Norm (m2/uur) weekend]],0)</f>
        <v>0</v>
      </c>
      <c r="AD713" s="155">
        <f>Ruimtestaat[[#This Row],[uren / jaar weekend]]*Tariefsopbouw!$D$40</f>
        <v>0</v>
      </c>
      <c r="AE713" s="154">
        <f>Ruimtestaat[[#This Row],[Prest. (m2 /jaar) weekend]]+Ruimtestaat[[#This Row],[Prest. (m2 /jaar) werkdagen]]</f>
        <v>51800</v>
      </c>
      <c r="AF713" s="154">
        <f>Ruimtestaat[[#This Row],[uren / jaar weekend]]+Ruimtestaat[[#This Row],[uren / jaar werkdagen]]</f>
        <v>0</v>
      </c>
      <c r="AG713" s="69">
        <f>Ruimtestaat[[#This Row],[kosten / jaar weekend]]+Ruimtestaat[[#This Row],[kosten / jaar werkdagen]]</f>
        <v>0</v>
      </c>
      <c r="AH713" s="69"/>
      <c r="AI713" s="256" t="str">
        <f>IF(Ruimtestaat[[#This Row],[Frequentie werkdagen]]="","",_xlfn.CONCAT(Ruimtestaat[[#This Row],[Ruimte code]],"-",Ruimtestaat[[#This Row],[Frequentie werkdagen]]," ",Ruimtestaat[[#This Row],[Vloer code]]))</f>
        <v>18-5w P</v>
      </c>
      <c r="AJ713" s="300" t="str">
        <f>_xlfn.IFNA(VLOOKUP($AI713,Programma!$F$3:$G$1107,2,0),"")</f>
        <v>_</v>
      </c>
      <c r="AK713" s="300" t="str">
        <f>_xlfn.IFNA(VLOOKUP($AI713,Programma!$F$3:$H$1107,3,0),"")</f>
        <v>_</v>
      </c>
      <c r="AL713" s="300" t="str">
        <f>_xlfn.IFNA(VLOOKUP($AI713,Programma!$F$3:$I$1107,4,0),"")</f>
        <v>4w</v>
      </c>
      <c r="AM713" s="300" t="str">
        <f>_xlfn.IFNA(VLOOKUP($AI713,Programma!$F$3:$J$1107,5,0),"")</f>
        <v>1w</v>
      </c>
      <c r="AN713" s="300" t="str">
        <f>_xlfn.IFNA(VLOOKUP($AI713,Programma!$F$3:$K$1107,6,0),"")</f>
        <v>4j</v>
      </c>
      <c r="AO713" s="300" t="str">
        <f>_xlfn.IFNA(VLOOKUP($AI713,Programma!$F$3:$L$1107,7,0),"")</f>
        <v>_</v>
      </c>
      <c r="AP713" s="300" t="str">
        <f>_xlfn.IFNA(VLOOKUP($AI713,Programma!$F$3:$M$1107,8,0),"")</f>
        <v>_</v>
      </c>
      <c r="AQ713" s="300" t="str">
        <f>_xlfn.IFNA(VLOOKUP($AI713,Programma!$F$3:$N$1107,9,0),"")</f>
        <v>_</v>
      </c>
      <c r="AR713" s="300" t="str">
        <f>_xlfn.IFNA(VLOOKUP($AI713,Programma!$F$3:$O$1107,10,0),"")</f>
        <v>5w</v>
      </c>
      <c r="AS713" s="300" t="str">
        <f>_xlfn.IFNA(VLOOKUP($AI713,Programma!$F$3:$P$1107,11,0),"")</f>
        <v>5w</v>
      </c>
      <c r="AT713" s="300" t="str">
        <f>_xlfn.IFNA(VLOOKUP($AI713,Programma!$F$3:$Q$1107,12,0),"")</f>
        <v>5w</v>
      </c>
      <c r="AU713" s="300" t="str">
        <f>_xlfn.IFNA(VLOOKUP($AI713,Programma!$F$3:$R$1107,13,0),"")</f>
        <v>5w</v>
      </c>
      <c r="AV713" s="300" t="str">
        <f>_xlfn.IFNA(VLOOKUP($AI713,Programma!$F$3:$S$1107,14,0),"")</f>
        <v>1m</v>
      </c>
      <c r="AW713" s="300" t="str">
        <f>_xlfn.IFNA(VLOOKUP($AI713,Programma!$F$3:$T$1107,15,0),"")</f>
        <v>2j</v>
      </c>
      <c r="AX713" s="300" t="str">
        <f>_xlfn.IFNA(VLOOKUP($AI713,Programma!$F$3:$U$1107,16,0),"")</f>
        <v>1j</v>
      </c>
      <c r="AY713" s="300" t="str">
        <f>_xlfn.IFNA(VLOOKUP($AI713,Programma!$F$3:$V$1107,17,0),"")</f>
        <v>_</v>
      </c>
      <c r="AZ713" s="300" t="str">
        <f>_xlfn.IFNA(VLOOKUP($AI713,Programma!$F$3:$W$1107,18,0),"")</f>
        <v>_</v>
      </c>
      <c r="BA713" s="300" t="str">
        <f>_xlfn.IFNA(VLOOKUP($AI713,Programma!$F$3:$X$1107,19,0),"")</f>
        <v>_</v>
      </c>
      <c r="BB713" s="300" t="str">
        <f>_xlfn.IFNA(VLOOKUP($AI713,Programma!$F$3:$Y$1107,20,0),"")</f>
        <v>_</v>
      </c>
      <c r="BC713" s="257"/>
      <c r="BD713" s="256" t="str">
        <f>IF(Ruimtestaat[[#This Row],[Frequentie weekend]]="","",_xlfn.CONCAT(Ruimtestaat[[#This Row],[Ruimte code]],"-",Ruimtestaat[[#This Row],[Frequentie weekend]]," ",Ruimtestaat[[#This Row],[Vloer code]]))</f>
        <v/>
      </c>
      <c r="BE713" s="300" t="str">
        <f>_xlfn.IFNA(VLOOKUP($BD713,Programma!$F$3:$G$1107,2,0),"")</f>
        <v/>
      </c>
      <c r="BF713" s="300" t="str">
        <f>_xlfn.IFNA(VLOOKUP($BD713,Programma!$F$3:$H$1107,3,0),"")</f>
        <v/>
      </c>
      <c r="BG713" s="300" t="str">
        <f>_xlfn.IFNA(VLOOKUP($BD713,Programma!$F$3:$I$1107,4,0),"")</f>
        <v/>
      </c>
      <c r="BH713" s="300" t="str">
        <f>_xlfn.IFNA(VLOOKUP($BD713,Programma!$F$3:$J$1107,5,0),"")</f>
        <v/>
      </c>
      <c r="BI713" s="300" t="str">
        <f>_xlfn.IFNA(VLOOKUP($BD713,Programma!$F$3:$K$1107,6,0),"")</f>
        <v/>
      </c>
      <c r="BJ713" s="300" t="str">
        <f>_xlfn.IFNA(VLOOKUP($BD713,Programma!$F$3:$L$1107,7,0),"")</f>
        <v/>
      </c>
      <c r="BK713" s="300" t="str">
        <f>_xlfn.IFNA(VLOOKUP($BD713,Programma!$F$3:$M$1107,8,0),"")</f>
        <v/>
      </c>
      <c r="BL713" s="300" t="str">
        <f>_xlfn.IFNA(VLOOKUP($BD713,Programma!$F$3:$N$1107,9,0),"")</f>
        <v/>
      </c>
      <c r="BM713" s="300" t="str">
        <f>_xlfn.IFNA(VLOOKUP($BD713,Programma!$F$3:$O$1107,10,0),"")</f>
        <v/>
      </c>
      <c r="BN713" s="300" t="str">
        <f>_xlfn.IFNA(VLOOKUP($BD713,Programma!$F$3:$P$1107,11,0),"")</f>
        <v/>
      </c>
      <c r="BO713" s="300" t="str">
        <f>_xlfn.IFNA(VLOOKUP($BD713,Programma!$F$3:$Q$1107,12,0),"")</f>
        <v/>
      </c>
      <c r="BP713" s="300" t="str">
        <f>_xlfn.IFNA(VLOOKUP($BD713,Programma!$F$3:$R$1107,13,0),"")</f>
        <v/>
      </c>
      <c r="BQ713" s="300" t="str">
        <f>_xlfn.IFNA(VLOOKUP($BD713,Programma!$F$3:$S$1107,14,0),"")</f>
        <v/>
      </c>
      <c r="BR713" s="300" t="str">
        <f>_xlfn.IFNA(VLOOKUP($BD713,Programma!$F$3:$T$1107,15,0),"")</f>
        <v/>
      </c>
      <c r="BS713" s="300" t="str">
        <f>_xlfn.IFNA(VLOOKUP($BD713,Programma!$F$3:$U$1107,16,0),"")</f>
        <v/>
      </c>
      <c r="BT713" s="300" t="str">
        <f>_xlfn.IFNA(VLOOKUP($BD713,Programma!$F$3:$V$1107,17,0),"")</f>
        <v/>
      </c>
      <c r="BU713" s="300" t="str">
        <f>_xlfn.IFNA(VLOOKUP($BD713,Programma!$F$3:$W$1107,18,0),"")</f>
        <v/>
      </c>
      <c r="BV713" s="300" t="str">
        <f>_xlfn.IFNA(VLOOKUP($BD713,Programma!$F$3:$X$1107,19,0),"")</f>
        <v/>
      </c>
      <c r="BW713" s="300" t="str">
        <f>_xlfn.IFNA(VLOOKUP($BD713,Programma!$F$3:$Y$1107,20,0),"")</f>
        <v/>
      </c>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c r="GB713" s="4"/>
      <c r="GC713" s="4"/>
      <c r="GD713" s="4"/>
      <c r="GE713" s="4"/>
      <c r="GF713" s="4"/>
      <c r="GG713" s="4"/>
      <c r="GH713" s="4"/>
      <c r="GI713" s="4"/>
      <c r="GJ713" s="4"/>
      <c r="GK713" s="4"/>
      <c r="GL713" s="4"/>
      <c r="GM713" s="4"/>
      <c r="GN713" s="4"/>
      <c r="GO713" s="4"/>
      <c r="GP713" s="4"/>
      <c r="GQ713" s="4"/>
      <c r="GR713" s="4"/>
      <c r="GS713" s="4"/>
      <c r="GT713" s="4"/>
      <c r="GU713" s="4"/>
      <c r="GV713" s="4"/>
      <c r="GW713" s="4"/>
      <c r="GX713" s="4"/>
      <c r="GY713" s="4"/>
      <c r="GZ713" s="4"/>
      <c r="HA713" s="4"/>
      <c r="HB713" s="4"/>
      <c r="HC713" s="4"/>
      <c r="HD713" s="4"/>
      <c r="HE713" s="4"/>
      <c r="HF713" s="4"/>
      <c r="HG713" s="4"/>
      <c r="HH713" s="4"/>
      <c r="HI713" s="4"/>
      <c r="HJ713" s="4"/>
      <c r="HK713" s="4"/>
      <c r="HL713" s="4"/>
    </row>
    <row r="714" spans="1:220" ht="15" customHeight="1">
      <c r="A714" s="21">
        <v>8</v>
      </c>
      <c r="B714" s="157" t="str">
        <f>VLOOKUP(Ruimtestaat[[#This Row],[Code]],Locaties[[Code]:[Locatie]],2,FALSE)</f>
        <v>Dalton College</v>
      </c>
      <c r="C714" s="157" t="str">
        <f>VLOOKUP(Ruimtestaat[[#This Row],[Code]],Locaties[[#All],[Code]:[Adres]],4,FALSE)</f>
        <v>Loolaan 125</v>
      </c>
      <c r="D714" s="157" t="str">
        <f>VLOOKUP(Ruimtestaat[[#This Row],[Code]],Locaties[[#All],[Code]:[Postcode]],5,FALSE)</f>
        <v xml:space="preserve">2271 TM </v>
      </c>
      <c r="E714" s="157" t="str">
        <f>VLOOKUP(Ruimtestaat[[#This Row],[Code]],Locaties[#All],6,FALSE)</f>
        <v>Voorburg</v>
      </c>
      <c r="F714" s="62"/>
      <c r="G714" s="21" t="s">
        <v>1632</v>
      </c>
      <c r="H714" s="21">
        <v>51</v>
      </c>
      <c r="I714" s="62" t="s">
        <v>2217</v>
      </c>
      <c r="J714" s="21">
        <v>17</v>
      </c>
      <c r="K714" s="62" t="str">
        <f>VLOOKUP(Ruimtestaat[[#This Row],[Ruimte code]],Ruimtegroepen[[#All],[Code]:[Ruimte omschrijving]],2,FALSE)</f>
        <v>Toestelberging</v>
      </c>
      <c r="L714" s="33" t="s">
        <v>103</v>
      </c>
      <c r="M714" s="367" t="s">
        <v>2508</v>
      </c>
      <c r="N714" s="140">
        <v>38</v>
      </c>
      <c r="O714" s="140"/>
      <c r="P714" s="125" t="str">
        <f>VLOOKUP(Ruimtestaat[[#This Row],[Ruimte code]],Ruimtegroepen[],4,FALSE)</f>
        <v>Ve</v>
      </c>
      <c r="R714" s="33">
        <v>40</v>
      </c>
      <c r="S714" s="33" t="s">
        <v>16</v>
      </c>
      <c r="T714" s="33">
        <f>IF(R714&gt;0,IF(RIGHT(Ruimtestaat[[#This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714" s="33">
        <f>IF(T714&gt;0,VLOOKUP($J714,Ruimtegroepen[],3,FALSE)*VLOOKUP($L714,Vloersoorten[],3,FALSE)*VLOOKUP($S714,Frequenties[],3,FALSE)*VLOOKUP($A714,Locaties[],3,FALSE),0)</f>
        <v>0</v>
      </c>
      <c r="V714" s="33">
        <f>Ruimtestaat[[#This Row],[Uitvoeringen werkdagen]]*Ruimtestaat[[#This Row],[Oppervlak (netto)]]</f>
        <v>456</v>
      </c>
      <c r="W714" s="154">
        <f>IF(U714&gt;0,Ruimtestaat[[#This Row],[Prest. (m2 /jaar) werkdagen]]/Ruimtestaat[[#This Row],[Norm (m2/uur) werkdagen]],0)</f>
        <v>0</v>
      </c>
      <c r="X714" s="155">
        <f>Ruimtestaat[[#This Row],[uren / jaar werkdagen]]*Tariefsopbouw!$E$35</f>
        <v>0</v>
      </c>
      <c r="Y714" s="33"/>
      <c r="Z714" s="33">
        <f>IF(Ruimtestaat[[#This Row],[Frequentie weekend]]&gt;0,VALUE(LEFT(Y714,1))*R714,0)</f>
        <v>0</v>
      </c>
      <c r="AA714" s="97">
        <f>IF($Z714&gt;0,VLOOKUP($J714,Ruimtegroepen[],3,FALSE)*VLOOKUP($L714,Vloersoorten[],3,FALSE)*VLOOKUP($Y714,Frequenties[],3,FALSE)*VLOOKUP(Ruimtestaat[[#This Row],[Code]],Locaties[],3,FALSE),0)</f>
        <v>0</v>
      </c>
      <c r="AB714" s="97">
        <f>Ruimtestaat[[#This Row],[Uitvoeringen weekend]]*Ruimtestaat[[#This Row],[Oppervlak (netto)]]</f>
        <v>0</v>
      </c>
      <c r="AC714" s="97">
        <f>IF(AA714&gt;0,Ruimtestaat[[#This Row],[Prest. (m2 /jaar) weekend]]/Ruimtestaat[[#This Row],[Norm (m2/uur) weekend]],0)</f>
        <v>0</v>
      </c>
      <c r="AD714" s="155">
        <f>Ruimtestaat[[#This Row],[uren / jaar weekend]]*Tariefsopbouw!$D$40</f>
        <v>0</v>
      </c>
      <c r="AE714" s="154">
        <f>Ruimtestaat[[#This Row],[Prest. (m2 /jaar) weekend]]+Ruimtestaat[[#This Row],[Prest. (m2 /jaar) werkdagen]]</f>
        <v>456</v>
      </c>
      <c r="AF714" s="154">
        <f>Ruimtestaat[[#This Row],[uren / jaar weekend]]+Ruimtestaat[[#This Row],[uren / jaar werkdagen]]</f>
        <v>0</v>
      </c>
      <c r="AG714" s="69">
        <f>Ruimtestaat[[#This Row],[kosten / jaar weekend]]+Ruimtestaat[[#This Row],[kosten / jaar werkdagen]]</f>
        <v>0</v>
      </c>
      <c r="AH714" s="69"/>
      <c r="AI714" s="256" t="str">
        <f>IF(Ruimtestaat[[#This Row],[Frequentie werkdagen]]="","",_xlfn.CONCAT(Ruimtestaat[[#This Row],[Ruimte code]],"-",Ruimtestaat[[#This Row],[Frequentie werkdagen]]," ",Ruimtestaat[[#This Row],[Vloer code]]))</f>
        <v>17-1m P</v>
      </c>
      <c r="AJ714" s="300" t="str">
        <f>_xlfn.IFNA(VLOOKUP($AI714,Programma!$F$3:$G$1107,2,0),"")</f>
        <v>_</v>
      </c>
      <c r="AK714" s="300" t="str">
        <f>_xlfn.IFNA(VLOOKUP($AI714,Programma!$F$3:$H$1107,3,0),"")</f>
        <v>_</v>
      </c>
      <c r="AL714" s="300" t="str">
        <f>_xlfn.IFNA(VLOOKUP($AI714,Programma!$F$3:$I$1107,4,0),"")</f>
        <v>1m</v>
      </c>
      <c r="AM714" s="300" t="str">
        <f>_xlfn.IFNA(VLOOKUP($AI714,Programma!$F$3:$J$1107,5,0),"")</f>
        <v>_</v>
      </c>
      <c r="AN714" s="300" t="str">
        <f>_xlfn.IFNA(VLOOKUP($AI714,Programma!$F$3:$K$1107,6,0),"")</f>
        <v>4j</v>
      </c>
      <c r="AO714" s="300" t="str">
        <f>_xlfn.IFNA(VLOOKUP($AI714,Programma!$F$3:$L$1107,7,0),"")</f>
        <v>_</v>
      </c>
      <c r="AP714" s="300" t="str">
        <f>_xlfn.IFNA(VLOOKUP($AI714,Programma!$F$3:$M$1107,8,0),"")</f>
        <v>_</v>
      </c>
      <c r="AQ714" s="300" t="str">
        <f>_xlfn.IFNA(VLOOKUP($AI714,Programma!$F$3:$N$1107,9,0),"")</f>
        <v>_</v>
      </c>
      <c r="AR714" s="300" t="str">
        <f>_xlfn.IFNA(VLOOKUP($AI714,Programma!$F$3:$O$1107,10,0),"")</f>
        <v>1m</v>
      </c>
      <c r="AS714" s="300" t="str">
        <f>_xlfn.IFNA(VLOOKUP($AI714,Programma!$F$3:$P$1107,11,0),"")</f>
        <v>1m</v>
      </c>
      <c r="AT714" s="300" t="str">
        <f>_xlfn.IFNA(VLOOKUP($AI714,Programma!$F$3:$Q$1107,12,0),"")</f>
        <v>1m</v>
      </c>
      <c r="AU714" s="300" t="str">
        <f>_xlfn.IFNA(VLOOKUP($AI714,Programma!$F$3:$R$1107,13,0),"")</f>
        <v>1m</v>
      </c>
      <c r="AV714" s="300" t="str">
        <f>_xlfn.IFNA(VLOOKUP($AI714,Programma!$F$3:$S$1107,14,0),"")</f>
        <v>1m</v>
      </c>
      <c r="AW714" s="300" t="str">
        <f>_xlfn.IFNA(VLOOKUP($AI714,Programma!$F$3:$T$1107,15,0),"")</f>
        <v>2j</v>
      </c>
      <c r="AX714" s="300" t="str">
        <f>_xlfn.IFNA(VLOOKUP($AI714,Programma!$F$3:$U$1107,16,0),"")</f>
        <v>1j</v>
      </c>
      <c r="AY714" s="300" t="str">
        <f>_xlfn.IFNA(VLOOKUP($AI714,Programma!$F$3:$V$1107,17,0),"")</f>
        <v>_</v>
      </c>
      <c r="AZ714" s="300" t="str">
        <f>_xlfn.IFNA(VLOOKUP($AI714,Programma!$F$3:$W$1107,18,0),"")</f>
        <v>_</v>
      </c>
      <c r="BA714" s="300" t="str">
        <f>_xlfn.IFNA(VLOOKUP($AI714,Programma!$F$3:$X$1107,19,0),"")</f>
        <v>_</v>
      </c>
      <c r="BB714" s="300" t="str">
        <f>_xlfn.IFNA(VLOOKUP($AI714,Programma!$F$3:$Y$1107,20,0),"")</f>
        <v>_</v>
      </c>
      <c r="BC714" s="257"/>
      <c r="BD714" s="256" t="str">
        <f>IF(Ruimtestaat[[#This Row],[Frequentie weekend]]="","",_xlfn.CONCAT(Ruimtestaat[[#This Row],[Ruimte code]],"-",Ruimtestaat[[#This Row],[Frequentie weekend]]," ",Ruimtestaat[[#This Row],[Vloer code]]))</f>
        <v/>
      </c>
      <c r="BE714" s="300" t="str">
        <f>_xlfn.IFNA(VLOOKUP($BD714,Programma!$F$3:$G$1107,2,0),"")</f>
        <v/>
      </c>
      <c r="BF714" s="300" t="str">
        <f>_xlfn.IFNA(VLOOKUP($BD714,Programma!$F$3:$H$1107,3,0),"")</f>
        <v/>
      </c>
      <c r="BG714" s="300" t="str">
        <f>_xlfn.IFNA(VLOOKUP($BD714,Programma!$F$3:$I$1107,4,0),"")</f>
        <v/>
      </c>
      <c r="BH714" s="300" t="str">
        <f>_xlfn.IFNA(VLOOKUP($BD714,Programma!$F$3:$J$1107,5,0),"")</f>
        <v/>
      </c>
      <c r="BI714" s="300" t="str">
        <f>_xlfn.IFNA(VLOOKUP($BD714,Programma!$F$3:$K$1107,6,0),"")</f>
        <v/>
      </c>
      <c r="BJ714" s="300" t="str">
        <f>_xlfn.IFNA(VLOOKUP($BD714,Programma!$F$3:$L$1107,7,0),"")</f>
        <v/>
      </c>
      <c r="BK714" s="300" t="str">
        <f>_xlfn.IFNA(VLOOKUP($BD714,Programma!$F$3:$M$1107,8,0),"")</f>
        <v/>
      </c>
      <c r="BL714" s="300" t="str">
        <f>_xlfn.IFNA(VLOOKUP($BD714,Programma!$F$3:$N$1107,9,0),"")</f>
        <v/>
      </c>
      <c r="BM714" s="300" t="str">
        <f>_xlfn.IFNA(VLOOKUP($BD714,Programma!$F$3:$O$1107,10,0),"")</f>
        <v/>
      </c>
      <c r="BN714" s="300" t="str">
        <f>_xlfn.IFNA(VLOOKUP($BD714,Programma!$F$3:$P$1107,11,0),"")</f>
        <v/>
      </c>
      <c r="BO714" s="300" t="str">
        <f>_xlfn.IFNA(VLOOKUP($BD714,Programma!$F$3:$Q$1107,12,0),"")</f>
        <v/>
      </c>
      <c r="BP714" s="300" t="str">
        <f>_xlfn.IFNA(VLOOKUP($BD714,Programma!$F$3:$R$1107,13,0),"")</f>
        <v/>
      </c>
      <c r="BQ714" s="300" t="str">
        <f>_xlfn.IFNA(VLOOKUP($BD714,Programma!$F$3:$S$1107,14,0),"")</f>
        <v/>
      </c>
      <c r="BR714" s="300" t="str">
        <f>_xlfn.IFNA(VLOOKUP($BD714,Programma!$F$3:$T$1107,15,0),"")</f>
        <v/>
      </c>
      <c r="BS714" s="300" t="str">
        <f>_xlfn.IFNA(VLOOKUP($BD714,Programma!$F$3:$U$1107,16,0),"")</f>
        <v/>
      </c>
      <c r="BT714" s="300" t="str">
        <f>_xlfn.IFNA(VLOOKUP($BD714,Programma!$F$3:$V$1107,17,0),"")</f>
        <v/>
      </c>
      <c r="BU714" s="300" t="str">
        <f>_xlfn.IFNA(VLOOKUP($BD714,Programma!$F$3:$W$1107,18,0),"")</f>
        <v/>
      </c>
      <c r="BV714" s="300" t="str">
        <f>_xlfn.IFNA(VLOOKUP($BD714,Programma!$F$3:$X$1107,19,0),"")</f>
        <v/>
      </c>
      <c r="BW714" s="300" t="str">
        <f>_xlfn.IFNA(VLOOKUP($BD714,Programma!$F$3:$Y$1107,20,0),"")</f>
        <v/>
      </c>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c r="GK714" s="4"/>
      <c r="GL714" s="4"/>
      <c r="GM714" s="4"/>
      <c r="GN714" s="4"/>
      <c r="GO714" s="4"/>
      <c r="GP714" s="4"/>
      <c r="GQ714" s="4"/>
      <c r="GR714" s="4"/>
      <c r="GS714" s="4"/>
      <c r="GT714" s="4"/>
      <c r="GU714" s="4"/>
      <c r="GV714" s="4"/>
      <c r="GW714" s="4"/>
      <c r="GX714" s="4"/>
      <c r="GY714" s="4"/>
      <c r="GZ714" s="4"/>
      <c r="HA714" s="4"/>
      <c r="HB714" s="4"/>
      <c r="HC714" s="4"/>
      <c r="HD714" s="4"/>
      <c r="HE714" s="4"/>
      <c r="HF714" s="4"/>
      <c r="HG714" s="4"/>
      <c r="HH714" s="4"/>
      <c r="HI714" s="4"/>
      <c r="HJ714" s="4"/>
      <c r="HK714" s="4"/>
      <c r="HL714" s="4"/>
    </row>
    <row r="715" spans="1:220" ht="15" customHeight="1">
      <c r="A715" s="21">
        <v>8</v>
      </c>
      <c r="B715" s="157" t="str">
        <f>VLOOKUP(Ruimtestaat[[#This Row],[Code]],Locaties[[Code]:[Locatie]],2,FALSE)</f>
        <v>Dalton College</v>
      </c>
      <c r="C715" s="157" t="str">
        <f>VLOOKUP(Ruimtestaat[[#This Row],[Code]],Locaties[[#All],[Code]:[Adres]],4,FALSE)</f>
        <v>Loolaan 125</v>
      </c>
      <c r="D715" s="157" t="str">
        <f>VLOOKUP(Ruimtestaat[[#This Row],[Code]],Locaties[[#All],[Code]:[Postcode]],5,FALSE)</f>
        <v xml:space="preserve">2271 TM </v>
      </c>
      <c r="E715" s="157" t="str">
        <f>VLOOKUP(Ruimtestaat[[#This Row],[Code]],Locaties[#All],6,FALSE)</f>
        <v>Voorburg</v>
      </c>
      <c r="F715" s="62"/>
      <c r="G715" s="21" t="s">
        <v>1632</v>
      </c>
      <c r="H715" s="21">
        <v>52</v>
      </c>
      <c r="I715" s="62" t="s">
        <v>2220</v>
      </c>
      <c r="J715" s="21">
        <v>5</v>
      </c>
      <c r="K715" s="62" t="str">
        <f>VLOOKUP(Ruimtestaat[[#This Row],[Ruimte code]],Ruimtegroepen[[#All],[Code]:[Ruimte omschrijving]],2,FALSE)</f>
        <v>Sanitair</v>
      </c>
      <c r="L715" s="33" t="s">
        <v>102</v>
      </c>
      <c r="M715" s="367" t="s">
        <v>2496</v>
      </c>
      <c r="N715" s="140">
        <v>14</v>
      </c>
      <c r="O715" s="140"/>
      <c r="P715" s="125" t="str">
        <f>VLOOKUP(Ruimtestaat[[#This Row],[Ruimte code]],Ruimtegroepen[],4,FALSE)</f>
        <v>Sa</v>
      </c>
      <c r="R715" s="33">
        <v>40</v>
      </c>
      <c r="S715" s="33" t="s">
        <v>2</v>
      </c>
      <c r="T715" s="33">
        <f>IF(R715&gt;0,IF(RIGHT(Ruimtestaat[[#This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15" s="33">
        <f>IF(T715&gt;0,VLOOKUP($J715,Ruimtegroepen[],3,FALSE)*VLOOKUP($L715,Vloersoorten[],3,FALSE)*VLOOKUP($S715,Frequenties[],3,FALSE)*VLOOKUP($A715,Locaties[],3,FALSE),0)</f>
        <v>0</v>
      </c>
      <c r="V715" s="33">
        <f>Ruimtestaat[[#This Row],[Uitvoeringen werkdagen]]*Ruimtestaat[[#This Row],[Oppervlak (netto)]]</f>
        <v>2800</v>
      </c>
      <c r="W715" s="154">
        <f>IF(U715&gt;0,Ruimtestaat[[#This Row],[Prest. (m2 /jaar) werkdagen]]/Ruimtestaat[[#This Row],[Norm (m2/uur) werkdagen]],0)</f>
        <v>0</v>
      </c>
      <c r="X715" s="155">
        <f>Ruimtestaat[[#This Row],[uren / jaar werkdagen]]*Tariefsopbouw!$E$35</f>
        <v>0</v>
      </c>
      <c r="Y715" s="33"/>
      <c r="Z715" s="33">
        <f>IF(Ruimtestaat[[#This Row],[Frequentie weekend]]&gt;0,VALUE(LEFT(Y715,1))*R715,0)</f>
        <v>0</v>
      </c>
      <c r="AA715" s="97">
        <f>IF($Z715&gt;0,VLOOKUP($J715,Ruimtegroepen[],3,FALSE)*VLOOKUP($L715,Vloersoorten[],3,FALSE)*VLOOKUP($Y715,Frequenties[],3,FALSE)*VLOOKUP(Ruimtestaat[[#This Row],[Code]],Locaties[],3,FALSE),0)</f>
        <v>0</v>
      </c>
      <c r="AB715" s="97">
        <f>Ruimtestaat[[#This Row],[Uitvoeringen weekend]]*Ruimtestaat[[#This Row],[Oppervlak (netto)]]</f>
        <v>0</v>
      </c>
      <c r="AC715" s="97">
        <f>IF(AA715&gt;0,Ruimtestaat[[#This Row],[Prest. (m2 /jaar) weekend]]/Ruimtestaat[[#This Row],[Norm (m2/uur) weekend]],0)</f>
        <v>0</v>
      </c>
      <c r="AD715" s="155">
        <f>Ruimtestaat[[#This Row],[uren / jaar weekend]]*Tariefsopbouw!$D$40</f>
        <v>0</v>
      </c>
      <c r="AE715" s="154">
        <f>Ruimtestaat[[#This Row],[Prest. (m2 /jaar) weekend]]+Ruimtestaat[[#This Row],[Prest. (m2 /jaar) werkdagen]]</f>
        <v>2800</v>
      </c>
      <c r="AF715" s="154">
        <f>Ruimtestaat[[#This Row],[uren / jaar weekend]]+Ruimtestaat[[#This Row],[uren / jaar werkdagen]]</f>
        <v>0</v>
      </c>
      <c r="AG715" s="69">
        <f>Ruimtestaat[[#This Row],[kosten / jaar weekend]]+Ruimtestaat[[#This Row],[kosten / jaar werkdagen]]</f>
        <v>0</v>
      </c>
      <c r="AH715" s="69"/>
      <c r="AI715" s="256" t="str">
        <f>IF(Ruimtestaat[[#This Row],[Frequentie werkdagen]]="","",_xlfn.CONCAT(Ruimtestaat[[#This Row],[Ruimte code]],"-",Ruimtestaat[[#This Row],[Frequentie werkdagen]]," ",Ruimtestaat[[#This Row],[Vloer code]]))</f>
        <v>5-5w S</v>
      </c>
      <c r="AJ715" s="300" t="str">
        <f>_xlfn.IFNA(VLOOKUP($AI715,Programma!$F$3:$G$1107,2,0),"")</f>
        <v>_</v>
      </c>
      <c r="AK715" s="300" t="str">
        <f>_xlfn.IFNA(VLOOKUP($AI715,Programma!$F$3:$H$1107,3,0),"")</f>
        <v>_</v>
      </c>
      <c r="AL715" s="300" t="str">
        <f>_xlfn.IFNA(VLOOKUP($AI715,Programma!$F$3:$I$1107,4,0),"")</f>
        <v>_</v>
      </c>
      <c r="AM715" s="300" t="str">
        <f>_xlfn.IFNA(VLOOKUP($AI715,Programma!$F$3:$J$1107,5,0),"")</f>
        <v>4w</v>
      </c>
      <c r="AN715" s="300" t="str">
        <f>_xlfn.IFNA(VLOOKUP($AI715,Programma!$F$3:$K$1107,6,0),"")</f>
        <v>1w</v>
      </c>
      <c r="AO715" s="300" t="str">
        <f>_xlfn.IFNA(VLOOKUP($AI715,Programma!$F$3:$L$1107,7,0),"")</f>
        <v>_</v>
      </c>
      <c r="AP715" s="300" t="str">
        <f>_xlfn.IFNA(VLOOKUP($AI715,Programma!$F$3:$M$1107,8,0),"")</f>
        <v>_</v>
      </c>
      <c r="AQ715" s="300" t="str">
        <f>_xlfn.IFNA(VLOOKUP($AI715,Programma!$F$3:$N$1107,9,0),"")</f>
        <v>_</v>
      </c>
      <c r="AR715" s="300" t="str">
        <f>_xlfn.IFNA(VLOOKUP($AI715,Programma!$F$3:$O$1107,10,0),"")</f>
        <v>_</v>
      </c>
      <c r="AS715" s="300" t="str">
        <f>_xlfn.IFNA(VLOOKUP($AI715,Programma!$F$3:$P$1107,11,0),"")</f>
        <v>_</v>
      </c>
      <c r="AT715" s="300" t="str">
        <f>_xlfn.IFNA(VLOOKUP($AI715,Programma!$F$3:$Q$1107,12,0),"")</f>
        <v>_</v>
      </c>
      <c r="AU715" s="300" t="str">
        <f>_xlfn.IFNA(VLOOKUP($AI715,Programma!$F$3:$R$1107,13,0),"")</f>
        <v>_</v>
      </c>
      <c r="AV715" s="300" t="str">
        <f>_xlfn.IFNA(VLOOKUP($AI715,Programma!$F$3:$S$1107,14,0),"")</f>
        <v>_</v>
      </c>
      <c r="AW715" s="300" t="str">
        <f>_xlfn.IFNA(VLOOKUP($AI715,Programma!$F$3:$T$1107,15,0),"")</f>
        <v>_</v>
      </c>
      <c r="AX715" s="300" t="str">
        <f>_xlfn.IFNA(VLOOKUP($AI715,Programma!$F$3:$U$1107,16,0),"")</f>
        <v>_</v>
      </c>
      <c r="AY715" s="300" t="str">
        <f>_xlfn.IFNA(VLOOKUP($AI715,Programma!$F$3:$V$1107,17,0),"")</f>
        <v>_</v>
      </c>
      <c r="AZ715" s="300" t="str">
        <f>_xlfn.IFNA(VLOOKUP($AI715,Programma!$F$3:$W$1107,18,0),"")</f>
        <v>4w</v>
      </c>
      <c r="BA715" s="300" t="str">
        <f>_xlfn.IFNA(VLOOKUP($AI715,Programma!$F$3:$X$1107,19,0),"")</f>
        <v>1w</v>
      </c>
      <c r="BB715" s="300" t="str">
        <f>_xlfn.IFNA(VLOOKUP($AI715,Programma!$F$3:$Y$1107,20,0),"")</f>
        <v>_</v>
      </c>
      <c r="BC715" s="257"/>
      <c r="BD715" s="256" t="str">
        <f>IF(Ruimtestaat[[#This Row],[Frequentie weekend]]="","",_xlfn.CONCAT(Ruimtestaat[[#This Row],[Ruimte code]],"-",Ruimtestaat[[#This Row],[Frequentie weekend]]," ",Ruimtestaat[[#This Row],[Vloer code]]))</f>
        <v/>
      </c>
      <c r="BE715" s="300" t="str">
        <f>_xlfn.IFNA(VLOOKUP($BD715,Programma!$F$3:$G$1107,2,0),"")</f>
        <v/>
      </c>
      <c r="BF715" s="300" t="str">
        <f>_xlfn.IFNA(VLOOKUP($BD715,Programma!$F$3:$H$1107,3,0),"")</f>
        <v/>
      </c>
      <c r="BG715" s="300" t="str">
        <f>_xlfn.IFNA(VLOOKUP($BD715,Programma!$F$3:$I$1107,4,0),"")</f>
        <v/>
      </c>
      <c r="BH715" s="300" t="str">
        <f>_xlfn.IFNA(VLOOKUP($BD715,Programma!$F$3:$J$1107,5,0),"")</f>
        <v/>
      </c>
      <c r="BI715" s="300" t="str">
        <f>_xlfn.IFNA(VLOOKUP($BD715,Programma!$F$3:$K$1107,6,0),"")</f>
        <v/>
      </c>
      <c r="BJ715" s="300" t="str">
        <f>_xlfn.IFNA(VLOOKUP($BD715,Programma!$F$3:$L$1107,7,0),"")</f>
        <v/>
      </c>
      <c r="BK715" s="300" t="str">
        <f>_xlfn.IFNA(VLOOKUP($BD715,Programma!$F$3:$M$1107,8,0),"")</f>
        <v/>
      </c>
      <c r="BL715" s="300" t="str">
        <f>_xlfn.IFNA(VLOOKUP($BD715,Programma!$F$3:$N$1107,9,0),"")</f>
        <v/>
      </c>
      <c r="BM715" s="300" t="str">
        <f>_xlfn.IFNA(VLOOKUP($BD715,Programma!$F$3:$O$1107,10,0),"")</f>
        <v/>
      </c>
      <c r="BN715" s="300" t="str">
        <f>_xlfn.IFNA(VLOOKUP($BD715,Programma!$F$3:$P$1107,11,0),"")</f>
        <v/>
      </c>
      <c r="BO715" s="300" t="str">
        <f>_xlfn.IFNA(VLOOKUP($BD715,Programma!$F$3:$Q$1107,12,0),"")</f>
        <v/>
      </c>
      <c r="BP715" s="300" t="str">
        <f>_xlfn.IFNA(VLOOKUP($BD715,Programma!$F$3:$R$1107,13,0),"")</f>
        <v/>
      </c>
      <c r="BQ715" s="300" t="str">
        <f>_xlfn.IFNA(VLOOKUP($BD715,Programma!$F$3:$S$1107,14,0),"")</f>
        <v/>
      </c>
      <c r="BR715" s="300" t="str">
        <f>_xlfn.IFNA(VLOOKUP($BD715,Programma!$F$3:$T$1107,15,0),"")</f>
        <v/>
      </c>
      <c r="BS715" s="300" t="str">
        <f>_xlfn.IFNA(VLOOKUP($BD715,Programma!$F$3:$U$1107,16,0),"")</f>
        <v/>
      </c>
      <c r="BT715" s="300" t="str">
        <f>_xlfn.IFNA(VLOOKUP($BD715,Programma!$F$3:$V$1107,17,0),"")</f>
        <v/>
      </c>
      <c r="BU715" s="300" t="str">
        <f>_xlfn.IFNA(VLOOKUP($BD715,Programma!$F$3:$W$1107,18,0),"")</f>
        <v/>
      </c>
      <c r="BV715" s="300" t="str">
        <f>_xlfn.IFNA(VLOOKUP($BD715,Programma!$F$3:$X$1107,19,0),"")</f>
        <v/>
      </c>
      <c r="BW715" s="300" t="str">
        <f>_xlfn.IFNA(VLOOKUP($BD715,Programma!$F$3:$Y$1107,20,0),"")</f>
        <v/>
      </c>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c r="GK715" s="4"/>
      <c r="GL715" s="4"/>
      <c r="GM715" s="4"/>
      <c r="GN715" s="4"/>
      <c r="GO715" s="4"/>
      <c r="GP715" s="4"/>
      <c r="GQ715" s="4"/>
      <c r="GR715" s="4"/>
      <c r="GS715" s="4"/>
      <c r="GT715" s="4"/>
      <c r="GU715" s="4"/>
      <c r="GV715" s="4"/>
      <c r="GW715" s="4"/>
      <c r="GX715" s="4"/>
      <c r="GY715" s="4"/>
      <c r="GZ715" s="4"/>
      <c r="HA715" s="4"/>
      <c r="HB715" s="4"/>
      <c r="HC715" s="4"/>
      <c r="HD715" s="4"/>
      <c r="HE715" s="4"/>
      <c r="HF715" s="4"/>
      <c r="HG715" s="4"/>
      <c r="HH715" s="4"/>
      <c r="HI715" s="4"/>
      <c r="HJ715" s="4"/>
      <c r="HK715" s="4"/>
      <c r="HL715" s="4"/>
    </row>
    <row r="716" spans="1:220" ht="15" customHeight="1">
      <c r="A716" s="21">
        <v>8</v>
      </c>
      <c r="B716" s="157" t="str">
        <f>VLOOKUP(Ruimtestaat[[#This Row],[Code]],Locaties[[Code]:[Locatie]],2,FALSE)</f>
        <v>Dalton College</v>
      </c>
      <c r="C716" s="157" t="str">
        <f>VLOOKUP(Ruimtestaat[[#This Row],[Code]],Locaties[[#All],[Code]:[Adres]],4,FALSE)</f>
        <v>Loolaan 125</v>
      </c>
      <c r="D716" s="157" t="str">
        <f>VLOOKUP(Ruimtestaat[[#This Row],[Code]],Locaties[[#All],[Code]:[Postcode]],5,FALSE)</f>
        <v xml:space="preserve">2271 TM </v>
      </c>
      <c r="E716" s="157" t="str">
        <f>VLOOKUP(Ruimtestaat[[#This Row],[Code]],Locaties[#All],6,FALSE)</f>
        <v>Voorburg</v>
      </c>
      <c r="F716" s="62"/>
      <c r="G716" s="21" t="s">
        <v>1632</v>
      </c>
      <c r="H716" s="21">
        <v>53</v>
      </c>
      <c r="I716" s="62" t="s">
        <v>1648</v>
      </c>
      <c r="J716" s="21">
        <v>9</v>
      </c>
      <c r="K716" s="62" t="str">
        <f>VLOOKUP(Ruimtestaat[[#This Row],[Ruimte code]],Ruimtegroepen[[#All],[Code]:[Ruimte omschrijving]],2,FALSE)</f>
        <v>Publieksruimte</v>
      </c>
      <c r="L716" s="33" t="s">
        <v>102</v>
      </c>
      <c r="M716" s="367" t="s">
        <v>2509</v>
      </c>
      <c r="N716" s="140">
        <v>15</v>
      </c>
      <c r="O716" s="140"/>
      <c r="P716" s="125" t="str">
        <f>VLOOKUP(Ruimtestaat[[#This Row],[Ruimte code]],Ruimtegroepen[],4,FALSE)</f>
        <v>Ve</v>
      </c>
      <c r="R716" s="33">
        <v>40</v>
      </c>
      <c r="S716" s="33" t="s">
        <v>2</v>
      </c>
      <c r="T716" s="33">
        <f>IF(R716&gt;0,IF(RIGHT(Ruimtestaat[[#This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16" s="33">
        <f>IF(T716&gt;0,VLOOKUP($J716,Ruimtegroepen[],3,FALSE)*VLOOKUP($L716,Vloersoorten[],3,FALSE)*VLOOKUP($S716,Frequenties[],3,FALSE)*VLOOKUP($A716,Locaties[],3,FALSE),0)</f>
        <v>0</v>
      </c>
      <c r="V716" s="33">
        <f>Ruimtestaat[[#This Row],[Uitvoeringen werkdagen]]*Ruimtestaat[[#This Row],[Oppervlak (netto)]]</f>
        <v>3000</v>
      </c>
      <c r="W716" s="154">
        <f>IF(U716&gt;0,Ruimtestaat[[#This Row],[Prest. (m2 /jaar) werkdagen]]/Ruimtestaat[[#This Row],[Norm (m2/uur) werkdagen]],0)</f>
        <v>0</v>
      </c>
      <c r="X716" s="155">
        <f>Ruimtestaat[[#This Row],[uren / jaar werkdagen]]*Tariefsopbouw!$E$35</f>
        <v>0</v>
      </c>
      <c r="Y716" s="33"/>
      <c r="Z716" s="33">
        <f>IF(Ruimtestaat[[#This Row],[Frequentie weekend]]&gt;0,VALUE(LEFT(Y716,1))*R716,0)</f>
        <v>0</v>
      </c>
      <c r="AA716" s="97">
        <f>IF($Z716&gt;0,VLOOKUP($J716,Ruimtegroepen[],3,FALSE)*VLOOKUP($L716,Vloersoorten[],3,FALSE)*VLOOKUP($Y716,Frequenties[],3,FALSE)*VLOOKUP(Ruimtestaat[[#This Row],[Code]],Locaties[],3,FALSE),0)</f>
        <v>0</v>
      </c>
      <c r="AB716" s="97">
        <f>Ruimtestaat[[#This Row],[Uitvoeringen weekend]]*Ruimtestaat[[#This Row],[Oppervlak (netto)]]</f>
        <v>0</v>
      </c>
      <c r="AC716" s="97">
        <f>IF(AA716&gt;0,Ruimtestaat[[#This Row],[Prest. (m2 /jaar) weekend]]/Ruimtestaat[[#This Row],[Norm (m2/uur) weekend]],0)</f>
        <v>0</v>
      </c>
      <c r="AD716" s="155">
        <f>Ruimtestaat[[#This Row],[uren / jaar weekend]]*Tariefsopbouw!$D$40</f>
        <v>0</v>
      </c>
      <c r="AE716" s="154">
        <f>Ruimtestaat[[#This Row],[Prest. (m2 /jaar) weekend]]+Ruimtestaat[[#This Row],[Prest. (m2 /jaar) werkdagen]]</f>
        <v>3000</v>
      </c>
      <c r="AF716" s="154">
        <f>Ruimtestaat[[#This Row],[uren / jaar weekend]]+Ruimtestaat[[#This Row],[uren / jaar werkdagen]]</f>
        <v>0</v>
      </c>
      <c r="AG716" s="69">
        <f>Ruimtestaat[[#This Row],[kosten / jaar weekend]]+Ruimtestaat[[#This Row],[kosten / jaar werkdagen]]</f>
        <v>0</v>
      </c>
      <c r="AH716" s="69"/>
      <c r="AI716" s="256" t="str">
        <f>IF(Ruimtestaat[[#This Row],[Frequentie werkdagen]]="","",_xlfn.CONCAT(Ruimtestaat[[#This Row],[Ruimte code]],"-",Ruimtestaat[[#This Row],[Frequentie werkdagen]]," ",Ruimtestaat[[#This Row],[Vloer code]]))</f>
        <v>9-5w S</v>
      </c>
      <c r="AJ716" s="300" t="str">
        <f>_xlfn.IFNA(VLOOKUP($AI716,Programma!$F$3:$G$1107,2,0),"")</f>
        <v>_</v>
      </c>
      <c r="AK716" s="300" t="str">
        <f>_xlfn.IFNA(VLOOKUP($AI716,Programma!$F$3:$H$1107,3,0),"")</f>
        <v>_</v>
      </c>
      <c r="AL716" s="300" t="str">
        <f>_xlfn.IFNA(VLOOKUP($AI716,Programma!$F$3:$I$1107,4,0),"")</f>
        <v>4w</v>
      </c>
      <c r="AM716" s="300" t="str">
        <f>_xlfn.IFNA(VLOOKUP($AI716,Programma!$F$3:$J$1107,5,0),"")</f>
        <v>1w</v>
      </c>
      <c r="AN716" s="300" t="str">
        <f>_xlfn.IFNA(VLOOKUP($AI716,Programma!$F$3:$K$1107,6,0),"")</f>
        <v>4j</v>
      </c>
      <c r="AO716" s="300" t="str">
        <f>_xlfn.IFNA(VLOOKUP($AI716,Programma!$F$3:$L$1107,7,0),"")</f>
        <v>_</v>
      </c>
      <c r="AP716" s="300" t="str">
        <f>_xlfn.IFNA(VLOOKUP($AI716,Programma!$F$3:$M$1107,8,0),"")</f>
        <v>_</v>
      </c>
      <c r="AQ716" s="300" t="str">
        <f>_xlfn.IFNA(VLOOKUP($AI716,Programma!$F$3:$N$1107,9,0),"")</f>
        <v>_</v>
      </c>
      <c r="AR716" s="300" t="str">
        <f>_xlfn.IFNA(VLOOKUP($AI716,Programma!$F$3:$O$1107,10,0),"")</f>
        <v>5w</v>
      </c>
      <c r="AS716" s="300" t="str">
        <f>_xlfn.IFNA(VLOOKUP($AI716,Programma!$F$3:$P$1107,11,0),"")</f>
        <v>5w</v>
      </c>
      <c r="AT716" s="300" t="str">
        <f>_xlfn.IFNA(VLOOKUP($AI716,Programma!$F$3:$Q$1107,12,0),"")</f>
        <v>1w</v>
      </c>
      <c r="AU716" s="300" t="str">
        <f>_xlfn.IFNA(VLOOKUP($AI716,Programma!$F$3:$R$1107,13,0),"")</f>
        <v>1w</v>
      </c>
      <c r="AV716" s="300" t="str">
        <f>_xlfn.IFNA(VLOOKUP($AI716,Programma!$F$3:$S$1107,14,0),"")</f>
        <v>1m</v>
      </c>
      <c r="AW716" s="300" t="str">
        <f>_xlfn.IFNA(VLOOKUP($AI716,Programma!$F$3:$T$1107,15,0),"")</f>
        <v>2j</v>
      </c>
      <c r="AX716" s="300" t="str">
        <f>_xlfn.IFNA(VLOOKUP($AI716,Programma!$F$3:$U$1107,16,0),"")</f>
        <v>1j</v>
      </c>
      <c r="AY716" s="300" t="str">
        <f>_xlfn.IFNA(VLOOKUP($AI716,Programma!$F$3:$V$1107,17,0),"")</f>
        <v>_</v>
      </c>
      <c r="AZ716" s="300" t="str">
        <f>_xlfn.IFNA(VLOOKUP($AI716,Programma!$F$3:$W$1107,18,0),"")</f>
        <v>_</v>
      </c>
      <c r="BA716" s="300" t="str">
        <f>_xlfn.IFNA(VLOOKUP($AI716,Programma!$F$3:$X$1107,19,0),"")</f>
        <v>_</v>
      </c>
      <c r="BB716" s="300" t="str">
        <f>_xlfn.IFNA(VLOOKUP($AI716,Programma!$F$3:$Y$1107,20,0),"")</f>
        <v>_</v>
      </c>
      <c r="BC716" s="257"/>
      <c r="BD716" s="256" t="str">
        <f>IF(Ruimtestaat[[#This Row],[Frequentie weekend]]="","",_xlfn.CONCAT(Ruimtestaat[[#This Row],[Ruimte code]],"-",Ruimtestaat[[#This Row],[Frequentie weekend]]," ",Ruimtestaat[[#This Row],[Vloer code]]))</f>
        <v/>
      </c>
      <c r="BE716" s="300" t="str">
        <f>_xlfn.IFNA(VLOOKUP($BD716,Programma!$F$3:$G$1107,2,0),"")</f>
        <v/>
      </c>
      <c r="BF716" s="300" t="str">
        <f>_xlfn.IFNA(VLOOKUP($BD716,Programma!$F$3:$H$1107,3,0),"")</f>
        <v/>
      </c>
      <c r="BG716" s="300" t="str">
        <f>_xlfn.IFNA(VLOOKUP($BD716,Programma!$F$3:$I$1107,4,0),"")</f>
        <v/>
      </c>
      <c r="BH716" s="300" t="str">
        <f>_xlfn.IFNA(VLOOKUP($BD716,Programma!$F$3:$J$1107,5,0),"")</f>
        <v/>
      </c>
      <c r="BI716" s="300" t="str">
        <f>_xlfn.IFNA(VLOOKUP($BD716,Programma!$F$3:$K$1107,6,0),"")</f>
        <v/>
      </c>
      <c r="BJ716" s="300" t="str">
        <f>_xlfn.IFNA(VLOOKUP($BD716,Programma!$F$3:$L$1107,7,0),"")</f>
        <v/>
      </c>
      <c r="BK716" s="300" t="str">
        <f>_xlfn.IFNA(VLOOKUP($BD716,Programma!$F$3:$M$1107,8,0),"")</f>
        <v/>
      </c>
      <c r="BL716" s="300" t="str">
        <f>_xlfn.IFNA(VLOOKUP($BD716,Programma!$F$3:$N$1107,9,0),"")</f>
        <v/>
      </c>
      <c r="BM716" s="300" t="str">
        <f>_xlfn.IFNA(VLOOKUP($BD716,Programma!$F$3:$O$1107,10,0),"")</f>
        <v/>
      </c>
      <c r="BN716" s="300" t="str">
        <f>_xlfn.IFNA(VLOOKUP($BD716,Programma!$F$3:$P$1107,11,0),"")</f>
        <v/>
      </c>
      <c r="BO716" s="300" t="str">
        <f>_xlfn.IFNA(VLOOKUP($BD716,Programma!$F$3:$Q$1107,12,0),"")</f>
        <v/>
      </c>
      <c r="BP716" s="300" t="str">
        <f>_xlfn.IFNA(VLOOKUP($BD716,Programma!$F$3:$R$1107,13,0),"")</f>
        <v/>
      </c>
      <c r="BQ716" s="300" t="str">
        <f>_xlfn.IFNA(VLOOKUP($BD716,Programma!$F$3:$S$1107,14,0),"")</f>
        <v/>
      </c>
      <c r="BR716" s="300" t="str">
        <f>_xlfn.IFNA(VLOOKUP($BD716,Programma!$F$3:$T$1107,15,0),"")</f>
        <v/>
      </c>
      <c r="BS716" s="300" t="str">
        <f>_xlfn.IFNA(VLOOKUP($BD716,Programma!$F$3:$U$1107,16,0),"")</f>
        <v/>
      </c>
      <c r="BT716" s="300" t="str">
        <f>_xlfn.IFNA(VLOOKUP($BD716,Programma!$F$3:$V$1107,17,0),"")</f>
        <v/>
      </c>
      <c r="BU716" s="300" t="str">
        <f>_xlfn.IFNA(VLOOKUP($BD716,Programma!$F$3:$W$1107,18,0),"")</f>
        <v/>
      </c>
      <c r="BV716" s="300" t="str">
        <f>_xlfn.IFNA(VLOOKUP($BD716,Programma!$F$3:$X$1107,19,0),"")</f>
        <v/>
      </c>
      <c r="BW716" s="300" t="str">
        <f>_xlfn.IFNA(VLOOKUP($BD716,Programma!$F$3:$Y$1107,20,0),"")</f>
        <v/>
      </c>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c r="GK716" s="4"/>
      <c r="GL716" s="4"/>
      <c r="GM716" s="4"/>
      <c r="GN716" s="4"/>
      <c r="GO716" s="4"/>
      <c r="GP716" s="4"/>
      <c r="GQ716" s="4"/>
      <c r="GR716" s="4"/>
      <c r="GS716" s="4"/>
      <c r="GT716" s="4"/>
      <c r="GU716" s="4"/>
      <c r="GV716" s="4"/>
      <c r="GW716" s="4"/>
      <c r="GX716" s="4"/>
      <c r="GY716" s="4"/>
      <c r="GZ716" s="4"/>
      <c r="HA716" s="4"/>
      <c r="HB716" s="4"/>
      <c r="HC716" s="4"/>
      <c r="HD716" s="4"/>
      <c r="HE716" s="4"/>
      <c r="HF716" s="4"/>
      <c r="HG716" s="4"/>
      <c r="HH716" s="4"/>
      <c r="HI716" s="4"/>
      <c r="HJ716" s="4"/>
      <c r="HK716" s="4"/>
      <c r="HL716" s="4"/>
    </row>
    <row r="717" spans="1:220" ht="15" customHeight="1">
      <c r="A717" s="21">
        <v>8</v>
      </c>
      <c r="B717" s="157" t="str">
        <f>VLOOKUP(Ruimtestaat[[#This Row],[Code]],Locaties[[Code]:[Locatie]],2,FALSE)</f>
        <v>Dalton College</v>
      </c>
      <c r="C717" s="157" t="str">
        <f>VLOOKUP(Ruimtestaat[[#This Row],[Code]],Locaties[[#All],[Code]:[Adres]],4,FALSE)</f>
        <v>Loolaan 125</v>
      </c>
      <c r="D717" s="157" t="str">
        <f>VLOOKUP(Ruimtestaat[[#This Row],[Code]],Locaties[[#All],[Code]:[Postcode]],5,FALSE)</f>
        <v xml:space="preserve">2271 TM </v>
      </c>
      <c r="E717" s="157" t="str">
        <f>VLOOKUP(Ruimtestaat[[#This Row],[Code]],Locaties[#All],6,FALSE)</f>
        <v>Voorburg</v>
      </c>
      <c r="F717" s="62"/>
      <c r="G717" s="21" t="s">
        <v>1632</v>
      </c>
      <c r="H717" s="21">
        <v>54</v>
      </c>
      <c r="I717" s="62" t="s">
        <v>2167</v>
      </c>
      <c r="J717" s="21">
        <v>16</v>
      </c>
      <c r="K717" s="62" t="str">
        <f>VLOOKUP(Ruimtestaat[[#This Row],[Ruimte code]],Ruimtegroepen[[#All],[Code]:[Ruimte omschrijving]],2,FALSE)</f>
        <v>Leslokalen theorie</v>
      </c>
      <c r="L717" s="33" t="s">
        <v>101</v>
      </c>
      <c r="M717" s="367" t="s">
        <v>2495</v>
      </c>
      <c r="N717" s="140">
        <v>95</v>
      </c>
      <c r="O717" s="140"/>
      <c r="P717" s="125" t="str">
        <f>VLOOKUP(Ruimtestaat[[#This Row],[Ruimte code]],Ruimtegroepen[],4,FALSE)</f>
        <v>Le</v>
      </c>
      <c r="R717" s="33">
        <v>40</v>
      </c>
      <c r="S717" s="33" t="s">
        <v>2</v>
      </c>
      <c r="T717" s="33">
        <f>IF(R717&gt;0,IF(RIGHT(Ruimtestaat[[#This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17" s="33">
        <f>IF(T717&gt;0,VLOOKUP($J717,Ruimtegroepen[],3,FALSE)*VLOOKUP($L717,Vloersoorten[],3,FALSE)*VLOOKUP($S717,Frequenties[],3,FALSE)*VLOOKUP($A717,Locaties[],3,FALSE),0)</f>
        <v>0</v>
      </c>
      <c r="V717" s="33">
        <f>Ruimtestaat[[#This Row],[Uitvoeringen werkdagen]]*Ruimtestaat[[#This Row],[Oppervlak (netto)]]</f>
        <v>19000</v>
      </c>
      <c r="W717" s="154">
        <f>IF(U717&gt;0,Ruimtestaat[[#This Row],[Prest. (m2 /jaar) werkdagen]]/Ruimtestaat[[#This Row],[Norm (m2/uur) werkdagen]],0)</f>
        <v>0</v>
      </c>
      <c r="X717" s="155">
        <f>Ruimtestaat[[#This Row],[uren / jaar werkdagen]]*Tariefsopbouw!$E$35</f>
        <v>0</v>
      </c>
      <c r="Y717" s="33"/>
      <c r="Z717" s="33">
        <f>IF(Ruimtestaat[[#This Row],[Frequentie weekend]]&gt;0,VALUE(LEFT(Y717,1))*R717,0)</f>
        <v>0</v>
      </c>
      <c r="AA717" s="97">
        <f>IF($Z717&gt;0,VLOOKUP($J717,Ruimtegroepen[],3,FALSE)*VLOOKUP($L717,Vloersoorten[],3,FALSE)*VLOOKUP($Y717,Frequenties[],3,FALSE)*VLOOKUP(Ruimtestaat[[#This Row],[Code]],Locaties[],3,FALSE),0)</f>
        <v>0</v>
      </c>
      <c r="AB717" s="97">
        <f>Ruimtestaat[[#This Row],[Uitvoeringen weekend]]*Ruimtestaat[[#This Row],[Oppervlak (netto)]]</f>
        <v>0</v>
      </c>
      <c r="AC717" s="97">
        <f>IF(AA717&gt;0,Ruimtestaat[[#This Row],[Prest. (m2 /jaar) weekend]]/Ruimtestaat[[#This Row],[Norm (m2/uur) weekend]],0)</f>
        <v>0</v>
      </c>
      <c r="AD717" s="155">
        <f>Ruimtestaat[[#This Row],[uren / jaar weekend]]*Tariefsopbouw!$D$40</f>
        <v>0</v>
      </c>
      <c r="AE717" s="154">
        <f>Ruimtestaat[[#This Row],[Prest. (m2 /jaar) weekend]]+Ruimtestaat[[#This Row],[Prest. (m2 /jaar) werkdagen]]</f>
        <v>19000</v>
      </c>
      <c r="AF717" s="154">
        <f>Ruimtestaat[[#This Row],[uren / jaar weekend]]+Ruimtestaat[[#This Row],[uren / jaar werkdagen]]</f>
        <v>0</v>
      </c>
      <c r="AG717" s="69">
        <f>Ruimtestaat[[#This Row],[kosten / jaar weekend]]+Ruimtestaat[[#This Row],[kosten / jaar werkdagen]]</f>
        <v>0</v>
      </c>
      <c r="AH717" s="69"/>
      <c r="AI717" s="256" t="str">
        <f>IF(Ruimtestaat[[#This Row],[Frequentie werkdagen]]="","",_xlfn.CONCAT(Ruimtestaat[[#This Row],[Ruimte code]],"-",Ruimtestaat[[#This Row],[Frequentie werkdagen]]," ",Ruimtestaat[[#This Row],[Vloer code]]))</f>
        <v>16-5w L</v>
      </c>
      <c r="AJ717" s="300" t="str">
        <f>_xlfn.IFNA(VLOOKUP($AI717,Programma!$F$3:$G$1107,2,0),"")</f>
        <v>_</v>
      </c>
      <c r="AK717" s="300" t="str">
        <f>_xlfn.IFNA(VLOOKUP($AI717,Programma!$F$3:$H$1107,3,0),"")</f>
        <v>_</v>
      </c>
      <c r="AL717" s="300" t="str">
        <f>_xlfn.IFNA(VLOOKUP($AI717,Programma!$F$3:$I$1107,4,0),"")</f>
        <v>4w</v>
      </c>
      <c r="AM717" s="300" t="str">
        <f>_xlfn.IFNA(VLOOKUP($AI717,Programma!$F$3:$J$1107,5,0),"")</f>
        <v>1w</v>
      </c>
      <c r="AN717" s="300" t="str">
        <f>_xlfn.IFNA(VLOOKUP($AI717,Programma!$F$3:$K$1107,6,0),"")</f>
        <v>_</v>
      </c>
      <c r="AO717" s="300" t="str">
        <f>_xlfn.IFNA(VLOOKUP($AI717,Programma!$F$3:$L$1107,7,0),"")</f>
        <v>_</v>
      </c>
      <c r="AP717" s="300" t="str">
        <f>_xlfn.IFNA(VLOOKUP($AI717,Programma!$F$3:$M$1107,8,0),"")</f>
        <v>_</v>
      </c>
      <c r="AQ717" s="300" t="str">
        <f>_xlfn.IFNA(VLOOKUP($AI717,Programma!$F$3:$N$1107,9,0),"")</f>
        <v>_</v>
      </c>
      <c r="AR717" s="300" t="str">
        <f>_xlfn.IFNA(VLOOKUP($AI717,Programma!$F$3:$O$1107,10,0),"")</f>
        <v>5w</v>
      </c>
      <c r="AS717" s="300" t="str">
        <f>_xlfn.IFNA(VLOOKUP($AI717,Programma!$F$3:$P$1107,11,0),"")</f>
        <v>5w</v>
      </c>
      <c r="AT717" s="300" t="str">
        <f>_xlfn.IFNA(VLOOKUP($AI717,Programma!$F$3:$Q$1107,12,0),"")</f>
        <v>1w</v>
      </c>
      <c r="AU717" s="300" t="str">
        <f>_xlfn.IFNA(VLOOKUP($AI717,Programma!$F$3:$R$1107,13,0),"")</f>
        <v>1w</v>
      </c>
      <c r="AV717" s="300" t="str">
        <f>_xlfn.IFNA(VLOOKUP($AI717,Programma!$F$3:$S$1107,14,0),"")</f>
        <v>1m</v>
      </c>
      <c r="AW717" s="300" t="str">
        <f>_xlfn.IFNA(VLOOKUP($AI717,Programma!$F$3:$T$1107,15,0),"")</f>
        <v>2j</v>
      </c>
      <c r="AX717" s="300" t="str">
        <f>_xlfn.IFNA(VLOOKUP($AI717,Programma!$F$3:$U$1107,16,0),"")</f>
        <v>1j</v>
      </c>
      <c r="AY717" s="300" t="str">
        <f>_xlfn.IFNA(VLOOKUP($AI717,Programma!$F$3:$V$1107,17,0),"")</f>
        <v>_</v>
      </c>
      <c r="AZ717" s="300" t="str">
        <f>_xlfn.IFNA(VLOOKUP($AI717,Programma!$F$3:$W$1107,18,0),"")</f>
        <v>_</v>
      </c>
      <c r="BA717" s="300" t="str">
        <f>_xlfn.IFNA(VLOOKUP($AI717,Programma!$F$3:$X$1107,19,0),"")</f>
        <v>_</v>
      </c>
      <c r="BB717" s="300" t="str">
        <f>_xlfn.IFNA(VLOOKUP($AI717,Programma!$F$3:$Y$1107,20,0),"")</f>
        <v>_</v>
      </c>
      <c r="BC717" s="257"/>
      <c r="BD717" s="256" t="str">
        <f>IF(Ruimtestaat[[#This Row],[Frequentie weekend]]="","",_xlfn.CONCAT(Ruimtestaat[[#This Row],[Ruimte code]],"-",Ruimtestaat[[#This Row],[Frequentie weekend]]," ",Ruimtestaat[[#This Row],[Vloer code]]))</f>
        <v/>
      </c>
      <c r="BE717" s="300" t="str">
        <f>_xlfn.IFNA(VLOOKUP($BD717,Programma!$F$3:$G$1107,2,0),"")</f>
        <v/>
      </c>
      <c r="BF717" s="300" t="str">
        <f>_xlfn.IFNA(VLOOKUP($BD717,Programma!$F$3:$H$1107,3,0),"")</f>
        <v/>
      </c>
      <c r="BG717" s="300" t="str">
        <f>_xlfn.IFNA(VLOOKUP($BD717,Programma!$F$3:$I$1107,4,0),"")</f>
        <v/>
      </c>
      <c r="BH717" s="300" t="str">
        <f>_xlfn.IFNA(VLOOKUP($BD717,Programma!$F$3:$J$1107,5,0),"")</f>
        <v/>
      </c>
      <c r="BI717" s="300" t="str">
        <f>_xlfn.IFNA(VLOOKUP($BD717,Programma!$F$3:$K$1107,6,0),"")</f>
        <v/>
      </c>
      <c r="BJ717" s="300" t="str">
        <f>_xlfn.IFNA(VLOOKUP($BD717,Programma!$F$3:$L$1107,7,0),"")</f>
        <v/>
      </c>
      <c r="BK717" s="300" t="str">
        <f>_xlfn.IFNA(VLOOKUP($BD717,Programma!$F$3:$M$1107,8,0),"")</f>
        <v/>
      </c>
      <c r="BL717" s="300" t="str">
        <f>_xlfn.IFNA(VLOOKUP($BD717,Programma!$F$3:$N$1107,9,0),"")</f>
        <v/>
      </c>
      <c r="BM717" s="300" t="str">
        <f>_xlfn.IFNA(VLOOKUP($BD717,Programma!$F$3:$O$1107,10,0),"")</f>
        <v/>
      </c>
      <c r="BN717" s="300" t="str">
        <f>_xlfn.IFNA(VLOOKUP($BD717,Programma!$F$3:$P$1107,11,0),"")</f>
        <v/>
      </c>
      <c r="BO717" s="300" t="str">
        <f>_xlfn.IFNA(VLOOKUP($BD717,Programma!$F$3:$Q$1107,12,0),"")</f>
        <v/>
      </c>
      <c r="BP717" s="300" t="str">
        <f>_xlfn.IFNA(VLOOKUP($BD717,Programma!$F$3:$R$1107,13,0),"")</f>
        <v/>
      </c>
      <c r="BQ717" s="300" t="str">
        <f>_xlfn.IFNA(VLOOKUP($BD717,Programma!$F$3:$S$1107,14,0),"")</f>
        <v/>
      </c>
      <c r="BR717" s="300" t="str">
        <f>_xlfn.IFNA(VLOOKUP($BD717,Programma!$F$3:$T$1107,15,0),"")</f>
        <v/>
      </c>
      <c r="BS717" s="300" t="str">
        <f>_xlfn.IFNA(VLOOKUP($BD717,Programma!$F$3:$U$1107,16,0),"")</f>
        <v/>
      </c>
      <c r="BT717" s="300" t="str">
        <f>_xlfn.IFNA(VLOOKUP($BD717,Programma!$F$3:$V$1107,17,0),"")</f>
        <v/>
      </c>
      <c r="BU717" s="300" t="str">
        <f>_xlfn.IFNA(VLOOKUP($BD717,Programma!$F$3:$W$1107,18,0),"")</f>
        <v/>
      </c>
      <c r="BV717" s="300" t="str">
        <f>_xlfn.IFNA(VLOOKUP($BD717,Programma!$F$3:$X$1107,19,0),"")</f>
        <v/>
      </c>
      <c r="BW717" s="300" t="str">
        <f>_xlfn.IFNA(VLOOKUP($BD717,Programma!$F$3:$Y$1107,20,0),"")</f>
        <v/>
      </c>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c r="GK717" s="4"/>
      <c r="GL717" s="4"/>
      <c r="GM717" s="4"/>
      <c r="GN717" s="4"/>
      <c r="GO717" s="4"/>
      <c r="GP717" s="4"/>
      <c r="GQ717" s="4"/>
      <c r="GR717" s="4"/>
      <c r="GS717" s="4"/>
      <c r="GT717" s="4"/>
      <c r="GU717" s="4"/>
      <c r="GV717" s="4"/>
      <c r="GW717" s="4"/>
      <c r="GX717" s="4"/>
      <c r="GY717" s="4"/>
      <c r="GZ717" s="4"/>
      <c r="HA717" s="4"/>
      <c r="HB717" s="4"/>
      <c r="HC717" s="4"/>
      <c r="HD717" s="4"/>
      <c r="HE717" s="4"/>
      <c r="HF717" s="4"/>
      <c r="HG717" s="4"/>
      <c r="HH717" s="4"/>
      <c r="HI717" s="4"/>
      <c r="HJ717" s="4"/>
      <c r="HK717" s="4"/>
      <c r="HL717" s="4"/>
    </row>
    <row r="718" spans="1:220" ht="15" customHeight="1">
      <c r="A718" s="21">
        <v>8</v>
      </c>
      <c r="B718" s="157" t="str">
        <f>VLOOKUP(Ruimtestaat[[#This Row],[Code]],Locaties[[Code]:[Locatie]],2,FALSE)</f>
        <v>Dalton College</v>
      </c>
      <c r="C718" s="157" t="str">
        <f>VLOOKUP(Ruimtestaat[[#This Row],[Code]],Locaties[[#All],[Code]:[Adres]],4,FALSE)</f>
        <v>Loolaan 125</v>
      </c>
      <c r="D718" s="157" t="str">
        <f>VLOOKUP(Ruimtestaat[[#This Row],[Code]],Locaties[[#All],[Code]:[Postcode]],5,FALSE)</f>
        <v xml:space="preserve">2271 TM </v>
      </c>
      <c r="E718" s="157" t="str">
        <f>VLOOKUP(Ruimtestaat[[#This Row],[Code]],Locaties[#All],6,FALSE)</f>
        <v>Voorburg</v>
      </c>
      <c r="F718" s="62"/>
      <c r="G718" s="21" t="s">
        <v>1632</v>
      </c>
      <c r="H718" s="21">
        <v>55</v>
      </c>
      <c r="I718" s="62" t="s">
        <v>1669</v>
      </c>
      <c r="J718" s="21">
        <v>16</v>
      </c>
      <c r="K718" s="62" t="str">
        <f>VLOOKUP(Ruimtestaat[[#This Row],[Ruimte code]],Ruimtegroepen[[#All],[Code]:[Ruimte omschrijving]],2,FALSE)</f>
        <v>Leslokalen theorie</v>
      </c>
      <c r="L718" s="33" t="s">
        <v>101</v>
      </c>
      <c r="M718" s="367" t="s">
        <v>2495</v>
      </c>
      <c r="N718" s="140">
        <v>47</v>
      </c>
      <c r="O718" s="140"/>
      <c r="P718" s="125" t="str">
        <f>VLOOKUP(Ruimtestaat[[#This Row],[Ruimte code]],Ruimtegroepen[],4,FALSE)</f>
        <v>Le</v>
      </c>
      <c r="R718" s="33">
        <v>40</v>
      </c>
      <c r="S718" s="33" t="s">
        <v>2</v>
      </c>
      <c r="T718" s="33">
        <f>IF(R718&gt;0,IF(RIGHT(Ruimtestaat[[#This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18" s="33">
        <f>IF(T718&gt;0,VLOOKUP($J718,Ruimtegroepen[],3,FALSE)*VLOOKUP($L718,Vloersoorten[],3,FALSE)*VLOOKUP($S718,Frequenties[],3,FALSE)*VLOOKUP($A718,Locaties[],3,FALSE),0)</f>
        <v>0</v>
      </c>
      <c r="V718" s="33">
        <f>Ruimtestaat[[#This Row],[Uitvoeringen werkdagen]]*Ruimtestaat[[#This Row],[Oppervlak (netto)]]</f>
        <v>9400</v>
      </c>
      <c r="W718" s="154">
        <f>IF(U718&gt;0,Ruimtestaat[[#This Row],[Prest. (m2 /jaar) werkdagen]]/Ruimtestaat[[#This Row],[Norm (m2/uur) werkdagen]],0)</f>
        <v>0</v>
      </c>
      <c r="X718" s="155">
        <f>Ruimtestaat[[#This Row],[uren / jaar werkdagen]]*Tariefsopbouw!$E$35</f>
        <v>0</v>
      </c>
      <c r="Y718" s="33"/>
      <c r="Z718" s="33">
        <f>IF(Ruimtestaat[[#This Row],[Frequentie weekend]]&gt;0,VALUE(LEFT(Y718,1))*R718,0)</f>
        <v>0</v>
      </c>
      <c r="AA718" s="97">
        <f>IF($Z718&gt;0,VLOOKUP($J718,Ruimtegroepen[],3,FALSE)*VLOOKUP($L718,Vloersoorten[],3,FALSE)*VLOOKUP($Y718,Frequenties[],3,FALSE)*VLOOKUP(Ruimtestaat[[#This Row],[Code]],Locaties[],3,FALSE),0)</f>
        <v>0</v>
      </c>
      <c r="AB718" s="97">
        <f>Ruimtestaat[[#This Row],[Uitvoeringen weekend]]*Ruimtestaat[[#This Row],[Oppervlak (netto)]]</f>
        <v>0</v>
      </c>
      <c r="AC718" s="97">
        <f>IF(AA718&gt;0,Ruimtestaat[[#This Row],[Prest. (m2 /jaar) weekend]]/Ruimtestaat[[#This Row],[Norm (m2/uur) weekend]],0)</f>
        <v>0</v>
      </c>
      <c r="AD718" s="155">
        <f>Ruimtestaat[[#This Row],[uren / jaar weekend]]*Tariefsopbouw!$D$40</f>
        <v>0</v>
      </c>
      <c r="AE718" s="154">
        <f>Ruimtestaat[[#This Row],[Prest. (m2 /jaar) weekend]]+Ruimtestaat[[#This Row],[Prest. (m2 /jaar) werkdagen]]</f>
        <v>9400</v>
      </c>
      <c r="AF718" s="154">
        <f>Ruimtestaat[[#This Row],[uren / jaar weekend]]+Ruimtestaat[[#This Row],[uren / jaar werkdagen]]</f>
        <v>0</v>
      </c>
      <c r="AG718" s="69">
        <f>Ruimtestaat[[#This Row],[kosten / jaar weekend]]+Ruimtestaat[[#This Row],[kosten / jaar werkdagen]]</f>
        <v>0</v>
      </c>
      <c r="AH718" s="69"/>
      <c r="AI718" s="256" t="str">
        <f>IF(Ruimtestaat[[#This Row],[Frequentie werkdagen]]="","",_xlfn.CONCAT(Ruimtestaat[[#This Row],[Ruimte code]],"-",Ruimtestaat[[#This Row],[Frequentie werkdagen]]," ",Ruimtestaat[[#This Row],[Vloer code]]))</f>
        <v>16-5w L</v>
      </c>
      <c r="AJ718" s="300" t="str">
        <f>_xlfn.IFNA(VLOOKUP($AI718,Programma!$F$3:$G$1107,2,0),"")</f>
        <v>_</v>
      </c>
      <c r="AK718" s="300" t="str">
        <f>_xlfn.IFNA(VLOOKUP($AI718,Programma!$F$3:$H$1107,3,0),"")</f>
        <v>_</v>
      </c>
      <c r="AL718" s="300" t="str">
        <f>_xlfn.IFNA(VLOOKUP($AI718,Programma!$F$3:$I$1107,4,0),"")</f>
        <v>4w</v>
      </c>
      <c r="AM718" s="300" t="str">
        <f>_xlfn.IFNA(VLOOKUP($AI718,Programma!$F$3:$J$1107,5,0),"")</f>
        <v>1w</v>
      </c>
      <c r="AN718" s="300" t="str">
        <f>_xlfn.IFNA(VLOOKUP($AI718,Programma!$F$3:$K$1107,6,0),"")</f>
        <v>_</v>
      </c>
      <c r="AO718" s="300" t="str">
        <f>_xlfn.IFNA(VLOOKUP($AI718,Programma!$F$3:$L$1107,7,0),"")</f>
        <v>_</v>
      </c>
      <c r="AP718" s="300" t="str">
        <f>_xlfn.IFNA(VLOOKUP($AI718,Programma!$F$3:$M$1107,8,0),"")</f>
        <v>_</v>
      </c>
      <c r="AQ718" s="300" t="str">
        <f>_xlfn.IFNA(VLOOKUP($AI718,Programma!$F$3:$N$1107,9,0),"")</f>
        <v>_</v>
      </c>
      <c r="AR718" s="300" t="str">
        <f>_xlfn.IFNA(VLOOKUP($AI718,Programma!$F$3:$O$1107,10,0),"")</f>
        <v>5w</v>
      </c>
      <c r="AS718" s="300" t="str">
        <f>_xlfn.IFNA(VLOOKUP($AI718,Programma!$F$3:$P$1107,11,0),"")</f>
        <v>5w</v>
      </c>
      <c r="AT718" s="300" t="str">
        <f>_xlfn.IFNA(VLOOKUP($AI718,Programma!$F$3:$Q$1107,12,0),"")</f>
        <v>1w</v>
      </c>
      <c r="AU718" s="300" t="str">
        <f>_xlfn.IFNA(VLOOKUP($AI718,Programma!$F$3:$R$1107,13,0),"")</f>
        <v>1w</v>
      </c>
      <c r="AV718" s="300" t="str">
        <f>_xlfn.IFNA(VLOOKUP($AI718,Programma!$F$3:$S$1107,14,0),"")</f>
        <v>1m</v>
      </c>
      <c r="AW718" s="300" t="str">
        <f>_xlfn.IFNA(VLOOKUP($AI718,Programma!$F$3:$T$1107,15,0),"")</f>
        <v>2j</v>
      </c>
      <c r="AX718" s="300" t="str">
        <f>_xlfn.IFNA(VLOOKUP($AI718,Programma!$F$3:$U$1107,16,0),"")</f>
        <v>1j</v>
      </c>
      <c r="AY718" s="300" t="str">
        <f>_xlfn.IFNA(VLOOKUP($AI718,Programma!$F$3:$V$1107,17,0),"")</f>
        <v>_</v>
      </c>
      <c r="AZ718" s="300" t="str">
        <f>_xlfn.IFNA(VLOOKUP($AI718,Programma!$F$3:$W$1107,18,0),"")</f>
        <v>_</v>
      </c>
      <c r="BA718" s="300" t="str">
        <f>_xlfn.IFNA(VLOOKUP($AI718,Programma!$F$3:$X$1107,19,0),"")</f>
        <v>_</v>
      </c>
      <c r="BB718" s="300" t="str">
        <f>_xlfn.IFNA(VLOOKUP($AI718,Programma!$F$3:$Y$1107,20,0),"")</f>
        <v>_</v>
      </c>
      <c r="BC718" s="257"/>
      <c r="BD718" s="256" t="str">
        <f>IF(Ruimtestaat[[#This Row],[Frequentie weekend]]="","",_xlfn.CONCAT(Ruimtestaat[[#This Row],[Ruimte code]],"-",Ruimtestaat[[#This Row],[Frequentie weekend]]," ",Ruimtestaat[[#This Row],[Vloer code]]))</f>
        <v/>
      </c>
      <c r="BE718" s="300" t="str">
        <f>_xlfn.IFNA(VLOOKUP($BD718,Programma!$F$3:$G$1107,2,0),"")</f>
        <v/>
      </c>
      <c r="BF718" s="300" t="str">
        <f>_xlfn.IFNA(VLOOKUP($BD718,Programma!$F$3:$H$1107,3,0),"")</f>
        <v/>
      </c>
      <c r="BG718" s="300" t="str">
        <f>_xlfn.IFNA(VLOOKUP($BD718,Programma!$F$3:$I$1107,4,0),"")</f>
        <v/>
      </c>
      <c r="BH718" s="300" t="str">
        <f>_xlfn.IFNA(VLOOKUP($BD718,Programma!$F$3:$J$1107,5,0),"")</f>
        <v/>
      </c>
      <c r="BI718" s="300" t="str">
        <f>_xlfn.IFNA(VLOOKUP($BD718,Programma!$F$3:$K$1107,6,0),"")</f>
        <v/>
      </c>
      <c r="BJ718" s="300" t="str">
        <f>_xlfn.IFNA(VLOOKUP($BD718,Programma!$F$3:$L$1107,7,0),"")</f>
        <v/>
      </c>
      <c r="BK718" s="300" t="str">
        <f>_xlfn.IFNA(VLOOKUP($BD718,Programma!$F$3:$M$1107,8,0),"")</f>
        <v/>
      </c>
      <c r="BL718" s="300" t="str">
        <f>_xlfn.IFNA(VLOOKUP($BD718,Programma!$F$3:$N$1107,9,0),"")</f>
        <v/>
      </c>
      <c r="BM718" s="300" t="str">
        <f>_xlfn.IFNA(VLOOKUP($BD718,Programma!$F$3:$O$1107,10,0),"")</f>
        <v/>
      </c>
      <c r="BN718" s="300" t="str">
        <f>_xlfn.IFNA(VLOOKUP($BD718,Programma!$F$3:$P$1107,11,0),"")</f>
        <v/>
      </c>
      <c r="BO718" s="300" t="str">
        <f>_xlfn.IFNA(VLOOKUP($BD718,Programma!$F$3:$Q$1107,12,0),"")</f>
        <v/>
      </c>
      <c r="BP718" s="300" t="str">
        <f>_xlfn.IFNA(VLOOKUP($BD718,Programma!$F$3:$R$1107,13,0),"")</f>
        <v/>
      </c>
      <c r="BQ718" s="300" t="str">
        <f>_xlfn.IFNA(VLOOKUP($BD718,Programma!$F$3:$S$1107,14,0),"")</f>
        <v/>
      </c>
      <c r="BR718" s="300" t="str">
        <f>_xlfn.IFNA(VLOOKUP($BD718,Programma!$F$3:$T$1107,15,0),"")</f>
        <v/>
      </c>
      <c r="BS718" s="300" t="str">
        <f>_xlfn.IFNA(VLOOKUP($BD718,Programma!$F$3:$U$1107,16,0),"")</f>
        <v/>
      </c>
      <c r="BT718" s="300" t="str">
        <f>_xlfn.IFNA(VLOOKUP($BD718,Programma!$F$3:$V$1107,17,0),"")</f>
        <v/>
      </c>
      <c r="BU718" s="300" t="str">
        <f>_xlfn.IFNA(VLOOKUP($BD718,Programma!$F$3:$W$1107,18,0),"")</f>
        <v/>
      </c>
      <c r="BV718" s="300" t="str">
        <f>_xlfn.IFNA(VLOOKUP($BD718,Programma!$F$3:$X$1107,19,0),"")</f>
        <v/>
      </c>
      <c r="BW718" s="300" t="str">
        <f>_xlfn.IFNA(VLOOKUP($BD718,Programma!$F$3:$Y$1107,20,0),"")</f>
        <v/>
      </c>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c r="GK718" s="4"/>
      <c r="GL718" s="4"/>
      <c r="GM718" s="4"/>
      <c r="GN718" s="4"/>
      <c r="GO718" s="4"/>
      <c r="GP718" s="4"/>
      <c r="GQ718" s="4"/>
      <c r="GR718" s="4"/>
      <c r="GS718" s="4"/>
      <c r="GT718" s="4"/>
      <c r="GU718" s="4"/>
      <c r="GV718" s="4"/>
      <c r="GW718" s="4"/>
      <c r="GX718" s="4"/>
      <c r="GY718" s="4"/>
      <c r="GZ718" s="4"/>
      <c r="HA718" s="4"/>
      <c r="HB718" s="4"/>
      <c r="HC718" s="4"/>
      <c r="HD718" s="4"/>
      <c r="HE718" s="4"/>
      <c r="HF718" s="4"/>
      <c r="HG718" s="4"/>
      <c r="HH718" s="4"/>
      <c r="HI718" s="4"/>
      <c r="HJ718" s="4"/>
      <c r="HK718" s="4"/>
      <c r="HL718" s="4"/>
    </row>
    <row r="719" spans="1:220" ht="15" customHeight="1">
      <c r="A719" s="21">
        <v>8</v>
      </c>
      <c r="B719" s="157" t="str">
        <f>VLOOKUP(Ruimtestaat[[#This Row],[Code]],Locaties[[Code]:[Locatie]],2,FALSE)</f>
        <v>Dalton College</v>
      </c>
      <c r="C719" s="157" t="str">
        <f>VLOOKUP(Ruimtestaat[[#This Row],[Code]],Locaties[[#All],[Code]:[Adres]],4,FALSE)</f>
        <v>Loolaan 125</v>
      </c>
      <c r="D719" s="157" t="str">
        <f>VLOOKUP(Ruimtestaat[[#This Row],[Code]],Locaties[[#All],[Code]:[Postcode]],5,FALSE)</f>
        <v xml:space="preserve">2271 TM </v>
      </c>
      <c r="E719" s="157" t="str">
        <f>VLOOKUP(Ruimtestaat[[#This Row],[Code]],Locaties[#All],6,FALSE)</f>
        <v>Voorburg</v>
      </c>
      <c r="F719" s="62"/>
      <c r="G719" s="21" t="s">
        <v>1632</v>
      </c>
      <c r="H719" s="21">
        <v>56</v>
      </c>
      <c r="I719" s="62" t="s">
        <v>2166</v>
      </c>
      <c r="J719" s="21">
        <v>16</v>
      </c>
      <c r="K719" s="62" t="str">
        <f>VLOOKUP(Ruimtestaat[[#This Row],[Ruimte code]],Ruimtegroepen[[#All],[Code]:[Ruimte omschrijving]],2,FALSE)</f>
        <v>Leslokalen theorie</v>
      </c>
      <c r="L719" s="33" t="s">
        <v>101</v>
      </c>
      <c r="M719" s="367" t="s">
        <v>2495</v>
      </c>
      <c r="N719" s="140">
        <v>48</v>
      </c>
      <c r="O719" s="140"/>
      <c r="P719" s="125" t="str">
        <f>VLOOKUP(Ruimtestaat[[#This Row],[Ruimte code]],Ruimtegroepen[],4,FALSE)</f>
        <v>Le</v>
      </c>
      <c r="R719" s="33">
        <v>40</v>
      </c>
      <c r="S719" s="33" t="s">
        <v>2</v>
      </c>
      <c r="T719" s="33">
        <f>IF(R719&gt;0,IF(RIGHT(Ruimtestaat[[#This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19" s="33">
        <f>IF(T719&gt;0,VLOOKUP($J719,Ruimtegroepen[],3,FALSE)*VLOOKUP($L719,Vloersoorten[],3,FALSE)*VLOOKUP($S719,Frequenties[],3,FALSE)*VLOOKUP($A719,Locaties[],3,FALSE),0)</f>
        <v>0</v>
      </c>
      <c r="V719" s="33">
        <f>Ruimtestaat[[#This Row],[Uitvoeringen werkdagen]]*Ruimtestaat[[#This Row],[Oppervlak (netto)]]</f>
        <v>9600</v>
      </c>
      <c r="W719" s="154">
        <f>IF(U719&gt;0,Ruimtestaat[[#This Row],[Prest. (m2 /jaar) werkdagen]]/Ruimtestaat[[#This Row],[Norm (m2/uur) werkdagen]],0)</f>
        <v>0</v>
      </c>
      <c r="X719" s="155">
        <f>Ruimtestaat[[#This Row],[uren / jaar werkdagen]]*Tariefsopbouw!$E$35</f>
        <v>0</v>
      </c>
      <c r="Y719" s="33"/>
      <c r="Z719" s="33">
        <f>IF(Ruimtestaat[[#This Row],[Frequentie weekend]]&gt;0,VALUE(LEFT(Y719,1))*R719,0)</f>
        <v>0</v>
      </c>
      <c r="AA719" s="97">
        <f>IF($Z719&gt;0,VLOOKUP($J719,Ruimtegroepen[],3,FALSE)*VLOOKUP($L719,Vloersoorten[],3,FALSE)*VLOOKUP($Y719,Frequenties[],3,FALSE)*VLOOKUP(Ruimtestaat[[#This Row],[Code]],Locaties[],3,FALSE),0)</f>
        <v>0</v>
      </c>
      <c r="AB719" s="97">
        <f>Ruimtestaat[[#This Row],[Uitvoeringen weekend]]*Ruimtestaat[[#This Row],[Oppervlak (netto)]]</f>
        <v>0</v>
      </c>
      <c r="AC719" s="97">
        <f>IF(AA719&gt;0,Ruimtestaat[[#This Row],[Prest. (m2 /jaar) weekend]]/Ruimtestaat[[#This Row],[Norm (m2/uur) weekend]],0)</f>
        <v>0</v>
      </c>
      <c r="AD719" s="155">
        <f>Ruimtestaat[[#This Row],[uren / jaar weekend]]*Tariefsopbouw!$D$40</f>
        <v>0</v>
      </c>
      <c r="AE719" s="154">
        <f>Ruimtestaat[[#This Row],[Prest. (m2 /jaar) weekend]]+Ruimtestaat[[#This Row],[Prest. (m2 /jaar) werkdagen]]</f>
        <v>9600</v>
      </c>
      <c r="AF719" s="154">
        <f>Ruimtestaat[[#This Row],[uren / jaar weekend]]+Ruimtestaat[[#This Row],[uren / jaar werkdagen]]</f>
        <v>0</v>
      </c>
      <c r="AG719" s="69">
        <f>Ruimtestaat[[#This Row],[kosten / jaar weekend]]+Ruimtestaat[[#This Row],[kosten / jaar werkdagen]]</f>
        <v>0</v>
      </c>
      <c r="AH719" s="69"/>
      <c r="AI719" s="256" t="str">
        <f>IF(Ruimtestaat[[#This Row],[Frequentie werkdagen]]="","",_xlfn.CONCAT(Ruimtestaat[[#This Row],[Ruimte code]],"-",Ruimtestaat[[#This Row],[Frequentie werkdagen]]," ",Ruimtestaat[[#This Row],[Vloer code]]))</f>
        <v>16-5w L</v>
      </c>
      <c r="AJ719" s="300" t="str">
        <f>_xlfn.IFNA(VLOOKUP($AI719,Programma!$F$3:$G$1107,2,0),"")</f>
        <v>_</v>
      </c>
      <c r="AK719" s="300" t="str">
        <f>_xlfn.IFNA(VLOOKUP($AI719,Programma!$F$3:$H$1107,3,0),"")</f>
        <v>_</v>
      </c>
      <c r="AL719" s="300" t="str">
        <f>_xlfn.IFNA(VLOOKUP($AI719,Programma!$F$3:$I$1107,4,0),"")</f>
        <v>4w</v>
      </c>
      <c r="AM719" s="300" t="str">
        <f>_xlfn.IFNA(VLOOKUP($AI719,Programma!$F$3:$J$1107,5,0),"")</f>
        <v>1w</v>
      </c>
      <c r="AN719" s="300" t="str">
        <f>_xlfn.IFNA(VLOOKUP($AI719,Programma!$F$3:$K$1107,6,0),"")</f>
        <v>_</v>
      </c>
      <c r="AO719" s="300" t="str">
        <f>_xlfn.IFNA(VLOOKUP($AI719,Programma!$F$3:$L$1107,7,0),"")</f>
        <v>_</v>
      </c>
      <c r="AP719" s="300" t="str">
        <f>_xlfn.IFNA(VLOOKUP($AI719,Programma!$F$3:$M$1107,8,0),"")</f>
        <v>_</v>
      </c>
      <c r="AQ719" s="300" t="str">
        <f>_xlfn.IFNA(VLOOKUP($AI719,Programma!$F$3:$N$1107,9,0),"")</f>
        <v>_</v>
      </c>
      <c r="AR719" s="300" t="str">
        <f>_xlfn.IFNA(VLOOKUP($AI719,Programma!$F$3:$O$1107,10,0),"")</f>
        <v>5w</v>
      </c>
      <c r="AS719" s="300" t="str">
        <f>_xlfn.IFNA(VLOOKUP($AI719,Programma!$F$3:$P$1107,11,0),"")</f>
        <v>5w</v>
      </c>
      <c r="AT719" s="300" t="str">
        <f>_xlfn.IFNA(VLOOKUP($AI719,Programma!$F$3:$Q$1107,12,0),"")</f>
        <v>1w</v>
      </c>
      <c r="AU719" s="300" t="str">
        <f>_xlfn.IFNA(VLOOKUP($AI719,Programma!$F$3:$R$1107,13,0),"")</f>
        <v>1w</v>
      </c>
      <c r="AV719" s="300" t="str">
        <f>_xlfn.IFNA(VLOOKUP($AI719,Programma!$F$3:$S$1107,14,0),"")</f>
        <v>1m</v>
      </c>
      <c r="AW719" s="300" t="str">
        <f>_xlfn.IFNA(VLOOKUP($AI719,Programma!$F$3:$T$1107,15,0),"")</f>
        <v>2j</v>
      </c>
      <c r="AX719" s="300" t="str">
        <f>_xlfn.IFNA(VLOOKUP($AI719,Programma!$F$3:$U$1107,16,0),"")</f>
        <v>1j</v>
      </c>
      <c r="AY719" s="300" t="str">
        <f>_xlfn.IFNA(VLOOKUP($AI719,Programma!$F$3:$V$1107,17,0),"")</f>
        <v>_</v>
      </c>
      <c r="AZ719" s="300" t="str">
        <f>_xlfn.IFNA(VLOOKUP($AI719,Programma!$F$3:$W$1107,18,0),"")</f>
        <v>_</v>
      </c>
      <c r="BA719" s="300" t="str">
        <f>_xlfn.IFNA(VLOOKUP($AI719,Programma!$F$3:$X$1107,19,0),"")</f>
        <v>_</v>
      </c>
      <c r="BB719" s="300" t="str">
        <f>_xlfn.IFNA(VLOOKUP($AI719,Programma!$F$3:$Y$1107,20,0),"")</f>
        <v>_</v>
      </c>
      <c r="BC719" s="257"/>
      <c r="BD719" s="256" t="str">
        <f>IF(Ruimtestaat[[#This Row],[Frequentie weekend]]="","",_xlfn.CONCAT(Ruimtestaat[[#This Row],[Ruimte code]],"-",Ruimtestaat[[#This Row],[Frequentie weekend]]," ",Ruimtestaat[[#This Row],[Vloer code]]))</f>
        <v/>
      </c>
      <c r="BE719" s="300" t="str">
        <f>_xlfn.IFNA(VLOOKUP($BD719,Programma!$F$3:$G$1107,2,0),"")</f>
        <v/>
      </c>
      <c r="BF719" s="300" t="str">
        <f>_xlfn.IFNA(VLOOKUP($BD719,Programma!$F$3:$H$1107,3,0),"")</f>
        <v/>
      </c>
      <c r="BG719" s="300" t="str">
        <f>_xlfn.IFNA(VLOOKUP($BD719,Programma!$F$3:$I$1107,4,0),"")</f>
        <v/>
      </c>
      <c r="BH719" s="300" t="str">
        <f>_xlfn.IFNA(VLOOKUP($BD719,Programma!$F$3:$J$1107,5,0),"")</f>
        <v/>
      </c>
      <c r="BI719" s="300" t="str">
        <f>_xlfn.IFNA(VLOOKUP($BD719,Programma!$F$3:$K$1107,6,0),"")</f>
        <v/>
      </c>
      <c r="BJ719" s="300" t="str">
        <f>_xlfn.IFNA(VLOOKUP($BD719,Programma!$F$3:$L$1107,7,0),"")</f>
        <v/>
      </c>
      <c r="BK719" s="300" t="str">
        <f>_xlfn.IFNA(VLOOKUP($BD719,Programma!$F$3:$M$1107,8,0),"")</f>
        <v/>
      </c>
      <c r="BL719" s="300" t="str">
        <f>_xlfn.IFNA(VLOOKUP($BD719,Programma!$F$3:$N$1107,9,0),"")</f>
        <v/>
      </c>
      <c r="BM719" s="300" t="str">
        <f>_xlfn.IFNA(VLOOKUP($BD719,Programma!$F$3:$O$1107,10,0),"")</f>
        <v/>
      </c>
      <c r="BN719" s="300" t="str">
        <f>_xlfn.IFNA(VLOOKUP($BD719,Programma!$F$3:$P$1107,11,0),"")</f>
        <v/>
      </c>
      <c r="BO719" s="300" t="str">
        <f>_xlfn.IFNA(VLOOKUP($BD719,Programma!$F$3:$Q$1107,12,0),"")</f>
        <v/>
      </c>
      <c r="BP719" s="300" t="str">
        <f>_xlfn.IFNA(VLOOKUP($BD719,Programma!$F$3:$R$1107,13,0),"")</f>
        <v/>
      </c>
      <c r="BQ719" s="300" t="str">
        <f>_xlfn.IFNA(VLOOKUP($BD719,Programma!$F$3:$S$1107,14,0),"")</f>
        <v/>
      </c>
      <c r="BR719" s="300" t="str">
        <f>_xlfn.IFNA(VLOOKUP($BD719,Programma!$F$3:$T$1107,15,0),"")</f>
        <v/>
      </c>
      <c r="BS719" s="300" t="str">
        <f>_xlfn.IFNA(VLOOKUP($BD719,Programma!$F$3:$U$1107,16,0),"")</f>
        <v/>
      </c>
      <c r="BT719" s="300" t="str">
        <f>_xlfn.IFNA(VLOOKUP($BD719,Programma!$F$3:$V$1107,17,0),"")</f>
        <v/>
      </c>
      <c r="BU719" s="300" t="str">
        <f>_xlfn.IFNA(VLOOKUP($BD719,Programma!$F$3:$W$1107,18,0),"")</f>
        <v/>
      </c>
      <c r="BV719" s="300" t="str">
        <f>_xlfn.IFNA(VLOOKUP($BD719,Programma!$F$3:$X$1107,19,0),"")</f>
        <v/>
      </c>
      <c r="BW719" s="300" t="str">
        <f>_xlfn.IFNA(VLOOKUP($BD719,Programma!$F$3:$Y$1107,20,0),"")</f>
        <v/>
      </c>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c r="GK719" s="4"/>
      <c r="GL719" s="4"/>
      <c r="GM719" s="4"/>
      <c r="GN719" s="4"/>
      <c r="GO719" s="4"/>
      <c r="GP719" s="4"/>
      <c r="GQ719" s="4"/>
      <c r="GR719" s="4"/>
      <c r="GS719" s="4"/>
      <c r="GT719" s="4"/>
      <c r="GU719" s="4"/>
      <c r="GV719" s="4"/>
      <c r="GW719" s="4"/>
      <c r="GX719" s="4"/>
      <c r="GY719" s="4"/>
      <c r="GZ719" s="4"/>
      <c r="HA719" s="4"/>
      <c r="HB719" s="4"/>
      <c r="HC719" s="4"/>
      <c r="HD719" s="4"/>
      <c r="HE719" s="4"/>
      <c r="HF719" s="4"/>
      <c r="HG719" s="4"/>
      <c r="HH719" s="4"/>
      <c r="HI719" s="4"/>
      <c r="HJ719" s="4"/>
      <c r="HK719" s="4"/>
      <c r="HL719" s="4"/>
    </row>
    <row r="720" spans="1:220" ht="15" customHeight="1">
      <c r="A720" s="21">
        <v>8</v>
      </c>
      <c r="B720" s="157" t="str">
        <f>VLOOKUP(Ruimtestaat[[#This Row],[Code]],Locaties[[Code]:[Locatie]],2,FALSE)</f>
        <v>Dalton College</v>
      </c>
      <c r="C720" s="157" t="str">
        <f>VLOOKUP(Ruimtestaat[[#This Row],[Code]],Locaties[[#All],[Code]:[Adres]],4,FALSE)</f>
        <v>Loolaan 125</v>
      </c>
      <c r="D720" s="157" t="str">
        <f>VLOOKUP(Ruimtestaat[[#This Row],[Code]],Locaties[[#All],[Code]:[Postcode]],5,FALSE)</f>
        <v xml:space="preserve">2271 TM </v>
      </c>
      <c r="E720" s="157" t="str">
        <f>VLOOKUP(Ruimtestaat[[#This Row],[Code]],Locaties[#All],6,FALSE)</f>
        <v>Voorburg</v>
      </c>
      <c r="F720" s="62"/>
      <c r="G720" s="21" t="s">
        <v>1632</v>
      </c>
      <c r="H720" s="21">
        <v>57</v>
      </c>
      <c r="I720" s="62" t="s">
        <v>2165</v>
      </c>
      <c r="J720" s="21">
        <v>16</v>
      </c>
      <c r="K720" s="62" t="str">
        <f>VLOOKUP(Ruimtestaat[[#This Row],[Ruimte code]],Ruimtegroepen[[#All],[Code]:[Ruimte omschrijving]],2,FALSE)</f>
        <v>Leslokalen theorie</v>
      </c>
      <c r="L720" s="33" t="s">
        <v>101</v>
      </c>
      <c r="M720" s="367" t="s">
        <v>2495</v>
      </c>
      <c r="N720" s="140">
        <v>47</v>
      </c>
      <c r="O720" s="140"/>
      <c r="P720" s="125" t="str">
        <f>VLOOKUP(Ruimtestaat[[#This Row],[Ruimte code]],Ruimtegroepen[],4,FALSE)</f>
        <v>Le</v>
      </c>
      <c r="R720" s="33">
        <v>40</v>
      </c>
      <c r="S720" s="33" t="s">
        <v>2</v>
      </c>
      <c r="T720" s="33">
        <f>IF(R720&gt;0,IF(RIGHT(Ruimtestaat[[#This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20" s="33">
        <f>IF(T720&gt;0,VLOOKUP($J720,Ruimtegroepen[],3,FALSE)*VLOOKUP($L720,Vloersoorten[],3,FALSE)*VLOOKUP($S720,Frequenties[],3,FALSE)*VLOOKUP($A720,Locaties[],3,FALSE),0)</f>
        <v>0</v>
      </c>
      <c r="V720" s="33">
        <f>Ruimtestaat[[#This Row],[Uitvoeringen werkdagen]]*Ruimtestaat[[#This Row],[Oppervlak (netto)]]</f>
        <v>9400</v>
      </c>
      <c r="W720" s="154">
        <f>IF(U720&gt;0,Ruimtestaat[[#This Row],[Prest. (m2 /jaar) werkdagen]]/Ruimtestaat[[#This Row],[Norm (m2/uur) werkdagen]],0)</f>
        <v>0</v>
      </c>
      <c r="X720" s="155">
        <f>Ruimtestaat[[#This Row],[uren / jaar werkdagen]]*Tariefsopbouw!$E$35</f>
        <v>0</v>
      </c>
      <c r="Y720" s="33"/>
      <c r="Z720" s="33">
        <f>IF(Ruimtestaat[[#This Row],[Frequentie weekend]]&gt;0,VALUE(LEFT(Y720,1))*R720,0)</f>
        <v>0</v>
      </c>
      <c r="AA720" s="97">
        <f>IF($Z720&gt;0,VLOOKUP($J720,Ruimtegroepen[],3,FALSE)*VLOOKUP($L720,Vloersoorten[],3,FALSE)*VLOOKUP($Y720,Frequenties[],3,FALSE)*VLOOKUP(Ruimtestaat[[#This Row],[Code]],Locaties[],3,FALSE),0)</f>
        <v>0</v>
      </c>
      <c r="AB720" s="97">
        <f>Ruimtestaat[[#This Row],[Uitvoeringen weekend]]*Ruimtestaat[[#This Row],[Oppervlak (netto)]]</f>
        <v>0</v>
      </c>
      <c r="AC720" s="97">
        <f>IF(AA720&gt;0,Ruimtestaat[[#This Row],[Prest. (m2 /jaar) weekend]]/Ruimtestaat[[#This Row],[Norm (m2/uur) weekend]],0)</f>
        <v>0</v>
      </c>
      <c r="AD720" s="155">
        <f>Ruimtestaat[[#This Row],[uren / jaar weekend]]*Tariefsopbouw!$D$40</f>
        <v>0</v>
      </c>
      <c r="AE720" s="154">
        <f>Ruimtestaat[[#This Row],[Prest. (m2 /jaar) weekend]]+Ruimtestaat[[#This Row],[Prest. (m2 /jaar) werkdagen]]</f>
        <v>9400</v>
      </c>
      <c r="AF720" s="154">
        <f>Ruimtestaat[[#This Row],[uren / jaar weekend]]+Ruimtestaat[[#This Row],[uren / jaar werkdagen]]</f>
        <v>0</v>
      </c>
      <c r="AG720" s="69">
        <f>Ruimtestaat[[#This Row],[kosten / jaar weekend]]+Ruimtestaat[[#This Row],[kosten / jaar werkdagen]]</f>
        <v>0</v>
      </c>
      <c r="AH720" s="69"/>
      <c r="AI720" s="256" t="str">
        <f>IF(Ruimtestaat[[#This Row],[Frequentie werkdagen]]="","",_xlfn.CONCAT(Ruimtestaat[[#This Row],[Ruimte code]],"-",Ruimtestaat[[#This Row],[Frequentie werkdagen]]," ",Ruimtestaat[[#This Row],[Vloer code]]))</f>
        <v>16-5w L</v>
      </c>
      <c r="AJ720" s="300" t="str">
        <f>_xlfn.IFNA(VLOOKUP($AI720,Programma!$F$3:$G$1107,2,0),"")</f>
        <v>_</v>
      </c>
      <c r="AK720" s="300" t="str">
        <f>_xlfn.IFNA(VLOOKUP($AI720,Programma!$F$3:$H$1107,3,0),"")</f>
        <v>_</v>
      </c>
      <c r="AL720" s="300" t="str">
        <f>_xlfn.IFNA(VLOOKUP($AI720,Programma!$F$3:$I$1107,4,0),"")</f>
        <v>4w</v>
      </c>
      <c r="AM720" s="300" t="str">
        <f>_xlfn.IFNA(VLOOKUP($AI720,Programma!$F$3:$J$1107,5,0),"")</f>
        <v>1w</v>
      </c>
      <c r="AN720" s="300" t="str">
        <f>_xlfn.IFNA(VLOOKUP($AI720,Programma!$F$3:$K$1107,6,0),"")</f>
        <v>_</v>
      </c>
      <c r="AO720" s="300" t="str">
        <f>_xlfn.IFNA(VLOOKUP($AI720,Programma!$F$3:$L$1107,7,0),"")</f>
        <v>_</v>
      </c>
      <c r="AP720" s="300" t="str">
        <f>_xlfn.IFNA(VLOOKUP($AI720,Programma!$F$3:$M$1107,8,0),"")</f>
        <v>_</v>
      </c>
      <c r="AQ720" s="300" t="str">
        <f>_xlfn.IFNA(VLOOKUP($AI720,Programma!$F$3:$N$1107,9,0),"")</f>
        <v>_</v>
      </c>
      <c r="AR720" s="300" t="str">
        <f>_xlfn.IFNA(VLOOKUP($AI720,Programma!$F$3:$O$1107,10,0),"")</f>
        <v>5w</v>
      </c>
      <c r="AS720" s="300" t="str">
        <f>_xlfn.IFNA(VLOOKUP($AI720,Programma!$F$3:$P$1107,11,0),"")</f>
        <v>5w</v>
      </c>
      <c r="AT720" s="300" t="str">
        <f>_xlfn.IFNA(VLOOKUP($AI720,Programma!$F$3:$Q$1107,12,0),"")</f>
        <v>1w</v>
      </c>
      <c r="AU720" s="300" t="str">
        <f>_xlfn.IFNA(VLOOKUP($AI720,Programma!$F$3:$R$1107,13,0),"")</f>
        <v>1w</v>
      </c>
      <c r="AV720" s="300" t="str">
        <f>_xlfn.IFNA(VLOOKUP($AI720,Programma!$F$3:$S$1107,14,0),"")</f>
        <v>1m</v>
      </c>
      <c r="AW720" s="300" t="str">
        <f>_xlfn.IFNA(VLOOKUP($AI720,Programma!$F$3:$T$1107,15,0),"")</f>
        <v>2j</v>
      </c>
      <c r="AX720" s="300" t="str">
        <f>_xlfn.IFNA(VLOOKUP($AI720,Programma!$F$3:$U$1107,16,0),"")</f>
        <v>1j</v>
      </c>
      <c r="AY720" s="300" t="str">
        <f>_xlfn.IFNA(VLOOKUP($AI720,Programma!$F$3:$V$1107,17,0),"")</f>
        <v>_</v>
      </c>
      <c r="AZ720" s="300" t="str">
        <f>_xlfn.IFNA(VLOOKUP($AI720,Programma!$F$3:$W$1107,18,0),"")</f>
        <v>_</v>
      </c>
      <c r="BA720" s="300" t="str">
        <f>_xlfn.IFNA(VLOOKUP($AI720,Programma!$F$3:$X$1107,19,0),"")</f>
        <v>_</v>
      </c>
      <c r="BB720" s="300" t="str">
        <f>_xlfn.IFNA(VLOOKUP($AI720,Programma!$F$3:$Y$1107,20,0),"")</f>
        <v>_</v>
      </c>
      <c r="BC720" s="257"/>
      <c r="BD720" s="256" t="str">
        <f>IF(Ruimtestaat[[#This Row],[Frequentie weekend]]="","",_xlfn.CONCAT(Ruimtestaat[[#This Row],[Ruimte code]],"-",Ruimtestaat[[#This Row],[Frequentie weekend]]," ",Ruimtestaat[[#This Row],[Vloer code]]))</f>
        <v/>
      </c>
      <c r="BE720" s="300" t="str">
        <f>_xlfn.IFNA(VLOOKUP($BD720,Programma!$F$3:$G$1107,2,0),"")</f>
        <v/>
      </c>
      <c r="BF720" s="300" t="str">
        <f>_xlfn.IFNA(VLOOKUP($BD720,Programma!$F$3:$H$1107,3,0),"")</f>
        <v/>
      </c>
      <c r="BG720" s="300" t="str">
        <f>_xlfn.IFNA(VLOOKUP($BD720,Programma!$F$3:$I$1107,4,0),"")</f>
        <v/>
      </c>
      <c r="BH720" s="300" t="str">
        <f>_xlfn.IFNA(VLOOKUP($BD720,Programma!$F$3:$J$1107,5,0),"")</f>
        <v/>
      </c>
      <c r="BI720" s="300" t="str">
        <f>_xlfn.IFNA(VLOOKUP($BD720,Programma!$F$3:$K$1107,6,0),"")</f>
        <v/>
      </c>
      <c r="BJ720" s="300" t="str">
        <f>_xlfn.IFNA(VLOOKUP($BD720,Programma!$F$3:$L$1107,7,0),"")</f>
        <v/>
      </c>
      <c r="BK720" s="300" t="str">
        <f>_xlfn.IFNA(VLOOKUP($BD720,Programma!$F$3:$M$1107,8,0),"")</f>
        <v/>
      </c>
      <c r="BL720" s="300" t="str">
        <f>_xlfn.IFNA(VLOOKUP($BD720,Programma!$F$3:$N$1107,9,0),"")</f>
        <v/>
      </c>
      <c r="BM720" s="300" t="str">
        <f>_xlfn.IFNA(VLOOKUP($BD720,Programma!$F$3:$O$1107,10,0),"")</f>
        <v/>
      </c>
      <c r="BN720" s="300" t="str">
        <f>_xlfn.IFNA(VLOOKUP($BD720,Programma!$F$3:$P$1107,11,0),"")</f>
        <v/>
      </c>
      <c r="BO720" s="300" t="str">
        <f>_xlfn.IFNA(VLOOKUP($BD720,Programma!$F$3:$Q$1107,12,0),"")</f>
        <v/>
      </c>
      <c r="BP720" s="300" t="str">
        <f>_xlfn.IFNA(VLOOKUP($BD720,Programma!$F$3:$R$1107,13,0),"")</f>
        <v/>
      </c>
      <c r="BQ720" s="300" t="str">
        <f>_xlfn.IFNA(VLOOKUP($BD720,Programma!$F$3:$S$1107,14,0),"")</f>
        <v/>
      </c>
      <c r="BR720" s="300" t="str">
        <f>_xlfn.IFNA(VLOOKUP($BD720,Programma!$F$3:$T$1107,15,0),"")</f>
        <v/>
      </c>
      <c r="BS720" s="300" t="str">
        <f>_xlfn.IFNA(VLOOKUP($BD720,Programma!$F$3:$U$1107,16,0),"")</f>
        <v/>
      </c>
      <c r="BT720" s="300" t="str">
        <f>_xlfn.IFNA(VLOOKUP($BD720,Programma!$F$3:$V$1107,17,0),"")</f>
        <v/>
      </c>
      <c r="BU720" s="300" t="str">
        <f>_xlfn.IFNA(VLOOKUP($BD720,Programma!$F$3:$W$1107,18,0),"")</f>
        <v/>
      </c>
      <c r="BV720" s="300" t="str">
        <f>_xlfn.IFNA(VLOOKUP($BD720,Programma!$F$3:$X$1107,19,0),"")</f>
        <v/>
      </c>
      <c r="BW720" s="300" t="str">
        <f>_xlfn.IFNA(VLOOKUP($BD720,Programma!$F$3:$Y$1107,20,0),"")</f>
        <v/>
      </c>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c r="GK720" s="4"/>
      <c r="GL720" s="4"/>
      <c r="GM720" s="4"/>
      <c r="GN720" s="4"/>
      <c r="GO720" s="4"/>
      <c r="GP720" s="4"/>
      <c r="GQ720" s="4"/>
      <c r="GR720" s="4"/>
      <c r="GS720" s="4"/>
      <c r="GT720" s="4"/>
      <c r="GU720" s="4"/>
      <c r="GV720" s="4"/>
      <c r="GW720" s="4"/>
      <c r="GX720" s="4"/>
      <c r="GY720" s="4"/>
      <c r="GZ720" s="4"/>
      <c r="HA720" s="4"/>
      <c r="HB720" s="4"/>
      <c r="HC720" s="4"/>
      <c r="HD720" s="4"/>
      <c r="HE720" s="4"/>
      <c r="HF720" s="4"/>
      <c r="HG720" s="4"/>
      <c r="HH720" s="4"/>
      <c r="HI720" s="4"/>
      <c r="HJ720" s="4"/>
      <c r="HK720" s="4"/>
      <c r="HL720" s="4"/>
    </row>
    <row r="721" spans="1:220" ht="15" customHeight="1">
      <c r="A721" s="21">
        <v>8</v>
      </c>
      <c r="B721" s="157" t="str">
        <f>VLOOKUP(Ruimtestaat[[#This Row],[Code]],Locaties[[Code]:[Locatie]],2,FALSE)</f>
        <v>Dalton College</v>
      </c>
      <c r="C721" s="157" t="str">
        <f>VLOOKUP(Ruimtestaat[[#This Row],[Code]],Locaties[[#All],[Code]:[Adres]],4,FALSE)</f>
        <v>Loolaan 125</v>
      </c>
      <c r="D721" s="157" t="str">
        <f>VLOOKUP(Ruimtestaat[[#This Row],[Code]],Locaties[[#All],[Code]:[Postcode]],5,FALSE)</f>
        <v xml:space="preserve">2271 TM </v>
      </c>
      <c r="E721" s="157" t="str">
        <f>VLOOKUP(Ruimtestaat[[#This Row],[Code]],Locaties[#All],6,FALSE)</f>
        <v>Voorburg</v>
      </c>
      <c r="F721" s="62"/>
      <c r="G721" s="21" t="s">
        <v>1632</v>
      </c>
      <c r="H721" s="21">
        <v>58</v>
      </c>
      <c r="I721" s="62" t="s">
        <v>2221</v>
      </c>
      <c r="J721" s="21">
        <v>2</v>
      </c>
      <c r="K721" s="62" t="str">
        <f>VLOOKUP(Ruimtestaat[[#This Row],[Ruimte code]],Ruimtegroepen[[#All],[Code]:[Ruimte omschrijving]],2,FALSE)</f>
        <v>Kantoren</v>
      </c>
      <c r="L721" s="33" t="s">
        <v>101</v>
      </c>
      <c r="M721" s="367" t="s">
        <v>2495</v>
      </c>
      <c r="N721" s="140">
        <v>30</v>
      </c>
      <c r="O721" s="140"/>
      <c r="P721" s="125" t="str">
        <f>VLOOKUP(Ruimtestaat[[#This Row],[Ruimte code]],Ruimtegroepen[],4,FALSE)</f>
        <v>Bu</v>
      </c>
      <c r="R721" s="33">
        <v>42</v>
      </c>
      <c r="S721" s="33" t="s">
        <v>18</v>
      </c>
      <c r="T721" s="33">
        <f>IF(R721&gt;0,IF(RIGHT(Ruimtestaat[[#This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21" s="33">
        <f>IF(T721&gt;0,VLOOKUP($J721,Ruimtegroepen[],3,FALSE)*VLOOKUP($L721,Vloersoorten[],3,FALSE)*VLOOKUP($S721,Frequenties[],3,FALSE)*VLOOKUP($A721,Locaties[],3,FALSE),0)</f>
        <v>0</v>
      </c>
      <c r="V721" s="33">
        <f>Ruimtestaat[[#This Row],[Uitvoeringen werkdagen]]*Ruimtestaat[[#This Row],[Oppervlak (netto)]]</f>
        <v>3780</v>
      </c>
      <c r="W721" s="154">
        <f>IF(U721&gt;0,Ruimtestaat[[#This Row],[Prest. (m2 /jaar) werkdagen]]/Ruimtestaat[[#This Row],[Norm (m2/uur) werkdagen]],0)</f>
        <v>0</v>
      </c>
      <c r="X721" s="155">
        <f>Ruimtestaat[[#This Row],[uren / jaar werkdagen]]*Tariefsopbouw!$E$35</f>
        <v>0</v>
      </c>
      <c r="Y721" s="33"/>
      <c r="Z721" s="33">
        <f>IF(Ruimtestaat[[#This Row],[Frequentie weekend]]&gt;0,VALUE(LEFT(Y721,1))*R721,0)</f>
        <v>0</v>
      </c>
      <c r="AA721" s="97">
        <f>IF($Z721&gt;0,VLOOKUP($J721,Ruimtegroepen[],3,FALSE)*VLOOKUP($L721,Vloersoorten[],3,FALSE)*VLOOKUP($Y721,Frequenties[],3,FALSE)*VLOOKUP(Ruimtestaat[[#This Row],[Code]],Locaties[],3,FALSE),0)</f>
        <v>0</v>
      </c>
      <c r="AB721" s="97">
        <f>Ruimtestaat[[#This Row],[Uitvoeringen weekend]]*Ruimtestaat[[#This Row],[Oppervlak (netto)]]</f>
        <v>0</v>
      </c>
      <c r="AC721" s="97">
        <f>IF(AA721&gt;0,Ruimtestaat[[#This Row],[Prest. (m2 /jaar) weekend]]/Ruimtestaat[[#This Row],[Norm (m2/uur) weekend]],0)</f>
        <v>0</v>
      </c>
      <c r="AD721" s="155">
        <f>Ruimtestaat[[#This Row],[uren / jaar weekend]]*Tariefsopbouw!$D$40</f>
        <v>0</v>
      </c>
      <c r="AE721" s="154">
        <f>Ruimtestaat[[#This Row],[Prest. (m2 /jaar) weekend]]+Ruimtestaat[[#This Row],[Prest. (m2 /jaar) werkdagen]]</f>
        <v>3780</v>
      </c>
      <c r="AF721" s="154">
        <f>Ruimtestaat[[#This Row],[uren / jaar weekend]]+Ruimtestaat[[#This Row],[uren / jaar werkdagen]]</f>
        <v>0</v>
      </c>
      <c r="AG721" s="69">
        <f>Ruimtestaat[[#This Row],[kosten / jaar weekend]]+Ruimtestaat[[#This Row],[kosten / jaar werkdagen]]</f>
        <v>0</v>
      </c>
      <c r="AH721" s="69"/>
      <c r="AI721" s="256" t="str">
        <f>IF(Ruimtestaat[[#This Row],[Frequentie werkdagen]]="","",_xlfn.CONCAT(Ruimtestaat[[#This Row],[Ruimte code]],"-",Ruimtestaat[[#This Row],[Frequentie werkdagen]]," ",Ruimtestaat[[#This Row],[Vloer code]]))</f>
        <v>2-3w L</v>
      </c>
      <c r="AJ721" s="300" t="str">
        <f>_xlfn.IFNA(VLOOKUP($AI721,Programma!$F$3:$G$1107,2,0),"")</f>
        <v>_</v>
      </c>
      <c r="AK721" s="300" t="str">
        <f>_xlfn.IFNA(VLOOKUP($AI721,Programma!$F$3:$H$1107,3,0),"")</f>
        <v>_</v>
      </c>
      <c r="AL721" s="300" t="str">
        <f>_xlfn.IFNA(VLOOKUP($AI721,Programma!$F$3:$I$1107,4,0),"")</f>
        <v>2w</v>
      </c>
      <c r="AM721" s="300" t="str">
        <f>_xlfn.IFNA(VLOOKUP($AI721,Programma!$F$3:$J$1107,5,0),"")</f>
        <v>1w</v>
      </c>
      <c r="AN721" s="300" t="str">
        <f>_xlfn.IFNA(VLOOKUP($AI721,Programma!$F$3:$K$1107,6,0),"")</f>
        <v>_</v>
      </c>
      <c r="AO721" s="300" t="str">
        <f>_xlfn.IFNA(VLOOKUP($AI721,Programma!$F$3:$L$1107,7,0),"")</f>
        <v>_</v>
      </c>
      <c r="AP721" s="300" t="str">
        <f>_xlfn.IFNA(VLOOKUP($AI721,Programma!$F$3:$M$1107,8,0),"")</f>
        <v>_</v>
      </c>
      <c r="AQ721" s="300" t="str">
        <f>_xlfn.IFNA(VLOOKUP($AI721,Programma!$F$3:$N$1107,9,0),"")</f>
        <v>_</v>
      </c>
      <c r="AR721" s="300" t="str">
        <f>_xlfn.IFNA(VLOOKUP($AI721,Programma!$F$3:$O$1107,10,0),"")</f>
        <v>3w</v>
      </c>
      <c r="AS721" s="300" t="str">
        <f>_xlfn.IFNA(VLOOKUP($AI721,Programma!$F$3:$P$1107,11,0),"")</f>
        <v>3w</v>
      </c>
      <c r="AT721" s="300" t="str">
        <f>_xlfn.IFNA(VLOOKUP($AI721,Programma!$F$3:$Q$1107,12,0),"")</f>
        <v>1w</v>
      </c>
      <c r="AU721" s="300" t="str">
        <f>_xlfn.IFNA(VLOOKUP($AI721,Programma!$F$3:$R$1107,13,0),"")</f>
        <v>1w</v>
      </c>
      <c r="AV721" s="300" t="str">
        <f>_xlfn.IFNA(VLOOKUP($AI721,Programma!$F$3:$S$1107,14,0),"")</f>
        <v>1m</v>
      </c>
      <c r="AW721" s="300" t="str">
        <f>_xlfn.IFNA(VLOOKUP($AI721,Programma!$F$3:$T$1107,15,0),"")</f>
        <v>2j</v>
      </c>
      <c r="AX721" s="300" t="str">
        <f>_xlfn.IFNA(VLOOKUP($AI721,Programma!$F$3:$U$1107,16,0),"")</f>
        <v>1j</v>
      </c>
      <c r="AY721" s="300" t="str">
        <f>_xlfn.IFNA(VLOOKUP($AI721,Programma!$F$3:$V$1107,17,0),"")</f>
        <v>_</v>
      </c>
      <c r="AZ721" s="300" t="str">
        <f>_xlfn.IFNA(VLOOKUP($AI721,Programma!$F$3:$W$1107,18,0),"")</f>
        <v>_</v>
      </c>
      <c r="BA721" s="300" t="str">
        <f>_xlfn.IFNA(VLOOKUP($AI721,Programma!$F$3:$X$1107,19,0),"")</f>
        <v>_</v>
      </c>
      <c r="BB721" s="300" t="str">
        <f>_xlfn.IFNA(VLOOKUP($AI721,Programma!$F$3:$Y$1107,20,0),"")</f>
        <v>_</v>
      </c>
      <c r="BC721" s="257"/>
      <c r="BD721" s="256" t="str">
        <f>IF(Ruimtestaat[[#This Row],[Frequentie weekend]]="","",_xlfn.CONCAT(Ruimtestaat[[#This Row],[Ruimte code]],"-",Ruimtestaat[[#This Row],[Frequentie weekend]]," ",Ruimtestaat[[#This Row],[Vloer code]]))</f>
        <v/>
      </c>
      <c r="BE721" s="300" t="str">
        <f>_xlfn.IFNA(VLOOKUP($BD721,Programma!$F$3:$G$1107,2,0),"")</f>
        <v/>
      </c>
      <c r="BF721" s="300" t="str">
        <f>_xlfn.IFNA(VLOOKUP($BD721,Programma!$F$3:$H$1107,3,0),"")</f>
        <v/>
      </c>
      <c r="BG721" s="300" t="str">
        <f>_xlfn.IFNA(VLOOKUP($BD721,Programma!$F$3:$I$1107,4,0),"")</f>
        <v/>
      </c>
      <c r="BH721" s="300" t="str">
        <f>_xlfn.IFNA(VLOOKUP($BD721,Programma!$F$3:$J$1107,5,0),"")</f>
        <v/>
      </c>
      <c r="BI721" s="300" t="str">
        <f>_xlfn.IFNA(VLOOKUP($BD721,Programma!$F$3:$K$1107,6,0),"")</f>
        <v/>
      </c>
      <c r="BJ721" s="300" t="str">
        <f>_xlfn.IFNA(VLOOKUP($BD721,Programma!$F$3:$L$1107,7,0),"")</f>
        <v/>
      </c>
      <c r="BK721" s="300" t="str">
        <f>_xlfn.IFNA(VLOOKUP($BD721,Programma!$F$3:$M$1107,8,0),"")</f>
        <v/>
      </c>
      <c r="BL721" s="300" t="str">
        <f>_xlfn.IFNA(VLOOKUP($BD721,Programma!$F$3:$N$1107,9,0),"")</f>
        <v/>
      </c>
      <c r="BM721" s="300" t="str">
        <f>_xlfn.IFNA(VLOOKUP($BD721,Programma!$F$3:$O$1107,10,0),"")</f>
        <v/>
      </c>
      <c r="BN721" s="300" t="str">
        <f>_xlfn.IFNA(VLOOKUP($BD721,Programma!$F$3:$P$1107,11,0),"")</f>
        <v/>
      </c>
      <c r="BO721" s="300" t="str">
        <f>_xlfn.IFNA(VLOOKUP($BD721,Programma!$F$3:$Q$1107,12,0),"")</f>
        <v/>
      </c>
      <c r="BP721" s="300" t="str">
        <f>_xlfn.IFNA(VLOOKUP($BD721,Programma!$F$3:$R$1107,13,0),"")</f>
        <v/>
      </c>
      <c r="BQ721" s="300" t="str">
        <f>_xlfn.IFNA(VLOOKUP($BD721,Programma!$F$3:$S$1107,14,0),"")</f>
        <v/>
      </c>
      <c r="BR721" s="300" t="str">
        <f>_xlfn.IFNA(VLOOKUP($BD721,Programma!$F$3:$T$1107,15,0),"")</f>
        <v/>
      </c>
      <c r="BS721" s="300" t="str">
        <f>_xlfn.IFNA(VLOOKUP($BD721,Programma!$F$3:$U$1107,16,0),"")</f>
        <v/>
      </c>
      <c r="BT721" s="300" t="str">
        <f>_xlfn.IFNA(VLOOKUP($BD721,Programma!$F$3:$V$1107,17,0),"")</f>
        <v/>
      </c>
      <c r="BU721" s="300" t="str">
        <f>_xlfn.IFNA(VLOOKUP($BD721,Programma!$F$3:$W$1107,18,0),"")</f>
        <v/>
      </c>
      <c r="BV721" s="300" t="str">
        <f>_xlfn.IFNA(VLOOKUP($BD721,Programma!$F$3:$X$1107,19,0),"")</f>
        <v/>
      </c>
      <c r="BW721" s="300" t="str">
        <f>_xlfn.IFNA(VLOOKUP($BD721,Programma!$F$3:$Y$1107,20,0),"")</f>
        <v/>
      </c>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c r="GK721" s="4"/>
      <c r="GL721" s="4"/>
      <c r="GM721" s="4"/>
      <c r="GN721" s="4"/>
      <c r="GO721" s="4"/>
      <c r="GP721" s="4"/>
      <c r="GQ721" s="4"/>
      <c r="GR721" s="4"/>
      <c r="GS721" s="4"/>
      <c r="GT721" s="4"/>
      <c r="GU721" s="4"/>
      <c r="GV721" s="4"/>
      <c r="GW721" s="4"/>
      <c r="GX721" s="4"/>
      <c r="GY721" s="4"/>
      <c r="GZ721" s="4"/>
      <c r="HA721" s="4"/>
      <c r="HB721" s="4"/>
      <c r="HC721" s="4"/>
      <c r="HD721" s="4"/>
      <c r="HE721" s="4"/>
      <c r="HF721" s="4"/>
      <c r="HG721" s="4"/>
      <c r="HH721" s="4"/>
      <c r="HI721" s="4"/>
      <c r="HJ721" s="4"/>
      <c r="HK721" s="4"/>
      <c r="HL721" s="4"/>
    </row>
    <row r="722" spans="1:220" ht="15" customHeight="1">
      <c r="A722" s="21">
        <v>8</v>
      </c>
      <c r="B722" s="157" t="str">
        <f>VLOOKUP(Ruimtestaat[[#This Row],[Code]],Locaties[[Code]:[Locatie]],2,FALSE)</f>
        <v>Dalton College</v>
      </c>
      <c r="C722" s="157" t="str">
        <f>VLOOKUP(Ruimtestaat[[#This Row],[Code]],Locaties[[#All],[Code]:[Adres]],4,FALSE)</f>
        <v>Loolaan 125</v>
      </c>
      <c r="D722" s="157" t="str">
        <f>VLOOKUP(Ruimtestaat[[#This Row],[Code]],Locaties[[#All],[Code]:[Postcode]],5,FALSE)</f>
        <v xml:space="preserve">2271 TM </v>
      </c>
      <c r="E722" s="157" t="str">
        <f>VLOOKUP(Ruimtestaat[[#This Row],[Code]],Locaties[#All],6,FALSE)</f>
        <v>Voorburg</v>
      </c>
      <c r="F722" s="62"/>
      <c r="G722" s="21" t="s">
        <v>1632</v>
      </c>
      <c r="H722" s="21">
        <v>59</v>
      </c>
      <c r="I722" s="62" t="s">
        <v>2222</v>
      </c>
      <c r="J722" s="21">
        <v>2</v>
      </c>
      <c r="K722" s="62" t="str">
        <f>VLOOKUP(Ruimtestaat[[#This Row],[Ruimte code]],Ruimtegroepen[[#All],[Code]:[Ruimte omschrijving]],2,FALSE)</f>
        <v>Kantoren</v>
      </c>
      <c r="L722" s="33" t="s">
        <v>100</v>
      </c>
      <c r="M722" s="367" t="s">
        <v>2493</v>
      </c>
      <c r="N722" s="140">
        <v>15</v>
      </c>
      <c r="O722" s="140"/>
      <c r="P722" s="125" t="str">
        <f>VLOOKUP(Ruimtestaat[[#This Row],[Ruimte code]],Ruimtegroepen[],4,FALSE)</f>
        <v>Bu</v>
      </c>
      <c r="R722" s="33">
        <v>42</v>
      </c>
      <c r="S722" s="33" t="s">
        <v>18</v>
      </c>
      <c r="T722" s="33">
        <f>IF(R722&gt;0,IF(RIGHT(Ruimtestaat[[#This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22" s="33">
        <f>IF(T722&gt;0,VLOOKUP($J722,Ruimtegroepen[],3,FALSE)*VLOOKUP($L722,Vloersoorten[],3,FALSE)*VLOOKUP($S722,Frequenties[],3,FALSE)*VLOOKUP($A722,Locaties[],3,FALSE),0)</f>
        <v>0</v>
      </c>
      <c r="V722" s="33">
        <f>Ruimtestaat[[#This Row],[Uitvoeringen werkdagen]]*Ruimtestaat[[#This Row],[Oppervlak (netto)]]</f>
        <v>1890</v>
      </c>
      <c r="W722" s="154">
        <f>IF(U722&gt;0,Ruimtestaat[[#This Row],[Prest. (m2 /jaar) werkdagen]]/Ruimtestaat[[#This Row],[Norm (m2/uur) werkdagen]],0)</f>
        <v>0</v>
      </c>
      <c r="X722" s="155">
        <f>Ruimtestaat[[#This Row],[uren / jaar werkdagen]]*Tariefsopbouw!$E$35</f>
        <v>0</v>
      </c>
      <c r="Y722" s="33"/>
      <c r="Z722" s="33">
        <f>IF(Ruimtestaat[[#This Row],[Frequentie weekend]]&gt;0,VALUE(LEFT(Y722,1))*R722,0)</f>
        <v>0</v>
      </c>
      <c r="AA722" s="97">
        <f>IF($Z722&gt;0,VLOOKUP($J722,Ruimtegroepen[],3,FALSE)*VLOOKUP($L722,Vloersoorten[],3,FALSE)*VLOOKUP($Y722,Frequenties[],3,FALSE)*VLOOKUP(Ruimtestaat[[#This Row],[Code]],Locaties[],3,FALSE),0)</f>
        <v>0</v>
      </c>
      <c r="AB722" s="97">
        <f>Ruimtestaat[[#This Row],[Uitvoeringen weekend]]*Ruimtestaat[[#This Row],[Oppervlak (netto)]]</f>
        <v>0</v>
      </c>
      <c r="AC722" s="97">
        <f>IF(AA722&gt;0,Ruimtestaat[[#This Row],[Prest. (m2 /jaar) weekend]]/Ruimtestaat[[#This Row],[Norm (m2/uur) weekend]],0)</f>
        <v>0</v>
      </c>
      <c r="AD722" s="155">
        <f>Ruimtestaat[[#This Row],[uren / jaar weekend]]*Tariefsopbouw!$D$40</f>
        <v>0</v>
      </c>
      <c r="AE722" s="154">
        <f>Ruimtestaat[[#This Row],[Prest. (m2 /jaar) weekend]]+Ruimtestaat[[#This Row],[Prest. (m2 /jaar) werkdagen]]</f>
        <v>1890</v>
      </c>
      <c r="AF722" s="154">
        <f>Ruimtestaat[[#This Row],[uren / jaar weekend]]+Ruimtestaat[[#This Row],[uren / jaar werkdagen]]</f>
        <v>0</v>
      </c>
      <c r="AG722" s="69">
        <f>Ruimtestaat[[#This Row],[kosten / jaar weekend]]+Ruimtestaat[[#This Row],[kosten / jaar werkdagen]]</f>
        <v>0</v>
      </c>
      <c r="AH722" s="69"/>
      <c r="AI722" s="256" t="str">
        <f>IF(Ruimtestaat[[#This Row],[Frequentie werkdagen]]="","",_xlfn.CONCAT(Ruimtestaat[[#This Row],[Ruimte code]],"-",Ruimtestaat[[#This Row],[Frequentie werkdagen]]," ",Ruimtestaat[[#This Row],[Vloer code]]))</f>
        <v>2-3w T</v>
      </c>
      <c r="AJ722" s="300" t="str">
        <f>_xlfn.IFNA(VLOOKUP($AI722,Programma!$F$3:$G$1107,2,0),"")</f>
        <v>2w</v>
      </c>
      <c r="AK722" s="300" t="str">
        <f>_xlfn.IFNA(VLOOKUP($AI722,Programma!$F$3:$H$1107,3,0),"")</f>
        <v>1w</v>
      </c>
      <c r="AL722" s="300" t="str">
        <f>_xlfn.IFNA(VLOOKUP($AI722,Programma!$F$3:$I$1107,4,0),"")</f>
        <v>_</v>
      </c>
      <c r="AM722" s="300" t="str">
        <f>_xlfn.IFNA(VLOOKUP($AI722,Programma!$F$3:$J$1107,5,0),"")</f>
        <v>_</v>
      </c>
      <c r="AN722" s="300" t="str">
        <f>_xlfn.IFNA(VLOOKUP($AI722,Programma!$F$3:$K$1107,6,0),"")</f>
        <v>_</v>
      </c>
      <c r="AO722" s="300" t="str">
        <f>_xlfn.IFNA(VLOOKUP($AI722,Programma!$F$3:$L$1107,7,0),"")</f>
        <v>_</v>
      </c>
      <c r="AP722" s="300" t="str">
        <f>_xlfn.IFNA(VLOOKUP($AI722,Programma!$F$3:$M$1107,8,0),"")</f>
        <v>_</v>
      </c>
      <c r="AQ722" s="300" t="str">
        <f>_xlfn.IFNA(VLOOKUP($AI722,Programma!$F$3:$N$1107,9,0),"")</f>
        <v>_</v>
      </c>
      <c r="AR722" s="300" t="str">
        <f>_xlfn.IFNA(VLOOKUP($AI722,Programma!$F$3:$O$1107,10,0),"")</f>
        <v>3w</v>
      </c>
      <c r="AS722" s="300" t="str">
        <f>_xlfn.IFNA(VLOOKUP($AI722,Programma!$F$3:$P$1107,11,0),"")</f>
        <v>3w</v>
      </c>
      <c r="AT722" s="300" t="str">
        <f>_xlfn.IFNA(VLOOKUP($AI722,Programma!$F$3:$Q$1107,12,0),"")</f>
        <v>1w</v>
      </c>
      <c r="AU722" s="300" t="str">
        <f>_xlfn.IFNA(VLOOKUP($AI722,Programma!$F$3:$R$1107,13,0),"")</f>
        <v>1w</v>
      </c>
      <c r="AV722" s="300" t="str">
        <f>_xlfn.IFNA(VLOOKUP($AI722,Programma!$F$3:$S$1107,14,0),"")</f>
        <v>1m</v>
      </c>
      <c r="AW722" s="300" t="str">
        <f>_xlfn.IFNA(VLOOKUP($AI722,Programma!$F$3:$T$1107,15,0),"")</f>
        <v>2j</v>
      </c>
      <c r="AX722" s="300" t="str">
        <f>_xlfn.IFNA(VLOOKUP($AI722,Programma!$F$3:$U$1107,16,0),"")</f>
        <v>1j</v>
      </c>
      <c r="AY722" s="300" t="str">
        <f>_xlfn.IFNA(VLOOKUP($AI722,Programma!$F$3:$V$1107,17,0),"")</f>
        <v>_</v>
      </c>
      <c r="AZ722" s="300" t="str">
        <f>_xlfn.IFNA(VLOOKUP($AI722,Programma!$F$3:$W$1107,18,0),"")</f>
        <v>_</v>
      </c>
      <c r="BA722" s="300" t="str">
        <f>_xlfn.IFNA(VLOOKUP($AI722,Programma!$F$3:$X$1107,19,0),"")</f>
        <v>_</v>
      </c>
      <c r="BB722" s="300" t="str">
        <f>_xlfn.IFNA(VLOOKUP($AI722,Programma!$F$3:$Y$1107,20,0),"")</f>
        <v>_</v>
      </c>
      <c r="BC722" s="257"/>
      <c r="BD722" s="256" t="str">
        <f>IF(Ruimtestaat[[#This Row],[Frequentie weekend]]="","",_xlfn.CONCAT(Ruimtestaat[[#This Row],[Ruimte code]],"-",Ruimtestaat[[#This Row],[Frequentie weekend]]," ",Ruimtestaat[[#This Row],[Vloer code]]))</f>
        <v/>
      </c>
      <c r="BE722" s="300" t="str">
        <f>_xlfn.IFNA(VLOOKUP($BD722,Programma!$F$3:$G$1107,2,0),"")</f>
        <v/>
      </c>
      <c r="BF722" s="300" t="str">
        <f>_xlfn.IFNA(VLOOKUP($BD722,Programma!$F$3:$H$1107,3,0),"")</f>
        <v/>
      </c>
      <c r="BG722" s="300" t="str">
        <f>_xlfn.IFNA(VLOOKUP($BD722,Programma!$F$3:$I$1107,4,0),"")</f>
        <v/>
      </c>
      <c r="BH722" s="300" t="str">
        <f>_xlfn.IFNA(VLOOKUP($BD722,Programma!$F$3:$J$1107,5,0),"")</f>
        <v/>
      </c>
      <c r="BI722" s="300" t="str">
        <f>_xlfn.IFNA(VLOOKUP($BD722,Programma!$F$3:$K$1107,6,0),"")</f>
        <v/>
      </c>
      <c r="BJ722" s="300" t="str">
        <f>_xlfn.IFNA(VLOOKUP($BD722,Programma!$F$3:$L$1107,7,0),"")</f>
        <v/>
      </c>
      <c r="BK722" s="300" t="str">
        <f>_xlfn.IFNA(VLOOKUP($BD722,Programma!$F$3:$M$1107,8,0),"")</f>
        <v/>
      </c>
      <c r="BL722" s="300" t="str">
        <f>_xlfn.IFNA(VLOOKUP($BD722,Programma!$F$3:$N$1107,9,0),"")</f>
        <v/>
      </c>
      <c r="BM722" s="300" t="str">
        <f>_xlfn.IFNA(VLOOKUP($BD722,Programma!$F$3:$O$1107,10,0),"")</f>
        <v/>
      </c>
      <c r="BN722" s="300" t="str">
        <f>_xlfn.IFNA(VLOOKUP($BD722,Programma!$F$3:$P$1107,11,0),"")</f>
        <v/>
      </c>
      <c r="BO722" s="300" t="str">
        <f>_xlfn.IFNA(VLOOKUP($BD722,Programma!$F$3:$Q$1107,12,0),"")</f>
        <v/>
      </c>
      <c r="BP722" s="300" t="str">
        <f>_xlfn.IFNA(VLOOKUP($BD722,Programma!$F$3:$R$1107,13,0),"")</f>
        <v/>
      </c>
      <c r="BQ722" s="300" t="str">
        <f>_xlfn.IFNA(VLOOKUP($BD722,Programma!$F$3:$S$1107,14,0),"")</f>
        <v/>
      </c>
      <c r="BR722" s="300" t="str">
        <f>_xlfn.IFNA(VLOOKUP($BD722,Programma!$F$3:$T$1107,15,0),"")</f>
        <v/>
      </c>
      <c r="BS722" s="300" t="str">
        <f>_xlfn.IFNA(VLOOKUP($BD722,Programma!$F$3:$U$1107,16,0),"")</f>
        <v/>
      </c>
      <c r="BT722" s="300" t="str">
        <f>_xlfn.IFNA(VLOOKUP($BD722,Programma!$F$3:$V$1107,17,0),"")</f>
        <v/>
      </c>
      <c r="BU722" s="300" t="str">
        <f>_xlfn.IFNA(VLOOKUP($BD722,Programma!$F$3:$W$1107,18,0),"")</f>
        <v/>
      </c>
      <c r="BV722" s="300" t="str">
        <f>_xlfn.IFNA(VLOOKUP($BD722,Programma!$F$3:$X$1107,19,0),"")</f>
        <v/>
      </c>
      <c r="BW722" s="300" t="str">
        <f>_xlfn.IFNA(VLOOKUP($BD722,Programma!$F$3:$Y$1107,20,0),"")</f>
        <v/>
      </c>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c r="GK722" s="4"/>
      <c r="GL722" s="4"/>
      <c r="GM722" s="4"/>
      <c r="GN722" s="4"/>
      <c r="GO722" s="4"/>
      <c r="GP722" s="4"/>
      <c r="GQ722" s="4"/>
      <c r="GR722" s="4"/>
      <c r="GS722" s="4"/>
      <c r="GT722" s="4"/>
      <c r="GU722" s="4"/>
      <c r="GV722" s="4"/>
      <c r="GW722" s="4"/>
      <c r="GX722" s="4"/>
      <c r="GY722" s="4"/>
      <c r="GZ722" s="4"/>
      <c r="HA722" s="4"/>
      <c r="HB722" s="4"/>
      <c r="HC722" s="4"/>
      <c r="HD722" s="4"/>
      <c r="HE722" s="4"/>
      <c r="HF722" s="4"/>
      <c r="HG722" s="4"/>
      <c r="HH722" s="4"/>
      <c r="HI722" s="4"/>
      <c r="HJ722" s="4"/>
      <c r="HK722" s="4"/>
      <c r="HL722" s="4"/>
    </row>
    <row r="723" spans="1:220" ht="15" customHeight="1">
      <c r="A723" s="21">
        <v>8</v>
      </c>
      <c r="B723" s="157" t="str">
        <f>VLOOKUP(Ruimtestaat[[#This Row],[Code]],Locaties[[Code]:[Locatie]],2,FALSE)</f>
        <v>Dalton College</v>
      </c>
      <c r="C723" s="157" t="str">
        <f>VLOOKUP(Ruimtestaat[[#This Row],[Code]],Locaties[[#All],[Code]:[Adres]],4,FALSE)</f>
        <v>Loolaan 125</v>
      </c>
      <c r="D723" s="157" t="str">
        <f>VLOOKUP(Ruimtestaat[[#This Row],[Code]],Locaties[[#All],[Code]:[Postcode]],5,FALSE)</f>
        <v xml:space="preserve">2271 TM </v>
      </c>
      <c r="E723" s="157" t="str">
        <f>VLOOKUP(Ruimtestaat[[#This Row],[Code]],Locaties[#All],6,FALSE)</f>
        <v>Voorburg</v>
      </c>
      <c r="F723" s="62"/>
      <c r="G723" s="21" t="s">
        <v>1632</v>
      </c>
      <c r="H723" s="21">
        <v>60</v>
      </c>
      <c r="I723" s="62" t="s">
        <v>1625</v>
      </c>
      <c r="J723" s="21">
        <v>6</v>
      </c>
      <c r="K723" s="62" t="str">
        <f>VLOOKUP(Ruimtestaat[[#This Row],[Ruimte code]],Ruimtegroepen[[#All],[Code]:[Ruimte omschrijving]],2,FALSE)</f>
        <v>Gangen/hallen</v>
      </c>
      <c r="L723" s="33" t="s">
        <v>101</v>
      </c>
      <c r="M723" s="367" t="s">
        <v>2495</v>
      </c>
      <c r="N723" s="140">
        <v>42</v>
      </c>
      <c r="O723" s="140"/>
      <c r="P723" s="125" t="str">
        <f>VLOOKUP(Ruimtestaat[[#This Row],[Ruimte code]],Ruimtegroepen[],4,FALSE)</f>
        <v>Ve</v>
      </c>
      <c r="R723" s="33">
        <v>40</v>
      </c>
      <c r="S723" s="33" t="s">
        <v>2</v>
      </c>
      <c r="T723" s="33">
        <f>IF(R723&gt;0,IF(RIGHT(Ruimtestaat[[#This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23" s="33">
        <f>IF(T723&gt;0,VLOOKUP($J723,Ruimtegroepen[],3,FALSE)*VLOOKUP($L723,Vloersoorten[],3,FALSE)*VLOOKUP($S723,Frequenties[],3,FALSE)*VLOOKUP($A723,Locaties[],3,FALSE),0)</f>
        <v>0</v>
      </c>
      <c r="V723" s="33">
        <f>Ruimtestaat[[#This Row],[Uitvoeringen werkdagen]]*Ruimtestaat[[#This Row],[Oppervlak (netto)]]</f>
        <v>8400</v>
      </c>
      <c r="W723" s="154">
        <f>IF(U723&gt;0,Ruimtestaat[[#This Row],[Prest. (m2 /jaar) werkdagen]]/Ruimtestaat[[#This Row],[Norm (m2/uur) werkdagen]],0)</f>
        <v>0</v>
      </c>
      <c r="X723" s="155">
        <f>Ruimtestaat[[#This Row],[uren / jaar werkdagen]]*Tariefsopbouw!$E$35</f>
        <v>0</v>
      </c>
      <c r="Y723" s="33"/>
      <c r="Z723" s="33">
        <f>IF(Ruimtestaat[[#This Row],[Frequentie weekend]]&gt;0,VALUE(LEFT(Y723,1))*R723,0)</f>
        <v>0</v>
      </c>
      <c r="AA723" s="97">
        <f>IF($Z723&gt;0,VLOOKUP($J723,Ruimtegroepen[],3,FALSE)*VLOOKUP($L723,Vloersoorten[],3,FALSE)*VLOOKUP($Y723,Frequenties[],3,FALSE)*VLOOKUP(Ruimtestaat[[#This Row],[Code]],Locaties[],3,FALSE),0)</f>
        <v>0</v>
      </c>
      <c r="AB723" s="97">
        <f>Ruimtestaat[[#This Row],[Uitvoeringen weekend]]*Ruimtestaat[[#This Row],[Oppervlak (netto)]]</f>
        <v>0</v>
      </c>
      <c r="AC723" s="97">
        <f>IF(AA723&gt;0,Ruimtestaat[[#This Row],[Prest. (m2 /jaar) weekend]]/Ruimtestaat[[#This Row],[Norm (m2/uur) weekend]],0)</f>
        <v>0</v>
      </c>
      <c r="AD723" s="155">
        <f>Ruimtestaat[[#This Row],[uren / jaar weekend]]*Tariefsopbouw!$D$40</f>
        <v>0</v>
      </c>
      <c r="AE723" s="154">
        <f>Ruimtestaat[[#This Row],[Prest. (m2 /jaar) weekend]]+Ruimtestaat[[#This Row],[Prest. (m2 /jaar) werkdagen]]</f>
        <v>8400</v>
      </c>
      <c r="AF723" s="154">
        <f>Ruimtestaat[[#This Row],[uren / jaar weekend]]+Ruimtestaat[[#This Row],[uren / jaar werkdagen]]</f>
        <v>0</v>
      </c>
      <c r="AG723" s="69">
        <f>Ruimtestaat[[#This Row],[kosten / jaar weekend]]+Ruimtestaat[[#This Row],[kosten / jaar werkdagen]]</f>
        <v>0</v>
      </c>
      <c r="AH723" s="69"/>
      <c r="AI723" s="256" t="str">
        <f>IF(Ruimtestaat[[#This Row],[Frequentie werkdagen]]="","",_xlfn.CONCAT(Ruimtestaat[[#This Row],[Ruimte code]],"-",Ruimtestaat[[#This Row],[Frequentie werkdagen]]," ",Ruimtestaat[[#This Row],[Vloer code]]))</f>
        <v>6-5w L</v>
      </c>
      <c r="AJ723" s="300" t="str">
        <f>_xlfn.IFNA(VLOOKUP($AI723,Programma!$F$3:$G$1107,2,0),"")</f>
        <v>_</v>
      </c>
      <c r="AK723" s="300" t="str">
        <f>_xlfn.IFNA(VLOOKUP($AI723,Programma!$F$3:$H$1107,3,0),"")</f>
        <v>_</v>
      </c>
      <c r="AL723" s="300" t="str">
        <f>_xlfn.IFNA(VLOOKUP($AI723,Programma!$F$3:$I$1107,4,0),"")</f>
        <v>_</v>
      </c>
      <c r="AM723" s="300" t="str">
        <f>_xlfn.IFNA(VLOOKUP($AI723,Programma!$F$3:$J$1107,5,0),"")</f>
        <v>5w</v>
      </c>
      <c r="AN723" s="300" t="str">
        <f>_xlfn.IFNA(VLOOKUP($AI723,Programma!$F$3:$K$1107,6,0),"")</f>
        <v>_</v>
      </c>
      <c r="AO723" s="300" t="str">
        <f>_xlfn.IFNA(VLOOKUP($AI723,Programma!$F$3:$L$1107,7,0),"")</f>
        <v>_</v>
      </c>
      <c r="AP723" s="300" t="str">
        <f>_xlfn.IFNA(VLOOKUP($AI723,Programma!$F$3:$M$1107,8,0),"")</f>
        <v>_</v>
      </c>
      <c r="AQ723" s="300" t="str">
        <f>_xlfn.IFNA(VLOOKUP($AI723,Programma!$F$3:$N$1107,9,0),"")</f>
        <v>_</v>
      </c>
      <c r="AR723" s="300" t="str">
        <f>_xlfn.IFNA(VLOOKUP($AI723,Programma!$F$3:$O$1107,10,0),"")</f>
        <v>5w</v>
      </c>
      <c r="AS723" s="300" t="str">
        <f>_xlfn.IFNA(VLOOKUP($AI723,Programma!$F$3:$P$1107,11,0),"")</f>
        <v>5w</v>
      </c>
      <c r="AT723" s="300" t="str">
        <f>_xlfn.IFNA(VLOOKUP($AI723,Programma!$F$3:$Q$1107,12,0),"")</f>
        <v>1w</v>
      </c>
      <c r="AU723" s="300" t="str">
        <f>_xlfn.IFNA(VLOOKUP($AI723,Programma!$F$3:$R$1107,13,0),"")</f>
        <v>1w</v>
      </c>
      <c r="AV723" s="300" t="str">
        <f>_xlfn.IFNA(VLOOKUP($AI723,Programma!$F$3:$S$1107,14,0),"")</f>
        <v>1m</v>
      </c>
      <c r="AW723" s="300" t="str">
        <f>_xlfn.IFNA(VLOOKUP($AI723,Programma!$F$3:$T$1107,15,0),"")</f>
        <v>2j</v>
      </c>
      <c r="AX723" s="300" t="str">
        <f>_xlfn.IFNA(VLOOKUP($AI723,Programma!$F$3:$U$1107,16,0),"")</f>
        <v>1j</v>
      </c>
      <c r="AY723" s="300" t="str">
        <f>_xlfn.IFNA(VLOOKUP($AI723,Programma!$F$3:$V$1107,17,0),"")</f>
        <v>_</v>
      </c>
      <c r="AZ723" s="300" t="str">
        <f>_xlfn.IFNA(VLOOKUP($AI723,Programma!$F$3:$W$1107,18,0),"")</f>
        <v>_</v>
      </c>
      <c r="BA723" s="300" t="str">
        <f>_xlfn.IFNA(VLOOKUP($AI723,Programma!$F$3:$X$1107,19,0),"")</f>
        <v>_</v>
      </c>
      <c r="BB723" s="300" t="str">
        <f>_xlfn.IFNA(VLOOKUP($AI723,Programma!$F$3:$Y$1107,20,0),"")</f>
        <v>_</v>
      </c>
      <c r="BC723" s="257"/>
      <c r="BD723" s="256" t="str">
        <f>IF(Ruimtestaat[[#This Row],[Frequentie weekend]]="","",_xlfn.CONCAT(Ruimtestaat[[#This Row],[Ruimte code]],"-",Ruimtestaat[[#This Row],[Frequentie weekend]]," ",Ruimtestaat[[#This Row],[Vloer code]]))</f>
        <v/>
      </c>
      <c r="BE723" s="300" t="str">
        <f>_xlfn.IFNA(VLOOKUP($BD723,Programma!$F$3:$G$1107,2,0),"")</f>
        <v/>
      </c>
      <c r="BF723" s="300" t="str">
        <f>_xlfn.IFNA(VLOOKUP($BD723,Programma!$F$3:$H$1107,3,0),"")</f>
        <v/>
      </c>
      <c r="BG723" s="300" t="str">
        <f>_xlfn.IFNA(VLOOKUP($BD723,Programma!$F$3:$I$1107,4,0),"")</f>
        <v/>
      </c>
      <c r="BH723" s="300" t="str">
        <f>_xlfn.IFNA(VLOOKUP($BD723,Programma!$F$3:$J$1107,5,0),"")</f>
        <v/>
      </c>
      <c r="BI723" s="300" t="str">
        <f>_xlfn.IFNA(VLOOKUP($BD723,Programma!$F$3:$K$1107,6,0),"")</f>
        <v/>
      </c>
      <c r="BJ723" s="300" t="str">
        <f>_xlfn.IFNA(VLOOKUP($BD723,Programma!$F$3:$L$1107,7,0),"")</f>
        <v/>
      </c>
      <c r="BK723" s="300" t="str">
        <f>_xlfn.IFNA(VLOOKUP($BD723,Programma!$F$3:$M$1107,8,0),"")</f>
        <v/>
      </c>
      <c r="BL723" s="300" t="str">
        <f>_xlfn.IFNA(VLOOKUP($BD723,Programma!$F$3:$N$1107,9,0),"")</f>
        <v/>
      </c>
      <c r="BM723" s="300" t="str">
        <f>_xlfn.IFNA(VLOOKUP($BD723,Programma!$F$3:$O$1107,10,0),"")</f>
        <v/>
      </c>
      <c r="BN723" s="300" t="str">
        <f>_xlfn.IFNA(VLOOKUP($BD723,Programma!$F$3:$P$1107,11,0),"")</f>
        <v/>
      </c>
      <c r="BO723" s="300" t="str">
        <f>_xlfn.IFNA(VLOOKUP($BD723,Programma!$F$3:$Q$1107,12,0),"")</f>
        <v/>
      </c>
      <c r="BP723" s="300" t="str">
        <f>_xlfn.IFNA(VLOOKUP($BD723,Programma!$F$3:$R$1107,13,0),"")</f>
        <v/>
      </c>
      <c r="BQ723" s="300" t="str">
        <f>_xlfn.IFNA(VLOOKUP($BD723,Programma!$F$3:$S$1107,14,0),"")</f>
        <v/>
      </c>
      <c r="BR723" s="300" t="str">
        <f>_xlfn.IFNA(VLOOKUP($BD723,Programma!$F$3:$T$1107,15,0),"")</f>
        <v/>
      </c>
      <c r="BS723" s="300" t="str">
        <f>_xlfn.IFNA(VLOOKUP($BD723,Programma!$F$3:$U$1107,16,0),"")</f>
        <v/>
      </c>
      <c r="BT723" s="300" t="str">
        <f>_xlfn.IFNA(VLOOKUP($BD723,Programma!$F$3:$V$1107,17,0),"")</f>
        <v/>
      </c>
      <c r="BU723" s="300" t="str">
        <f>_xlfn.IFNA(VLOOKUP($BD723,Programma!$F$3:$W$1107,18,0),"")</f>
        <v/>
      </c>
      <c r="BV723" s="300" t="str">
        <f>_xlfn.IFNA(VLOOKUP($BD723,Programma!$F$3:$X$1107,19,0),"")</f>
        <v/>
      </c>
      <c r="BW723" s="300" t="str">
        <f>_xlfn.IFNA(VLOOKUP($BD723,Programma!$F$3:$Y$1107,20,0),"")</f>
        <v/>
      </c>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c r="GK723" s="4"/>
      <c r="GL723" s="4"/>
      <c r="GM723" s="4"/>
      <c r="GN723" s="4"/>
      <c r="GO723" s="4"/>
      <c r="GP723" s="4"/>
      <c r="GQ723" s="4"/>
      <c r="GR723" s="4"/>
      <c r="GS723" s="4"/>
      <c r="GT723" s="4"/>
      <c r="GU723" s="4"/>
      <c r="GV723" s="4"/>
      <c r="GW723" s="4"/>
      <c r="GX723" s="4"/>
      <c r="GY723" s="4"/>
      <c r="GZ723" s="4"/>
      <c r="HA723" s="4"/>
      <c r="HB723" s="4"/>
      <c r="HC723" s="4"/>
      <c r="HD723" s="4"/>
      <c r="HE723" s="4"/>
      <c r="HF723" s="4"/>
      <c r="HG723" s="4"/>
      <c r="HH723" s="4"/>
      <c r="HI723" s="4"/>
      <c r="HJ723" s="4"/>
      <c r="HK723" s="4"/>
      <c r="HL723" s="4"/>
    </row>
    <row r="724" spans="1:220" ht="15" customHeight="1">
      <c r="A724" s="21">
        <v>8</v>
      </c>
      <c r="B724" s="157" t="str">
        <f>VLOOKUP(Ruimtestaat[[#This Row],[Code]],Locaties[[Code]:[Locatie]],2,FALSE)</f>
        <v>Dalton College</v>
      </c>
      <c r="C724" s="157" t="str">
        <f>VLOOKUP(Ruimtestaat[[#This Row],[Code]],Locaties[[#All],[Code]:[Adres]],4,FALSE)</f>
        <v>Loolaan 125</v>
      </c>
      <c r="D724" s="157" t="str">
        <f>VLOOKUP(Ruimtestaat[[#This Row],[Code]],Locaties[[#All],[Code]:[Postcode]],5,FALSE)</f>
        <v xml:space="preserve">2271 TM </v>
      </c>
      <c r="E724" s="157" t="str">
        <f>VLOOKUP(Ruimtestaat[[#This Row],[Code]],Locaties[#All],6,FALSE)</f>
        <v>Voorburg</v>
      </c>
      <c r="F724" s="62"/>
      <c r="G724" s="21" t="s">
        <v>1632</v>
      </c>
      <c r="H724" s="21">
        <v>61</v>
      </c>
      <c r="I724" s="62" t="s">
        <v>2223</v>
      </c>
      <c r="J724" s="21">
        <v>10</v>
      </c>
      <c r="K724" s="62" t="str">
        <f>VLOOKUP(Ruimtestaat[[#This Row],[Ruimte code]],Ruimtegroepen[[#All],[Code]:[Ruimte omschrijving]],2,FALSE)</f>
        <v>Trappenhuizen/lift</v>
      </c>
      <c r="L724" s="33" t="s">
        <v>102</v>
      </c>
      <c r="M724" s="367" t="s">
        <v>2509</v>
      </c>
      <c r="N724" s="140">
        <v>8</v>
      </c>
      <c r="O724" s="140"/>
      <c r="P724" s="125" t="str">
        <f>VLOOKUP(Ruimtestaat[[#This Row],[Ruimte code]],Ruimtegroepen[],4,FALSE)</f>
        <v>Ve</v>
      </c>
      <c r="R724" s="33">
        <v>40</v>
      </c>
      <c r="S724" s="33" t="s">
        <v>2</v>
      </c>
      <c r="T724" s="33">
        <f>IF(R724&gt;0,IF(RIGHT(Ruimtestaat[[#This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24" s="33">
        <f>IF(T724&gt;0,VLOOKUP($J724,Ruimtegroepen[],3,FALSE)*VLOOKUP($L724,Vloersoorten[],3,FALSE)*VLOOKUP($S724,Frequenties[],3,FALSE)*VLOOKUP($A724,Locaties[],3,FALSE),0)</f>
        <v>0</v>
      </c>
      <c r="V724" s="33">
        <f>Ruimtestaat[[#This Row],[Uitvoeringen werkdagen]]*Ruimtestaat[[#This Row],[Oppervlak (netto)]]</f>
        <v>1600</v>
      </c>
      <c r="W724" s="154">
        <f>IF(U724&gt;0,Ruimtestaat[[#This Row],[Prest. (m2 /jaar) werkdagen]]/Ruimtestaat[[#This Row],[Norm (m2/uur) werkdagen]],0)</f>
        <v>0</v>
      </c>
      <c r="X724" s="155">
        <f>Ruimtestaat[[#This Row],[uren / jaar werkdagen]]*Tariefsopbouw!$E$35</f>
        <v>0</v>
      </c>
      <c r="Y724" s="33"/>
      <c r="Z724" s="33">
        <f>IF(Ruimtestaat[[#This Row],[Frequentie weekend]]&gt;0,VALUE(LEFT(Y724,1))*R724,0)</f>
        <v>0</v>
      </c>
      <c r="AA724" s="97">
        <f>IF($Z724&gt;0,VLOOKUP($J724,Ruimtegroepen[],3,FALSE)*VLOOKUP($L724,Vloersoorten[],3,FALSE)*VLOOKUP($Y724,Frequenties[],3,FALSE)*VLOOKUP(Ruimtestaat[[#This Row],[Code]],Locaties[],3,FALSE),0)</f>
        <v>0</v>
      </c>
      <c r="AB724" s="97">
        <f>Ruimtestaat[[#This Row],[Uitvoeringen weekend]]*Ruimtestaat[[#This Row],[Oppervlak (netto)]]</f>
        <v>0</v>
      </c>
      <c r="AC724" s="97">
        <f>IF(AA724&gt;0,Ruimtestaat[[#This Row],[Prest. (m2 /jaar) weekend]]/Ruimtestaat[[#This Row],[Norm (m2/uur) weekend]],0)</f>
        <v>0</v>
      </c>
      <c r="AD724" s="155">
        <f>Ruimtestaat[[#This Row],[uren / jaar weekend]]*Tariefsopbouw!$D$40</f>
        <v>0</v>
      </c>
      <c r="AE724" s="154">
        <f>Ruimtestaat[[#This Row],[Prest. (m2 /jaar) weekend]]+Ruimtestaat[[#This Row],[Prest. (m2 /jaar) werkdagen]]</f>
        <v>1600</v>
      </c>
      <c r="AF724" s="154">
        <f>Ruimtestaat[[#This Row],[uren / jaar weekend]]+Ruimtestaat[[#This Row],[uren / jaar werkdagen]]</f>
        <v>0</v>
      </c>
      <c r="AG724" s="69">
        <f>Ruimtestaat[[#This Row],[kosten / jaar weekend]]+Ruimtestaat[[#This Row],[kosten / jaar werkdagen]]</f>
        <v>0</v>
      </c>
      <c r="AH724" s="69"/>
      <c r="AI724" s="256" t="str">
        <f>IF(Ruimtestaat[[#This Row],[Frequentie werkdagen]]="","",_xlfn.CONCAT(Ruimtestaat[[#This Row],[Ruimte code]],"-",Ruimtestaat[[#This Row],[Frequentie werkdagen]]," ",Ruimtestaat[[#This Row],[Vloer code]]))</f>
        <v>10-5w S</v>
      </c>
      <c r="AJ724" s="300" t="str">
        <f>_xlfn.IFNA(VLOOKUP($AI724,Programma!$F$3:$G$1107,2,0),"")</f>
        <v>_</v>
      </c>
      <c r="AK724" s="300" t="str">
        <f>_xlfn.IFNA(VLOOKUP($AI724,Programma!$F$3:$H$1107,3,0),"")</f>
        <v>_</v>
      </c>
      <c r="AL724" s="300" t="str">
        <f>_xlfn.IFNA(VLOOKUP($AI724,Programma!$F$3:$I$1107,4,0),"")</f>
        <v>4w</v>
      </c>
      <c r="AM724" s="300" t="str">
        <f>_xlfn.IFNA(VLOOKUP($AI724,Programma!$F$3:$J$1107,5,0),"")</f>
        <v>1w</v>
      </c>
      <c r="AN724" s="300" t="str">
        <f>_xlfn.IFNA(VLOOKUP($AI724,Programma!$F$3:$K$1107,6,0),"")</f>
        <v>4j</v>
      </c>
      <c r="AO724" s="300" t="str">
        <f>_xlfn.IFNA(VLOOKUP($AI724,Programma!$F$3:$L$1107,7,0),"")</f>
        <v>_</v>
      </c>
      <c r="AP724" s="300" t="str">
        <f>_xlfn.IFNA(VLOOKUP($AI724,Programma!$F$3:$M$1107,8,0),"")</f>
        <v>_</v>
      </c>
      <c r="AQ724" s="300" t="str">
        <f>_xlfn.IFNA(VLOOKUP($AI724,Programma!$F$3:$N$1107,9,0),"")</f>
        <v>_</v>
      </c>
      <c r="AR724" s="300" t="str">
        <f>_xlfn.IFNA(VLOOKUP($AI724,Programma!$F$3:$O$1107,10,0),"")</f>
        <v>5w</v>
      </c>
      <c r="AS724" s="300" t="str">
        <f>_xlfn.IFNA(VLOOKUP($AI724,Programma!$F$3:$P$1107,11,0),"")</f>
        <v>5w</v>
      </c>
      <c r="AT724" s="300" t="str">
        <f>_xlfn.IFNA(VLOOKUP($AI724,Programma!$F$3:$Q$1107,12,0),"")</f>
        <v>1w</v>
      </c>
      <c r="AU724" s="300" t="str">
        <f>_xlfn.IFNA(VLOOKUP($AI724,Programma!$F$3:$R$1107,13,0),"")</f>
        <v>1w</v>
      </c>
      <c r="AV724" s="300" t="str">
        <f>_xlfn.IFNA(VLOOKUP($AI724,Programma!$F$3:$S$1107,14,0),"")</f>
        <v>1m</v>
      </c>
      <c r="AW724" s="300" t="str">
        <f>_xlfn.IFNA(VLOOKUP($AI724,Programma!$F$3:$T$1107,15,0),"")</f>
        <v>2j</v>
      </c>
      <c r="AX724" s="300" t="str">
        <f>_xlfn.IFNA(VLOOKUP($AI724,Programma!$F$3:$U$1107,16,0),"")</f>
        <v>1j</v>
      </c>
      <c r="AY724" s="300" t="str">
        <f>_xlfn.IFNA(VLOOKUP($AI724,Programma!$F$3:$V$1107,17,0),"")</f>
        <v>_</v>
      </c>
      <c r="AZ724" s="300" t="str">
        <f>_xlfn.IFNA(VLOOKUP($AI724,Programma!$F$3:$W$1107,18,0),"")</f>
        <v>_</v>
      </c>
      <c r="BA724" s="300" t="str">
        <f>_xlfn.IFNA(VLOOKUP($AI724,Programma!$F$3:$X$1107,19,0),"")</f>
        <v>_</v>
      </c>
      <c r="BB724" s="300" t="str">
        <f>_xlfn.IFNA(VLOOKUP($AI724,Programma!$F$3:$Y$1107,20,0),"")</f>
        <v>_</v>
      </c>
      <c r="BC724" s="257"/>
      <c r="BD724" s="256" t="str">
        <f>IF(Ruimtestaat[[#This Row],[Frequentie weekend]]="","",_xlfn.CONCAT(Ruimtestaat[[#This Row],[Ruimte code]],"-",Ruimtestaat[[#This Row],[Frequentie weekend]]," ",Ruimtestaat[[#This Row],[Vloer code]]))</f>
        <v/>
      </c>
      <c r="BE724" s="300" t="str">
        <f>_xlfn.IFNA(VLOOKUP($BD724,Programma!$F$3:$G$1107,2,0),"")</f>
        <v/>
      </c>
      <c r="BF724" s="300" t="str">
        <f>_xlfn.IFNA(VLOOKUP($BD724,Programma!$F$3:$H$1107,3,0),"")</f>
        <v/>
      </c>
      <c r="BG724" s="300" t="str">
        <f>_xlfn.IFNA(VLOOKUP($BD724,Programma!$F$3:$I$1107,4,0),"")</f>
        <v/>
      </c>
      <c r="BH724" s="300" t="str">
        <f>_xlfn.IFNA(VLOOKUP($BD724,Programma!$F$3:$J$1107,5,0),"")</f>
        <v/>
      </c>
      <c r="BI724" s="300" t="str">
        <f>_xlfn.IFNA(VLOOKUP($BD724,Programma!$F$3:$K$1107,6,0),"")</f>
        <v/>
      </c>
      <c r="BJ724" s="300" t="str">
        <f>_xlfn.IFNA(VLOOKUP($BD724,Programma!$F$3:$L$1107,7,0),"")</f>
        <v/>
      </c>
      <c r="BK724" s="300" t="str">
        <f>_xlfn.IFNA(VLOOKUP($BD724,Programma!$F$3:$M$1107,8,0),"")</f>
        <v/>
      </c>
      <c r="BL724" s="300" t="str">
        <f>_xlfn.IFNA(VLOOKUP($BD724,Programma!$F$3:$N$1107,9,0),"")</f>
        <v/>
      </c>
      <c r="BM724" s="300" t="str">
        <f>_xlfn.IFNA(VLOOKUP($BD724,Programma!$F$3:$O$1107,10,0),"")</f>
        <v/>
      </c>
      <c r="BN724" s="300" t="str">
        <f>_xlfn.IFNA(VLOOKUP($BD724,Programma!$F$3:$P$1107,11,0),"")</f>
        <v/>
      </c>
      <c r="BO724" s="300" t="str">
        <f>_xlfn.IFNA(VLOOKUP($BD724,Programma!$F$3:$Q$1107,12,0),"")</f>
        <v/>
      </c>
      <c r="BP724" s="300" t="str">
        <f>_xlfn.IFNA(VLOOKUP($BD724,Programma!$F$3:$R$1107,13,0),"")</f>
        <v/>
      </c>
      <c r="BQ724" s="300" t="str">
        <f>_xlfn.IFNA(VLOOKUP($BD724,Programma!$F$3:$S$1107,14,0),"")</f>
        <v/>
      </c>
      <c r="BR724" s="300" t="str">
        <f>_xlfn.IFNA(VLOOKUP($BD724,Programma!$F$3:$T$1107,15,0),"")</f>
        <v/>
      </c>
      <c r="BS724" s="300" t="str">
        <f>_xlfn.IFNA(VLOOKUP($BD724,Programma!$F$3:$U$1107,16,0),"")</f>
        <v/>
      </c>
      <c r="BT724" s="300" t="str">
        <f>_xlfn.IFNA(VLOOKUP($BD724,Programma!$F$3:$V$1107,17,0),"")</f>
        <v/>
      </c>
      <c r="BU724" s="300" t="str">
        <f>_xlfn.IFNA(VLOOKUP($BD724,Programma!$F$3:$W$1107,18,0),"")</f>
        <v/>
      </c>
      <c r="BV724" s="300" t="str">
        <f>_xlfn.IFNA(VLOOKUP($BD724,Programma!$F$3:$X$1107,19,0),"")</f>
        <v/>
      </c>
      <c r="BW724" s="300" t="str">
        <f>_xlfn.IFNA(VLOOKUP($BD724,Programma!$F$3:$Y$1107,20,0),"")</f>
        <v/>
      </c>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c r="GK724" s="4"/>
      <c r="GL724" s="4"/>
      <c r="GM724" s="4"/>
      <c r="GN724" s="4"/>
      <c r="GO724" s="4"/>
      <c r="GP724" s="4"/>
      <c r="GQ724" s="4"/>
      <c r="GR724" s="4"/>
      <c r="GS724" s="4"/>
      <c r="GT724" s="4"/>
      <c r="GU724" s="4"/>
      <c r="GV724" s="4"/>
      <c r="GW724" s="4"/>
      <c r="GX724" s="4"/>
      <c r="GY724" s="4"/>
      <c r="GZ724" s="4"/>
      <c r="HA724" s="4"/>
      <c r="HB724" s="4"/>
      <c r="HC724" s="4"/>
      <c r="HD724" s="4"/>
      <c r="HE724" s="4"/>
      <c r="HF724" s="4"/>
      <c r="HG724" s="4"/>
      <c r="HH724" s="4"/>
      <c r="HI724" s="4"/>
      <c r="HJ724" s="4"/>
      <c r="HK724" s="4"/>
      <c r="HL724" s="4"/>
    </row>
    <row r="725" spans="1:220" ht="15" customHeight="1">
      <c r="A725" s="21">
        <v>8</v>
      </c>
      <c r="B725" s="157" t="str">
        <f>VLOOKUP(Ruimtestaat[[#This Row],[Code]],Locaties[[Code]:[Locatie]],2,FALSE)</f>
        <v>Dalton College</v>
      </c>
      <c r="C725" s="157" t="str">
        <f>VLOOKUP(Ruimtestaat[[#This Row],[Code]],Locaties[[#All],[Code]:[Adres]],4,FALSE)</f>
        <v>Loolaan 125</v>
      </c>
      <c r="D725" s="157" t="str">
        <f>VLOOKUP(Ruimtestaat[[#This Row],[Code]],Locaties[[#All],[Code]:[Postcode]],5,FALSE)</f>
        <v xml:space="preserve">2271 TM </v>
      </c>
      <c r="E725" s="157" t="str">
        <f>VLOOKUP(Ruimtestaat[[#This Row],[Code]],Locaties[#All],6,FALSE)</f>
        <v>Voorburg</v>
      </c>
      <c r="F725" s="62"/>
      <c r="G725" s="21" t="s">
        <v>1632</v>
      </c>
      <c r="H725" s="21">
        <v>62</v>
      </c>
      <c r="I725" s="62" t="s">
        <v>2224</v>
      </c>
      <c r="J725" s="21">
        <v>16</v>
      </c>
      <c r="K725" s="62" t="str">
        <f>VLOOKUP(Ruimtestaat[[#This Row],[Ruimte code]],Ruimtegroepen[[#All],[Code]:[Ruimte omschrijving]],2,FALSE)</f>
        <v>Leslokalen theorie</v>
      </c>
      <c r="L725" s="33" t="s">
        <v>101</v>
      </c>
      <c r="M725" s="367" t="s">
        <v>2495</v>
      </c>
      <c r="N725" s="140">
        <v>95</v>
      </c>
      <c r="O725" s="140"/>
      <c r="P725" s="125" t="str">
        <f>VLOOKUP(Ruimtestaat[[#This Row],[Ruimte code]],Ruimtegroepen[],4,FALSE)</f>
        <v>Le</v>
      </c>
      <c r="R725" s="33">
        <v>40</v>
      </c>
      <c r="S725" s="33" t="s">
        <v>2</v>
      </c>
      <c r="T725" s="33">
        <f>IF(R725&gt;0,IF(RIGHT(Ruimtestaat[[#This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25" s="33">
        <f>IF(T725&gt;0,VLOOKUP($J725,Ruimtegroepen[],3,FALSE)*VLOOKUP($L725,Vloersoorten[],3,FALSE)*VLOOKUP($S725,Frequenties[],3,FALSE)*VLOOKUP($A725,Locaties[],3,FALSE),0)</f>
        <v>0</v>
      </c>
      <c r="V725" s="33">
        <f>Ruimtestaat[[#This Row],[Uitvoeringen werkdagen]]*Ruimtestaat[[#This Row],[Oppervlak (netto)]]</f>
        <v>19000</v>
      </c>
      <c r="W725" s="154">
        <f>IF(U725&gt;0,Ruimtestaat[[#This Row],[Prest. (m2 /jaar) werkdagen]]/Ruimtestaat[[#This Row],[Norm (m2/uur) werkdagen]],0)</f>
        <v>0</v>
      </c>
      <c r="X725" s="155">
        <f>Ruimtestaat[[#This Row],[uren / jaar werkdagen]]*Tariefsopbouw!$E$35</f>
        <v>0</v>
      </c>
      <c r="Y725" s="33"/>
      <c r="Z725" s="33">
        <f>IF(Ruimtestaat[[#This Row],[Frequentie weekend]]&gt;0,VALUE(LEFT(Y725,1))*R725,0)</f>
        <v>0</v>
      </c>
      <c r="AA725" s="97">
        <f>IF($Z725&gt;0,VLOOKUP($J725,Ruimtegroepen[],3,FALSE)*VLOOKUP($L725,Vloersoorten[],3,FALSE)*VLOOKUP($Y725,Frequenties[],3,FALSE)*VLOOKUP(Ruimtestaat[[#This Row],[Code]],Locaties[],3,FALSE),0)</f>
        <v>0</v>
      </c>
      <c r="AB725" s="97">
        <f>Ruimtestaat[[#This Row],[Uitvoeringen weekend]]*Ruimtestaat[[#This Row],[Oppervlak (netto)]]</f>
        <v>0</v>
      </c>
      <c r="AC725" s="97">
        <f>IF(AA725&gt;0,Ruimtestaat[[#This Row],[Prest. (m2 /jaar) weekend]]/Ruimtestaat[[#This Row],[Norm (m2/uur) weekend]],0)</f>
        <v>0</v>
      </c>
      <c r="AD725" s="155">
        <f>Ruimtestaat[[#This Row],[uren / jaar weekend]]*Tariefsopbouw!$D$40</f>
        <v>0</v>
      </c>
      <c r="AE725" s="154">
        <f>Ruimtestaat[[#This Row],[Prest. (m2 /jaar) weekend]]+Ruimtestaat[[#This Row],[Prest. (m2 /jaar) werkdagen]]</f>
        <v>19000</v>
      </c>
      <c r="AF725" s="154">
        <f>Ruimtestaat[[#This Row],[uren / jaar weekend]]+Ruimtestaat[[#This Row],[uren / jaar werkdagen]]</f>
        <v>0</v>
      </c>
      <c r="AG725" s="69">
        <f>Ruimtestaat[[#This Row],[kosten / jaar weekend]]+Ruimtestaat[[#This Row],[kosten / jaar werkdagen]]</f>
        <v>0</v>
      </c>
      <c r="AH725" s="69"/>
      <c r="AI725" s="256" t="str">
        <f>IF(Ruimtestaat[[#This Row],[Frequentie werkdagen]]="","",_xlfn.CONCAT(Ruimtestaat[[#This Row],[Ruimte code]],"-",Ruimtestaat[[#This Row],[Frequentie werkdagen]]," ",Ruimtestaat[[#This Row],[Vloer code]]))</f>
        <v>16-5w L</v>
      </c>
      <c r="AJ725" s="300" t="str">
        <f>_xlfn.IFNA(VLOOKUP($AI725,Programma!$F$3:$G$1107,2,0),"")</f>
        <v>_</v>
      </c>
      <c r="AK725" s="300" t="str">
        <f>_xlfn.IFNA(VLOOKUP($AI725,Programma!$F$3:$H$1107,3,0),"")</f>
        <v>_</v>
      </c>
      <c r="AL725" s="300" t="str">
        <f>_xlfn.IFNA(VLOOKUP($AI725,Programma!$F$3:$I$1107,4,0),"")</f>
        <v>4w</v>
      </c>
      <c r="AM725" s="300" t="str">
        <f>_xlfn.IFNA(VLOOKUP($AI725,Programma!$F$3:$J$1107,5,0),"")</f>
        <v>1w</v>
      </c>
      <c r="AN725" s="300" t="str">
        <f>_xlfn.IFNA(VLOOKUP($AI725,Programma!$F$3:$K$1107,6,0),"")</f>
        <v>_</v>
      </c>
      <c r="AO725" s="300" t="str">
        <f>_xlfn.IFNA(VLOOKUP($AI725,Programma!$F$3:$L$1107,7,0),"")</f>
        <v>_</v>
      </c>
      <c r="AP725" s="300" t="str">
        <f>_xlfn.IFNA(VLOOKUP($AI725,Programma!$F$3:$M$1107,8,0),"")</f>
        <v>_</v>
      </c>
      <c r="AQ725" s="300" t="str">
        <f>_xlfn.IFNA(VLOOKUP($AI725,Programma!$F$3:$N$1107,9,0),"")</f>
        <v>_</v>
      </c>
      <c r="AR725" s="300" t="str">
        <f>_xlfn.IFNA(VLOOKUP($AI725,Programma!$F$3:$O$1107,10,0),"")</f>
        <v>5w</v>
      </c>
      <c r="AS725" s="300" t="str">
        <f>_xlfn.IFNA(VLOOKUP($AI725,Programma!$F$3:$P$1107,11,0),"")</f>
        <v>5w</v>
      </c>
      <c r="AT725" s="300" t="str">
        <f>_xlfn.IFNA(VLOOKUP($AI725,Programma!$F$3:$Q$1107,12,0),"")</f>
        <v>1w</v>
      </c>
      <c r="AU725" s="300" t="str">
        <f>_xlfn.IFNA(VLOOKUP($AI725,Programma!$F$3:$R$1107,13,0),"")</f>
        <v>1w</v>
      </c>
      <c r="AV725" s="300" t="str">
        <f>_xlfn.IFNA(VLOOKUP($AI725,Programma!$F$3:$S$1107,14,0),"")</f>
        <v>1m</v>
      </c>
      <c r="AW725" s="300" t="str">
        <f>_xlfn.IFNA(VLOOKUP($AI725,Programma!$F$3:$T$1107,15,0),"")</f>
        <v>2j</v>
      </c>
      <c r="AX725" s="300" t="str">
        <f>_xlfn.IFNA(VLOOKUP($AI725,Programma!$F$3:$U$1107,16,0),"")</f>
        <v>1j</v>
      </c>
      <c r="AY725" s="300" t="str">
        <f>_xlfn.IFNA(VLOOKUP($AI725,Programma!$F$3:$V$1107,17,0),"")</f>
        <v>_</v>
      </c>
      <c r="AZ725" s="300" t="str">
        <f>_xlfn.IFNA(VLOOKUP($AI725,Programma!$F$3:$W$1107,18,0),"")</f>
        <v>_</v>
      </c>
      <c r="BA725" s="300" t="str">
        <f>_xlfn.IFNA(VLOOKUP($AI725,Programma!$F$3:$X$1107,19,0),"")</f>
        <v>_</v>
      </c>
      <c r="BB725" s="300" t="str">
        <f>_xlfn.IFNA(VLOOKUP($AI725,Programma!$F$3:$Y$1107,20,0),"")</f>
        <v>_</v>
      </c>
      <c r="BC725" s="257"/>
      <c r="BD725" s="256" t="str">
        <f>IF(Ruimtestaat[[#This Row],[Frequentie weekend]]="","",_xlfn.CONCAT(Ruimtestaat[[#This Row],[Ruimte code]],"-",Ruimtestaat[[#This Row],[Frequentie weekend]]," ",Ruimtestaat[[#This Row],[Vloer code]]))</f>
        <v/>
      </c>
      <c r="BE725" s="300" t="str">
        <f>_xlfn.IFNA(VLOOKUP($BD725,Programma!$F$3:$G$1107,2,0),"")</f>
        <v/>
      </c>
      <c r="BF725" s="300" t="str">
        <f>_xlfn.IFNA(VLOOKUP($BD725,Programma!$F$3:$H$1107,3,0),"")</f>
        <v/>
      </c>
      <c r="BG725" s="300" t="str">
        <f>_xlfn.IFNA(VLOOKUP($BD725,Programma!$F$3:$I$1107,4,0),"")</f>
        <v/>
      </c>
      <c r="BH725" s="300" t="str">
        <f>_xlfn.IFNA(VLOOKUP($BD725,Programma!$F$3:$J$1107,5,0),"")</f>
        <v/>
      </c>
      <c r="BI725" s="300" t="str">
        <f>_xlfn.IFNA(VLOOKUP($BD725,Programma!$F$3:$K$1107,6,0),"")</f>
        <v/>
      </c>
      <c r="BJ725" s="300" t="str">
        <f>_xlfn.IFNA(VLOOKUP($BD725,Programma!$F$3:$L$1107,7,0),"")</f>
        <v/>
      </c>
      <c r="BK725" s="300" t="str">
        <f>_xlfn.IFNA(VLOOKUP($BD725,Programma!$F$3:$M$1107,8,0),"")</f>
        <v/>
      </c>
      <c r="BL725" s="300" t="str">
        <f>_xlfn.IFNA(VLOOKUP($BD725,Programma!$F$3:$N$1107,9,0),"")</f>
        <v/>
      </c>
      <c r="BM725" s="300" t="str">
        <f>_xlfn.IFNA(VLOOKUP($BD725,Programma!$F$3:$O$1107,10,0),"")</f>
        <v/>
      </c>
      <c r="BN725" s="300" t="str">
        <f>_xlfn.IFNA(VLOOKUP($BD725,Programma!$F$3:$P$1107,11,0),"")</f>
        <v/>
      </c>
      <c r="BO725" s="300" t="str">
        <f>_xlfn.IFNA(VLOOKUP($BD725,Programma!$F$3:$Q$1107,12,0),"")</f>
        <v/>
      </c>
      <c r="BP725" s="300" t="str">
        <f>_xlfn.IFNA(VLOOKUP($BD725,Programma!$F$3:$R$1107,13,0),"")</f>
        <v/>
      </c>
      <c r="BQ725" s="300" t="str">
        <f>_xlfn.IFNA(VLOOKUP($BD725,Programma!$F$3:$S$1107,14,0),"")</f>
        <v/>
      </c>
      <c r="BR725" s="300" t="str">
        <f>_xlfn.IFNA(VLOOKUP($BD725,Programma!$F$3:$T$1107,15,0),"")</f>
        <v/>
      </c>
      <c r="BS725" s="300" t="str">
        <f>_xlfn.IFNA(VLOOKUP($BD725,Programma!$F$3:$U$1107,16,0),"")</f>
        <v/>
      </c>
      <c r="BT725" s="300" t="str">
        <f>_xlfn.IFNA(VLOOKUP($BD725,Programma!$F$3:$V$1107,17,0),"")</f>
        <v/>
      </c>
      <c r="BU725" s="300" t="str">
        <f>_xlfn.IFNA(VLOOKUP($BD725,Programma!$F$3:$W$1107,18,0),"")</f>
        <v/>
      </c>
      <c r="BV725" s="300" t="str">
        <f>_xlfn.IFNA(VLOOKUP($BD725,Programma!$F$3:$X$1107,19,0),"")</f>
        <v/>
      </c>
      <c r="BW725" s="300" t="str">
        <f>_xlfn.IFNA(VLOOKUP($BD725,Programma!$F$3:$Y$1107,20,0),"")</f>
        <v/>
      </c>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c r="GK725" s="4"/>
      <c r="GL725" s="4"/>
      <c r="GM725" s="4"/>
      <c r="GN725" s="4"/>
      <c r="GO725" s="4"/>
      <c r="GP725" s="4"/>
      <c r="GQ725" s="4"/>
      <c r="GR725" s="4"/>
      <c r="GS725" s="4"/>
      <c r="GT725" s="4"/>
      <c r="GU725" s="4"/>
      <c r="GV725" s="4"/>
      <c r="GW725" s="4"/>
      <c r="GX725" s="4"/>
      <c r="GY725" s="4"/>
      <c r="GZ725" s="4"/>
      <c r="HA725" s="4"/>
      <c r="HB725" s="4"/>
      <c r="HC725" s="4"/>
      <c r="HD725" s="4"/>
      <c r="HE725" s="4"/>
      <c r="HF725" s="4"/>
      <c r="HG725" s="4"/>
      <c r="HH725" s="4"/>
      <c r="HI725" s="4"/>
      <c r="HJ725" s="4"/>
      <c r="HK725" s="4"/>
      <c r="HL725" s="4"/>
    </row>
    <row r="726" spans="1:220" ht="15" customHeight="1">
      <c r="A726" s="21">
        <v>8</v>
      </c>
      <c r="B726" s="157" t="str">
        <f>VLOOKUP(Ruimtestaat[[#This Row],[Code]],Locaties[[Code]:[Locatie]],2,FALSE)</f>
        <v>Dalton College</v>
      </c>
      <c r="C726" s="157" t="str">
        <f>VLOOKUP(Ruimtestaat[[#This Row],[Code]],Locaties[[#All],[Code]:[Adres]],4,FALSE)</f>
        <v>Loolaan 125</v>
      </c>
      <c r="D726" s="157" t="str">
        <f>VLOOKUP(Ruimtestaat[[#This Row],[Code]],Locaties[[#All],[Code]:[Postcode]],5,FALSE)</f>
        <v xml:space="preserve">2271 TM </v>
      </c>
      <c r="E726" s="157" t="str">
        <f>VLOOKUP(Ruimtestaat[[#This Row],[Code]],Locaties[#All],6,FALSE)</f>
        <v>Voorburg</v>
      </c>
      <c r="F726" s="62"/>
      <c r="G726" s="21" t="s">
        <v>1632</v>
      </c>
      <c r="H726" s="21">
        <v>63</v>
      </c>
      <c r="I726" s="62" t="s">
        <v>2225</v>
      </c>
      <c r="J726" s="21">
        <v>16</v>
      </c>
      <c r="K726" s="62" t="str">
        <f>VLOOKUP(Ruimtestaat[[#This Row],[Ruimte code]],Ruimtegroepen[[#All],[Code]:[Ruimte omschrijving]],2,FALSE)</f>
        <v>Leslokalen theorie</v>
      </c>
      <c r="L726" s="33" t="s">
        <v>101</v>
      </c>
      <c r="M726" s="367" t="s">
        <v>2495</v>
      </c>
      <c r="N726" s="140">
        <v>47</v>
      </c>
      <c r="O726" s="140"/>
      <c r="P726" s="125" t="str">
        <f>VLOOKUP(Ruimtestaat[[#This Row],[Ruimte code]],Ruimtegroepen[],4,FALSE)</f>
        <v>Le</v>
      </c>
      <c r="R726" s="33">
        <v>40</v>
      </c>
      <c r="S726" s="33" t="s">
        <v>2</v>
      </c>
      <c r="T726" s="33">
        <f>IF(R726&gt;0,IF(RIGHT(Ruimtestaat[[#This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26" s="33">
        <f>IF(T726&gt;0,VLOOKUP($J726,Ruimtegroepen[],3,FALSE)*VLOOKUP($L726,Vloersoorten[],3,FALSE)*VLOOKUP($S726,Frequenties[],3,FALSE)*VLOOKUP($A726,Locaties[],3,FALSE),0)</f>
        <v>0</v>
      </c>
      <c r="V726" s="33">
        <f>Ruimtestaat[[#This Row],[Uitvoeringen werkdagen]]*Ruimtestaat[[#This Row],[Oppervlak (netto)]]</f>
        <v>9400</v>
      </c>
      <c r="W726" s="154">
        <f>IF(U726&gt;0,Ruimtestaat[[#This Row],[Prest. (m2 /jaar) werkdagen]]/Ruimtestaat[[#This Row],[Norm (m2/uur) werkdagen]],0)</f>
        <v>0</v>
      </c>
      <c r="X726" s="155">
        <f>Ruimtestaat[[#This Row],[uren / jaar werkdagen]]*Tariefsopbouw!$E$35</f>
        <v>0</v>
      </c>
      <c r="Y726" s="33"/>
      <c r="Z726" s="33">
        <f>IF(Ruimtestaat[[#This Row],[Frequentie weekend]]&gt;0,VALUE(LEFT(Y726,1))*R726,0)</f>
        <v>0</v>
      </c>
      <c r="AA726" s="97">
        <f>IF($Z726&gt;0,VLOOKUP($J726,Ruimtegroepen[],3,FALSE)*VLOOKUP($L726,Vloersoorten[],3,FALSE)*VLOOKUP($Y726,Frequenties[],3,FALSE)*VLOOKUP(Ruimtestaat[[#This Row],[Code]],Locaties[],3,FALSE),0)</f>
        <v>0</v>
      </c>
      <c r="AB726" s="97">
        <f>Ruimtestaat[[#This Row],[Uitvoeringen weekend]]*Ruimtestaat[[#This Row],[Oppervlak (netto)]]</f>
        <v>0</v>
      </c>
      <c r="AC726" s="97">
        <f>IF(AA726&gt;0,Ruimtestaat[[#This Row],[Prest. (m2 /jaar) weekend]]/Ruimtestaat[[#This Row],[Norm (m2/uur) weekend]],0)</f>
        <v>0</v>
      </c>
      <c r="AD726" s="155">
        <f>Ruimtestaat[[#This Row],[uren / jaar weekend]]*Tariefsopbouw!$D$40</f>
        <v>0</v>
      </c>
      <c r="AE726" s="154">
        <f>Ruimtestaat[[#This Row],[Prest. (m2 /jaar) weekend]]+Ruimtestaat[[#This Row],[Prest. (m2 /jaar) werkdagen]]</f>
        <v>9400</v>
      </c>
      <c r="AF726" s="154">
        <f>Ruimtestaat[[#This Row],[uren / jaar weekend]]+Ruimtestaat[[#This Row],[uren / jaar werkdagen]]</f>
        <v>0</v>
      </c>
      <c r="AG726" s="69">
        <f>Ruimtestaat[[#This Row],[kosten / jaar weekend]]+Ruimtestaat[[#This Row],[kosten / jaar werkdagen]]</f>
        <v>0</v>
      </c>
      <c r="AH726" s="69"/>
      <c r="AI726" s="256" t="str">
        <f>IF(Ruimtestaat[[#This Row],[Frequentie werkdagen]]="","",_xlfn.CONCAT(Ruimtestaat[[#This Row],[Ruimte code]],"-",Ruimtestaat[[#This Row],[Frequentie werkdagen]]," ",Ruimtestaat[[#This Row],[Vloer code]]))</f>
        <v>16-5w L</v>
      </c>
      <c r="AJ726" s="300" t="str">
        <f>_xlfn.IFNA(VLOOKUP($AI726,Programma!$F$3:$G$1107,2,0),"")</f>
        <v>_</v>
      </c>
      <c r="AK726" s="300" t="str">
        <f>_xlfn.IFNA(VLOOKUP($AI726,Programma!$F$3:$H$1107,3,0),"")</f>
        <v>_</v>
      </c>
      <c r="AL726" s="300" t="str">
        <f>_xlfn.IFNA(VLOOKUP($AI726,Programma!$F$3:$I$1107,4,0),"")</f>
        <v>4w</v>
      </c>
      <c r="AM726" s="300" t="str">
        <f>_xlfn.IFNA(VLOOKUP($AI726,Programma!$F$3:$J$1107,5,0),"")</f>
        <v>1w</v>
      </c>
      <c r="AN726" s="300" t="str">
        <f>_xlfn.IFNA(VLOOKUP($AI726,Programma!$F$3:$K$1107,6,0),"")</f>
        <v>_</v>
      </c>
      <c r="AO726" s="300" t="str">
        <f>_xlfn.IFNA(VLOOKUP($AI726,Programma!$F$3:$L$1107,7,0),"")</f>
        <v>_</v>
      </c>
      <c r="AP726" s="300" t="str">
        <f>_xlfn.IFNA(VLOOKUP($AI726,Programma!$F$3:$M$1107,8,0),"")</f>
        <v>_</v>
      </c>
      <c r="AQ726" s="300" t="str">
        <f>_xlfn.IFNA(VLOOKUP($AI726,Programma!$F$3:$N$1107,9,0),"")</f>
        <v>_</v>
      </c>
      <c r="AR726" s="300" t="str">
        <f>_xlfn.IFNA(VLOOKUP($AI726,Programma!$F$3:$O$1107,10,0),"")</f>
        <v>5w</v>
      </c>
      <c r="AS726" s="300" t="str">
        <f>_xlfn.IFNA(VLOOKUP($AI726,Programma!$F$3:$P$1107,11,0),"")</f>
        <v>5w</v>
      </c>
      <c r="AT726" s="300" t="str">
        <f>_xlfn.IFNA(VLOOKUP($AI726,Programma!$F$3:$Q$1107,12,0),"")</f>
        <v>1w</v>
      </c>
      <c r="AU726" s="300" t="str">
        <f>_xlfn.IFNA(VLOOKUP($AI726,Programma!$F$3:$R$1107,13,0),"")</f>
        <v>1w</v>
      </c>
      <c r="AV726" s="300" t="str">
        <f>_xlfn.IFNA(VLOOKUP($AI726,Programma!$F$3:$S$1107,14,0),"")</f>
        <v>1m</v>
      </c>
      <c r="AW726" s="300" t="str">
        <f>_xlfn.IFNA(VLOOKUP($AI726,Programma!$F$3:$T$1107,15,0),"")</f>
        <v>2j</v>
      </c>
      <c r="AX726" s="300" t="str">
        <f>_xlfn.IFNA(VLOOKUP($AI726,Programma!$F$3:$U$1107,16,0),"")</f>
        <v>1j</v>
      </c>
      <c r="AY726" s="300" t="str">
        <f>_xlfn.IFNA(VLOOKUP($AI726,Programma!$F$3:$V$1107,17,0),"")</f>
        <v>_</v>
      </c>
      <c r="AZ726" s="300" t="str">
        <f>_xlfn.IFNA(VLOOKUP($AI726,Programma!$F$3:$W$1107,18,0),"")</f>
        <v>_</v>
      </c>
      <c r="BA726" s="300" t="str">
        <f>_xlfn.IFNA(VLOOKUP($AI726,Programma!$F$3:$X$1107,19,0),"")</f>
        <v>_</v>
      </c>
      <c r="BB726" s="300" t="str">
        <f>_xlfn.IFNA(VLOOKUP($AI726,Programma!$F$3:$Y$1107,20,0),"")</f>
        <v>_</v>
      </c>
      <c r="BC726" s="257"/>
      <c r="BD726" s="256" t="str">
        <f>IF(Ruimtestaat[[#This Row],[Frequentie weekend]]="","",_xlfn.CONCAT(Ruimtestaat[[#This Row],[Ruimte code]],"-",Ruimtestaat[[#This Row],[Frequentie weekend]]," ",Ruimtestaat[[#This Row],[Vloer code]]))</f>
        <v/>
      </c>
      <c r="BE726" s="300" t="str">
        <f>_xlfn.IFNA(VLOOKUP($BD726,Programma!$F$3:$G$1107,2,0),"")</f>
        <v/>
      </c>
      <c r="BF726" s="300" t="str">
        <f>_xlfn.IFNA(VLOOKUP($BD726,Programma!$F$3:$H$1107,3,0),"")</f>
        <v/>
      </c>
      <c r="BG726" s="300" t="str">
        <f>_xlfn.IFNA(VLOOKUP($BD726,Programma!$F$3:$I$1107,4,0),"")</f>
        <v/>
      </c>
      <c r="BH726" s="300" t="str">
        <f>_xlfn.IFNA(VLOOKUP($BD726,Programma!$F$3:$J$1107,5,0),"")</f>
        <v/>
      </c>
      <c r="BI726" s="300" t="str">
        <f>_xlfn.IFNA(VLOOKUP($BD726,Programma!$F$3:$K$1107,6,0),"")</f>
        <v/>
      </c>
      <c r="BJ726" s="300" t="str">
        <f>_xlfn.IFNA(VLOOKUP($BD726,Programma!$F$3:$L$1107,7,0),"")</f>
        <v/>
      </c>
      <c r="BK726" s="300" t="str">
        <f>_xlfn.IFNA(VLOOKUP($BD726,Programma!$F$3:$M$1107,8,0),"")</f>
        <v/>
      </c>
      <c r="BL726" s="300" t="str">
        <f>_xlfn.IFNA(VLOOKUP($BD726,Programma!$F$3:$N$1107,9,0),"")</f>
        <v/>
      </c>
      <c r="BM726" s="300" t="str">
        <f>_xlfn.IFNA(VLOOKUP($BD726,Programma!$F$3:$O$1107,10,0),"")</f>
        <v/>
      </c>
      <c r="BN726" s="300" t="str">
        <f>_xlfn.IFNA(VLOOKUP($BD726,Programma!$F$3:$P$1107,11,0),"")</f>
        <v/>
      </c>
      <c r="BO726" s="300" t="str">
        <f>_xlfn.IFNA(VLOOKUP($BD726,Programma!$F$3:$Q$1107,12,0),"")</f>
        <v/>
      </c>
      <c r="BP726" s="300" t="str">
        <f>_xlfn.IFNA(VLOOKUP($BD726,Programma!$F$3:$R$1107,13,0),"")</f>
        <v/>
      </c>
      <c r="BQ726" s="300" t="str">
        <f>_xlfn.IFNA(VLOOKUP($BD726,Programma!$F$3:$S$1107,14,0),"")</f>
        <v/>
      </c>
      <c r="BR726" s="300" t="str">
        <f>_xlfn.IFNA(VLOOKUP($BD726,Programma!$F$3:$T$1107,15,0),"")</f>
        <v/>
      </c>
      <c r="BS726" s="300" t="str">
        <f>_xlfn.IFNA(VLOOKUP($BD726,Programma!$F$3:$U$1107,16,0),"")</f>
        <v/>
      </c>
      <c r="BT726" s="300" t="str">
        <f>_xlfn.IFNA(VLOOKUP($BD726,Programma!$F$3:$V$1107,17,0),"")</f>
        <v/>
      </c>
      <c r="BU726" s="300" t="str">
        <f>_xlfn.IFNA(VLOOKUP($BD726,Programma!$F$3:$W$1107,18,0),"")</f>
        <v/>
      </c>
      <c r="BV726" s="300" t="str">
        <f>_xlfn.IFNA(VLOOKUP($BD726,Programma!$F$3:$X$1107,19,0),"")</f>
        <v/>
      </c>
      <c r="BW726" s="300" t="str">
        <f>_xlfn.IFNA(VLOOKUP($BD726,Programma!$F$3:$Y$1107,20,0),"")</f>
        <v/>
      </c>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c r="GB726" s="4"/>
      <c r="GC726" s="4"/>
      <c r="GD726" s="4"/>
      <c r="GE726" s="4"/>
      <c r="GF726" s="4"/>
      <c r="GG726" s="4"/>
      <c r="GH726" s="4"/>
      <c r="GI726" s="4"/>
      <c r="GJ726" s="4"/>
      <c r="GK726" s="4"/>
      <c r="GL726" s="4"/>
      <c r="GM726" s="4"/>
      <c r="GN726" s="4"/>
      <c r="GO726" s="4"/>
      <c r="GP726" s="4"/>
      <c r="GQ726" s="4"/>
      <c r="GR726" s="4"/>
      <c r="GS726" s="4"/>
      <c r="GT726" s="4"/>
      <c r="GU726" s="4"/>
      <c r="GV726" s="4"/>
      <c r="GW726" s="4"/>
      <c r="GX726" s="4"/>
      <c r="GY726" s="4"/>
      <c r="GZ726" s="4"/>
      <c r="HA726" s="4"/>
      <c r="HB726" s="4"/>
      <c r="HC726" s="4"/>
      <c r="HD726" s="4"/>
      <c r="HE726" s="4"/>
      <c r="HF726" s="4"/>
      <c r="HG726" s="4"/>
      <c r="HH726" s="4"/>
      <c r="HI726" s="4"/>
      <c r="HJ726" s="4"/>
      <c r="HK726" s="4"/>
      <c r="HL726" s="4"/>
    </row>
    <row r="727" spans="1:220" ht="15" customHeight="1">
      <c r="A727" s="21">
        <v>8</v>
      </c>
      <c r="B727" s="157" t="str">
        <f>VLOOKUP(Ruimtestaat[[#This Row],[Code]],Locaties[[Code]:[Locatie]],2,FALSE)</f>
        <v>Dalton College</v>
      </c>
      <c r="C727" s="157" t="str">
        <f>VLOOKUP(Ruimtestaat[[#This Row],[Code]],Locaties[[#All],[Code]:[Adres]],4,FALSE)</f>
        <v>Loolaan 125</v>
      </c>
      <c r="D727" s="157" t="str">
        <f>VLOOKUP(Ruimtestaat[[#This Row],[Code]],Locaties[[#All],[Code]:[Postcode]],5,FALSE)</f>
        <v xml:space="preserve">2271 TM </v>
      </c>
      <c r="E727" s="157" t="str">
        <f>VLOOKUP(Ruimtestaat[[#This Row],[Code]],Locaties[#All],6,FALSE)</f>
        <v>Voorburg</v>
      </c>
      <c r="F727" s="62"/>
      <c r="G727" s="21" t="s">
        <v>1632</v>
      </c>
      <c r="H727" s="21">
        <v>64</v>
      </c>
      <c r="I727" s="62" t="s">
        <v>2226</v>
      </c>
      <c r="J727" s="21">
        <v>16</v>
      </c>
      <c r="K727" s="62" t="str">
        <f>VLOOKUP(Ruimtestaat[[#This Row],[Ruimte code]],Ruimtegroepen[[#All],[Code]:[Ruimte omschrijving]],2,FALSE)</f>
        <v>Leslokalen theorie</v>
      </c>
      <c r="L727" s="33" t="s">
        <v>101</v>
      </c>
      <c r="M727" s="367" t="s">
        <v>2495</v>
      </c>
      <c r="N727" s="140">
        <v>48</v>
      </c>
      <c r="O727" s="140"/>
      <c r="P727" s="125" t="str">
        <f>VLOOKUP(Ruimtestaat[[#This Row],[Ruimte code]],Ruimtegroepen[],4,FALSE)</f>
        <v>Le</v>
      </c>
      <c r="R727" s="33">
        <v>40</v>
      </c>
      <c r="S727" s="33" t="s">
        <v>2</v>
      </c>
      <c r="T727" s="33">
        <f>IF(R727&gt;0,IF(RIGHT(Ruimtestaat[[#This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27" s="33">
        <f>IF(T727&gt;0,VLOOKUP($J727,Ruimtegroepen[],3,FALSE)*VLOOKUP($L727,Vloersoorten[],3,FALSE)*VLOOKUP($S727,Frequenties[],3,FALSE)*VLOOKUP($A727,Locaties[],3,FALSE),0)</f>
        <v>0</v>
      </c>
      <c r="V727" s="33">
        <f>Ruimtestaat[[#This Row],[Uitvoeringen werkdagen]]*Ruimtestaat[[#This Row],[Oppervlak (netto)]]</f>
        <v>9600</v>
      </c>
      <c r="W727" s="154">
        <f>IF(U727&gt;0,Ruimtestaat[[#This Row],[Prest. (m2 /jaar) werkdagen]]/Ruimtestaat[[#This Row],[Norm (m2/uur) werkdagen]],0)</f>
        <v>0</v>
      </c>
      <c r="X727" s="155">
        <f>Ruimtestaat[[#This Row],[uren / jaar werkdagen]]*Tariefsopbouw!$E$35</f>
        <v>0</v>
      </c>
      <c r="Y727" s="33"/>
      <c r="Z727" s="33">
        <f>IF(Ruimtestaat[[#This Row],[Frequentie weekend]]&gt;0,VALUE(LEFT(Y727,1))*R727,0)</f>
        <v>0</v>
      </c>
      <c r="AA727" s="97">
        <f>IF($Z727&gt;0,VLOOKUP($J727,Ruimtegroepen[],3,FALSE)*VLOOKUP($L727,Vloersoorten[],3,FALSE)*VLOOKUP($Y727,Frequenties[],3,FALSE)*VLOOKUP(Ruimtestaat[[#This Row],[Code]],Locaties[],3,FALSE),0)</f>
        <v>0</v>
      </c>
      <c r="AB727" s="97">
        <f>Ruimtestaat[[#This Row],[Uitvoeringen weekend]]*Ruimtestaat[[#This Row],[Oppervlak (netto)]]</f>
        <v>0</v>
      </c>
      <c r="AC727" s="97">
        <f>IF(AA727&gt;0,Ruimtestaat[[#This Row],[Prest. (m2 /jaar) weekend]]/Ruimtestaat[[#This Row],[Norm (m2/uur) weekend]],0)</f>
        <v>0</v>
      </c>
      <c r="AD727" s="155">
        <f>Ruimtestaat[[#This Row],[uren / jaar weekend]]*Tariefsopbouw!$D$40</f>
        <v>0</v>
      </c>
      <c r="AE727" s="154">
        <f>Ruimtestaat[[#This Row],[Prest. (m2 /jaar) weekend]]+Ruimtestaat[[#This Row],[Prest. (m2 /jaar) werkdagen]]</f>
        <v>9600</v>
      </c>
      <c r="AF727" s="154">
        <f>Ruimtestaat[[#This Row],[uren / jaar weekend]]+Ruimtestaat[[#This Row],[uren / jaar werkdagen]]</f>
        <v>0</v>
      </c>
      <c r="AG727" s="69">
        <f>Ruimtestaat[[#This Row],[kosten / jaar weekend]]+Ruimtestaat[[#This Row],[kosten / jaar werkdagen]]</f>
        <v>0</v>
      </c>
      <c r="AH727" s="69"/>
      <c r="AI727" s="256" t="str">
        <f>IF(Ruimtestaat[[#This Row],[Frequentie werkdagen]]="","",_xlfn.CONCAT(Ruimtestaat[[#This Row],[Ruimte code]],"-",Ruimtestaat[[#This Row],[Frequentie werkdagen]]," ",Ruimtestaat[[#This Row],[Vloer code]]))</f>
        <v>16-5w L</v>
      </c>
      <c r="AJ727" s="300" t="str">
        <f>_xlfn.IFNA(VLOOKUP($AI727,Programma!$F$3:$G$1107,2,0),"")</f>
        <v>_</v>
      </c>
      <c r="AK727" s="300" t="str">
        <f>_xlfn.IFNA(VLOOKUP($AI727,Programma!$F$3:$H$1107,3,0),"")</f>
        <v>_</v>
      </c>
      <c r="AL727" s="300" t="str">
        <f>_xlfn.IFNA(VLOOKUP($AI727,Programma!$F$3:$I$1107,4,0),"")</f>
        <v>4w</v>
      </c>
      <c r="AM727" s="300" t="str">
        <f>_xlfn.IFNA(VLOOKUP($AI727,Programma!$F$3:$J$1107,5,0),"")</f>
        <v>1w</v>
      </c>
      <c r="AN727" s="300" t="str">
        <f>_xlfn.IFNA(VLOOKUP($AI727,Programma!$F$3:$K$1107,6,0),"")</f>
        <v>_</v>
      </c>
      <c r="AO727" s="300" t="str">
        <f>_xlfn.IFNA(VLOOKUP($AI727,Programma!$F$3:$L$1107,7,0),"")</f>
        <v>_</v>
      </c>
      <c r="AP727" s="300" t="str">
        <f>_xlfn.IFNA(VLOOKUP($AI727,Programma!$F$3:$M$1107,8,0),"")</f>
        <v>_</v>
      </c>
      <c r="AQ727" s="300" t="str">
        <f>_xlfn.IFNA(VLOOKUP($AI727,Programma!$F$3:$N$1107,9,0),"")</f>
        <v>_</v>
      </c>
      <c r="AR727" s="300" t="str">
        <f>_xlfn.IFNA(VLOOKUP($AI727,Programma!$F$3:$O$1107,10,0),"")</f>
        <v>5w</v>
      </c>
      <c r="AS727" s="300" t="str">
        <f>_xlfn.IFNA(VLOOKUP($AI727,Programma!$F$3:$P$1107,11,0),"")</f>
        <v>5w</v>
      </c>
      <c r="AT727" s="300" t="str">
        <f>_xlfn.IFNA(VLOOKUP($AI727,Programma!$F$3:$Q$1107,12,0),"")</f>
        <v>1w</v>
      </c>
      <c r="AU727" s="300" t="str">
        <f>_xlfn.IFNA(VLOOKUP($AI727,Programma!$F$3:$R$1107,13,0),"")</f>
        <v>1w</v>
      </c>
      <c r="AV727" s="300" t="str">
        <f>_xlfn.IFNA(VLOOKUP($AI727,Programma!$F$3:$S$1107,14,0),"")</f>
        <v>1m</v>
      </c>
      <c r="AW727" s="300" t="str">
        <f>_xlfn.IFNA(VLOOKUP($AI727,Programma!$F$3:$T$1107,15,0),"")</f>
        <v>2j</v>
      </c>
      <c r="AX727" s="300" t="str">
        <f>_xlfn.IFNA(VLOOKUP($AI727,Programma!$F$3:$U$1107,16,0),"")</f>
        <v>1j</v>
      </c>
      <c r="AY727" s="300" t="str">
        <f>_xlfn.IFNA(VLOOKUP($AI727,Programma!$F$3:$V$1107,17,0),"")</f>
        <v>_</v>
      </c>
      <c r="AZ727" s="300" t="str">
        <f>_xlfn.IFNA(VLOOKUP($AI727,Programma!$F$3:$W$1107,18,0),"")</f>
        <v>_</v>
      </c>
      <c r="BA727" s="300" t="str">
        <f>_xlfn.IFNA(VLOOKUP($AI727,Programma!$F$3:$X$1107,19,0),"")</f>
        <v>_</v>
      </c>
      <c r="BB727" s="300" t="str">
        <f>_xlfn.IFNA(VLOOKUP($AI727,Programma!$F$3:$Y$1107,20,0),"")</f>
        <v>_</v>
      </c>
      <c r="BC727" s="257"/>
      <c r="BD727" s="256" t="str">
        <f>IF(Ruimtestaat[[#This Row],[Frequentie weekend]]="","",_xlfn.CONCAT(Ruimtestaat[[#This Row],[Ruimte code]],"-",Ruimtestaat[[#This Row],[Frequentie weekend]]," ",Ruimtestaat[[#This Row],[Vloer code]]))</f>
        <v/>
      </c>
      <c r="BE727" s="300" t="str">
        <f>_xlfn.IFNA(VLOOKUP($BD727,Programma!$F$3:$G$1107,2,0),"")</f>
        <v/>
      </c>
      <c r="BF727" s="300" t="str">
        <f>_xlfn.IFNA(VLOOKUP($BD727,Programma!$F$3:$H$1107,3,0),"")</f>
        <v/>
      </c>
      <c r="BG727" s="300" t="str">
        <f>_xlfn.IFNA(VLOOKUP($BD727,Programma!$F$3:$I$1107,4,0),"")</f>
        <v/>
      </c>
      <c r="BH727" s="300" t="str">
        <f>_xlfn.IFNA(VLOOKUP($BD727,Programma!$F$3:$J$1107,5,0),"")</f>
        <v/>
      </c>
      <c r="BI727" s="300" t="str">
        <f>_xlfn.IFNA(VLOOKUP($BD727,Programma!$F$3:$K$1107,6,0),"")</f>
        <v/>
      </c>
      <c r="BJ727" s="300" t="str">
        <f>_xlfn.IFNA(VLOOKUP($BD727,Programma!$F$3:$L$1107,7,0),"")</f>
        <v/>
      </c>
      <c r="BK727" s="300" t="str">
        <f>_xlfn.IFNA(VLOOKUP($BD727,Programma!$F$3:$M$1107,8,0),"")</f>
        <v/>
      </c>
      <c r="BL727" s="300" t="str">
        <f>_xlfn.IFNA(VLOOKUP($BD727,Programma!$F$3:$N$1107,9,0),"")</f>
        <v/>
      </c>
      <c r="BM727" s="300" t="str">
        <f>_xlfn.IFNA(VLOOKUP($BD727,Programma!$F$3:$O$1107,10,0),"")</f>
        <v/>
      </c>
      <c r="BN727" s="300" t="str">
        <f>_xlfn.IFNA(VLOOKUP($BD727,Programma!$F$3:$P$1107,11,0),"")</f>
        <v/>
      </c>
      <c r="BO727" s="300" t="str">
        <f>_xlfn.IFNA(VLOOKUP($BD727,Programma!$F$3:$Q$1107,12,0),"")</f>
        <v/>
      </c>
      <c r="BP727" s="300" t="str">
        <f>_xlfn.IFNA(VLOOKUP($BD727,Programma!$F$3:$R$1107,13,0),"")</f>
        <v/>
      </c>
      <c r="BQ727" s="300" t="str">
        <f>_xlfn.IFNA(VLOOKUP($BD727,Programma!$F$3:$S$1107,14,0),"")</f>
        <v/>
      </c>
      <c r="BR727" s="300" t="str">
        <f>_xlfn.IFNA(VLOOKUP($BD727,Programma!$F$3:$T$1107,15,0),"")</f>
        <v/>
      </c>
      <c r="BS727" s="300" t="str">
        <f>_xlfn.IFNA(VLOOKUP($BD727,Programma!$F$3:$U$1107,16,0),"")</f>
        <v/>
      </c>
      <c r="BT727" s="300" t="str">
        <f>_xlfn.IFNA(VLOOKUP($BD727,Programma!$F$3:$V$1107,17,0),"")</f>
        <v/>
      </c>
      <c r="BU727" s="300" t="str">
        <f>_xlfn.IFNA(VLOOKUP($BD727,Programma!$F$3:$W$1107,18,0),"")</f>
        <v/>
      </c>
      <c r="BV727" s="300" t="str">
        <f>_xlfn.IFNA(VLOOKUP($BD727,Programma!$F$3:$X$1107,19,0),"")</f>
        <v/>
      </c>
      <c r="BW727" s="300" t="str">
        <f>_xlfn.IFNA(VLOOKUP($BD727,Programma!$F$3:$Y$1107,20,0),"")</f>
        <v/>
      </c>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c r="GK727" s="4"/>
      <c r="GL727" s="4"/>
      <c r="GM727" s="4"/>
      <c r="GN727" s="4"/>
      <c r="GO727" s="4"/>
      <c r="GP727" s="4"/>
      <c r="GQ727" s="4"/>
      <c r="GR727" s="4"/>
      <c r="GS727" s="4"/>
      <c r="GT727" s="4"/>
      <c r="GU727" s="4"/>
      <c r="GV727" s="4"/>
      <c r="GW727" s="4"/>
      <c r="GX727" s="4"/>
      <c r="GY727" s="4"/>
      <c r="GZ727" s="4"/>
      <c r="HA727" s="4"/>
      <c r="HB727" s="4"/>
      <c r="HC727" s="4"/>
      <c r="HD727" s="4"/>
      <c r="HE727" s="4"/>
      <c r="HF727" s="4"/>
      <c r="HG727" s="4"/>
      <c r="HH727" s="4"/>
      <c r="HI727" s="4"/>
      <c r="HJ727" s="4"/>
      <c r="HK727" s="4"/>
      <c r="HL727" s="4"/>
    </row>
    <row r="728" spans="1:220" ht="15" customHeight="1">
      <c r="A728" s="21">
        <v>8</v>
      </c>
      <c r="B728" s="157" t="str">
        <f>VLOOKUP(Ruimtestaat[[#This Row],[Code]],Locaties[[Code]:[Locatie]],2,FALSE)</f>
        <v>Dalton College</v>
      </c>
      <c r="C728" s="157" t="str">
        <f>VLOOKUP(Ruimtestaat[[#This Row],[Code]],Locaties[[#All],[Code]:[Adres]],4,FALSE)</f>
        <v>Loolaan 125</v>
      </c>
      <c r="D728" s="157" t="str">
        <f>VLOOKUP(Ruimtestaat[[#This Row],[Code]],Locaties[[#All],[Code]:[Postcode]],5,FALSE)</f>
        <v xml:space="preserve">2271 TM </v>
      </c>
      <c r="E728" s="157" t="str">
        <f>VLOOKUP(Ruimtestaat[[#This Row],[Code]],Locaties[#All],6,FALSE)</f>
        <v>Voorburg</v>
      </c>
      <c r="F728" s="62"/>
      <c r="G728" s="21" t="s">
        <v>1632</v>
      </c>
      <c r="H728" s="21">
        <v>65</v>
      </c>
      <c r="I728" s="62" t="s">
        <v>2227</v>
      </c>
      <c r="J728" s="21">
        <v>16</v>
      </c>
      <c r="K728" s="62" t="str">
        <f>VLOOKUP(Ruimtestaat[[#This Row],[Ruimte code]],Ruimtegroepen[[#All],[Code]:[Ruimte omschrijving]],2,FALSE)</f>
        <v>Leslokalen theorie</v>
      </c>
      <c r="L728" s="33" t="s">
        <v>101</v>
      </c>
      <c r="M728" s="367" t="s">
        <v>2495</v>
      </c>
      <c r="N728" s="140">
        <v>47</v>
      </c>
      <c r="O728" s="140"/>
      <c r="P728" s="125" t="str">
        <f>VLOOKUP(Ruimtestaat[[#This Row],[Ruimte code]],Ruimtegroepen[],4,FALSE)</f>
        <v>Le</v>
      </c>
      <c r="R728" s="33">
        <v>40</v>
      </c>
      <c r="S728" s="33" t="s">
        <v>2</v>
      </c>
      <c r="T728" s="33">
        <f>IF(R728&gt;0,IF(RIGHT(Ruimtestaat[[#This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28" s="33">
        <f>IF(T728&gt;0,VLOOKUP($J728,Ruimtegroepen[],3,FALSE)*VLOOKUP($L728,Vloersoorten[],3,FALSE)*VLOOKUP($S728,Frequenties[],3,FALSE)*VLOOKUP($A728,Locaties[],3,FALSE),0)</f>
        <v>0</v>
      </c>
      <c r="V728" s="33">
        <f>Ruimtestaat[[#This Row],[Uitvoeringen werkdagen]]*Ruimtestaat[[#This Row],[Oppervlak (netto)]]</f>
        <v>9400</v>
      </c>
      <c r="W728" s="154">
        <f>IF(U728&gt;0,Ruimtestaat[[#This Row],[Prest. (m2 /jaar) werkdagen]]/Ruimtestaat[[#This Row],[Norm (m2/uur) werkdagen]],0)</f>
        <v>0</v>
      </c>
      <c r="X728" s="155">
        <f>Ruimtestaat[[#This Row],[uren / jaar werkdagen]]*Tariefsopbouw!$E$35</f>
        <v>0</v>
      </c>
      <c r="Y728" s="33"/>
      <c r="Z728" s="33">
        <f>IF(Ruimtestaat[[#This Row],[Frequentie weekend]]&gt;0,VALUE(LEFT(Y728,1))*R728,0)</f>
        <v>0</v>
      </c>
      <c r="AA728" s="97">
        <f>IF($Z728&gt;0,VLOOKUP($J728,Ruimtegroepen[],3,FALSE)*VLOOKUP($L728,Vloersoorten[],3,FALSE)*VLOOKUP($Y728,Frequenties[],3,FALSE)*VLOOKUP(Ruimtestaat[[#This Row],[Code]],Locaties[],3,FALSE),0)</f>
        <v>0</v>
      </c>
      <c r="AB728" s="97">
        <f>Ruimtestaat[[#This Row],[Uitvoeringen weekend]]*Ruimtestaat[[#This Row],[Oppervlak (netto)]]</f>
        <v>0</v>
      </c>
      <c r="AC728" s="97">
        <f>IF(AA728&gt;0,Ruimtestaat[[#This Row],[Prest. (m2 /jaar) weekend]]/Ruimtestaat[[#This Row],[Norm (m2/uur) weekend]],0)</f>
        <v>0</v>
      </c>
      <c r="AD728" s="155">
        <f>Ruimtestaat[[#This Row],[uren / jaar weekend]]*Tariefsopbouw!$D$40</f>
        <v>0</v>
      </c>
      <c r="AE728" s="154">
        <f>Ruimtestaat[[#This Row],[Prest. (m2 /jaar) weekend]]+Ruimtestaat[[#This Row],[Prest. (m2 /jaar) werkdagen]]</f>
        <v>9400</v>
      </c>
      <c r="AF728" s="154">
        <f>Ruimtestaat[[#This Row],[uren / jaar weekend]]+Ruimtestaat[[#This Row],[uren / jaar werkdagen]]</f>
        <v>0</v>
      </c>
      <c r="AG728" s="69">
        <f>Ruimtestaat[[#This Row],[kosten / jaar weekend]]+Ruimtestaat[[#This Row],[kosten / jaar werkdagen]]</f>
        <v>0</v>
      </c>
      <c r="AH728" s="69"/>
      <c r="AI728" s="256" t="str">
        <f>IF(Ruimtestaat[[#This Row],[Frequentie werkdagen]]="","",_xlfn.CONCAT(Ruimtestaat[[#This Row],[Ruimte code]],"-",Ruimtestaat[[#This Row],[Frequentie werkdagen]]," ",Ruimtestaat[[#This Row],[Vloer code]]))</f>
        <v>16-5w L</v>
      </c>
      <c r="AJ728" s="300" t="str">
        <f>_xlfn.IFNA(VLOOKUP($AI728,Programma!$F$3:$G$1107,2,0),"")</f>
        <v>_</v>
      </c>
      <c r="AK728" s="300" t="str">
        <f>_xlfn.IFNA(VLOOKUP($AI728,Programma!$F$3:$H$1107,3,0),"")</f>
        <v>_</v>
      </c>
      <c r="AL728" s="300" t="str">
        <f>_xlfn.IFNA(VLOOKUP($AI728,Programma!$F$3:$I$1107,4,0),"")</f>
        <v>4w</v>
      </c>
      <c r="AM728" s="300" t="str">
        <f>_xlfn.IFNA(VLOOKUP($AI728,Programma!$F$3:$J$1107,5,0),"")</f>
        <v>1w</v>
      </c>
      <c r="AN728" s="300" t="str">
        <f>_xlfn.IFNA(VLOOKUP($AI728,Programma!$F$3:$K$1107,6,0),"")</f>
        <v>_</v>
      </c>
      <c r="AO728" s="300" t="str">
        <f>_xlfn.IFNA(VLOOKUP($AI728,Programma!$F$3:$L$1107,7,0),"")</f>
        <v>_</v>
      </c>
      <c r="AP728" s="300" t="str">
        <f>_xlfn.IFNA(VLOOKUP($AI728,Programma!$F$3:$M$1107,8,0),"")</f>
        <v>_</v>
      </c>
      <c r="AQ728" s="300" t="str">
        <f>_xlfn.IFNA(VLOOKUP($AI728,Programma!$F$3:$N$1107,9,0),"")</f>
        <v>_</v>
      </c>
      <c r="AR728" s="300" t="str">
        <f>_xlfn.IFNA(VLOOKUP($AI728,Programma!$F$3:$O$1107,10,0),"")</f>
        <v>5w</v>
      </c>
      <c r="AS728" s="300" t="str">
        <f>_xlfn.IFNA(VLOOKUP($AI728,Programma!$F$3:$P$1107,11,0),"")</f>
        <v>5w</v>
      </c>
      <c r="AT728" s="300" t="str">
        <f>_xlfn.IFNA(VLOOKUP($AI728,Programma!$F$3:$Q$1107,12,0),"")</f>
        <v>1w</v>
      </c>
      <c r="AU728" s="300" t="str">
        <f>_xlfn.IFNA(VLOOKUP($AI728,Programma!$F$3:$R$1107,13,0),"")</f>
        <v>1w</v>
      </c>
      <c r="AV728" s="300" t="str">
        <f>_xlfn.IFNA(VLOOKUP($AI728,Programma!$F$3:$S$1107,14,0),"")</f>
        <v>1m</v>
      </c>
      <c r="AW728" s="300" t="str">
        <f>_xlfn.IFNA(VLOOKUP($AI728,Programma!$F$3:$T$1107,15,0),"")</f>
        <v>2j</v>
      </c>
      <c r="AX728" s="300" t="str">
        <f>_xlfn.IFNA(VLOOKUP($AI728,Programma!$F$3:$U$1107,16,0),"")</f>
        <v>1j</v>
      </c>
      <c r="AY728" s="300" t="str">
        <f>_xlfn.IFNA(VLOOKUP($AI728,Programma!$F$3:$V$1107,17,0),"")</f>
        <v>_</v>
      </c>
      <c r="AZ728" s="300" t="str">
        <f>_xlfn.IFNA(VLOOKUP($AI728,Programma!$F$3:$W$1107,18,0),"")</f>
        <v>_</v>
      </c>
      <c r="BA728" s="300" t="str">
        <f>_xlfn.IFNA(VLOOKUP($AI728,Programma!$F$3:$X$1107,19,0),"")</f>
        <v>_</v>
      </c>
      <c r="BB728" s="300" t="str">
        <f>_xlfn.IFNA(VLOOKUP($AI728,Programma!$F$3:$Y$1107,20,0),"")</f>
        <v>_</v>
      </c>
      <c r="BC728" s="257"/>
      <c r="BD728" s="256" t="str">
        <f>IF(Ruimtestaat[[#This Row],[Frequentie weekend]]="","",_xlfn.CONCAT(Ruimtestaat[[#This Row],[Ruimte code]],"-",Ruimtestaat[[#This Row],[Frequentie weekend]]," ",Ruimtestaat[[#This Row],[Vloer code]]))</f>
        <v/>
      </c>
      <c r="BE728" s="300" t="str">
        <f>_xlfn.IFNA(VLOOKUP($BD728,Programma!$F$3:$G$1107,2,0),"")</f>
        <v/>
      </c>
      <c r="BF728" s="300" t="str">
        <f>_xlfn.IFNA(VLOOKUP($BD728,Programma!$F$3:$H$1107,3,0),"")</f>
        <v/>
      </c>
      <c r="BG728" s="300" t="str">
        <f>_xlfn.IFNA(VLOOKUP($BD728,Programma!$F$3:$I$1107,4,0),"")</f>
        <v/>
      </c>
      <c r="BH728" s="300" t="str">
        <f>_xlfn.IFNA(VLOOKUP($BD728,Programma!$F$3:$J$1107,5,0),"")</f>
        <v/>
      </c>
      <c r="BI728" s="300" t="str">
        <f>_xlfn.IFNA(VLOOKUP($BD728,Programma!$F$3:$K$1107,6,0),"")</f>
        <v/>
      </c>
      <c r="BJ728" s="300" t="str">
        <f>_xlfn.IFNA(VLOOKUP($BD728,Programma!$F$3:$L$1107,7,0),"")</f>
        <v/>
      </c>
      <c r="BK728" s="300" t="str">
        <f>_xlfn.IFNA(VLOOKUP($BD728,Programma!$F$3:$M$1107,8,0),"")</f>
        <v/>
      </c>
      <c r="BL728" s="300" t="str">
        <f>_xlfn.IFNA(VLOOKUP($BD728,Programma!$F$3:$N$1107,9,0),"")</f>
        <v/>
      </c>
      <c r="BM728" s="300" t="str">
        <f>_xlfn.IFNA(VLOOKUP($BD728,Programma!$F$3:$O$1107,10,0),"")</f>
        <v/>
      </c>
      <c r="BN728" s="300" t="str">
        <f>_xlfn.IFNA(VLOOKUP($BD728,Programma!$F$3:$P$1107,11,0),"")</f>
        <v/>
      </c>
      <c r="BO728" s="300" t="str">
        <f>_xlfn.IFNA(VLOOKUP($BD728,Programma!$F$3:$Q$1107,12,0),"")</f>
        <v/>
      </c>
      <c r="BP728" s="300" t="str">
        <f>_xlfn.IFNA(VLOOKUP($BD728,Programma!$F$3:$R$1107,13,0),"")</f>
        <v/>
      </c>
      <c r="BQ728" s="300" t="str">
        <f>_xlfn.IFNA(VLOOKUP($BD728,Programma!$F$3:$S$1107,14,0),"")</f>
        <v/>
      </c>
      <c r="BR728" s="300" t="str">
        <f>_xlfn.IFNA(VLOOKUP($BD728,Programma!$F$3:$T$1107,15,0),"")</f>
        <v/>
      </c>
      <c r="BS728" s="300" t="str">
        <f>_xlfn.IFNA(VLOOKUP($BD728,Programma!$F$3:$U$1107,16,0),"")</f>
        <v/>
      </c>
      <c r="BT728" s="300" t="str">
        <f>_xlfn.IFNA(VLOOKUP($BD728,Programma!$F$3:$V$1107,17,0),"")</f>
        <v/>
      </c>
      <c r="BU728" s="300" t="str">
        <f>_xlfn.IFNA(VLOOKUP($BD728,Programma!$F$3:$W$1107,18,0),"")</f>
        <v/>
      </c>
      <c r="BV728" s="300" t="str">
        <f>_xlfn.IFNA(VLOOKUP($BD728,Programma!$F$3:$X$1107,19,0),"")</f>
        <v/>
      </c>
      <c r="BW728" s="300" t="str">
        <f>_xlfn.IFNA(VLOOKUP($BD728,Programma!$F$3:$Y$1107,20,0),"")</f>
        <v/>
      </c>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c r="GK728" s="4"/>
      <c r="GL728" s="4"/>
      <c r="GM728" s="4"/>
      <c r="GN728" s="4"/>
      <c r="GO728" s="4"/>
      <c r="GP728" s="4"/>
      <c r="GQ728" s="4"/>
      <c r="GR728" s="4"/>
      <c r="GS728" s="4"/>
      <c r="GT728" s="4"/>
      <c r="GU728" s="4"/>
      <c r="GV728" s="4"/>
      <c r="GW728" s="4"/>
      <c r="GX728" s="4"/>
      <c r="GY728" s="4"/>
      <c r="GZ728" s="4"/>
      <c r="HA728" s="4"/>
      <c r="HB728" s="4"/>
      <c r="HC728" s="4"/>
      <c r="HD728" s="4"/>
      <c r="HE728" s="4"/>
      <c r="HF728" s="4"/>
      <c r="HG728" s="4"/>
      <c r="HH728" s="4"/>
      <c r="HI728" s="4"/>
      <c r="HJ728" s="4"/>
      <c r="HK728" s="4"/>
      <c r="HL728" s="4"/>
    </row>
    <row r="729" spans="1:220" ht="15" customHeight="1">
      <c r="A729" s="21">
        <v>8</v>
      </c>
      <c r="B729" s="157" t="str">
        <f>VLOOKUP(Ruimtestaat[[#This Row],[Code]],Locaties[[Code]:[Locatie]],2,FALSE)</f>
        <v>Dalton College</v>
      </c>
      <c r="C729" s="157" t="str">
        <f>VLOOKUP(Ruimtestaat[[#This Row],[Code]],Locaties[[#All],[Code]:[Adres]],4,FALSE)</f>
        <v>Loolaan 125</v>
      </c>
      <c r="D729" s="157" t="str">
        <f>VLOOKUP(Ruimtestaat[[#This Row],[Code]],Locaties[[#All],[Code]:[Postcode]],5,FALSE)</f>
        <v xml:space="preserve">2271 TM </v>
      </c>
      <c r="E729" s="157" t="str">
        <f>VLOOKUP(Ruimtestaat[[#This Row],[Code]],Locaties[#All],6,FALSE)</f>
        <v>Voorburg</v>
      </c>
      <c r="F729" s="62"/>
      <c r="G729" s="21" t="s">
        <v>1632</v>
      </c>
      <c r="H729" s="21">
        <v>66</v>
      </c>
      <c r="I729" s="62" t="s">
        <v>2228</v>
      </c>
      <c r="J729" s="21">
        <v>2</v>
      </c>
      <c r="K729" s="62" t="str">
        <f>VLOOKUP(Ruimtestaat[[#This Row],[Ruimte code]],Ruimtegroepen[[#All],[Code]:[Ruimte omschrijving]],2,FALSE)</f>
        <v>Kantoren</v>
      </c>
      <c r="L729" s="33" t="s">
        <v>101</v>
      </c>
      <c r="M729" s="367" t="s">
        <v>2495</v>
      </c>
      <c r="N729" s="140">
        <v>30</v>
      </c>
      <c r="O729" s="140"/>
      <c r="P729" s="125" t="str">
        <f>VLOOKUP(Ruimtestaat[[#This Row],[Ruimte code]],Ruimtegroepen[],4,FALSE)</f>
        <v>Bu</v>
      </c>
      <c r="R729" s="33">
        <v>42</v>
      </c>
      <c r="S729" s="33" t="s">
        <v>18</v>
      </c>
      <c r="T729" s="33">
        <f>IF(R729&gt;0,IF(RIGHT(Ruimtestaat[[#This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29" s="33">
        <f>IF(T729&gt;0,VLOOKUP($J729,Ruimtegroepen[],3,FALSE)*VLOOKUP($L729,Vloersoorten[],3,FALSE)*VLOOKUP($S729,Frequenties[],3,FALSE)*VLOOKUP($A729,Locaties[],3,FALSE),0)</f>
        <v>0</v>
      </c>
      <c r="V729" s="33">
        <f>Ruimtestaat[[#This Row],[Uitvoeringen werkdagen]]*Ruimtestaat[[#This Row],[Oppervlak (netto)]]</f>
        <v>3780</v>
      </c>
      <c r="W729" s="154">
        <f>IF(U729&gt;0,Ruimtestaat[[#This Row],[Prest. (m2 /jaar) werkdagen]]/Ruimtestaat[[#This Row],[Norm (m2/uur) werkdagen]],0)</f>
        <v>0</v>
      </c>
      <c r="X729" s="155">
        <f>Ruimtestaat[[#This Row],[uren / jaar werkdagen]]*Tariefsopbouw!$E$35</f>
        <v>0</v>
      </c>
      <c r="Y729" s="33"/>
      <c r="Z729" s="33">
        <f>IF(Ruimtestaat[[#This Row],[Frequentie weekend]]&gt;0,VALUE(LEFT(Y729,1))*R729,0)</f>
        <v>0</v>
      </c>
      <c r="AA729" s="97">
        <f>IF($Z729&gt;0,VLOOKUP($J729,Ruimtegroepen[],3,FALSE)*VLOOKUP($L729,Vloersoorten[],3,FALSE)*VLOOKUP($Y729,Frequenties[],3,FALSE)*VLOOKUP(Ruimtestaat[[#This Row],[Code]],Locaties[],3,FALSE),0)</f>
        <v>0</v>
      </c>
      <c r="AB729" s="97">
        <f>Ruimtestaat[[#This Row],[Uitvoeringen weekend]]*Ruimtestaat[[#This Row],[Oppervlak (netto)]]</f>
        <v>0</v>
      </c>
      <c r="AC729" s="97">
        <f>IF(AA729&gt;0,Ruimtestaat[[#This Row],[Prest. (m2 /jaar) weekend]]/Ruimtestaat[[#This Row],[Norm (m2/uur) weekend]],0)</f>
        <v>0</v>
      </c>
      <c r="AD729" s="155">
        <f>Ruimtestaat[[#This Row],[uren / jaar weekend]]*Tariefsopbouw!$D$40</f>
        <v>0</v>
      </c>
      <c r="AE729" s="154">
        <f>Ruimtestaat[[#This Row],[Prest. (m2 /jaar) weekend]]+Ruimtestaat[[#This Row],[Prest. (m2 /jaar) werkdagen]]</f>
        <v>3780</v>
      </c>
      <c r="AF729" s="154">
        <f>Ruimtestaat[[#This Row],[uren / jaar weekend]]+Ruimtestaat[[#This Row],[uren / jaar werkdagen]]</f>
        <v>0</v>
      </c>
      <c r="AG729" s="69">
        <f>Ruimtestaat[[#This Row],[kosten / jaar weekend]]+Ruimtestaat[[#This Row],[kosten / jaar werkdagen]]</f>
        <v>0</v>
      </c>
      <c r="AH729" s="69"/>
      <c r="AI729" s="256" t="str">
        <f>IF(Ruimtestaat[[#This Row],[Frequentie werkdagen]]="","",_xlfn.CONCAT(Ruimtestaat[[#This Row],[Ruimte code]],"-",Ruimtestaat[[#This Row],[Frequentie werkdagen]]," ",Ruimtestaat[[#This Row],[Vloer code]]))</f>
        <v>2-3w L</v>
      </c>
      <c r="AJ729" s="300" t="str">
        <f>_xlfn.IFNA(VLOOKUP($AI729,Programma!$F$3:$G$1107,2,0),"")</f>
        <v>_</v>
      </c>
      <c r="AK729" s="300" t="str">
        <f>_xlfn.IFNA(VLOOKUP($AI729,Programma!$F$3:$H$1107,3,0),"")</f>
        <v>_</v>
      </c>
      <c r="AL729" s="300" t="str">
        <f>_xlfn.IFNA(VLOOKUP($AI729,Programma!$F$3:$I$1107,4,0),"")</f>
        <v>2w</v>
      </c>
      <c r="AM729" s="300" t="str">
        <f>_xlfn.IFNA(VLOOKUP($AI729,Programma!$F$3:$J$1107,5,0),"")</f>
        <v>1w</v>
      </c>
      <c r="AN729" s="300" t="str">
        <f>_xlfn.IFNA(VLOOKUP($AI729,Programma!$F$3:$K$1107,6,0),"")</f>
        <v>_</v>
      </c>
      <c r="AO729" s="300" t="str">
        <f>_xlfn.IFNA(VLOOKUP($AI729,Programma!$F$3:$L$1107,7,0),"")</f>
        <v>_</v>
      </c>
      <c r="AP729" s="300" t="str">
        <f>_xlfn.IFNA(VLOOKUP($AI729,Programma!$F$3:$M$1107,8,0),"")</f>
        <v>_</v>
      </c>
      <c r="AQ729" s="300" t="str">
        <f>_xlfn.IFNA(VLOOKUP($AI729,Programma!$F$3:$N$1107,9,0),"")</f>
        <v>_</v>
      </c>
      <c r="AR729" s="300" t="str">
        <f>_xlfn.IFNA(VLOOKUP($AI729,Programma!$F$3:$O$1107,10,0),"")</f>
        <v>3w</v>
      </c>
      <c r="AS729" s="300" t="str">
        <f>_xlfn.IFNA(VLOOKUP($AI729,Programma!$F$3:$P$1107,11,0),"")</f>
        <v>3w</v>
      </c>
      <c r="AT729" s="300" t="str">
        <f>_xlfn.IFNA(VLOOKUP($AI729,Programma!$F$3:$Q$1107,12,0),"")</f>
        <v>1w</v>
      </c>
      <c r="AU729" s="300" t="str">
        <f>_xlfn.IFNA(VLOOKUP($AI729,Programma!$F$3:$R$1107,13,0),"")</f>
        <v>1w</v>
      </c>
      <c r="AV729" s="300" t="str">
        <f>_xlfn.IFNA(VLOOKUP($AI729,Programma!$F$3:$S$1107,14,0),"")</f>
        <v>1m</v>
      </c>
      <c r="AW729" s="300" t="str">
        <f>_xlfn.IFNA(VLOOKUP($AI729,Programma!$F$3:$T$1107,15,0),"")</f>
        <v>2j</v>
      </c>
      <c r="AX729" s="300" t="str">
        <f>_xlfn.IFNA(VLOOKUP($AI729,Programma!$F$3:$U$1107,16,0),"")</f>
        <v>1j</v>
      </c>
      <c r="AY729" s="300" t="str">
        <f>_xlfn.IFNA(VLOOKUP($AI729,Programma!$F$3:$V$1107,17,0),"")</f>
        <v>_</v>
      </c>
      <c r="AZ729" s="300" t="str">
        <f>_xlfn.IFNA(VLOOKUP($AI729,Programma!$F$3:$W$1107,18,0),"")</f>
        <v>_</v>
      </c>
      <c r="BA729" s="300" t="str">
        <f>_xlfn.IFNA(VLOOKUP($AI729,Programma!$F$3:$X$1107,19,0),"")</f>
        <v>_</v>
      </c>
      <c r="BB729" s="300" t="str">
        <f>_xlfn.IFNA(VLOOKUP($AI729,Programma!$F$3:$Y$1107,20,0),"")</f>
        <v>_</v>
      </c>
      <c r="BC729" s="257"/>
      <c r="BD729" s="256" t="str">
        <f>IF(Ruimtestaat[[#This Row],[Frequentie weekend]]="","",_xlfn.CONCAT(Ruimtestaat[[#This Row],[Ruimte code]],"-",Ruimtestaat[[#This Row],[Frequentie weekend]]," ",Ruimtestaat[[#This Row],[Vloer code]]))</f>
        <v/>
      </c>
      <c r="BE729" s="300" t="str">
        <f>_xlfn.IFNA(VLOOKUP($BD729,Programma!$F$3:$G$1107,2,0),"")</f>
        <v/>
      </c>
      <c r="BF729" s="300" t="str">
        <f>_xlfn.IFNA(VLOOKUP($BD729,Programma!$F$3:$H$1107,3,0),"")</f>
        <v/>
      </c>
      <c r="BG729" s="300" t="str">
        <f>_xlfn.IFNA(VLOOKUP($BD729,Programma!$F$3:$I$1107,4,0),"")</f>
        <v/>
      </c>
      <c r="BH729" s="300" t="str">
        <f>_xlfn.IFNA(VLOOKUP($BD729,Programma!$F$3:$J$1107,5,0),"")</f>
        <v/>
      </c>
      <c r="BI729" s="300" t="str">
        <f>_xlfn.IFNA(VLOOKUP($BD729,Programma!$F$3:$K$1107,6,0),"")</f>
        <v/>
      </c>
      <c r="BJ729" s="300" t="str">
        <f>_xlfn.IFNA(VLOOKUP($BD729,Programma!$F$3:$L$1107,7,0),"")</f>
        <v/>
      </c>
      <c r="BK729" s="300" t="str">
        <f>_xlfn.IFNA(VLOOKUP($BD729,Programma!$F$3:$M$1107,8,0),"")</f>
        <v/>
      </c>
      <c r="BL729" s="300" t="str">
        <f>_xlfn.IFNA(VLOOKUP($BD729,Programma!$F$3:$N$1107,9,0),"")</f>
        <v/>
      </c>
      <c r="BM729" s="300" t="str">
        <f>_xlfn.IFNA(VLOOKUP($BD729,Programma!$F$3:$O$1107,10,0),"")</f>
        <v/>
      </c>
      <c r="BN729" s="300" t="str">
        <f>_xlfn.IFNA(VLOOKUP($BD729,Programma!$F$3:$P$1107,11,0),"")</f>
        <v/>
      </c>
      <c r="BO729" s="300" t="str">
        <f>_xlfn.IFNA(VLOOKUP($BD729,Programma!$F$3:$Q$1107,12,0),"")</f>
        <v/>
      </c>
      <c r="BP729" s="300" t="str">
        <f>_xlfn.IFNA(VLOOKUP($BD729,Programma!$F$3:$R$1107,13,0),"")</f>
        <v/>
      </c>
      <c r="BQ729" s="300" t="str">
        <f>_xlfn.IFNA(VLOOKUP($BD729,Programma!$F$3:$S$1107,14,0),"")</f>
        <v/>
      </c>
      <c r="BR729" s="300" t="str">
        <f>_xlfn.IFNA(VLOOKUP($BD729,Programma!$F$3:$T$1107,15,0),"")</f>
        <v/>
      </c>
      <c r="BS729" s="300" t="str">
        <f>_xlfn.IFNA(VLOOKUP($BD729,Programma!$F$3:$U$1107,16,0),"")</f>
        <v/>
      </c>
      <c r="BT729" s="300" t="str">
        <f>_xlfn.IFNA(VLOOKUP($BD729,Programma!$F$3:$V$1107,17,0),"")</f>
        <v/>
      </c>
      <c r="BU729" s="300" t="str">
        <f>_xlfn.IFNA(VLOOKUP($BD729,Programma!$F$3:$W$1107,18,0),"")</f>
        <v/>
      </c>
      <c r="BV729" s="300" t="str">
        <f>_xlfn.IFNA(VLOOKUP($BD729,Programma!$F$3:$X$1107,19,0),"")</f>
        <v/>
      </c>
      <c r="BW729" s="300" t="str">
        <f>_xlfn.IFNA(VLOOKUP($BD729,Programma!$F$3:$Y$1107,20,0),"")</f>
        <v/>
      </c>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c r="GB729" s="4"/>
      <c r="GC729" s="4"/>
      <c r="GD729" s="4"/>
      <c r="GE729" s="4"/>
      <c r="GF729" s="4"/>
      <c r="GG729" s="4"/>
      <c r="GH729" s="4"/>
      <c r="GI729" s="4"/>
      <c r="GJ729" s="4"/>
      <c r="GK729" s="4"/>
      <c r="GL729" s="4"/>
      <c r="GM729" s="4"/>
      <c r="GN729" s="4"/>
      <c r="GO729" s="4"/>
      <c r="GP729" s="4"/>
      <c r="GQ729" s="4"/>
      <c r="GR729" s="4"/>
      <c r="GS729" s="4"/>
      <c r="GT729" s="4"/>
      <c r="GU729" s="4"/>
      <c r="GV729" s="4"/>
      <c r="GW729" s="4"/>
      <c r="GX729" s="4"/>
      <c r="GY729" s="4"/>
      <c r="GZ729" s="4"/>
      <c r="HA729" s="4"/>
      <c r="HB729" s="4"/>
      <c r="HC729" s="4"/>
      <c r="HD729" s="4"/>
      <c r="HE729" s="4"/>
      <c r="HF729" s="4"/>
      <c r="HG729" s="4"/>
      <c r="HH729" s="4"/>
      <c r="HI729" s="4"/>
      <c r="HJ729" s="4"/>
      <c r="HK729" s="4"/>
      <c r="HL729" s="4"/>
    </row>
    <row r="730" spans="1:220" ht="15" customHeight="1">
      <c r="A730" s="21">
        <v>8</v>
      </c>
      <c r="B730" s="157" t="str">
        <f>VLOOKUP(Ruimtestaat[[#This Row],[Code]],Locaties[[Code]:[Locatie]],2,FALSE)</f>
        <v>Dalton College</v>
      </c>
      <c r="C730" s="157" t="str">
        <f>VLOOKUP(Ruimtestaat[[#This Row],[Code]],Locaties[[#All],[Code]:[Adres]],4,FALSE)</f>
        <v>Loolaan 125</v>
      </c>
      <c r="D730" s="157" t="str">
        <f>VLOOKUP(Ruimtestaat[[#This Row],[Code]],Locaties[[#All],[Code]:[Postcode]],5,FALSE)</f>
        <v xml:space="preserve">2271 TM </v>
      </c>
      <c r="E730" s="157" t="str">
        <f>VLOOKUP(Ruimtestaat[[#This Row],[Code]],Locaties[#All],6,FALSE)</f>
        <v>Voorburg</v>
      </c>
      <c r="F730" s="62"/>
      <c r="G730" s="21" t="s">
        <v>1632</v>
      </c>
      <c r="H730" s="21">
        <v>67</v>
      </c>
      <c r="I730" s="62" t="s">
        <v>2229</v>
      </c>
      <c r="J730" s="21">
        <v>2</v>
      </c>
      <c r="K730" s="62" t="str">
        <f>VLOOKUP(Ruimtestaat[[#This Row],[Ruimte code]],Ruimtegroepen[[#All],[Code]:[Ruimte omschrijving]],2,FALSE)</f>
        <v>Kantoren</v>
      </c>
      <c r="L730" s="33" t="s">
        <v>101</v>
      </c>
      <c r="M730" s="367" t="s">
        <v>2495</v>
      </c>
      <c r="N730" s="140">
        <v>15</v>
      </c>
      <c r="O730" s="140"/>
      <c r="P730" s="125" t="str">
        <f>VLOOKUP(Ruimtestaat[[#This Row],[Ruimte code]],Ruimtegroepen[],4,FALSE)</f>
        <v>Bu</v>
      </c>
      <c r="R730" s="33">
        <v>42</v>
      </c>
      <c r="S730" s="33" t="s">
        <v>18</v>
      </c>
      <c r="T730" s="33">
        <f>IF(R730&gt;0,IF(RIGHT(Ruimtestaat[[#This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30" s="33">
        <f>IF(T730&gt;0,VLOOKUP($J730,Ruimtegroepen[],3,FALSE)*VLOOKUP($L730,Vloersoorten[],3,FALSE)*VLOOKUP($S730,Frequenties[],3,FALSE)*VLOOKUP($A730,Locaties[],3,FALSE),0)</f>
        <v>0</v>
      </c>
      <c r="V730" s="33">
        <f>Ruimtestaat[[#This Row],[Uitvoeringen werkdagen]]*Ruimtestaat[[#This Row],[Oppervlak (netto)]]</f>
        <v>1890</v>
      </c>
      <c r="W730" s="154">
        <f>IF(U730&gt;0,Ruimtestaat[[#This Row],[Prest. (m2 /jaar) werkdagen]]/Ruimtestaat[[#This Row],[Norm (m2/uur) werkdagen]],0)</f>
        <v>0</v>
      </c>
      <c r="X730" s="155">
        <f>Ruimtestaat[[#This Row],[uren / jaar werkdagen]]*Tariefsopbouw!$E$35</f>
        <v>0</v>
      </c>
      <c r="Y730" s="33"/>
      <c r="Z730" s="33">
        <f>IF(Ruimtestaat[[#This Row],[Frequentie weekend]]&gt;0,VALUE(LEFT(Y730,1))*R730,0)</f>
        <v>0</v>
      </c>
      <c r="AA730" s="97">
        <f>IF($Z730&gt;0,VLOOKUP($J730,Ruimtegroepen[],3,FALSE)*VLOOKUP($L730,Vloersoorten[],3,FALSE)*VLOOKUP($Y730,Frequenties[],3,FALSE)*VLOOKUP(Ruimtestaat[[#This Row],[Code]],Locaties[],3,FALSE),0)</f>
        <v>0</v>
      </c>
      <c r="AB730" s="97">
        <f>Ruimtestaat[[#This Row],[Uitvoeringen weekend]]*Ruimtestaat[[#This Row],[Oppervlak (netto)]]</f>
        <v>0</v>
      </c>
      <c r="AC730" s="97">
        <f>IF(AA730&gt;0,Ruimtestaat[[#This Row],[Prest. (m2 /jaar) weekend]]/Ruimtestaat[[#This Row],[Norm (m2/uur) weekend]],0)</f>
        <v>0</v>
      </c>
      <c r="AD730" s="155">
        <f>Ruimtestaat[[#This Row],[uren / jaar weekend]]*Tariefsopbouw!$D$40</f>
        <v>0</v>
      </c>
      <c r="AE730" s="154">
        <f>Ruimtestaat[[#This Row],[Prest. (m2 /jaar) weekend]]+Ruimtestaat[[#This Row],[Prest. (m2 /jaar) werkdagen]]</f>
        <v>1890</v>
      </c>
      <c r="AF730" s="154">
        <f>Ruimtestaat[[#This Row],[uren / jaar weekend]]+Ruimtestaat[[#This Row],[uren / jaar werkdagen]]</f>
        <v>0</v>
      </c>
      <c r="AG730" s="69">
        <f>Ruimtestaat[[#This Row],[kosten / jaar weekend]]+Ruimtestaat[[#This Row],[kosten / jaar werkdagen]]</f>
        <v>0</v>
      </c>
      <c r="AH730" s="69"/>
      <c r="AI730" s="256" t="str">
        <f>IF(Ruimtestaat[[#This Row],[Frequentie werkdagen]]="","",_xlfn.CONCAT(Ruimtestaat[[#This Row],[Ruimte code]],"-",Ruimtestaat[[#This Row],[Frequentie werkdagen]]," ",Ruimtestaat[[#This Row],[Vloer code]]))</f>
        <v>2-3w L</v>
      </c>
      <c r="AJ730" s="300" t="str">
        <f>_xlfn.IFNA(VLOOKUP($AI730,Programma!$F$3:$G$1107,2,0),"")</f>
        <v>_</v>
      </c>
      <c r="AK730" s="300" t="str">
        <f>_xlfn.IFNA(VLOOKUP($AI730,Programma!$F$3:$H$1107,3,0),"")</f>
        <v>_</v>
      </c>
      <c r="AL730" s="300" t="str">
        <f>_xlfn.IFNA(VLOOKUP($AI730,Programma!$F$3:$I$1107,4,0),"")</f>
        <v>2w</v>
      </c>
      <c r="AM730" s="300" t="str">
        <f>_xlfn.IFNA(VLOOKUP($AI730,Programma!$F$3:$J$1107,5,0),"")</f>
        <v>1w</v>
      </c>
      <c r="AN730" s="300" t="str">
        <f>_xlfn.IFNA(VLOOKUP($AI730,Programma!$F$3:$K$1107,6,0),"")</f>
        <v>_</v>
      </c>
      <c r="AO730" s="300" t="str">
        <f>_xlfn.IFNA(VLOOKUP($AI730,Programma!$F$3:$L$1107,7,0),"")</f>
        <v>_</v>
      </c>
      <c r="AP730" s="300" t="str">
        <f>_xlfn.IFNA(VLOOKUP($AI730,Programma!$F$3:$M$1107,8,0),"")</f>
        <v>_</v>
      </c>
      <c r="AQ730" s="300" t="str">
        <f>_xlfn.IFNA(VLOOKUP($AI730,Programma!$F$3:$N$1107,9,0),"")</f>
        <v>_</v>
      </c>
      <c r="AR730" s="300" t="str">
        <f>_xlfn.IFNA(VLOOKUP($AI730,Programma!$F$3:$O$1107,10,0),"")</f>
        <v>3w</v>
      </c>
      <c r="AS730" s="300" t="str">
        <f>_xlfn.IFNA(VLOOKUP($AI730,Programma!$F$3:$P$1107,11,0),"")</f>
        <v>3w</v>
      </c>
      <c r="AT730" s="300" t="str">
        <f>_xlfn.IFNA(VLOOKUP($AI730,Programma!$F$3:$Q$1107,12,0),"")</f>
        <v>1w</v>
      </c>
      <c r="AU730" s="300" t="str">
        <f>_xlfn.IFNA(VLOOKUP($AI730,Programma!$F$3:$R$1107,13,0),"")</f>
        <v>1w</v>
      </c>
      <c r="AV730" s="300" t="str">
        <f>_xlfn.IFNA(VLOOKUP($AI730,Programma!$F$3:$S$1107,14,0),"")</f>
        <v>1m</v>
      </c>
      <c r="AW730" s="300" t="str">
        <f>_xlfn.IFNA(VLOOKUP($AI730,Programma!$F$3:$T$1107,15,0),"")</f>
        <v>2j</v>
      </c>
      <c r="AX730" s="300" t="str">
        <f>_xlfn.IFNA(VLOOKUP($AI730,Programma!$F$3:$U$1107,16,0),"")</f>
        <v>1j</v>
      </c>
      <c r="AY730" s="300" t="str">
        <f>_xlfn.IFNA(VLOOKUP($AI730,Programma!$F$3:$V$1107,17,0),"")</f>
        <v>_</v>
      </c>
      <c r="AZ730" s="300" t="str">
        <f>_xlfn.IFNA(VLOOKUP($AI730,Programma!$F$3:$W$1107,18,0),"")</f>
        <v>_</v>
      </c>
      <c r="BA730" s="300" t="str">
        <f>_xlfn.IFNA(VLOOKUP($AI730,Programma!$F$3:$X$1107,19,0),"")</f>
        <v>_</v>
      </c>
      <c r="BB730" s="300" t="str">
        <f>_xlfn.IFNA(VLOOKUP($AI730,Programma!$F$3:$Y$1107,20,0),"")</f>
        <v>_</v>
      </c>
      <c r="BC730" s="257"/>
      <c r="BD730" s="256" t="str">
        <f>IF(Ruimtestaat[[#This Row],[Frequentie weekend]]="","",_xlfn.CONCAT(Ruimtestaat[[#This Row],[Ruimte code]],"-",Ruimtestaat[[#This Row],[Frequentie weekend]]," ",Ruimtestaat[[#This Row],[Vloer code]]))</f>
        <v/>
      </c>
      <c r="BE730" s="300" t="str">
        <f>_xlfn.IFNA(VLOOKUP($BD730,Programma!$F$3:$G$1107,2,0),"")</f>
        <v/>
      </c>
      <c r="BF730" s="300" t="str">
        <f>_xlfn.IFNA(VLOOKUP($BD730,Programma!$F$3:$H$1107,3,0),"")</f>
        <v/>
      </c>
      <c r="BG730" s="300" t="str">
        <f>_xlfn.IFNA(VLOOKUP($BD730,Programma!$F$3:$I$1107,4,0),"")</f>
        <v/>
      </c>
      <c r="BH730" s="300" t="str">
        <f>_xlfn.IFNA(VLOOKUP($BD730,Programma!$F$3:$J$1107,5,0),"")</f>
        <v/>
      </c>
      <c r="BI730" s="300" t="str">
        <f>_xlfn.IFNA(VLOOKUP($BD730,Programma!$F$3:$K$1107,6,0),"")</f>
        <v/>
      </c>
      <c r="BJ730" s="300" t="str">
        <f>_xlfn.IFNA(VLOOKUP($BD730,Programma!$F$3:$L$1107,7,0),"")</f>
        <v/>
      </c>
      <c r="BK730" s="300" t="str">
        <f>_xlfn.IFNA(VLOOKUP($BD730,Programma!$F$3:$M$1107,8,0),"")</f>
        <v/>
      </c>
      <c r="BL730" s="300" t="str">
        <f>_xlfn.IFNA(VLOOKUP($BD730,Programma!$F$3:$N$1107,9,0),"")</f>
        <v/>
      </c>
      <c r="BM730" s="300" t="str">
        <f>_xlfn.IFNA(VLOOKUP($BD730,Programma!$F$3:$O$1107,10,0),"")</f>
        <v/>
      </c>
      <c r="BN730" s="300" t="str">
        <f>_xlfn.IFNA(VLOOKUP($BD730,Programma!$F$3:$P$1107,11,0),"")</f>
        <v/>
      </c>
      <c r="BO730" s="300" t="str">
        <f>_xlfn.IFNA(VLOOKUP($BD730,Programma!$F$3:$Q$1107,12,0),"")</f>
        <v/>
      </c>
      <c r="BP730" s="300" t="str">
        <f>_xlfn.IFNA(VLOOKUP($BD730,Programma!$F$3:$R$1107,13,0),"")</f>
        <v/>
      </c>
      <c r="BQ730" s="300" t="str">
        <f>_xlfn.IFNA(VLOOKUP($BD730,Programma!$F$3:$S$1107,14,0),"")</f>
        <v/>
      </c>
      <c r="BR730" s="300" t="str">
        <f>_xlfn.IFNA(VLOOKUP($BD730,Programma!$F$3:$T$1107,15,0),"")</f>
        <v/>
      </c>
      <c r="BS730" s="300" t="str">
        <f>_xlfn.IFNA(VLOOKUP($BD730,Programma!$F$3:$U$1107,16,0),"")</f>
        <v/>
      </c>
      <c r="BT730" s="300" t="str">
        <f>_xlfn.IFNA(VLOOKUP($BD730,Programma!$F$3:$V$1107,17,0),"")</f>
        <v/>
      </c>
      <c r="BU730" s="300" t="str">
        <f>_xlfn.IFNA(VLOOKUP($BD730,Programma!$F$3:$W$1107,18,0),"")</f>
        <v/>
      </c>
      <c r="BV730" s="300" t="str">
        <f>_xlfn.IFNA(VLOOKUP($BD730,Programma!$F$3:$X$1107,19,0),"")</f>
        <v/>
      </c>
      <c r="BW730" s="300" t="str">
        <f>_xlfn.IFNA(VLOOKUP($BD730,Programma!$F$3:$Y$1107,20,0),"")</f>
        <v/>
      </c>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c r="GK730" s="4"/>
      <c r="GL730" s="4"/>
      <c r="GM730" s="4"/>
      <c r="GN730" s="4"/>
      <c r="GO730" s="4"/>
      <c r="GP730" s="4"/>
      <c r="GQ730" s="4"/>
      <c r="GR730" s="4"/>
      <c r="GS730" s="4"/>
      <c r="GT730" s="4"/>
      <c r="GU730" s="4"/>
      <c r="GV730" s="4"/>
      <c r="GW730" s="4"/>
      <c r="GX730" s="4"/>
      <c r="GY730" s="4"/>
      <c r="GZ730" s="4"/>
      <c r="HA730" s="4"/>
      <c r="HB730" s="4"/>
      <c r="HC730" s="4"/>
      <c r="HD730" s="4"/>
      <c r="HE730" s="4"/>
      <c r="HF730" s="4"/>
      <c r="HG730" s="4"/>
      <c r="HH730" s="4"/>
      <c r="HI730" s="4"/>
      <c r="HJ730" s="4"/>
      <c r="HK730" s="4"/>
      <c r="HL730" s="4"/>
    </row>
    <row r="731" spans="1:220" ht="15" customHeight="1">
      <c r="A731" s="21">
        <v>8</v>
      </c>
      <c r="B731" s="157" t="str">
        <f>VLOOKUP(Ruimtestaat[[#This Row],[Code]],Locaties[[Code]:[Locatie]],2,FALSE)</f>
        <v>Dalton College</v>
      </c>
      <c r="C731" s="157" t="str">
        <f>VLOOKUP(Ruimtestaat[[#This Row],[Code]],Locaties[[#All],[Code]:[Adres]],4,FALSE)</f>
        <v>Loolaan 125</v>
      </c>
      <c r="D731" s="157" t="str">
        <f>VLOOKUP(Ruimtestaat[[#This Row],[Code]],Locaties[[#All],[Code]:[Postcode]],5,FALSE)</f>
        <v xml:space="preserve">2271 TM </v>
      </c>
      <c r="E731" s="157" t="str">
        <f>VLOOKUP(Ruimtestaat[[#This Row],[Code]],Locaties[#All],6,FALSE)</f>
        <v>Voorburg</v>
      </c>
      <c r="F731" s="62"/>
      <c r="G731" s="21" t="s">
        <v>1632</v>
      </c>
      <c r="H731" s="21">
        <v>68</v>
      </c>
      <c r="I731" s="62" t="s">
        <v>1639</v>
      </c>
      <c r="J731" s="21">
        <v>5</v>
      </c>
      <c r="K731" s="62" t="str">
        <f>VLOOKUP(Ruimtestaat[[#This Row],[Ruimte code]],Ruimtegroepen[[#All],[Code]:[Ruimte omschrijving]],2,FALSE)</f>
        <v>Sanitair</v>
      </c>
      <c r="L731" s="33" t="s">
        <v>102</v>
      </c>
      <c r="M731" s="367" t="s">
        <v>2496</v>
      </c>
      <c r="N731" s="140">
        <v>6</v>
      </c>
      <c r="O731" s="140"/>
      <c r="P731" s="125" t="str">
        <f>VLOOKUP(Ruimtestaat[[#This Row],[Ruimte code]],Ruimtegroepen[],4,FALSE)</f>
        <v>Sa</v>
      </c>
      <c r="R731" s="33">
        <v>40</v>
      </c>
      <c r="S731" s="33" t="s">
        <v>2</v>
      </c>
      <c r="T731" s="33">
        <f>IF(R731&gt;0,IF(RIGHT(Ruimtestaat[[#This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1" s="33">
        <f>IF(T731&gt;0,VLOOKUP($J731,Ruimtegroepen[],3,FALSE)*VLOOKUP($L731,Vloersoorten[],3,FALSE)*VLOOKUP($S731,Frequenties[],3,FALSE)*VLOOKUP($A731,Locaties[],3,FALSE),0)</f>
        <v>0</v>
      </c>
      <c r="V731" s="33">
        <f>Ruimtestaat[[#This Row],[Uitvoeringen werkdagen]]*Ruimtestaat[[#This Row],[Oppervlak (netto)]]</f>
        <v>1200</v>
      </c>
      <c r="W731" s="154">
        <f>IF(U731&gt;0,Ruimtestaat[[#This Row],[Prest. (m2 /jaar) werkdagen]]/Ruimtestaat[[#This Row],[Norm (m2/uur) werkdagen]],0)</f>
        <v>0</v>
      </c>
      <c r="X731" s="155">
        <f>Ruimtestaat[[#This Row],[uren / jaar werkdagen]]*Tariefsopbouw!$E$35</f>
        <v>0</v>
      </c>
      <c r="Y731" s="33"/>
      <c r="Z731" s="33">
        <f>IF(Ruimtestaat[[#This Row],[Frequentie weekend]]&gt;0,VALUE(LEFT(Y731,1))*R731,0)</f>
        <v>0</v>
      </c>
      <c r="AA731" s="97">
        <f>IF($Z731&gt;0,VLOOKUP($J731,Ruimtegroepen[],3,FALSE)*VLOOKUP($L731,Vloersoorten[],3,FALSE)*VLOOKUP($Y731,Frequenties[],3,FALSE)*VLOOKUP(Ruimtestaat[[#This Row],[Code]],Locaties[],3,FALSE),0)</f>
        <v>0</v>
      </c>
      <c r="AB731" s="97">
        <f>Ruimtestaat[[#This Row],[Uitvoeringen weekend]]*Ruimtestaat[[#This Row],[Oppervlak (netto)]]</f>
        <v>0</v>
      </c>
      <c r="AC731" s="97">
        <f>IF(AA731&gt;0,Ruimtestaat[[#This Row],[Prest. (m2 /jaar) weekend]]/Ruimtestaat[[#This Row],[Norm (m2/uur) weekend]],0)</f>
        <v>0</v>
      </c>
      <c r="AD731" s="155">
        <f>Ruimtestaat[[#This Row],[uren / jaar weekend]]*Tariefsopbouw!$D$40</f>
        <v>0</v>
      </c>
      <c r="AE731" s="154">
        <f>Ruimtestaat[[#This Row],[Prest. (m2 /jaar) weekend]]+Ruimtestaat[[#This Row],[Prest. (m2 /jaar) werkdagen]]</f>
        <v>1200</v>
      </c>
      <c r="AF731" s="154">
        <f>Ruimtestaat[[#This Row],[uren / jaar weekend]]+Ruimtestaat[[#This Row],[uren / jaar werkdagen]]</f>
        <v>0</v>
      </c>
      <c r="AG731" s="69">
        <f>Ruimtestaat[[#This Row],[kosten / jaar weekend]]+Ruimtestaat[[#This Row],[kosten / jaar werkdagen]]</f>
        <v>0</v>
      </c>
      <c r="AH731" s="69"/>
      <c r="AI731" s="256" t="str">
        <f>IF(Ruimtestaat[[#This Row],[Frequentie werkdagen]]="","",_xlfn.CONCAT(Ruimtestaat[[#This Row],[Ruimte code]],"-",Ruimtestaat[[#This Row],[Frequentie werkdagen]]," ",Ruimtestaat[[#This Row],[Vloer code]]))</f>
        <v>5-5w S</v>
      </c>
      <c r="AJ731" s="300" t="str">
        <f>_xlfn.IFNA(VLOOKUP($AI731,Programma!$F$3:$G$1107,2,0),"")</f>
        <v>_</v>
      </c>
      <c r="AK731" s="300" t="str">
        <f>_xlfn.IFNA(VLOOKUP($AI731,Programma!$F$3:$H$1107,3,0),"")</f>
        <v>_</v>
      </c>
      <c r="AL731" s="300" t="str">
        <f>_xlfn.IFNA(VLOOKUP($AI731,Programma!$F$3:$I$1107,4,0),"")</f>
        <v>_</v>
      </c>
      <c r="AM731" s="300" t="str">
        <f>_xlfn.IFNA(VLOOKUP($AI731,Programma!$F$3:$J$1107,5,0),"")</f>
        <v>4w</v>
      </c>
      <c r="AN731" s="300" t="str">
        <f>_xlfn.IFNA(VLOOKUP($AI731,Programma!$F$3:$K$1107,6,0),"")</f>
        <v>1w</v>
      </c>
      <c r="AO731" s="300" t="str">
        <f>_xlfn.IFNA(VLOOKUP($AI731,Programma!$F$3:$L$1107,7,0),"")</f>
        <v>_</v>
      </c>
      <c r="AP731" s="300" t="str">
        <f>_xlfn.IFNA(VLOOKUP($AI731,Programma!$F$3:$M$1107,8,0),"")</f>
        <v>_</v>
      </c>
      <c r="AQ731" s="300" t="str">
        <f>_xlfn.IFNA(VLOOKUP($AI731,Programma!$F$3:$N$1107,9,0),"")</f>
        <v>_</v>
      </c>
      <c r="AR731" s="300" t="str">
        <f>_xlfn.IFNA(VLOOKUP($AI731,Programma!$F$3:$O$1107,10,0),"")</f>
        <v>_</v>
      </c>
      <c r="AS731" s="300" t="str">
        <f>_xlfn.IFNA(VLOOKUP($AI731,Programma!$F$3:$P$1107,11,0),"")</f>
        <v>_</v>
      </c>
      <c r="AT731" s="300" t="str">
        <f>_xlfn.IFNA(VLOOKUP($AI731,Programma!$F$3:$Q$1107,12,0),"")</f>
        <v>_</v>
      </c>
      <c r="AU731" s="300" t="str">
        <f>_xlfn.IFNA(VLOOKUP($AI731,Programma!$F$3:$R$1107,13,0),"")</f>
        <v>_</v>
      </c>
      <c r="AV731" s="300" t="str">
        <f>_xlfn.IFNA(VLOOKUP($AI731,Programma!$F$3:$S$1107,14,0),"")</f>
        <v>_</v>
      </c>
      <c r="AW731" s="300" t="str">
        <f>_xlfn.IFNA(VLOOKUP($AI731,Programma!$F$3:$T$1107,15,0),"")</f>
        <v>_</v>
      </c>
      <c r="AX731" s="300" t="str">
        <f>_xlfn.IFNA(VLOOKUP($AI731,Programma!$F$3:$U$1107,16,0),"")</f>
        <v>_</v>
      </c>
      <c r="AY731" s="300" t="str">
        <f>_xlfn.IFNA(VLOOKUP($AI731,Programma!$F$3:$V$1107,17,0),"")</f>
        <v>_</v>
      </c>
      <c r="AZ731" s="300" t="str">
        <f>_xlfn.IFNA(VLOOKUP($AI731,Programma!$F$3:$W$1107,18,0),"")</f>
        <v>4w</v>
      </c>
      <c r="BA731" s="300" t="str">
        <f>_xlfn.IFNA(VLOOKUP($AI731,Programma!$F$3:$X$1107,19,0),"")</f>
        <v>1w</v>
      </c>
      <c r="BB731" s="300" t="str">
        <f>_xlfn.IFNA(VLOOKUP($AI731,Programma!$F$3:$Y$1107,20,0),"")</f>
        <v>_</v>
      </c>
      <c r="BC731" s="257"/>
      <c r="BD731" s="256" t="str">
        <f>IF(Ruimtestaat[[#This Row],[Frequentie weekend]]="","",_xlfn.CONCAT(Ruimtestaat[[#This Row],[Ruimte code]],"-",Ruimtestaat[[#This Row],[Frequentie weekend]]," ",Ruimtestaat[[#This Row],[Vloer code]]))</f>
        <v/>
      </c>
      <c r="BE731" s="300" t="str">
        <f>_xlfn.IFNA(VLOOKUP($BD731,Programma!$F$3:$G$1107,2,0),"")</f>
        <v/>
      </c>
      <c r="BF731" s="300" t="str">
        <f>_xlfn.IFNA(VLOOKUP($BD731,Programma!$F$3:$H$1107,3,0),"")</f>
        <v/>
      </c>
      <c r="BG731" s="300" t="str">
        <f>_xlfn.IFNA(VLOOKUP($BD731,Programma!$F$3:$I$1107,4,0),"")</f>
        <v/>
      </c>
      <c r="BH731" s="300" t="str">
        <f>_xlfn.IFNA(VLOOKUP($BD731,Programma!$F$3:$J$1107,5,0),"")</f>
        <v/>
      </c>
      <c r="BI731" s="300" t="str">
        <f>_xlfn.IFNA(VLOOKUP($BD731,Programma!$F$3:$K$1107,6,0),"")</f>
        <v/>
      </c>
      <c r="BJ731" s="300" t="str">
        <f>_xlfn.IFNA(VLOOKUP($BD731,Programma!$F$3:$L$1107,7,0),"")</f>
        <v/>
      </c>
      <c r="BK731" s="300" t="str">
        <f>_xlfn.IFNA(VLOOKUP($BD731,Programma!$F$3:$M$1107,8,0),"")</f>
        <v/>
      </c>
      <c r="BL731" s="300" t="str">
        <f>_xlfn.IFNA(VLOOKUP($BD731,Programma!$F$3:$N$1107,9,0),"")</f>
        <v/>
      </c>
      <c r="BM731" s="300" t="str">
        <f>_xlfn.IFNA(VLOOKUP($BD731,Programma!$F$3:$O$1107,10,0),"")</f>
        <v/>
      </c>
      <c r="BN731" s="300" t="str">
        <f>_xlfn.IFNA(VLOOKUP($BD731,Programma!$F$3:$P$1107,11,0),"")</f>
        <v/>
      </c>
      <c r="BO731" s="300" t="str">
        <f>_xlfn.IFNA(VLOOKUP($BD731,Programma!$F$3:$Q$1107,12,0),"")</f>
        <v/>
      </c>
      <c r="BP731" s="300" t="str">
        <f>_xlfn.IFNA(VLOOKUP($BD731,Programma!$F$3:$R$1107,13,0),"")</f>
        <v/>
      </c>
      <c r="BQ731" s="300" t="str">
        <f>_xlfn.IFNA(VLOOKUP($BD731,Programma!$F$3:$S$1107,14,0),"")</f>
        <v/>
      </c>
      <c r="BR731" s="300" t="str">
        <f>_xlfn.IFNA(VLOOKUP($BD731,Programma!$F$3:$T$1107,15,0),"")</f>
        <v/>
      </c>
      <c r="BS731" s="300" t="str">
        <f>_xlfn.IFNA(VLOOKUP($BD731,Programma!$F$3:$U$1107,16,0),"")</f>
        <v/>
      </c>
      <c r="BT731" s="300" t="str">
        <f>_xlfn.IFNA(VLOOKUP($BD731,Programma!$F$3:$V$1107,17,0),"")</f>
        <v/>
      </c>
      <c r="BU731" s="300" t="str">
        <f>_xlfn.IFNA(VLOOKUP($BD731,Programma!$F$3:$W$1107,18,0),"")</f>
        <v/>
      </c>
      <c r="BV731" s="300" t="str">
        <f>_xlfn.IFNA(VLOOKUP($BD731,Programma!$F$3:$X$1107,19,0),"")</f>
        <v/>
      </c>
      <c r="BW731" s="300" t="str">
        <f>_xlfn.IFNA(VLOOKUP($BD731,Programma!$F$3:$Y$1107,20,0),"")</f>
        <v/>
      </c>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c r="GK731" s="4"/>
      <c r="GL731" s="4"/>
      <c r="GM731" s="4"/>
      <c r="GN731" s="4"/>
      <c r="GO731" s="4"/>
      <c r="GP731" s="4"/>
      <c r="GQ731" s="4"/>
      <c r="GR731" s="4"/>
      <c r="GS731" s="4"/>
      <c r="GT731" s="4"/>
      <c r="GU731" s="4"/>
      <c r="GV731" s="4"/>
      <c r="GW731" s="4"/>
      <c r="GX731" s="4"/>
      <c r="GY731" s="4"/>
      <c r="GZ731" s="4"/>
      <c r="HA731" s="4"/>
      <c r="HB731" s="4"/>
      <c r="HC731" s="4"/>
      <c r="HD731" s="4"/>
      <c r="HE731" s="4"/>
      <c r="HF731" s="4"/>
      <c r="HG731" s="4"/>
      <c r="HH731" s="4"/>
      <c r="HI731" s="4"/>
      <c r="HJ731" s="4"/>
      <c r="HK731" s="4"/>
      <c r="HL731" s="4"/>
    </row>
    <row r="732" spans="1:220" ht="15" customHeight="1">
      <c r="A732" s="21">
        <v>8</v>
      </c>
      <c r="B732" s="157" t="str">
        <f>VLOOKUP(Ruimtestaat[[#This Row],[Code]],Locaties[[Code]:[Locatie]],2,FALSE)</f>
        <v>Dalton College</v>
      </c>
      <c r="C732" s="157" t="str">
        <f>VLOOKUP(Ruimtestaat[[#This Row],[Code]],Locaties[[#All],[Code]:[Adres]],4,FALSE)</f>
        <v>Loolaan 125</v>
      </c>
      <c r="D732" s="157" t="str">
        <f>VLOOKUP(Ruimtestaat[[#This Row],[Code]],Locaties[[#All],[Code]:[Postcode]],5,FALSE)</f>
        <v xml:space="preserve">2271 TM </v>
      </c>
      <c r="E732" s="157" t="str">
        <f>VLOOKUP(Ruimtestaat[[#This Row],[Code]],Locaties[#All],6,FALSE)</f>
        <v>Voorburg</v>
      </c>
      <c r="F732" s="62"/>
      <c r="G732" s="21" t="s">
        <v>1632</v>
      </c>
      <c r="H732" s="21">
        <v>69</v>
      </c>
      <c r="I732" s="62" t="s">
        <v>1640</v>
      </c>
      <c r="J732" s="21">
        <v>5</v>
      </c>
      <c r="K732" s="62" t="str">
        <f>VLOOKUP(Ruimtestaat[[#This Row],[Ruimte code]],Ruimtegroepen[[#All],[Code]:[Ruimte omschrijving]],2,FALSE)</f>
        <v>Sanitair</v>
      </c>
      <c r="L732" s="33" t="s">
        <v>102</v>
      </c>
      <c r="M732" s="367" t="s">
        <v>2496</v>
      </c>
      <c r="N732" s="140">
        <v>6</v>
      </c>
      <c r="O732" s="140"/>
      <c r="P732" s="125" t="str">
        <f>VLOOKUP(Ruimtestaat[[#This Row],[Ruimte code]],Ruimtegroepen[],4,FALSE)</f>
        <v>Sa</v>
      </c>
      <c r="R732" s="33">
        <v>40</v>
      </c>
      <c r="S732" s="33" t="s">
        <v>2</v>
      </c>
      <c r="T732" s="33">
        <f>IF(R732&gt;0,IF(RIGHT(Ruimtestaat[[#This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2" s="33">
        <f>IF(T732&gt;0,VLOOKUP($J732,Ruimtegroepen[],3,FALSE)*VLOOKUP($L732,Vloersoorten[],3,FALSE)*VLOOKUP($S732,Frequenties[],3,FALSE)*VLOOKUP($A732,Locaties[],3,FALSE),0)</f>
        <v>0</v>
      </c>
      <c r="V732" s="33">
        <f>Ruimtestaat[[#This Row],[Uitvoeringen werkdagen]]*Ruimtestaat[[#This Row],[Oppervlak (netto)]]</f>
        <v>1200</v>
      </c>
      <c r="W732" s="154">
        <f>IF(U732&gt;0,Ruimtestaat[[#This Row],[Prest. (m2 /jaar) werkdagen]]/Ruimtestaat[[#This Row],[Norm (m2/uur) werkdagen]],0)</f>
        <v>0</v>
      </c>
      <c r="X732" s="155">
        <f>Ruimtestaat[[#This Row],[uren / jaar werkdagen]]*Tariefsopbouw!$E$35</f>
        <v>0</v>
      </c>
      <c r="Y732" s="33"/>
      <c r="Z732" s="33">
        <f>IF(Ruimtestaat[[#This Row],[Frequentie weekend]]&gt;0,VALUE(LEFT(Y732,1))*R732,0)</f>
        <v>0</v>
      </c>
      <c r="AA732" s="97">
        <f>IF($Z732&gt;0,VLOOKUP($J732,Ruimtegroepen[],3,FALSE)*VLOOKUP($L732,Vloersoorten[],3,FALSE)*VLOOKUP($Y732,Frequenties[],3,FALSE)*VLOOKUP(Ruimtestaat[[#This Row],[Code]],Locaties[],3,FALSE),0)</f>
        <v>0</v>
      </c>
      <c r="AB732" s="97">
        <f>Ruimtestaat[[#This Row],[Uitvoeringen weekend]]*Ruimtestaat[[#This Row],[Oppervlak (netto)]]</f>
        <v>0</v>
      </c>
      <c r="AC732" s="97">
        <f>IF(AA732&gt;0,Ruimtestaat[[#This Row],[Prest. (m2 /jaar) weekend]]/Ruimtestaat[[#This Row],[Norm (m2/uur) weekend]],0)</f>
        <v>0</v>
      </c>
      <c r="AD732" s="155">
        <f>Ruimtestaat[[#This Row],[uren / jaar weekend]]*Tariefsopbouw!$D$40</f>
        <v>0</v>
      </c>
      <c r="AE732" s="154">
        <f>Ruimtestaat[[#This Row],[Prest. (m2 /jaar) weekend]]+Ruimtestaat[[#This Row],[Prest. (m2 /jaar) werkdagen]]</f>
        <v>1200</v>
      </c>
      <c r="AF732" s="154">
        <f>Ruimtestaat[[#This Row],[uren / jaar weekend]]+Ruimtestaat[[#This Row],[uren / jaar werkdagen]]</f>
        <v>0</v>
      </c>
      <c r="AG732" s="69">
        <f>Ruimtestaat[[#This Row],[kosten / jaar weekend]]+Ruimtestaat[[#This Row],[kosten / jaar werkdagen]]</f>
        <v>0</v>
      </c>
      <c r="AH732" s="69"/>
      <c r="AI732" s="256" t="str">
        <f>IF(Ruimtestaat[[#This Row],[Frequentie werkdagen]]="","",_xlfn.CONCAT(Ruimtestaat[[#This Row],[Ruimte code]],"-",Ruimtestaat[[#This Row],[Frequentie werkdagen]]," ",Ruimtestaat[[#This Row],[Vloer code]]))</f>
        <v>5-5w S</v>
      </c>
      <c r="AJ732" s="300" t="str">
        <f>_xlfn.IFNA(VLOOKUP($AI732,Programma!$F$3:$G$1107,2,0),"")</f>
        <v>_</v>
      </c>
      <c r="AK732" s="300" t="str">
        <f>_xlfn.IFNA(VLOOKUP($AI732,Programma!$F$3:$H$1107,3,0),"")</f>
        <v>_</v>
      </c>
      <c r="AL732" s="300" t="str">
        <f>_xlfn.IFNA(VLOOKUP($AI732,Programma!$F$3:$I$1107,4,0),"")</f>
        <v>_</v>
      </c>
      <c r="AM732" s="300" t="str">
        <f>_xlfn.IFNA(VLOOKUP($AI732,Programma!$F$3:$J$1107,5,0),"")</f>
        <v>4w</v>
      </c>
      <c r="AN732" s="300" t="str">
        <f>_xlfn.IFNA(VLOOKUP($AI732,Programma!$F$3:$K$1107,6,0),"")</f>
        <v>1w</v>
      </c>
      <c r="AO732" s="300" t="str">
        <f>_xlfn.IFNA(VLOOKUP($AI732,Programma!$F$3:$L$1107,7,0),"")</f>
        <v>_</v>
      </c>
      <c r="AP732" s="300" t="str">
        <f>_xlfn.IFNA(VLOOKUP($AI732,Programma!$F$3:$M$1107,8,0),"")</f>
        <v>_</v>
      </c>
      <c r="AQ732" s="300" t="str">
        <f>_xlfn.IFNA(VLOOKUP($AI732,Programma!$F$3:$N$1107,9,0),"")</f>
        <v>_</v>
      </c>
      <c r="AR732" s="300" t="str">
        <f>_xlfn.IFNA(VLOOKUP($AI732,Programma!$F$3:$O$1107,10,0),"")</f>
        <v>_</v>
      </c>
      <c r="AS732" s="300" t="str">
        <f>_xlfn.IFNA(VLOOKUP($AI732,Programma!$F$3:$P$1107,11,0),"")</f>
        <v>_</v>
      </c>
      <c r="AT732" s="300" t="str">
        <f>_xlfn.IFNA(VLOOKUP($AI732,Programma!$F$3:$Q$1107,12,0),"")</f>
        <v>_</v>
      </c>
      <c r="AU732" s="300" t="str">
        <f>_xlfn.IFNA(VLOOKUP($AI732,Programma!$F$3:$R$1107,13,0),"")</f>
        <v>_</v>
      </c>
      <c r="AV732" s="300" t="str">
        <f>_xlfn.IFNA(VLOOKUP($AI732,Programma!$F$3:$S$1107,14,0),"")</f>
        <v>_</v>
      </c>
      <c r="AW732" s="300" t="str">
        <f>_xlfn.IFNA(VLOOKUP($AI732,Programma!$F$3:$T$1107,15,0),"")</f>
        <v>_</v>
      </c>
      <c r="AX732" s="300" t="str">
        <f>_xlfn.IFNA(VLOOKUP($AI732,Programma!$F$3:$U$1107,16,0),"")</f>
        <v>_</v>
      </c>
      <c r="AY732" s="300" t="str">
        <f>_xlfn.IFNA(VLOOKUP($AI732,Programma!$F$3:$V$1107,17,0),"")</f>
        <v>_</v>
      </c>
      <c r="AZ732" s="300" t="str">
        <f>_xlfn.IFNA(VLOOKUP($AI732,Programma!$F$3:$W$1107,18,0),"")</f>
        <v>4w</v>
      </c>
      <c r="BA732" s="300" t="str">
        <f>_xlfn.IFNA(VLOOKUP($AI732,Programma!$F$3:$X$1107,19,0),"")</f>
        <v>1w</v>
      </c>
      <c r="BB732" s="300" t="str">
        <f>_xlfn.IFNA(VLOOKUP($AI732,Programma!$F$3:$Y$1107,20,0),"")</f>
        <v>_</v>
      </c>
      <c r="BC732" s="257"/>
      <c r="BD732" s="256" t="str">
        <f>IF(Ruimtestaat[[#This Row],[Frequentie weekend]]="","",_xlfn.CONCAT(Ruimtestaat[[#This Row],[Ruimte code]],"-",Ruimtestaat[[#This Row],[Frequentie weekend]]," ",Ruimtestaat[[#This Row],[Vloer code]]))</f>
        <v/>
      </c>
      <c r="BE732" s="300" t="str">
        <f>_xlfn.IFNA(VLOOKUP($BD732,Programma!$F$3:$G$1107,2,0),"")</f>
        <v/>
      </c>
      <c r="BF732" s="300" t="str">
        <f>_xlfn.IFNA(VLOOKUP($BD732,Programma!$F$3:$H$1107,3,0),"")</f>
        <v/>
      </c>
      <c r="BG732" s="300" t="str">
        <f>_xlfn.IFNA(VLOOKUP($BD732,Programma!$F$3:$I$1107,4,0),"")</f>
        <v/>
      </c>
      <c r="BH732" s="300" t="str">
        <f>_xlfn.IFNA(VLOOKUP($BD732,Programma!$F$3:$J$1107,5,0),"")</f>
        <v/>
      </c>
      <c r="BI732" s="300" t="str">
        <f>_xlfn.IFNA(VLOOKUP($BD732,Programma!$F$3:$K$1107,6,0),"")</f>
        <v/>
      </c>
      <c r="BJ732" s="300" t="str">
        <f>_xlfn.IFNA(VLOOKUP($BD732,Programma!$F$3:$L$1107,7,0),"")</f>
        <v/>
      </c>
      <c r="BK732" s="300" t="str">
        <f>_xlfn.IFNA(VLOOKUP($BD732,Programma!$F$3:$M$1107,8,0),"")</f>
        <v/>
      </c>
      <c r="BL732" s="300" t="str">
        <f>_xlfn.IFNA(VLOOKUP($BD732,Programma!$F$3:$N$1107,9,0),"")</f>
        <v/>
      </c>
      <c r="BM732" s="300" t="str">
        <f>_xlfn.IFNA(VLOOKUP($BD732,Programma!$F$3:$O$1107,10,0),"")</f>
        <v/>
      </c>
      <c r="BN732" s="300" t="str">
        <f>_xlfn.IFNA(VLOOKUP($BD732,Programma!$F$3:$P$1107,11,0),"")</f>
        <v/>
      </c>
      <c r="BO732" s="300" t="str">
        <f>_xlfn.IFNA(VLOOKUP($BD732,Programma!$F$3:$Q$1107,12,0),"")</f>
        <v/>
      </c>
      <c r="BP732" s="300" t="str">
        <f>_xlfn.IFNA(VLOOKUP($BD732,Programma!$F$3:$R$1107,13,0),"")</f>
        <v/>
      </c>
      <c r="BQ732" s="300" t="str">
        <f>_xlfn.IFNA(VLOOKUP($BD732,Programma!$F$3:$S$1107,14,0),"")</f>
        <v/>
      </c>
      <c r="BR732" s="300" t="str">
        <f>_xlfn.IFNA(VLOOKUP($BD732,Programma!$F$3:$T$1107,15,0),"")</f>
        <v/>
      </c>
      <c r="BS732" s="300" t="str">
        <f>_xlfn.IFNA(VLOOKUP($BD732,Programma!$F$3:$U$1107,16,0),"")</f>
        <v/>
      </c>
      <c r="BT732" s="300" t="str">
        <f>_xlfn.IFNA(VLOOKUP($BD732,Programma!$F$3:$V$1107,17,0),"")</f>
        <v/>
      </c>
      <c r="BU732" s="300" t="str">
        <f>_xlfn.IFNA(VLOOKUP($BD732,Programma!$F$3:$W$1107,18,0),"")</f>
        <v/>
      </c>
      <c r="BV732" s="300" t="str">
        <f>_xlfn.IFNA(VLOOKUP($BD732,Programma!$F$3:$X$1107,19,0),"")</f>
        <v/>
      </c>
      <c r="BW732" s="300" t="str">
        <f>_xlfn.IFNA(VLOOKUP($BD732,Programma!$F$3:$Y$1107,20,0),"")</f>
        <v/>
      </c>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c r="GK732" s="4"/>
      <c r="GL732" s="4"/>
      <c r="GM732" s="4"/>
      <c r="GN732" s="4"/>
      <c r="GO732" s="4"/>
      <c r="GP732" s="4"/>
      <c r="GQ732" s="4"/>
      <c r="GR732" s="4"/>
      <c r="GS732" s="4"/>
      <c r="GT732" s="4"/>
      <c r="GU732" s="4"/>
      <c r="GV732" s="4"/>
      <c r="GW732" s="4"/>
      <c r="GX732" s="4"/>
      <c r="GY732" s="4"/>
      <c r="GZ732" s="4"/>
      <c r="HA732" s="4"/>
      <c r="HB732" s="4"/>
      <c r="HC732" s="4"/>
      <c r="HD732" s="4"/>
      <c r="HE732" s="4"/>
      <c r="HF732" s="4"/>
      <c r="HG732" s="4"/>
      <c r="HH732" s="4"/>
      <c r="HI732" s="4"/>
      <c r="HJ732" s="4"/>
      <c r="HK732" s="4"/>
      <c r="HL732" s="4"/>
    </row>
    <row r="733" spans="1:220" ht="15" customHeight="1">
      <c r="A733" s="21">
        <v>8</v>
      </c>
      <c r="B733" s="157" t="str">
        <f>VLOOKUP(Ruimtestaat[[#This Row],[Code]],Locaties[[Code]:[Locatie]],2,FALSE)</f>
        <v>Dalton College</v>
      </c>
      <c r="C733" s="157" t="str">
        <f>VLOOKUP(Ruimtestaat[[#This Row],[Code]],Locaties[[#All],[Code]:[Adres]],4,FALSE)</f>
        <v>Loolaan 125</v>
      </c>
      <c r="D733" s="157" t="str">
        <f>VLOOKUP(Ruimtestaat[[#This Row],[Code]],Locaties[[#All],[Code]:[Postcode]],5,FALSE)</f>
        <v xml:space="preserve">2271 TM </v>
      </c>
      <c r="E733" s="157" t="str">
        <f>VLOOKUP(Ruimtestaat[[#This Row],[Code]],Locaties[#All],6,FALSE)</f>
        <v>Voorburg</v>
      </c>
      <c r="F733" s="62"/>
      <c r="G733" s="21" t="s">
        <v>1632</v>
      </c>
      <c r="H733" s="21">
        <v>70</v>
      </c>
      <c r="I733" s="62" t="s">
        <v>1625</v>
      </c>
      <c r="J733" s="21">
        <v>6</v>
      </c>
      <c r="K733" s="62" t="str">
        <f>VLOOKUP(Ruimtestaat[[#This Row],[Ruimte code]],Ruimtegroepen[[#All],[Code]:[Ruimte omschrijving]],2,FALSE)</f>
        <v>Gangen/hallen</v>
      </c>
      <c r="L733" s="33" t="s">
        <v>101</v>
      </c>
      <c r="M733" s="367" t="s">
        <v>2495</v>
      </c>
      <c r="N733" s="140">
        <v>49</v>
      </c>
      <c r="O733" s="140"/>
      <c r="P733" s="125" t="str">
        <f>VLOOKUP(Ruimtestaat[[#This Row],[Ruimte code]],Ruimtegroepen[],4,FALSE)</f>
        <v>Ve</v>
      </c>
      <c r="R733" s="33">
        <v>40</v>
      </c>
      <c r="S733" s="33" t="s">
        <v>2</v>
      </c>
      <c r="T733" s="33">
        <f>IF(R733&gt;0,IF(RIGHT(Ruimtestaat[[#This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3" s="33">
        <f>IF(T733&gt;0,VLOOKUP($J733,Ruimtegroepen[],3,FALSE)*VLOOKUP($L733,Vloersoorten[],3,FALSE)*VLOOKUP($S733,Frequenties[],3,FALSE)*VLOOKUP($A733,Locaties[],3,FALSE),0)</f>
        <v>0</v>
      </c>
      <c r="V733" s="33">
        <f>Ruimtestaat[[#This Row],[Uitvoeringen werkdagen]]*Ruimtestaat[[#This Row],[Oppervlak (netto)]]</f>
        <v>9800</v>
      </c>
      <c r="W733" s="154">
        <f>IF(U733&gt;0,Ruimtestaat[[#This Row],[Prest. (m2 /jaar) werkdagen]]/Ruimtestaat[[#This Row],[Norm (m2/uur) werkdagen]],0)</f>
        <v>0</v>
      </c>
      <c r="X733" s="155">
        <f>Ruimtestaat[[#This Row],[uren / jaar werkdagen]]*Tariefsopbouw!$E$35</f>
        <v>0</v>
      </c>
      <c r="Y733" s="33"/>
      <c r="Z733" s="33">
        <f>IF(Ruimtestaat[[#This Row],[Frequentie weekend]]&gt;0,VALUE(LEFT(Y733,1))*R733,0)</f>
        <v>0</v>
      </c>
      <c r="AA733" s="97">
        <f>IF($Z733&gt;0,VLOOKUP($J733,Ruimtegroepen[],3,FALSE)*VLOOKUP($L733,Vloersoorten[],3,FALSE)*VLOOKUP($Y733,Frequenties[],3,FALSE)*VLOOKUP(Ruimtestaat[[#This Row],[Code]],Locaties[],3,FALSE),0)</f>
        <v>0</v>
      </c>
      <c r="AB733" s="97">
        <f>Ruimtestaat[[#This Row],[Uitvoeringen weekend]]*Ruimtestaat[[#This Row],[Oppervlak (netto)]]</f>
        <v>0</v>
      </c>
      <c r="AC733" s="97">
        <f>IF(AA733&gt;0,Ruimtestaat[[#This Row],[Prest. (m2 /jaar) weekend]]/Ruimtestaat[[#This Row],[Norm (m2/uur) weekend]],0)</f>
        <v>0</v>
      </c>
      <c r="AD733" s="155">
        <f>Ruimtestaat[[#This Row],[uren / jaar weekend]]*Tariefsopbouw!$D$40</f>
        <v>0</v>
      </c>
      <c r="AE733" s="154">
        <f>Ruimtestaat[[#This Row],[Prest. (m2 /jaar) weekend]]+Ruimtestaat[[#This Row],[Prest. (m2 /jaar) werkdagen]]</f>
        <v>9800</v>
      </c>
      <c r="AF733" s="154">
        <f>Ruimtestaat[[#This Row],[uren / jaar weekend]]+Ruimtestaat[[#This Row],[uren / jaar werkdagen]]</f>
        <v>0</v>
      </c>
      <c r="AG733" s="69">
        <f>Ruimtestaat[[#This Row],[kosten / jaar weekend]]+Ruimtestaat[[#This Row],[kosten / jaar werkdagen]]</f>
        <v>0</v>
      </c>
      <c r="AH733" s="69"/>
      <c r="AI733" s="256" t="str">
        <f>IF(Ruimtestaat[[#This Row],[Frequentie werkdagen]]="","",_xlfn.CONCAT(Ruimtestaat[[#This Row],[Ruimte code]],"-",Ruimtestaat[[#This Row],[Frequentie werkdagen]]," ",Ruimtestaat[[#This Row],[Vloer code]]))</f>
        <v>6-5w L</v>
      </c>
      <c r="AJ733" s="300" t="str">
        <f>_xlfn.IFNA(VLOOKUP($AI733,Programma!$F$3:$G$1107,2,0),"")</f>
        <v>_</v>
      </c>
      <c r="AK733" s="300" t="str">
        <f>_xlfn.IFNA(VLOOKUP($AI733,Programma!$F$3:$H$1107,3,0),"")</f>
        <v>_</v>
      </c>
      <c r="AL733" s="300" t="str">
        <f>_xlfn.IFNA(VLOOKUP($AI733,Programma!$F$3:$I$1107,4,0),"")</f>
        <v>_</v>
      </c>
      <c r="AM733" s="300" t="str">
        <f>_xlfn.IFNA(VLOOKUP($AI733,Programma!$F$3:$J$1107,5,0),"")</f>
        <v>5w</v>
      </c>
      <c r="AN733" s="300" t="str">
        <f>_xlfn.IFNA(VLOOKUP($AI733,Programma!$F$3:$K$1107,6,0),"")</f>
        <v>_</v>
      </c>
      <c r="AO733" s="300" t="str">
        <f>_xlfn.IFNA(VLOOKUP($AI733,Programma!$F$3:$L$1107,7,0),"")</f>
        <v>_</v>
      </c>
      <c r="AP733" s="300" t="str">
        <f>_xlfn.IFNA(VLOOKUP($AI733,Programma!$F$3:$M$1107,8,0),"")</f>
        <v>_</v>
      </c>
      <c r="AQ733" s="300" t="str">
        <f>_xlfn.IFNA(VLOOKUP($AI733,Programma!$F$3:$N$1107,9,0),"")</f>
        <v>_</v>
      </c>
      <c r="AR733" s="300" t="str">
        <f>_xlfn.IFNA(VLOOKUP($AI733,Programma!$F$3:$O$1107,10,0),"")</f>
        <v>5w</v>
      </c>
      <c r="AS733" s="300" t="str">
        <f>_xlfn.IFNA(VLOOKUP($AI733,Programma!$F$3:$P$1107,11,0),"")</f>
        <v>5w</v>
      </c>
      <c r="AT733" s="300" t="str">
        <f>_xlfn.IFNA(VLOOKUP($AI733,Programma!$F$3:$Q$1107,12,0),"")</f>
        <v>1w</v>
      </c>
      <c r="AU733" s="300" t="str">
        <f>_xlfn.IFNA(VLOOKUP($AI733,Programma!$F$3:$R$1107,13,0),"")</f>
        <v>1w</v>
      </c>
      <c r="AV733" s="300" t="str">
        <f>_xlfn.IFNA(VLOOKUP($AI733,Programma!$F$3:$S$1107,14,0),"")</f>
        <v>1m</v>
      </c>
      <c r="AW733" s="300" t="str">
        <f>_xlfn.IFNA(VLOOKUP($AI733,Programma!$F$3:$T$1107,15,0),"")</f>
        <v>2j</v>
      </c>
      <c r="AX733" s="300" t="str">
        <f>_xlfn.IFNA(VLOOKUP($AI733,Programma!$F$3:$U$1107,16,0),"")</f>
        <v>1j</v>
      </c>
      <c r="AY733" s="300" t="str">
        <f>_xlfn.IFNA(VLOOKUP($AI733,Programma!$F$3:$V$1107,17,0),"")</f>
        <v>_</v>
      </c>
      <c r="AZ733" s="300" t="str">
        <f>_xlfn.IFNA(VLOOKUP($AI733,Programma!$F$3:$W$1107,18,0),"")</f>
        <v>_</v>
      </c>
      <c r="BA733" s="300" t="str">
        <f>_xlfn.IFNA(VLOOKUP($AI733,Programma!$F$3:$X$1107,19,0),"")</f>
        <v>_</v>
      </c>
      <c r="BB733" s="300" t="str">
        <f>_xlfn.IFNA(VLOOKUP($AI733,Programma!$F$3:$Y$1107,20,0),"")</f>
        <v>_</v>
      </c>
      <c r="BC733" s="257"/>
      <c r="BD733" s="256" t="str">
        <f>IF(Ruimtestaat[[#This Row],[Frequentie weekend]]="","",_xlfn.CONCAT(Ruimtestaat[[#This Row],[Ruimte code]],"-",Ruimtestaat[[#This Row],[Frequentie weekend]]," ",Ruimtestaat[[#This Row],[Vloer code]]))</f>
        <v/>
      </c>
      <c r="BE733" s="300" t="str">
        <f>_xlfn.IFNA(VLOOKUP($BD733,Programma!$F$3:$G$1107,2,0),"")</f>
        <v/>
      </c>
      <c r="BF733" s="300" t="str">
        <f>_xlfn.IFNA(VLOOKUP($BD733,Programma!$F$3:$H$1107,3,0),"")</f>
        <v/>
      </c>
      <c r="BG733" s="300" t="str">
        <f>_xlfn.IFNA(VLOOKUP($BD733,Programma!$F$3:$I$1107,4,0),"")</f>
        <v/>
      </c>
      <c r="BH733" s="300" t="str">
        <f>_xlfn.IFNA(VLOOKUP($BD733,Programma!$F$3:$J$1107,5,0),"")</f>
        <v/>
      </c>
      <c r="BI733" s="300" t="str">
        <f>_xlfn.IFNA(VLOOKUP($BD733,Programma!$F$3:$K$1107,6,0),"")</f>
        <v/>
      </c>
      <c r="BJ733" s="300" t="str">
        <f>_xlfn.IFNA(VLOOKUP($BD733,Programma!$F$3:$L$1107,7,0),"")</f>
        <v/>
      </c>
      <c r="BK733" s="300" t="str">
        <f>_xlfn.IFNA(VLOOKUP($BD733,Programma!$F$3:$M$1107,8,0),"")</f>
        <v/>
      </c>
      <c r="BL733" s="300" t="str">
        <f>_xlfn.IFNA(VLOOKUP($BD733,Programma!$F$3:$N$1107,9,0),"")</f>
        <v/>
      </c>
      <c r="BM733" s="300" t="str">
        <f>_xlfn.IFNA(VLOOKUP($BD733,Programma!$F$3:$O$1107,10,0),"")</f>
        <v/>
      </c>
      <c r="BN733" s="300" t="str">
        <f>_xlfn.IFNA(VLOOKUP($BD733,Programma!$F$3:$P$1107,11,0),"")</f>
        <v/>
      </c>
      <c r="BO733" s="300" t="str">
        <f>_xlfn.IFNA(VLOOKUP($BD733,Programma!$F$3:$Q$1107,12,0),"")</f>
        <v/>
      </c>
      <c r="BP733" s="300" t="str">
        <f>_xlfn.IFNA(VLOOKUP($BD733,Programma!$F$3:$R$1107,13,0),"")</f>
        <v/>
      </c>
      <c r="BQ733" s="300" t="str">
        <f>_xlfn.IFNA(VLOOKUP($BD733,Programma!$F$3:$S$1107,14,0),"")</f>
        <v/>
      </c>
      <c r="BR733" s="300" t="str">
        <f>_xlfn.IFNA(VLOOKUP($BD733,Programma!$F$3:$T$1107,15,0),"")</f>
        <v/>
      </c>
      <c r="BS733" s="300" t="str">
        <f>_xlfn.IFNA(VLOOKUP($BD733,Programma!$F$3:$U$1107,16,0),"")</f>
        <v/>
      </c>
      <c r="BT733" s="300" t="str">
        <f>_xlfn.IFNA(VLOOKUP($BD733,Programma!$F$3:$V$1107,17,0),"")</f>
        <v/>
      </c>
      <c r="BU733" s="300" t="str">
        <f>_xlfn.IFNA(VLOOKUP($BD733,Programma!$F$3:$W$1107,18,0),"")</f>
        <v/>
      </c>
      <c r="BV733" s="300" t="str">
        <f>_xlfn.IFNA(VLOOKUP($BD733,Programma!$F$3:$X$1107,19,0),"")</f>
        <v/>
      </c>
      <c r="BW733" s="300" t="str">
        <f>_xlfn.IFNA(VLOOKUP($BD733,Programma!$F$3:$Y$1107,20,0),"")</f>
        <v/>
      </c>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c r="GK733" s="4"/>
      <c r="GL733" s="4"/>
      <c r="GM733" s="4"/>
      <c r="GN733" s="4"/>
      <c r="GO733" s="4"/>
      <c r="GP733" s="4"/>
      <c r="GQ733" s="4"/>
      <c r="GR733" s="4"/>
      <c r="GS733" s="4"/>
      <c r="GT733" s="4"/>
      <c r="GU733" s="4"/>
      <c r="GV733" s="4"/>
      <c r="GW733" s="4"/>
      <c r="GX733" s="4"/>
      <c r="GY733" s="4"/>
      <c r="GZ733" s="4"/>
      <c r="HA733" s="4"/>
      <c r="HB733" s="4"/>
      <c r="HC733" s="4"/>
      <c r="HD733" s="4"/>
      <c r="HE733" s="4"/>
      <c r="HF733" s="4"/>
      <c r="HG733" s="4"/>
      <c r="HH733" s="4"/>
      <c r="HI733" s="4"/>
      <c r="HJ733" s="4"/>
      <c r="HK733" s="4"/>
      <c r="HL733" s="4"/>
    </row>
    <row r="734" spans="1:220" ht="15" customHeight="1">
      <c r="A734" s="21">
        <v>8</v>
      </c>
      <c r="B734" s="157" t="str">
        <f>VLOOKUP(Ruimtestaat[[#This Row],[Code]],Locaties[[Code]:[Locatie]],2,FALSE)</f>
        <v>Dalton College</v>
      </c>
      <c r="C734" s="157" t="str">
        <f>VLOOKUP(Ruimtestaat[[#This Row],[Code]],Locaties[[#All],[Code]:[Adres]],4,FALSE)</f>
        <v>Loolaan 125</v>
      </c>
      <c r="D734" s="157" t="str">
        <f>VLOOKUP(Ruimtestaat[[#This Row],[Code]],Locaties[[#All],[Code]:[Postcode]],5,FALSE)</f>
        <v xml:space="preserve">2271 TM </v>
      </c>
      <c r="E734" s="157" t="str">
        <f>VLOOKUP(Ruimtestaat[[#This Row],[Code]],Locaties[#All],6,FALSE)</f>
        <v>Voorburg</v>
      </c>
      <c r="F734" s="62"/>
      <c r="G734" s="21" t="s">
        <v>1632</v>
      </c>
      <c r="H734" s="21">
        <v>71</v>
      </c>
      <c r="I734" s="62" t="s">
        <v>2223</v>
      </c>
      <c r="J734" s="21">
        <v>10</v>
      </c>
      <c r="K734" s="62" t="str">
        <f>VLOOKUP(Ruimtestaat[[#This Row],[Ruimte code]],Ruimtegroepen[[#All],[Code]:[Ruimte omschrijving]],2,FALSE)</f>
        <v>Trappenhuizen/lift</v>
      </c>
      <c r="L734" s="33" t="s">
        <v>102</v>
      </c>
      <c r="M734" s="367" t="s">
        <v>2509</v>
      </c>
      <c r="N734" s="140">
        <v>8</v>
      </c>
      <c r="O734" s="140"/>
      <c r="P734" s="125" t="str">
        <f>VLOOKUP(Ruimtestaat[[#This Row],[Ruimte code]],Ruimtegroepen[],4,FALSE)</f>
        <v>Ve</v>
      </c>
      <c r="R734" s="33">
        <v>40</v>
      </c>
      <c r="S734" s="33" t="s">
        <v>2</v>
      </c>
      <c r="T734" s="33">
        <f>IF(R734&gt;0,IF(RIGHT(Ruimtestaat[[#This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4" s="33">
        <f>IF(T734&gt;0,VLOOKUP($J734,Ruimtegroepen[],3,FALSE)*VLOOKUP($L734,Vloersoorten[],3,FALSE)*VLOOKUP($S734,Frequenties[],3,FALSE)*VLOOKUP($A734,Locaties[],3,FALSE),0)</f>
        <v>0</v>
      </c>
      <c r="V734" s="33">
        <f>Ruimtestaat[[#This Row],[Uitvoeringen werkdagen]]*Ruimtestaat[[#This Row],[Oppervlak (netto)]]</f>
        <v>1600</v>
      </c>
      <c r="W734" s="154">
        <f>IF(U734&gt;0,Ruimtestaat[[#This Row],[Prest. (m2 /jaar) werkdagen]]/Ruimtestaat[[#This Row],[Norm (m2/uur) werkdagen]],0)</f>
        <v>0</v>
      </c>
      <c r="X734" s="155">
        <f>Ruimtestaat[[#This Row],[uren / jaar werkdagen]]*Tariefsopbouw!$E$35</f>
        <v>0</v>
      </c>
      <c r="Y734" s="33"/>
      <c r="Z734" s="33">
        <f>IF(Ruimtestaat[[#This Row],[Frequentie weekend]]&gt;0,VALUE(LEFT(Y734,1))*R734,0)</f>
        <v>0</v>
      </c>
      <c r="AA734" s="97">
        <f>IF($Z734&gt;0,VLOOKUP($J734,Ruimtegroepen[],3,FALSE)*VLOOKUP($L734,Vloersoorten[],3,FALSE)*VLOOKUP($Y734,Frequenties[],3,FALSE)*VLOOKUP(Ruimtestaat[[#This Row],[Code]],Locaties[],3,FALSE),0)</f>
        <v>0</v>
      </c>
      <c r="AB734" s="97">
        <f>Ruimtestaat[[#This Row],[Uitvoeringen weekend]]*Ruimtestaat[[#This Row],[Oppervlak (netto)]]</f>
        <v>0</v>
      </c>
      <c r="AC734" s="97">
        <f>IF(AA734&gt;0,Ruimtestaat[[#This Row],[Prest. (m2 /jaar) weekend]]/Ruimtestaat[[#This Row],[Norm (m2/uur) weekend]],0)</f>
        <v>0</v>
      </c>
      <c r="AD734" s="155">
        <f>Ruimtestaat[[#This Row],[uren / jaar weekend]]*Tariefsopbouw!$D$40</f>
        <v>0</v>
      </c>
      <c r="AE734" s="154">
        <f>Ruimtestaat[[#This Row],[Prest. (m2 /jaar) weekend]]+Ruimtestaat[[#This Row],[Prest. (m2 /jaar) werkdagen]]</f>
        <v>1600</v>
      </c>
      <c r="AF734" s="154">
        <f>Ruimtestaat[[#This Row],[uren / jaar weekend]]+Ruimtestaat[[#This Row],[uren / jaar werkdagen]]</f>
        <v>0</v>
      </c>
      <c r="AG734" s="69">
        <f>Ruimtestaat[[#This Row],[kosten / jaar weekend]]+Ruimtestaat[[#This Row],[kosten / jaar werkdagen]]</f>
        <v>0</v>
      </c>
      <c r="AH734" s="69"/>
      <c r="AI734" s="256" t="str">
        <f>IF(Ruimtestaat[[#This Row],[Frequentie werkdagen]]="","",_xlfn.CONCAT(Ruimtestaat[[#This Row],[Ruimte code]],"-",Ruimtestaat[[#This Row],[Frequentie werkdagen]]," ",Ruimtestaat[[#This Row],[Vloer code]]))</f>
        <v>10-5w S</v>
      </c>
      <c r="AJ734" s="300" t="str">
        <f>_xlfn.IFNA(VLOOKUP($AI734,Programma!$F$3:$G$1107,2,0),"")</f>
        <v>_</v>
      </c>
      <c r="AK734" s="300" t="str">
        <f>_xlfn.IFNA(VLOOKUP($AI734,Programma!$F$3:$H$1107,3,0),"")</f>
        <v>_</v>
      </c>
      <c r="AL734" s="300" t="str">
        <f>_xlfn.IFNA(VLOOKUP($AI734,Programma!$F$3:$I$1107,4,0),"")</f>
        <v>4w</v>
      </c>
      <c r="AM734" s="300" t="str">
        <f>_xlfn.IFNA(VLOOKUP($AI734,Programma!$F$3:$J$1107,5,0),"")</f>
        <v>1w</v>
      </c>
      <c r="AN734" s="300" t="str">
        <f>_xlfn.IFNA(VLOOKUP($AI734,Programma!$F$3:$K$1107,6,0),"")</f>
        <v>4j</v>
      </c>
      <c r="AO734" s="300" t="str">
        <f>_xlfn.IFNA(VLOOKUP($AI734,Programma!$F$3:$L$1107,7,0),"")</f>
        <v>_</v>
      </c>
      <c r="AP734" s="300" t="str">
        <f>_xlfn.IFNA(VLOOKUP($AI734,Programma!$F$3:$M$1107,8,0),"")</f>
        <v>_</v>
      </c>
      <c r="AQ734" s="300" t="str">
        <f>_xlfn.IFNA(VLOOKUP($AI734,Programma!$F$3:$N$1107,9,0),"")</f>
        <v>_</v>
      </c>
      <c r="AR734" s="300" t="str">
        <f>_xlfn.IFNA(VLOOKUP($AI734,Programma!$F$3:$O$1107,10,0),"")</f>
        <v>5w</v>
      </c>
      <c r="AS734" s="300" t="str">
        <f>_xlfn.IFNA(VLOOKUP($AI734,Programma!$F$3:$P$1107,11,0),"")</f>
        <v>5w</v>
      </c>
      <c r="AT734" s="300" t="str">
        <f>_xlfn.IFNA(VLOOKUP($AI734,Programma!$F$3:$Q$1107,12,0),"")</f>
        <v>1w</v>
      </c>
      <c r="AU734" s="300" t="str">
        <f>_xlfn.IFNA(VLOOKUP($AI734,Programma!$F$3:$R$1107,13,0),"")</f>
        <v>1w</v>
      </c>
      <c r="AV734" s="300" t="str">
        <f>_xlfn.IFNA(VLOOKUP($AI734,Programma!$F$3:$S$1107,14,0),"")</f>
        <v>1m</v>
      </c>
      <c r="AW734" s="300" t="str">
        <f>_xlfn.IFNA(VLOOKUP($AI734,Programma!$F$3:$T$1107,15,0),"")</f>
        <v>2j</v>
      </c>
      <c r="AX734" s="300" t="str">
        <f>_xlfn.IFNA(VLOOKUP($AI734,Programma!$F$3:$U$1107,16,0),"")</f>
        <v>1j</v>
      </c>
      <c r="AY734" s="300" t="str">
        <f>_xlfn.IFNA(VLOOKUP($AI734,Programma!$F$3:$V$1107,17,0),"")</f>
        <v>_</v>
      </c>
      <c r="AZ734" s="300" t="str">
        <f>_xlfn.IFNA(VLOOKUP($AI734,Programma!$F$3:$W$1107,18,0),"")</f>
        <v>_</v>
      </c>
      <c r="BA734" s="300" t="str">
        <f>_xlfn.IFNA(VLOOKUP($AI734,Programma!$F$3:$X$1107,19,0),"")</f>
        <v>_</v>
      </c>
      <c r="BB734" s="300" t="str">
        <f>_xlfn.IFNA(VLOOKUP($AI734,Programma!$F$3:$Y$1107,20,0),"")</f>
        <v>_</v>
      </c>
      <c r="BC734" s="257"/>
      <c r="BD734" s="256" t="str">
        <f>IF(Ruimtestaat[[#This Row],[Frequentie weekend]]="","",_xlfn.CONCAT(Ruimtestaat[[#This Row],[Ruimte code]],"-",Ruimtestaat[[#This Row],[Frequentie weekend]]," ",Ruimtestaat[[#This Row],[Vloer code]]))</f>
        <v/>
      </c>
      <c r="BE734" s="300" t="str">
        <f>_xlfn.IFNA(VLOOKUP($BD734,Programma!$F$3:$G$1107,2,0),"")</f>
        <v/>
      </c>
      <c r="BF734" s="300" t="str">
        <f>_xlfn.IFNA(VLOOKUP($BD734,Programma!$F$3:$H$1107,3,0),"")</f>
        <v/>
      </c>
      <c r="BG734" s="300" t="str">
        <f>_xlfn.IFNA(VLOOKUP($BD734,Programma!$F$3:$I$1107,4,0),"")</f>
        <v/>
      </c>
      <c r="BH734" s="300" t="str">
        <f>_xlfn.IFNA(VLOOKUP($BD734,Programma!$F$3:$J$1107,5,0),"")</f>
        <v/>
      </c>
      <c r="BI734" s="300" t="str">
        <f>_xlfn.IFNA(VLOOKUP($BD734,Programma!$F$3:$K$1107,6,0),"")</f>
        <v/>
      </c>
      <c r="BJ734" s="300" t="str">
        <f>_xlfn.IFNA(VLOOKUP($BD734,Programma!$F$3:$L$1107,7,0),"")</f>
        <v/>
      </c>
      <c r="BK734" s="300" t="str">
        <f>_xlfn.IFNA(VLOOKUP($BD734,Programma!$F$3:$M$1107,8,0),"")</f>
        <v/>
      </c>
      <c r="BL734" s="300" t="str">
        <f>_xlfn.IFNA(VLOOKUP($BD734,Programma!$F$3:$N$1107,9,0),"")</f>
        <v/>
      </c>
      <c r="BM734" s="300" t="str">
        <f>_xlfn.IFNA(VLOOKUP($BD734,Programma!$F$3:$O$1107,10,0),"")</f>
        <v/>
      </c>
      <c r="BN734" s="300" t="str">
        <f>_xlfn.IFNA(VLOOKUP($BD734,Programma!$F$3:$P$1107,11,0),"")</f>
        <v/>
      </c>
      <c r="BO734" s="300" t="str">
        <f>_xlfn.IFNA(VLOOKUP($BD734,Programma!$F$3:$Q$1107,12,0),"")</f>
        <v/>
      </c>
      <c r="BP734" s="300" t="str">
        <f>_xlfn.IFNA(VLOOKUP($BD734,Programma!$F$3:$R$1107,13,0),"")</f>
        <v/>
      </c>
      <c r="BQ734" s="300" t="str">
        <f>_xlfn.IFNA(VLOOKUP($BD734,Programma!$F$3:$S$1107,14,0),"")</f>
        <v/>
      </c>
      <c r="BR734" s="300" t="str">
        <f>_xlfn.IFNA(VLOOKUP($BD734,Programma!$F$3:$T$1107,15,0),"")</f>
        <v/>
      </c>
      <c r="BS734" s="300" t="str">
        <f>_xlfn.IFNA(VLOOKUP($BD734,Programma!$F$3:$U$1107,16,0),"")</f>
        <v/>
      </c>
      <c r="BT734" s="300" t="str">
        <f>_xlfn.IFNA(VLOOKUP($BD734,Programma!$F$3:$V$1107,17,0),"")</f>
        <v/>
      </c>
      <c r="BU734" s="300" t="str">
        <f>_xlfn.IFNA(VLOOKUP($BD734,Programma!$F$3:$W$1107,18,0),"")</f>
        <v/>
      </c>
      <c r="BV734" s="300" t="str">
        <f>_xlfn.IFNA(VLOOKUP($BD734,Programma!$F$3:$X$1107,19,0),"")</f>
        <v/>
      </c>
      <c r="BW734" s="300" t="str">
        <f>_xlfn.IFNA(VLOOKUP($BD734,Programma!$F$3:$Y$1107,20,0),"")</f>
        <v/>
      </c>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c r="GK734" s="4"/>
      <c r="GL734" s="4"/>
      <c r="GM734" s="4"/>
      <c r="GN734" s="4"/>
      <c r="GO734" s="4"/>
      <c r="GP734" s="4"/>
      <c r="GQ734" s="4"/>
      <c r="GR734" s="4"/>
      <c r="GS734" s="4"/>
      <c r="GT734" s="4"/>
      <c r="GU734" s="4"/>
      <c r="GV734" s="4"/>
      <c r="GW734" s="4"/>
      <c r="GX734" s="4"/>
      <c r="GY734" s="4"/>
      <c r="GZ734" s="4"/>
      <c r="HA734" s="4"/>
      <c r="HB734" s="4"/>
      <c r="HC734" s="4"/>
      <c r="HD734" s="4"/>
      <c r="HE734" s="4"/>
      <c r="HF734" s="4"/>
      <c r="HG734" s="4"/>
      <c r="HH734" s="4"/>
      <c r="HI734" s="4"/>
      <c r="HJ734" s="4"/>
      <c r="HK734" s="4"/>
      <c r="HL734" s="4"/>
    </row>
    <row r="735" spans="1:220" ht="15" customHeight="1">
      <c r="A735" s="21">
        <v>8</v>
      </c>
      <c r="B735" s="157" t="str">
        <f>VLOOKUP(Ruimtestaat[[#This Row],[Code]],Locaties[[Code]:[Locatie]],2,FALSE)</f>
        <v>Dalton College</v>
      </c>
      <c r="C735" s="157" t="str">
        <f>VLOOKUP(Ruimtestaat[[#This Row],[Code]],Locaties[[#All],[Code]:[Adres]],4,FALSE)</f>
        <v>Loolaan 125</v>
      </c>
      <c r="D735" s="157" t="str">
        <f>VLOOKUP(Ruimtestaat[[#This Row],[Code]],Locaties[[#All],[Code]:[Postcode]],5,FALSE)</f>
        <v xml:space="preserve">2271 TM </v>
      </c>
      <c r="E735" s="157" t="str">
        <f>VLOOKUP(Ruimtestaat[[#This Row],[Code]],Locaties[#All],6,FALSE)</f>
        <v>Voorburg</v>
      </c>
      <c r="F735" s="62"/>
      <c r="G735" s="21" t="s">
        <v>1632</v>
      </c>
      <c r="H735" s="21">
        <v>72</v>
      </c>
      <c r="I735" s="62" t="s">
        <v>2230</v>
      </c>
      <c r="J735" s="21">
        <v>16</v>
      </c>
      <c r="K735" s="62" t="str">
        <f>VLOOKUP(Ruimtestaat[[#This Row],[Ruimte code]],Ruimtegroepen[[#All],[Code]:[Ruimte omschrijving]],2,FALSE)</f>
        <v>Leslokalen theorie</v>
      </c>
      <c r="L735" s="33" t="s">
        <v>100</v>
      </c>
      <c r="M735" s="367" t="s">
        <v>2493</v>
      </c>
      <c r="N735" s="140">
        <v>8</v>
      </c>
      <c r="O735" s="140"/>
      <c r="P735" s="125" t="str">
        <f>VLOOKUP(Ruimtestaat[[#This Row],[Ruimte code]],Ruimtegroepen[],4,FALSE)</f>
        <v>Le</v>
      </c>
      <c r="R735" s="33">
        <v>40</v>
      </c>
      <c r="S735" s="33" t="s">
        <v>2</v>
      </c>
      <c r="T735" s="33">
        <f>IF(R735&gt;0,IF(RIGHT(Ruimtestaat[[#This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5" s="33">
        <f>IF(T735&gt;0,VLOOKUP($J735,Ruimtegroepen[],3,FALSE)*VLOOKUP($L735,Vloersoorten[],3,FALSE)*VLOOKUP($S735,Frequenties[],3,FALSE)*VLOOKUP($A735,Locaties[],3,FALSE),0)</f>
        <v>0</v>
      </c>
      <c r="V735" s="33">
        <f>Ruimtestaat[[#This Row],[Uitvoeringen werkdagen]]*Ruimtestaat[[#This Row],[Oppervlak (netto)]]</f>
        <v>1600</v>
      </c>
      <c r="W735" s="154">
        <f>IF(U735&gt;0,Ruimtestaat[[#This Row],[Prest. (m2 /jaar) werkdagen]]/Ruimtestaat[[#This Row],[Norm (m2/uur) werkdagen]],0)</f>
        <v>0</v>
      </c>
      <c r="X735" s="155">
        <f>Ruimtestaat[[#This Row],[uren / jaar werkdagen]]*Tariefsopbouw!$E$35</f>
        <v>0</v>
      </c>
      <c r="Y735" s="33"/>
      <c r="Z735" s="33">
        <f>IF(Ruimtestaat[[#This Row],[Frequentie weekend]]&gt;0,VALUE(LEFT(Y735,1))*R735,0)</f>
        <v>0</v>
      </c>
      <c r="AA735" s="97">
        <f>IF($Z735&gt;0,VLOOKUP($J735,Ruimtegroepen[],3,FALSE)*VLOOKUP($L735,Vloersoorten[],3,FALSE)*VLOOKUP($Y735,Frequenties[],3,FALSE)*VLOOKUP(Ruimtestaat[[#This Row],[Code]],Locaties[],3,FALSE),0)</f>
        <v>0</v>
      </c>
      <c r="AB735" s="97">
        <f>Ruimtestaat[[#This Row],[Uitvoeringen weekend]]*Ruimtestaat[[#This Row],[Oppervlak (netto)]]</f>
        <v>0</v>
      </c>
      <c r="AC735" s="97">
        <f>IF(AA735&gt;0,Ruimtestaat[[#This Row],[Prest. (m2 /jaar) weekend]]/Ruimtestaat[[#This Row],[Norm (m2/uur) weekend]],0)</f>
        <v>0</v>
      </c>
      <c r="AD735" s="155">
        <f>Ruimtestaat[[#This Row],[uren / jaar weekend]]*Tariefsopbouw!$D$40</f>
        <v>0</v>
      </c>
      <c r="AE735" s="154">
        <f>Ruimtestaat[[#This Row],[Prest. (m2 /jaar) weekend]]+Ruimtestaat[[#This Row],[Prest. (m2 /jaar) werkdagen]]</f>
        <v>1600</v>
      </c>
      <c r="AF735" s="154">
        <f>Ruimtestaat[[#This Row],[uren / jaar weekend]]+Ruimtestaat[[#This Row],[uren / jaar werkdagen]]</f>
        <v>0</v>
      </c>
      <c r="AG735" s="69">
        <f>Ruimtestaat[[#This Row],[kosten / jaar weekend]]+Ruimtestaat[[#This Row],[kosten / jaar werkdagen]]</f>
        <v>0</v>
      </c>
      <c r="AH735" s="69"/>
      <c r="AI735" s="256" t="str">
        <f>IF(Ruimtestaat[[#This Row],[Frequentie werkdagen]]="","",_xlfn.CONCAT(Ruimtestaat[[#This Row],[Ruimte code]],"-",Ruimtestaat[[#This Row],[Frequentie werkdagen]]," ",Ruimtestaat[[#This Row],[Vloer code]]))</f>
        <v>16-5w T</v>
      </c>
      <c r="AJ735" s="300" t="str">
        <f>_xlfn.IFNA(VLOOKUP($AI735,Programma!$F$3:$G$1107,2,0),"")</f>
        <v>3w</v>
      </c>
      <c r="AK735" s="300" t="str">
        <f>_xlfn.IFNA(VLOOKUP($AI735,Programma!$F$3:$H$1107,3,0),"")</f>
        <v>2w</v>
      </c>
      <c r="AL735" s="300" t="str">
        <f>_xlfn.IFNA(VLOOKUP($AI735,Programma!$F$3:$I$1107,4,0),"")</f>
        <v>_</v>
      </c>
      <c r="AM735" s="300" t="str">
        <f>_xlfn.IFNA(VLOOKUP($AI735,Programma!$F$3:$J$1107,5,0),"")</f>
        <v>_</v>
      </c>
      <c r="AN735" s="300" t="str">
        <f>_xlfn.IFNA(VLOOKUP($AI735,Programma!$F$3:$K$1107,6,0),"")</f>
        <v>_</v>
      </c>
      <c r="AO735" s="300" t="str">
        <f>_xlfn.IFNA(VLOOKUP($AI735,Programma!$F$3:$L$1107,7,0),"")</f>
        <v>_</v>
      </c>
      <c r="AP735" s="300" t="str">
        <f>_xlfn.IFNA(VLOOKUP($AI735,Programma!$F$3:$M$1107,8,0),"")</f>
        <v>_</v>
      </c>
      <c r="AQ735" s="300" t="str">
        <f>_xlfn.IFNA(VLOOKUP($AI735,Programma!$F$3:$N$1107,9,0),"")</f>
        <v>_</v>
      </c>
      <c r="AR735" s="300" t="str">
        <f>_xlfn.IFNA(VLOOKUP($AI735,Programma!$F$3:$O$1107,10,0),"")</f>
        <v>5w</v>
      </c>
      <c r="AS735" s="300" t="str">
        <f>_xlfn.IFNA(VLOOKUP($AI735,Programma!$F$3:$P$1107,11,0),"")</f>
        <v>5w</v>
      </c>
      <c r="AT735" s="300" t="str">
        <f>_xlfn.IFNA(VLOOKUP($AI735,Programma!$F$3:$Q$1107,12,0),"")</f>
        <v>1w</v>
      </c>
      <c r="AU735" s="300" t="str">
        <f>_xlfn.IFNA(VLOOKUP($AI735,Programma!$F$3:$R$1107,13,0),"")</f>
        <v>1w</v>
      </c>
      <c r="AV735" s="300" t="str">
        <f>_xlfn.IFNA(VLOOKUP($AI735,Programma!$F$3:$S$1107,14,0),"")</f>
        <v>1m</v>
      </c>
      <c r="AW735" s="300" t="str">
        <f>_xlfn.IFNA(VLOOKUP($AI735,Programma!$F$3:$T$1107,15,0),"")</f>
        <v>2j</v>
      </c>
      <c r="AX735" s="300" t="str">
        <f>_xlfn.IFNA(VLOOKUP($AI735,Programma!$F$3:$U$1107,16,0),"")</f>
        <v>1j</v>
      </c>
      <c r="AY735" s="300" t="str">
        <f>_xlfn.IFNA(VLOOKUP($AI735,Programma!$F$3:$V$1107,17,0),"")</f>
        <v>_</v>
      </c>
      <c r="AZ735" s="300" t="str">
        <f>_xlfn.IFNA(VLOOKUP($AI735,Programma!$F$3:$W$1107,18,0),"")</f>
        <v>_</v>
      </c>
      <c r="BA735" s="300" t="str">
        <f>_xlfn.IFNA(VLOOKUP($AI735,Programma!$F$3:$X$1107,19,0),"")</f>
        <v>_</v>
      </c>
      <c r="BB735" s="300" t="str">
        <f>_xlfn.IFNA(VLOOKUP($AI735,Programma!$F$3:$Y$1107,20,0),"")</f>
        <v>_</v>
      </c>
      <c r="BC735" s="257"/>
      <c r="BD735" s="256" t="str">
        <f>IF(Ruimtestaat[[#This Row],[Frequentie weekend]]="","",_xlfn.CONCAT(Ruimtestaat[[#This Row],[Ruimte code]],"-",Ruimtestaat[[#This Row],[Frequentie weekend]]," ",Ruimtestaat[[#This Row],[Vloer code]]))</f>
        <v/>
      </c>
      <c r="BE735" s="300" t="str">
        <f>_xlfn.IFNA(VLOOKUP($BD735,Programma!$F$3:$G$1107,2,0),"")</f>
        <v/>
      </c>
      <c r="BF735" s="300" t="str">
        <f>_xlfn.IFNA(VLOOKUP($BD735,Programma!$F$3:$H$1107,3,0),"")</f>
        <v/>
      </c>
      <c r="BG735" s="300" t="str">
        <f>_xlfn.IFNA(VLOOKUP($BD735,Programma!$F$3:$I$1107,4,0),"")</f>
        <v/>
      </c>
      <c r="BH735" s="300" t="str">
        <f>_xlfn.IFNA(VLOOKUP($BD735,Programma!$F$3:$J$1107,5,0),"")</f>
        <v/>
      </c>
      <c r="BI735" s="300" t="str">
        <f>_xlfn.IFNA(VLOOKUP($BD735,Programma!$F$3:$K$1107,6,0),"")</f>
        <v/>
      </c>
      <c r="BJ735" s="300" t="str">
        <f>_xlfn.IFNA(VLOOKUP($BD735,Programma!$F$3:$L$1107,7,0),"")</f>
        <v/>
      </c>
      <c r="BK735" s="300" t="str">
        <f>_xlfn.IFNA(VLOOKUP($BD735,Programma!$F$3:$M$1107,8,0),"")</f>
        <v/>
      </c>
      <c r="BL735" s="300" t="str">
        <f>_xlfn.IFNA(VLOOKUP($BD735,Programma!$F$3:$N$1107,9,0),"")</f>
        <v/>
      </c>
      <c r="BM735" s="300" t="str">
        <f>_xlfn.IFNA(VLOOKUP($BD735,Programma!$F$3:$O$1107,10,0),"")</f>
        <v/>
      </c>
      <c r="BN735" s="300" t="str">
        <f>_xlfn.IFNA(VLOOKUP($BD735,Programma!$F$3:$P$1107,11,0),"")</f>
        <v/>
      </c>
      <c r="BO735" s="300" t="str">
        <f>_xlfn.IFNA(VLOOKUP($BD735,Programma!$F$3:$Q$1107,12,0),"")</f>
        <v/>
      </c>
      <c r="BP735" s="300" t="str">
        <f>_xlfn.IFNA(VLOOKUP($BD735,Programma!$F$3:$R$1107,13,0),"")</f>
        <v/>
      </c>
      <c r="BQ735" s="300" t="str">
        <f>_xlfn.IFNA(VLOOKUP($BD735,Programma!$F$3:$S$1107,14,0),"")</f>
        <v/>
      </c>
      <c r="BR735" s="300" t="str">
        <f>_xlfn.IFNA(VLOOKUP($BD735,Programma!$F$3:$T$1107,15,0),"")</f>
        <v/>
      </c>
      <c r="BS735" s="300" t="str">
        <f>_xlfn.IFNA(VLOOKUP($BD735,Programma!$F$3:$U$1107,16,0),"")</f>
        <v/>
      </c>
      <c r="BT735" s="300" t="str">
        <f>_xlfn.IFNA(VLOOKUP($BD735,Programma!$F$3:$V$1107,17,0),"")</f>
        <v/>
      </c>
      <c r="BU735" s="300" t="str">
        <f>_xlfn.IFNA(VLOOKUP($BD735,Programma!$F$3:$W$1107,18,0),"")</f>
        <v/>
      </c>
      <c r="BV735" s="300" t="str">
        <f>_xlfn.IFNA(VLOOKUP($BD735,Programma!$F$3:$X$1107,19,0),"")</f>
        <v/>
      </c>
      <c r="BW735" s="300" t="str">
        <f>_xlfn.IFNA(VLOOKUP($BD735,Programma!$F$3:$Y$1107,20,0),"")</f>
        <v/>
      </c>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c r="GK735" s="4"/>
      <c r="GL735" s="4"/>
      <c r="GM735" s="4"/>
      <c r="GN735" s="4"/>
      <c r="GO735" s="4"/>
      <c r="GP735" s="4"/>
      <c r="GQ735" s="4"/>
      <c r="GR735" s="4"/>
      <c r="GS735" s="4"/>
      <c r="GT735" s="4"/>
      <c r="GU735" s="4"/>
      <c r="GV735" s="4"/>
      <c r="GW735" s="4"/>
      <c r="GX735" s="4"/>
      <c r="GY735" s="4"/>
      <c r="GZ735" s="4"/>
      <c r="HA735" s="4"/>
      <c r="HB735" s="4"/>
      <c r="HC735" s="4"/>
      <c r="HD735" s="4"/>
      <c r="HE735" s="4"/>
      <c r="HF735" s="4"/>
      <c r="HG735" s="4"/>
      <c r="HH735" s="4"/>
      <c r="HI735" s="4"/>
      <c r="HJ735" s="4"/>
      <c r="HK735" s="4"/>
      <c r="HL735" s="4"/>
    </row>
    <row r="736" spans="1:220" ht="15" customHeight="1">
      <c r="A736" s="21">
        <v>8</v>
      </c>
      <c r="B736" s="157" t="str">
        <f>VLOOKUP(Ruimtestaat[[#This Row],[Code]],Locaties[[Code]:[Locatie]],2,FALSE)</f>
        <v>Dalton College</v>
      </c>
      <c r="C736" s="157" t="str">
        <f>VLOOKUP(Ruimtestaat[[#This Row],[Code]],Locaties[[#All],[Code]:[Adres]],4,FALSE)</f>
        <v>Loolaan 125</v>
      </c>
      <c r="D736" s="157" t="str">
        <f>VLOOKUP(Ruimtestaat[[#This Row],[Code]],Locaties[[#All],[Code]:[Postcode]],5,FALSE)</f>
        <v xml:space="preserve">2271 TM </v>
      </c>
      <c r="E736" s="157" t="str">
        <f>VLOOKUP(Ruimtestaat[[#This Row],[Code]],Locaties[#All],6,FALSE)</f>
        <v>Voorburg</v>
      </c>
      <c r="F736" s="62"/>
      <c r="G736" s="21" t="s">
        <v>1632</v>
      </c>
      <c r="H736" s="21">
        <v>73</v>
      </c>
      <c r="I736" s="62" t="s">
        <v>2231</v>
      </c>
      <c r="J736" s="21">
        <v>16</v>
      </c>
      <c r="K736" s="62" t="str">
        <f>VLOOKUP(Ruimtestaat[[#This Row],[Ruimte code]],Ruimtegroepen[[#All],[Code]:[Ruimte omschrijving]],2,FALSE)</f>
        <v>Leslokalen theorie</v>
      </c>
      <c r="L736" s="33" t="s">
        <v>100</v>
      </c>
      <c r="M736" s="367" t="s">
        <v>2493</v>
      </c>
      <c r="N736" s="140">
        <v>8</v>
      </c>
      <c r="O736" s="140"/>
      <c r="P736" s="125" t="str">
        <f>VLOOKUP(Ruimtestaat[[#This Row],[Ruimte code]],Ruimtegroepen[],4,FALSE)</f>
        <v>Le</v>
      </c>
      <c r="R736" s="33">
        <v>40</v>
      </c>
      <c r="S736" s="33" t="s">
        <v>2</v>
      </c>
      <c r="T736" s="33">
        <f>IF(R736&gt;0,IF(RIGHT(Ruimtestaat[[#This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6" s="33">
        <f>IF(T736&gt;0,VLOOKUP($J736,Ruimtegroepen[],3,FALSE)*VLOOKUP($L736,Vloersoorten[],3,FALSE)*VLOOKUP($S736,Frequenties[],3,FALSE)*VLOOKUP($A736,Locaties[],3,FALSE),0)</f>
        <v>0</v>
      </c>
      <c r="V736" s="33">
        <f>Ruimtestaat[[#This Row],[Uitvoeringen werkdagen]]*Ruimtestaat[[#This Row],[Oppervlak (netto)]]</f>
        <v>1600</v>
      </c>
      <c r="W736" s="154">
        <f>IF(U736&gt;0,Ruimtestaat[[#This Row],[Prest. (m2 /jaar) werkdagen]]/Ruimtestaat[[#This Row],[Norm (m2/uur) werkdagen]],0)</f>
        <v>0</v>
      </c>
      <c r="X736" s="155">
        <f>Ruimtestaat[[#This Row],[uren / jaar werkdagen]]*Tariefsopbouw!$E$35</f>
        <v>0</v>
      </c>
      <c r="Y736" s="33"/>
      <c r="Z736" s="33">
        <f>IF(Ruimtestaat[[#This Row],[Frequentie weekend]]&gt;0,VALUE(LEFT(Y736,1))*R736,0)</f>
        <v>0</v>
      </c>
      <c r="AA736" s="97">
        <f>IF($Z736&gt;0,VLOOKUP($J736,Ruimtegroepen[],3,FALSE)*VLOOKUP($L736,Vloersoorten[],3,FALSE)*VLOOKUP($Y736,Frequenties[],3,FALSE)*VLOOKUP(Ruimtestaat[[#This Row],[Code]],Locaties[],3,FALSE),0)</f>
        <v>0</v>
      </c>
      <c r="AB736" s="97">
        <f>Ruimtestaat[[#This Row],[Uitvoeringen weekend]]*Ruimtestaat[[#This Row],[Oppervlak (netto)]]</f>
        <v>0</v>
      </c>
      <c r="AC736" s="97">
        <f>IF(AA736&gt;0,Ruimtestaat[[#This Row],[Prest. (m2 /jaar) weekend]]/Ruimtestaat[[#This Row],[Norm (m2/uur) weekend]],0)</f>
        <v>0</v>
      </c>
      <c r="AD736" s="155">
        <f>Ruimtestaat[[#This Row],[uren / jaar weekend]]*Tariefsopbouw!$D$40</f>
        <v>0</v>
      </c>
      <c r="AE736" s="154">
        <f>Ruimtestaat[[#This Row],[Prest. (m2 /jaar) weekend]]+Ruimtestaat[[#This Row],[Prest. (m2 /jaar) werkdagen]]</f>
        <v>1600</v>
      </c>
      <c r="AF736" s="154">
        <f>Ruimtestaat[[#This Row],[uren / jaar weekend]]+Ruimtestaat[[#This Row],[uren / jaar werkdagen]]</f>
        <v>0</v>
      </c>
      <c r="AG736" s="69">
        <f>Ruimtestaat[[#This Row],[kosten / jaar weekend]]+Ruimtestaat[[#This Row],[kosten / jaar werkdagen]]</f>
        <v>0</v>
      </c>
      <c r="AH736" s="69"/>
      <c r="AI736" s="256" t="str">
        <f>IF(Ruimtestaat[[#This Row],[Frequentie werkdagen]]="","",_xlfn.CONCAT(Ruimtestaat[[#This Row],[Ruimte code]],"-",Ruimtestaat[[#This Row],[Frequentie werkdagen]]," ",Ruimtestaat[[#This Row],[Vloer code]]))</f>
        <v>16-5w T</v>
      </c>
      <c r="AJ736" s="300" t="str">
        <f>_xlfn.IFNA(VLOOKUP($AI736,Programma!$F$3:$G$1107,2,0),"")</f>
        <v>3w</v>
      </c>
      <c r="AK736" s="300" t="str">
        <f>_xlfn.IFNA(VLOOKUP($AI736,Programma!$F$3:$H$1107,3,0),"")</f>
        <v>2w</v>
      </c>
      <c r="AL736" s="300" t="str">
        <f>_xlfn.IFNA(VLOOKUP($AI736,Programma!$F$3:$I$1107,4,0),"")</f>
        <v>_</v>
      </c>
      <c r="AM736" s="300" t="str">
        <f>_xlfn.IFNA(VLOOKUP($AI736,Programma!$F$3:$J$1107,5,0),"")</f>
        <v>_</v>
      </c>
      <c r="AN736" s="300" t="str">
        <f>_xlfn.IFNA(VLOOKUP($AI736,Programma!$F$3:$K$1107,6,0),"")</f>
        <v>_</v>
      </c>
      <c r="AO736" s="300" t="str">
        <f>_xlfn.IFNA(VLOOKUP($AI736,Programma!$F$3:$L$1107,7,0),"")</f>
        <v>_</v>
      </c>
      <c r="AP736" s="300" t="str">
        <f>_xlfn.IFNA(VLOOKUP($AI736,Programma!$F$3:$M$1107,8,0),"")</f>
        <v>_</v>
      </c>
      <c r="AQ736" s="300" t="str">
        <f>_xlfn.IFNA(VLOOKUP($AI736,Programma!$F$3:$N$1107,9,0),"")</f>
        <v>_</v>
      </c>
      <c r="AR736" s="300" t="str">
        <f>_xlfn.IFNA(VLOOKUP($AI736,Programma!$F$3:$O$1107,10,0),"")</f>
        <v>5w</v>
      </c>
      <c r="AS736" s="300" t="str">
        <f>_xlfn.IFNA(VLOOKUP($AI736,Programma!$F$3:$P$1107,11,0),"")</f>
        <v>5w</v>
      </c>
      <c r="AT736" s="300" t="str">
        <f>_xlfn.IFNA(VLOOKUP($AI736,Programma!$F$3:$Q$1107,12,0),"")</f>
        <v>1w</v>
      </c>
      <c r="AU736" s="300" t="str">
        <f>_xlfn.IFNA(VLOOKUP($AI736,Programma!$F$3:$R$1107,13,0),"")</f>
        <v>1w</v>
      </c>
      <c r="AV736" s="300" t="str">
        <f>_xlfn.IFNA(VLOOKUP($AI736,Programma!$F$3:$S$1107,14,0),"")</f>
        <v>1m</v>
      </c>
      <c r="AW736" s="300" t="str">
        <f>_xlfn.IFNA(VLOOKUP($AI736,Programma!$F$3:$T$1107,15,0),"")</f>
        <v>2j</v>
      </c>
      <c r="AX736" s="300" t="str">
        <f>_xlfn.IFNA(VLOOKUP($AI736,Programma!$F$3:$U$1107,16,0),"")</f>
        <v>1j</v>
      </c>
      <c r="AY736" s="300" t="str">
        <f>_xlfn.IFNA(VLOOKUP($AI736,Programma!$F$3:$V$1107,17,0),"")</f>
        <v>_</v>
      </c>
      <c r="AZ736" s="300" t="str">
        <f>_xlfn.IFNA(VLOOKUP($AI736,Programma!$F$3:$W$1107,18,0),"")</f>
        <v>_</v>
      </c>
      <c r="BA736" s="300" t="str">
        <f>_xlfn.IFNA(VLOOKUP($AI736,Programma!$F$3:$X$1107,19,0),"")</f>
        <v>_</v>
      </c>
      <c r="BB736" s="300" t="str">
        <f>_xlfn.IFNA(VLOOKUP($AI736,Programma!$F$3:$Y$1107,20,0),"")</f>
        <v>_</v>
      </c>
      <c r="BC736" s="257"/>
      <c r="BD736" s="256" t="str">
        <f>IF(Ruimtestaat[[#This Row],[Frequentie weekend]]="","",_xlfn.CONCAT(Ruimtestaat[[#This Row],[Ruimte code]],"-",Ruimtestaat[[#This Row],[Frequentie weekend]]," ",Ruimtestaat[[#This Row],[Vloer code]]))</f>
        <v/>
      </c>
      <c r="BE736" s="300" t="str">
        <f>_xlfn.IFNA(VLOOKUP($BD736,Programma!$F$3:$G$1107,2,0),"")</f>
        <v/>
      </c>
      <c r="BF736" s="300" t="str">
        <f>_xlfn.IFNA(VLOOKUP($BD736,Programma!$F$3:$H$1107,3,0),"")</f>
        <v/>
      </c>
      <c r="BG736" s="300" t="str">
        <f>_xlfn.IFNA(VLOOKUP($BD736,Programma!$F$3:$I$1107,4,0),"")</f>
        <v/>
      </c>
      <c r="BH736" s="300" t="str">
        <f>_xlfn.IFNA(VLOOKUP($BD736,Programma!$F$3:$J$1107,5,0),"")</f>
        <v/>
      </c>
      <c r="BI736" s="300" t="str">
        <f>_xlfn.IFNA(VLOOKUP($BD736,Programma!$F$3:$K$1107,6,0),"")</f>
        <v/>
      </c>
      <c r="BJ736" s="300" t="str">
        <f>_xlfn.IFNA(VLOOKUP($BD736,Programma!$F$3:$L$1107,7,0),"")</f>
        <v/>
      </c>
      <c r="BK736" s="300" t="str">
        <f>_xlfn.IFNA(VLOOKUP($BD736,Programma!$F$3:$M$1107,8,0),"")</f>
        <v/>
      </c>
      <c r="BL736" s="300" t="str">
        <f>_xlfn.IFNA(VLOOKUP($BD736,Programma!$F$3:$N$1107,9,0),"")</f>
        <v/>
      </c>
      <c r="BM736" s="300" t="str">
        <f>_xlfn.IFNA(VLOOKUP($BD736,Programma!$F$3:$O$1107,10,0),"")</f>
        <v/>
      </c>
      <c r="BN736" s="300" t="str">
        <f>_xlfn.IFNA(VLOOKUP($BD736,Programma!$F$3:$P$1107,11,0),"")</f>
        <v/>
      </c>
      <c r="BO736" s="300" t="str">
        <f>_xlfn.IFNA(VLOOKUP($BD736,Programma!$F$3:$Q$1107,12,0),"")</f>
        <v/>
      </c>
      <c r="BP736" s="300" t="str">
        <f>_xlfn.IFNA(VLOOKUP($BD736,Programma!$F$3:$R$1107,13,0),"")</f>
        <v/>
      </c>
      <c r="BQ736" s="300" t="str">
        <f>_xlfn.IFNA(VLOOKUP($BD736,Programma!$F$3:$S$1107,14,0),"")</f>
        <v/>
      </c>
      <c r="BR736" s="300" t="str">
        <f>_xlfn.IFNA(VLOOKUP($BD736,Programma!$F$3:$T$1107,15,0),"")</f>
        <v/>
      </c>
      <c r="BS736" s="300" t="str">
        <f>_xlfn.IFNA(VLOOKUP($BD736,Programma!$F$3:$U$1107,16,0),"")</f>
        <v/>
      </c>
      <c r="BT736" s="300" t="str">
        <f>_xlfn.IFNA(VLOOKUP($BD736,Programma!$F$3:$V$1107,17,0),"")</f>
        <v/>
      </c>
      <c r="BU736" s="300" t="str">
        <f>_xlfn.IFNA(VLOOKUP($BD736,Programma!$F$3:$W$1107,18,0),"")</f>
        <v/>
      </c>
      <c r="BV736" s="300" t="str">
        <f>_xlfn.IFNA(VLOOKUP($BD736,Programma!$F$3:$X$1107,19,0),"")</f>
        <v/>
      </c>
      <c r="BW736" s="300" t="str">
        <f>_xlfn.IFNA(VLOOKUP($BD736,Programma!$F$3:$Y$1107,20,0),"")</f>
        <v/>
      </c>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c r="GK736" s="4"/>
      <c r="GL736" s="4"/>
      <c r="GM736" s="4"/>
      <c r="GN736" s="4"/>
      <c r="GO736" s="4"/>
      <c r="GP736" s="4"/>
      <c r="GQ736" s="4"/>
      <c r="GR736" s="4"/>
      <c r="GS736" s="4"/>
      <c r="GT736" s="4"/>
      <c r="GU736" s="4"/>
      <c r="GV736" s="4"/>
      <c r="GW736" s="4"/>
      <c r="GX736" s="4"/>
      <c r="GY736" s="4"/>
      <c r="GZ736" s="4"/>
      <c r="HA736" s="4"/>
      <c r="HB736" s="4"/>
      <c r="HC736" s="4"/>
      <c r="HD736" s="4"/>
      <c r="HE736" s="4"/>
      <c r="HF736" s="4"/>
      <c r="HG736" s="4"/>
      <c r="HH736" s="4"/>
      <c r="HI736" s="4"/>
      <c r="HJ736" s="4"/>
      <c r="HK736" s="4"/>
      <c r="HL736" s="4"/>
    </row>
    <row r="737" spans="1:220" ht="15" customHeight="1">
      <c r="A737" s="21">
        <v>8</v>
      </c>
      <c r="B737" s="157" t="str">
        <f>VLOOKUP(Ruimtestaat[[#This Row],[Code]],Locaties[[Code]:[Locatie]],2,FALSE)</f>
        <v>Dalton College</v>
      </c>
      <c r="C737" s="157" t="str">
        <f>VLOOKUP(Ruimtestaat[[#This Row],[Code]],Locaties[[#All],[Code]:[Adres]],4,FALSE)</f>
        <v>Loolaan 125</v>
      </c>
      <c r="D737" s="157" t="str">
        <f>VLOOKUP(Ruimtestaat[[#This Row],[Code]],Locaties[[#All],[Code]:[Postcode]],5,FALSE)</f>
        <v xml:space="preserve">2271 TM </v>
      </c>
      <c r="E737" s="157" t="str">
        <f>VLOOKUP(Ruimtestaat[[#This Row],[Code]],Locaties[#All],6,FALSE)</f>
        <v>Voorburg</v>
      </c>
      <c r="F737" s="62"/>
      <c r="G737" s="21" t="s">
        <v>1632</v>
      </c>
      <c r="H737" s="21">
        <v>74</v>
      </c>
      <c r="I737" s="62" t="s">
        <v>2232</v>
      </c>
      <c r="J737" s="21">
        <v>16</v>
      </c>
      <c r="K737" s="62" t="str">
        <f>VLOOKUP(Ruimtestaat[[#This Row],[Ruimte code]],Ruimtegroepen[[#All],[Code]:[Ruimte omschrijving]],2,FALSE)</f>
        <v>Leslokalen theorie</v>
      </c>
      <c r="L737" s="33" t="s">
        <v>100</v>
      </c>
      <c r="M737" s="367" t="s">
        <v>2493</v>
      </c>
      <c r="N737" s="140">
        <v>83</v>
      </c>
      <c r="O737" s="140"/>
      <c r="P737" s="125" t="str">
        <f>VLOOKUP(Ruimtestaat[[#This Row],[Ruimte code]],Ruimtegroepen[],4,FALSE)</f>
        <v>Le</v>
      </c>
      <c r="R737" s="33">
        <v>40</v>
      </c>
      <c r="S737" s="33" t="s">
        <v>2</v>
      </c>
      <c r="T737" s="33">
        <f>IF(R737&gt;0,IF(RIGHT(Ruimtestaat[[#This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7" s="33">
        <f>IF(T737&gt;0,VLOOKUP($J737,Ruimtegroepen[],3,FALSE)*VLOOKUP($L737,Vloersoorten[],3,FALSE)*VLOOKUP($S737,Frequenties[],3,FALSE)*VLOOKUP($A737,Locaties[],3,FALSE),0)</f>
        <v>0</v>
      </c>
      <c r="V737" s="33">
        <f>Ruimtestaat[[#This Row],[Uitvoeringen werkdagen]]*Ruimtestaat[[#This Row],[Oppervlak (netto)]]</f>
        <v>16600</v>
      </c>
      <c r="W737" s="154">
        <f>IF(U737&gt;0,Ruimtestaat[[#This Row],[Prest. (m2 /jaar) werkdagen]]/Ruimtestaat[[#This Row],[Norm (m2/uur) werkdagen]],0)</f>
        <v>0</v>
      </c>
      <c r="X737" s="155">
        <f>Ruimtestaat[[#This Row],[uren / jaar werkdagen]]*Tariefsopbouw!$E$35</f>
        <v>0</v>
      </c>
      <c r="Y737" s="33"/>
      <c r="Z737" s="33">
        <f>IF(Ruimtestaat[[#This Row],[Frequentie weekend]]&gt;0,VALUE(LEFT(Y737,1))*R737,0)</f>
        <v>0</v>
      </c>
      <c r="AA737" s="97">
        <f>IF($Z737&gt;0,VLOOKUP($J737,Ruimtegroepen[],3,FALSE)*VLOOKUP($L737,Vloersoorten[],3,FALSE)*VLOOKUP($Y737,Frequenties[],3,FALSE)*VLOOKUP(Ruimtestaat[[#This Row],[Code]],Locaties[],3,FALSE),0)</f>
        <v>0</v>
      </c>
      <c r="AB737" s="97">
        <f>Ruimtestaat[[#This Row],[Uitvoeringen weekend]]*Ruimtestaat[[#This Row],[Oppervlak (netto)]]</f>
        <v>0</v>
      </c>
      <c r="AC737" s="97">
        <f>IF(AA737&gt;0,Ruimtestaat[[#This Row],[Prest. (m2 /jaar) weekend]]/Ruimtestaat[[#This Row],[Norm (m2/uur) weekend]],0)</f>
        <v>0</v>
      </c>
      <c r="AD737" s="155">
        <f>Ruimtestaat[[#This Row],[uren / jaar weekend]]*Tariefsopbouw!$D$40</f>
        <v>0</v>
      </c>
      <c r="AE737" s="154">
        <f>Ruimtestaat[[#This Row],[Prest. (m2 /jaar) weekend]]+Ruimtestaat[[#This Row],[Prest. (m2 /jaar) werkdagen]]</f>
        <v>16600</v>
      </c>
      <c r="AF737" s="154">
        <f>Ruimtestaat[[#This Row],[uren / jaar weekend]]+Ruimtestaat[[#This Row],[uren / jaar werkdagen]]</f>
        <v>0</v>
      </c>
      <c r="AG737" s="69">
        <f>Ruimtestaat[[#This Row],[kosten / jaar weekend]]+Ruimtestaat[[#This Row],[kosten / jaar werkdagen]]</f>
        <v>0</v>
      </c>
      <c r="AH737" s="69"/>
      <c r="AI737" s="256" t="str">
        <f>IF(Ruimtestaat[[#This Row],[Frequentie werkdagen]]="","",_xlfn.CONCAT(Ruimtestaat[[#This Row],[Ruimte code]],"-",Ruimtestaat[[#This Row],[Frequentie werkdagen]]," ",Ruimtestaat[[#This Row],[Vloer code]]))</f>
        <v>16-5w T</v>
      </c>
      <c r="AJ737" s="300" t="str">
        <f>_xlfn.IFNA(VLOOKUP($AI737,Programma!$F$3:$G$1107,2,0),"")</f>
        <v>3w</v>
      </c>
      <c r="AK737" s="300" t="str">
        <f>_xlfn.IFNA(VLOOKUP($AI737,Programma!$F$3:$H$1107,3,0),"")</f>
        <v>2w</v>
      </c>
      <c r="AL737" s="300" t="str">
        <f>_xlfn.IFNA(VLOOKUP($AI737,Programma!$F$3:$I$1107,4,0),"")</f>
        <v>_</v>
      </c>
      <c r="AM737" s="300" t="str">
        <f>_xlfn.IFNA(VLOOKUP($AI737,Programma!$F$3:$J$1107,5,0),"")</f>
        <v>_</v>
      </c>
      <c r="AN737" s="300" t="str">
        <f>_xlfn.IFNA(VLOOKUP($AI737,Programma!$F$3:$K$1107,6,0),"")</f>
        <v>_</v>
      </c>
      <c r="AO737" s="300" t="str">
        <f>_xlfn.IFNA(VLOOKUP($AI737,Programma!$F$3:$L$1107,7,0),"")</f>
        <v>_</v>
      </c>
      <c r="AP737" s="300" t="str">
        <f>_xlfn.IFNA(VLOOKUP($AI737,Programma!$F$3:$M$1107,8,0),"")</f>
        <v>_</v>
      </c>
      <c r="AQ737" s="300" t="str">
        <f>_xlfn.IFNA(VLOOKUP($AI737,Programma!$F$3:$N$1107,9,0),"")</f>
        <v>_</v>
      </c>
      <c r="AR737" s="300" t="str">
        <f>_xlfn.IFNA(VLOOKUP($AI737,Programma!$F$3:$O$1107,10,0),"")</f>
        <v>5w</v>
      </c>
      <c r="AS737" s="300" t="str">
        <f>_xlfn.IFNA(VLOOKUP($AI737,Programma!$F$3:$P$1107,11,0),"")</f>
        <v>5w</v>
      </c>
      <c r="AT737" s="300" t="str">
        <f>_xlfn.IFNA(VLOOKUP($AI737,Programma!$F$3:$Q$1107,12,0),"")</f>
        <v>1w</v>
      </c>
      <c r="AU737" s="300" t="str">
        <f>_xlfn.IFNA(VLOOKUP($AI737,Programma!$F$3:$R$1107,13,0),"")</f>
        <v>1w</v>
      </c>
      <c r="AV737" s="300" t="str">
        <f>_xlfn.IFNA(VLOOKUP($AI737,Programma!$F$3:$S$1107,14,0),"")</f>
        <v>1m</v>
      </c>
      <c r="AW737" s="300" t="str">
        <f>_xlfn.IFNA(VLOOKUP($AI737,Programma!$F$3:$T$1107,15,0),"")</f>
        <v>2j</v>
      </c>
      <c r="AX737" s="300" t="str">
        <f>_xlfn.IFNA(VLOOKUP($AI737,Programma!$F$3:$U$1107,16,0),"")</f>
        <v>1j</v>
      </c>
      <c r="AY737" s="300" t="str">
        <f>_xlfn.IFNA(VLOOKUP($AI737,Programma!$F$3:$V$1107,17,0),"")</f>
        <v>_</v>
      </c>
      <c r="AZ737" s="300" t="str">
        <f>_xlfn.IFNA(VLOOKUP($AI737,Programma!$F$3:$W$1107,18,0),"")</f>
        <v>_</v>
      </c>
      <c r="BA737" s="300" t="str">
        <f>_xlfn.IFNA(VLOOKUP($AI737,Programma!$F$3:$X$1107,19,0),"")</f>
        <v>_</v>
      </c>
      <c r="BB737" s="300" t="str">
        <f>_xlfn.IFNA(VLOOKUP($AI737,Programma!$F$3:$Y$1107,20,0),"")</f>
        <v>_</v>
      </c>
      <c r="BC737" s="257"/>
      <c r="BD737" s="256" t="str">
        <f>IF(Ruimtestaat[[#This Row],[Frequentie weekend]]="","",_xlfn.CONCAT(Ruimtestaat[[#This Row],[Ruimte code]],"-",Ruimtestaat[[#This Row],[Frequentie weekend]]," ",Ruimtestaat[[#This Row],[Vloer code]]))</f>
        <v/>
      </c>
      <c r="BE737" s="300" t="str">
        <f>_xlfn.IFNA(VLOOKUP($BD737,Programma!$F$3:$G$1107,2,0),"")</f>
        <v/>
      </c>
      <c r="BF737" s="300" t="str">
        <f>_xlfn.IFNA(VLOOKUP($BD737,Programma!$F$3:$H$1107,3,0),"")</f>
        <v/>
      </c>
      <c r="BG737" s="300" t="str">
        <f>_xlfn.IFNA(VLOOKUP($BD737,Programma!$F$3:$I$1107,4,0),"")</f>
        <v/>
      </c>
      <c r="BH737" s="300" t="str">
        <f>_xlfn.IFNA(VLOOKUP($BD737,Programma!$F$3:$J$1107,5,0),"")</f>
        <v/>
      </c>
      <c r="BI737" s="300" t="str">
        <f>_xlfn.IFNA(VLOOKUP($BD737,Programma!$F$3:$K$1107,6,0),"")</f>
        <v/>
      </c>
      <c r="BJ737" s="300" t="str">
        <f>_xlfn.IFNA(VLOOKUP($BD737,Programma!$F$3:$L$1107,7,0),"")</f>
        <v/>
      </c>
      <c r="BK737" s="300" t="str">
        <f>_xlfn.IFNA(VLOOKUP($BD737,Programma!$F$3:$M$1107,8,0),"")</f>
        <v/>
      </c>
      <c r="BL737" s="300" t="str">
        <f>_xlfn.IFNA(VLOOKUP($BD737,Programma!$F$3:$N$1107,9,0),"")</f>
        <v/>
      </c>
      <c r="BM737" s="300" t="str">
        <f>_xlfn.IFNA(VLOOKUP($BD737,Programma!$F$3:$O$1107,10,0),"")</f>
        <v/>
      </c>
      <c r="BN737" s="300" t="str">
        <f>_xlfn.IFNA(VLOOKUP($BD737,Programma!$F$3:$P$1107,11,0),"")</f>
        <v/>
      </c>
      <c r="BO737" s="300" t="str">
        <f>_xlfn.IFNA(VLOOKUP($BD737,Programma!$F$3:$Q$1107,12,0),"")</f>
        <v/>
      </c>
      <c r="BP737" s="300" t="str">
        <f>_xlfn.IFNA(VLOOKUP($BD737,Programma!$F$3:$R$1107,13,0),"")</f>
        <v/>
      </c>
      <c r="BQ737" s="300" t="str">
        <f>_xlfn.IFNA(VLOOKUP($BD737,Programma!$F$3:$S$1107,14,0),"")</f>
        <v/>
      </c>
      <c r="BR737" s="300" t="str">
        <f>_xlfn.IFNA(VLOOKUP($BD737,Programma!$F$3:$T$1107,15,0),"")</f>
        <v/>
      </c>
      <c r="BS737" s="300" t="str">
        <f>_xlfn.IFNA(VLOOKUP($BD737,Programma!$F$3:$U$1107,16,0),"")</f>
        <v/>
      </c>
      <c r="BT737" s="300" t="str">
        <f>_xlfn.IFNA(VLOOKUP($BD737,Programma!$F$3:$V$1107,17,0),"")</f>
        <v/>
      </c>
      <c r="BU737" s="300" t="str">
        <f>_xlfn.IFNA(VLOOKUP($BD737,Programma!$F$3:$W$1107,18,0),"")</f>
        <v/>
      </c>
      <c r="BV737" s="300" t="str">
        <f>_xlfn.IFNA(VLOOKUP($BD737,Programma!$F$3:$X$1107,19,0),"")</f>
        <v/>
      </c>
      <c r="BW737" s="300" t="str">
        <f>_xlfn.IFNA(VLOOKUP($BD737,Programma!$F$3:$Y$1107,20,0),"")</f>
        <v/>
      </c>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c r="GK737" s="4"/>
      <c r="GL737" s="4"/>
      <c r="GM737" s="4"/>
      <c r="GN737" s="4"/>
      <c r="GO737" s="4"/>
      <c r="GP737" s="4"/>
      <c r="GQ737" s="4"/>
      <c r="GR737" s="4"/>
      <c r="GS737" s="4"/>
      <c r="GT737" s="4"/>
      <c r="GU737" s="4"/>
      <c r="GV737" s="4"/>
      <c r="GW737" s="4"/>
      <c r="GX737" s="4"/>
      <c r="GY737" s="4"/>
      <c r="GZ737" s="4"/>
      <c r="HA737" s="4"/>
      <c r="HB737" s="4"/>
      <c r="HC737" s="4"/>
      <c r="HD737" s="4"/>
      <c r="HE737" s="4"/>
      <c r="HF737" s="4"/>
      <c r="HG737" s="4"/>
      <c r="HH737" s="4"/>
      <c r="HI737" s="4"/>
      <c r="HJ737" s="4"/>
      <c r="HK737" s="4"/>
      <c r="HL737" s="4"/>
    </row>
    <row r="738" spans="1:220" ht="15" customHeight="1">
      <c r="A738" s="21">
        <v>8</v>
      </c>
      <c r="B738" s="157" t="str">
        <f>VLOOKUP(Ruimtestaat[[#This Row],[Code]],Locaties[[Code]:[Locatie]],2,FALSE)</f>
        <v>Dalton College</v>
      </c>
      <c r="C738" s="157" t="str">
        <f>VLOOKUP(Ruimtestaat[[#This Row],[Code]],Locaties[[#All],[Code]:[Adres]],4,FALSE)</f>
        <v>Loolaan 125</v>
      </c>
      <c r="D738" s="157" t="str">
        <f>VLOOKUP(Ruimtestaat[[#This Row],[Code]],Locaties[[#All],[Code]:[Postcode]],5,FALSE)</f>
        <v xml:space="preserve">2271 TM </v>
      </c>
      <c r="E738" s="157" t="str">
        <f>VLOOKUP(Ruimtestaat[[#This Row],[Code]],Locaties[#All],6,FALSE)</f>
        <v>Voorburg</v>
      </c>
      <c r="F738" s="62"/>
      <c r="G738" s="21" t="s">
        <v>1632</v>
      </c>
      <c r="H738" s="21">
        <v>75</v>
      </c>
      <c r="I738" s="62" t="s">
        <v>2232</v>
      </c>
      <c r="J738" s="21">
        <v>16</v>
      </c>
      <c r="K738" s="62" t="str">
        <f>VLOOKUP(Ruimtestaat[[#This Row],[Ruimte code]],Ruimtegroepen[[#All],[Code]:[Ruimte omschrijving]],2,FALSE)</f>
        <v>Leslokalen theorie</v>
      </c>
      <c r="L738" s="33" t="s">
        <v>100</v>
      </c>
      <c r="M738" s="367" t="s">
        <v>2493</v>
      </c>
      <c r="N738" s="140">
        <v>101</v>
      </c>
      <c r="O738" s="140"/>
      <c r="P738" s="125" t="str">
        <f>VLOOKUP(Ruimtestaat[[#This Row],[Ruimte code]],Ruimtegroepen[],4,FALSE)</f>
        <v>Le</v>
      </c>
      <c r="R738" s="33">
        <v>40</v>
      </c>
      <c r="S738" s="33" t="s">
        <v>2</v>
      </c>
      <c r="T738" s="33">
        <f>IF(R738&gt;0,IF(RIGHT(Ruimtestaat[[#This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8" s="33">
        <f>IF(T738&gt;0,VLOOKUP($J738,Ruimtegroepen[],3,FALSE)*VLOOKUP($L738,Vloersoorten[],3,FALSE)*VLOOKUP($S738,Frequenties[],3,FALSE)*VLOOKUP($A738,Locaties[],3,FALSE),0)</f>
        <v>0</v>
      </c>
      <c r="V738" s="33">
        <f>Ruimtestaat[[#This Row],[Uitvoeringen werkdagen]]*Ruimtestaat[[#This Row],[Oppervlak (netto)]]</f>
        <v>20200</v>
      </c>
      <c r="W738" s="154">
        <f>IF(U738&gt;0,Ruimtestaat[[#This Row],[Prest. (m2 /jaar) werkdagen]]/Ruimtestaat[[#This Row],[Norm (m2/uur) werkdagen]],0)</f>
        <v>0</v>
      </c>
      <c r="X738" s="155">
        <f>Ruimtestaat[[#This Row],[uren / jaar werkdagen]]*Tariefsopbouw!$E$35</f>
        <v>0</v>
      </c>
      <c r="Y738" s="33"/>
      <c r="Z738" s="33">
        <f>IF(Ruimtestaat[[#This Row],[Frequentie weekend]]&gt;0,VALUE(LEFT(Y738,1))*R738,0)</f>
        <v>0</v>
      </c>
      <c r="AA738" s="97">
        <f>IF($Z738&gt;0,VLOOKUP($J738,Ruimtegroepen[],3,FALSE)*VLOOKUP($L738,Vloersoorten[],3,FALSE)*VLOOKUP($Y738,Frequenties[],3,FALSE)*VLOOKUP(Ruimtestaat[[#This Row],[Code]],Locaties[],3,FALSE),0)</f>
        <v>0</v>
      </c>
      <c r="AB738" s="97">
        <f>Ruimtestaat[[#This Row],[Uitvoeringen weekend]]*Ruimtestaat[[#This Row],[Oppervlak (netto)]]</f>
        <v>0</v>
      </c>
      <c r="AC738" s="97">
        <f>IF(AA738&gt;0,Ruimtestaat[[#This Row],[Prest. (m2 /jaar) weekend]]/Ruimtestaat[[#This Row],[Norm (m2/uur) weekend]],0)</f>
        <v>0</v>
      </c>
      <c r="AD738" s="155">
        <f>Ruimtestaat[[#This Row],[uren / jaar weekend]]*Tariefsopbouw!$D$40</f>
        <v>0</v>
      </c>
      <c r="AE738" s="154">
        <f>Ruimtestaat[[#This Row],[Prest. (m2 /jaar) weekend]]+Ruimtestaat[[#This Row],[Prest. (m2 /jaar) werkdagen]]</f>
        <v>20200</v>
      </c>
      <c r="AF738" s="154">
        <f>Ruimtestaat[[#This Row],[uren / jaar weekend]]+Ruimtestaat[[#This Row],[uren / jaar werkdagen]]</f>
        <v>0</v>
      </c>
      <c r="AG738" s="69">
        <f>Ruimtestaat[[#This Row],[kosten / jaar weekend]]+Ruimtestaat[[#This Row],[kosten / jaar werkdagen]]</f>
        <v>0</v>
      </c>
      <c r="AH738" s="69"/>
      <c r="AI738" s="256" t="str">
        <f>IF(Ruimtestaat[[#This Row],[Frequentie werkdagen]]="","",_xlfn.CONCAT(Ruimtestaat[[#This Row],[Ruimte code]],"-",Ruimtestaat[[#This Row],[Frequentie werkdagen]]," ",Ruimtestaat[[#This Row],[Vloer code]]))</f>
        <v>16-5w T</v>
      </c>
      <c r="AJ738" s="300" t="str">
        <f>_xlfn.IFNA(VLOOKUP($AI738,Programma!$F$3:$G$1107,2,0),"")</f>
        <v>3w</v>
      </c>
      <c r="AK738" s="300" t="str">
        <f>_xlfn.IFNA(VLOOKUP($AI738,Programma!$F$3:$H$1107,3,0),"")</f>
        <v>2w</v>
      </c>
      <c r="AL738" s="300" t="str">
        <f>_xlfn.IFNA(VLOOKUP($AI738,Programma!$F$3:$I$1107,4,0),"")</f>
        <v>_</v>
      </c>
      <c r="AM738" s="300" t="str">
        <f>_xlfn.IFNA(VLOOKUP($AI738,Programma!$F$3:$J$1107,5,0),"")</f>
        <v>_</v>
      </c>
      <c r="AN738" s="300" t="str">
        <f>_xlfn.IFNA(VLOOKUP($AI738,Programma!$F$3:$K$1107,6,0),"")</f>
        <v>_</v>
      </c>
      <c r="AO738" s="300" t="str">
        <f>_xlfn.IFNA(VLOOKUP($AI738,Programma!$F$3:$L$1107,7,0),"")</f>
        <v>_</v>
      </c>
      <c r="AP738" s="300" t="str">
        <f>_xlfn.IFNA(VLOOKUP($AI738,Programma!$F$3:$M$1107,8,0),"")</f>
        <v>_</v>
      </c>
      <c r="AQ738" s="300" t="str">
        <f>_xlfn.IFNA(VLOOKUP($AI738,Programma!$F$3:$N$1107,9,0),"")</f>
        <v>_</v>
      </c>
      <c r="AR738" s="300" t="str">
        <f>_xlfn.IFNA(VLOOKUP($AI738,Programma!$F$3:$O$1107,10,0),"")</f>
        <v>5w</v>
      </c>
      <c r="AS738" s="300" t="str">
        <f>_xlfn.IFNA(VLOOKUP($AI738,Programma!$F$3:$P$1107,11,0),"")</f>
        <v>5w</v>
      </c>
      <c r="AT738" s="300" t="str">
        <f>_xlfn.IFNA(VLOOKUP($AI738,Programma!$F$3:$Q$1107,12,0),"")</f>
        <v>1w</v>
      </c>
      <c r="AU738" s="300" t="str">
        <f>_xlfn.IFNA(VLOOKUP($AI738,Programma!$F$3:$R$1107,13,0),"")</f>
        <v>1w</v>
      </c>
      <c r="AV738" s="300" t="str">
        <f>_xlfn.IFNA(VLOOKUP($AI738,Programma!$F$3:$S$1107,14,0),"")</f>
        <v>1m</v>
      </c>
      <c r="AW738" s="300" t="str">
        <f>_xlfn.IFNA(VLOOKUP($AI738,Programma!$F$3:$T$1107,15,0),"")</f>
        <v>2j</v>
      </c>
      <c r="AX738" s="300" t="str">
        <f>_xlfn.IFNA(VLOOKUP($AI738,Programma!$F$3:$U$1107,16,0),"")</f>
        <v>1j</v>
      </c>
      <c r="AY738" s="300" t="str">
        <f>_xlfn.IFNA(VLOOKUP($AI738,Programma!$F$3:$V$1107,17,0),"")</f>
        <v>_</v>
      </c>
      <c r="AZ738" s="300" t="str">
        <f>_xlfn.IFNA(VLOOKUP($AI738,Programma!$F$3:$W$1107,18,0),"")</f>
        <v>_</v>
      </c>
      <c r="BA738" s="300" t="str">
        <f>_xlfn.IFNA(VLOOKUP($AI738,Programma!$F$3:$X$1107,19,0),"")</f>
        <v>_</v>
      </c>
      <c r="BB738" s="300" t="str">
        <f>_xlfn.IFNA(VLOOKUP($AI738,Programma!$F$3:$Y$1107,20,0),"")</f>
        <v>_</v>
      </c>
      <c r="BC738" s="257"/>
      <c r="BD738" s="256" t="str">
        <f>IF(Ruimtestaat[[#This Row],[Frequentie weekend]]="","",_xlfn.CONCAT(Ruimtestaat[[#This Row],[Ruimte code]],"-",Ruimtestaat[[#This Row],[Frequentie weekend]]," ",Ruimtestaat[[#This Row],[Vloer code]]))</f>
        <v/>
      </c>
      <c r="BE738" s="300" t="str">
        <f>_xlfn.IFNA(VLOOKUP($BD738,Programma!$F$3:$G$1107,2,0),"")</f>
        <v/>
      </c>
      <c r="BF738" s="300" t="str">
        <f>_xlfn.IFNA(VLOOKUP($BD738,Programma!$F$3:$H$1107,3,0),"")</f>
        <v/>
      </c>
      <c r="BG738" s="300" t="str">
        <f>_xlfn.IFNA(VLOOKUP($BD738,Programma!$F$3:$I$1107,4,0),"")</f>
        <v/>
      </c>
      <c r="BH738" s="300" t="str">
        <f>_xlfn.IFNA(VLOOKUP($BD738,Programma!$F$3:$J$1107,5,0),"")</f>
        <v/>
      </c>
      <c r="BI738" s="300" t="str">
        <f>_xlfn.IFNA(VLOOKUP($BD738,Programma!$F$3:$K$1107,6,0),"")</f>
        <v/>
      </c>
      <c r="BJ738" s="300" t="str">
        <f>_xlfn.IFNA(VLOOKUP($BD738,Programma!$F$3:$L$1107,7,0),"")</f>
        <v/>
      </c>
      <c r="BK738" s="300" t="str">
        <f>_xlfn.IFNA(VLOOKUP($BD738,Programma!$F$3:$M$1107,8,0),"")</f>
        <v/>
      </c>
      <c r="BL738" s="300" t="str">
        <f>_xlfn.IFNA(VLOOKUP($BD738,Programma!$F$3:$N$1107,9,0),"")</f>
        <v/>
      </c>
      <c r="BM738" s="300" t="str">
        <f>_xlfn.IFNA(VLOOKUP($BD738,Programma!$F$3:$O$1107,10,0),"")</f>
        <v/>
      </c>
      <c r="BN738" s="300" t="str">
        <f>_xlfn.IFNA(VLOOKUP($BD738,Programma!$F$3:$P$1107,11,0),"")</f>
        <v/>
      </c>
      <c r="BO738" s="300" t="str">
        <f>_xlfn.IFNA(VLOOKUP($BD738,Programma!$F$3:$Q$1107,12,0),"")</f>
        <v/>
      </c>
      <c r="BP738" s="300" t="str">
        <f>_xlfn.IFNA(VLOOKUP($BD738,Programma!$F$3:$R$1107,13,0),"")</f>
        <v/>
      </c>
      <c r="BQ738" s="300" t="str">
        <f>_xlfn.IFNA(VLOOKUP($BD738,Programma!$F$3:$S$1107,14,0),"")</f>
        <v/>
      </c>
      <c r="BR738" s="300" t="str">
        <f>_xlfn.IFNA(VLOOKUP($BD738,Programma!$F$3:$T$1107,15,0),"")</f>
        <v/>
      </c>
      <c r="BS738" s="300" t="str">
        <f>_xlfn.IFNA(VLOOKUP($BD738,Programma!$F$3:$U$1107,16,0),"")</f>
        <v/>
      </c>
      <c r="BT738" s="300" t="str">
        <f>_xlfn.IFNA(VLOOKUP($BD738,Programma!$F$3:$V$1107,17,0),"")</f>
        <v/>
      </c>
      <c r="BU738" s="300" t="str">
        <f>_xlfn.IFNA(VLOOKUP($BD738,Programma!$F$3:$W$1107,18,0),"")</f>
        <v/>
      </c>
      <c r="BV738" s="300" t="str">
        <f>_xlfn.IFNA(VLOOKUP($BD738,Programma!$F$3:$X$1107,19,0),"")</f>
        <v/>
      </c>
      <c r="BW738" s="300" t="str">
        <f>_xlfn.IFNA(VLOOKUP($BD738,Programma!$F$3:$Y$1107,20,0),"")</f>
        <v/>
      </c>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c r="GK738" s="4"/>
      <c r="GL738" s="4"/>
      <c r="GM738" s="4"/>
      <c r="GN738" s="4"/>
      <c r="GO738" s="4"/>
      <c r="GP738" s="4"/>
      <c r="GQ738" s="4"/>
      <c r="GR738" s="4"/>
      <c r="GS738" s="4"/>
      <c r="GT738" s="4"/>
      <c r="GU738" s="4"/>
      <c r="GV738" s="4"/>
      <c r="GW738" s="4"/>
      <c r="GX738" s="4"/>
      <c r="GY738" s="4"/>
      <c r="GZ738" s="4"/>
      <c r="HA738" s="4"/>
      <c r="HB738" s="4"/>
      <c r="HC738" s="4"/>
      <c r="HD738" s="4"/>
      <c r="HE738" s="4"/>
      <c r="HF738" s="4"/>
      <c r="HG738" s="4"/>
      <c r="HH738" s="4"/>
      <c r="HI738" s="4"/>
      <c r="HJ738" s="4"/>
      <c r="HK738" s="4"/>
      <c r="HL738" s="4"/>
    </row>
    <row r="739" spans="1:220" ht="15" customHeight="1">
      <c r="A739" s="21">
        <v>8</v>
      </c>
      <c r="B739" s="157" t="str">
        <f>VLOOKUP(Ruimtestaat[[#This Row],[Code]],Locaties[[Code]:[Locatie]],2,FALSE)</f>
        <v>Dalton College</v>
      </c>
      <c r="C739" s="157" t="str">
        <f>VLOOKUP(Ruimtestaat[[#This Row],[Code]],Locaties[[#All],[Code]:[Adres]],4,FALSE)</f>
        <v>Loolaan 125</v>
      </c>
      <c r="D739" s="157" t="str">
        <f>VLOOKUP(Ruimtestaat[[#This Row],[Code]],Locaties[[#All],[Code]:[Postcode]],5,FALSE)</f>
        <v xml:space="preserve">2271 TM </v>
      </c>
      <c r="E739" s="157" t="str">
        <f>VLOOKUP(Ruimtestaat[[#This Row],[Code]],Locaties[#All],6,FALSE)</f>
        <v>Voorburg</v>
      </c>
      <c r="F739" s="62"/>
      <c r="G739" s="21" t="s">
        <v>1632</v>
      </c>
      <c r="H739" s="21">
        <v>76</v>
      </c>
      <c r="I739" s="62" t="s">
        <v>1625</v>
      </c>
      <c r="J739" s="21">
        <v>6</v>
      </c>
      <c r="K739" s="62" t="str">
        <f>VLOOKUP(Ruimtestaat[[#This Row],[Ruimte code]],Ruimtegroepen[[#All],[Code]:[Ruimte omschrijving]],2,FALSE)</f>
        <v>Gangen/hallen</v>
      </c>
      <c r="L739" s="33" t="s">
        <v>101</v>
      </c>
      <c r="M739" s="367" t="s">
        <v>2495</v>
      </c>
      <c r="N739" s="140">
        <v>16</v>
      </c>
      <c r="O739" s="140"/>
      <c r="P739" s="125" t="str">
        <f>VLOOKUP(Ruimtestaat[[#This Row],[Ruimte code]],Ruimtegroepen[],4,FALSE)</f>
        <v>Ve</v>
      </c>
      <c r="R739" s="33">
        <v>40</v>
      </c>
      <c r="S739" s="33" t="s">
        <v>2</v>
      </c>
      <c r="T739" s="33">
        <f>IF(R739&gt;0,IF(RIGHT(Ruimtestaat[[#This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9" s="33">
        <f>IF(T739&gt;0,VLOOKUP($J739,Ruimtegroepen[],3,FALSE)*VLOOKUP($L739,Vloersoorten[],3,FALSE)*VLOOKUP($S739,Frequenties[],3,FALSE)*VLOOKUP($A739,Locaties[],3,FALSE),0)</f>
        <v>0</v>
      </c>
      <c r="V739" s="33">
        <f>Ruimtestaat[[#This Row],[Uitvoeringen werkdagen]]*Ruimtestaat[[#This Row],[Oppervlak (netto)]]</f>
        <v>3200</v>
      </c>
      <c r="W739" s="154">
        <f>IF(U739&gt;0,Ruimtestaat[[#This Row],[Prest. (m2 /jaar) werkdagen]]/Ruimtestaat[[#This Row],[Norm (m2/uur) werkdagen]],0)</f>
        <v>0</v>
      </c>
      <c r="X739" s="155">
        <f>Ruimtestaat[[#This Row],[uren / jaar werkdagen]]*Tariefsopbouw!$E$35</f>
        <v>0</v>
      </c>
      <c r="Y739" s="33"/>
      <c r="Z739" s="33">
        <f>IF(Ruimtestaat[[#This Row],[Frequentie weekend]]&gt;0,VALUE(LEFT(Y739,1))*R739,0)</f>
        <v>0</v>
      </c>
      <c r="AA739" s="97">
        <f>IF($Z739&gt;0,VLOOKUP($J739,Ruimtegroepen[],3,FALSE)*VLOOKUP($L739,Vloersoorten[],3,FALSE)*VLOOKUP($Y739,Frequenties[],3,FALSE)*VLOOKUP(Ruimtestaat[[#This Row],[Code]],Locaties[],3,FALSE),0)</f>
        <v>0</v>
      </c>
      <c r="AB739" s="97">
        <f>Ruimtestaat[[#This Row],[Uitvoeringen weekend]]*Ruimtestaat[[#This Row],[Oppervlak (netto)]]</f>
        <v>0</v>
      </c>
      <c r="AC739" s="97">
        <f>IF(AA739&gt;0,Ruimtestaat[[#This Row],[Prest. (m2 /jaar) weekend]]/Ruimtestaat[[#This Row],[Norm (m2/uur) weekend]],0)</f>
        <v>0</v>
      </c>
      <c r="AD739" s="155">
        <f>Ruimtestaat[[#This Row],[uren / jaar weekend]]*Tariefsopbouw!$D$40</f>
        <v>0</v>
      </c>
      <c r="AE739" s="154">
        <f>Ruimtestaat[[#This Row],[Prest. (m2 /jaar) weekend]]+Ruimtestaat[[#This Row],[Prest. (m2 /jaar) werkdagen]]</f>
        <v>3200</v>
      </c>
      <c r="AF739" s="154">
        <f>Ruimtestaat[[#This Row],[uren / jaar weekend]]+Ruimtestaat[[#This Row],[uren / jaar werkdagen]]</f>
        <v>0</v>
      </c>
      <c r="AG739" s="69">
        <f>Ruimtestaat[[#This Row],[kosten / jaar weekend]]+Ruimtestaat[[#This Row],[kosten / jaar werkdagen]]</f>
        <v>0</v>
      </c>
      <c r="AH739" s="69"/>
      <c r="AI739" s="256" t="str">
        <f>IF(Ruimtestaat[[#This Row],[Frequentie werkdagen]]="","",_xlfn.CONCAT(Ruimtestaat[[#This Row],[Ruimte code]],"-",Ruimtestaat[[#This Row],[Frequentie werkdagen]]," ",Ruimtestaat[[#This Row],[Vloer code]]))</f>
        <v>6-5w L</v>
      </c>
      <c r="AJ739" s="300" t="str">
        <f>_xlfn.IFNA(VLOOKUP($AI739,Programma!$F$3:$G$1107,2,0),"")</f>
        <v>_</v>
      </c>
      <c r="AK739" s="300" t="str">
        <f>_xlfn.IFNA(VLOOKUP($AI739,Programma!$F$3:$H$1107,3,0),"")</f>
        <v>_</v>
      </c>
      <c r="AL739" s="300" t="str">
        <f>_xlfn.IFNA(VLOOKUP($AI739,Programma!$F$3:$I$1107,4,0),"")</f>
        <v>_</v>
      </c>
      <c r="AM739" s="300" t="str">
        <f>_xlfn.IFNA(VLOOKUP($AI739,Programma!$F$3:$J$1107,5,0),"")</f>
        <v>5w</v>
      </c>
      <c r="AN739" s="300" t="str">
        <f>_xlfn.IFNA(VLOOKUP($AI739,Programma!$F$3:$K$1107,6,0),"")</f>
        <v>_</v>
      </c>
      <c r="AO739" s="300" t="str">
        <f>_xlfn.IFNA(VLOOKUP($AI739,Programma!$F$3:$L$1107,7,0),"")</f>
        <v>_</v>
      </c>
      <c r="AP739" s="300" t="str">
        <f>_xlfn.IFNA(VLOOKUP($AI739,Programma!$F$3:$M$1107,8,0),"")</f>
        <v>_</v>
      </c>
      <c r="AQ739" s="300" t="str">
        <f>_xlfn.IFNA(VLOOKUP($AI739,Programma!$F$3:$N$1107,9,0),"")</f>
        <v>_</v>
      </c>
      <c r="AR739" s="300" t="str">
        <f>_xlfn.IFNA(VLOOKUP($AI739,Programma!$F$3:$O$1107,10,0),"")</f>
        <v>5w</v>
      </c>
      <c r="AS739" s="300" t="str">
        <f>_xlfn.IFNA(VLOOKUP($AI739,Programma!$F$3:$P$1107,11,0),"")</f>
        <v>5w</v>
      </c>
      <c r="AT739" s="300" t="str">
        <f>_xlfn.IFNA(VLOOKUP($AI739,Programma!$F$3:$Q$1107,12,0),"")</f>
        <v>1w</v>
      </c>
      <c r="AU739" s="300" t="str">
        <f>_xlfn.IFNA(VLOOKUP($AI739,Programma!$F$3:$R$1107,13,0),"")</f>
        <v>1w</v>
      </c>
      <c r="AV739" s="300" t="str">
        <f>_xlfn.IFNA(VLOOKUP($AI739,Programma!$F$3:$S$1107,14,0),"")</f>
        <v>1m</v>
      </c>
      <c r="AW739" s="300" t="str">
        <f>_xlfn.IFNA(VLOOKUP($AI739,Programma!$F$3:$T$1107,15,0),"")</f>
        <v>2j</v>
      </c>
      <c r="AX739" s="300" t="str">
        <f>_xlfn.IFNA(VLOOKUP($AI739,Programma!$F$3:$U$1107,16,0),"")</f>
        <v>1j</v>
      </c>
      <c r="AY739" s="300" t="str">
        <f>_xlfn.IFNA(VLOOKUP($AI739,Programma!$F$3:$V$1107,17,0),"")</f>
        <v>_</v>
      </c>
      <c r="AZ739" s="300" t="str">
        <f>_xlfn.IFNA(VLOOKUP($AI739,Programma!$F$3:$W$1107,18,0),"")</f>
        <v>_</v>
      </c>
      <c r="BA739" s="300" t="str">
        <f>_xlfn.IFNA(VLOOKUP($AI739,Programma!$F$3:$X$1107,19,0),"")</f>
        <v>_</v>
      </c>
      <c r="BB739" s="300" t="str">
        <f>_xlfn.IFNA(VLOOKUP($AI739,Programma!$F$3:$Y$1107,20,0),"")</f>
        <v>_</v>
      </c>
      <c r="BC739" s="257"/>
      <c r="BD739" s="256" t="str">
        <f>IF(Ruimtestaat[[#This Row],[Frequentie weekend]]="","",_xlfn.CONCAT(Ruimtestaat[[#This Row],[Ruimte code]],"-",Ruimtestaat[[#This Row],[Frequentie weekend]]," ",Ruimtestaat[[#This Row],[Vloer code]]))</f>
        <v/>
      </c>
      <c r="BE739" s="300" t="str">
        <f>_xlfn.IFNA(VLOOKUP($BD739,Programma!$F$3:$G$1107,2,0),"")</f>
        <v/>
      </c>
      <c r="BF739" s="300" t="str">
        <f>_xlfn.IFNA(VLOOKUP($BD739,Programma!$F$3:$H$1107,3,0),"")</f>
        <v/>
      </c>
      <c r="BG739" s="300" t="str">
        <f>_xlfn.IFNA(VLOOKUP($BD739,Programma!$F$3:$I$1107,4,0),"")</f>
        <v/>
      </c>
      <c r="BH739" s="300" t="str">
        <f>_xlfn.IFNA(VLOOKUP($BD739,Programma!$F$3:$J$1107,5,0),"")</f>
        <v/>
      </c>
      <c r="BI739" s="300" t="str">
        <f>_xlfn.IFNA(VLOOKUP($BD739,Programma!$F$3:$K$1107,6,0),"")</f>
        <v/>
      </c>
      <c r="BJ739" s="300" t="str">
        <f>_xlfn.IFNA(VLOOKUP($BD739,Programma!$F$3:$L$1107,7,0),"")</f>
        <v/>
      </c>
      <c r="BK739" s="300" t="str">
        <f>_xlfn.IFNA(VLOOKUP($BD739,Programma!$F$3:$M$1107,8,0),"")</f>
        <v/>
      </c>
      <c r="BL739" s="300" t="str">
        <f>_xlfn.IFNA(VLOOKUP($BD739,Programma!$F$3:$N$1107,9,0),"")</f>
        <v/>
      </c>
      <c r="BM739" s="300" t="str">
        <f>_xlfn.IFNA(VLOOKUP($BD739,Programma!$F$3:$O$1107,10,0),"")</f>
        <v/>
      </c>
      <c r="BN739" s="300" t="str">
        <f>_xlfn.IFNA(VLOOKUP($BD739,Programma!$F$3:$P$1107,11,0),"")</f>
        <v/>
      </c>
      <c r="BO739" s="300" t="str">
        <f>_xlfn.IFNA(VLOOKUP($BD739,Programma!$F$3:$Q$1107,12,0),"")</f>
        <v/>
      </c>
      <c r="BP739" s="300" t="str">
        <f>_xlfn.IFNA(VLOOKUP($BD739,Programma!$F$3:$R$1107,13,0),"")</f>
        <v/>
      </c>
      <c r="BQ739" s="300" t="str">
        <f>_xlfn.IFNA(VLOOKUP($BD739,Programma!$F$3:$S$1107,14,0),"")</f>
        <v/>
      </c>
      <c r="BR739" s="300" t="str">
        <f>_xlfn.IFNA(VLOOKUP($BD739,Programma!$F$3:$T$1107,15,0),"")</f>
        <v/>
      </c>
      <c r="BS739" s="300" t="str">
        <f>_xlfn.IFNA(VLOOKUP($BD739,Programma!$F$3:$U$1107,16,0),"")</f>
        <v/>
      </c>
      <c r="BT739" s="300" t="str">
        <f>_xlfn.IFNA(VLOOKUP($BD739,Programma!$F$3:$V$1107,17,0),"")</f>
        <v/>
      </c>
      <c r="BU739" s="300" t="str">
        <f>_xlfn.IFNA(VLOOKUP($BD739,Programma!$F$3:$W$1107,18,0),"")</f>
        <v/>
      </c>
      <c r="BV739" s="300" t="str">
        <f>_xlfn.IFNA(VLOOKUP($BD739,Programma!$F$3:$X$1107,19,0),"")</f>
        <v/>
      </c>
      <c r="BW739" s="300" t="str">
        <f>_xlfn.IFNA(VLOOKUP($BD739,Programma!$F$3:$Y$1107,20,0),"")</f>
        <v/>
      </c>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c r="GK739" s="4"/>
      <c r="GL739" s="4"/>
      <c r="GM739" s="4"/>
      <c r="GN739" s="4"/>
      <c r="GO739" s="4"/>
      <c r="GP739" s="4"/>
      <c r="GQ739" s="4"/>
      <c r="GR739" s="4"/>
      <c r="GS739" s="4"/>
      <c r="GT739" s="4"/>
      <c r="GU739" s="4"/>
      <c r="GV739" s="4"/>
      <c r="GW739" s="4"/>
      <c r="GX739" s="4"/>
      <c r="GY739" s="4"/>
      <c r="GZ739" s="4"/>
      <c r="HA739" s="4"/>
      <c r="HB739" s="4"/>
      <c r="HC739" s="4"/>
      <c r="HD739" s="4"/>
      <c r="HE739" s="4"/>
      <c r="HF739" s="4"/>
      <c r="HG739" s="4"/>
      <c r="HH739" s="4"/>
      <c r="HI739" s="4"/>
      <c r="HJ739" s="4"/>
      <c r="HK739" s="4"/>
      <c r="HL739" s="4"/>
    </row>
    <row r="740" spans="1:220" ht="15" customHeight="1">
      <c r="A740" s="21">
        <v>8</v>
      </c>
      <c r="B740" s="157" t="str">
        <f>VLOOKUP(Ruimtestaat[[#This Row],[Code]],Locaties[[Code]:[Locatie]],2,FALSE)</f>
        <v>Dalton College</v>
      </c>
      <c r="C740" s="157" t="str">
        <f>VLOOKUP(Ruimtestaat[[#This Row],[Code]],Locaties[[#All],[Code]:[Adres]],4,FALSE)</f>
        <v>Loolaan 125</v>
      </c>
      <c r="D740" s="157" t="str">
        <f>VLOOKUP(Ruimtestaat[[#This Row],[Code]],Locaties[[#All],[Code]:[Postcode]],5,FALSE)</f>
        <v xml:space="preserve">2271 TM </v>
      </c>
      <c r="E740" s="157" t="str">
        <f>VLOOKUP(Ruimtestaat[[#This Row],[Code]],Locaties[#All],6,FALSE)</f>
        <v>Voorburg</v>
      </c>
      <c r="F740" s="62"/>
      <c r="G740" s="21" t="s">
        <v>1632</v>
      </c>
      <c r="H740" s="21">
        <v>77</v>
      </c>
      <c r="I740" s="62" t="s">
        <v>2223</v>
      </c>
      <c r="J740" s="21">
        <v>10</v>
      </c>
      <c r="K740" s="62" t="str">
        <f>VLOOKUP(Ruimtestaat[[#This Row],[Ruimte code]],Ruimtegroepen[[#All],[Code]:[Ruimte omschrijving]],2,FALSE)</f>
        <v>Trappenhuizen/lift</v>
      </c>
      <c r="L740" s="33" t="s">
        <v>102</v>
      </c>
      <c r="M740" s="367" t="s">
        <v>2509</v>
      </c>
      <c r="N740" s="140">
        <v>27</v>
      </c>
      <c r="O740" s="140"/>
      <c r="P740" s="125" t="str">
        <f>VLOOKUP(Ruimtestaat[[#This Row],[Ruimte code]],Ruimtegroepen[],4,FALSE)</f>
        <v>Ve</v>
      </c>
      <c r="R740" s="33">
        <v>40</v>
      </c>
      <c r="S740" s="33" t="s">
        <v>2</v>
      </c>
      <c r="T740" s="33">
        <f>IF(R740&gt;0,IF(RIGHT(Ruimtestaat[[#This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40" s="33">
        <f>IF(T740&gt;0,VLOOKUP($J740,Ruimtegroepen[],3,FALSE)*VLOOKUP($L740,Vloersoorten[],3,FALSE)*VLOOKUP($S740,Frequenties[],3,FALSE)*VLOOKUP($A740,Locaties[],3,FALSE),0)</f>
        <v>0</v>
      </c>
      <c r="V740" s="33">
        <f>Ruimtestaat[[#This Row],[Uitvoeringen werkdagen]]*Ruimtestaat[[#This Row],[Oppervlak (netto)]]</f>
        <v>5400</v>
      </c>
      <c r="W740" s="154">
        <f>IF(U740&gt;0,Ruimtestaat[[#This Row],[Prest. (m2 /jaar) werkdagen]]/Ruimtestaat[[#This Row],[Norm (m2/uur) werkdagen]],0)</f>
        <v>0</v>
      </c>
      <c r="X740" s="155">
        <f>Ruimtestaat[[#This Row],[uren / jaar werkdagen]]*Tariefsopbouw!$E$35</f>
        <v>0</v>
      </c>
      <c r="Y740" s="33"/>
      <c r="Z740" s="33">
        <f>IF(Ruimtestaat[[#This Row],[Frequentie weekend]]&gt;0,VALUE(LEFT(Y740,1))*R740,0)</f>
        <v>0</v>
      </c>
      <c r="AA740" s="97">
        <f>IF($Z740&gt;0,VLOOKUP($J740,Ruimtegroepen[],3,FALSE)*VLOOKUP($L740,Vloersoorten[],3,FALSE)*VLOOKUP($Y740,Frequenties[],3,FALSE)*VLOOKUP(Ruimtestaat[[#This Row],[Code]],Locaties[],3,FALSE),0)</f>
        <v>0</v>
      </c>
      <c r="AB740" s="97">
        <f>Ruimtestaat[[#This Row],[Uitvoeringen weekend]]*Ruimtestaat[[#This Row],[Oppervlak (netto)]]</f>
        <v>0</v>
      </c>
      <c r="AC740" s="97">
        <f>IF(AA740&gt;0,Ruimtestaat[[#This Row],[Prest. (m2 /jaar) weekend]]/Ruimtestaat[[#This Row],[Norm (m2/uur) weekend]],0)</f>
        <v>0</v>
      </c>
      <c r="AD740" s="155">
        <f>Ruimtestaat[[#This Row],[uren / jaar weekend]]*Tariefsopbouw!$D$40</f>
        <v>0</v>
      </c>
      <c r="AE740" s="154">
        <f>Ruimtestaat[[#This Row],[Prest. (m2 /jaar) weekend]]+Ruimtestaat[[#This Row],[Prest. (m2 /jaar) werkdagen]]</f>
        <v>5400</v>
      </c>
      <c r="AF740" s="154">
        <f>Ruimtestaat[[#This Row],[uren / jaar weekend]]+Ruimtestaat[[#This Row],[uren / jaar werkdagen]]</f>
        <v>0</v>
      </c>
      <c r="AG740" s="69">
        <f>Ruimtestaat[[#This Row],[kosten / jaar weekend]]+Ruimtestaat[[#This Row],[kosten / jaar werkdagen]]</f>
        <v>0</v>
      </c>
      <c r="AH740" s="69"/>
      <c r="AI740" s="256" t="str">
        <f>IF(Ruimtestaat[[#This Row],[Frequentie werkdagen]]="","",_xlfn.CONCAT(Ruimtestaat[[#This Row],[Ruimte code]],"-",Ruimtestaat[[#This Row],[Frequentie werkdagen]]," ",Ruimtestaat[[#This Row],[Vloer code]]))</f>
        <v>10-5w S</v>
      </c>
      <c r="AJ740" s="300" t="str">
        <f>_xlfn.IFNA(VLOOKUP($AI740,Programma!$F$3:$G$1107,2,0),"")</f>
        <v>_</v>
      </c>
      <c r="AK740" s="300" t="str">
        <f>_xlfn.IFNA(VLOOKUP($AI740,Programma!$F$3:$H$1107,3,0),"")</f>
        <v>_</v>
      </c>
      <c r="AL740" s="300" t="str">
        <f>_xlfn.IFNA(VLOOKUP($AI740,Programma!$F$3:$I$1107,4,0),"")</f>
        <v>4w</v>
      </c>
      <c r="AM740" s="300" t="str">
        <f>_xlfn.IFNA(VLOOKUP($AI740,Programma!$F$3:$J$1107,5,0),"")</f>
        <v>1w</v>
      </c>
      <c r="AN740" s="300" t="str">
        <f>_xlfn.IFNA(VLOOKUP($AI740,Programma!$F$3:$K$1107,6,0),"")</f>
        <v>4j</v>
      </c>
      <c r="AO740" s="300" t="str">
        <f>_xlfn.IFNA(VLOOKUP($AI740,Programma!$F$3:$L$1107,7,0),"")</f>
        <v>_</v>
      </c>
      <c r="AP740" s="300" t="str">
        <f>_xlfn.IFNA(VLOOKUP($AI740,Programma!$F$3:$M$1107,8,0),"")</f>
        <v>_</v>
      </c>
      <c r="AQ740" s="300" t="str">
        <f>_xlfn.IFNA(VLOOKUP($AI740,Programma!$F$3:$N$1107,9,0),"")</f>
        <v>_</v>
      </c>
      <c r="AR740" s="300" t="str">
        <f>_xlfn.IFNA(VLOOKUP($AI740,Programma!$F$3:$O$1107,10,0),"")</f>
        <v>5w</v>
      </c>
      <c r="AS740" s="300" t="str">
        <f>_xlfn.IFNA(VLOOKUP($AI740,Programma!$F$3:$P$1107,11,0),"")</f>
        <v>5w</v>
      </c>
      <c r="AT740" s="300" t="str">
        <f>_xlfn.IFNA(VLOOKUP($AI740,Programma!$F$3:$Q$1107,12,0),"")</f>
        <v>1w</v>
      </c>
      <c r="AU740" s="300" t="str">
        <f>_xlfn.IFNA(VLOOKUP($AI740,Programma!$F$3:$R$1107,13,0),"")</f>
        <v>1w</v>
      </c>
      <c r="AV740" s="300" t="str">
        <f>_xlfn.IFNA(VLOOKUP($AI740,Programma!$F$3:$S$1107,14,0),"")</f>
        <v>1m</v>
      </c>
      <c r="AW740" s="300" t="str">
        <f>_xlfn.IFNA(VLOOKUP($AI740,Programma!$F$3:$T$1107,15,0),"")</f>
        <v>2j</v>
      </c>
      <c r="AX740" s="300" t="str">
        <f>_xlfn.IFNA(VLOOKUP($AI740,Programma!$F$3:$U$1107,16,0),"")</f>
        <v>1j</v>
      </c>
      <c r="AY740" s="300" t="str">
        <f>_xlfn.IFNA(VLOOKUP($AI740,Programma!$F$3:$V$1107,17,0),"")</f>
        <v>_</v>
      </c>
      <c r="AZ740" s="300" t="str">
        <f>_xlfn.IFNA(VLOOKUP($AI740,Programma!$F$3:$W$1107,18,0),"")</f>
        <v>_</v>
      </c>
      <c r="BA740" s="300" t="str">
        <f>_xlfn.IFNA(VLOOKUP($AI740,Programma!$F$3:$X$1107,19,0),"")</f>
        <v>_</v>
      </c>
      <c r="BB740" s="300" t="str">
        <f>_xlfn.IFNA(VLOOKUP($AI740,Programma!$F$3:$Y$1107,20,0),"")</f>
        <v>_</v>
      </c>
      <c r="BC740" s="257"/>
      <c r="BD740" s="256" t="str">
        <f>IF(Ruimtestaat[[#This Row],[Frequentie weekend]]="","",_xlfn.CONCAT(Ruimtestaat[[#This Row],[Ruimte code]],"-",Ruimtestaat[[#This Row],[Frequentie weekend]]," ",Ruimtestaat[[#This Row],[Vloer code]]))</f>
        <v/>
      </c>
      <c r="BE740" s="300" t="str">
        <f>_xlfn.IFNA(VLOOKUP($BD740,Programma!$F$3:$G$1107,2,0),"")</f>
        <v/>
      </c>
      <c r="BF740" s="300" t="str">
        <f>_xlfn.IFNA(VLOOKUP($BD740,Programma!$F$3:$H$1107,3,0),"")</f>
        <v/>
      </c>
      <c r="BG740" s="300" t="str">
        <f>_xlfn.IFNA(VLOOKUP($BD740,Programma!$F$3:$I$1107,4,0),"")</f>
        <v/>
      </c>
      <c r="BH740" s="300" t="str">
        <f>_xlfn.IFNA(VLOOKUP($BD740,Programma!$F$3:$J$1107,5,0),"")</f>
        <v/>
      </c>
      <c r="BI740" s="300" t="str">
        <f>_xlfn.IFNA(VLOOKUP($BD740,Programma!$F$3:$K$1107,6,0),"")</f>
        <v/>
      </c>
      <c r="BJ740" s="300" t="str">
        <f>_xlfn.IFNA(VLOOKUP($BD740,Programma!$F$3:$L$1107,7,0),"")</f>
        <v/>
      </c>
      <c r="BK740" s="300" t="str">
        <f>_xlfn.IFNA(VLOOKUP($BD740,Programma!$F$3:$M$1107,8,0),"")</f>
        <v/>
      </c>
      <c r="BL740" s="300" t="str">
        <f>_xlfn.IFNA(VLOOKUP($BD740,Programma!$F$3:$N$1107,9,0),"")</f>
        <v/>
      </c>
      <c r="BM740" s="300" t="str">
        <f>_xlfn.IFNA(VLOOKUP($BD740,Programma!$F$3:$O$1107,10,0),"")</f>
        <v/>
      </c>
      <c r="BN740" s="300" t="str">
        <f>_xlfn.IFNA(VLOOKUP($BD740,Programma!$F$3:$P$1107,11,0),"")</f>
        <v/>
      </c>
      <c r="BO740" s="300" t="str">
        <f>_xlfn.IFNA(VLOOKUP($BD740,Programma!$F$3:$Q$1107,12,0),"")</f>
        <v/>
      </c>
      <c r="BP740" s="300" t="str">
        <f>_xlfn.IFNA(VLOOKUP($BD740,Programma!$F$3:$R$1107,13,0),"")</f>
        <v/>
      </c>
      <c r="BQ740" s="300" t="str">
        <f>_xlfn.IFNA(VLOOKUP($BD740,Programma!$F$3:$S$1107,14,0),"")</f>
        <v/>
      </c>
      <c r="BR740" s="300" t="str">
        <f>_xlfn.IFNA(VLOOKUP($BD740,Programma!$F$3:$T$1107,15,0),"")</f>
        <v/>
      </c>
      <c r="BS740" s="300" t="str">
        <f>_xlfn.IFNA(VLOOKUP($BD740,Programma!$F$3:$U$1107,16,0),"")</f>
        <v/>
      </c>
      <c r="BT740" s="300" t="str">
        <f>_xlfn.IFNA(VLOOKUP($BD740,Programma!$F$3:$V$1107,17,0),"")</f>
        <v/>
      </c>
      <c r="BU740" s="300" t="str">
        <f>_xlfn.IFNA(VLOOKUP($BD740,Programma!$F$3:$W$1107,18,0),"")</f>
        <v/>
      </c>
      <c r="BV740" s="300" t="str">
        <f>_xlfn.IFNA(VLOOKUP($BD740,Programma!$F$3:$X$1107,19,0),"")</f>
        <v/>
      </c>
      <c r="BW740" s="300" t="str">
        <f>_xlfn.IFNA(VLOOKUP($BD740,Programma!$F$3:$Y$1107,20,0),"")</f>
        <v/>
      </c>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c r="GK740" s="4"/>
      <c r="GL740" s="4"/>
      <c r="GM740" s="4"/>
      <c r="GN740" s="4"/>
      <c r="GO740" s="4"/>
      <c r="GP740" s="4"/>
      <c r="GQ740" s="4"/>
      <c r="GR740" s="4"/>
      <c r="GS740" s="4"/>
      <c r="GT740" s="4"/>
      <c r="GU740" s="4"/>
      <c r="GV740" s="4"/>
      <c r="GW740" s="4"/>
      <c r="GX740" s="4"/>
      <c r="GY740" s="4"/>
      <c r="GZ740" s="4"/>
      <c r="HA740" s="4"/>
      <c r="HB740" s="4"/>
      <c r="HC740" s="4"/>
      <c r="HD740" s="4"/>
      <c r="HE740" s="4"/>
      <c r="HF740" s="4"/>
      <c r="HG740" s="4"/>
      <c r="HH740" s="4"/>
      <c r="HI740" s="4"/>
      <c r="HJ740" s="4"/>
      <c r="HK740" s="4"/>
      <c r="HL740" s="4"/>
    </row>
    <row r="741" spans="1:220" ht="15" customHeight="1">
      <c r="A741" s="21">
        <v>8</v>
      </c>
      <c r="B741" s="157" t="str">
        <f>VLOOKUP(Ruimtestaat[[#This Row],[Code]],Locaties[[Code]:[Locatie]],2,FALSE)</f>
        <v>Dalton College</v>
      </c>
      <c r="C741" s="157" t="str">
        <f>VLOOKUP(Ruimtestaat[[#This Row],[Code]],Locaties[[#All],[Code]:[Adres]],4,FALSE)</f>
        <v>Loolaan 125</v>
      </c>
      <c r="D741" s="157" t="str">
        <f>VLOOKUP(Ruimtestaat[[#This Row],[Code]],Locaties[[#All],[Code]:[Postcode]],5,FALSE)</f>
        <v xml:space="preserve">2271 TM </v>
      </c>
      <c r="E741" s="157" t="str">
        <f>VLOOKUP(Ruimtestaat[[#This Row],[Code]],Locaties[#All],6,FALSE)</f>
        <v>Voorburg</v>
      </c>
      <c r="F741" s="62"/>
      <c r="G741" s="21" t="s">
        <v>1632</v>
      </c>
      <c r="H741" s="21">
        <v>78</v>
      </c>
      <c r="I741" s="62" t="s">
        <v>2233</v>
      </c>
      <c r="J741" s="21">
        <v>1</v>
      </c>
      <c r="K741" s="62" t="str">
        <f>VLOOKUP(Ruimtestaat[[#This Row],[Ruimte code]],Ruimtegroepen[[#All],[Code]:[Ruimte omschrijving]],2,FALSE)</f>
        <v>Magazijnen/bergingen</v>
      </c>
      <c r="L741" s="33" t="s">
        <v>101</v>
      </c>
      <c r="M741" s="367" t="s">
        <v>2525</v>
      </c>
      <c r="N741" s="140">
        <v>236</v>
      </c>
      <c r="O741" s="140"/>
      <c r="P741" s="125" t="str">
        <f>VLOOKUP(Ruimtestaat[[#This Row],[Ruimte code]],Ruimtegroepen[],4,FALSE)</f>
        <v>Ve</v>
      </c>
      <c r="Q741" s="125" t="s">
        <v>2543</v>
      </c>
      <c r="R741" s="33">
        <v>40</v>
      </c>
      <c r="S741" s="33" t="s">
        <v>16</v>
      </c>
      <c r="T741" s="33">
        <f>IF(R741&gt;0,IF(RIGHT(Ruimtestaat[[#This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741" s="33">
        <f>IF(T741&gt;0,VLOOKUP($J741,Ruimtegroepen[],3,FALSE)*VLOOKUP($L741,Vloersoorten[],3,FALSE)*VLOOKUP($S741,Frequenties[],3,FALSE)*VLOOKUP($A741,Locaties[],3,FALSE),0)</f>
        <v>0</v>
      </c>
      <c r="V741" s="33">
        <f>Ruimtestaat[[#This Row],[Uitvoeringen werkdagen]]*Ruimtestaat[[#This Row],[Oppervlak (netto)]]</f>
        <v>2832</v>
      </c>
      <c r="W741" s="154">
        <f>IF(U741&gt;0,Ruimtestaat[[#This Row],[Prest. (m2 /jaar) werkdagen]]/Ruimtestaat[[#This Row],[Norm (m2/uur) werkdagen]],0)</f>
        <v>0</v>
      </c>
      <c r="X741" s="155">
        <f>Ruimtestaat[[#This Row],[uren / jaar werkdagen]]*Tariefsopbouw!$E$35</f>
        <v>0</v>
      </c>
      <c r="Y741" s="33"/>
      <c r="Z741" s="33">
        <f>IF(Ruimtestaat[[#This Row],[Frequentie weekend]]&gt;0,VALUE(LEFT(Y741,1))*R741,0)</f>
        <v>0</v>
      </c>
      <c r="AA741" s="97">
        <f>IF($Z741&gt;0,VLOOKUP($J741,Ruimtegroepen[],3,FALSE)*VLOOKUP($L741,Vloersoorten[],3,FALSE)*VLOOKUP($Y741,Frequenties[],3,FALSE)*VLOOKUP(Ruimtestaat[[#This Row],[Code]],Locaties[],3,FALSE),0)</f>
        <v>0</v>
      </c>
      <c r="AB741" s="97">
        <f>Ruimtestaat[[#This Row],[Uitvoeringen weekend]]*Ruimtestaat[[#This Row],[Oppervlak (netto)]]</f>
        <v>0</v>
      </c>
      <c r="AC741" s="97">
        <f>IF(AA741&gt;0,Ruimtestaat[[#This Row],[Prest. (m2 /jaar) weekend]]/Ruimtestaat[[#This Row],[Norm (m2/uur) weekend]],0)</f>
        <v>0</v>
      </c>
      <c r="AD741" s="155">
        <f>Ruimtestaat[[#This Row],[uren / jaar weekend]]*Tariefsopbouw!$D$40</f>
        <v>0</v>
      </c>
      <c r="AE741" s="154">
        <f>Ruimtestaat[[#This Row],[Prest. (m2 /jaar) weekend]]+Ruimtestaat[[#This Row],[Prest. (m2 /jaar) werkdagen]]</f>
        <v>2832</v>
      </c>
      <c r="AF741" s="154">
        <f>Ruimtestaat[[#This Row],[uren / jaar weekend]]+Ruimtestaat[[#This Row],[uren / jaar werkdagen]]</f>
        <v>0</v>
      </c>
      <c r="AG741" s="69">
        <f>Ruimtestaat[[#This Row],[kosten / jaar weekend]]+Ruimtestaat[[#This Row],[kosten / jaar werkdagen]]</f>
        <v>0</v>
      </c>
      <c r="AH741" s="69"/>
      <c r="AI741" s="256" t="str">
        <f>IF(Ruimtestaat[[#This Row],[Frequentie werkdagen]]="","",_xlfn.CONCAT(Ruimtestaat[[#This Row],[Ruimte code]],"-",Ruimtestaat[[#This Row],[Frequentie werkdagen]]," ",Ruimtestaat[[#This Row],[Vloer code]]))</f>
        <v>1-1m L</v>
      </c>
      <c r="AJ741" s="300" t="str">
        <f>_xlfn.IFNA(VLOOKUP($AI741,Programma!$F$3:$G$1107,2,0),"")</f>
        <v>_</v>
      </c>
      <c r="AK741" s="300" t="str">
        <f>_xlfn.IFNA(VLOOKUP($AI741,Programma!$F$3:$H$1107,3,0),"")</f>
        <v>_</v>
      </c>
      <c r="AL741" s="300" t="str">
        <f>_xlfn.IFNA(VLOOKUP($AI741,Programma!$F$3:$I$1107,4,0),"")</f>
        <v>1m</v>
      </c>
      <c r="AM741" s="300" t="str">
        <f>_xlfn.IFNA(VLOOKUP($AI741,Programma!$F$3:$J$1107,5,0),"")</f>
        <v>1m</v>
      </c>
      <c r="AN741" s="300" t="str">
        <f>_xlfn.IFNA(VLOOKUP($AI741,Programma!$F$3:$K$1107,6,0),"")</f>
        <v>_</v>
      </c>
      <c r="AO741" s="300" t="str">
        <f>_xlfn.IFNA(VLOOKUP($AI741,Programma!$F$3:$L$1107,7,0),"")</f>
        <v>_</v>
      </c>
      <c r="AP741" s="300" t="str">
        <f>_xlfn.IFNA(VLOOKUP($AI741,Programma!$F$3:$M$1107,8,0),"")</f>
        <v>_</v>
      </c>
      <c r="AQ741" s="300" t="str">
        <f>_xlfn.IFNA(VLOOKUP($AI741,Programma!$F$3:$N$1107,9,0),"")</f>
        <v>_</v>
      </c>
      <c r="AR741" s="300" t="str">
        <f>_xlfn.IFNA(VLOOKUP($AI741,Programma!$F$3:$O$1107,10,0),"")</f>
        <v>_</v>
      </c>
      <c r="AS741" s="300" t="str">
        <f>_xlfn.IFNA(VLOOKUP($AI741,Programma!$F$3:$P$1107,11,0),"")</f>
        <v>_</v>
      </c>
      <c r="AT741" s="300" t="str">
        <f>_xlfn.IFNA(VLOOKUP($AI741,Programma!$F$3:$Q$1107,12,0),"")</f>
        <v>_</v>
      </c>
      <c r="AU741" s="300" t="str">
        <f>_xlfn.IFNA(VLOOKUP($AI741,Programma!$F$3:$R$1107,13,0),"")</f>
        <v>_</v>
      </c>
      <c r="AV741" s="300" t="str">
        <f>_xlfn.IFNA(VLOOKUP($AI741,Programma!$F$3:$S$1107,14,0),"")</f>
        <v>1m</v>
      </c>
      <c r="AW741" s="300" t="str">
        <f>_xlfn.IFNA(VLOOKUP($AI741,Programma!$F$3:$T$1107,15,0),"")</f>
        <v>4j</v>
      </c>
      <c r="AX741" s="300" t="str">
        <f>_xlfn.IFNA(VLOOKUP($AI741,Programma!$F$3:$U$1107,16,0),"")</f>
        <v>4j</v>
      </c>
      <c r="AY741" s="300" t="str">
        <f>_xlfn.IFNA(VLOOKUP($AI741,Programma!$F$3:$V$1107,17,0),"")</f>
        <v>_</v>
      </c>
      <c r="AZ741" s="300" t="str">
        <f>_xlfn.IFNA(VLOOKUP($AI741,Programma!$F$3:$W$1107,18,0),"")</f>
        <v>_</v>
      </c>
      <c r="BA741" s="300" t="str">
        <f>_xlfn.IFNA(VLOOKUP($AI741,Programma!$F$3:$X$1107,19,0),"")</f>
        <v>_</v>
      </c>
      <c r="BB741" s="300" t="str">
        <f>_xlfn.IFNA(VLOOKUP($AI741,Programma!$F$3:$Y$1107,20,0),"")</f>
        <v>_</v>
      </c>
      <c r="BC741" s="257"/>
      <c r="BD741" s="256" t="str">
        <f>IF(Ruimtestaat[[#This Row],[Frequentie weekend]]="","",_xlfn.CONCAT(Ruimtestaat[[#This Row],[Ruimte code]],"-",Ruimtestaat[[#This Row],[Frequentie weekend]]," ",Ruimtestaat[[#This Row],[Vloer code]]))</f>
        <v/>
      </c>
      <c r="BE741" s="300" t="str">
        <f>_xlfn.IFNA(VLOOKUP($BD741,Programma!$F$3:$G$1107,2,0),"")</f>
        <v/>
      </c>
      <c r="BF741" s="300" t="str">
        <f>_xlfn.IFNA(VLOOKUP($BD741,Programma!$F$3:$H$1107,3,0),"")</f>
        <v/>
      </c>
      <c r="BG741" s="300" t="str">
        <f>_xlfn.IFNA(VLOOKUP($BD741,Programma!$F$3:$I$1107,4,0),"")</f>
        <v/>
      </c>
      <c r="BH741" s="300" t="str">
        <f>_xlfn.IFNA(VLOOKUP($BD741,Programma!$F$3:$J$1107,5,0),"")</f>
        <v/>
      </c>
      <c r="BI741" s="300" t="str">
        <f>_xlfn.IFNA(VLOOKUP($BD741,Programma!$F$3:$K$1107,6,0),"")</f>
        <v/>
      </c>
      <c r="BJ741" s="300" t="str">
        <f>_xlfn.IFNA(VLOOKUP($BD741,Programma!$F$3:$L$1107,7,0),"")</f>
        <v/>
      </c>
      <c r="BK741" s="300" t="str">
        <f>_xlfn.IFNA(VLOOKUP($BD741,Programma!$F$3:$M$1107,8,0),"")</f>
        <v/>
      </c>
      <c r="BL741" s="300" t="str">
        <f>_xlfn.IFNA(VLOOKUP($BD741,Programma!$F$3:$N$1107,9,0),"")</f>
        <v/>
      </c>
      <c r="BM741" s="300" t="str">
        <f>_xlfn.IFNA(VLOOKUP($BD741,Programma!$F$3:$O$1107,10,0),"")</f>
        <v/>
      </c>
      <c r="BN741" s="300" t="str">
        <f>_xlfn.IFNA(VLOOKUP($BD741,Programma!$F$3:$P$1107,11,0),"")</f>
        <v/>
      </c>
      <c r="BO741" s="300" t="str">
        <f>_xlfn.IFNA(VLOOKUP($BD741,Programma!$F$3:$Q$1107,12,0),"")</f>
        <v/>
      </c>
      <c r="BP741" s="300" t="str">
        <f>_xlfn.IFNA(VLOOKUP($BD741,Programma!$F$3:$R$1107,13,0),"")</f>
        <v/>
      </c>
      <c r="BQ741" s="300" t="str">
        <f>_xlfn.IFNA(VLOOKUP($BD741,Programma!$F$3:$S$1107,14,0),"")</f>
        <v/>
      </c>
      <c r="BR741" s="300" t="str">
        <f>_xlfn.IFNA(VLOOKUP($BD741,Programma!$F$3:$T$1107,15,0),"")</f>
        <v/>
      </c>
      <c r="BS741" s="300" t="str">
        <f>_xlfn.IFNA(VLOOKUP($BD741,Programma!$F$3:$U$1107,16,0),"")</f>
        <v/>
      </c>
      <c r="BT741" s="300" t="str">
        <f>_xlfn.IFNA(VLOOKUP($BD741,Programma!$F$3:$V$1107,17,0),"")</f>
        <v/>
      </c>
      <c r="BU741" s="300" t="str">
        <f>_xlfn.IFNA(VLOOKUP($BD741,Programma!$F$3:$W$1107,18,0),"")</f>
        <v/>
      </c>
      <c r="BV741" s="300" t="str">
        <f>_xlfn.IFNA(VLOOKUP($BD741,Programma!$F$3:$X$1107,19,0),"")</f>
        <v/>
      </c>
      <c r="BW741" s="300" t="str">
        <f>_xlfn.IFNA(VLOOKUP($BD741,Programma!$F$3:$Y$1107,20,0),"")</f>
        <v/>
      </c>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c r="GK741" s="4"/>
      <c r="GL741" s="4"/>
      <c r="GM741" s="4"/>
      <c r="GN741" s="4"/>
      <c r="GO741" s="4"/>
      <c r="GP741" s="4"/>
      <c r="GQ741" s="4"/>
      <c r="GR741" s="4"/>
      <c r="GS741" s="4"/>
      <c r="GT741" s="4"/>
      <c r="GU741" s="4"/>
      <c r="GV741" s="4"/>
      <c r="GW741" s="4"/>
      <c r="GX741" s="4"/>
      <c r="GY741" s="4"/>
      <c r="GZ741" s="4"/>
      <c r="HA741" s="4"/>
      <c r="HB741" s="4"/>
      <c r="HC741" s="4"/>
      <c r="HD741" s="4"/>
      <c r="HE741" s="4"/>
      <c r="HF741" s="4"/>
      <c r="HG741" s="4"/>
      <c r="HH741" s="4"/>
      <c r="HI741" s="4"/>
      <c r="HJ741" s="4"/>
      <c r="HK741" s="4"/>
      <c r="HL741" s="4"/>
    </row>
    <row r="742" spans="1:220" ht="15" customHeight="1">
      <c r="A742" s="21">
        <v>8</v>
      </c>
      <c r="B742" s="157" t="str">
        <f>VLOOKUP(Ruimtestaat[[#This Row],[Code]],Locaties[[Code]:[Locatie]],2,FALSE)</f>
        <v>Dalton College</v>
      </c>
      <c r="C742" s="157" t="str">
        <f>VLOOKUP(Ruimtestaat[[#This Row],[Code]],Locaties[[#All],[Code]:[Adres]],4,FALSE)</f>
        <v>Loolaan 125</v>
      </c>
      <c r="D742" s="157" t="str">
        <f>VLOOKUP(Ruimtestaat[[#This Row],[Code]],Locaties[[#All],[Code]:[Postcode]],5,FALSE)</f>
        <v xml:space="preserve">2271 TM </v>
      </c>
      <c r="E742" s="157" t="str">
        <f>VLOOKUP(Ruimtestaat[[#This Row],[Code]],Locaties[#All],6,FALSE)</f>
        <v>Voorburg</v>
      </c>
      <c r="F742" s="62"/>
      <c r="G742" s="21" t="s">
        <v>1624</v>
      </c>
      <c r="H742" s="21" t="s">
        <v>1654</v>
      </c>
      <c r="I742" s="62" t="s">
        <v>1657</v>
      </c>
      <c r="J742" s="21">
        <v>10</v>
      </c>
      <c r="K742" s="62" t="str">
        <f>VLOOKUP(Ruimtestaat[[#This Row],[Ruimte code]],Ruimtegroepen[[#All],[Code]:[Ruimte omschrijving]],2,FALSE)</f>
        <v>Trappenhuizen/lift</v>
      </c>
      <c r="L742" s="33" t="s">
        <v>102</v>
      </c>
      <c r="M742" s="367" t="s">
        <v>2509</v>
      </c>
      <c r="N742" s="140">
        <v>10</v>
      </c>
      <c r="O742" s="140"/>
      <c r="P742" s="125" t="str">
        <f>VLOOKUP(Ruimtestaat[[#This Row],[Ruimte code]],Ruimtegroepen[],4,FALSE)</f>
        <v>Ve</v>
      </c>
      <c r="R742" s="33">
        <v>40</v>
      </c>
      <c r="S742" s="33" t="s">
        <v>2</v>
      </c>
      <c r="T742" s="33">
        <f>IF(R742&gt;0,IF(RIGHT(Ruimtestaat[[#This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42" s="33">
        <f>IF(T742&gt;0,VLOOKUP($J742,Ruimtegroepen[],3,FALSE)*VLOOKUP($L742,Vloersoorten[],3,FALSE)*VLOOKUP($S742,Frequenties[],3,FALSE)*VLOOKUP($A742,Locaties[],3,FALSE),0)</f>
        <v>0</v>
      </c>
      <c r="V742" s="33">
        <f>Ruimtestaat[[#This Row],[Uitvoeringen werkdagen]]*Ruimtestaat[[#This Row],[Oppervlak (netto)]]</f>
        <v>2000</v>
      </c>
      <c r="W742" s="154">
        <f>IF(U742&gt;0,Ruimtestaat[[#This Row],[Prest. (m2 /jaar) werkdagen]]/Ruimtestaat[[#This Row],[Norm (m2/uur) werkdagen]],0)</f>
        <v>0</v>
      </c>
      <c r="X742" s="155">
        <f>Ruimtestaat[[#This Row],[uren / jaar werkdagen]]*Tariefsopbouw!$E$35</f>
        <v>0</v>
      </c>
      <c r="Y742" s="33"/>
      <c r="Z742" s="33">
        <f>IF(Ruimtestaat[[#This Row],[Frequentie weekend]]&gt;0,VALUE(LEFT(Y742,1))*R742,0)</f>
        <v>0</v>
      </c>
      <c r="AA742" s="97">
        <f>IF($Z742&gt;0,VLOOKUP($J742,Ruimtegroepen[],3,FALSE)*VLOOKUP($L742,Vloersoorten[],3,FALSE)*VLOOKUP($Y742,Frequenties[],3,FALSE)*VLOOKUP(Ruimtestaat[[#This Row],[Code]],Locaties[],3,FALSE),0)</f>
        <v>0</v>
      </c>
      <c r="AB742" s="97">
        <f>Ruimtestaat[[#This Row],[Uitvoeringen weekend]]*Ruimtestaat[[#This Row],[Oppervlak (netto)]]</f>
        <v>0</v>
      </c>
      <c r="AC742" s="97">
        <f>IF(AA742&gt;0,Ruimtestaat[[#This Row],[Prest. (m2 /jaar) weekend]]/Ruimtestaat[[#This Row],[Norm (m2/uur) weekend]],0)</f>
        <v>0</v>
      </c>
      <c r="AD742" s="155">
        <f>Ruimtestaat[[#This Row],[uren / jaar weekend]]*Tariefsopbouw!$D$40</f>
        <v>0</v>
      </c>
      <c r="AE742" s="154">
        <f>Ruimtestaat[[#This Row],[Prest. (m2 /jaar) weekend]]+Ruimtestaat[[#This Row],[Prest. (m2 /jaar) werkdagen]]</f>
        <v>2000</v>
      </c>
      <c r="AF742" s="154">
        <f>Ruimtestaat[[#This Row],[uren / jaar weekend]]+Ruimtestaat[[#This Row],[uren / jaar werkdagen]]</f>
        <v>0</v>
      </c>
      <c r="AG742" s="69">
        <f>Ruimtestaat[[#This Row],[kosten / jaar weekend]]+Ruimtestaat[[#This Row],[kosten / jaar werkdagen]]</f>
        <v>0</v>
      </c>
      <c r="AH742" s="69"/>
      <c r="AI742" s="256" t="str">
        <f>IF(Ruimtestaat[[#This Row],[Frequentie werkdagen]]="","",_xlfn.CONCAT(Ruimtestaat[[#This Row],[Ruimte code]],"-",Ruimtestaat[[#This Row],[Frequentie werkdagen]]," ",Ruimtestaat[[#This Row],[Vloer code]]))</f>
        <v>10-5w S</v>
      </c>
      <c r="AJ742" s="300" t="str">
        <f>_xlfn.IFNA(VLOOKUP($AI742,Programma!$F$3:$G$1107,2,0),"")</f>
        <v>_</v>
      </c>
      <c r="AK742" s="300" t="str">
        <f>_xlfn.IFNA(VLOOKUP($AI742,Programma!$F$3:$H$1107,3,0),"")</f>
        <v>_</v>
      </c>
      <c r="AL742" s="300" t="str">
        <f>_xlfn.IFNA(VLOOKUP($AI742,Programma!$F$3:$I$1107,4,0),"")</f>
        <v>4w</v>
      </c>
      <c r="AM742" s="300" t="str">
        <f>_xlfn.IFNA(VLOOKUP($AI742,Programma!$F$3:$J$1107,5,0),"")</f>
        <v>1w</v>
      </c>
      <c r="AN742" s="300" t="str">
        <f>_xlfn.IFNA(VLOOKUP($AI742,Programma!$F$3:$K$1107,6,0),"")</f>
        <v>4j</v>
      </c>
      <c r="AO742" s="300" t="str">
        <f>_xlfn.IFNA(VLOOKUP($AI742,Programma!$F$3:$L$1107,7,0),"")</f>
        <v>_</v>
      </c>
      <c r="AP742" s="300" t="str">
        <f>_xlfn.IFNA(VLOOKUP($AI742,Programma!$F$3:$M$1107,8,0),"")</f>
        <v>_</v>
      </c>
      <c r="AQ742" s="300" t="str">
        <f>_xlfn.IFNA(VLOOKUP($AI742,Programma!$F$3:$N$1107,9,0),"")</f>
        <v>_</v>
      </c>
      <c r="AR742" s="300" t="str">
        <f>_xlfn.IFNA(VLOOKUP($AI742,Programma!$F$3:$O$1107,10,0),"")</f>
        <v>5w</v>
      </c>
      <c r="AS742" s="300" t="str">
        <f>_xlfn.IFNA(VLOOKUP($AI742,Programma!$F$3:$P$1107,11,0),"")</f>
        <v>5w</v>
      </c>
      <c r="AT742" s="300" t="str">
        <f>_xlfn.IFNA(VLOOKUP($AI742,Programma!$F$3:$Q$1107,12,0),"")</f>
        <v>1w</v>
      </c>
      <c r="AU742" s="300" t="str">
        <f>_xlfn.IFNA(VLOOKUP($AI742,Programma!$F$3:$R$1107,13,0),"")</f>
        <v>1w</v>
      </c>
      <c r="AV742" s="300" t="str">
        <f>_xlfn.IFNA(VLOOKUP($AI742,Programma!$F$3:$S$1107,14,0),"")</f>
        <v>1m</v>
      </c>
      <c r="AW742" s="300" t="str">
        <f>_xlfn.IFNA(VLOOKUP($AI742,Programma!$F$3:$T$1107,15,0),"")</f>
        <v>2j</v>
      </c>
      <c r="AX742" s="300" t="str">
        <f>_xlfn.IFNA(VLOOKUP($AI742,Programma!$F$3:$U$1107,16,0),"")</f>
        <v>1j</v>
      </c>
      <c r="AY742" s="300" t="str">
        <f>_xlfn.IFNA(VLOOKUP($AI742,Programma!$F$3:$V$1107,17,0),"")</f>
        <v>_</v>
      </c>
      <c r="AZ742" s="300" t="str">
        <f>_xlfn.IFNA(VLOOKUP($AI742,Programma!$F$3:$W$1107,18,0),"")</f>
        <v>_</v>
      </c>
      <c r="BA742" s="300" t="str">
        <f>_xlfn.IFNA(VLOOKUP($AI742,Programma!$F$3:$X$1107,19,0),"")</f>
        <v>_</v>
      </c>
      <c r="BB742" s="300" t="str">
        <f>_xlfn.IFNA(VLOOKUP($AI742,Programma!$F$3:$Y$1107,20,0),"")</f>
        <v>_</v>
      </c>
      <c r="BC742" s="257"/>
      <c r="BD742" s="256" t="str">
        <f>IF(Ruimtestaat[[#This Row],[Frequentie weekend]]="","",_xlfn.CONCAT(Ruimtestaat[[#This Row],[Ruimte code]],"-",Ruimtestaat[[#This Row],[Frequentie weekend]]," ",Ruimtestaat[[#This Row],[Vloer code]]))</f>
        <v/>
      </c>
      <c r="BE742" s="300" t="str">
        <f>_xlfn.IFNA(VLOOKUP($BD742,Programma!$F$3:$G$1107,2,0),"")</f>
        <v/>
      </c>
      <c r="BF742" s="300" t="str">
        <f>_xlfn.IFNA(VLOOKUP($BD742,Programma!$F$3:$H$1107,3,0),"")</f>
        <v/>
      </c>
      <c r="BG742" s="300" t="str">
        <f>_xlfn.IFNA(VLOOKUP($BD742,Programma!$F$3:$I$1107,4,0),"")</f>
        <v/>
      </c>
      <c r="BH742" s="300" t="str">
        <f>_xlfn.IFNA(VLOOKUP($BD742,Programma!$F$3:$J$1107,5,0),"")</f>
        <v/>
      </c>
      <c r="BI742" s="300" t="str">
        <f>_xlfn.IFNA(VLOOKUP($BD742,Programma!$F$3:$K$1107,6,0),"")</f>
        <v/>
      </c>
      <c r="BJ742" s="300" t="str">
        <f>_xlfn.IFNA(VLOOKUP($BD742,Programma!$F$3:$L$1107,7,0),"")</f>
        <v/>
      </c>
      <c r="BK742" s="300" t="str">
        <f>_xlfn.IFNA(VLOOKUP($BD742,Programma!$F$3:$M$1107,8,0),"")</f>
        <v/>
      </c>
      <c r="BL742" s="300" t="str">
        <f>_xlfn.IFNA(VLOOKUP($BD742,Programma!$F$3:$N$1107,9,0),"")</f>
        <v/>
      </c>
      <c r="BM742" s="300" t="str">
        <f>_xlfn.IFNA(VLOOKUP($BD742,Programma!$F$3:$O$1107,10,0),"")</f>
        <v/>
      </c>
      <c r="BN742" s="300" t="str">
        <f>_xlfn.IFNA(VLOOKUP($BD742,Programma!$F$3:$P$1107,11,0),"")</f>
        <v/>
      </c>
      <c r="BO742" s="300" t="str">
        <f>_xlfn.IFNA(VLOOKUP($BD742,Programma!$F$3:$Q$1107,12,0),"")</f>
        <v/>
      </c>
      <c r="BP742" s="300" t="str">
        <f>_xlfn.IFNA(VLOOKUP($BD742,Programma!$F$3:$R$1107,13,0),"")</f>
        <v/>
      </c>
      <c r="BQ742" s="300" t="str">
        <f>_xlfn.IFNA(VLOOKUP($BD742,Programma!$F$3:$S$1107,14,0),"")</f>
        <v/>
      </c>
      <c r="BR742" s="300" t="str">
        <f>_xlfn.IFNA(VLOOKUP($BD742,Programma!$F$3:$T$1107,15,0),"")</f>
        <v/>
      </c>
      <c r="BS742" s="300" t="str">
        <f>_xlfn.IFNA(VLOOKUP($BD742,Programma!$F$3:$U$1107,16,0),"")</f>
        <v/>
      </c>
      <c r="BT742" s="300" t="str">
        <f>_xlfn.IFNA(VLOOKUP($BD742,Programma!$F$3:$V$1107,17,0),"")</f>
        <v/>
      </c>
      <c r="BU742" s="300" t="str">
        <f>_xlfn.IFNA(VLOOKUP($BD742,Programma!$F$3:$W$1107,18,0),"")</f>
        <v/>
      </c>
      <c r="BV742" s="300" t="str">
        <f>_xlfn.IFNA(VLOOKUP($BD742,Programma!$F$3:$X$1107,19,0),"")</f>
        <v/>
      </c>
      <c r="BW742" s="300" t="str">
        <f>_xlfn.IFNA(VLOOKUP($BD742,Programma!$F$3:$Y$1107,20,0),"")</f>
        <v/>
      </c>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c r="GK742" s="4"/>
      <c r="GL742" s="4"/>
      <c r="GM742" s="4"/>
      <c r="GN742" s="4"/>
      <c r="GO742" s="4"/>
      <c r="GP742" s="4"/>
      <c r="GQ742" s="4"/>
      <c r="GR742" s="4"/>
      <c r="GS742" s="4"/>
      <c r="GT742" s="4"/>
      <c r="GU742" s="4"/>
      <c r="GV742" s="4"/>
      <c r="GW742" s="4"/>
      <c r="GX742" s="4"/>
      <c r="GY742" s="4"/>
      <c r="GZ742" s="4"/>
      <c r="HA742" s="4"/>
      <c r="HB742" s="4"/>
      <c r="HC742" s="4"/>
      <c r="HD742" s="4"/>
      <c r="HE742" s="4"/>
      <c r="HF742" s="4"/>
      <c r="HG742" s="4"/>
      <c r="HH742" s="4"/>
      <c r="HI742" s="4"/>
      <c r="HJ742" s="4"/>
      <c r="HK742" s="4"/>
      <c r="HL742" s="4"/>
    </row>
    <row r="743" spans="1:220" ht="15" customHeight="1">
      <c r="A743" s="21">
        <v>8</v>
      </c>
      <c r="B743" s="157" t="str">
        <f>VLOOKUP(Ruimtestaat[[#This Row],[Code]],Locaties[[Code]:[Locatie]],2,FALSE)</f>
        <v>Dalton College</v>
      </c>
      <c r="C743" s="157" t="str">
        <f>VLOOKUP(Ruimtestaat[[#This Row],[Code]],Locaties[[#All],[Code]:[Adres]],4,FALSE)</f>
        <v>Loolaan 125</v>
      </c>
      <c r="D743" s="157" t="str">
        <f>VLOOKUP(Ruimtestaat[[#This Row],[Code]],Locaties[[#All],[Code]:[Postcode]],5,FALSE)</f>
        <v xml:space="preserve">2271 TM </v>
      </c>
      <c r="E743" s="157" t="str">
        <f>VLOOKUP(Ruimtestaat[[#This Row],[Code]],Locaties[#All],6,FALSE)</f>
        <v>Voorburg</v>
      </c>
      <c r="F743" s="62"/>
      <c r="G743" s="21" t="s">
        <v>1624</v>
      </c>
      <c r="H743" s="21" t="s">
        <v>1656</v>
      </c>
      <c r="I743" s="62" t="s">
        <v>2234</v>
      </c>
      <c r="J743" s="21">
        <v>14</v>
      </c>
      <c r="K743" s="62" t="str">
        <f>VLOOKUP(Ruimtestaat[[#This Row],[Ruimte code]],Ruimtegroepen[[#All],[Code]:[Ruimte omschrijving]],2,FALSE)</f>
        <v>Praktijklokalen binas/zorg</v>
      </c>
      <c r="L743" s="33" t="s">
        <v>101</v>
      </c>
      <c r="M743" s="367" t="s">
        <v>2495</v>
      </c>
      <c r="N743" s="140">
        <v>94</v>
      </c>
      <c r="O743" s="140"/>
      <c r="P743" s="125" t="str">
        <f>VLOOKUP(Ruimtestaat[[#This Row],[Ruimte code]],Ruimtegroepen[],4,FALSE)</f>
        <v>Le</v>
      </c>
      <c r="R743" s="33">
        <v>40</v>
      </c>
      <c r="S743" s="33" t="s">
        <v>2</v>
      </c>
      <c r="T743" s="33">
        <f>IF(R743&gt;0,IF(RIGHT(Ruimtestaat[[#This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43" s="33">
        <f>IF(T743&gt;0,VLOOKUP($J743,Ruimtegroepen[],3,FALSE)*VLOOKUP($L743,Vloersoorten[],3,FALSE)*VLOOKUP($S743,Frequenties[],3,FALSE)*VLOOKUP($A743,Locaties[],3,FALSE),0)</f>
        <v>0</v>
      </c>
      <c r="V743" s="33">
        <f>Ruimtestaat[[#This Row],[Uitvoeringen werkdagen]]*Ruimtestaat[[#This Row],[Oppervlak (netto)]]</f>
        <v>18800</v>
      </c>
      <c r="W743" s="154">
        <f>IF(U743&gt;0,Ruimtestaat[[#This Row],[Prest. (m2 /jaar) werkdagen]]/Ruimtestaat[[#This Row],[Norm (m2/uur) werkdagen]],0)</f>
        <v>0</v>
      </c>
      <c r="X743" s="155">
        <f>Ruimtestaat[[#This Row],[uren / jaar werkdagen]]*Tariefsopbouw!$E$35</f>
        <v>0</v>
      </c>
      <c r="Y743" s="33"/>
      <c r="Z743" s="33">
        <f>IF(Ruimtestaat[[#This Row],[Frequentie weekend]]&gt;0,VALUE(LEFT(Y743,1))*R743,0)</f>
        <v>0</v>
      </c>
      <c r="AA743" s="97">
        <f>IF($Z743&gt;0,VLOOKUP($J743,Ruimtegroepen[],3,FALSE)*VLOOKUP($L743,Vloersoorten[],3,FALSE)*VLOOKUP($Y743,Frequenties[],3,FALSE)*VLOOKUP(Ruimtestaat[[#This Row],[Code]],Locaties[],3,FALSE),0)</f>
        <v>0</v>
      </c>
      <c r="AB743" s="97">
        <f>Ruimtestaat[[#This Row],[Uitvoeringen weekend]]*Ruimtestaat[[#This Row],[Oppervlak (netto)]]</f>
        <v>0</v>
      </c>
      <c r="AC743" s="97">
        <f>IF(AA743&gt;0,Ruimtestaat[[#This Row],[Prest. (m2 /jaar) weekend]]/Ruimtestaat[[#This Row],[Norm (m2/uur) weekend]],0)</f>
        <v>0</v>
      </c>
      <c r="AD743" s="155">
        <f>Ruimtestaat[[#This Row],[uren / jaar weekend]]*Tariefsopbouw!$D$40</f>
        <v>0</v>
      </c>
      <c r="AE743" s="154">
        <f>Ruimtestaat[[#This Row],[Prest. (m2 /jaar) weekend]]+Ruimtestaat[[#This Row],[Prest. (m2 /jaar) werkdagen]]</f>
        <v>18800</v>
      </c>
      <c r="AF743" s="154">
        <f>Ruimtestaat[[#This Row],[uren / jaar weekend]]+Ruimtestaat[[#This Row],[uren / jaar werkdagen]]</f>
        <v>0</v>
      </c>
      <c r="AG743" s="69">
        <f>Ruimtestaat[[#This Row],[kosten / jaar weekend]]+Ruimtestaat[[#This Row],[kosten / jaar werkdagen]]</f>
        <v>0</v>
      </c>
      <c r="AH743" s="69"/>
      <c r="AI743" s="256" t="str">
        <f>IF(Ruimtestaat[[#This Row],[Frequentie werkdagen]]="","",_xlfn.CONCAT(Ruimtestaat[[#This Row],[Ruimte code]],"-",Ruimtestaat[[#This Row],[Frequentie werkdagen]]," ",Ruimtestaat[[#This Row],[Vloer code]]))</f>
        <v>14-5w L</v>
      </c>
      <c r="AJ743" s="300" t="str">
        <f>_xlfn.IFNA(VLOOKUP($AI743,Programma!$F$3:$G$1107,2,0),"")</f>
        <v>_</v>
      </c>
      <c r="AK743" s="300" t="str">
        <f>_xlfn.IFNA(VLOOKUP($AI743,Programma!$F$3:$H$1107,3,0),"")</f>
        <v>_</v>
      </c>
      <c r="AL743" s="300" t="str">
        <f>_xlfn.IFNA(VLOOKUP($AI743,Programma!$F$3:$I$1107,4,0),"")</f>
        <v>_</v>
      </c>
      <c r="AM743" s="300" t="str">
        <f>_xlfn.IFNA(VLOOKUP($AI743,Programma!$F$3:$J$1107,5,0),"")</f>
        <v>5w</v>
      </c>
      <c r="AN743" s="300" t="str">
        <f>_xlfn.IFNA(VLOOKUP($AI743,Programma!$F$3:$K$1107,6,0),"")</f>
        <v>_</v>
      </c>
      <c r="AO743" s="300" t="str">
        <f>_xlfn.IFNA(VLOOKUP($AI743,Programma!$F$3:$L$1107,7,0),"")</f>
        <v>_</v>
      </c>
      <c r="AP743" s="300" t="str">
        <f>_xlfn.IFNA(VLOOKUP($AI743,Programma!$F$3:$M$1107,8,0),"")</f>
        <v>_</v>
      </c>
      <c r="AQ743" s="300" t="str">
        <f>_xlfn.IFNA(VLOOKUP($AI743,Programma!$F$3:$N$1107,9,0),"")</f>
        <v>_</v>
      </c>
      <c r="AR743" s="300" t="str">
        <f>_xlfn.IFNA(VLOOKUP($AI743,Programma!$F$3:$O$1107,10,0),"")</f>
        <v>5w</v>
      </c>
      <c r="AS743" s="300" t="str">
        <f>_xlfn.IFNA(VLOOKUP($AI743,Programma!$F$3:$P$1107,11,0),"")</f>
        <v>5w</v>
      </c>
      <c r="AT743" s="300" t="str">
        <f>_xlfn.IFNA(VLOOKUP($AI743,Programma!$F$3:$Q$1107,12,0),"")</f>
        <v>1w</v>
      </c>
      <c r="AU743" s="300" t="str">
        <f>_xlfn.IFNA(VLOOKUP($AI743,Programma!$F$3:$R$1107,13,0),"")</f>
        <v>1w</v>
      </c>
      <c r="AV743" s="300" t="str">
        <f>_xlfn.IFNA(VLOOKUP($AI743,Programma!$F$3:$S$1107,14,0),"")</f>
        <v>1m</v>
      </c>
      <c r="AW743" s="300" t="str">
        <f>_xlfn.IFNA(VLOOKUP($AI743,Programma!$F$3:$T$1107,15,0),"")</f>
        <v>2j</v>
      </c>
      <c r="AX743" s="300" t="str">
        <f>_xlfn.IFNA(VLOOKUP($AI743,Programma!$F$3:$U$1107,16,0),"")</f>
        <v>1j</v>
      </c>
      <c r="AY743" s="300" t="str">
        <f>_xlfn.IFNA(VLOOKUP($AI743,Programma!$F$3:$V$1107,17,0),"")</f>
        <v>_</v>
      </c>
      <c r="AZ743" s="300" t="str">
        <f>_xlfn.IFNA(VLOOKUP($AI743,Programma!$F$3:$W$1107,18,0),"")</f>
        <v>_</v>
      </c>
      <c r="BA743" s="300" t="str">
        <f>_xlfn.IFNA(VLOOKUP($AI743,Programma!$F$3:$X$1107,19,0),"")</f>
        <v>_</v>
      </c>
      <c r="BB743" s="300" t="str">
        <f>_xlfn.IFNA(VLOOKUP($AI743,Programma!$F$3:$Y$1107,20,0),"")</f>
        <v>_</v>
      </c>
      <c r="BC743" s="257"/>
      <c r="BD743" s="256" t="str">
        <f>IF(Ruimtestaat[[#This Row],[Frequentie weekend]]="","",_xlfn.CONCAT(Ruimtestaat[[#This Row],[Ruimte code]],"-",Ruimtestaat[[#This Row],[Frequentie weekend]]," ",Ruimtestaat[[#This Row],[Vloer code]]))</f>
        <v/>
      </c>
      <c r="BE743" s="300" t="str">
        <f>_xlfn.IFNA(VLOOKUP($BD743,Programma!$F$3:$G$1107,2,0),"")</f>
        <v/>
      </c>
      <c r="BF743" s="300" t="str">
        <f>_xlfn.IFNA(VLOOKUP($BD743,Programma!$F$3:$H$1107,3,0),"")</f>
        <v/>
      </c>
      <c r="BG743" s="300" t="str">
        <f>_xlfn.IFNA(VLOOKUP($BD743,Programma!$F$3:$I$1107,4,0),"")</f>
        <v/>
      </c>
      <c r="BH743" s="300" t="str">
        <f>_xlfn.IFNA(VLOOKUP($BD743,Programma!$F$3:$J$1107,5,0),"")</f>
        <v/>
      </c>
      <c r="BI743" s="300" t="str">
        <f>_xlfn.IFNA(VLOOKUP($BD743,Programma!$F$3:$K$1107,6,0),"")</f>
        <v/>
      </c>
      <c r="BJ743" s="300" t="str">
        <f>_xlfn.IFNA(VLOOKUP($BD743,Programma!$F$3:$L$1107,7,0),"")</f>
        <v/>
      </c>
      <c r="BK743" s="300" t="str">
        <f>_xlfn.IFNA(VLOOKUP($BD743,Programma!$F$3:$M$1107,8,0),"")</f>
        <v/>
      </c>
      <c r="BL743" s="300" t="str">
        <f>_xlfn.IFNA(VLOOKUP($BD743,Programma!$F$3:$N$1107,9,0),"")</f>
        <v/>
      </c>
      <c r="BM743" s="300" t="str">
        <f>_xlfn.IFNA(VLOOKUP($BD743,Programma!$F$3:$O$1107,10,0),"")</f>
        <v/>
      </c>
      <c r="BN743" s="300" t="str">
        <f>_xlfn.IFNA(VLOOKUP($BD743,Programma!$F$3:$P$1107,11,0),"")</f>
        <v/>
      </c>
      <c r="BO743" s="300" t="str">
        <f>_xlfn.IFNA(VLOOKUP($BD743,Programma!$F$3:$Q$1107,12,0),"")</f>
        <v/>
      </c>
      <c r="BP743" s="300" t="str">
        <f>_xlfn.IFNA(VLOOKUP($BD743,Programma!$F$3:$R$1107,13,0),"")</f>
        <v/>
      </c>
      <c r="BQ743" s="300" t="str">
        <f>_xlfn.IFNA(VLOOKUP($BD743,Programma!$F$3:$S$1107,14,0),"")</f>
        <v/>
      </c>
      <c r="BR743" s="300" t="str">
        <f>_xlfn.IFNA(VLOOKUP($BD743,Programma!$F$3:$T$1107,15,0),"")</f>
        <v/>
      </c>
      <c r="BS743" s="300" t="str">
        <f>_xlfn.IFNA(VLOOKUP($BD743,Programma!$F$3:$U$1107,16,0),"")</f>
        <v/>
      </c>
      <c r="BT743" s="300" t="str">
        <f>_xlfn.IFNA(VLOOKUP($BD743,Programma!$F$3:$V$1107,17,0),"")</f>
        <v/>
      </c>
      <c r="BU743" s="300" t="str">
        <f>_xlfn.IFNA(VLOOKUP($BD743,Programma!$F$3:$W$1107,18,0),"")</f>
        <v/>
      </c>
      <c r="BV743" s="300" t="str">
        <f>_xlfn.IFNA(VLOOKUP($BD743,Programma!$F$3:$X$1107,19,0),"")</f>
        <v/>
      </c>
      <c r="BW743" s="300" t="str">
        <f>_xlfn.IFNA(VLOOKUP($BD743,Programma!$F$3:$Y$1107,20,0),"")</f>
        <v/>
      </c>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c r="GK743" s="4"/>
      <c r="GL743" s="4"/>
      <c r="GM743" s="4"/>
      <c r="GN743" s="4"/>
      <c r="GO743" s="4"/>
      <c r="GP743" s="4"/>
      <c r="GQ743" s="4"/>
      <c r="GR743" s="4"/>
      <c r="GS743" s="4"/>
      <c r="GT743" s="4"/>
      <c r="GU743" s="4"/>
      <c r="GV743" s="4"/>
      <c r="GW743" s="4"/>
      <c r="GX743" s="4"/>
      <c r="GY743" s="4"/>
      <c r="GZ743" s="4"/>
      <c r="HA743" s="4"/>
      <c r="HB743" s="4"/>
      <c r="HC743" s="4"/>
      <c r="HD743" s="4"/>
      <c r="HE743" s="4"/>
      <c r="HF743" s="4"/>
      <c r="HG743" s="4"/>
      <c r="HH743" s="4"/>
      <c r="HI743" s="4"/>
      <c r="HJ743" s="4"/>
      <c r="HK743" s="4"/>
      <c r="HL743" s="4"/>
    </row>
    <row r="744" spans="1:220" ht="15" customHeight="1">
      <c r="A744" s="21">
        <v>8</v>
      </c>
      <c r="B744" s="157" t="str">
        <f>VLOOKUP(Ruimtestaat[[#This Row],[Code]],Locaties[[Code]:[Locatie]],2,FALSE)</f>
        <v>Dalton College</v>
      </c>
      <c r="C744" s="157" t="str">
        <f>VLOOKUP(Ruimtestaat[[#This Row],[Code]],Locaties[[#All],[Code]:[Adres]],4,FALSE)</f>
        <v>Loolaan 125</v>
      </c>
      <c r="D744" s="157" t="str">
        <f>VLOOKUP(Ruimtestaat[[#This Row],[Code]],Locaties[[#All],[Code]:[Postcode]],5,FALSE)</f>
        <v xml:space="preserve">2271 TM </v>
      </c>
      <c r="E744" s="157" t="str">
        <f>VLOOKUP(Ruimtestaat[[#This Row],[Code]],Locaties[#All],6,FALSE)</f>
        <v>Voorburg</v>
      </c>
      <c r="F744" s="62"/>
      <c r="G744" s="21" t="s">
        <v>1624</v>
      </c>
      <c r="H744" s="21" t="s">
        <v>1658</v>
      </c>
      <c r="I744" s="62" t="s">
        <v>2235</v>
      </c>
      <c r="J744" s="21">
        <v>1</v>
      </c>
      <c r="K744" s="62" t="str">
        <f>VLOOKUP(Ruimtestaat[[#This Row],[Ruimte code]],Ruimtegroepen[[#All],[Code]:[Ruimte omschrijving]],2,FALSE)</f>
        <v>Magazijnen/bergingen</v>
      </c>
      <c r="L744" s="33" t="s">
        <v>101</v>
      </c>
      <c r="M744" s="367" t="s">
        <v>2495</v>
      </c>
      <c r="N744" s="140">
        <v>0</v>
      </c>
      <c r="O744" s="140"/>
      <c r="P744" s="125" t="str">
        <f>VLOOKUP(Ruimtestaat[[#This Row],[Ruimte code]],Ruimtegroepen[],4,FALSE)</f>
        <v>Ve</v>
      </c>
      <c r="Q744" s="125" t="s">
        <v>2544</v>
      </c>
      <c r="R744" s="33">
        <v>40</v>
      </c>
      <c r="S744" s="33" t="s">
        <v>16</v>
      </c>
      <c r="T744" s="33">
        <f>IF(R744&gt;0,IF(RIGHT(Ruimtestaat[[#This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744" s="33">
        <f>IF(T744&gt;0,VLOOKUP($J744,Ruimtegroepen[],3,FALSE)*VLOOKUP($L744,Vloersoorten[],3,FALSE)*VLOOKUP($S744,Frequenties[],3,FALSE)*VLOOKUP($A744,Locaties[],3,FALSE),0)</f>
        <v>0</v>
      </c>
      <c r="V744" s="33">
        <f>Ruimtestaat[[#This Row],[Uitvoeringen werkdagen]]*Ruimtestaat[[#This Row],[Oppervlak (netto)]]</f>
        <v>0</v>
      </c>
      <c r="W744" s="154">
        <f>IF(U744&gt;0,Ruimtestaat[[#This Row],[Prest. (m2 /jaar) werkdagen]]/Ruimtestaat[[#This Row],[Norm (m2/uur) werkdagen]],0)</f>
        <v>0</v>
      </c>
      <c r="X744" s="155">
        <f>Ruimtestaat[[#This Row],[uren / jaar werkdagen]]*Tariefsopbouw!$E$35</f>
        <v>0</v>
      </c>
      <c r="Y744" s="33"/>
      <c r="Z744" s="33">
        <f>IF(Ruimtestaat[[#This Row],[Frequentie weekend]]&gt;0,VALUE(LEFT(Y744,1))*R744,0)</f>
        <v>0</v>
      </c>
      <c r="AA744" s="97">
        <f>IF($Z744&gt;0,VLOOKUP($J744,Ruimtegroepen[],3,FALSE)*VLOOKUP($L744,Vloersoorten[],3,FALSE)*VLOOKUP($Y744,Frequenties[],3,FALSE)*VLOOKUP(Ruimtestaat[[#This Row],[Code]],Locaties[],3,FALSE),0)</f>
        <v>0</v>
      </c>
      <c r="AB744" s="97">
        <f>Ruimtestaat[[#This Row],[Uitvoeringen weekend]]*Ruimtestaat[[#This Row],[Oppervlak (netto)]]</f>
        <v>0</v>
      </c>
      <c r="AC744" s="97">
        <f>IF(AA744&gt;0,Ruimtestaat[[#This Row],[Prest. (m2 /jaar) weekend]]/Ruimtestaat[[#This Row],[Norm (m2/uur) weekend]],0)</f>
        <v>0</v>
      </c>
      <c r="AD744" s="155">
        <f>Ruimtestaat[[#This Row],[uren / jaar weekend]]*Tariefsopbouw!$D$40</f>
        <v>0</v>
      </c>
      <c r="AE744" s="154">
        <f>Ruimtestaat[[#This Row],[Prest. (m2 /jaar) weekend]]+Ruimtestaat[[#This Row],[Prest. (m2 /jaar) werkdagen]]</f>
        <v>0</v>
      </c>
      <c r="AF744" s="154">
        <f>Ruimtestaat[[#This Row],[uren / jaar weekend]]+Ruimtestaat[[#This Row],[uren / jaar werkdagen]]</f>
        <v>0</v>
      </c>
      <c r="AG744" s="69">
        <f>Ruimtestaat[[#This Row],[kosten / jaar weekend]]+Ruimtestaat[[#This Row],[kosten / jaar werkdagen]]</f>
        <v>0</v>
      </c>
      <c r="AH744" s="69"/>
      <c r="AI744" s="256" t="str">
        <f>IF(Ruimtestaat[[#This Row],[Frequentie werkdagen]]="","",_xlfn.CONCAT(Ruimtestaat[[#This Row],[Ruimte code]],"-",Ruimtestaat[[#This Row],[Frequentie werkdagen]]," ",Ruimtestaat[[#This Row],[Vloer code]]))</f>
        <v>1-1m L</v>
      </c>
      <c r="AJ744" s="300" t="str">
        <f>_xlfn.IFNA(VLOOKUP($AI744,Programma!$F$3:$G$1107,2,0),"")</f>
        <v>_</v>
      </c>
      <c r="AK744" s="300" t="str">
        <f>_xlfn.IFNA(VLOOKUP($AI744,Programma!$F$3:$H$1107,3,0),"")</f>
        <v>_</v>
      </c>
      <c r="AL744" s="300" t="str">
        <f>_xlfn.IFNA(VLOOKUP($AI744,Programma!$F$3:$I$1107,4,0),"")</f>
        <v>1m</v>
      </c>
      <c r="AM744" s="300" t="str">
        <f>_xlfn.IFNA(VLOOKUP($AI744,Programma!$F$3:$J$1107,5,0),"")</f>
        <v>1m</v>
      </c>
      <c r="AN744" s="300" t="str">
        <f>_xlfn.IFNA(VLOOKUP($AI744,Programma!$F$3:$K$1107,6,0),"")</f>
        <v>_</v>
      </c>
      <c r="AO744" s="300" t="str">
        <f>_xlfn.IFNA(VLOOKUP($AI744,Programma!$F$3:$L$1107,7,0),"")</f>
        <v>_</v>
      </c>
      <c r="AP744" s="300" t="str">
        <f>_xlfn.IFNA(VLOOKUP($AI744,Programma!$F$3:$M$1107,8,0),"")</f>
        <v>_</v>
      </c>
      <c r="AQ744" s="300" t="str">
        <f>_xlfn.IFNA(VLOOKUP($AI744,Programma!$F$3:$N$1107,9,0),"")</f>
        <v>_</v>
      </c>
      <c r="AR744" s="300" t="str">
        <f>_xlfn.IFNA(VLOOKUP($AI744,Programma!$F$3:$O$1107,10,0),"")</f>
        <v>_</v>
      </c>
      <c r="AS744" s="300" t="str">
        <f>_xlfn.IFNA(VLOOKUP($AI744,Programma!$F$3:$P$1107,11,0),"")</f>
        <v>_</v>
      </c>
      <c r="AT744" s="300" t="str">
        <f>_xlfn.IFNA(VLOOKUP($AI744,Programma!$F$3:$Q$1107,12,0),"")</f>
        <v>_</v>
      </c>
      <c r="AU744" s="300" t="str">
        <f>_xlfn.IFNA(VLOOKUP($AI744,Programma!$F$3:$R$1107,13,0),"")</f>
        <v>_</v>
      </c>
      <c r="AV744" s="300" t="str">
        <f>_xlfn.IFNA(VLOOKUP($AI744,Programma!$F$3:$S$1107,14,0),"")</f>
        <v>1m</v>
      </c>
      <c r="AW744" s="300" t="str">
        <f>_xlfn.IFNA(VLOOKUP($AI744,Programma!$F$3:$T$1107,15,0),"")</f>
        <v>4j</v>
      </c>
      <c r="AX744" s="300" t="str">
        <f>_xlfn.IFNA(VLOOKUP($AI744,Programma!$F$3:$U$1107,16,0),"")</f>
        <v>4j</v>
      </c>
      <c r="AY744" s="300" t="str">
        <f>_xlfn.IFNA(VLOOKUP($AI744,Programma!$F$3:$V$1107,17,0),"")</f>
        <v>_</v>
      </c>
      <c r="AZ744" s="300" t="str">
        <f>_xlfn.IFNA(VLOOKUP($AI744,Programma!$F$3:$W$1107,18,0),"")</f>
        <v>_</v>
      </c>
      <c r="BA744" s="300" t="str">
        <f>_xlfn.IFNA(VLOOKUP($AI744,Programma!$F$3:$X$1107,19,0),"")</f>
        <v>_</v>
      </c>
      <c r="BB744" s="300" t="str">
        <f>_xlfn.IFNA(VLOOKUP($AI744,Programma!$F$3:$Y$1107,20,0),"")</f>
        <v>_</v>
      </c>
      <c r="BC744" s="257"/>
      <c r="BD744" s="256" t="str">
        <f>IF(Ruimtestaat[[#This Row],[Frequentie weekend]]="","",_xlfn.CONCAT(Ruimtestaat[[#This Row],[Ruimte code]],"-",Ruimtestaat[[#This Row],[Frequentie weekend]]," ",Ruimtestaat[[#This Row],[Vloer code]]))</f>
        <v/>
      </c>
      <c r="BE744" s="300" t="str">
        <f>_xlfn.IFNA(VLOOKUP($BD744,Programma!$F$3:$G$1107,2,0),"")</f>
        <v/>
      </c>
      <c r="BF744" s="300" t="str">
        <f>_xlfn.IFNA(VLOOKUP($BD744,Programma!$F$3:$H$1107,3,0),"")</f>
        <v/>
      </c>
      <c r="BG744" s="300" t="str">
        <f>_xlfn.IFNA(VLOOKUP($BD744,Programma!$F$3:$I$1107,4,0),"")</f>
        <v/>
      </c>
      <c r="BH744" s="300" t="str">
        <f>_xlfn.IFNA(VLOOKUP($BD744,Programma!$F$3:$J$1107,5,0),"")</f>
        <v/>
      </c>
      <c r="BI744" s="300" t="str">
        <f>_xlfn.IFNA(VLOOKUP($BD744,Programma!$F$3:$K$1107,6,0),"")</f>
        <v/>
      </c>
      <c r="BJ744" s="300" t="str">
        <f>_xlfn.IFNA(VLOOKUP($BD744,Programma!$F$3:$L$1107,7,0),"")</f>
        <v/>
      </c>
      <c r="BK744" s="300" t="str">
        <f>_xlfn.IFNA(VLOOKUP($BD744,Programma!$F$3:$M$1107,8,0),"")</f>
        <v/>
      </c>
      <c r="BL744" s="300" t="str">
        <f>_xlfn.IFNA(VLOOKUP($BD744,Programma!$F$3:$N$1107,9,0),"")</f>
        <v/>
      </c>
      <c r="BM744" s="300" t="str">
        <f>_xlfn.IFNA(VLOOKUP($BD744,Programma!$F$3:$O$1107,10,0),"")</f>
        <v/>
      </c>
      <c r="BN744" s="300" t="str">
        <f>_xlfn.IFNA(VLOOKUP($BD744,Programma!$F$3:$P$1107,11,0),"")</f>
        <v/>
      </c>
      <c r="BO744" s="300" t="str">
        <f>_xlfn.IFNA(VLOOKUP($BD744,Programma!$F$3:$Q$1107,12,0),"")</f>
        <v/>
      </c>
      <c r="BP744" s="300" t="str">
        <f>_xlfn.IFNA(VLOOKUP($BD744,Programma!$F$3:$R$1107,13,0),"")</f>
        <v/>
      </c>
      <c r="BQ744" s="300" t="str">
        <f>_xlfn.IFNA(VLOOKUP($BD744,Programma!$F$3:$S$1107,14,0),"")</f>
        <v/>
      </c>
      <c r="BR744" s="300" t="str">
        <f>_xlfn.IFNA(VLOOKUP($BD744,Programma!$F$3:$T$1107,15,0),"")</f>
        <v/>
      </c>
      <c r="BS744" s="300" t="str">
        <f>_xlfn.IFNA(VLOOKUP($BD744,Programma!$F$3:$U$1107,16,0),"")</f>
        <v/>
      </c>
      <c r="BT744" s="300" t="str">
        <f>_xlfn.IFNA(VLOOKUP($BD744,Programma!$F$3:$V$1107,17,0),"")</f>
        <v/>
      </c>
      <c r="BU744" s="300" t="str">
        <f>_xlfn.IFNA(VLOOKUP($BD744,Programma!$F$3:$W$1107,18,0),"")</f>
        <v/>
      </c>
      <c r="BV744" s="300" t="str">
        <f>_xlfn.IFNA(VLOOKUP($BD744,Programma!$F$3:$X$1107,19,0),"")</f>
        <v/>
      </c>
      <c r="BW744" s="300" t="str">
        <f>_xlfn.IFNA(VLOOKUP($BD744,Programma!$F$3:$Y$1107,20,0),"")</f>
        <v/>
      </c>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c r="GK744" s="4"/>
      <c r="GL744" s="4"/>
      <c r="GM744" s="4"/>
      <c r="GN744" s="4"/>
      <c r="GO744" s="4"/>
      <c r="GP744" s="4"/>
      <c r="GQ744" s="4"/>
      <c r="GR744" s="4"/>
      <c r="GS744" s="4"/>
      <c r="GT744" s="4"/>
      <c r="GU744" s="4"/>
      <c r="GV744" s="4"/>
      <c r="GW744" s="4"/>
      <c r="GX744" s="4"/>
      <c r="GY744" s="4"/>
      <c r="GZ744" s="4"/>
      <c r="HA744" s="4"/>
      <c r="HB744" s="4"/>
      <c r="HC744" s="4"/>
      <c r="HD744" s="4"/>
      <c r="HE744" s="4"/>
      <c r="HF744" s="4"/>
      <c r="HG744" s="4"/>
      <c r="HH744" s="4"/>
      <c r="HI744" s="4"/>
      <c r="HJ744" s="4"/>
      <c r="HK744" s="4"/>
      <c r="HL744" s="4"/>
    </row>
    <row r="745" spans="1:220" ht="15" customHeight="1">
      <c r="A745" s="21">
        <v>8</v>
      </c>
      <c r="B745" s="157" t="str">
        <f>VLOOKUP(Ruimtestaat[[#This Row],[Code]],Locaties[[Code]:[Locatie]],2,FALSE)</f>
        <v>Dalton College</v>
      </c>
      <c r="C745" s="157" t="str">
        <f>VLOOKUP(Ruimtestaat[[#This Row],[Code]],Locaties[[#All],[Code]:[Adres]],4,FALSE)</f>
        <v>Loolaan 125</v>
      </c>
      <c r="D745" s="157" t="str">
        <f>VLOOKUP(Ruimtestaat[[#This Row],[Code]],Locaties[[#All],[Code]:[Postcode]],5,FALSE)</f>
        <v xml:space="preserve">2271 TM </v>
      </c>
      <c r="E745" s="157" t="str">
        <f>VLOOKUP(Ruimtestaat[[#This Row],[Code]],Locaties[#All],6,FALSE)</f>
        <v>Voorburg</v>
      </c>
      <c r="F745" s="62"/>
      <c r="G745" s="21" t="s">
        <v>1624</v>
      </c>
      <c r="H745" s="21" t="s">
        <v>1659</v>
      </c>
      <c r="I745" s="62" t="s">
        <v>2236</v>
      </c>
      <c r="J745" s="21">
        <v>14</v>
      </c>
      <c r="K745" s="62" t="str">
        <f>VLOOKUP(Ruimtestaat[[#This Row],[Ruimte code]],Ruimtegroepen[[#All],[Code]:[Ruimte omschrijving]],2,FALSE)</f>
        <v>Praktijklokalen binas/zorg</v>
      </c>
      <c r="L745" s="33" t="s">
        <v>101</v>
      </c>
      <c r="M745" s="367" t="s">
        <v>2495</v>
      </c>
      <c r="N745" s="140">
        <v>222</v>
      </c>
      <c r="O745" s="140"/>
      <c r="P745" s="125" t="str">
        <f>VLOOKUP(Ruimtestaat[[#This Row],[Ruimte code]],Ruimtegroepen[],4,FALSE)</f>
        <v>Le</v>
      </c>
      <c r="R745" s="33">
        <v>40</v>
      </c>
      <c r="S745" s="33" t="s">
        <v>2</v>
      </c>
      <c r="T745" s="33">
        <f>IF(R745&gt;0,IF(RIGHT(Ruimtestaat[[#This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45" s="33">
        <f>IF(T745&gt;0,VLOOKUP($J745,Ruimtegroepen[],3,FALSE)*VLOOKUP($L745,Vloersoorten[],3,FALSE)*VLOOKUP($S745,Frequenties[],3,FALSE)*VLOOKUP($A745,Locaties[],3,FALSE),0)</f>
        <v>0</v>
      </c>
      <c r="V745" s="33">
        <f>Ruimtestaat[[#This Row],[Uitvoeringen werkdagen]]*Ruimtestaat[[#This Row],[Oppervlak (netto)]]</f>
        <v>44400</v>
      </c>
      <c r="W745" s="154">
        <f>IF(U745&gt;0,Ruimtestaat[[#This Row],[Prest. (m2 /jaar) werkdagen]]/Ruimtestaat[[#This Row],[Norm (m2/uur) werkdagen]],0)</f>
        <v>0</v>
      </c>
      <c r="X745" s="155">
        <f>Ruimtestaat[[#This Row],[uren / jaar werkdagen]]*Tariefsopbouw!$E$35</f>
        <v>0</v>
      </c>
      <c r="Y745" s="33"/>
      <c r="Z745" s="33">
        <f>IF(Ruimtestaat[[#This Row],[Frequentie weekend]]&gt;0,VALUE(LEFT(Y745,1))*R745,0)</f>
        <v>0</v>
      </c>
      <c r="AA745" s="97">
        <f>IF($Z745&gt;0,VLOOKUP($J745,Ruimtegroepen[],3,FALSE)*VLOOKUP($L745,Vloersoorten[],3,FALSE)*VLOOKUP($Y745,Frequenties[],3,FALSE)*VLOOKUP(Ruimtestaat[[#This Row],[Code]],Locaties[],3,FALSE),0)</f>
        <v>0</v>
      </c>
      <c r="AB745" s="97">
        <f>Ruimtestaat[[#This Row],[Uitvoeringen weekend]]*Ruimtestaat[[#This Row],[Oppervlak (netto)]]</f>
        <v>0</v>
      </c>
      <c r="AC745" s="97">
        <f>IF(AA745&gt;0,Ruimtestaat[[#This Row],[Prest. (m2 /jaar) weekend]]/Ruimtestaat[[#This Row],[Norm (m2/uur) weekend]],0)</f>
        <v>0</v>
      </c>
      <c r="AD745" s="155">
        <f>Ruimtestaat[[#This Row],[uren / jaar weekend]]*Tariefsopbouw!$D$40</f>
        <v>0</v>
      </c>
      <c r="AE745" s="154">
        <f>Ruimtestaat[[#This Row],[Prest. (m2 /jaar) weekend]]+Ruimtestaat[[#This Row],[Prest. (m2 /jaar) werkdagen]]</f>
        <v>44400</v>
      </c>
      <c r="AF745" s="154">
        <f>Ruimtestaat[[#This Row],[uren / jaar weekend]]+Ruimtestaat[[#This Row],[uren / jaar werkdagen]]</f>
        <v>0</v>
      </c>
      <c r="AG745" s="69">
        <f>Ruimtestaat[[#This Row],[kosten / jaar weekend]]+Ruimtestaat[[#This Row],[kosten / jaar werkdagen]]</f>
        <v>0</v>
      </c>
      <c r="AH745" s="69"/>
      <c r="AI745" s="256" t="str">
        <f>IF(Ruimtestaat[[#This Row],[Frequentie werkdagen]]="","",_xlfn.CONCAT(Ruimtestaat[[#This Row],[Ruimte code]],"-",Ruimtestaat[[#This Row],[Frequentie werkdagen]]," ",Ruimtestaat[[#This Row],[Vloer code]]))</f>
        <v>14-5w L</v>
      </c>
      <c r="AJ745" s="300" t="str">
        <f>_xlfn.IFNA(VLOOKUP($AI745,Programma!$F$3:$G$1107,2,0),"")</f>
        <v>_</v>
      </c>
      <c r="AK745" s="300" t="str">
        <f>_xlfn.IFNA(VLOOKUP($AI745,Programma!$F$3:$H$1107,3,0),"")</f>
        <v>_</v>
      </c>
      <c r="AL745" s="300" t="str">
        <f>_xlfn.IFNA(VLOOKUP($AI745,Programma!$F$3:$I$1107,4,0),"")</f>
        <v>_</v>
      </c>
      <c r="AM745" s="300" t="str">
        <f>_xlfn.IFNA(VLOOKUP($AI745,Programma!$F$3:$J$1107,5,0),"")</f>
        <v>5w</v>
      </c>
      <c r="AN745" s="300" t="str">
        <f>_xlfn.IFNA(VLOOKUP($AI745,Programma!$F$3:$K$1107,6,0),"")</f>
        <v>_</v>
      </c>
      <c r="AO745" s="300" t="str">
        <f>_xlfn.IFNA(VLOOKUP($AI745,Programma!$F$3:$L$1107,7,0),"")</f>
        <v>_</v>
      </c>
      <c r="AP745" s="300" t="str">
        <f>_xlfn.IFNA(VLOOKUP($AI745,Programma!$F$3:$M$1107,8,0),"")</f>
        <v>_</v>
      </c>
      <c r="AQ745" s="300" t="str">
        <f>_xlfn.IFNA(VLOOKUP($AI745,Programma!$F$3:$N$1107,9,0),"")</f>
        <v>_</v>
      </c>
      <c r="AR745" s="300" t="str">
        <f>_xlfn.IFNA(VLOOKUP($AI745,Programma!$F$3:$O$1107,10,0),"")</f>
        <v>5w</v>
      </c>
      <c r="AS745" s="300" t="str">
        <f>_xlfn.IFNA(VLOOKUP($AI745,Programma!$F$3:$P$1107,11,0),"")</f>
        <v>5w</v>
      </c>
      <c r="AT745" s="300" t="str">
        <f>_xlfn.IFNA(VLOOKUP($AI745,Programma!$F$3:$Q$1107,12,0),"")</f>
        <v>1w</v>
      </c>
      <c r="AU745" s="300" t="str">
        <f>_xlfn.IFNA(VLOOKUP($AI745,Programma!$F$3:$R$1107,13,0),"")</f>
        <v>1w</v>
      </c>
      <c r="AV745" s="300" t="str">
        <f>_xlfn.IFNA(VLOOKUP($AI745,Programma!$F$3:$S$1107,14,0),"")</f>
        <v>1m</v>
      </c>
      <c r="AW745" s="300" t="str">
        <f>_xlfn.IFNA(VLOOKUP($AI745,Programma!$F$3:$T$1107,15,0),"")</f>
        <v>2j</v>
      </c>
      <c r="AX745" s="300" t="str">
        <f>_xlfn.IFNA(VLOOKUP($AI745,Programma!$F$3:$U$1107,16,0),"")</f>
        <v>1j</v>
      </c>
      <c r="AY745" s="300" t="str">
        <f>_xlfn.IFNA(VLOOKUP($AI745,Programma!$F$3:$V$1107,17,0),"")</f>
        <v>_</v>
      </c>
      <c r="AZ745" s="300" t="str">
        <f>_xlfn.IFNA(VLOOKUP($AI745,Programma!$F$3:$W$1107,18,0),"")</f>
        <v>_</v>
      </c>
      <c r="BA745" s="300" t="str">
        <f>_xlfn.IFNA(VLOOKUP($AI745,Programma!$F$3:$X$1107,19,0),"")</f>
        <v>_</v>
      </c>
      <c r="BB745" s="300" t="str">
        <f>_xlfn.IFNA(VLOOKUP($AI745,Programma!$F$3:$Y$1107,20,0),"")</f>
        <v>_</v>
      </c>
      <c r="BC745" s="257"/>
      <c r="BD745" s="256" t="str">
        <f>IF(Ruimtestaat[[#This Row],[Frequentie weekend]]="","",_xlfn.CONCAT(Ruimtestaat[[#This Row],[Ruimte code]],"-",Ruimtestaat[[#This Row],[Frequentie weekend]]," ",Ruimtestaat[[#This Row],[Vloer code]]))</f>
        <v/>
      </c>
      <c r="BE745" s="300" t="str">
        <f>_xlfn.IFNA(VLOOKUP($BD745,Programma!$F$3:$G$1107,2,0),"")</f>
        <v/>
      </c>
      <c r="BF745" s="300" t="str">
        <f>_xlfn.IFNA(VLOOKUP($BD745,Programma!$F$3:$H$1107,3,0),"")</f>
        <v/>
      </c>
      <c r="BG745" s="300" t="str">
        <f>_xlfn.IFNA(VLOOKUP($BD745,Programma!$F$3:$I$1107,4,0),"")</f>
        <v/>
      </c>
      <c r="BH745" s="300" t="str">
        <f>_xlfn.IFNA(VLOOKUP($BD745,Programma!$F$3:$J$1107,5,0),"")</f>
        <v/>
      </c>
      <c r="BI745" s="300" t="str">
        <f>_xlfn.IFNA(VLOOKUP($BD745,Programma!$F$3:$K$1107,6,0),"")</f>
        <v/>
      </c>
      <c r="BJ745" s="300" t="str">
        <f>_xlfn.IFNA(VLOOKUP($BD745,Programma!$F$3:$L$1107,7,0),"")</f>
        <v/>
      </c>
      <c r="BK745" s="300" t="str">
        <f>_xlfn.IFNA(VLOOKUP($BD745,Programma!$F$3:$M$1107,8,0),"")</f>
        <v/>
      </c>
      <c r="BL745" s="300" t="str">
        <f>_xlfn.IFNA(VLOOKUP($BD745,Programma!$F$3:$N$1107,9,0),"")</f>
        <v/>
      </c>
      <c r="BM745" s="300" t="str">
        <f>_xlfn.IFNA(VLOOKUP($BD745,Programma!$F$3:$O$1107,10,0),"")</f>
        <v/>
      </c>
      <c r="BN745" s="300" t="str">
        <f>_xlfn.IFNA(VLOOKUP($BD745,Programma!$F$3:$P$1107,11,0),"")</f>
        <v/>
      </c>
      <c r="BO745" s="300" t="str">
        <f>_xlfn.IFNA(VLOOKUP($BD745,Programma!$F$3:$Q$1107,12,0),"")</f>
        <v/>
      </c>
      <c r="BP745" s="300" t="str">
        <f>_xlfn.IFNA(VLOOKUP($BD745,Programma!$F$3:$R$1107,13,0),"")</f>
        <v/>
      </c>
      <c r="BQ745" s="300" t="str">
        <f>_xlfn.IFNA(VLOOKUP($BD745,Programma!$F$3:$S$1107,14,0),"")</f>
        <v/>
      </c>
      <c r="BR745" s="300" t="str">
        <f>_xlfn.IFNA(VLOOKUP($BD745,Programma!$F$3:$T$1107,15,0),"")</f>
        <v/>
      </c>
      <c r="BS745" s="300" t="str">
        <f>_xlfn.IFNA(VLOOKUP($BD745,Programma!$F$3:$U$1107,16,0),"")</f>
        <v/>
      </c>
      <c r="BT745" s="300" t="str">
        <f>_xlfn.IFNA(VLOOKUP($BD745,Programma!$F$3:$V$1107,17,0),"")</f>
        <v/>
      </c>
      <c r="BU745" s="300" t="str">
        <f>_xlfn.IFNA(VLOOKUP($BD745,Programma!$F$3:$W$1107,18,0),"")</f>
        <v/>
      </c>
      <c r="BV745" s="300" t="str">
        <f>_xlfn.IFNA(VLOOKUP($BD745,Programma!$F$3:$X$1107,19,0),"")</f>
        <v/>
      </c>
      <c r="BW745" s="300" t="str">
        <f>_xlfn.IFNA(VLOOKUP($BD745,Programma!$F$3:$Y$1107,20,0),"")</f>
        <v/>
      </c>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c r="GK745" s="4"/>
      <c r="GL745" s="4"/>
      <c r="GM745" s="4"/>
      <c r="GN745" s="4"/>
      <c r="GO745" s="4"/>
      <c r="GP745" s="4"/>
      <c r="GQ745" s="4"/>
      <c r="GR745" s="4"/>
      <c r="GS745" s="4"/>
      <c r="GT745" s="4"/>
      <c r="GU745" s="4"/>
      <c r="GV745" s="4"/>
      <c r="GW745" s="4"/>
      <c r="GX745" s="4"/>
      <c r="GY745" s="4"/>
      <c r="GZ745" s="4"/>
      <c r="HA745" s="4"/>
      <c r="HB745" s="4"/>
      <c r="HC745" s="4"/>
      <c r="HD745" s="4"/>
      <c r="HE745" s="4"/>
      <c r="HF745" s="4"/>
      <c r="HG745" s="4"/>
      <c r="HH745" s="4"/>
      <c r="HI745" s="4"/>
      <c r="HJ745" s="4"/>
      <c r="HK745" s="4"/>
      <c r="HL745" s="4"/>
    </row>
    <row r="746" spans="1:220" ht="15" customHeight="1">
      <c r="A746" s="21">
        <v>8</v>
      </c>
      <c r="B746" s="157" t="str">
        <f>VLOOKUP(Ruimtestaat[[#This Row],[Code]],Locaties[[Code]:[Locatie]],2,FALSE)</f>
        <v>Dalton College</v>
      </c>
      <c r="C746" s="157" t="str">
        <f>VLOOKUP(Ruimtestaat[[#This Row],[Code]],Locaties[[#All],[Code]:[Adres]],4,FALSE)</f>
        <v>Loolaan 125</v>
      </c>
      <c r="D746" s="157" t="str">
        <f>VLOOKUP(Ruimtestaat[[#This Row],[Code]],Locaties[[#All],[Code]:[Postcode]],5,FALSE)</f>
        <v xml:space="preserve">2271 TM </v>
      </c>
      <c r="E746" s="157" t="str">
        <f>VLOOKUP(Ruimtestaat[[#This Row],[Code]],Locaties[#All],6,FALSE)</f>
        <v>Voorburg</v>
      </c>
      <c r="F746" s="62"/>
      <c r="G746" s="21" t="s">
        <v>1624</v>
      </c>
      <c r="H746" s="21" t="s">
        <v>1661</v>
      </c>
      <c r="I746" s="62" t="s">
        <v>1638</v>
      </c>
      <c r="J746" s="21">
        <v>6</v>
      </c>
      <c r="K746" s="62" t="str">
        <f>VLOOKUP(Ruimtestaat[[#This Row],[Ruimte code]],Ruimtegroepen[[#All],[Code]:[Ruimte omschrijving]],2,FALSE)</f>
        <v>Gangen/hallen</v>
      </c>
      <c r="L746" s="33" t="s">
        <v>102</v>
      </c>
      <c r="M746" s="367" t="s">
        <v>2509</v>
      </c>
      <c r="N746" s="140">
        <v>4</v>
      </c>
      <c r="O746" s="140"/>
      <c r="P746" s="125" t="str">
        <f>VLOOKUP(Ruimtestaat[[#This Row],[Ruimte code]],Ruimtegroepen[],4,FALSE)</f>
        <v>Ve</v>
      </c>
      <c r="R746" s="33">
        <v>40</v>
      </c>
      <c r="S746" s="33" t="s">
        <v>2</v>
      </c>
      <c r="T746" s="33">
        <f>IF(R746&gt;0,IF(RIGHT(Ruimtestaat[[#This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46" s="33">
        <f>IF(T746&gt;0,VLOOKUP($J746,Ruimtegroepen[],3,FALSE)*VLOOKUP($L746,Vloersoorten[],3,FALSE)*VLOOKUP($S746,Frequenties[],3,FALSE)*VLOOKUP($A746,Locaties[],3,FALSE),0)</f>
        <v>0</v>
      </c>
      <c r="V746" s="33">
        <f>Ruimtestaat[[#This Row],[Uitvoeringen werkdagen]]*Ruimtestaat[[#This Row],[Oppervlak (netto)]]</f>
        <v>800</v>
      </c>
      <c r="W746" s="154">
        <f>IF(U746&gt;0,Ruimtestaat[[#This Row],[Prest. (m2 /jaar) werkdagen]]/Ruimtestaat[[#This Row],[Norm (m2/uur) werkdagen]],0)</f>
        <v>0</v>
      </c>
      <c r="X746" s="155">
        <f>Ruimtestaat[[#This Row],[uren / jaar werkdagen]]*Tariefsopbouw!$E$35</f>
        <v>0</v>
      </c>
      <c r="Y746" s="33"/>
      <c r="Z746" s="33">
        <f>IF(Ruimtestaat[[#This Row],[Frequentie weekend]]&gt;0,VALUE(LEFT(Y746,1))*R746,0)</f>
        <v>0</v>
      </c>
      <c r="AA746" s="97">
        <f>IF($Z746&gt;0,VLOOKUP($J746,Ruimtegroepen[],3,FALSE)*VLOOKUP($L746,Vloersoorten[],3,FALSE)*VLOOKUP($Y746,Frequenties[],3,FALSE)*VLOOKUP(Ruimtestaat[[#This Row],[Code]],Locaties[],3,FALSE),0)</f>
        <v>0</v>
      </c>
      <c r="AB746" s="97">
        <f>Ruimtestaat[[#This Row],[Uitvoeringen weekend]]*Ruimtestaat[[#This Row],[Oppervlak (netto)]]</f>
        <v>0</v>
      </c>
      <c r="AC746" s="97">
        <f>IF(AA746&gt;0,Ruimtestaat[[#This Row],[Prest. (m2 /jaar) weekend]]/Ruimtestaat[[#This Row],[Norm (m2/uur) weekend]],0)</f>
        <v>0</v>
      </c>
      <c r="AD746" s="155">
        <f>Ruimtestaat[[#This Row],[uren / jaar weekend]]*Tariefsopbouw!$D$40</f>
        <v>0</v>
      </c>
      <c r="AE746" s="154">
        <f>Ruimtestaat[[#This Row],[Prest. (m2 /jaar) weekend]]+Ruimtestaat[[#This Row],[Prest. (m2 /jaar) werkdagen]]</f>
        <v>800</v>
      </c>
      <c r="AF746" s="154">
        <f>Ruimtestaat[[#This Row],[uren / jaar weekend]]+Ruimtestaat[[#This Row],[uren / jaar werkdagen]]</f>
        <v>0</v>
      </c>
      <c r="AG746" s="69">
        <f>Ruimtestaat[[#This Row],[kosten / jaar weekend]]+Ruimtestaat[[#This Row],[kosten / jaar werkdagen]]</f>
        <v>0</v>
      </c>
      <c r="AH746" s="69"/>
      <c r="AI746" s="256" t="str">
        <f>IF(Ruimtestaat[[#This Row],[Frequentie werkdagen]]="","",_xlfn.CONCAT(Ruimtestaat[[#This Row],[Ruimte code]],"-",Ruimtestaat[[#This Row],[Frequentie werkdagen]]," ",Ruimtestaat[[#This Row],[Vloer code]]))</f>
        <v>6-5w S</v>
      </c>
      <c r="AJ746" s="300" t="str">
        <f>_xlfn.IFNA(VLOOKUP($AI746,Programma!$F$3:$G$1107,2,0),"")</f>
        <v>_</v>
      </c>
      <c r="AK746" s="300" t="str">
        <f>_xlfn.IFNA(VLOOKUP($AI746,Programma!$F$3:$H$1107,3,0),"")</f>
        <v>_</v>
      </c>
      <c r="AL746" s="300" t="str">
        <f>_xlfn.IFNA(VLOOKUP($AI746,Programma!$F$3:$I$1107,4,0),"")</f>
        <v>5w</v>
      </c>
      <c r="AM746" s="300" t="str">
        <f>_xlfn.IFNA(VLOOKUP($AI746,Programma!$F$3:$J$1107,5,0),"")</f>
        <v>_</v>
      </c>
      <c r="AN746" s="300" t="str">
        <f>_xlfn.IFNA(VLOOKUP($AI746,Programma!$F$3:$K$1107,6,0),"")</f>
        <v>5w</v>
      </c>
      <c r="AO746" s="300" t="str">
        <f>_xlfn.IFNA(VLOOKUP($AI746,Programma!$F$3:$L$1107,7,0),"")</f>
        <v>_</v>
      </c>
      <c r="AP746" s="300" t="str">
        <f>_xlfn.IFNA(VLOOKUP($AI746,Programma!$F$3:$M$1107,8,0),"")</f>
        <v>_</v>
      </c>
      <c r="AQ746" s="300" t="str">
        <f>_xlfn.IFNA(VLOOKUP($AI746,Programma!$F$3:$N$1107,9,0),"")</f>
        <v>_</v>
      </c>
      <c r="AR746" s="300" t="str">
        <f>_xlfn.IFNA(VLOOKUP($AI746,Programma!$F$3:$O$1107,10,0),"")</f>
        <v>5w</v>
      </c>
      <c r="AS746" s="300" t="str">
        <f>_xlfn.IFNA(VLOOKUP($AI746,Programma!$F$3:$P$1107,11,0),"")</f>
        <v>5w</v>
      </c>
      <c r="AT746" s="300" t="str">
        <f>_xlfn.IFNA(VLOOKUP($AI746,Programma!$F$3:$Q$1107,12,0),"")</f>
        <v>1w</v>
      </c>
      <c r="AU746" s="300" t="str">
        <f>_xlfn.IFNA(VLOOKUP($AI746,Programma!$F$3:$R$1107,13,0),"")</f>
        <v>1w</v>
      </c>
      <c r="AV746" s="300" t="str">
        <f>_xlfn.IFNA(VLOOKUP($AI746,Programma!$F$3:$S$1107,14,0),"")</f>
        <v>1m</v>
      </c>
      <c r="AW746" s="300" t="str">
        <f>_xlfn.IFNA(VLOOKUP($AI746,Programma!$F$3:$T$1107,15,0),"")</f>
        <v>2j</v>
      </c>
      <c r="AX746" s="300" t="str">
        <f>_xlfn.IFNA(VLOOKUP($AI746,Programma!$F$3:$U$1107,16,0),"")</f>
        <v>1j</v>
      </c>
      <c r="AY746" s="300" t="str">
        <f>_xlfn.IFNA(VLOOKUP($AI746,Programma!$F$3:$V$1107,17,0),"")</f>
        <v>_</v>
      </c>
      <c r="AZ746" s="300" t="str">
        <f>_xlfn.IFNA(VLOOKUP($AI746,Programma!$F$3:$W$1107,18,0),"")</f>
        <v>_</v>
      </c>
      <c r="BA746" s="300" t="str">
        <f>_xlfn.IFNA(VLOOKUP($AI746,Programma!$F$3:$X$1107,19,0),"")</f>
        <v>_</v>
      </c>
      <c r="BB746" s="300" t="str">
        <f>_xlfn.IFNA(VLOOKUP($AI746,Programma!$F$3:$Y$1107,20,0),"")</f>
        <v>_</v>
      </c>
      <c r="BC746" s="257"/>
      <c r="BD746" s="256" t="str">
        <f>IF(Ruimtestaat[[#This Row],[Frequentie weekend]]="","",_xlfn.CONCAT(Ruimtestaat[[#This Row],[Ruimte code]],"-",Ruimtestaat[[#This Row],[Frequentie weekend]]," ",Ruimtestaat[[#This Row],[Vloer code]]))</f>
        <v/>
      </c>
      <c r="BE746" s="300" t="str">
        <f>_xlfn.IFNA(VLOOKUP($BD746,Programma!$F$3:$G$1107,2,0),"")</f>
        <v/>
      </c>
      <c r="BF746" s="300" t="str">
        <f>_xlfn.IFNA(VLOOKUP($BD746,Programma!$F$3:$H$1107,3,0),"")</f>
        <v/>
      </c>
      <c r="BG746" s="300" t="str">
        <f>_xlfn.IFNA(VLOOKUP($BD746,Programma!$F$3:$I$1107,4,0),"")</f>
        <v/>
      </c>
      <c r="BH746" s="300" t="str">
        <f>_xlfn.IFNA(VLOOKUP($BD746,Programma!$F$3:$J$1107,5,0),"")</f>
        <v/>
      </c>
      <c r="BI746" s="300" t="str">
        <f>_xlfn.IFNA(VLOOKUP($BD746,Programma!$F$3:$K$1107,6,0),"")</f>
        <v/>
      </c>
      <c r="BJ746" s="300" t="str">
        <f>_xlfn.IFNA(VLOOKUP($BD746,Programma!$F$3:$L$1107,7,0),"")</f>
        <v/>
      </c>
      <c r="BK746" s="300" t="str">
        <f>_xlfn.IFNA(VLOOKUP($BD746,Programma!$F$3:$M$1107,8,0),"")</f>
        <v/>
      </c>
      <c r="BL746" s="300" t="str">
        <f>_xlfn.IFNA(VLOOKUP($BD746,Programma!$F$3:$N$1107,9,0),"")</f>
        <v/>
      </c>
      <c r="BM746" s="300" t="str">
        <f>_xlfn.IFNA(VLOOKUP($BD746,Programma!$F$3:$O$1107,10,0),"")</f>
        <v/>
      </c>
      <c r="BN746" s="300" t="str">
        <f>_xlfn.IFNA(VLOOKUP($BD746,Programma!$F$3:$P$1107,11,0),"")</f>
        <v/>
      </c>
      <c r="BO746" s="300" t="str">
        <f>_xlfn.IFNA(VLOOKUP($BD746,Programma!$F$3:$Q$1107,12,0),"")</f>
        <v/>
      </c>
      <c r="BP746" s="300" t="str">
        <f>_xlfn.IFNA(VLOOKUP($BD746,Programma!$F$3:$R$1107,13,0),"")</f>
        <v/>
      </c>
      <c r="BQ746" s="300" t="str">
        <f>_xlfn.IFNA(VLOOKUP($BD746,Programma!$F$3:$S$1107,14,0),"")</f>
        <v/>
      </c>
      <c r="BR746" s="300" t="str">
        <f>_xlfn.IFNA(VLOOKUP($BD746,Programma!$F$3:$T$1107,15,0),"")</f>
        <v/>
      </c>
      <c r="BS746" s="300" t="str">
        <f>_xlfn.IFNA(VLOOKUP($BD746,Programma!$F$3:$U$1107,16,0),"")</f>
        <v/>
      </c>
      <c r="BT746" s="300" t="str">
        <f>_xlfn.IFNA(VLOOKUP($BD746,Programma!$F$3:$V$1107,17,0),"")</f>
        <v/>
      </c>
      <c r="BU746" s="300" t="str">
        <f>_xlfn.IFNA(VLOOKUP($BD746,Programma!$F$3:$W$1107,18,0),"")</f>
        <v/>
      </c>
      <c r="BV746" s="300" t="str">
        <f>_xlfn.IFNA(VLOOKUP($BD746,Programma!$F$3:$X$1107,19,0),"")</f>
        <v/>
      </c>
      <c r="BW746" s="300" t="str">
        <f>_xlfn.IFNA(VLOOKUP($BD746,Programma!$F$3:$Y$1107,20,0),"")</f>
        <v/>
      </c>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c r="GK746" s="4"/>
      <c r="GL746" s="4"/>
      <c r="GM746" s="4"/>
      <c r="GN746" s="4"/>
      <c r="GO746" s="4"/>
      <c r="GP746" s="4"/>
      <c r="GQ746" s="4"/>
      <c r="GR746" s="4"/>
      <c r="GS746" s="4"/>
      <c r="GT746" s="4"/>
      <c r="GU746" s="4"/>
      <c r="GV746" s="4"/>
      <c r="GW746" s="4"/>
      <c r="GX746" s="4"/>
      <c r="GY746" s="4"/>
      <c r="GZ746" s="4"/>
      <c r="HA746" s="4"/>
      <c r="HB746" s="4"/>
      <c r="HC746" s="4"/>
      <c r="HD746" s="4"/>
      <c r="HE746" s="4"/>
      <c r="HF746" s="4"/>
      <c r="HG746" s="4"/>
      <c r="HH746" s="4"/>
      <c r="HI746" s="4"/>
      <c r="HJ746" s="4"/>
      <c r="HK746" s="4"/>
      <c r="HL746" s="4"/>
    </row>
    <row r="747" spans="1:220" ht="15" customHeight="1">
      <c r="A747" s="21">
        <v>8</v>
      </c>
      <c r="B747" s="157" t="str">
        <f>VLOOKUP(Ruimtestaat[[#This Row],[Code]],Locaties[[Code]:[Locatie]],2,FALSE)</f>
        <v>Dalton College</v>
      </c>
      <c r="C747" s="157" t="str">
        <f>VLOOKUP(Ruimtestaat[[#This Row],[Code]],Locaties[[#All],[Code]:[Adres]],4,FALSE)</f>
        <v>Loolaan 125</v>
      </c>
      <c r="D747" s="157" t="str">
        <f>VLOOKUP(Ruimtestaat[[#This Row],[Code]],Locaties[[#All],[Code]:[Postcode]],5,FALSE)</f>
        <v xml:space="preserve">2271 TM </v>
      </c>
      <c r="E747" s="157" t="str">
        <f>VLOOKUP(Ruimtestaat[[#This Row],[Code]],Locaties[#All],6,FALSE)</f>
        <v>Voorburg</v>
      </c>
      <c r="F747" s="62"/>
      <c r="G747" s="21" t="s">
        <v>1624</v>
      </c>
      <c r="H747" s="21" t="s">
        <v>1663</v>
      </c>
      <c r="I747" s="62" t="s">
        <v>2237</v>
      </c>
      <c r="J747" s="21">
        <v>20</v>
      </c>
      <c r="K747" s="62" t="str">
        <f>VLOOKUP(Ruimtestaat[[#This Row],[Ruimte code]],Ruimtegroepen[[#All],[Code]:[Ruimte omschrijving]],2,FALSE)</f>
        <v>Niet in Onderhoud</v>
      </c>
      <c r="L747" s="33" t="s">
        <v>102</v>
      </c>
      <c r="M747" s="367" t="s">
        <v>2509</v>
      </c>
      <c r="N747" s="140"/>
      <c r="O747" s="140">
        <v>9</v>
      </c>
      <c r="P747" s="125">
        <f>VLOOKUP(Ruimtestaat[[#This Row],[Ruimte code]],Ruimtegroepen[],4,FALSE)</f>
        <v>0</v>
      </c>
      <c r="R747" s="33"/>
      <c r="S747" s="33"/>
      <c r="T747" s="33">
        <f>IF(R747&gt;0,IF(RIGHT(Ruimtestaat[[#This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47" s="33">
        <f>IF(T747&gt;0,VLOOKUP($J747,Ruimtegroepen[],3,FALSE)*VLOOKUP($L747,Vloersoorten[],3,FALSE)*VLOOKUP($S747,Frequenties[],3,FALSE)*VLOOKUP($A747,Locaties[],3,FALSE),0)</f>
        <v>0</v>
      </c>
      <c r="V747" s="33">
        <f>Ruimtestaat[[#This Row],[Uitvoeringen werkdagen]]*Ruimtestaat[[#This Row],[Oppervlak (netto)]]</f>
        <v>0</v>
      </c>
      <c r="W747" s="154">
        <f>IF(U747&gt;0,Ruimtestaat[[#This Row],[Prest. (m2 /jaar) werkdagen]]/Ruimtestaat[[#This Row],[Norm (m2/uur) werkdagen]],0)</f>
        <v>0</v>
      </c>
      <c r="X747" s="155">
        <f>Ruimtestaat[[#This Row],[uren / jaar werkdagen]]*Tariefsopbouw!$E$35</f>
        <v>0</v>
      </c>
      <c r="Y747" s="33"/>
      <c r="Z747" s="33">
        <f>IF(Ruimtestaat[[#This Row],[Frequentie weekend]]&gt;0,VALUE(LEFT(Y747,1))*R747,0)</f>
        <v>0</v>
      </c>
      <c r="AA747" s="97">
        <f>IF($Z747&gt;0,VLOOKUP($J747,Ruimtegroepen[],3,FALSE)*VLOOKUP($L747,Vloersoorten[],3,FALSE)*VLOOKUP($Y747,Frequenties[],3,FALSE)*VLOOKUP(Ruimtestaat[[#This Row],[Code]],Locaties[],3,FALSE),0)</f>
        <v>0</v>
      </c>
      <c r="AB747" s="97">
        <f>Ruimtestaat[[#This Row],[Uitvoeringen weekend]]*Ruimtestaat[[#This Row],[Oppervlak (netto)]]</f>
        <v>0</v>
      </c>
      <c r="AC747" s="97">
        <f>IF(AA747&gt;0,Ruimtestaat[[#This Row],[Prest. (m2 /jaar) weekend]]/Ruimtestaat[[#This Row],[Norm (m2/uur) weekend]],0)</f>
        <v>0</v>
      </c>
      <c r="AD747" s="155">
        <f>Ruimtestaat[[#This Row],[uren / jaar weekend]]*Tariefsopbouw!$D$40</f>
        <v>0</v>
      </c>
      <c r="AE747" s="154">
        <f>Ruimtestaat[[#This Row],[Prest. (m2 /jaar) weekend]]+Ruimtestaat[[#This Row],[Prest. (m2 /jaar) werkdagen]]</f>
        <v>0</v>
      </c>
      <c r="AF747" s="154">
        <f>Ruimtestaat[[#This Row],[uren / jaar weekend]]+Ruimtestaat[[#This Row],[uren / jaar werkdagen]]</f>
        <v>0</v>
      </c>
      <c r="AG747" s="69">
        <f>Ruimtestaat[[#This Row],[kosten / jaar weekend]]+Ruimtestaat[[#This Row],[kosten / jaar werkdagen]]</f>
        <v>0</v>
      </c>
      <c r="AH747" s="69"/>
      <c r="AI747" s="256" t="str">
        <f>IF(Ruimtestaat[[#This Row],[Frequentie werkdagen]]="","",_xlfn.CONCAT(Ruimtestaat[[#This Row],[Ruimte code]],"-",Ruimtestaat[[#This Row],[Frequentie werkdagen]]," ",Ruimtestaat[[#This Row],[Vloer code]]))</f>
        <v/>
      </c>
      <c r="AJ747" s="300" t="str">
        <f>_xlfn.IFNA(VLOOKUP($AI747,Programma!$F$3:$G$1107,2,0),"")</f>
        <v/>
      </c>
      <c r="AK747" s="300" t="str">
        <f>_xlfn.IFNA(VLOOKUP($AI747,Programma!$F$3:$H$1107,3,0),"")</f>
        <v/>
      </c>
      <c r="AL747" s="300" t="str">
        <f>_xlfn.IFNA(VLOOKUP($AI747,Programma!$F$3:$I$1107,4,0),"")</f>
        <v/>
      </c>
      <c r="AM747" s="300" t="str">
        <f>_xlfn.IFNA(VLOOKUP($AI747,Programma!$F$3:$J$1107,5,0),"")</f>
        <v/>
      </c>
      <c r="AN747" s="300" t="str">
        <f>_xlfn.IFNA(VLOOKUP($AI747,Programma!$F$3:$K$1107,6,0),"")</f>
        <v/>
      </c>
      <c r="AO747" s="300" t="str">
        <f>_xlfn.IFNA(VLOOKUP($AI747,Programma!$F$3:$L$1107,7,0),"")</f>
        <v/>
      </c>
      <c r="AP747" s="300" t="str">
        <f>_xlfn.IFNA(VLOOKUP($AI747,Programma!$F$3:$M$1107,8,0),"")</f>
        <v/>
      </c>
      <c r="AQ747" s="300" t="str">
        <f>_xlfn.IFNA(VLOOKUP($AI747,Programma!$F$3:$N$1107,9,0),"")</f>
        <v/>
      </c>
      <c r="AR747" s="300" t="str">
        <f>_xlfn.IFNA(VLOOKUP($AI747,Programma!$F$3:$O$1107,10,0),"")</f>
        <v/>
      </c>
      <c r="AS747" s="300" t="str">
        <f>_xlfn.IFNA(VLOOKUP($AI747,Programma!$F$3:$P$1107,11,0),"")</f>
        <v/>
      </c>
      <c r="AT747" s="300" t="str">
        <f>_xlfn.IFNA(VLOOKUP($AI747,Programma!$F$3:$Q$1107,12,0),"")</f>
        <v/>
      </c>
      <c r="AU747" s="300" t="str">
        <f>_xlfn.IFNA(VLOOKUP($AI747,Programma!$F$3:$R$1107,13,0),"")</f>
        <v/>
      </c>
      <c r="AV747" s="300" t="str">
        <f>_xlfn.IFNA(VLOOKUP($AI747,Programma!$F$3:$S$1107,14,0),"")</f>
        <v/>
      </c>
      <c r="AW747" s="300" t="str">
        <f>_xlfn.IFNA(VLOOKUP($AI747,Programma!$F$3:$T$1107,15,0),"")</f>
        <v/>
      </c>
      <c r="AX747" s="300" t="str">
        <f>_xlfn.IFNA(VLOOKUP($AI747,Programma!$F$3:$U$1107,16,0),"")</f>
        <v/>
      </c>
      <c r="AY747" s="300" t="str">
        <f>_xlfn.IFNA(VLOOKUP($AI747,Programma!$F$3:$V$1107,17,0),"")</f>
        <v/>
      </c>
      <c r="AZ747" s="300" t="str">
        <f>_xlfn.IFNA(VLOOKUP($AI747,Programma!$F$3:$W$1107,18,0),"")</f>
        <v/>
      </c>
      <c r="BA747" s="300" t="str">
        <f>_xlfn.IFNA(VLOOKUP($AI747,Programma!$F$3:$X$1107,19,0),"")</f>
        <v/>
      </c>
      <c r="BB747" s="300" t="str">
        <f>_xlfn.IFNA(VLOOKUP($AI747,Programma!$F$3:$Y$1107,20,0),"")</f>
        <v/>
      </c>
      <c r="BC747" s="257"/>
      <c r="BD747" s="256" t="str">
        <f>IF(Ruimtestaat[[#This Row],[Frequentie weekend]]="","",_xlfn.CONCAT(Ruimtestaat[[#This Row],[Ruimte code]],"-",Ruimtestaat[[#This Row],[Frequentie weekend]]," ",Ruimtestaat[[#This Row],[Vloer code]]))</f>
        <v/>
      </c>
      <c r="BE747" s="300" t="str">
        <f>_xlfn.IFNA(VLOOKUP($BD747,Programma!$F$3:$G$1107,2,0),"")</f>
        <v/>
      </c>
      <c r="BF747" s="300" t="str">
        <f>_xlfn.IFNA(VLOOKUP($BD747,Programma!$F$3:$H$1107,3,0),"")</f>
        <v/>
      </c>
      <c r="BG747" s="300" t="str">
        <f>_xlfn.IFNA(VLOOKUP($BD747,Programma!$F$3:$I$1107,4,0),"")</f>
        <v/>
      </c>
      <c r="BH747" s="300" t="str">
        <f>_xlfn.IFNA(VLOOKUP($BD747,Programma!$F$3:$J$1107,5,0),"")</f>
        <v/>
      </c>
      <c r="BI747" s="300" t="str">
        <f>_xlfn.IFNA(VLOOKUP($BD747,Programma!$F$3:$K$1107,6,0),"")</f>
        <v/>
      </c>
      <c r="BJ747" s="300" t="str">
        <f>_xlfn.IFNA(VLOOKUP($BD747,Programma!$F$3:$L$1107,7,0),"")</f>
        <v/>
      </c>
      <c r="BK747" s="300" t="str">
        <f>_xlfn.IFNA(VLOOKUP($BD747,Programma!$F$3:$M$1107,8,0),"")</f>
        <v/>
      </c>
      <c r="BL747" s="300" t="str">
        <f>_xlfn.IFNA(VLOOKUP($BD747,Programma!$F$3:$N$1107,9,0),"")</f>
        <v/>
      </c>
      <c r="BM747" s="300" t="str">
        <f>_xlfn.IFNA(VLOOKUP($BD747,Programma!$F$3:$O$1107,10,0),"")</f>
        <v/>
      </c>
      <c r="BN747" s="300" t="str">
        <f>_xlfn.IFNA(VLOOKUP($BD747,Programma!$F$3:$P$1107,11,0),"")</f>
        <v/>
      </c>
      <c r="BO747" s="300" t="str">
        <f>_xlfn.IFNA(VLOOKUP($BD747,Programma!$F$3:$Q$1107,12,0),"")</f>
        <v/>
      </c>
      <c r="BP747" s="300" t="str">
        <f>_xlfn.IFNA(VLOOKUP($BD747,Programma!$F$3:$R$1107,13,0),"")</f>
        <v/>
      </c>
      <c r="BQ747" s="300" t="str">
        <f>_xlfn.IFNA(VLOOKUP($BD747,Programma!$F$3:$S$1107,14,0),"")</f>
        <v/>
      </c>
      <c r="BR747" s="300" t="str">
        <f>_xlfn.IFNA(VLOOKUP($BD747,Programma!$F$3:$T$1107,15,0),"")</f>
        <v/>
      </c>
      <c r="BS747" s="300" t="str">
        <f>_xlfn.IFNA(VLOOKUP($BD747,Programma!$F$3:$U$1107,16,0),"")</f>
        <v/>
      </c>
      <c r="BT747" s="300" t="str">
        <f>_xlfn.IFNA(VLOOKUP($BD747,Programma!$F$3:$V$1107,17,0),"")</f>
        <v/>
      </c>
      <c r="BU747" s="300" t="str">
        <f>_xlfn.IFNA(VLOOKUP($BD747,Programma!$F$3:$W$1107,18,0),"")</f>
        <v/>
      </c>
      <c r="BV747" s="300" t="str">
        <f>_xlfn.IFNA(VLOOKUP($BD747,Programma!$F$3:$X$1107,19,0),"")</f>
        <v/>
      </c>
      <c r="BW747" s="300" t="str">
        <f>_xlfn.IFNA(VLOOKUP($BD747,Programma!$F$3:$Y$1107,20,0),"")</f>
        <v/>
      </c>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c r="GK747" s="4"/>
      <c r="GL747" s="4"/>
      <c r="GM747" s="4"/>
      <c r="GN747" s="4"/>
      <c r="GO747" s="4"/>
      <c r="GP747" s="4"/>
      <c r="GQ747" s="4"/>
      <c r="GR747" s="4"/>
      <c r="GS747" s="4"/>
      <c r="GT747" s="4"/>
      <c r="GU747" s="4"/>
      <c r="GV747" s="4"/>
      <c r="GW747" s="4"/>
      <c r="GX747" s="4"/>
      <c r="GY747" s="4"/>
      <c r="GZ747" s="4"/>
      <c r="HA747" s="4"/>
      <c r="HB747" s="4"/>
      <c r="HC747" s="4"/>
      <c r="HD747" s="4"/>
      <c r="HE747" s="4"/>
      <c r="HF747" s="4"/>
      <c r="HG747" s="4"/>
      <c r="HH747" s="4"/>
      <c r="HI747" s="4"/>
      <c r="HJ747" s="4"/>
      <c r="HK747" s="4"/>
      <c r="HL747" s="4"/>
    </row>
    <row r="748" spans="1:220" ht="15" customHeight="1">
      <c r="A748" s="21">
        <v>8</v>
      </c>
      <c r="B748" s="157" t="str">
        <f>VLOOKUP(Ruimtestaat[[#This Row],[Code]],Locaties[[Code]:[Locatie]],2,FALSE)</f>
        <v>Dalton College</v>
      </c>
      <c r="C748" s="157" t="str">
        <f>VLOOKUP(Ruimtestaat[[#This Row],[Code]],Locaties[[#All],[Code]:[Adres]],4,FALSE)</f>
        <v>Loolaan 125</v>
      </c>
      <c r="D748" s="157" t="str">
        <f>VLOOKUP(Ruimtestaat[[#This Row],[Code]],Locaties[[#All],[Code]:[Postcode]],5,FALSE)</f>
        <v xml:space="preserve">2271 TM </v>
      </c>
      <c r="E748" s="157" t="str">
        <f>VLOOKUP(Ruimtestaat[[#This Row],[Code]],Locaties[#All],6,FALSE)</f>
        <v>Voorburg</v>
      </c>
      <c r="F748" s="62"/>
      <c r="G748" s="21" t="s">
        <v>1624</v>
      </c>
      <c r="H748" s="21" t="s">
        <v>1664</v>
      </c>
      <c r="I748" s="62" t="s">
        <v>1625</v>
      </c>
      <c r="J748" s="21">
        <v>6</v>
      </c>
      <c r="K748" s="62" t="str">
        <f>VLOOKUP(Ruimtestaat[[#This Row],[Ruimte code]],Ruimtegroepen[[#All],[Code]:[Ruimte omschrijving]],2,FALSE)</f>
        <v>Gangen/hallen</v>
      </c>
      <c r="L748" s="33" t="s">
        <v>102</v>
      </c>
      <c r="M748" s="367" t="s">
        <v>2509</v>
      </c>
      <c r="N748" s="140">
        <v>40</v>
      </c>
      <c r="O748" s="140"/>
      <c r="P748" s="125" t="str">
        <f>VLOOKUP(Ruimtestaat[[#This Row],[Ruimte code]],Ruimtegroepen[],4,FALSE)</f>
        <v>Ve</v>
      </c>
      <c r="R748" s="33">
        <v>40</v>
      </c>
      <c r="S748" s="33" t="s">
        <v>2</v>
      </c>
      <c r="T748" s="33">
        <f>IF(R748&gt;0,IF(RIGHT(Ruimtestaat[[#This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48" s="33">
        <f>IF(T748&gt;0,VLOOKUP($J748,Ruimtegroepen[],3,FALSE)*VLOOKUP($L748,Vloersoorten[],3,FALSE)*VLOOKUP($S748,Frequenties[],3,FALSE)*VLOOKUP($A748,Locaties[],3,FALSE),0)</f>
        <v>0</v>
      </c>
      <c r="V748" s="33">
        <f>Ruimtestaat[[#This Row],[Uitvoeringen werkdagen]]*Ruimtestaat[[#This Row],[Oppervlak (netto)]]</f>
        <v>8000</v>
      </c>
      <c r="W748" s="154">
        <f>IF(U748&gt;0,Ruimtestaat[[#This Row],[Prest. (m2 /jaar) werkdagen]]/Ruimtestaat[[#This Row],[Norm (m2/uur) werkdagen]],0)</f>
        <v>0</v>
      </c>
      <c r="X748" s="155">
        <f>Ruimtestaat[[#This Row],[uren / jaar werkdagen]]*Tariefsopbouw!$E$35</f>
        <v>0</v>
      </c>
      <c r="Y748" s="33"/>
      <c r="Z748" s="33">
        <f>IF(Ruimtestaat[[#This Row],[Frequentie weekend]]&gt;0,VALUE(LEFT(Y748,1))*R748,0)</f>
        <v>0</v>
      </c>
      <c r="AA748" s="97">
        <f>IF($Z748&gt;0,VLOOKUP($J748,Ruimtegroepen[],3,FALSE)*VLOOKUP($L748,Vloersoorten[],3,FALSE)*VLOOKUP($Y748,Frequenties[],3,FALSE)*VLOOKUP(Ruimtestaat[[#This Row],[Code]],Locaties[],3,FALSE),0)</f>
        <v>0</v>
      </c>
      <c r="AB748" s="97">
        <f>Ruimtestaat[[#This Row],[Uitvoeringen weekend]]*Ruimtestaat[[#This Row],[Oppervlak (netto)]]</f>
        <v>0</v>
      </c>
      <c r="AC748" s="97">
        <f>IF(AA748&gt;0,Ruimtestaat[[#This Row],[Prest. (m2 /jaar) weekend]]/Ruimtestaat[[#This Row],[Norm (m2/uur) weekend]],0)</f>
        <v>0</v>
      </c>
      <c r="AD748" s="155">
        <f>Ruimtestaat[[#This Row],[uren / jaar weekend]]*Tariefsopbouw!$D$40</f>
        <v>0</v>
      </c>
      <c r="AE748" s="154">
        <f>Ruimtestaat[[#This Row],[Prest. (m2 /jaar) weekend]]+Ruimtestaat[[#This Row],[Prest. (m2 /jaar) werkdagen]]</f>
        <v>8000</v>
      </c>
      <c r="AF748" s="154">
        <f>Ruimtestaat[[#This Row],[uren / jaar weekend]]+Ruimtestaat[[#This Row],[uren / jaar werkdagen]]</f>
        <v>0</v>
      </c>
      <c r="AG748" s="69">
        <f>Ruimtestaat[[#This Row],[kosten / jaar weekend]]+Ruimtestaat[[#This Row],[kosten / jaar werkdagen]]</f>
        <v>0</v>
      </c>
      <c r="AH748" s="69"/>
      <c r="AI748" s="256" t="str">
        <f>IF(Ruimtestaat[[#This Row],[Frequentie werkdagen]]="","",_xlfn.CONCAT(Ruimtestaat[[#This Row],[Ruimte code]],"-",Ruimtestaat[[#This Row],[Frequentie werkdagen]]," ",Ruimtestaat[[#This Row],[Vloer code]]))</f>
        <v>6-5w S</v>
      </c>
      <c r="AJ748" s="300" t="str">
        <f>_xlfn.IFNA(VLOOKUP($AI748,Programma!$F$3:$G$1107,2,0),"")</f>
        <v>_</v>
      </c>
      <c r="AK748" s="300" t="str">
        <f>_xlfn.IFNA(VLOOKUP($AI748,Programma!$F$3:$H$1107,3,0),"")</f>
        <v>_</v>
      </c>
      <c r="AL748" s="300" t="str">
        <f>_xlfn.IFNA(VLOOKUP($AI748,Programma!$F$3:$I$1107,4,0),"")</f>
        <v>5w</v>
      </c>
      <c r="AM748" s="300" t="str">
        <f>_xlfn.IFNA(VLOOKUP($AI748,Programma!$F$3:$J$1107,5,0),"")</f>
        <v>_</v>
      </c>
      <c r="AN748" s="300" t="str">
        <f>_xlfn.IFNA(VLOOKUP($AI748,Programma!$F$3:$K$1107,6,0),"")</f>
        <v>5w</v>
      </c>
      <c r="AO748" s="300" t="str">
        <f>_xlfn.IFNA(VLOOKUP($AI748,Programma!$F$3:$L$1107,7,0),"")</f>
        <v>_</v>
      </c>
      <c r="AP748" s="300" t="str">
        <f>_xlfn.IFNA(VLOOKUP($AI748,Programma!$F$3:$M$1107,8,0),"")</f>
        <v>_</v>
      </c>
      <c r="AQ748" s="300" t="str">
        <f>_xlfn.IFNA(VLOOKUP($AI748,Programma!$F$3:$N$1107,9,0),"")</f>
        <v>_</v>
      </c>
      <c r="AR748" s="300" t="str">
        <f>_xlfn.IFNA(VLOOKUP($AI748,Programma!$F$3:$O$1107,10,0),"")</f>
        <v>5w</v>
      </c>
      <c r="AS748" s="300" t="str">
        <f>_xlfn.IFNA(VLOOKUP($AI748,Programma!$F$3:$P$1107,11,0),"")</f>
        <v>5w</v>
      </c>
      <c r="AT748" s="300" t="str">
        <f>_xlfn.IFNA(VLOOKUP($AI748,Programma!$F$3:$Q$1107,12,0),"")</f>
        <v>1w</v>
      </c>
      <c r="AU748" s="300" t="str">
        <f>_xlfn.IFNA(VLOOKUP($AI748,Programma!$F$3:$R$1107,13,0),"")</f>
        <v>1w</v>
      </c>
      <c r="AV748" s="300" t="str">
        <f>_xlfn.IFNA(VLOOKUP($AI748,Programma!$F$3:$S$1107,14,0),"")</f>
        <v>1m</v>
      </c>
      <c r="AW748" s="300" t="str">
        <f>_xlfn.IFNA(VLOOKUP($AI748,Programma!$F$3:$T$1107,15,0),"")</f>
        <v>2j</v>
      </c>
      <c r="AX748" s="300" t="str">
        <f>_xlfn.IFNA(VLOOKUP($AI748,Programma!$F$3:$U$1107,16,0),"")</f>
        <v>1j</v>
      </c>
      <c r="AY748" s="300" t="str">
        <f>_xlfn.IFNA(VLOOKUP($AI748,Programma!$F$3:$V$1107,17,0),"")</f>
        <v>_</v>
      </c>
      <c r="AZ748" s="300" t="str">
        <f>_xlfn.IFNA(VLOOKUP($AI748,Programma!$F$3:$W$1107,18,0),"")</f>
        <v>_</v>
      </c>
      <c r="BA748" s="300" t="str">
        <f>_xlfn.IFNA(VLOOKUP($AI748,Programma!$F$3:$X$1107,19,0),"")</f>
        <v>_</v>
      </c>
      <c r="BB748" s="300" t="str">
        <f>_xlfn.IFNA(VLOOKUP($AI748,Programma!$F$3:$Y$1107,20,0),"")</f>
        <v>_</v>
      </c>
      <c r="BC748" s="257"/>
      <c r="BD748" s="256" t="str">
        <f>IF(Ruimtestaat[[#This Row],[Frequentie weekend]]="","",_xlfn.CONCAT(Ruimtestaat[[#This Row],[Ruimte code]],"-",Ruimtestaat[[#This Row],[Frequentie weekend]]," ",Ruimtestaat[[#This Row],[Vloer code]]))</f>
        <v/>
      </c>
      <c r="BE748" s="300" t="str">
        <f>_xlfn.IFNA(VLOOKUP($BD748,Programma!$F$3:$G$1107,2,0),"")</f>
        <v/>
      </c>
      <c r="BF748" s="300" t="str">
        <f>_xlfn.IFNA(VLOOKUP($BD748,Programma!$F$3:$H$1107,3,0),"")</f>
        <v/>
      </c>
      <c r="BG748" s="300" t="str">
        <f>_xlfn.IFNA(VLOOKUP($BD748,Programma!$F$3:$I$1107,4,0),"")</f>
        <v/>
      </c>
      <c r="BH748" s="300" t="str">
        <f>_xlfn.IFNA(VLOOKUP($BD748,Programma!$F$3:$J$1107,5,0),"")</f>
        <v/>
      </c>
      <c r="BI748" s="300" t="str">
        <f>_xlfn.IFNA(VLOOKUP($BD748,Programma!$F$3:$K$1107,6,0),"")</f>
        <v/>
      </c>
      <c r="BJ748" s="300" t="str">
        <f>_xlfn.IFNA(VLOOKUP($BD748,Programma!$F$3:$L$1107,7,0),"")</f>
        <v/>
      </c>
      <c r="BK748" s="300" t="str">
        <f>_xlfn.IFNA(VLOOKUP($BD748,Programma!$F$3:$M$1107,8,0),"")</f>
        <v/>
      </c>
      <c r="BL748" s="300" t="str">
        <f>_xlfn.IFNA(VLOOKUP($BD748,Programma!$F$3:$N$1107,9,0),"")</f>
        <v/>
      </c>
      <c r="BM748" s="300" t="str">
        <f>_xlfn.IFNA(VLOOKUP($BD748,Programma!$F$3:$O$1107,10,0),"")</f>
        <v/>
      </c>
      <c r="BN748" s="300" t="str">
        <f>_xlfn.IFNA(VLOOKUP($BD748,Programma!$F$3:$P$1107,11,0),"")</f>
        <v/>
      </c>
      <c r="BO748" s="300" t="str">
        <f>_xlfn.IFNA(VLOOKUP($BD748,Programma!$F$3:$Q$1107,12,0),"")</f>
        <v/>
      </c>
      <c r="BP748" s="300" t="str">
        <f>_xlfn.IFNA(VLOOKUP($BD748,Programma!$F$3:$R$1107,13,0),"")</f>
        <v/>
      </c>
      <c r="BQ748" s="300" t="str">
        <f>_xlfn.IFNA(VLOOKUP($BD748,Programma!$F$3:$S$1107,14,0),"")</f>
        <v/>
      </c>
      <c r="BR748" s="300" t="str">
        <f>_xlfn.IFNA(VLOOKUP($BD748,Programma!$F$3:$T$1107,15,0),"")</f>
        <v/>
      </c>
      <c r="BS748" s="300" t="str">
        <f>_xlfn.IFNA(VLOOKUP($BD748,Programma!$F$3:$U$1107,16,0),"")</f>
        <v/>
      </c>
      <c r="BT748" s="300" t="str">
        <f>_xlfn.IFNA(VLOOKUP($BD748,Programma!$F$3:$V$1107,17,0),"")</f>
        <v/>
      </c>
      <c r="BU748" s="300" t="str">
        <f>_xlfn.IFNA(VLOOKUP($BD748,Programma!$F$3:$W$1107,18,0),"")</f>
        <v/>
      </c>
      <c r="BV748" s="300" t="str">
        <f>_xlfn.IFNA(VLOOKUP($BD748,Programma!$F$3:$X$1107,19,0),"")</f>
        <v/>
      </c>
      <c r="BW748" s="300" t="str">
        <f>_xlfn.IFNA(VLOOKUP($BD748,Programma!$F$3:$Y$1107,20,0),"")</f>
        <v/>
      </c>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c r="GK748" s="4"/>
      <c r="GL748" s="4"/>
      <c r="GM748" s="4"/>
      <c r="GN748" s="4"/>
      <c r="GO748" s="4"/>
      <c r="GP748" s="4"/>
      <c r="GQ748" s="4"/>
      <c r="GR748" s="4"/>
      <c r="GS748" s="4"/>
      <c r="GT748" s="4"/>
      <c r="GU748" s="4"/>
      <c r="GV748" s="4"/>
      <c r="GW748" s="4"/>
      <c r="GX748" s="4"/>
      <c r="GY748" s="4"/>
      <c r="GZ748" s="4"/>
      <c r="HA748" s="4"/>
      <c r="HB748" s="4"/>
      <c r="HC748" s="4"/>
      <c r="HD748" s="4"/>
      <c r="HE748" s="4"/>
      <c r="HF748" s="4"/>
      <c r="HG748" s="4"/>
      <c r="HH748" s="4"/>
      <c r="HI748" s="4"/>
      <c r="HJ748" s="4"/>
      <c r="HK748" s="4"/>
      <c r="HL748" s="4"/>
    </row>
    <row r="749" spans="1:220" ht="15" customHeight="1">
      <c r="A749" s="21">
        <v>8</v>
      </c>
      <c r="B749" s="157" t="str">
        <f>VLOOKUP(Ruimtestaat[[#This Row],[Code]],Locaties[[Code]:[Locatie]],2,FALSE)</f>
        <v>Dalton College</v>
      </c>
      <c r="C749" s="157" t="str">
        <f>VLOOKUP(Ruimtestaat[[#This Row],[Code]],Locaties[[#All],[Code]:[Adres]],4,FALSE)</f>
        <v>Loolaan 125</v>
      </c>
      <c r="D749" s="157" t="str">
        <f>VLOOKUP(Ruimtestaat[[#This Row],[Code]],Locaties[[#All],[Code]:[Postcode]],5,FALSE)</f>
        <v xml:space="preserve">2271 TM </v>
      </c>
      <c r="E749" s="157" t="str">
        <f>VLOOKUP(Ruimtestaat[[#This Row],[Code]],Locaties[#All],6,FALSE)</f>
        <v>Voorburg</v>
      </c>
      <c r="F749" s="62"/>
      <c r="G749" s="21" t="s">
        <v>1624</v>
      </c>
      <c r="H749" s="21" t="s">
        <v>1665</v>
      </c>
      <c r="I749" s="62" t="s">
        <v>2238</v>
      </c>
      <c r="J749" s="21">
        <v>14</v>
      </c>
      <c r="K749" s="62" t="str">
        <f>VLOOKUP(Ruimtestaat[[#This Row],[Ruimte code]],Ruimtegroepen[[#All],[Code]:[Ruimte omschrijving]],2,FALSE)</f>
        <v>Praktijklokalen binas/zorg</v>
      </c>
      <c r="L749" s="33" t="s">
        <v>101</v>
      </c>
      <c r="M749" s="367" t="s">
        <v>2495</v>
      </c>
      <c r="N749" s="140">
        <v>155</v>
      </c>
      <c r="O749" s="140"/>
      <c r="P749" s="125" t="str">
        <f>VLOOKUP(Ruimtestaat[[#This Row],[Ruimte code]],Ruimtegroepen[],4,FALSE)</f>
        <v>Le</v>
      </c>
      <c r="R749" s="33">
        <v>40</v>
      </c>
      <c r="S749" s="33" t="s">
        <v>2</v>
      </c>
      <c r="T749" s="33">
        <f>IF(R749&gt;0,IF(RIGHT(Ruimtestaat[[#This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49" s="33">
        <f>IF(T749&gt;0,VLOOKUP($J749,Ruimtegroepen[],3,FALSE)*VLOOKUP($L749,Vloersoorten[],3,FALSE)*VLOOKUP($S749,Frequenties[],3,FALSE)*VLOOKUP($A749,Locaties[],3,FALSE),0)</f>
        <v>0</v>
      </c>
      <c r="V749" s="33">
        <f>Ruimtestaat[[#This Row],[Uitvoeringen werkdagen]]*Ruimtestaat[[#This Row],[Oppervlak (netto)]]</f>
        <v>31000</v>
      </c>
      <c r="W749" s="154">
        <f>IF(U749&gt;0,Ruimtestaat[[#This Row],[Prest. (m2 /jaar) werkdagen]]/Ruimtestaat[[#This Row],[Norm (m2/uur) werkdagen]],0)</f>
        <v>0</v>
      </c>
      <c r="X749" s="155">
        <f>Ruimtestaat[[#This Row],[uren / jaar werkdagen]]*Tariefsopbouw!$E$35</f>
        <v>0</v>
      </c>
      <c r="Y749" s="33"/>
      <c r="Z749" s="33">
        <f>IF(Ruimtestaat[[#This Row],[Frequentie weekend]]&gt;0,VALUE(LEFT(Y749,1))*R749,0)</f>
        <v>0</v>
      </c>
      <c r="AA749" s="97">
        <f>IF($Z749&gt;0,VLOOKUP($J749,Ruimtegroepen[],3,FALSE)*VLOOKUP($L749,Vloersoorten[],3,FALSE)*VLOOKUP($Y749,Frequenties[],3,FALSE)*VLOOKUP(Ruimtestaat[[#This Row],[Code]],Locaties[],3,FALSE),0)</f>
        <v>0</v>
      </c>
      <c r="AB749" s="97">
        <f>Ruimtestaat[[#This Row],[Uitvoeringen weekend]]*Ruimtestaat[[#This Row],[Oppervlak (netto)]]</f>
        <v>0</v>
      </c>
      <c r="AC749" s="97">
        <f>IF(AA749&gt;0,Ruimtestaat[[#This Row],[Prest. (m2 /jaar) weekend]]/Ruimtestaat[[#This Row],[Norm (m2/uur) weekend]],0)</f>
        <v>0</v>
      </c>
      <c r="AD749" s="155">
        <f>Ruimtestaat[[#This Row],[uren / jaar weekend]]*Tariefsopbouw!$D$40</f>
        <v>0</v>
      </c>
      <c r="AE749" s="154">
        <f>Ruimtestaat[[#This Row],[Prest. (m2 /jaar) weekend]]+Ruimtestaat[[#This Row],[Prest. (m2 /jaar) werkdagen]]</f>
        <v>31000</v>
      </c>
      <c r="AF749" s="154">
        <f>Ruimtestaat[[#This Row],[uren / jaar weekend]]+Ruimtestaat[[#This Row],[uren / jaar werkdagen]]</f>
        <v>0</v>
      </c>
      <c r="AG749" s="69">
        <f>Ruimtestaat[[#This Row],[kosten / jaar weekend]]+Ruimtestaat[[#This Row],[kosten / jaar werkdagen]]</f>
        <v>0</v>
      </c>
      <c r="AH749" s="69"/>
      <c r="AI749" s="256" t="str">
        <f>IF(Ruimtestaat[[#This Row],[Frequentie werkdagen]]="","",_xlfn.CONCAT(Ruimtestaat[[#This Row],[Ruimte code]],"-",Ruimtestaat[[#This Row],[Frequentie werkdagen]]," ",Ruimtestaat[[#This Row],[Vloer code]]))</f>
        <v>14-5w L</v>
      </c>
      <c r="AJ749" s="300" t="str">
        <f>_xlfn.IFNA(VLOOKUP($AI749,Programma!$F$3:$G$1107,2,0),"")</f>
        <v>_</v>
      </c>
      <c r="AK749" s="300" t="str">
        <f>_xlfn.IFNA(VLOOKUP($AI749,Programma!$F$3:$H$1107,3,0),"")</f>
        <v>_</v>
      </c>
      <c r="AL749" s="300" t="str">
        <f>_xlfn.IFNA(VLOOKUP($AI749,Programma!$F$3:$I$1107,4,0),"")</f>
        <v>_</v>
      </c>
      <c r="AM749" s="300" t="str">
        <f>_xlfn.IFNA(VLOOKUP($AI749,Programma!$F$3:$J$1107,5,0),"")</f>
        <v>5w</v>
      </c>
      <c r="AN749" s="300" t="str">
        <f>_xlfn.IFNA(VLOOKUP($AI749,Programma!$F$3:$K$1107,6,0),"")</f>
        <v>_</v>
      </c>
      <c r="AO749" s="300" t="str">
        <f>_xlfn.IFNA(VLOOKUP($AI749,Programma!$F$3:$L$1107,7,0),"")</f>
        <v>_</v>
      </c>
      <c r="AP749" s="300" t="str">
        <f>_xlfn.IFNA(VLOOKUP($AI749,Programma!$F$3:$M$1107,8,0),"")</f>
        <v>_</v>
      </c>
      <c r="AQ749" s="300" t="str">
        <f>_xlfn.IFNA(VLOOKUP($AI749,Programma!$F$3:$N$1107,9,0),"")</f>
        <v>_</v>
      </c>
      <c r="AR749" s="300" t="str">
        <f>_xlfn.IFNA(VLOOKUP($AI749,Programma!$F$3:$O$1107,10,0),"")</f>
        <v>5w</v>
      </c>
      <c r="AS749" s="300" t="str">
        <f>_xlfn.IFNA(VLOOKUP($AI749,Programma!$F$3:$P$1107,11,0),"")</f>
        <v>5w</v>
      </c>
      <c r="AT749" s="300" t="str">
        <f>_xlfn.IFNA(VLOOKUP($AI749,Programma!$F$3:$Q$1107,12,0),"")</f>
        <v>1w</v>
      </c>
      <c r="AU749" s="300" t="str">
        <f>_xlfn.IFNA(VLOOKUP($AI749,Programma!$F$3:$R$1107,13,0),"")</f>
        <v>1w</v>
      </c>
      <c r="AV749" s="300" t="str">
        <f>_xlfn.IFNA(VLOOKUP($AI749,Programma!$F$3:$S$1107,14,0),"")</f>
        <v>1m</v>
      </c>
      <c r="AW749" s="300" t="str">
        <f>_xlfn.IFNA(VLOOKUP($AI749,Programma!$F$3:$T$1107,15,0),"")</f>
        <v>2j</v>
      </c>
      <c r="AX749" s="300" t="str">
        <f>_xlfn.IFNA(VLOOKUP($AI749,Programma!$F$3:$U$1107,16,0),"")</f>
        <v>1j</v>
      </c>
      <c r="AY749" s="300" t="str">
        <f>_xlfn.IFNA(VLOOKUP($AI749,Programma!$F$3:$V$1107,17,0),"")</f>
        <v>_</v>
      </c>
      <c r="AZ749" s="300" t="str">
        <f>_xlfn.IFNA(VLOOKUP($AI749,Programma!$F$3:$W$1107,18,0),"")</f>
        <v>_</v>
      </c>
      <c r="BA749" s="300" t="str">
        <f>_xlfn.IFNA(VLOOKUP($AI749,Programma!$F$3:$X$1107,19,0),"")</f>
        <v>_</v>
      </c>
      <c r="BB749" s="300" t="str">
        <f>_xlfn.IFNA(VLOOKUP($AI749,Programma!$F$3:$Y$1107,20,0),"")</f>
        <v>_</v>
      </c>
      <c r="BC749" s="257"/>
      <c r="BD749" s="256" t="str">
        <f>IF(Ruimtestaat[[#This Row],[Frequentie weekend]]="","",_xlfn.CONCAT(Ruimtestaat[[#This Row],[Ruimte code]],"-",Ruimtestaat[[#This Row],[Frequentie weekend]]," ",Ruimtestaat[[#This Row],[Vloer code]]))</f>
        <v/>
      </c>
      <c r="BE749" s="300" t="str">
        <f>_xlfn.IFNA(VLOOKUP($BD749,Programma!$F$3:$G$1107,2,0),"")</f>
        <v/>
      </c>
      <c r="BF749" s="300" t="str">
        <f>_xlfn.IFNA(VLOOKUP($BD749,Programma!$F$3:$H$1107,3,0),"")</f>
        <v/>
      </c>
      <c r="BG749" s="300" t="str">
        <f>_xlfn.IFNA(VLOOKUP($BD749,Programma!$F$3:$I$1107,4,0),"")</f>
        <v/>
      </c>
      <c r="BH749" s="300" t="str">
        <f>_xlfn.IFNA(VLOOKUP($BD749,Programma!$F$3:$J$1107,5,0),"")</f>
        <v/>
      </c>
      <c r="BI749" s="300" t="str">
        <f>_xlfn.IFNA(VLOOKUP($BD749,Programma!$F$3:$K$1107,6,0),"")</f>
        <v/>
      </c>
      <c r="BJ749" s="300" t="str">
        <f>_xlfn.IFNA(VLOOKUP($BD749,Programma!$F$3:$L$1107,7,0),"")</f>
        <v/>
      </c>
      <c r="BK749" s="300" t="str">
        <f>_xlfn.IFNA(VLOOKUP($BD749,Programma!$F$3:$M$1107,8,0),"")</f>
        <v/>
      </c>
      <c r="BL749" s="300" t="str">
        <f>_xlfn.IFNA(VLOOKUP($BD749,Programma!$F$3:$N$1107,9,0),"")</f>
        <v/>
      </c>
      <c r="BM749" s="300" t="str">
        <f>_xlfn.IFNA(VLOOKUP($BD749,Programma!$F$3:$O$1107,10,0),"")</f>
        <v/>
      </c>
      <c r="BN749" s="300" t="str">
        <f>_xlfn.IFNA(VLOOKUP($BD749,Programma!$F$3:$P$1107,11,0),"")</f>
        <v/>
      </c>
      <c r="BO749" s="300" t="str">
        <f>_xlfn.IFNA(VLOOKUP($BD749,Programma!$F$3:$Q$1107,12,0),"")</f>
        <v/>
      </c>
      <c r="BP749" s="300" t="str">
        <f>_xlfn.IFNA(VLOOKUP($BD749,Programma!$F$3:$R$1107,13,0),"")</f>
        <v/>
      </c>
      <c r="BQ749" s="300" t="str">
        <f>_xlfn.IFNA(VLOOKUP($BD749,Programma!$F$3:$S$1107,14,0),"")</f>
        <v/>
      </c>
      <c r="BR749" s="300" t="str">
        <f>_xlfn.IFNA(VLOOKUP($BD749,Programma!$F$3:$T$1107,15,0),"")</f>
        <v/>
      </c>
      <c r="BS749" s="300" t="str">
        <f>_xlfn.IFNA(VLOOKUP($BD749,Programma!$F$3:$U$1107,16,0),"")</f>
        <v/>
      </c>
      <c r="BT749" s="300" t="str">
        <f>_xlfn.IFNA(VLOOKUP($BD749,Programma!$F$3:$V$1107,17,0),"")</f>
        <v/>
      </c>
      <c r="BU749" s="300" t="str">
        <f>_xlfn.IFNA(VLOOKUP($BD749,Programma!$F$3:$W$1107,18,0),"")</f>
        <v/>
      </c>
      <c r="BV749" s="300" t="str">
        <f>_xlfn.IFNA(VLOOKUP($BD749,Programma!$F$3:$X$1107,19,0),"")</f>
        <v/>
      </c>
      <c r="BW749" s="300" t="str">
        <f>_xlfn.IFNA(VLOOKUP($BD749,Programma!$F$3:$Y$1107,20,0),"")</f>
        <v/>
      </c>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c r="GK749" s="4"/>
      <c r="GL749" s="4"/>
      <c r="GM749" s="4"/>
      <c r="GN749" s="4"/>
      <c r="GO749" s="4"/>
      <c r="GP749" s="4"/>
      <c r="GQ749" s="4"/>
      <c r="GR749" s="4"/>
      <c r="GS749" s="4"/>
      <c r="GT749" s="4"/>
      <c r="GU749" s="4"/>
      <c r="GV749" s="4"/>
      <c r="GW749" s="4"/>
      <c r="GX749" s="4"/>
      <c r="GY749" s="4"/>
      <c r="GZ749" s="4"/>
      <c r="HA749" s="4"/>
      <c r="HB749" s="4"/>
      <c r="HC749" s="4"/>
      <c r="HD749" s="4"/>
      <c r="HE749" s="4"/>
      <c r="HF749" s="4"/>
      <c r="HG749" s="4"/>
      <c r="HH749" s="4"/>
      <c r="HI749" s="4"/>
      <c r="HJ749" s="4"/>
      <c r="HK749" s="4"/>
      <c r="HL749" s="4"/>
    </row>
    <row r="750" spans="1:220" ht="15" customHeight="1">
      <c r="A750" s="21">
        <v>8</v>
      </c>
      <c r="B750" s="157" t="str">
        <f>VLOOKUP(Ruimtestaat[[#This Row],[Code]],Locaties[[Code]:[Locatie]],2,FALSE)</f>
        <v>Dalton College</v>
      </c>
      <c r="C750" s="157" t="str">
        <f>VLOOKUP(Ruimtestaat[[#This Row],[Code]],Locaties[[#All],[Code]:[Adres]],4,FALSE)</f>
        <v>Loolaan 125</v>
      </c>
      <c r="D750" s="157" t="str">
        <f>VLOOKUP(Ruimtestaat[[#This Row],[Code]],Locaties[[#All],[Code]:[Postcode]],5,FALSE)</f>
        <v xml:space="preserve">2271 TM </v>
      </c>
      <c r="E750" s="157" t="str">
        <f>VLOOKUP(Ruimtestaat[[#This Row],[Code]],Locaties[#All],6,FALSE)</f>
        <v>Voorburg</v>
      </c>
      <c r="F750" s="62"/>
      <c r="G750" s="21" t="s">
        <v>1624</v>
      </c>
      <c r="H750" s="21" t="s">
        <v>1666</v>
      </c>
      <c r="I750" s="62" t="s">
        <v>2239</v>
      </c>
      <c r="J750" s="21">
        <v>14</v>
      </c>
      <c r="K750" s="62" t="str">
        <f>VLOOKUP(Ruimtestaat[[#This Row],[Ruimte code]],Ruimtegroepen[[#All],[Code]:[Ruimte omschrijving]],2,FALSE)</f>
        <v>Praktijklokalen binas/zorg</v>
      </c>
      <c r="L750" s="33" t="s">
        <v>101</v>
      </c>
      <c r="M750" s="367" t="s">
        <v>2495</v>
      </c>
      <c r="N750" s="140">
        <v>118</v>
      </c>
      <c r="O750" s="140"/>
      <c r="P750" s="125" t="str">
        <f>VLOOKUP(Ruimtestaat[[#This Row],[Ruimte code]],Ruimtegroepen[],4,FALSE)</f>
        <v>Le</v>
      </c>
      <c r="R750" s="33">
        <v>40</v>
      </c>
      <c r="S750" s="33" t="s">
        <v>2</v>
      </c>
      <c r="T750" s="33">
        <f>IF(R750&gt;0,IF(RIGHT(Ruimtestaat[[#This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50" s="33">
        <f>IF(T750&gt;0,VLOOKUP($J750,Ruimtegroepen[],3,FALSE)*VLOOKUP($L750,Vloersoorten[],3,FALSE)*VLOOKUP($S750,Frequenties[],3,FALSE)*VLOOKUP($A750,Locaties[],3,FALSE),0)</f>
        <v>0</v>
      </c>
      <c r="V750" s="33">
        <f>Ruimtestaat[[#This Row],[Uitvoeringen werkdagen]]*Ruimtestaat[[#This Row],[Oppervlak (netto)]]</f>
        <v>23600</v>
      </c>
      <c r="W750" s="154">
        <f>IF(U750&gt;0,Ruimtestaat[[#This Row],[Prest. (m2 /jaar) werkdagen]]/Ruimtestaat[[#This Row],[Norm (m2/uur) werkdagen]],0)</f>
        <v>0</v>
      </c>
      <c r="X750" s="155">
        <f>Ruimtestaat[[#This Row],[uren / jaar werkdagen]]*Tariefsopbouw!$E$35</f>
        <v>0</v>
      </c>
      <c r="Y750" s="33"/>
      <c r="Z750" s="33">
        <f>IF(Ruimtestaat[[#This Row],[Frequentie weekend]]&gt;0,VALUE(LEFT(Y750,1))*R750,0)</f>
        <v>0</v>
      </c>
      <c r="AA750" s="97">
        <f>IF($Z750&gt;0,VLOOKUP($J750,Ruimtegroepen[],3,FALSE)*VLOOKUP($L750,Vloersoorten[],3,FALSE)*VLOOKUP($Y750,Frequenties[],3,FALSE)*VLOOKUP(Ruimtestaat[[#This Row],[Code]],Locaties[],3,FALSE),0)</f>
        <v>0</v>
      </c>
      <c r="AB750" s="97">
        <f>Ruimtestaat[[#This Row],[Uitvoeringen weekend]]*Ruimtestaat[[#This Row],[Oppervlak (netto)]]</f>
        <v>0</v>
      </c>
      <c r="AC750" s="97">
        <f>IF(AA750&gt;0,Ruimtestaat[[#This Row],[Prest. (m2 /jaar) weekend]]/Ruimtestaat[[#This Row],[Norm (m2/uur) weekend]],0)</f>
        <v>0</v>
      </c>
      <c r="AD750" s="155">
        <f>Ruimtestaat[[#This Row],[uren / jaar weekend]]*Tariefsopbouw!$D$40</f>
        <v>0</v>
      </c>
      <c r="AE750" s="154">
        <f>Ruimtestaat[[#This Row],[Prest. (m2 /jaar) weekend]]+Ruimtestaat[[#This Row],[Prest. (m2 /jaar) werkdagen]]</f>
        <v>23600</v>
      </c>
      <c r="AF750" s="154">
        <f>Ruimtestaat[[#This Row],[uren / jaar weekend]]+Ruimtestaat[[#This Row],[uren / jaar werkdagen]]</f>
        <v>0</v>
      </c>
      <c r="AG750" s="69">
        <f>Ruimtestaat[[#This Row],[kosten / jaar weekend]]+Ruimtestaat[[#This Row],[kosten / jaar werkdagen]]</f>
        <v>0</v>
      </c>
      <c r="AH750" s="69"/>
      <c r="AI750" s="256" t="str">
        <f>IF(Ruimtestaat[[#This Row],[Frequentie werkdagen]]="","",_xlfn.CONCAT(Ruimtestaat[[#This Row],[Ruimte code]],"-",Ruimtestaat[[#This Row],[Frequentie werkdagen]]," ",Ruimtestaat[[#This Row],[Vloer code]]))</f>
        <v>14-5w L</v>
      </c>
      <c r="AJ750" s="300" t="str">
        <f>_xlfn.IFNA(VLOOKUP($AI750,Programma!$F$3:$G$1107,2,0),"")</f>
        <v>_</v>
      </c>
      <c r="AK750" s="300" t="str">
        <f>_xlfn.IFNA(VLOOKUP($AI750,Programma!$F$3:$H$1107,3,0),"")</f>
        <v>_</v>
      </c>
      <c r="AL750" s="300" t="str">
        <f>_xlfn.IFNA(VLOOKUP($AI750,Programma!$F$3:$I$1107,4,0),"")</f>
        <v>_</v>
      </c>
      <c r="AM750" s="300" t="str">
        <f>_xlfn.IFNA(VLOOKUP($AI750,Programma!$F$3:$J$1107,5,0),"")</f>
        <v>5w</v>
      </c>
      <c r="AN750" s="300" t="str">
        <f>_xlfn.IFNA(VLOOKUP($AI750,Programma!$F$3:$K$1107,6,0),"")</f>
        <v>_</v>
      </c>
      <c r="AO750" s="300" t="str">
        <f>_xlfn.IFNA(VLOOKUP($AI750,Programma!$F$3:$L$1107,7,0),"")</f>
        <v>_</v>
      </c>
      <c r="AP750" s="300" t="str">
        <f>_xlfn.IFNA(VLOOKUP($AI750,Programma!$F$3:$M$1107,8,0),"")</f>
        <v>_</v>
      </c>
      <c r="AQ750" s="300" t="str">
        <f>_xlfn.IFNA(VLOOKUP($AI750,Programma!$F$3:$N$1107,9,0),"")</f>
        <v>_</v>
      </c>
      <c r="AR750" s="300" t="str">
        <f>_xlfn.IFNA(VLOOKUP($AI750,Programma!$F$3:$O$1107,10,0),"")</f>
        <v>5w</v>
      </c>
      <c r="AS750" s="300" t="str">
        <f>_xlfn.IFNA(VLOOKUP($AI750,Programma!$F$3:$P$1107,11,0),"")</f>
        <v>5w</v>
      </c>
      <c r="AT750" s="300" t="str">
        <f>_xlfn.IFNA(VLOOKUP($AI750,Programma!$F$3:$Q$1107,12,0),"")</f>
        <v>1w</v>
      </c>
      <c r="AU750" s="300" t="str">
        <f>_xlfn.IFNA(VLOOKUP($AI750,Programma!$F$3:$R$1107,13,0),"")</f>
        <v>1w</v>
      </c>
      <c r="AV750" s="300" t="str">
        <f>_xlfn.IFNA(VLOOKUP($AI750,Programma!$F$3:$S$1107,14,0),"")</f>
        <v>1m</v>
      </c>
      <c r="AW750" s="300" t="str">
        <f>_xlfn.IFNA(VLOOKUP($AI750,Programma!$F$3:$T$1107,15,0),"")</f>
        <v>2j</v>
      </c>
      <c r="AX750" s="300" t="str">
        <f>_xlfn.IFNA(VLOOKUP($AI750,Programma!$F$3:$U$1107,16,0),"")</f>
        <v>1j</v>
      </c>
      <c r="AY750" s="300" t="str">
        <f>_xlfn.IFNA(VLOOKUP($AI750,Programma!$F$3:$V$1107,17,0),"")</f>
        <v>_</v>
      </c>
      <c r="AZ750" s="300" t="str">
        <f>_xlfn.IFNA(VLOOKUP($AI750,Programma!$F$3:$W$1107,18,0),"")</f>
        <v>_</v>
      </c>
      <c r="BA750" s="300" t="str">
        <f>_xlfn.IFNA(VLOOKUP($AI750,Programma!$F$3:$X$1107,19,0),"")</f>
        <v>_</v>
      </c>
      <c r="BB750" s="300" t="str">
        <f>_xlfn.IFNA(VLOOKUP($AI750,Programma!$F$3:$Y$1107,20,0),"")</f>
        <v>_</v>
      </c>
      <c r="BC750" s="257"/>
      <c r="BD750" s="256" t="str">
        <f>IF(Ruimtestaat[[#This Row],[Frequentie weekend]]="","",_xlfn.CONCAT(Ruimtestaat[[#This Row],[Ruimte code]],"-",Ruimtestaat[[#This Row],[Frequentie weekend]]," ",Ruimtestaat[[#This Row],[Vloer code]]))</f>
        <v/>
      </c>
      <c r="BE750" s="300" t="str">
        <f>_xlfn.IFNA(VLOOKUP($BD750,Programma!$F$3:$G$1107,2,0),"")</f>
        <v/>
      </c>
      <c r="BF750" s="300" t="str">
        <f>_xlfn.IFNA(VLOOKUP($BD750,Programma!$F$3:$H$1107,3,0),"")</f>
        <v/>
      </c>
      <c r="BG750" s="300" t="str">
        <f>_xlfn.IFNA(VLOOKUP($BD750,Programma!$F$3:$I$1107,4,0),"")</f>
        <v/>
      </c>
      <c r="BH750" s="300" t="str">
        <f>_xlfn.IFNA(VLOOKUP($BD750,Programma!$F$3:$J$1107,5,0),"")</f>
        <v/>
      </c>
      <c r="BI750" s="300" t="str">
        <f>_xlfn.IFNA(VLOOKUP($BD750,Programma!$F$3:$K$1107,6,0),"")</f>
        <v/>
      </c>
      <c r="BJ750" s="300" t="str">
        <f>_xlfn.IFNA(VLOOKUP($BD750,Programma!$F$3:$L$1107,7,0),"")</f>
        <v/>
      </c>
      <c r="BK750" s="300" t="str">
        <f>_xlfn.IFNA(VLOOKUP($BD750,Programma!$F$3:$M$1107,8,0),"")</f>
        <v/>
      </c>
      <c r="BL750" s="300" t="str">
        <f>_xlfn.IFNA(VLOOKUP($BD750,Programma!$F$3:$N$1107,9,0),"")</f>
        <v/>
      </c>
      <c r="BM750" s="300" t="str">
        <f>_xlfn.IFNA(VLOOKUP($BD750,Programma!$F$3:$O$1107,10,0),"")</f>
        <v/>
      </c>
      <c r="BN750" s="300" t="str">
        <f>_xlfn.IFNA(VLOOKUP($BD750,Programma!$F$3:$P$1107,11,0),"")</f>
        <v/>
      </c>
      <c r="BO750" s="300" t="str">
        <f>_xlfn.IFNA(VLOOKUP($BD750,Programma!$F$3:$Q$1107,12,0),"")</f>
        <v/>
      </c>
      <c r="BP750" s="300" t="str">
        <f>_xlfn.IFNA(VLOOKUP($BD750,Programma!$F$3:$R$1107,13,0),"")</f>
        <v/>
      </c>
      <c r="BQ750" s="300" t="str">
        <f>_xlfn.IFNA(VLOOKUP($BD750,Programma!$F$3:$S$1107,14,0),"")</f>
        <v/>
      </c>
      <c r="BR750" s="300" t="str">
        <f>_xlfn.IFNA(VLOOKUP($BD750,Programma!$F$3:$T$1107,15,0),"")</f>
        <v/>
      </c>
      <c r="BS750" s="300" t="str">
        <f>_xlfn.IFNA(VLOOKUP($BD750,Programma!$F$3:$U$1107,16,0),"")</f>
        <v/>
      </c>
      <c r="BT750" s="300" t="str">
        <f>_xlfn.IFNA(VLOOKUP($BD750,Programma!$F$3:$V$1107,17,0),"")</f>
        <v/>
      </c>
      <c r="BU750" s="300" t="str">
        <f>_xlfn.IFNA(VLOOKUP($BD750,Programma!$F$3:$W$1107,18,0),"")</f>
        <v/>
      </c>
      <c r="BV750" s="300" t="str">
        <f>_xlfn.IFNA(VLOOKUP($BD750,Programma!$F$3:$X$1107,19,0),"")</f>
        <v/>
      </c>
      <c r="BW750" s="300" t="str">
        <f>_xlfn.IFNA(VLOOKUP($BD750,Programma!$F$3:$Y$1107,20,0),"")</f>
        <v/>
      </c>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c r="GK750" s="4"/>
      <c r="GL750" s="4"/>
      <c r="GM750" s="4"/>
      <c r="GN750" s="4"/>
      <c r="GO750" s="4"/>
      <c r="GP750" s="4"/>
      <c r="GQ750" s="4"/>
      <c r="GR750" s="4"/>
      <c r="GS750" s="4"/>
      <c r="GT750" s="4"/>
      <c r="GU750" s="4"/>
      <c r="GV750" s="4"/>
      <c r="GW750" s="4"/>
      <c r="GX750" s="4"/>
      <c r="GY750" s="4"/>
      <c r="GZ750" s="4"/>
      <c r="HA750" s="4"/>
      <c r="HB750" s="4"/>
      <c r="HC750" s="4"/>
      <c r="HD750" s="4"/>
      <c r="HE750" s="4"/>
      <c r="HF750" s="4"/>
      <c r="HG750" s="4"/>
      <c r="HH750" s="4"/>
      <c r="HI750" s="4"/>
      <c r="HJ750" s="4"/>
      <c r="HK750" s="4"/>
      <c r="HL750" s="4"/>
    </row>
    <row r="751" spans="1:220" ht="15" customHeight="1">
      <c r="A751" s="21">
        <v>8</v>
      </c>
      <c r="B751" s="157" t="str">
        <f>VLOOKUP(Ruimtestaat[[#This Row],[Code]],Locaties[[Code]:[Locatie]],2,FALSE)</f>
        <v>Dalton College</v>
      </c>
      <c r="C751" s="157" t="str">
        <f>VLOOKUP(Ruimtestaat[[#This Row],[Code]],Locaties[[#All],[Code]:[Adres]],4,FALSE)</f>
        <v>Loolaan 125</v>
      </c>
      <c r="D751" s="157" t="str">
        <f>VLOOKUP(Ruimtestaat[[#This Row],[Code]],Locaties[[#All],[Code]:[Postcode]],5,FALSE)</f>
        <v xml:space="preserve">2271 TM </v>
      </c>
      <c r="E751" s="157" t="str">
        <f>VLOOKUP(Ruimtestaat[[#This Row],[Code]],Locaties[#All],6,FALSE)</f>
        <v>Voorburg</v>
      </c>
      <c r="F751" s="62"/>
      <c r="G751" s="21" t="s">
        <v>1624</v>
      </c>
      <c r="H751" s="21" t="s">
        <v>1667</v>
      </c>
      <c r="I751" s="62" t="s">
        <v>2125</v>
      </c>
      <c r="J751" s="21">
        <v>14</v>
      </c>
      <c r="K751" s="62" t="str">
        <f>VLOOKUP(Ruimtestaat[[#This Row],[Ruimte code]],Ruimtegroepen[[#All],[Code]:[Ruimte omschrijving]],2,FALSE)</f>
        <v>Praktijklokalen binas/zorg</v>
      </c>
      <c r="L751" s="33" t="s">
        <v>101</v>
      </c>
      <c r="M751" s="367" t="s">
        <v>2495</v>
      </c>
      <c r="N751" s="140">
        <v>37</v>
      </c>
      <c r="O751" s="140"/>
      <c r="P751" s="125" t="str">
        <f>VLOOKUP(Ruimtestaat[[#This Row],[Ruimte code]],Ruimtegroepen[],4,FALSE)</f>
        <v>Le</v>
      </c>
      <c r="R751" s="33">
        <v>40</v>
      </c>
      <c r="S751" s="33" t="s">
        <v>2</v>
      </c>
      <c r="T751" s="33">
        <f>IF(R751&gt;0,IF(RIGHT(Ruimtestaat[[#This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51" s="33">
        <f>IF(T751&gt;0,VLOOKUP($J751,Ruimtegroepen[],3,FALSE)*VLOOKUP($L751,Vloersoorten[],3,FALSE)*VLOOKUP($S751,Frequenties[],3,FALSE)*VLOOKUP($A751,Locaties[],3,FALSE),0)</f>
        <v>0</v>
      </c>
      <c r="V751" s="33">
        <f>Ruimtestaat[[#This Row],[Uitvoeringen werkdagen]]*Ruimtestaat[[#This Row],[Oppervlak (netto)]]</f>
        <v>7400</v>
      </c>
      <c r="W751" s="154">
        <f>IF(U751&gt;0,Ruimtestaat[[#This Row],[Prest. (m2 /jaar) werkdagen]]/Ruimtestaat[[#This Row],[Norm (m2/uur) werkdagen]],0)</f>
        <v>0</v>
      </c>
      <c r="X751" s="155">
        <f>Ruimtestaat[[#This Row],[uren / jaar werkdagen]]*Tariefsopbouw!$E$35</f>
        <v>0</v>
      </c>
      <c r="Y751" s="33"/>
      <c r="Z751" s="33">
        <f>IF(Ruimtestaat[[#This Row],[Frequentie weekend]]&gt;0,VALUE(LEFT(Y751,1))*R751,0)</f>
        <v>0</v>
      </c>
      <c r="AA751" s="97">
        <f>IF($Z751&gt;0,VLOOKUP($J751,Ruimtegroepen[],3,FALSE)*VLOOKUP($L751,Vloersoorten[],3,FALSE)*VLOOKUP($Y751,Frequenties[],3,FALSE)*VLOOKUP(Ruimtestaat[[#This Row],[Code]],Locaties[],3,FALSE),0)</f>
        <v>0</v>
      </c>
      <c r="AB751" s="97">
        <f>Ruimtestaat[[#This Row],[Uitvoeringen weekend]]*Ruimtestaat[[#This Row],[Oppervlak (netto)]]</f>
        <v>0</v>
      </c>
      <c r="AC751" s="97">
        <f>IF(AA751&gt;0,Ruimtestaat[[#This Row],[Prest. (m2 /jaar) weekend]]/Ruimtestaat[[#This Row],[Norm (m2/uur) weekend]],0)</f>
        <v>0</v>
      </c>
      <c r="AD751" s="155">
        <f>Ruimtestaat[[#This Row],[uren / jaar weekend]]*Tariefsopbouw!$D$40</f>
        <v>0</v>
      </c>
      <c r="AE751" s="154">
        <f>Ruimtestaat[[#This Row],[Prest. (m2 /jaar) weekend]]+Ruimtestaat[[#This Row],[Prest. (m2 /jaar) werkdagen]]</f>
        <v>7400</v>
      </c>
      <c r="AF751" s="154">
        <f>Ruimtestaat[[#This Row],[uren / jaar weekend]]+Ruimtestaat[[#This Row],[uren / jaar werkdagen]]</f>
        <v>0</v>
      </c>
      <c r="AG751" s="69">
        <f>Ruimtestaat[[#This Row],[kosten / jaar weekend]]+Ruimtestaat[[#This Row],[kosten / jaar werkdagen]]</f>
        <v>0</v>
      </c>
      <c r="AH751" s="69"/>
      <c r="AI751" s="256" t="str">
        <f>IF(Ruimtestaat[[#This Row],[Frequentie werkdagen]]="","",_xlfn.CONCAT(Ruimtestaat[[#This Row],[Ruimte code]],"-",Ruimtestaat[[#This Row],[Frequentie werkdagen]]," ",Ruimtestaat[[#This Row],[Vloer code]]))</f>
        <v>14-5w L</v>
      </c>
      <c r="AJ751" s="300" t="str">
        <f>_xlfn.IFNA(VLOOKUP($AI751,Programma!$F$3:$G$1107,2,0),"")</f>
        <v>_</v>
      </c>
      <c r="AK751" s="300" t="str">
        <f>_xlfn.IFNA(VLOOKUP($AI751,Programma!$F$3:$H$1107,3,0),"")</f>
        <v>_</v>
      </c>
      <c r="AL751" s="300" t="str">
        <f>_xlfn.IFNA(VLOOKUP($AI751,Programma!$F$3:$I$1107,4,0),"")</f>
        <v>_</v>
      </c>
      <c r="AM751" s="300" t="str">
        <f>_xlfn.IFNA(VLOOKUP($AI751,Programma!$F$3:$J$1107,5,0),"")</f>
        <v>5w</v>
      </c>
      <c r="AN751" s="300" t="str">
        <f>_xlfn.IFNA(VLOOKUP($AI751,Programma!$F$3:$K$1107,6,0),"")</f>
        <v>_</v>
      </c>
      <c r="AO751" s="300" t="str">
        <f>_xlfn.IFNA(VLOOKUP($AI751,Programma!$F$3:$L$1107,7,0),"")</f>
        <v>_</v>
      </c>
      <c r="AP751" s="300" t="str">
        <f>_xlfn.IFNA(VLOOKUP($AI751,Programma!$F$3:$M$1107,8,0),"")</f>
        <v>_</v>
      </c>
      <c r="AQ751" s="300" t="str">
        <f>_xlfn.IFNA(VLOOKUP($AI751,Programma!$F$3:$N$1107,9,0),"")</f>
        <v>_</v>
      </c>
      <c r="AR751" s="300" t="str">
        <f>_xlfn.IFNA(VLOOKUP($AI751,Programma!$F$3:$O$1107,10,0),"")</f>
        <v>5w</v>
      </c>
      <c r="AS751" s="300" t="str">
        <f>_xlfn.IFNA(VLOOKUP($AI751,Programma!$F$3:$P$1107,11,0),"")</f>
        <v>5w</v>
      </c>
      <c r="AT751" s="300" t="str">
        <f>_xlfn.IFNA(VLOOKUP($AI751,Programma!$F$3:$Q$1107,12,0),"")</f>
        <v>1w</v>
      </c>
      <c r="AU751" s="300" t="str">
        <f>_xlfn.IFNA(VLOOKUP($AI751,Programma!$F$3:$R$1107,13,0),"")</f>
        <v>1w</v>
      </c>
      <c r="AV751" s="300" t="str">
        <f>_xlfn.IFNA(VLOOKUP($AI751,Programma!$F$3:$S$1107,14,0),"")</f>
        <v>1m</v>
      </c>
      <c r="AW751" s="300" t="str">
        <f>_xlfn.IFNA(VLOOKUP($AI751,Programma!$F$3:$T$1107,15,0),"")</f>
        <v>2j</v>
      </c>
      <c r="AX751" s="300" t="str">
        <f>_xlfn.IFNA(VLOOKUP($AI751,Programma!$F$3:$U$1107,16,0),"")</f>
        <v>1j</v>
      </c>
      <c r="AY751" s="300" t="str">
        <f>_xlfn.IFNA(VLOOKUP($AI751,Programma!$F$3:$V$1107,17,0),"")</f>
        <v>_</v>
      </c>
      <c r="AZ751" s="300" t="str">
        <f>_xlfn.IFNA(VLOOKUP($AI751,Programma!$F$3:$W$1107,18,0),"")</f>
        <v>_</v>
      </c>
      <c r="BA751" s="300" t="str">
        <f>_xlfn.IFNA(VLOOKUP($AI751,Programma!$F$3:$X$1107,19,0),"")</f>
        <v>_</v>
      </c>
      <c r="BB751" s="300" t="str">
        <f>_xlfn.IFNA(VLOOKUP($AI751,Programma!$F$3:$Y$1107,20,0),"")</f>
        <v>_</v>
      </c>
      <c r="BC751" s="257"/>
      <c r="BD751" s="256" t="str">
        <f>IF(Ruimtestaat[[#This Row],[Frequentie weekend]]="","",_xlfn.CONCAT(Ruimtestaat[[#This Row],[Ruimte code]],"-",Ruimtestaat[[#This Row],[Frequentie weekend]]," ",Ruimtestaat[[#This Row],[Vloer code]]))</f>
        <v/>
      </c>
      <c r="BE751" s="300" t="str">
        <f>_xlfn.IFNA(VLOOKUP($BD751,Programma!$F$3:$G$1107,2,0),"")</f>
        <v/>
      </c>
      <c r="BF751" s="300" t="str">
        <f>_xlfn.IFNA(VLOOKUP($BD751,Programma!$F$3:$H$1107,3,0),"")</f>
        <v/>
      </c>
      <c r="BG751" s="300" t="str">
        <f>_xlfn.IFNA(VLOOKUP($BD751,Programma!$F$3:$I$1107,4,0),"")</f>
        <v/>
      </c>
      <c r="BH751" s="300" t="str">
        <f>_xlfn.IFNA(VLOOKUP($BD751,Programma!$F$3:$J$1107,5,0),"")</f>
        <v/>
      </c>
      <c r="BI751" s="300" t="str">
        <f>_xlfn.IFNA(VLOOKUP($BD751,Programma!$F$3:$K$1107,6,0),"")</f>
        <v/>
      </c>
      <c r="BJ751" s="300" t="str">
        <f>_xlfn.IFNA(VLOOKUP($BD751,Programma!$F$3:$L$1107,7,0),"")</f>
        <v/>
      </c>
      <c r="BK751" s="300" t="str">
        <f>_xlfn.IFNA(VLOOKUP($BD751,Programma!$F$3:$M$1107,8,0),"")</f>
        <v/>
      </c>
      <c r="BL751" s="300" t="str">
        <f>_xlfn.IFNA(VLOOKUP($BD751,Programma!$F$3:$N$1107,9,0),"")</f>
        <v/>
      </c>
      <c r="BM751" s="300" t="str">
        <f>_xlfn.IFNA(VLOOKUP($BD751,Programma!$F$3:$O$1107,10,0),"")</f>
        <v/>
      </c>
      <c r="BN751" s="300" t="str">
        <f>_xlfn.IFNA(VLOOKUP($BD751,Programma!$F$3:$P$1107,11,0),"")</f>
        <v/>
      </c>
      <c r="BO751" s="300" t="str">
        <f>_xlfn.IFNA(VLOOKUP($BD751,Programma!$F$3:$Q$1107,12,0),"")</f>
        <v/>
      </c>
      <c r="BP751" s="300" t="str">
        <f>_xlfn.IFNA(VLOOKUP($BD751,Programma!$F$3:$R$1107,13,0),"")</f>
        <v/>
      </c>
      <c r="BQ751" s="300" t="str">
        <f>_xlfn.IFNA(VLOOKUP($BD751,Programma!$F$3:$S$1107,14,0),"")</f>
        <v/>
      </c>
      <c r="BR751" s="300" t="str">
        <f>_xlfn.IFNA(VLOOKUP($BD751,Programma!$F$3:$T$1107,15,0),"")</f>
        <v/>
      </c>
      <c r="BS751" s="300" t="str">
        <f>_xlfn.IFNA(VLOOKUP($BD751,Programma!$F$3:$U$1107,16,0),"")</f>
        <v/>
      </c>
      <c r="BT751" s="300" t="str">
        <f>_xlfn.IFNA(VLOOKUP($BD751,Programma!$F$3:$V$1107,17,0),"")</f>
        <v/>
      </c>
      <c r="BU751" s="300" t="str">
        <f>_xlfn.IFNA(VLOOKUP($BD751,Programma!$F$3:$W$1107,18,0),"")</f>
        <v/>
      </c>
      <c r="BV751" s="300" t="str">
        <f>_xlfn.IFNA(VLOOKUP($BD751,Programma!$F$3:$X$1107,19,0),"")</f>
        <v/>
      </c>
      <c r="BW751" s="300" t="str">
        <f>_xlfn.IFNA(VLOOKUP($BD751,Programma!$F$3:$Y$1107,20,0),"")</f>
        <v/>
      </c>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c r="GK751" s="4"/>
      <c r="GL751" s="4"/>
      <c r="GM751" s="4"/>
      <c r="GN751" s="4"/>
      <c r="GO751" s="4"/>
      <c r="GP751" s="4"/>
      <c r="GQ751" s="4"/>
      <c r="GR751" s="4"/>
      <c r="GS751" s="4"/>
      <c r="GT751" s="4"/>
      <c r="GU751" s="4"/>
      <c r="GV751" s="4"/>
      <c r="GW751" s="4"/>
      <c r="GX751" s="4"/>
      <c r="GY751" s="4"/>
      <c r="GZ751" s="4"/>
      <c r="HA751" s="4"/>
      <c r="HB751" s="4"/>
      <c r="HC751" s="4"/>
      <c r="HD751" s="4"/>
      <c r="HE751" s="4"/>
      <c r="HF751" s="4"/>
      <c r="HG751" s="4"/>
      <c r="HH751" s="4"/>
      <c r="HI751" s="4"/>
      <c r="HJ751" s="4"/>
      <c r="HK751" s="4"/>
      <c r="HL751" s="4"/>
    </row>
    <row r="752" spans="1:220" ht="15" customHeight="1">
      <c r="A752" s="21">
        <v>8</v>
      </c>
      <c r="B752" s="157" t="str">
        <f>VLOOKUP(Ruimtestaat[[#This Row],[Code]],Locaties[[Code]:[Locatie]],2,FALSE)</f>
        <v>Dalton College</v>
      </c>
      <c r="C752" s="157" t="str">
        <f>VLOOKUP(Ruimtestaat[[#This Row],[Code]],Locaties[[#All],[Code]:[Adres]],4,FALSE)</f>
        <v>Loolaan 125</v>
      </c>
      <c r="D752" s="157" t="str">
        <f>VLOOKUP(Ruimtestaat[[#This Row],[Code]],Locaties[[#All],[Code]:[Postcode]],5,FALSE)</f>
        <v xml:space="preserve">2271 TM </v>
      </c>
      <c r="E752" s="157" t="str">
        <f>VLOOKUP(Ruimtestaat[[#This Row],[Code]],Locaties[#All],6,FALSE)</f>
        <v>Voorburg</v>
      </c>
      <c r="F752" s="62"/>
      <c r="G752" s="21" t="s">
        <v>1624</v>
      </c>
      <c r="H752" s="21" t="s">
        <v>1668</v>
      </c>
      <c r="I752" s="62" t="s">
        <v>2240</v>
      </c>
      <c r="J752" s="21">
        <v>14</v>
      </c>
      <c r="K752" s="62" t="str">
        <f>VLOOKUP(Ruimtestaat[[#This Row],[Ruimte code]],Ruimtegroepen[[#All],[Code]:[Ruimte omschrijving]],2,FALSE)</f>
        <v>Praktijklokalen binas/zorg</v>
      </c>
      <c r="L752" s="33" t="s">
        <v>101</v>
      </c>
      <c r="M752" s="367" t="s">
        <v>2495</v>
      </c>
      <c r="N752" s="140">
        <v>56</v>
      </c>
      <c r="O752" s="140"/>
      <c r="P752" s="125" t="str">
        <f>VLOOKUP(Ruimtestaat[[#This Row],[Ruimte code]],Ruimtegroepen[],4,FALSE)</f>
        <v>Le</v>
      </c>
      <c r="R752" s="33">
        <v>40</v>
      </c>
      <c r="S752" s="33" t="s">
        <v>2</v>
      </c>
      <c r="T752" s="33">
        <f>IF(R752&gt;0,IF(RIGHT(Ruimtestaat[[#This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52" s="33">
        <f>IF(T752&gt;0,VLOOKUP($J752,Ruimtegroepen[],3,FALSE)*VLOOKUP($L752,Vloersoorten[],3,FALSE)*VLOOKUP($S752,Frequenties[],3,FALSE)*VLOOKUP($A752,Locaties[],3,FALSE),0)</f>
        <v>0</v>
      </c>
      <c r="V752" s="33">
        <f>Ruimtestaat[[#This Row],[Uitvoeringen werkdagen]]*Ruimtestaat[[#This Row],[Oppervlak (netto)]]</f>
        <v>11200</v>
      </c>
      <c r="W752" s="154">
        <f>IF(U752&gt;0,Ruimtestaat[[#This Row],[Prest. (m2 /jaar) werkdagen]]/Ruimtestaat[[#This Row],[Norm (m2/uur) werkdagen]],0)</f>
        <v>0</v>
      </c>
      <c r="X752" s="155">
        <f>Ruimtestaat[[#This Row],[uren / jaar werkdagen]]*Tariefsopbouw!$E$35</f>
        <v>0</v>
      </c>
      <c r="Y752" s="33"/>
      <c r="Z752" s="33">
        <f>IF(Ruimtestaat[[#This Row],[Frequentie weekend]]&gt;0,VALUE(LEFT(Y752,1))*R752,0)</f>
        <v>0</v>
      </c>
      <c r="AA752" s="97">
        <f>IF($Z752&gt;0,VLOOKUP($J752,Ruimtegroepen[],3,FALSE)*VLOOKUP($L752,Vloersoorten[],3,FALSE)*VLOOKUP($Y752,Frequenties[],3,FALSE)*VLOOKUP(Ruimtestaat[[#This Row],[Code]],Locaties[],3,FALSE),0)</f>
        <v>0</v>
      </c>
      <c r="AB752" s="97">
        <f>Ruimtestaat[[#This Row],[Uitvoeringen weekend]]*Ruimtestaat[[#This Row],[Oppervlak (netto)]]</f>
        <v>0</v>
      </c>
      <c r="AC752" s="97">
        <f>IF(AA752&gt;0,Ruimtestaat[[#This Row],[Prest. (m2 /jaar) weekend]]/Ruimtestaat[[#This Row],[Norm (m2/uur) weekend]],0)</f>
        <v>0</v>
      </c>
      <c r="AD752" s="155">
        <f>Ruimtestaat[[#This Row],[uren / jaar weekend]]*Tariefsopbouw!$D$40</f>
        <v>0</v>
      </c>
      <c r="AE752" s="154">
        <f>Ruimtestaat[[#This Row],[Prest. (m2 /jaar) weekend]]+Ruimtestaat[[#This Row],[Prest. (m2 /jaar) werkdagen]]</f>
        <v>11200</v>
      </c>
      <c r="AF752" s="154">
        <f>Ruimtestaat[[#This Row],[uren / jaar weekend]]+Ruimtestaat[[#This Row],[uren / jaar werkdagen]]</f>
        <v>0</v>
      </c>
      <c r="AG752" s="69">
        <f>Ruimtestaat[[#This Row],[kosten / jaar weekend]]+Ruimtestaat[[#This Row],[kosten / jaar werkdagen]]</f>
        <v>0</v>
      </c>
      <c r="AH752" s="69"/>
      <c r="AI752" s="256" t="str">
        <f>IF(Ruimtestaat[[#This Row],[Frequentie werkdagen]]="","",_xlfn.CONCAT(Ruimtestaat[[#This Row],[Ruimte code]],"-",Ruimtestaat[[#This Row],[Frequentie werkdagen]]," ",Ruimtestaat[[#This Row],[Vloer code]]))</f>
        <v>14-5w L</v>
      </c>
      <c r="AJ752" s="300" t="str">
        <f>_xlfn.IFNA(VLOOKUP($AI752,Programma!$F$3:$G$1107,2,0),"")</f>
        <v>_</v>
      </c>
      <c r="AK752" s="300" t="str">
        <f>_xlfn.IFNA(VLOOKUP($AI752,Programma!$F$3:$H$1107,3,0),"")</f>
        <v>_</v>
      </c>
      <c r="AL752" s="300" t="str">
        <f>_xlfn.IFNA(VLOOKUP($AI752,Programma!$F$3:$I$1107,4,0),"")</f>
        <v>_</v>
      </c>
      <c r="AM752" s="300" t="str">
        <f>_xlfn.IFNA(VLOOKUP($AI752,Programma!$F$3:$J$1107,5,0),"")</f>
        <v>5w</v>
      </c>
      <c r="AN752" s="300" t="str">
        <f>_xlfn.IFNA(VLOOKUP($AI752,Programma!$F$3:$K$1107,6,0),"")</f>
        <v>_</v>
      </c>
      <c r="AO752" s="300" t="str">
        <f>_xlfn.IFNA(VLOOKUP($AI752,Programma!$F$3:$L$1107,7,0),"")</f>
        <v>_</v>
      </c>
      <c r="AP752" s="300" t="str">
        <f>_xlfn.IFNA(VLOOKUP($AI752,Programma!$F$3:$M$1107,8,0),"")</f>
        <v>_</v>
      </c>
      <c r="AQ752" s="300" t="str">
        <f>_xlfn.IFNA(VLOOKUP($AI752,Programma!$F$3:$N$1107,9,0),"")</f>
        <v>_</v>
      </c>
      <c r="AR752" s="300" t="str">
        <f>_xlfn.IFNA(VLOOKUP($AI752,Programma!$F$3:$O$1107,10,0),"")</f>
        <v>5w</v>
      </c>
      <c r="AS752" s="300" t="str">
        <f>_xlfn.IFNA(VLOOKUP($AI752,Programma!$F$3:$P$1107,11,0),"")</f>
        <v>5w</v>
      </c>
      <c r="AT752" s="300" t="str">
        <f>_xlfn.IFNA(VLOOKUP($AI752,Programma!$F$3:$Q$1107,12,0),"")</f>
        <v>1w</v>
      </c>
      <c r="AU752" s="300" t="str">
        <f>_xlfn.IFNA(VLOOKUP($AI752,Programma!$F$3:$R$1107,13,0),"")</f>
        <v>1w</v>
      </c>
      <c r="AV752" s="300" t="str">
        <f>_xlfn.IFNA(VLOOKUP($AI752,Programma!$F$3:$S$1107,14,0),"")</f>
        <v>1m</v>
      </c>
      <c r="AW752" s="300" t="str">
        <f>_xlfn.IFNA(VLOOKUP($AI752,Programma!$F$3:$T$1107,15,0),"")</f>
        <v>2j</v>
      </c>
      <c r="AX752" s="300" t="str">
        <f>_xlfn.IFNA(VLOOKUP($AI752,Programma!$F$3:$U$1107,16,0),"")</f>
        <v>1j</v>
      </c>
      <c r="AY752" s="300" t="str">
        <f>_xlfn.IFNA(VLOOKUP($AI752,Programma!$F$3:$V$1107,17,0),"")</f>
        <v>_</v>
      </c>
      <c r="AZ752" s="300" t="str">
        <f>_xlfn.IFNA(VLOOKUP($AI752,Programma!$F$3:$W$1107,18,0),"")</f>
        <v>_</v>
      </c>
      <c r="BA752" s="300" t="str">
        <f>_xlfn.IFNA(VLOOKUP($AI752,Programma!$F$3:$X$1107,19,0),"")</f>
        <v>_</v>
      </c>
      <c r="BB752" s="300" t="str">
        <f>_xlfn.IFNA(VLOOKUP($AI752,Programma!$F$3:$Y$1107,20,0),"")</f>
        <v>_</v>
      </c>
      <c r="BC752" s="257"/>
      <c r="BD752" s="256" t="str">
        <f>IF(Ruimtestaat[[#This Row],[Frequentie weekend]]="","",_xlfn.CONCAT(Ruimtestaat[[#This Row],[Ruimte code]],"-",Ruimtestaat[[#This Row],[Frequentie weekend]]," ",Ruimtestaat[[#This Row],[Vloer code]]))</f>
        <v/>
      </c>
      <c r="BE752" s="300" t="str">
        <f>_xlfn.IFNA(VLOOKUP($BD752,Programma!$F$3:$G$1107,2,0),"")</f>
        <v/>
      </c>
      <c r="BF752" s="300" t="str">
        <f>_xlfn.IFNA(VLOOKUP($BD752,Programma!$F$3:$H$1107,3,0),"")</f>
        <v/>
      </c>
      <c r="BG752" s="300" t="str">
        <f>_xlfn.IFNA(VLOOKUP($BD752,Programma!$F$3:$I$1107,4,0),"")</f>
        <v/>
      </c>
      <c r="BH752" s="300" t="str">
        <f>_xlfn.IFNA(VLOOKUP($BD752,Programma!$F$3:$J$1107,5,0),"")</f>
        <v/>
      </c>
      <c r="BI752" s="300" t="str">
        <f>_xlfn.IFNA(VLOOKUP($BD752,Programma!$F$3:$K$1107,6,0),"")</f>
        <v/>
      </c>
      <c r="BJ752" s="300" t="str">
        <f>_xlfn.IFNA(VLOOKUP($BD752,Programma!$F$3:$L$1107,7,0),"")</f>
        <v/>
      </c>
      <c r="BK752" s="300" t="str">
        <f>_xlfn.IFNA(VLOOKUP($BD752,Programma!$F$3:$M$1107,8,0),"")</f>
        <v/>
      </c>
      <c r="BL752" s="300" t="str">
        <f>_xlfn.IFNA(VLOOKUP($BD752,Programma!$F$3:$N$1107,9,0),"")</f>
        <v/>
      </c>
      <c r="BM752" s="300" t="str">
        <f>_xlfn.IFNA(VLOOKUP($BD752,Programma!$F$3:$O$1107,10,0),"")</f>
        <v/>
      </c>
      <c r="BN752" s="300" t="str">
        <f>_xlfn.IFNA(VLOOKUP($BD752,Programma!$F$3:$P$1107,11,0),"")</f>
        <v/>
      </c>
      <c r="BO752" s="300" t="str">
        <f>_xlfn.IFNA(VLOOKUP($BD752,Programma!$F$3:$Q$1107,12,0),"")</f>
        <v/>
      </c>
      <c r="BP752" s="300" t="str">
        <f>_xlfn.IFNA(VLOOKUP($BD752,Programma!$F$3:$R$1107,13,0),"")</f>
        <v/>
      </c>
      <c r="BQ752" s="300" t="str">
        <f>_xlfn.IFNA(VLOOKUP($BD752,Programma!$F$3:$S$1107,14,0),"")</f>
        <v/>
      </c>
      <c r="BR752" s="300" t="str">
        <f>_xlfn.IFNA(VLOOKUP($BD752,Programma!$F$3:$T$1107,15,0),"")</f>
        <v/>
      </c>
      <c r="BS752" s="300" t="str">
        <f>_xlfn.IFNA(VLOOKUP($BD752,Programma!$F$3:$U$1107,16,0),"")</f>
        <v/>
      </c>
      <c r="BT752" s="300" t="str">
        <f>_xlfn.IFNA(VLOOKUP($BD752,Programma!$F$3:$V$1107,17,0),"")</f>
        <v/>
      </c>
      <c r="BU752" s="300" t="str">
        <f>_xlfn.IFNA(VLOOKUP($BD752,Programma!$F$3:$W$1107,18,0),"")</f>
        <v/>
      </c>
      <c r="BV752" s="300" t="str">
        <f>_xlfn.IFNA(VLOOKUP($BD752,Programma!$F$3:$X$1107,19,0),"")</f>
        <v/>
      </c>
      <c r="BW752" s="300" t="str">
        <f>_xlfn.IFNA(VLOOKUP($BD752,Programma!$F$3:$Y$1107,20,0),"")</f>
        <v/>
      </c>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c r="GK752" s="4"/>
      <c r="GL752" s="4"/>
      <c r="GM752" s="4"/>
      <c r="GN752" s="4"/>
      <c r="GO752" s="4"/>
      <c r="GP752" s="4"/>
      <c r="GQ752" s="4"/>
      <c r="GR752" s="4"/>
      <c r="GS752" s="4"/>
      <c r="GT752" s="4"/>
      <c r="GU752" s="4"/>
      <c r="GV752" s="4"/>
      <c r="GW752" s="4"/>
      <c r="GX752" s="4"/>
      <c r="GY752" s="4"/>
      <c r="GZ752" s="4"/>
      <c r="HA752" s="4"/>
      <c r="HB752" s="4"/>
      <c r="HC752" s="4"/>
      <c r="HD752" s="4"/>
      <c r="HE752" s="4"/>
      <c r="HF752" s="4"/>
      <c r="HG752" s="4"/>
      <c r="HH752" s="4"/>
      <c r="HI752" s="4"/>
      <c r="HJ752" s="4"/>
      <c r="HK752" s="4"/>
      <c r="HL752" s="4"/>
    </row>
    <row r="753" spans="1:220" ht="15" customHeight="1">
      <c r="A753" s="21">
        <v>8</v>
      </c>
      <c r="B753" s="157" t="str">
        <f>VLOOKUP(Ruimtestaat[[#This Row],[Code]],Locaties[[Code]:[Locatie]],2,FALSE)</f>
        <v>Dalton College</v>
      </c>
      <c r="C753" s="157" t="str">
        <f>VLOOKUP(Ruimtestaat[[#This Row],[Code]],Locaties[[#All],[Code]:[Adres]],4,FALSE)</f>
        <v>Loolaan 125</v>
      </c>
      <c r="D753" s="157" t="str">
        <f>VLOOKUP(Ruimtestaat[[#This Row],[Code]],Locaties[[#All],[Code]:[Postcode]],5,FALSE)</f>
        <v xml:space="preserve">2271 TM </v>
      </c>
      <c r="E753" s="157" t="str">
        <f>VLOOKUP(Ruimtestaat[[#This Row],[Code]],Locaties[#All],6,FALSE)</f>
        <v>Voorburg</v>
      </c>
      <c r="F753" s="62"/>
      <c r="G753" s="21" t="s">
        <v>1624</v>
      </c>
      <c r="H753" s="21" t="s">
        <v>1670</v>
      </c>
      <c r="I753" s="62" t="s">
        <v>2125</v>
      </c>
      <c r="J753" s="21">
        <v>14</v>
      </c>
      <c r="K753" s="62" t="str">
        <f>VLOOKUP(Ruimtestaat[[#This Row],[Ruimte code]],Ruimtegroepen[[#All],[Code]:[Ruimte omschrijving]],2,FALSE)</f>
        <v>Praktijklokalen binas/zorg</v>
      </c>
      <c r="L753" s="33" t="s">
        <v>101</v>
      </c>
      <c r="M753" s="367" t="s">
        <v>2495</v>
      </c>
      <c r="N753" s="140">
        <v>38</v>
      </c>
      <c r="O753" s="140"/>
      <c r="P753" s="125" t="str">
        <f>VLOOKUP(Ruimtestaat[[#This Row],[Ruimte code]],Ruimtegroepen[],4,FALSE)</f>
        <v>Le</v>
      </c>
      <c r="R753" s="33">
        <v>40</v>
      </c>
      <c r="S753" s="33" t="s">
        <v>2</v>
      </c>
      <c r="T753" s="33">
        <f>IF(R753&gt;0,IF(RIGHT(Ruimtestaat[[#This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53" s="33">
        <f>IF(T753&gt;0,VLOOKUP($J753,Ruimtegroepen[],3,FALSE)*VLOOKUP($L753,Vloersoorten[],3,FALSE)*VLOOKUP($S753,Frequenties[],3,FALSE)*VLOOKUP($A753,Locaties[],3,FALSE),0)</f>
        <v>0</v>
      </c>
      <c r="V753" s="33">
        <f>Ruimtestaat[[#This Row],[Uitvoeringen werkdagen]]*Ruimtestaat[[#This Row],[Oppervlak (netto)]]</f>
        <v>7600</v>
      </c>
      <c r="W753" s="154">
        <f>IF(U753&gt;0,Ruimtestaat[[#This Row],[Prest. (m2 /jaar) werkdagen]]/Ruimtestaat[[#This Row],[Norm (m2/uur) werkdagen]],0)</f>
        <v>0</v>
      </c>
      <c r="X753" s="155">
        <f>Ruimtestaat[[#This Row],[uren / jaar werkdagen]]*Tariefsopbouw!$E$35</f>
        <v>0</v>
      </c>
      <c r="Y753" s="33"/>
      <c r="Z753" s="33">
        <f>IF(Ruimtestaat[[#This Row],[Frequentie weekend]]&gt;0,VALUE(LEFT(Y753,1))*R753,0)</f>
        <v>0</v>
      </c>
      <c r="AA753" s="97">
        <f>IF($Z753&gt;0,VLOOKUP($J753,Ruimtegroepen[],3,FALSE)*VLOOKUP($L753,Vloersoorten[],3,FALSE)*VLOOKUP($Y753,Frequenties[],3,FALSE)*VLOOKUP(Ruimtestaat[[#This Row],[Code]],Locaties[],3,FALSE),0)</f>
        <v>0</v>
      </c>
      <c r="AB753" s="97">
        <f>Ruimtestaat[[#This Row],[Uitvoeringen weekend]]*Ruimtestaat[[#This Row],[Oppervlak (netto)]]</f>
        <v>0</v>
      </c>
      <c r="AC753" s="97">
        <f>IF(AA753&gt;0,Ruimtestaat[[#This Row],[Prest. (m2 /jaar) weekend]]/Ruimtestaat[[#This Row],[Norm (m2/uur) weekend]],0)</f>
        <v>0</v>
      </c>
      <c r="AD753" s="155">
        <f>Ruimtestaat[[#This Row],[uren / jaar weekend]]*Tariefsopbouw!$D$40</f>
        <v>0</v>
      </c>
      <c r="AE753" s="154">
        <f>Ruimtestaat[[#This Row],[Prest. (m2 /jaar) weekend]]+Ruimtestaat[[#This Row],[Prest. (m2 /jaar) werkdagen]]</f>
        <v>7600</v>
      </c>
      <c r="AF753" s="154">
        <f>Ruimtestaat[[#This Row],[uren / jaar weekend]]+Ruimtestaat[[#This Row],[uren / jaar werkdagen]]</f>
        <v>0</v>
      </c>
      <c r="AG753" s="69">
        <f>Ruimtestaat[[#This Row],[kosten / jaar weekend]]+Ruimtestaat[[#This Row],[kosten / jaar werkdagen]]</f>
        <v>0</v>
      </c>
      <c r="AH753" s="69"/>
      <c r="AI753" s="256" t="str">
        <f>IF(Ruimtestaat[[#This Row],[Frequentie werkdagen]]="","",_xlfn.CONCAT(Ruimtestaat[[#This Row],[Ruimte code]],"-",Ruimtestaat[[#This Row],[Frequentie werkdagen]]," ",Ruimtestaat[[#This Row],[Vloer code]]))</f>
        <v>14-5w L</v>
      </c>
      <c r="AJ753" s="300" t="str">
        <f>_xlfn.IFNA(VLOOKUP($AI753,Programma!$F$3:$G$1107,2,0),"")</f>
        <v>_</v>
      </c>
      <c r="AK753" s="300" t="str">
        <f>_xlfn.IFNA(VLOOKUP($AI753,Programma!$F$3:$H$1107,3,0),"")</f>
        <v>_</v>
      </c>
      <c r="AL753" s="300" t="str">
        <f>_xlfn.IFNA(VLOOKUP($AI753,Programma!$F$3:$I$1107,4,0),"")</f>
        <v>_</v>
      </c>
      <c r="AM753" s="300" t="str">
        <f>_xlfn.IFNA(VLOOKUP($AI753,Programma!$F$3:$J$1107,5,0),"")</f>
        <v>5w</v>
      </c>
      <c r="AN753" s="300" t="str">
        <f>_xlfn.IFNA(VLOOKUP($AI753,Programma!$F$3:$K$1107,6,0),"")</f>
        <v>_</v>
      </c>
      <c r="AO753" s="300" t="str">
        <f>_xlfn.IFNA(VLOOKUP($AI753,Programma!$F$3:$L$1107,7,0),"")</f>
        <v>_</v>
      </c>
      <c r="AP753" s="300" t="str">
        <f>_xlfn.IFNA(VLOOKUP($AI753,Programma!$F$3:$M$1107,8,0),"")</f>
        <v>_</v>
      </c>
      <c r="AQ753" s="300" t="str">
        <f>_xlfn.IFNA(VLOOKUP($AI753,Programma!$F$3:$N$1107,9,0),"")</f>
        <v>_</v>
      </c>
      <c r="AR753" s="300" t="str">
        <f>_xlfn.IFNA(VLOOKUP($AI753,Programma!$F$3:$O$1107,10,0),"")</f>
        <v>5w</v>
      </c>
      <c r="AS753" s="300" t="str">
        <f>_xlfn.IFNA(VLOOKUP($AI753,Programma!$F$3:$P$1107,11,0),"")</f>
        <v>5w</v>
      </c>
      <c r="AT753" s="300" t="str">
        <f>_xlfn.IFNA(VLOOKUP($AI753,Programma!$F$3:$Q$1107,12,0),"")</f>
        <v>1w</v>
      </c>
      <c r="AU753" s="300" t="str">
        <f>_xlfn.IFNA(VLOOKUP($AI753,Programma!$F$3:$R$1107,13,0),"")</f>
        <v>1w</v>
      </c>
      <c r="AV753" s="300" t="str">
        <f>_xlfn.IFNA(VLOOKUP($AI753,Programma!$F$3:$S$1107,14,0),"")</f>
        <v>1m</v>
      </c>
      <c r="AW753" s="300" t="str">
        <f>_xlfn.IFNA(VLOOKUP($AI753,Programma!$F$3:$T$1107,15,0),"")</f>
        <v>2j</v>
      </c>
      <c r="AX753" s="300" t="str">
        <f>_xlfn.IFNA(VLOOKUP($AI753,Programma!$F$3:$U$1107,16,0),"")</f>
        <v>1j</v>
      </c>
      <c r="AY753" s="300" t="str">
        <f>_xlfn.IFNA(VLOOKUP($AI753,Programma!$F$3:$V$1107,17,0),"")</f>
        <v>_</v>
      </c>
      <c r="AZ753" s="300" t="str">
        <f>_xlfn.IFNA(VLOOKUP($AI753,Programma!$F$3:$W$1107,18,0),"")</f>
        <v>_</v>
      </c>
      <c r="BA753" s="300" t="str">
        <f>_xlfn.IFNA(VLOOKUP($AI753,Programma!$F$3:$X$1107,19,0),"")</f>
        <v>_</v>
      </c>
      <c r="BB753" s="300" t="str">
        <f>_xlfn.IFNA(VLOOKUP($AI753,Programma!$F$3:$Y$1107,20,0),"")</f>
        <v>_</v>
      </c>
      <c r="BC753" s="257"/>
      <c r="BD753" s="256" t="str">
        <f>IF(Ruimtestaat[[#This Row],[Frequentie weekend]]="","",_xlfn.CONCAT(Ruimtestaat[[#This Row],[Ruimte code]],"-",Ruimtestaat[[#This Row],[Frequentie weekend]]," ",Ruimtestaat[[#This Row],[Vloer code]]))</f>
        <v/>
      </c>
      <c r="BE753" s="300" t="str">
        <f>_xlfn.IFNA(VLOOKUP($BD753,Programma!$F$3:$G$1107,2,0),"")</f>
        <v/>
      </c>
      <c r="BF753" s="300" t="str">
        <f>_xlfn.IFNA(VLOOKUP($BD753,Programma!$F$3:$H$1107,3,0),"")</f>
        <v/>
      </c>
      <c r="BG753" s="300" t="str">
        <f>_xlfn.IFNA(VLOOKUP($BD753,Programma!$F$3:$I$1107,4,0),"")</f>
        <v/>
      </c>
      <c r="BH753" s="300" t="str">
        <f>_xlfn.IFNA(VLOOKUP($BD753,Programma!$F$3:$J$1107,5,0),"")</f>
        <v/>
      </c>
      <c r="BI753" s="300" t="str">
        <f>_xlfn.IFNA(VLOOKUP($BD753,Programma!$F$3:$K$1107,6,0),"")</f>
        <v/>
      </c>
      <c r="BJ753" s="300" t="str">
        <f>_xlfn.IFNA(VLOOKUP($BD753,Programma!$F$3:$L$1107,7,0),"")</f>
        <v/>
      </c>
      <c r="BK753" s="300" t="str">
        <f>_xlfn.IFNA(VLOOKUP($BD753,Programma!$F$3:$M$1107,8,0),"")</f>
        <v/>
      </c>
      <c r="BL753" s="300" t="str">
        <f>_xlfn.IFNA(VLOOKUP($BD753,Programma!$F$3:$N$1107,9,0),"")</f>
        <v/>
      </c>
      <c r="BM753" s="300" t="str">
        <f>_xlfn.IFNA(VLOOKUP($BD753,Programma!$F$3:$O$1107,10,0),"")</f>
        <v/>
      </c>
      <c r="BN753" s="300" t="str">
        <f>_xlfn.IFNA(VLOOKUP($BD753,Programma!$F$3:$P$1107,11,0),"")</f>
        <v/>
      </c>
      <c r="BO753" s="300" t="str">
        <f>_xlfn.IFNA(VLOOKUP($BD753,Programma!$F$3:$Q$1107,12,0),"")</f>
        <v/>
      </c>
      <c r="BP753" s="300" t="str">
        <f>_xlfn.IFNA(VLOOKUP($BD753,Programma!$F$3:$R$1107,13,0),"")</f>
        <v/>
      </c>
      <c r="BQ753" s="300" t="str">
        <f>_xlfn.IFNA(VLOOKUP($BD753,Programma!$F$3:$S$1107,14,0),"")</f>
        <v/>
      </c>
      <c r="BR753" s="300" t="str">
        <f>_xlfn.IFNA(VLOOKUP($BD753,Programma!$F$3:$T$1107,15,0),"")</f>
        <v/>
      </c>
      <c r="BS753" s="300" t="str">
        <f>_xlfn.IFNA(VLOOKUP($BD753,Programma!$F$3:$U$1107,16,0),"")</f>
        <v/>
      </c>
      <c r="BT753" s="300" t="str">
        <f>_xlfn.IFNA(VLOOKUP($BD753,Programma!$F$3:$V$1107,17,0),"")</f>
        <v/>
      </c>
      <c r="BU753" s="300" t="str">
        <f>_xlfn.IFNA(VLOOKUP($BD753,Programma!$F$3:$W$1107,18,0),"")</f>
        <v/>
      </c>
      <c r="BV753" s="300" t="str">
        <f>_xlfn.IFNA(VLOOKUP($BD753,Programma!$F$3:$X$1107,19,0),"")</f>
        <v/>
      </c>
      <c r="BW753" s="300" t="str">
        <f>_xlfn.IFNA(VLOOKUP($BD753,Programma!$F$3:$Y$1107,20,0),"")</f>
        <v/>
      </c>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c r="GK753" s="4"/>
      <c r="GL753" s="4"/>
      <c r="GM753" s="4"/>
      <c r="GN753" s="4"/>
      <c r="GO753" s="4"/>
      <c r="GP753" s="4"/>
      <c r="GQ753" s="4"/>
      <c r="GR753" s="4"/>
      <c r="GS753" s="4"/>
      <c r="GT753" s="4"/>
      <c r="GU753" s="4"/>
      <c r="GV753" s="4"/>
      <c r="GW753" s="4"/>
      <c r="GX753" s="4"/>
      <c r="GY753" s="4"/>
      <c r="GZ753" s="4"/>
      <c r="HA753" s="4"/>
      <c r="HB753" s="4"/>
      <c r="HC753" s="4"/>
      <c r="HD753" s="4"/>
      <c r="HE753" s="4"/>
      <c r="HF753" s="4"/>
      <c r="HG753" s="4"/>
      <c r="HH753" s="4"/>
      <c r="HI753" s="4"/>
      <c r="HJ753" s="4"/>
      <c r="HK753" s="4"/>
      <c r="HL753" s="4"/>
    </row>
    <row r="754" spans="1:220" ht="15" customHeight="1">
      <c r="A754" s="21">
        <v>8</v>
      </c>
      <c r="B754" s="157" t="str">
        <f>VLOOKUP(Ruimtestaat[[#This Row],[Code]],Locaties[[Code]:[Locatie]],2,FALSE)</f>
        <v>Dalton College</v>
      </c>
      <c r="C754" s="157" t="str">
        <f>VLOOKUP(Ruimtestaat[[#This Row],[Code]],Locaties[[#All],[Code]:[Adres]],4,FALSE)</f>
        <v>Loolaan 125</v>
      </c>
      <c r="D754" s="157" t="str">
        <f>VLOOKUP(Ruimtestaat[[#This Row],[Code]],Locaties[[#All],[Code]:[Postcode]],5,FALSE)</f>
        <v xml:space="preserve">2271 TM </v>
      </c>
      <c r="E754" s="157" t="str">
        <f>VLOOKUP(Ruimtestaat[[#This Row],[Code]],Locaties[#All],6,FALSE)</f>
        <v>Voorburg</v>
      </c>
      <c r="F754" s="62"/>
      <c r="G754" s="21" t="s">
        <v>1624</v>
      </c>
      <c r="H754" s="21" t="s">
        <v>1672</v>
      </c>
      <c r="I754" s="62" t="s">
        <v>2241</v>
      </c>
      <c r="J754" s="21">
        <v>14</v>
      </c>
      <c r="K754" s="62" t="str">
        <f>VLOOKUP(Ruimtestaat[[#This Row],[Ruimte code]],Ruimtegroepen[[#All],[Code]:[Ruimte omschrijving]],2,FALSE)</f>
        <v>Praktijklokalen binas/zorg</v>
      </c>
      <c r="L754" s="33" t="s">
        <v>101</v>
      </c>
      <c r="M754" s="367" t="s">
        <v>2495</v>
      </c>
      <c r="N754" s="140">
        <v>77</v>
      </c>
      <c r="O754" s="140"/>
      <c r="P754" s="125" t="str">
        <f>VLOOKUP(Ruimtestaat[[#This Row],[Ruimte code]],Ruimtegroepen[],4,FALSE)</f>
        <v>Le</v>
      </c>
      <c r="R754" s="33">
        <v>40</v>
      </c>
      <c r="S754" s="33" t="s">
        <v>2</v>
      </c>
      <c r="T754" s="33">
        <f>IF(R754&gt;0,IF(RIGHT(Ruimtestaat[[#This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54" s="33">
        <f>IF(T754&gt;0,VLOOKUP($J754,Ruimtegroepen[],3,FALSE)*VLOOKUP($L754,Vloersoorten[],3,FALSE)*VLOOKUP($S754,Frequenties[],3,FALSE)*VLOOKUP($A754,Locaties[],3,FALSE),0)</f>
        <v>0</v>
      </c>
      <c r="V754" s="33">
        <f>Ruimtestaat[[#This Row],[Uitvoeringen werkdagen]]*Ruimtestaat[[#This Row],[Oppervlak (netto)]]</f>
        <v>15400</v>
      </c>
      <c r="W754" s="154">
        <f>IF(U754&gt;0,Ruimtestaat[[#This Row],[Prest. (m2 /jaar) werkdagen]]/Ruimtestaat[[#This Row],[Norm (m2/uur) werkdagen]],0)</f>
        <v>0</v>
      </c>
      <c r="X754" s="155">
        <f>Ruimtestaat[[#This Row],[uren / jaar werkdagen]]*Tariefsopbouw!$E$35</f>
        <v>0</v>
      </c>
      <c r="Y754" s="33"/>
      <c r="Z754" s="33">
        <f>IF(Ruimtestaat[[#This Row],[Frequentie weekend]]&gt;0,VALUE(LEFT(Y754,1))*R754,0)</f>
        <v>0</v>
      </c>
      <c r="AA754" s="97">
        <f>IF($Z754&gt;0,VLOOKUP($J754,Ruimtegroepen[],3,FALSE)*VLOOKUP($L754,Vloersoorten[],3,FALSE)*VLOOKUP($Y754,Frequenties[],3,FALSE)*VLOOKUP(Ruimtestaat[[#This Row],[Code]],Locaties[],3,FALSE),0)</f>
        <v>0</v>
      </c>
      <c r="AB754" s="97">
        <f>Ruimtestaat[[#This Row],[Uitvoeringen weekend]]*Ruimtestaat[[#This Row],[Oppervlak (netto)]]</f>
        <v>0</v>
      </c>
      <c r="AC754" s="97">
        <f>IF(AA754&gt;0,Ruimtestaat[[#This Row],[Prest. (m2 /jaar) weekend]]/Ruimtestaat[[#This Row],[Norm (m2/uur) weekend]],0)</f>
        <v>0</v>
      </c>
      <c r="AD754" s="155">
        <f>Ruimtestaat[[#This Row],[uren / jaar weekend]]*Tariefsopbouw!$D$40</f>
        <v>0</v>
      </c>
      <c r="AE754" s="154">
        <f>Ruimtestaat[[#This Row],[Prest. (m2 /jaar) weekend]]+Ruimtestaat[[#This Row],[Prest. (m2 /jaar) werkdagen]]</f>
        <v>15400</v>
      </c>
      <c r="AF754" s="154">
        <f>Ruimtestaat[[#This Row],[uren / jaar weekend]]+Ruimtestaat[[#This Row],[uren / jaar werkdagen]]</f>
        <v>0</v>
      </c>
      <c r="AG754" s="69">
        <f>Ruimtestaat[[#This Row],[kosten / jaar weekend]]+Ruimtestaat[[#This Row],[kosten / jaar werkdagen]]</f>
        <v>0</v>
      </c>
      <c r="AH754" s="69"/>
      <c r="AI754" s="256" t="str">
        <f>IF(Ruimtestaat[[#This Row],[Frequentie werkdagen]]="","",_xlfn.CONCAT(Ruimtestaat[[#This Row],[Ruimte code]],"-",Ruimtestaat[[#This Row],[Frequentie werkdagen]]," ",Ruimtestaat[[#This Row],[Vloer code]]))</f>
        <v>14-5w L</v>
      </c>
      <c r="AJ754" s="300" t="str">
        <f>_xlfn.IFNA(VLOOKUP($AI754,Programma!$F$3:$G$1107,2,0),"")</f>
        <v>_</v>
      </c>
      <c r="AK754" s="300" t="str">
        <f>_xlfn.IFNA(VLOOKUP($AI754,Programma!$F$3:$H$1107,3,0),"")</f>
        <v>_</v>
      </c>
      <c r="AL754" s="300" t="str">
        <f>_xlfn.IFNA(VLOOKUP($AI754,Programma!$F$3:$I$1107,4,0),"")</f>
        <v>_</v>
      </c>
      <c r="AM754" s="300" t="str">
        <f>_xlfn.IFNA(VLOOKUP($AI754,Programma!$F$3:$J$1107,5,0),"")</f>
        <v>5w</v>
      </c>
      <c r="AN754" s="300" t="str">
        <f>_xlfn.IFNA(VLOOKUP($AI754,Programma!$F$3:$K$1107,6,0),"")</f>
        <v>_</v>
      </c>
      <c r="AO754" s="300" t="str">
        <f>_xlfn.IFNA(VLOOKUP($AI754,Programma!$F$3:$L$1107,7,0),"")</f>
        <v>_</v>
      </c>
      <c r="AP754" s="300" t="str">
        <f>_xlfn.IFNA(VLOOKUP($AI754,Programma!$F$3:$M$1107,8,0),"")</f>
        <v>_</v>
      </c>
      <c r="AQ754" s="300" t="str">
        <f>_xlfn.IFNA(VLOOKUP($AI754,Programma!$F$3:$N$1107,9,0),"")</f>
        <v>_</v>
      </c>
      <c r="AR754" s="300" t="str">
        <f>_xlfn.IFNA(VLOOKUP($AI754,Programma!$F$3:$O$1107,10,0),"")</f>
        <v>5w</v>
      </c>
      <c r="AS754" s="300" t="str">
        <f>_xlfn.IFNA(VLOOKUP($AI754,Programma!$F$3:$P$1107,11,0),"")</f>
        <v>5w</v>
      </c>
      <c r="AT754" s="300" t="str">
        <f>_xlfn.IFNA(VLOOKUP($AI754,Programma!$F$3:$Q$1107,12,0),"")</f>
        <v>1w</v>
      </c>
      <c r="AU754" s="300" t="str">
        <f>_xlfn.IFNA(VLOOKUP($AI754,Programma!$F$3:$R$1107,13,0),"")</f>
        <v>1w</v>
      </c>
      <c r="AV754" s="300" t="str">
        <f>_xlfn.IFNA(VLOOKUP($AI754,Programma!$F$3:$S$1107,14,0),"")</f>
        <v>1m</v>
      </c>
      <c r="AW754" s="300" t="str">
        <f>_xlfn.IFNA(VLOOKUP($AI754,Programma!$F$3:$T$1107,15,0),"")</f>
        <v>2j</v>
      </c>
      <c r="AX754" s="300" t="str">
        <f>_xlfn.IFNA(VLOOKUP($AI754,Programma!$F$3:$U$1107,16,0),"")</f>
        <v>1j</v>
      </c>
      <c r="AY754" s="300" t="str">
        <f>_xlfn.IFNA(VLOOKUP($AI754,Programma!$F$3:$V$1107,17,0),"")</f>
        <v>_</v>
      </c>
      <c r="AZ754" s="300" t="str">
        <f>_xlfn.IFNA(VLOOKUP($AI754,Programma!$F$3:$W$1107,18,0),"")</f>
        <v>_</v>
      </c>
      <c r="BA754" s="300" t="str">
        <f>_xlfn.IFNA(VLOOKUP($AI754,Programma!$F$3:$X$1107,19,0),"")</f>
        <v>_</v>
      </c>
      <c r="BB754" s="300" t="str">
        <f>_xlfn.IFNA(VLOOKUP($AI754,Programma!$F$3:$Y$1107,20,0),"")</f>
        <v>_</v>
      </c>
      <c r="BC754" s="257"/>
      <c r="BD754" s="256" t="str">
        <f>IF(Ruimtestaat[[#This Row],[Frequentie weekend]]="","",_xlfn.CONCAT(Ruimtestaat[[#This Row],[Ruimte code]],"-",Ruimtestaat[[#This Row],[Frequentie weekend]]," ",Ruimtestaat[[#This Row],[Vloer code]]))</f>
        <v/>
      </c>
      <c r="BE754" s="300" t="str">
        <f>_xlfn.IFNA(VLOOKUP($BD754,Programma!$F$3:$G$1107,2,0),"")</f>
        <v/>
      </c>
      <c r="BF754" s="300" t="str">
        <f>_xlfn.IFNA(VLOOKUP($BD754,Programma!$F$3:$H$1107,3,0),"")</f>
        <v/>
      </c>
      <c r="BG754" s="300" t="str">
        <f>_xlfn.IFNA(VLOOKUP($BD754,Programma!$F$3:$I$1107,4,0),"")</f>
        <v/>
      </c>
      <c r="BH754" s="300" t="str">
        <f>_xlfn.IFNA(VLOOKUP($BD754,Programma!$F$3:$J$1107,5,0),"")</f>
        <v/>
      </c>
      <c r="BI754" s="300" t="str">
        <f>_xlfn.IFNA(VLOOKUP($BD754,Programma!$F$3:$K$1107,6,0),"")</f>
        <v/>
      </c>
      <c r="BJ754" s="300" t="str">
        <f>_xlfn.IFNA(VLOOKUP($BD754,Programma!$F$3:$L$1107,7,0),"")</f>
        <v/>
      </c>
      <c r="BK754" s="300" t="str">
        <f>_xlfn.IFNA(VLOOKUP($BD754,Programma!$F$3:$M$1107,8,0),"")</f>
        <v/>
      </c>
      <c r="BL754" s="300" t="str">
        <f>_xlfn.IFNA(VLOOKUP($BD754,Programma!$F$3:$N$1107,9,0),"")</f>
        <v/>
      </c>
      <c r="BM754" s="300" t="str">
        <f>_xlfn.IFNA(VLOOKUP($BD754,Programma!$F$3:$O$1107,10,0),"")</f>
        <v/>
      </c>
      <c r="BN754" s="300" t="str">
        <f>_xlfn.IFNA(VLOOKUP($BD754,Programma!$F$3:$P$1107,11,0),"")</f>
        <v/>
      </c>
      <c r="BO754" s="300" t="str">
        <f>_xlfn.IFNA(VLOOKUP($BD754,Programma!$F$3:$Q$1107,12,0),"")</f>
        <v/>
      </c>
      <c r="BP754" s="300" t="str">
        <f>_xlfn.IFNA(VLOOKUP($BD754,Programma!$F$3:$R$1107,13,0),"")</f>
        <v/>
      </c>
      <c r="BQ754" s="300" t="str">
        <f>_xlfn.IFNA(VLOOKUP($BD754,Programma!$F$3:$S$1107,14,0),"")</f>
        <v/>
      </c>
      <c r="BR754" s="300" t="str">
        <f>_xlfn.IFNA(VLOOKUP($BD754,Programma!$F$3:$T$1107,15,0),"")</f>
        <v/>
      </c>
      <c r="BS754" s="300" t="str">
        <f>_xlfn.IFNA(VLOOKUP($BD754,Programma!$F$3:$U$1107,16,0),"")</f>
        <v/>
      </c>
      <c r="BT754" s="300" t="str">
        <f>_xlfn.IFNA(VLOOKUP($BD754,Programma!$F$3:$V$1107,17,0),"")</f>
        <v/>
      </c>
      <c r="BU754" s="300" t="str">
        <f>_xlfn.IFNA(VLOOKUP($BD754,Programma!$F$3:$W$1107,18,0),"")</f>
        <v/>
      </c>
      <c r="BV754" s="300" t="str">
        <f>_xlfn.IFNA(VLOOKUP($BD754,Programma!$F$3:$X$1107,19,0),"")</f>
        <v/>
      </c>
      <c r="BW754" s="300" t="str">
        <f>_xlfn.IFNA(VLOOKUP($BD754,Programma!$F$3:$Y$1107,20,0),"")</f>
        <v/>
      </c>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c r="GK754" s="4"/>
      <c r="GL754" s="4"/>
      <c r="GM754" s="4"/>
      <c r="GN754" s="4"/>
      <c r="GO754" s="4"/>
      <c r="GP754" s="4"/>
      <c r="GQ754" s="4"/>
      <c r="GR754" s="4"/>
      <c r="GS754" s="4"/>
      <c r="GT754" s="4"/>
      <c r="GU754" s="4"/>
      <c r="GV754" s="4"/>
      <c r="GW754" s="4"/>
      <c r="GX754" s="4"/>
      <c r="GY754" s="4"/>
      <c r="GZ754" s="4"/>
      <c r="HA754" s="4"/>
      <c r="HB754" s="4"/>
      <c r="HC754" s="4"/>
      <c r="HD754" s="4"/>
      <c r="HE754" s="4"/>
      <c r="HF754" s="4"/>
      <c r="HG754" s="4"/>
      <c r="HH754" s="4"/>
      <c r="HI754" s="4"/>
      <c r="HJ754" s="4"/>
      <c r="HK754" s="4"/>
      <c r="HL754" s="4"/>
    </row>
    <row r="755" spans="1:220" ht="15" customHeight="1">
      <c r="A755" s="21">
        <v>8</v>
      </c>
      <c r="B755" s="157" t="str">
        <f>VLOOKUP(Ruimtestaat[[#This Row],[Code]],Locaties[[Code]:[Locatie]],2,FALSE)</f>
        <v>Dalton College</v>
      </c>
      <c r="C755" s="157" t="str">
        <f>VLOOKUP(Ruimtestaat[[#This Row],[Code]],Locaties[[#All],[Code]:[Adres]],4,FALSE)</f>
        <v>Loolaan 125</v>
      </c>
      <c r="D755" s="157" t="str">
        <f>VLOOKUP(Ruimtestaat[[#This Row],[Code]],Locaties[[#All],[Code]:[Postcode]],5,FALSE)</f>
        <v xml:space="preserve">2271 TM </v>
      </c>
      <c r="E755" s="157" t="str">
        <f>VLOOKUP(Ruimtestaat[[#This Row],[Code]],Locaties[#All],6,FALSE)</f>
        <v>Voorburg</v>
      </c>
      <c r="F755" s="62"/>
      <c r="G755" s="21" t="s">
        <v>1624</v>
      </c>
      <c r="H755" s="21" t="s">
        <v>1674</v>
      </c>
      <c r="I755" s="62" t="s">
        <v>2242</v>
      </c>
      <c r="J755" s="21">
        <v>6</v>
      </c>
      <c r="K755" s="62" t="str">
        <f>VLOOKUP(Ruimtestaat[[#This Row],[Ruimte code]],Ruimtegroepen[[#All],[Code]:[Ruimte omschrijving]],2,FALSE)</f>
        <v>Gangen/hallen</v>
      </c>
      <c r="L755" s="33" t="s">
        <v>102</v>
      </c>
      <c r="M755" s="367" t="s">
        <v>2509</v>
      </c>
      <c r="N755" s="140">
        <v>64</v>
      </c>
      <c r="O755" s="140"/>
      <c r="P755" s="125" t="str">
        <f>VLOOKUP(Ruimtestaat[[#This Row],[Ruimte code]],Ruimtegroepen[],4,FALSE)</f>
        <v>Ve</v>
      </c>
      <c r="R755" s="33">
        <v>40</v>
      </c>
      <c r="S755" s="33" t="s">
        <v>2</v>
      </c>
      <c r="T755" s="33">
        <f>IF(R755&gt;0,IF(RIGHT(Ruimtestaat[[#This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55" s="33">
        <f>IF(T755&gt;0,VLOOKUP($J755,Ruimtegroepen[],3,FALSE)*VLOOKUP($L755,Vloersoorten[],3,FALSE)*VLOOKUP($S755,Frequenties[],3,FALSE)*VLOOKUP($A755,Locaties[],3,FALSE),0)</f>
        <v>0</v>
      </c>
      <c r="V755" s="33">
        <f>Ruimtestaat[[#This Row],[Uitvoeringen werkdagen]]*Ruimtestaat[[#This Row],[Oppervlak (netto)]]</f>
        <v>12800</v>
      </c>
      <c r="W755" s="154">
        <f>IF(U755&gt;0,Ruimtestaat[[#This Row],[Prest. (m2 /jaar) werkdagen]]/Ruimtestaat[[#This Row],[Norm (m2/uur) werkdagen]],0)</f>
        <v>0</v>
      </c>
      <c r="X755" s="155">
        <f>Ruimtestaat[[#This Row],[uren / jaar werkdagen]]*Tariefsopbouw!$E$35</f>
        <v>0</v>
      </c>
      <c r="Y755" s="33"/>
      <c r="Z755" s="33">
        <f>IF(Ruimtestaat[[#This Row],[Frequentie weekend]]&gt;0,VALUE(LEFT(Y755,1))*R755,0)</f>
        <v>0</v>
      </c>
      <c r="AA755" s="97">
        <f>IF($Z755&gt;0,VLOOKUP($J755,Ruimtegroepen[],3,FALSE)*VLOOKUP($L755,Vloersoorten[],3,FALSE)*VLOOKUP($Y755,Frequenties[],3,FALSE)*VLOOKUP(Ruimtestaat[[#This Row],[Code]],Locaties[],3,FALSE),0)</f>
        <v>0</v>
      </c>
      <c r="AB755" s="97">
        <f>Ruimtestaat[[#This Row],[Uitvoeringen weekend]]*Ruimtestaat[[#This Row],[Oppervlak (netto)]]</f>
        <v>0</v>
      </c>
      <c r="AC755" s="97">
        <f>IF(AA755&gt;0,Ruimtestaat[[#This Row],[Prest. (m2 /jaar) weekend]]/Ruimtestaat[[#This Row],[Norm (m2/uur) weekend]],0)</f>
        <v>0</v>
      </c>
      <c r="AD755" s="155">
        <f>Ruimtestaat[[#This Row],[uren / jaar weekend]]*Tariefsopbouw!$D$40</f>
        <v>0</v>
      </c>
      <c r="AE755" s="154">
        <f>Ruimtestaat[[#This Row],[Prest. (m2 /jaar) weekend]]+Ruimtestaat[[#This Row],[Prest. (m2 /jaar) werkdagen]]</f>
        <v>12800</v>
      </c>
      <c r="AF755" s="154">
        <f>Ruimtestaat[[#This Row],[uren / jaar weekend]]+Ruimtestaat[[#This Row],[uren / jaar werkdagen]]</f>
        <v>0</v>
      </c>
      <c r="AG755" s="69">
        <f>Ruimtestaat[[#This Row],[kosten / jaar weekend]]+Ruimtestaat[[#This Row],[kosten / jaar werkdagen]]</f>
        <v>0</v>
      </c>
      <c r="AH755" s="69"/>
      <c r="AI755" s="256" t="str">
        <f>IF(Ruimtestaat[[#This Row],[Frequentie werkdagen]]="","",_xlfn.CONCAT(Ruimtestaat[[#This Row],[Ruimte code]],"-",Ruimtestaat[[#This Row],[Frequentie werkdagen]]," ",Ruimtestaat[[#This Row],[Vloer code]]))</f>
        <v>6-5w S</v>
      </c>
      <c r="AJ755" s="300" t="str">
        <f>_xlfn.IFNA(VLOOKUP($AI755,Programma!$F$3:$G$1107,2,0),"")</f>
        <v>_</v>
      </c>
      <c r="AK755" s="300" t="str">
        <f>_xlfn.IFNA(VLOOKUP($AI755,Programma!$F$3:$H$1107,3,0),"")</f>
        <v>_</v>
      </c>
      <c r="AL755" s="300" t="str">
        <f>_xlfn.IFNA(VLOOKUP($AI755,Programma!$F$3:$I$1107,4,0),"")</f>
        <v>5w</v>
      </c>
      <c r="AM755" s="300" t="str">
        <f>_xlfn.IFNA(VLOOKUP($AI755,Programma!$F$3:$J$1107,5,0),"")</f>
        <v>_</v>
      </c>
      <c r="AN755" s="300" t="str">
        <f>_xlfn.IFNA(VLOOKUP($AI755,Programma!$F$3:$K$1107,6,0),"")</f>
        <v>5w</v>
      </c>
      <c r="AO755" s="300" t="str">
        <f>_xlfn.IFNA(VLOOKUP($AI755,Programma!$F$3:$L$1107,7,0),"")</f>
        <v>_</v>
      </c>
      <c r="AP755" s="300" t="str">
        <f>_xlfn.IFNA(VLOOKUP($AI755,Programma!$F$3:$M$1107,8,0),"")</f>
        <v>_</v>
      </c>
      <c r="AQ755" s="300" t="str">
        <f>_xlfn.IFNA(VLOOKUP($AI755,Programma!$F$3:$N$1107,9,0),"")</f>
        <v>_</v>
      </c>
      <c r="AR755" s="300" t="str">
        <f>_xlfn.IFNA(VLOOKUP($AI755,Programma!$F$3:$O$1107,10,0),"")</f>
        <v>5w</v>
      </c>
      <c r="AS755" s="300" t="str">
        <f>_xlfn.IFNA(VLOOKUP($AI755,Programma!$F$3:$P$1107,11,0),"")</f>
        <v>5w</v>
      </c>
      <c r="AT755" s="300" t="str">
        <f>_xlfn.IFNA(VLOOKUP($AI755,Programma!$F$3:$Q$1107,12,0),"")</f>
        <v>1w</v>
      </c>
      <c r="AU755" s="300" t="str">
        <f>_xlfn.IFNA(VLOOKUP($AI755,Programma!$F$3:$R$1107,13,0),"")</f>
        <v>1w</v>
      </c>
      <c r="AV755" s="300" t="str">
        <f>_xlfn.IFNA(VLOOKUP($AI755,Programma!$F$3:$S$1107,14,0),"")</f>
        <v>1m</v>
      </c>
      <c r="AW755" s="300" t="str">
        <f>_xlfn.IFNA(VLOOKUP($AI755,Programma!$F$3:$T$1107,15,0),"")</f>
        <v>2j</v>
      </c>
      <c r="AX755" s="300" t="str">
        <f>_xlfn.IFNA(VLOOKUP($AI755,Programma!$F$3:$U$1107,16,0),"")</f>
        <v>1j</v>
      </c>
      <c r="AY755" s="300" t="str">
        <f>_xlfn.IFNA(VLOOKUP($AI755,Programma!$F$3:$V$1107,17,0),"")</f>
        <v>_</v>
      </c>
      <c r="AZ755" s="300" t="str">
        <f>_xlfn.IFNA(VLOOKUP($AI755,Programma!$F$3:$W$1107,18,0),"")</f>
        <v>_</v>
      </c>
      <c r="BA755" s="300" t="str">
        <f>_xlfn.IFNA(VLOOKUP($AI755,Programma!$F$3:$X$1107,19,0),"")</f>
        <v>_</v>
      </c>
      <c r="BB755" s="300" t="str">
        <f>_xlfn.IFNA(VLOOKUP($AI755,Programma!$F$3:$Y$1107,20,0),"")</f>
        <v>_</v>
      </c>
      <c r="BC755" s="257"/>
      <c r="BD755" s="256" t="str">
        <f>IF(Ruimtestaat[[#This Row],[Frequentie weekend]]="","",_xlfn.CONCAT(Ruimtestaat[[#This Row],[Ruimte code]],"-",Ruimtestaat[[#This Row],[Frequentie weekend]]," ",Ruimtestaat[[#This Row],[Vloer code]]))</f>
        <v/>
      </c>
      <c r="BE755" s="300" t="str">
        <f>_xlfn.IFNA(VLOOKUP($BD755,Programma!$F$3:$G$1107,2,0),"")</f>
        <v/>
      </c>
      <c r="BF755" s="300" t="str">
        <f>_xlfn.IFNA(VLOOKUP($BD755,Programma!$F$3:$H$1107,3,0),"")</f>
        <v/>
      </c>
      <c r="BG755" s="300" t="str">
        <f>_xlfn.IFNA(VLOOKUP($BD755,Programma!$F$3:$I$1107,4,0),"")</f>
        <v/>
      </c>
      <c r="BH755" s="300" t="str">
        <f>_xlfn.IFNA(VLOOKUP($BD755,Programma!$F$3:$J$1107,5,0),"")</f>
        <v/>
      </c>
      <c r="BI755" s="300" t="str">
        <f>_xlfn.IFNA(VLOOKUP($BD755,Programma!$F$3:$K$1107,6,0),"")</f>
        <v/>
      </c>
      <c r="BJ755" s="300" t="str">
        <f>_xlfn.IFNA(VLOOKUP($BD755,Programma!$F$3:$L$1107,7,0),"")</f>
        <v/>
      </c>
      <c r="BK755" s="300" t="str">
        <f>_xlfn.IFNA(VLOOKUP($BD755,Programma!$F$3:$M$1107,8,0),"")</f>
        <v/>
      </c>
      <c r="BL755" s="300" t="str">
        <f>_xlfn.IFNA(VLOOKUP($BD755,Programma!$F$3:$N$1107,9,0),"")</f>
        <v/>
      </c>
      <c r="BM755" s="300" t="str">
        <f>_xlfn.IFNA(VLOOKUP($BD755,Programma!$F$3:$O$1107,10,0),"")</f>
        <v/>
      </c>
      <c r="BN755" s="300" t="str">
        <f>_xlfn.IFNA(VLOOKUP($BD755,Programma!$F$3:$P$1107,11,0),"")</f>
        <v/>
      </c>
      <c r="BO755" s="300" t="str">
        <f>_xlfn.IFNA(VLOOKUP($BD755,Programma!$F$3:$Q$1107,12,0),"")</f>
        <v/>
      </c>
      <c r="BP755" s="300" t="str">
        <f>_xlfn.IFNA(VLOOKUP($BD755,Programma!$F$3:$R$1107,13,0),"")</f>
        <v/>
      </c>
      <c r="BQ755" s="300" t="str">
        <f>_xlfn.IFNA(VLOOKUP($BD755,Programma!$F$3:$S$1107,14,0),"")</f>
        <v/>
      </c>
      <c r="BR755" s="300" t="str">
        <f>_xlfn.IFNA(VLOOKUP($BD755,Programma!$F$3:$T$1107,15,0),"")</f>
        <v/>
      </c>
      <c r="BS755" s="300" t="str">
        <f>_xlfn.IFNA(VLOOKUP($BD755,Programma!$F$3:$U$1107,16,0),"")</f>
        <v/>
      </c>
      <c r="BT755" s="300" t="str">
        <f>_xlfn.IFNA(VLOOKUP($BD755,Programma!$F$3:$V$1107,17,0),"")</f>
        <v/>
      </c>
      <c r="BU755" s="300" t="str">
        <f>_xlfn.IFNA(VLOOKUP($BD755,Programma!$F$3:$W$1107,18,0),"")</f>
        <v/>
      </c>
      <c r="BV755" s="300" t="str">
        <f>_xlfn.IFNA(VLOOKUP($BD755,Programma!$F$3:$X$1107,19,0),"")</f>
        <v/>
      </c>
      <c r="BW755" s="300" t="str">
        <f>_xlfn.IFNA(VLOOKUP($BD755,Programma!$F$3:$Y$1107,20,0),"")</f>
        <v/>
      </c>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c r="GK755" s="4"/>
      <c r="GL755" s="4"/>
      <c r="GM755" s="4"/>
      <c r="GN755" s="4"/>
      <c r="GO755" s="4"/>
      <c r="GP755" s="4"/>
      <c r="GQ755" s="4"/>
      <c r="GR755" s="4"/>
      <c r="GS755" s="4"/>
      <c r="GT755" s="4"/>
      <c r="GU755" s="4"/>
      <c r="GV755" s="4"/>
      <c r="GW755" s="4"/>
      <c r="GX755" s="4"/>
      <c r="GY755" s="4"/>
      <c r="GZ755" s="4"/>
      <c r="HA755" s="4"/>
      <c r="HB755" s="4"/>
      <c r="HC755" s="4"/>
      <c r="HD755" s="4"/>
      <c r="HE755" s="4"/>
      <c r="HF755" s="4"/>
      <c r="HG755" s="4"/>
      <c r="HH755" s="4"/>
      <c r="HI755" s="4"/>
      <c r="HJ755" s="4"/>
      <c r="HK755" s="4"/>
      <c r="HL755" s="4"/>
    </row>
    <row r="756" spans="1:220" ht="15" customHeight="1">
      <c r="A756" s="21">
        <v>8</v>
      </c>
      <c r="B756" s="157" t="str">
        <f>VLOOKUP(Ruimtestaat[[#This Row],[Code]],Locaties[[Code]:[Locatie]],2,FALSE)</f>
        <v>Dalton College</v>
      </c>
      <c r="C756" s="157" t="str">
        <f>VLOOKUP(Ruimtestaat[[#This Row],[Code]],Locaties[[#All],[Code]:[Adres]],4,FALSE)</f>
        <v>Loolaan 125</v>
      </c>
      <c r="D756" s="157" t="str">
        <f>VLOOKUP(Ruimtestaat[[#This Row],[Code]],Locaties[[#All],[Code]:[Postcode]],5,FALSE)</f>
        <v xml:space="preserve">2271 TM </v>
      </c>
      <c r="E756" s="157" t="str">
        <f>VLOOKUP(Ruimtestaat[[#This Row],[Code]],Locaties[#All],6,FALSE)</f>
        <v>Voorburg</v>
      </c>
      <c r="F756" s="62"/>
      <c r="G756" s="21" t="s">
        <v>1624</v>
      </c>
      <c r="H756" s="21" t="s">
        <v>1676</v>
      </c>
      <c r="I756" s="62" t="s">
        <v>1631</v>
      </c>
      <c r="J756" s="21">
        <v>2</v>
      </c>
      <c r="K756" s="62" t="str">
        <f>VLOOKUP(Ruimtestaat[[#This Row],[Ruimte code]],Ruimtegroepen[[#All],[Code]:[Ruimte omschrijving]],2,FALSE)</f>
        <v>Kantoren</v>
      </c>
      <c r="L756" s="33" t="s">
        <v>101</v>
      </c>
      <c r="M756" s="367" t="s">
        <v>2495</v>
      </c>
      <c r="N756" s="140">
        <v>28</v>
      </c>
      <c r="O756" s="140"/>
      <c r="P756" s="125" t="str">
        <f>VLOOKUP(Ruimtestaat[[#This Row],[Ruimte code]],Ruimtegroepen[],4,FALSE)</f>
        <v>Bu</v>
      </c>
      <c r="R756" s="33">
        <v>42</v>
      </c>
      <c r="S756" s="33" t="s">
        <v>18</v>
      </c>
      <c r="T756" s="33">
        <f>IF(R756&gt;0,IF(RIGHT(Ruimtestaat[[#This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56" s="33">
        <f>IF(T756&gt;0,VLOOKUP($J756,Ruimtegroepen[],3,FALSE)*VLOOKUP($L756,Vloersoorten[],3,FALSE)*VLOOKUP($S756,Frequenties[],3,FALSE)*VLOOKUP($A756,Locaties[],3,FALSE),0)</f>
        <v>0</v>
      </c>
      <c r="V756" s="33">
        <f>Ruimtestaat[[#This Row],[Uitvoeringen werkdagen]]*Ruimtestaat[[#This Row],[Oppervlak (netto)]]</f>
        <v>3528</v>
      </c>
      <c r="W756" s="154">
        <f>IF(U756&gt;0,Ruimtestaat[[#This Row],[Prest. (m2 /jaar) werkdagen]]/Ruimtestaat[[#This Row],[Norm (m2/uur) werkdagen]],0)</f>
        <v>0</v>
      </c>
      <c r="X756" s="155">
        <f>Ruimtestaat[[#This Row],[uren / jaar werkdagen]]*Tariefsopbouw!$E$35</f>
        <v>0</v>
      </c>
      <c r="Y756" s="33"/>
      <c r="Z756" s="33">
        <f>IF(Ruimtestaat[[#This Row],[Frequentie weekend]]&gt;0,VALUE(LEFT(Y756,1))*R756,0)</f>
        <v>0</v>
      </c>
      <c r="AA756" s="97">
        <f>IF($Z756&gt;0,VLOOKUP($J756,Ruimtegroepen[],3,FALSE)*VLOOKUP($L756,Vloersoorten[],3,FALSE)*VLOOKUP($Y756,Frequenties[],3,FALSE)*VLOOKUP(Ruimtestaat[[#This Row],[Code]],Locaties[],3,FALSE),0)</f>
        <v>0</v>
      </c>
      <c r="AB756" s="97">
        <f>Ruimtestaat[[#This Row],[Uitvoeringen weekend]]*Ruimtestaat[[#This Row],[Oppervlak (netto)]]</f>
        <v>0</v>
      </c>
      <c r="AC756" s="97">
        <f>IF(AA756&gt;0,Ruimtestaat[[#This Row],[Prest. (m2 /jaar) weekend]]/Ruimtestaat[[#This Row],[Norm (m2/uur) weekend]],0)</f>
        <v>0</v>
      </c>
      <c r="AD756" s="155">
        <f>Ruimtestaat[[#This Row],[uren / jaar weekend]]*Tariefsopbouw!$D$40</f>
        <v>0</v>
      </c>
      <c r="AE756" s="154">
        <f>Ruimtestaat[[#This Row],[Prest. (m2 /jaar) weekend]]+Ruimtestaat[[#This Row],[Prest. (m2 /jaar) werkdagen]]</f>
        <v>3528</v>
      </c>
      <c r="AF756" s="154">
        <f>Ruimtestaat[[#This Row],[uren / jaar weekend]]+Ruimtestaat[[#This Row],[uren / jaar werkdagen]]</f>
        <v>0</v>
      </c>
      <c r="AG756" s="69">
        <f>Ruimtestaat[[#This Row],[kosten / jaar weekend]]+Ruimtestaat[[#This Row],[kosten / jaar werkdagen]]</f>
        <v>0</v>
      </c>
      <c r="AH756" s="69"/>
      <c r="AI756" s="256" t="str">
        <f>IF(Ruimtestaat[[#This Row],[Frequentie werkdagen]]="","",_xlfn.CONCAT(Ruimtestaat[[#This Row],[Ruimte code]],"-",Ruimtestaat[[#This Row],[Frequentie werkdagen]]," ",Ruimtestaat[[#This Row],[Vloer code]]))</f>
        <v>2-3w L</v>
      </c>
      <c r="AJ756" s="300" t="str">
        <f>_xlfn.IFNA(VLOOKUP($AI756,Programma!$F$3:$G$1107,2,0),"")</f>
        <v>_</v>
      </c>
      <c r="AK756" s="300" t="str">
        <f>_xlfn.IFNA(VLOOKUP($AI756,Programma!$F$3:$H$1107,3,0),"")</f>
        <v>_</v>
      </c>
      <c r="AL756" s="300" t="str">
        <f>_xlfn.IFNA(VLOOKUP($AI756,Programma!$F$3:$I$1107,4,0),"")</f>
        <v>2w</v>
      </c>
      <c r="AM756" s="300" t="str">
        <f>_xlfn.IFNA(VLOOKUP($AI756,Programma!$F$3:$J$1107,5,0),"")</f>
        <v>1w</v>
      </c>
      <c r="AN756" s="300" t="str">
        <f>_xlfn.IFNA(VLOOKUP($AI756,Programma!$F$3:$K$1107,6,0),"")</f>
        <v>_</v>
      </c>
      <c r="AO756" s="300" t="str">
        <f>_xlfn.IFNA(VLOOKUP($AI756,Programma!$F$3:$L$1107,7,0),"")</f>
        <v>_</v>
      </c>
      <c r="AP756" s="300" t="str">
        <f>_xlfn.IFNA(VLOOKUP($AI756,Programma!$F$3:$M$1107,8,0),"")</f>
        <v>_</v>
      </c>
      <c r="AQ756" s="300" t="str">
        <f>_xlfn.IFNA(VLOOKUP($AI756,Programma!$F$3:$N$1107,9,0),"")</f>
        <v>_</v>
      </c>
      <c r="AR756" s="300" t="str">
        <f>_xlfn.IFNA(VLOOKUP($AI756,Programma!$F$3:$O$1107,10,0),"")</f>
        <v>3w</v>
      </c>
      <c r="AS756" s="300" t="str">
        <f>_xlfn.IFNA(VLOOKUP($AI756,Programma!$F$3:$P$1107,11,0),"")</f>
        <v>3w</v>
      </c>
      <c r="AT756" s="300" t="str">
        <f>_xlfn.IFNA(VLOOKUP($AI756,Programma!$F$3:$Q$1107,12,0),"")</f>
        <v>1w</v>
      </c>
      <c r="AU756" s="300" t="str">
        <f>_xlfn.IFNA(VLOOKUP($AI756,Programma!$F$3:$R$1107,13,0),"")</f>
        <v>1w</v>
      </c>
      <c r="AV756" s="300" t="str">
        <f>_xlfn.IFNA(VLOOKUP($AI756,Programma!$F$3:$S$1107,14,0),"")</f>
        <v>1m</v>
      </c>
      <c r="AW756" s="300" t="str">
        <f>_xlfn.IFNA(VLOOKUP($AI756,Programma!$F$3:$T$1107,15,0),"")</f>
        <v>2j</v>
      </c>
      <c r="AX756" s="300" t="str">
        <f>_xlfn.IFNA(VLOOKUP($AI756,Programma!$F$3:$U$1107,16,0),"")</f>
        <v>1j</v>
      </c>
      <c r="AY756" s="300" t="str">
        <f>_xlfn.IFNA(VLOOKUP($AI756,Programma!$F$3:$V$1107,17,0),"")</f>
        <v>_</v>
      </c>
      <c r="AZ756" s="300" t="str">
        <f>_xlfn.IFNA(VLOOKUP($AI756,Programma!$F$3:$W$1107,18,0),"")</f>
        <v>_</v>
      </c>
      <c r="BA756" s="300" t="str">
        <f>_xlfn.IFNA(VLOOKUP($AI756,Programma!$F$3:$X$1107,19,0),"")</f>
        <v>_</v>
      </c>
      <c r="BB756" s="300" t="str">
        <f>_xlfn.IFNA(VLOOKUP($AI756,Programma!$F$3:$Y$1107,20,0),"")</f>
        <v>_</v>
      </c>
      <c r="BC756" s="257"/>
      <c r="BD756" s="256" t="str">
        <f>IF(Ruimtestaat[[#This Row],[Frequentie weekend]]="","",_xlfn.CONCAT(Ruimtestaat[[#This Row],[Ruimte code]],"-",Ruimtestaat[[#This Row],[Frequentie weekend]]," ",Ruimtestaat[[#This Row],[Vloer code]]))</f>
        <v/>
      </c>
      <c r="BE756" s="300" t="str">
        <f>_xlfn.IFNA(VLOOKUP($BD756,Programma!$F$3:$G$1107,2,0),"")</f>
        <v/>
      </c>
      <c r="BF756" s="300" t="str">
        <f>_xlfn.IFNA(VLOOKUP($BD756,Programma!$F$3:$H$1107,3,0),"")</f>
        <v/>
      </c>
      <c r="BG756" s="300" t="str">
        <f>_xlfn.IFNA(VLOOKUP($BD756,Programma!$F$3:$I$1107,4,0),"")</f>
        <v/>
      </c>
      <c r="BH756" s="300" t="str">
        <f>_xlfn.IFNA(VLOOKUP($BD756,Programma!$F$3:$J$1107,5,0),"")</f>
        <v/>
      </c>
      <c r="BI756" s="300" t="str">
        <f>_xlfn.IFNA(VLOOKUP($BD756,Programma!$F$3:$K$1107,6,0),"")</f>
        <v/>
      </c>
      <c r="BJ756" s="300" t="str">
        <f>_xlfn.IFNA(VLOOKUP($BD756,Programma!$F$3:$L$1107,7,0),"")</f>
        <v/>
      </c>
      <c r="BK756" s="300" t="str">
        <f>_xlfn.IFNA(VLOOKUP($BD756,Programma!$F$3:$M$1107,8,0),"")</f>
        <v/>
      </c>
      <c r="BL756" s="300" t="str">
        <f>_xlfn.IFNA(VLOOKUP($BD756,Programma!$F$3:$N$1107,9,0),"")</f>
        <v/>
      </c>
      <c r="BM756" s="300" t="str">
        <f>_xlfn.IFNA(VLOOKUP($BD756,Programma!$F$3:$O$1107,10,0),"")</f>
        <v/>
      </c>
      <c r="BN756" s="300" t="str">
        <f>_xlfn.IFNA(VLOOKUP($BD756,Programma!$F$3:$P$1107,11,0),"")</f>
        <v/>
      </c>
      <c r="BO756" s="300" t="str">
        <f>_xlfn.IFNA(VLOOKUP($BD756,Programma!$F$3:$Q$1107,12,0),"")</f>
        <v/>
      </c>
      <c r="BP756" s="300" t="str">
        <f>_xlfn.IFNA(VLOOKUP($BD756,Programma!$F$3:$R$1107,13,0),"")</f>
        <v/>
      </c>
      <c r="BQ756" s="300" t="str">
        <f>_xlfn.IFNA(VLOOKUP($BD756,Programma!$F$3:$S$1107,14,0),"")</f>
        <v/>
      </c>
      <c r="BR756" s="300" t="str">
        <f>_xlfn.IFNA(VLOOKUP($BD756,Programma!$F$3:$T$1107,15,0),"")</f>
        <v/>
      </c>
      <c r="BS756" s="300" t="str">
        <f>_xlfn.IFNA(VLOOKUP($BD756,Programma!$F$3:$U$1107,16,0),"")</f>
        <v/>
      </c>
      <c r="BT756" s="300" t="str">
        <f>_xlfn.IFNA(VLOOKUP($BD756,Programma!$F$3:$V$1107,17,0),"")</f>
        <v/>
      </c>
      <c r="BU756" s="300" t="str">
        <f>_xlfn.IFNA(VLOOKUP($BD756,Programma!$F$3:$W$1107,18,0),"")</f>
        <v/>
      </c>
      <c r="BV756" s="300" t="str">
        <f>_xlfn.IFNA(VLOOKUP($BD756,Programma!$F$3:$X$1107,19,0),"")</f>
        <v/>
      </c>
      <c r="BW756" s="300" t="str">
        <f>_xlfn.IFNA(VLOOKUP($BD756,Programma!$F$3:$Y$1107,20,0),"")</f>
        <v/>
      </c>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c r="GK756" s="4"/>
      <c r="GL756" s="4"/>
      <c r="GM756" s="4"/>
      <c r="GN756" s="4"/>
      <c r="GO756" s="4"/>
      <c r="GP756" s="4"/>
      <c r="GQ756" s="4"/>
      <c r="GR756" s="4"/>
      <c r="GS756" s="4"/>
      <c r="GT756" s="4"/>
      <c r="GU756" s="4"/>
      <c r="GV756" s="4"/>
      <c r="GW756" s="4"/>
      <c r="GX756" s="4"/>
      <c r="GY756" s="4"/>
      <c r="GZ756" s="4"/>
      <c r="HA756" s="4"/>
      <c r="HB756" s="4"/>
      <c r="HC756" s="4"/>
      <c r="HD756" s="4"/>
      <c r="HE756" s="4"/>
      <c r="HF756" s="4"/>
      <c r="HG756" s="4"/>
      <c r="HH756" s="4"/>
      <c r="HI756" s="4"/>
      <c r="HJ756" s="4"/>
      <c r="HK756" s="4"/>
      <c r="HL756" s="4"/>
    </row>
    <row r="757" spans="1:220" ht="15" customHeight="1">
      <c r="A757" s="21">
        <v>8</v>
      </c>
      <c r="B757" s="157" t="str">
        <f>VLOOKUP(Ruimtestaat[[#This Row],[Code]],Locaties[[Code]:[Locatie]],2,FALSE)</f>
        <v>Dalton College</v>
      </c>
      <c r="C757" s="157" t="str">
        <f>VLOOKUP(Ruimtestaat[[#This Row],[Code]],Locaties[[#All],[Code]:[Adres]],4,FALSE)</f>
        <v>Loolaan 125</v>
      </c>
      <c r="D757" s="157" t="str">
        <f>VLOOKUP(Ruimtestaat[[#This Row],[Code]],Locaties[[#All],[Code]:[Postcode]],5,FALSE)</f>
        <v xml:space="preserve">2271 TM </v>
      </c>
      <c r="E757" s="157" t="str">
        <f>VLOOKUP(Ruimtestaat[[#This Row],[Code]],Locaties[#All],6,FALSE)</f>
        <v>Voorburg</v>
      </c>
      <c r="F757" s="62"/>
      <c r="G757" s="21" t="s">
        <v>1624</v>
      </c>
      <c r="H757" s="21" t="s">
        <v>1678</v>
      </c>
      <c r="I757" s="62" t="s">
        <v>1631</v>
      </c>
      <c r="J757" s="21">
        <v>2</v>
      </c>
      <c r="K757" s="62" t="str">
        <f>VLOOKUP(Ruimtestaat[[#This Row],[Ruimte code]],Ruimtegroepen[[#All],[Code]:[Ruimte omschrijving]],2,FALSE)</f>
        <v>Kantoren</v>
      </c>
      <c r="L757" s="33" t="s">
        <v>101</v>
      </c>
      <c r="M757" s="367" t="s">
        <v>2495</v>
      </c>
      <c r="N757" s="140">
        <v>9</v>
      </c>
      <c r="O757" s="140"/>
      <c r="P757" s="125" t="str">
        <f>VLOOKUP(Ruimtestaat[[#This Row],[Ruimte code]],Ruimtegroepen[],4,FALSE)</f>
        <v>Bu</v>
      </c>
      <c r="R757" s="33">
        <v>42</v>
      </c>
      <c r="S757" s="33" t="s">
        <v>18</v>
      </c>
      <c r="T757" s="33">
        <f>IF(R757&gt;0,IF(RIGHT(Ruimtestaat[[#This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57" s="33">
        <f>IF(T757&gt;0,VLOOKUP($J757,Ruimtegroepen[],3,FALSE)*VLOOKUP($L757,Vloersoorten[],3,FALSE)*VLOOKUP($S757,Frequenties[],3,FALSE)*VLOOKUP($A757,Locaties[],3,FALSE),0)</f>
        <v>0</v>
      </c>
      <c r="V757" s="33">
        <f>Ruimtestaat[[#This Row],[Uitvoeringen werkdagen]]*Ruimtestaat[[#This Row],[Oppervlak (netto)]]</f>
        <v>1134</v>
      </c>
      <c r="W757" s="154">
        <f>IF(U757&gt;0,Ruimtestaat[[#This Row],[Prest. (m2 /jaar) werkdagen]]/Ruimtestaat[[#This Row],[Norm (m2/uur) werkdagen]],0)</f>
        <v>0</v>
      </c>
      <c r="X757" s="155">
        <f>Ruimtestaat[[#This Row],[uren / jaar werkdagen]]*Tariefsopbouw!$E$35</f>
        <v>0</v>
      </c>
      <c r="Y757" s="33"/>
      <c r="Z757" s="33">
        <f>IF(Ruimtestaat[[#This Row],[Frequentie weekend]]&gt;0,VALUE(LEFT(Y757,1))*R757,0)</f>
        <v>0</v>
      </c>
      <c r="AA757" s="97">
        <f>IF($Z757&gt;0,VLOOKUP($J757,Ruimtegroepen[],3,FALSE)*VLOOKUP($L757,Vloersoorten[],3,FALSE)*VLOOKUP($Y757,Frequenties[],3,FALSE)*VLOOKUP(Ruimtestaat[[#This Row],[Code]],Locaties[],3,FALSE),0)</f>
        <v>0</v>
      </c>
      <c r="AB757" s="97">
        <f>Ruimtestaat[[#This Row],[Uitvoeringen weekend]]*Ruimtestaat[[#This Row],[Oppervlak (netto)]]</f>
        <v>0</v>
      </c>
      <c r="AC757" s="97">
        <f>IF(AA757&gt;0,Ruimtestaat[[#This Row],[Prest. (m2 /jaar) weekend]]/Ruimtestaat[[#This Row],[Norm (m2/uur) weekend]],0)</f>
        <v>0</v>
      </c>
      <c r="AD757" s="155">
        <f>Ruimtestaat[[#This Row],[uren / jaar weekend]]*Tariefsopbouw!$D$40</f>
        <v>0</v>
      </c>
      <c r="AE757" s="154">
        <f>Ruimtestaat[[#This Row],[Prest. (m2 /jaar) weekend]]+Ruimtestaat[[#This Row],[Prest. (m2 /jaar) werkdagen]]</f>
        <v>1134</v>
      </c>
      <c r="AF757" s="154">
        <f>Ruimtestaat[[#This Row],[uren / jaar weekend]]+Ruimtestaat[[#This Row],[uren / jaar werkdagen]]</f>
        <v>0</v>
      </c>
      <c r="AG757" s="69">
        <f>Ruimtestaat[[#This Row],[kosten / jaar weekend]]+Ruimtestaat[[#This Row],[kosten / jaar werkdagen]]</f>
        <v>0</v>
      </c>
      <c r="AH757" s="69"/>
      <c r="AI757" s="256" t="str">
        <f>IF(Ruimtestaat[[#This Row],[Frequentie werkdagen]]="","",_xlfn.CONCAT(Ruimtestaat[[#This Row],[Ruimte code]],"-",Ruimtestaat[[#This Row],[Frequentie werkdagen]]," ",Ruimtestaat[[#This Row],[Vloer code]]))</f>
        <v>2-3w L</v>
      </c>
      <c r="AJ757" s="300" t="str">
        <f>_xlfn.IFNA(VLOOKUP($AI757,Programma!$F$3:$G$1107,2,0),"")</f>
        <v>_</v>
      </c>
      <c r="AK757" s="300" t="str">
        <f>_xlfn.IFNA(VLOOKUP($AI757,Programma!$F$3:$H$1107,3,0),"")</f>
        <v>_</v>
      </c>
      <c r="AL757" s="300" t="str">
        <f>_xlfn.IFNA(VLOOKUP($AI757,Programma!$F$3:$I$1107,4,0),"")</f>
        <v>2w</v>
      </c>
      <c r="AM757" s="300" t="str">
        <f>_xlfn.IFNA(VLOOKUP($AI757,Programma!$F$3:$J$1107,5,0),"")</f>
        <v>1w</v>
      </c>
      <c r="AN757" s="300" t="str">
        <f>_xlfn.IFNA(VLOOKUP($AI757,Programma!$F$3:$K$1107,6,0),"")</f>
        <v>_</v>
      </c>
      <c r="AO757" s="300" t="str">
        <f>_xlfn.IFNA(VLOOKUP($AI757,Programma!$F$3:$L$1107,7,0),"")</f>
        <v>_</v>
      </c>
      <c r="AP757" s="300" t="str">
        <f>_xlfn.IFNA(VLOOKUP($AI757,Programma!$F$3:$M$1107,8,0),"")</f>
        <v>_</v>
      </c>
      <c r="AQ757" s="300" t="str">
        <f>_xlfn.IFNA(VLOOKUP($AI757,Programma!$F$3:$N$1107,9,0),"")</f>
        <v>_</v>
      </c>
      <c r="AR757" s="300" t="str">
        <f>_xlfn.IFNA(VLOOKUP($AI757,Programma!$F$3:$O$1107,10,0),"")</f>
        <v>3w</v>
      </c>
      <c r="AS757" s="300" t="str">
        <f>_xlfn.IFNA(VLOOKUP($AI757,Programma!$F$3:$P$1107,11,0),"")</f>
        <v>3w</v>
      </c>
      <c r="AT757" s="300" t="str">
        <f>_xlfn.IFNA(VLOOKUP($AI757,Programma!$F$3:$Q$1107,12,0),"")</f>
        <v>1w</v>
      </c>
      <c r="AU757" s="300" t="str">
        <f>_xlfn.IFNA(VLOOKUP($AI757,Programma!$F$3:$R$1107,13,0),"")</f>
        <v>1w</v>
      </c>
      <c r="AV757" s="300" t="str">
        <f>_xlfn.IFNA(VLOOKUP($AI757,Programma!$F$3:$S$1107,14,0),"")</f>
        <v>1m</v>
      </c>
      <c r="AW757" s="300" t="str">
        <f>_xlfn.IFNA(VLOOKUP($AI757,Programma!$F$3:$T$1107,15,0),"")</f>
        <v>2j</v>
      </c>
      <c r="AX757" s="300" t="str">
        <f>_xlfn.IFNA(VLOOKUP($AI757,Programma!$F$3:$U$1107,16,0),"")</f>
        <v>1j</v>
      </c>
      <c r="AY757" s="300" t="str">
        <f>_xlfn.IFNA(VLOOKUP($AI757,Programma!$F$3:$V$1107,17,0),"")</f>
        <v>_</v>
      </c>
      <c r="AZ757" s="300" t="str">
        <f>_xlfn.IFNA(VLOOKUP($AI757,Programma!$F$3:$W$1107,18,0),"")</f>
        <v>_</v>
      </c>
      <c r="BA757" s="300" t="str">
        <f>_xlfn.IFNA(VLOOKUP($AI757,Programma!$F$3:$X$1107,19,0),"")</f>
        <v>_</v>
      </c>
      <c r="BB757" s="300" t="str">
        <f>_xlfn.IFNA(VLOOKUP($AI757,Programma!$F$3:$Y$1107,20,0),"")</f>
        <v>_</v>
      </c>
      <c r="BC757" s="257"/>
      <c r="BD757" s="256" t="str">
        <f>IF(Ruimtestaat[[#This Row],[Frequentie weekend]]="","",_xlfn.CONCAT(Ruimtestaat[[#This Row],[Ruimte code]],"-",Ruimtestaat[[#This Row],[Frequentie weekend]]," ",Ruimtestaat[[#This Row],[Vloer code]]))</f>
        <v/>
      </c>
      <c r="BE757" s="300" t="str">
        <f>_xlfn.IFNA(VLOOKUP($BD757,Programma!$F$3:$G$1107,2,0),"")</f>
        <v/>
      </c>
      <c r="BF757" s="300" t="str">
        <f>_xlfn.IFNA(VLOOKUP($BD757,Programma!$F$3:$H$1107,3,0),"")</f>
        <v/>
      </c>
      <c r="BG757" s="300" t="str">
        <f>_xlfn.IFNA(VLOOKUP($BD757,Programma!$F$3:$I$1107,4,0),"")</f>
        <v/>
      </c>
      <c r="BH757" s="300" t="str">
        <f>_xlfn.IFNA(VLOOKUP($BD757,Programma!$F$3:$J$1107,5,0),"")</f>
        <v/>
      </c>
      <c r="BI757" s="300" t="str">
        <f>_xlfn.IFNA(VLOOKUP($BD757,Programma!$F$3:$K$1107,6,0),"")</f>
        <v/>
      </c>
      <c r="BJ757" s="300" t="str">
        <f>_xlfn.IFNA(VLOOKUP($BD757,Programma!$F$3:$L$1107,7,0),"")</f>
        <v/>
      </c>
      <c r="BK757" s="300" t="str">
        <f>_xlfn.IFNA(VLOOKUP($BD757,Programma!$F$3:$M$1107,8,0),"")</f>
        <v/>
      </c>
      <c r="BL757" s="300" t="str">
        <f>_xlfn.IFNA(VLOOKUP($BD757,Programma!$F$3:$N$1107,9,0),"")</f>
        <v/>
      </c>
      <c r="BM757" s="300" t="str">
        <f>_xlfn.IFNA(VLOOKUP($BD757,Programma!$F$3:$O$1107,10,0),"")</f>
        <v/>
      </c>
      <c r="BN757" s="300" t="str">
        <f>_xlfn.IFNA(VLOOKUP($BD757,Programma!$F$3:$P$1107,11,0),"")</f>
        <v/>
      </c>
      <c r="BO757" s="300" t="str">
        <f>_xlfn.IFNA(VLOOKUP($BD757,Programma!$F$3:$Q$1107,12,0),"")</f>
        <v/>
      </c>
      <c r="BP757" s="300" t="str">
        <f>_xlfn.IFNA(VLOOKUP($BD757,Programma!$F$3:$R$1107,13,0),"")</f>
        <v/>
      </c>
      <c r="BQ757" s="300" t="str">
        <f>_xlfn.IFNA(VLOOKUP($BD757,Programma!$F$3:$S$1107,14,0),"")</f>
        <v/>
      </c>
      <c r="BR757" s="300" t="str">
        <f>_xlfn.IFNA(VLOOKUP($BD757,Programma!$F$3:$T$1107,15,0),"")</f>
        <v/>
      </c>
      <c r="BS757" s="300" t="str">
        <f>_xlfn.IFNA(VLOOKUP($BD757,Programma!$F$3:$U$1107,16,0),"")</f>
        <v/>
      </c>
      <c r="BT757" s="300" t="str">
        <f>_xlfn.IFNA(VLOOKUP($BD757,Programma!$F$3:$V$1107,17,0),"")</f>
        <v/>
      </c>
      <c r="BU757" s="300" t="str">
        <f>_xlfn.IFNA(VLOOKUP($BD757,Programma!$F$3:$W$1107,18,0),"")</f>
        <v/>
      </c>
      <c r="BV757" s="300" t="str">
        <f>_xlfn.IFNA(VLOOKUP($BD757,Programma!$F$3:$X$1107,19,0),"")</f>
        <v/>
      </c>
      <c r="BW757" s="300" t="str">
        <f>_xlfn.IFNA(VLOOKUP($BD757,Programma!$F$3:$Y$1107,20,0),"")</f>
        <v/>
      </c>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c r="GK757" s="4"/>
      <c r="GL757" s="4"/>
      <c r="GM757" s="4"/>
      <c r="GN757" s="4"/>
      <c r="GO757" s="4"/>
      <c r="GP757" s="4"/>
      <c r="GQ757" s="4"/>
      <c r="GR757" s="4"/>
      <c r="GS757" s="4"/>
      <c r="GT757" s="4"/>
      <c r="GU757" s="4"/>
      <c r="GV757" s="4"/>
      <c r="GW757" s="4"/>
      <c r="GX757" s="4"/>
      <c r="GY757" s="4"/>
      <c r="GZ757" s="4"/>
      <c r="HA757" s="4"/>
      <c r="HB757" s="4"/>
      <c r="HC757" s="4"/>
      <c r="HD757" s="4"/>
      <c r="HE757" s="4"/>
      <c r="HF757" s="4"/>
      <c r="HG757" s="4"/>
      <c r="HH757" s="4"/>
      <c r="HI757" s="4"/>
      <c r="HJ757" s="4"/>
      <c r="HK757" s="4"/>
      <c r="HL757" s="4"/>
    </row>
    <row r="758" spans="1:220" ht="15" customHeight="1">
      <c r="A758" s="21">
        <v>8</v>
      </c>
      <c r="B758" s="157" t="str">
        <f>VLOOKUP(Ruimtestaat[[#This Row],[Code]],Locaties[[Code]:[Locatie]],2,FALSE)</f>
        <v>Dalton College</v>
      </c>
      <c r="C758" s="157" t="str">
        <f>VLOOKUP(Ruimtestaat[[#This Row],[Code]],Locaties[[#All],[Code]:[Adres]],4,FALSE)</f>
        <v>Loolaan 125</v>
      </c>
      <c r="D758" s="157" t="str">
        <f>VLOOKUP(Ruimtestaat[[#This Row],[Code]],Locaties[[#All],[Code]:[Postcode]],5,FALSE)</f>
        <v xml:space="preserve">2271 TM </v>
      </c>
      <c r="E758" s="157" t="str">
        <f>VLOOKUP(Ruimtestaat[[#This Row],[Code]],Locaties[#All],6,FALSE)</f>
        <v>Voorburg</v>
      </c>
      <c r="F758" s="62"/>
      <c r="G758" s="21" t="s">
        <v>1624</v>
      </c>
      <c r="H758" s="21" t="s">
        <v>1680</v>
      </c>
      <c r="I758" s="62" t="s">
        <v>1631</v>
      </c>
      <c r="J758" s="21">
        <v>2</v>
      </c>
      <c r="K758" s="62" t="str">
        <f>VLOOKUP(Ruimtestaat[[#This Row],[Ruimte code]],Ruimtegroepen[[#All],[Code]:[Ruimte omschrijving]],2,FALSE)</f>
        <v>Kantoren</v>
      </c>
      <c r="L758" s="33" t="s">
        <v>101</v>
      </c>
      <c r="M758" s="367" t="s">
        <v>2495</v>
      </c>
      <c r="N758" s="140">
        <v>9</v>
      </c>
      <c r="O758" s="140"/>
      <c r="P758" s="125" t="str">
        <f>VLOOKUP(Ruimtestaat[[#This Row],[Ruimte code]],Ruimtegroepen[],4,FALSE)</f>
        <v>Bu</v>
      </c>
      <c r="R758" s="33">
        <v>42</v>
      </c>
      <c r="S758" s="33" t="s">
        <v>18</v>
      </c>
      <c r="T758" s="33">
        <f>IF(R758&gt;0,IF(RIGHT(Ruimtestaat[[#This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58" s="33">
        <f>IF(T758&gt;0,VLOOKUP($J758,Ruimtegroepen[],3,FALSE)*VLOOKUP($L758,Vloersoorten[],3,FALSE)*VLOOKUP($S758,Frequenties[],3,FALSE)*VLOOKUP($A758,Locaties[],3,FALSE),0)</f>
        <v>0</v>
      </c>
      <c r="V758" s="33">
        <f>Ruimtestaat[[#This Row],[Uitvoeringen werkdagen]]*Ruimtestaat[[#This Row],[Oppervlak (netto)]]</f>
        <v>1134</v>
      </c>
      <c r="W758" s="154">
        <f>IF(U758&gt;0,Ruimtestaat[[#This Row],[Prest. (m2 /jaar) werkdagen]]/Ruimtestaat[[#This Row],[Norm (m2/uur) werkdagen]],0)</f>
        <v>0</v>
      </c>
      <c r="X758" s="155">
        <f>Ruimtestaat[[#This Row],[uren / jaar werkdagen]]*Tariefsopbouw!$E$35</f>
        <v>0</v>
      </c>
      <c r="Y758" s="33"/>
      <c r="Z758" s="33">
        <f>IF(Ruimtestaat[[#This Row],[Frequentie weekend]]&gt;0,VALUE(LEFT(Y758,1))*R758,0)</f>
        <v>0</v>
      </c>
      <c r="AA758" s="97">
        <f>IF($Z758&gt;0,VLOOKUP($J758,Ruimtegroepen[],3,FALSE)*VLOOKUP($L758,Vloersoorten[],3,FALSE)*VLOOKUP($Y758,Frequenties[],3,FALSE)*VLOOKUP(Ruimtestaat[[#This Row],[Code]],Locaties[],3,FALSE),0)</f>
        <v>0</v>
      </c>
      <c r="AB758" s="97">
        <f>Ruimtestaat[[#This Row],[Uitvoeringen weekend]]*Ruimtestaat[[#This Row],[Oppervlak (netto)]]</f>
        <v>0</v>
      </c>
      <c r="AC758" s="97">
        <f>IF(AA758&gt;0,Ruimtestaat[[#This Row],[Prest. (m2 /jaar) weekend]]/Ruimtestaat[[#This Row],[Norm (m2/uur) weekend]],0)</f>
        <v>0</v>
      </c>
      <c r="AD758" s="155">
        <f>Ruimtestaat[[#This Row],[uren / jaar weekend]]*Tariefsopbouw!$D$40</f>
        <v>0</v>
      </c>
      <c r="AE758" s="154">
        <f>Ruimtestaat[[#This Row],[Prest. (m2 /jaar) weekend]]+Ruimtestaat[[#This Row],[Prest. (m2 /jaar) werkdagen]]</f>
        <v>1134</v>
      </c>
      <c r="AF758" s="154">
        <f>Ruimtestaat[[#This Row],[uren / jaar weekend]]+Ruimtestaat[[#This Row],[uren / jaar werkdagen]]</f>
        <v>0</v>
      </c>
      <c r="AG758" s="69">
        <f>Ruimtestaat[[#This Row],[kosten / jaar weekend]]+Ruimtestaat[[#This Row],[kosten / jaar werkdagen]]</f>
        <v>0</v>
      </c>
      <c r="AH758" s="69"/>
      <c r="AI758" s="256" t="str">
        <f>IF(Ruimtestaat[[#This Row],[Frequentie werkdagen]]="","",_xlfn.CONCAT(Ruimtestaat[[#This Row],[Ruimte code]],"-",Ruimtestaat[[#This Row],[Frequentie werkdagen]]," ",Ruimtestaat[[#This Row],[Vloer code]]))</f>
        <v>2-3w L</v>
      </c>
      <c r="AJ758" s="300" t="str">
        <f>_xlfn.IFNA(VLOOKUP($AI758,Programma!$F$3:$G$1107,2,0),"")</f>
        <v>_</v>
      </c>
      <c r="AK758" s="300" t="str">
        <f>_xlfn.IFNA(VLOOKUP($AI758,Programma!$F$3:$H$1107,3,0),"")</f>
        <v>_</v>
      </c>
      <c r="AL758" s="300" t="str">
        <f>_xlfn.IFNA(VLOOKUP($AI758,Programma!$F$3:$I$1107,4,0),"")</f>
        <v>2w</v>
      </c>
      <c r="AM758" s="300" t="str">
        <f>_xlfn.IFNA(VLOOKUP($AI758,Programma!$F$3:$J$1107,5,0),"")</f>
        <v>1w</v>
      </c>
      <c r="AN758" s="300" t="str">
        <f>_xlfn.IFNA(VLOOKUP($AI758,Programma!$F$3:$K$1107,6,0),"")</f>
        <v>_</v>
      </c>
      <c r="AO758" s="300" t="str">
        <f>_xlfn.IFNA(VLOOKUP($AI758,Programma!$F$3:$L$1107,7,0),"")</f>
        <v>_</v>
      </c>
      <c r="AP758" s="300" t="str">
        <f>_xlfn.IFNA(VLOOKUP($AI758,Programma!$F$3:$M$1107,8,0),"")</f>
        <v>_</v>
      </c>
      <c r="AQ758" s="300" t="str">
        <f>_xlfn.IFNA(VLOOKUP($AI758,Programma!$F$3:$N$1107,9,0),"")</f>
        <v>_</v>
      </c>
      <c r="AR758" s="300" t="str">
        <f>_xlfn.IFNA(VLOOKUP($AI758,Programma!$F$3:$O$1107,10,0),"")</f>
        <v>3w</v>
      </c>
      <c r="AS758" s="300" t="str">
        <f>_xlfn.IFNA(VLOOKUP($AI758,Programma!$F$3:$P$1107,11,0),"")</f>
        <v>3w</v>
      </c>
      <c r="AT758" s="300" t="str">
        <f>_xlfn.IFNA(VLOOKUP($AI758,Programma!$F$3:$Q$1107,12,0),"")</f>
        <v>1w</v>
      </c>
      <c r="AU758" s="300" t="str">
        <f>_xlfn.IFNA(VLOOKUP($AI758,Programma!$F$3:$R$1107,13,0),"")</f>
        <v>1w</v>
      </c>
      <c r="AV758" s="300" t="str">
        <f>_xlfn.IFNA(VLOOKUP($AI758,Programma!$F$3:$S$1107,14,0),"")</f>
        <v>1m</v>
      </c>
      <c r="AW758" s="300" t="str">
        <f>_xlfn.IFNA(VLOOKUP($AI758,Programma!$F$3:$T$1107,15,0),"")</f>
        <v>2j</v>
      </c>
      <c r="AX758" s="300" t="str">
        <f>_xlfn.IFNA(VLOOKUP($AI758,Programma!$F$3:$U$1107,16,0),"")</f>
        <v>1j</v>
      </c>
      <c r="AY758" s="300" t="str">
        <f>_xlfn.IFNA(VLOOKUP($AI758,Programma!$F$3:$V$1107,17,0),"")</f>
        <v>_</v>
      </c>
      <c r="AZ758" s="300" t="str">
        <f>_xlfn.IFNA(VLOOKUP($AI758,Programma!$F$3:$W$1107,18,0),"")</f>
        <v>_</v>
      </c>
      <c r="BA758" s="300" t="str">
        <f>_xlfn.IFNA(VLOOKUP($AI758,Programma!$F$3:$X$1107,19,0),"")</f>
        <v>_</v>
      </c>
      <c r="BB758" s="300" t="str">
        <f>_xlfn.IFNA(VLOOKUP($AI758,Programma!$F$3:$Y$1107,20,0),"")</f>
        <v>_</v>
      </c>
      <c r="BC758" s="257"/>
      <c r="BD758" s="256" t="str">
        <f>IF(Ruimtestaat[[#This Row],[Frequentie weekend]]="","",_xlfn.CONCAT(Ruimtestaat[[#This Row],[Ruimte code]],"-",Ruimtestaat[[#This Row],[Frequentie weekend]]," ",Ruimtestaat[[#This Row],[Vloer code]]))</f>
        <v/>
      </c>
      <c r="BE758" s="300" t="str">
        <f>_xlfn.IFNA(VLOOKUP($BD758,Programma!$F$3:$G$1107,2,0),"")</f>
        <v/>
      </c>
      <c r="BF758" s="300" t="str">
        <f>_xlfn.IFNA(VLOOKUP($BD758,Programma!$F$3:$H$1107,3,0),"")</f>
        <v/>
      </c>
      <c r="BG758" s="300" t="str">
        <f>_xlfn.IFNA(VLOOKUP($BD758,Programma!$F$3:$I$1107,4,0),"")</f>
        <v/>
      </c>
      <c r="BH758" s="300" t="str">
        <f>_xlfn.IFNA(VLOOKUP($BD758,Programma!$F$3:$J$1107,5,0),"")</f>
        <v/>
      </c>
      <c r="BI758" s="300" t="str">
        <f>_xlfn.IFNA(VLOOKUP($BD758,Programma!$F$3:$K$1107,6,0),"")</f>
        <v/>
      </c>
      <c r="BJ758" s="300" t="str">
        <f>_xlfn.IFNA(VLOOKUP($BD758,Programma!$F$3:$L$1107,7,0),"")</f>
        <v/>
      </c>
      <c r="BK758" s="300" t="str">
        <f>_xlfn.IFNA(VLOOKUP($BD758,Programma!$F$3:$M$1107,8,0),"")</f>
        <v/>
      </c>
      <c r="BL758" s="300" t="str">
        <f>_xlfn.IFNA(VLOOKUP($BD758,Programma!$F$3:$N$1107,9,0),"")</f>
        <v/>
      </c>
      <c r="BM758" s="300" t="str">
        <f>_xlfn.IFNA(VLOOKUP($BD758,Programma!$F$3:$O$1107,10,0),"")</f>
        <v/>
      </c>
      <c r="BN758" s="300" t="str">
        <f>_xlfn.IFNA(VLOOKUP($BD758,Programma!$F$3:$P$1107,11,0),"")</f>
        <v/>
      </c>
      <c r="BO758" s="300" t="str">
        <f>_xlfn.IFNA(VLOOKUP($BD758,Programma!$F$3:$Q$1107,12,0),"")</f>
        <v/>
      </c>
      <c r="BP758" s="300" t="str">
        <f>_xlfn.IFNA(VLOOKUP($BD758,Programma!$F$3:$R$1107,13,0),"")</f>
        <v/>
      </c>
      <c r="BQ758" s="300" t="str">
        <f>_xlfn.IFNA(VLOOKUP($BD758,Programma!$F$3:$S$1107,14,0),"")</f>
        <v/>
      </c>
      <c r="BR758" s="300" t="str">
        <f>_xlfn.IFNA(VLOOKUP($BD758,Programma!$F$3:$T$1107,15,0),"")</f>
        <v/>
      </c>
      <c r="BS758" s="300" t="str">
        <f>_xlfn.IFNA(VLOOKUP($BD758,Programma!$F$3:$U$1107,16,0),"")</f>
        <v/>
      </c>
      <c r="BT758" s="300" t="str">
        <f>_xlfn.IFNA(VLOOKUP($BD758,Programma!$F$3:$V$1107,17,0),"")</f>
        <v/>
      </c>
      <c r="BU758" s="300" t="str">
        <f>_xlfn.IFNA(VLOOKUP($BD758,Programma!$F$3:$W$1107,18,0),"")</f>
        <v/>
      </c>
      <c r="BV758" s="300" t="str">
        <f>_xlfn.IFNA(VLOOKUP($BD758,Programma!$F$3:$X$1107,19,0),"")</f>
        <v/>
      </c>
      <c r="BW758" s="300" t="str">
        <f>_xlfn.IFNA(VLOOKUP($BD758,Programma!$F$3:$Y$1107,20,0),"")</f>
        <v/>
      </c>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c r="GK758" s="4"/>
      <c r="GL758" s="4"/>
      <c r="GM758" s="4"/>
      <c r="GN758" s="4"/>
      <c r="GO758" s="4"/>
      <c r="GP758" s="4"/>
      <c r="GQ758" s="4"/>
      <c r="GR758" s="4"/>
      <c r="GS758" s="4"/>
      <c r="GT758" s="4"/>
      <c r="GU758" s="4"/>
      <c r="GV758" s="4"/>
      <c r="GW758" s="4"/>
      <c r="GX758" s="4"/>
      <c r="GY758" s="4"/>
      <c r="GZ758" s="4"/>
      <c r="HA758" s="4"/>
      <c r="HB758" s="4"/>
      <c r="HC758" s="4"/>
      <c r="HD758" s="4"/>
      <c r="HE758" s="4"/>
      <c r="HF758" s="4"/>
      <c r="HG758" s="4"/>
      <c r="HH758" s="4"/>
      <c r="HI758" s="4"/>
      <c r="HJ758" s="4"/>
      <c r="HK758" s="4"/>
      <c r="HL758" s="4"/>
    </row>
    <row r="759" spans="1:220" ht="15" customHeight="1">
      <c r="A759" s="21">
        <v>8</v>
      </c>
      <c r="B759" s="157" t="str">
        <f>VLOOKUP(Ruimtestaat[[#This Row],[Code]],Locaties[[Code]:[Locatie]],2,FALSE)</f>
        <v>Dalton College</v>
      </c>
      <c r="C759" s="157" t="str">
        <f>VLOOKUP(Ruimtestaat[[#This Row],[Code]],Locaties[[#All],[Code]:[Adres]],4,FALSE)</f>
        <v>Loolaan 125</v>
      </c>
      <c r="D759" s="157" t="str">
        <f>VLOOKUP(Ruimtestaat[[#This Row],[Code]],Locaties[[#All],[Code]:[Postcode]],5,FALSE)</f>
        <v xml:space="preserve">2271 TM </v>
      </c>
      <c r="E759" s="157" t="str">
        <f>VLOOKUP(Ruimtestaat[[#This Row],[Code]],Locaties[#All],6,FALSE)</f>
        <v>Voorburg</v>
      </c>
      <c r="F759" s="62"/>
      <c r="G759" s="21" t="s">
        <v>1624</v>
      </c>
      <c r="H759" s="21" t="s">
        <v>1681</v>
      </c>
      <c r="I759" s="62" t="s">
        <v>1631</v>
      </c>
      <c r="J759" s="21">
        <v>2</v>
      </c>
      <c r="K759" s="62" t="str">
        <f>VLOOKUP(Ruimtestaat[[#This Row],[Ruimte code]],Ruimtegroepen[[#All],[Code]:[Ruimte omschrijving]],2,FALSE)</f>
        <v>Kantoren</v>
      </c>
      <c r="L759" s="33" t="s">
        <v>101</v>
      </c>
      <c r="M759" s="367" t="s">
        <v>2495</v>
      </c>
      <c r="N759" s="140">
        <v>36</v>
      </c>
      <c r="O759" s="140"/>
      <c r="P759" s="125" t="str">
        <f>VLOOKUP(Ruimtestaat[[#This Row],[Ruimte code]],Ruimtegroepen[],4,FALSE)</f>
        <v>Bu</v>
      </c>
      <c r="Q759" s="125" t="s">
        <v>2545</v>
      </c>
      <c r="R759" s="33">
        <v>42</v>
      </c>
      <c r="S759" s="33" t="s">
        <v>18</v>
      </c>
      <c r="T759" s="33">
        <f>IF(R759&gt;0,IF(RIGHT(Ruimtestaat[[#This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59" s="33">
        <f>IF(T759&gt;0,VLOOKUP($J759,Ruimtegroepen[],3,FALSE)*VLOOKUP($L759,Vloersoorten[],3,FALSE)*VLOOKUP($S759,Frequenties[],3,FALSE)*VLOOKUP($A759,Locaties[],3,FALSE),0)</f>
        <v>0</v>
      </c>
      <c r="V759" s="33">
        <f>Ruimtestaat[[#This Row],[Uitvoeringen werkdagen]]*Ruimtestaat[[#This Row],[Oppervlak (netto)]]</f>
        <v>4536</v>
      </c>
      <c r="W759" s="154">
        <f>IF(U759&gt;0,Ruimtestaat[[#This Row],[Prest. (m2 /jaar) werkdagen]]/Ruimtestaat[[#This Row],[Norm (m2/uur) werkdagen]],0)</f>
        <v>0</v>
      </c>
      <c r="X759" s="155">
        <f>Ruimtestaat[[#This Row],[uren / jaar werkdagen]]*Tariefsopbouw!$E$35</f>
        <v>0</v>
      </c>
      <c r="Y759" s="33"/>
      <c r="Z759" s="33">
        <f>IF(Ruimtestaat[[#This Row],[Frequentie weekend]]&gt;0,VALUE(LEFT(Y759,1))*R759,0)</f>
        <v>0</v>
      </c>
      <c r="AA759" s="97">
        <f>IF($Z759&gt;0,VLOOKUP($J759,Ruimtegroepen[],3,FALSE)*VLOOKUP($L759,Vloersoorten[],3,FALSE)*VLOOKUP($Y759,Frequenties[],3,FALSE)*VLOOKUP(Ruimtestaat[[#This Row],[Code]],Locaties[],3,FALSE),0)</f>
        <v>0</v>
      </c>
      <c r="AB759" s="97">
        <f>Ruimtestaat[[#This Row],[Uitvoeringen weekend]]*Ruimtestaat[[#This Row],[Oppervlak (netto)]]</f>
        <v>0</v>
      </c>
      <c r="AC759" s="97">
        <f>IF(AA759&gt;0,Ruimtestaat[[#This Row],[Prest. (m2 /jaar) weekend]]/Ruimtestaat[[#This Row],[Norm (m2/uur) weekend]],0)</f>
        <v>0</v>
      </c>
      <c r="AD759" s="155">
        <f>Ruimtestaat[[#This Row],[uren / jaar weekend]]*Tariefsopbouw!$D$40</f>
        <v>0</v>
      </c>
      <c r="AE759" s="154">
        <f>Ruimtestaat[[#This Row],[Prest. (m2 /jaar) weekend]]+Ruimtestaat[[#This Row],[Prest. (m2 /jaar) werkdagen]]</f>
        <v>4536</v>
      </c>
      <c r="AF759" s="154">
        <f>Ruimtestaat[[#This Row],[uren / jaar weekend]]+Ruimtestaat[[#This Row],[uren / jaar werkdagen]]</f>
        <v>0</v>
      </c>
      <c r="AG759" s="69">
        <f>Ruimtestaat[[#This Row],[kosten / jaar weekend]]+Ruimtestaat[[#This Row],[kosten / jaar werkdagen]]</f>
        <v>0</v>
      </c>
      <c r="AH759" s="69"/>
      <c r="AI759" s="256" t="str">
        <f>IF(Ruimtestaat[[#This Row],[Frequentie werkdagen]]="","",_xlfn.CONCAT(Ruimtestaat[[#This Row],[Ruimte code]],"-",Ruimtestaat[[#This Row],[Frequentie werkdagen]]," ",Ruimtestaat[[#This Row],[Vloer code]]))</f>
        <v>2-3w L</v>
      </c>
      <c r="AJ759" s="300" t="str">
        <f>_xlfn.IFNA(VLOOKUP($AI759,Programma!$F$3:$G$1107,2,0),"")</f>
        <v>_</v>
      </c>
      <c r="AK759" s="300" t="str">
        <f>_xlfn.IFNA(VLOOKUP($AI759,Programma!$F$3:$H$1107,3,0),"")</f>
        <v>_</v>
      </c>
      <c r="AL759" s="300" t="str">
        <f>_xlfn.IFNA(VLOOKUP($AI759,Programma!$F$3:$I$1107,4,0),"")</f>
        <v>2w</v>
      </c>
      <c r="AM759" s="300" t="str">
        <f>_xlfn.IFNA(VLOOKUP($AI759,Programma!$F$3:$J$1107,5,0),"")</f>
        <v>1w</v>
      </c>
      <c r="AN759" s="300" t="str">
        <f>_xlfn.IFNA(VLOOKUP($AI759,Programma!$F$3:$K$1107,6,0),"")</f>
        <v>_</v>
      </c>
      <c r="AO759" s="300" t="str">
        <f>_xlfn.IFNA(VLOOKUP($AI759,Programma!$F$3:$L$1107,7,0),"")</f>
        <v>_</v>
      </c>
      <c r="AP759" s="300" t="str">
        <f>_xlfn.IFNA(VLOOKUP($AI759,Programma!$F$3:$M$1107,8,0),"")</f>
        <v>_</v>
      </c>
      <c r="AQ759" s="300" t="str">
        <f>_xlfn.IFNA(VLOOKUP($AI759,Programma!$F$3:$N$1107,9,0),"")</f>
        <v>_</v>
      </c>
      <c r="AR759" s="300" t="str">
        <f>_xlfn.IFNA(VLOOKUP($AI759,Programma!$F$3:$O$1107,10,0),"")</f>
        <v>3w</v>
      </c>
      <c r="AS759" s="300" t="str">
        <f>_xlfn.IFNA(VLOOKUP($AI759,Programma!$F$3:$P$1107,11,0),"")</f>
        <v>3w</v>
      </c>
      <c r="AT759" s="300" t="str">
        <f>_xlfn.IFNA(VLOOKUP($AI759,Programma!$F$3:$Q$1107,12,0),"")</f>
        <v>1w</v>
      </c>
      <c r="AU759" s="300" t="str">
        <f>_xlfn.IFNA(VLOOKUP($AI759,Programma!$F$3:$R$1107,13,0),"")</f>
        <v>1w</v>
      </c>
      <c r="AV759" s="300" t="str">
        <f>_xlfn.IFNA(VLOOKUP($AI759,Programma!$F$3:$S$1107,14,0),"")</f>
        <v>1m</v>
      </c>
      <c r="AW759" s="300" t="str">
        <f>_xlfn.IFNA(VLOOKUP($AI759,Programma!$F$3:$T$1107,15,0),"")</f>
        <v>2j</v>
      </c>
      <c r="AX759" s="300" t="str">
        <f>_xlfn.IFNA(VLOOKUP($AI759,Programma!$F$3:$U$1107,16,0),"")</f>
        <v>1j</v>
      </c>
      <c r="AY759" s="300" t="str">
        <f>_xlfn.IFNA(VLOOKUP($AI759,Programma!$F$3:$V$1107,17,0),"")</f>
        <v>_</v>
      </c>
      <c r="AZ759" s="300" t="str">
        <f>_xlfn.IFNA(VLOOKUP($AI759,Programma!$F$3:$W$1107,18,0),"")</f>
        <v>_</v>
      </c>
      <c r="BA759" s="300" t="str">
        <f>_xlfn.IFNA(VLOOKUP($AI759,Programma!$F$3:$X$1107,19,0),"")</f>
        <v>_</v>
      </c>
      <c r="BB759" s="300" t="str">
        <f>_xlfn.IFNA(VLOOKUP($AI759,Programma!$F$3:$Y$1107,20,0),"")</f>
        <v>_</v>
      </c>
      <c r="BC759" s="257"/>
      <c r="BD759" s="256" t="str">
        <f>IF(Ruimtestaat[[#This Row],[Frequentie weekend]]="","",_xlfn.CONCAT(Ruimtestaat[[#This Row],[Ruimte code]],"-",Ruimtestaat[[#This Row],[Frequentie weekend]]," ",Ruimtestaat[[#This Row],[Vloer code]]))</f>
        <v/>
      </c>
      <c r="BE759" s="300" t="str">
        <f>_xlfn.IFNA(VLOOKUP($BD759,Programma!$F$3:$G$1107,2,0),"")</f>
        <v/>
      </c>
      <c r="BF759" s="300" t="str">
        <f>_xlfn.IFNA(VLOOKUP($BD759,Programma!$F$3:$H$1107,3,0),"")</f>
        <v/>
      </c>
      <c r="BG759" s="300" t="str">
        <f>_xlfn.IFNA(VLOOKUP($BD759,Programma!$F$3:$I$1107,4,0),"")</f>
        <v/>
      </c>
      <c r="BH759" s="300" t="str">
        <f>_xlfn.IFNA(VLOOKUP($BD759,Programma!$F$3:$J$1107,5,0),"")</f>
        <v/>
      </c>
      <c r="BI759" s="300" t="str">
        <f>_xlfn.IFNA(VLOOKUP($BD759,Programma!$F$3:$K$1107,6,0),"")</f>
        <v/>
      </c>
      <c r="BJ759" s="300" t="str">
        <f>_xlfn.IFNA(VLOOKUP($BD759,Programma!$F$3:$L$1107,7,0),"")</f>
        <v/>
      </c>
      <c r="BK759" s="300" t="str">
        <f>_xlfn.IFNA(VLOOKUP($BD759,Programma!$F$3:$M$1107,8,0),"")</f>
        <v/>
      </c>
      <c r="BL759" s="300" t="str">
        <f>_xlfn.IFNA(VLOOKUP($BD759,Programma!$F$3:$N$1107,9,0),"")</f>
        <v/>
      </c>
      <c r="BM759" s="300" t="str">
        <f>_xlfn.IFNA(VLOOKUP($BD759,Programma!$F$3:$O$1107,10,0),"")</f>
        <v/>
      </c>
      <c r="BN759" s="300" t="str">
        <f>_xlfn.IFNA(VLOOKUP($BD759,Programma!$F$3:$P$1107,11,0),"")</f>
        <v/>
      </c>
      <c r="BO759" s="300" t="str">
        <f>_xlfn.IFNA(VLOOKUP($BD759,Programma!$F$3:$Q$1107,12,0),"")</f>
        <v/>
      </c>
      <c r="BP759" s="300" t="str">
        <f>_xlfn.IFNA(VLOOKUP($BD759,Programma!$F$3:$R$1107,13,0),"")</f>
        <v/>
      </c>
      <c r="BQ759" s="300" t="str">
        <f>_xlfn.IFNA(VLOOKUP($BD759,Programma!$F$3:$S$1107,14,0),"")</f>
        <v/>
      </c>
      <c r="BR759" s="300" t="str">
        <f>_xlfn.IFNA(VLOOKUP($BD759,Programma!$F$3:$T$1107,15,0),"")</f>
        <v/>
      </c>
      <c r="BS759" s="300" t="str">
        <f>_xlfn.IFNA(VLOOKUP($BD759,Programma!$F$3:$U$1107,16,0),"")</f>
        <v/>
      </c>
      <c r="BT759" s="300" t="str">
        <f>_xlfn.IFNA(VLOOKUP($BD759,Programma!$F$3:$V$1107,17,0),"")</f>
        <v/>
      </c>
      <c r="BU759" s="300" t="str">
        <f>_xlfn.IFNA(VLOOKUP($BD759,Programma!$F$3:$W$1107,18,0),"")</f>
        <v/>
      </c>
      <c r="BV759" s="300" t="str">
        <f>_xlfn.IFNA(VLOOKUP($BD759,Programma!$F$3:$X$1107,19,0),"")</f>
        <v/>
      </c>
      <c r="BW759" s="300" t="str">
        <f>_xlfn.IFNA(VLOOKUP($BD759,Programma!$F$3:$Y$1107,20,0),"")</f>
        <v/>
      </c>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c r="FS759" s="4"/>
      <c r="FT759" s="4"/>
      <c r="FU759" s="4"/>
      <c r="FV759" s="4"/>
      <c r="FW759" s="4"/>
      <c r="FX759" s="4"/>
      <c r="FY759" s="4"/>
      <c r="FZ759" s="4"/>
      <c r="GA759" s="4"/>
      <c r="GB759" s="4"/>
      <c r="GC759" s="4"/>
      <c r="GD759" s="4"/>
      <c r="GE759" s="4"/>
      <c r="GF759" s="4"/>
      <c r="GG759" s="4"/>
      <c r="GH759" s="4"/>
      <c r="GI759" s="4"/>
      <c r="GJ759" s="4"/>
      <c r="GK759" s="4"/>
      <c r="GL759" s="4"/>
      <c r="GM759" s="4"/>
      <c r="GN759" s="4"/>
      <c r="GO759" s="4"/>
      <c r="GP759" s="4"/>
      <c r="GQ759" s="4"/>
      <c r="GR759" s="4"/>
      <c r="GS759" s="4"/>
      <c r="GT759" s="4"/>
      <c r="GU759" s="4"/>
      <c r="GV759" s="4"/>
      <c r="GW759" s="4"/>
      <c r="GX759" s="4"/>
      <c r="GY759" s="4"/>
      <c r="GZ759" s="4"/>
      <c r="HA759" s="4"/>
      <c r="HB759" s="4"/>
      <c r="HC759" s="4"/>
      <c r="HD759" s="4"/>
      <c r="HE759" s="4"/>
      <c r="HF759" s="4"/>
      <c r="HG759" s="4"/>
      <c r="HH759" s="4"/>
      <c r="HI759" s="4"/>
      <c r="HJ759" s="4"/>
      <c r="HK759" s="4"/>
      <c r="HL759" s="4"/>
    </row>
    <row r="760" spans="1:220" ht="15" customHeight="1">
      <c r="A760" s="21">
        <v>8</v>
      </c>
      <c r="B760" s="157" t="str">
        <f>VLOOKUP(Ruimtestaat[[#This Row],[Code]],Locaties[[Code]:[Locatie]],2,FALSE)</f>
        <v>Dalton College</v>
      </c>
      <c r="C760" s="157" t="str">
        <f>VLOOKUP(Ruimtestaat[[#This Row],[Code]],Locaties[[#All],[Code]:[Adres]],4,FALSE)</f>
        <v>Loolaan 125</v>
      </c>
      <c r="D760" s="157" t="str">
        <f>VLOOKUP(Ruimtestaat[[#This Row],[Code]],Locaties[[#All],[Code]:[Postcode]],5,FALSE)</f>
        <v xml:space="preserve">2271 TM </v>
      </c>
      <c r="E760" s="157" t="str">
        <f>VLOOKUP(Ruimtestaat[[#This Row],[Code]],Locaties[#All],6,FALSE)</f>
        <v>Voorburg</v>
      </c>
      <c r="F760" s="62"/>
      <c r="G760" s="21" t="s">
        <v>1624</v>
      </c>
      <c r="H760" s="21" t="s">
        <v>1685</v>
      </c>
      <c r="I760" s="62" t="s">
        <v>1631</v>
      </c>
      <c r="J760" s="21">
        <v>2</v>
      </c>
      <c r="K760" s="62" t="str">
        <f>VLOOKUP(Ruimtestaat[[#This Row],[Ruimte code]],Ruimtegroepen[[#All],[Code]:[Ruimte omschrijving]],2,FALSE)</f>
        <v>Kantoren</v>
      </c>
      <c r="L760" s="33" t="s">
        <v>101</v>
      </c>
      <c r="M760" s="367" t="s">
        <v>2495</v>
      </c>
      <c r="N760" s="140">
        <v>15</v>
      </c>
      <c r="O760" s="140"/>
      <c r="P760" s="125" t="str">
        <f>VLOOKUP(Ruimtestaat[[#This Row],[Ruimte code]],Ruimtegroepen[],4,FALSE)</f>
        <v>Bu</v>
      </c>
      <c r="Q760" s="125" t="s">
        <v>2546</v>
      </c>
      <c r="R760" s="33">
        <v>42</v>
      </c>
      <c r="S760" s="33" t="s">
        <v>18</v>
      </c>
      <c r="T760" s="33">
        <f>IF(R760&gt;0,IF(RIGHT(Ruimtestaat[[#This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60" s="33">
        <f>IF(T760&gt;0,VLOOKUP($J760,Ruimtegroepen[],3,FALSE)*VLOOKUP($L760,Vloersoorten[],3,FALSE)*VLOOKUP($S760,Frequenties[],3,FALSE)*VLOOKUP($A760,Locaties[],3,FALSE),0)</f>
        <v>0</v>
      </c>
      <c r="V760" s="33">
        <f>Ruimtestaat[[#This Row],[Uitvoeringen werkdagen]]*Ruimtestaat[[#This Row],[Oppervlak (netto)]]</f>
        <v>1890</v>
      </c>
      <c r="W760" s="154">
        <f>IF(U760&gt;0,Ruimtestaat[[#This Row],[Prest. (m2 /jaar) werkdagen]]/Ruimtestaat[[#This Row],[Norm (m2/uur) werkdagen]],0)</f>
        <v>0</v>
      </c>
      <c r="X760" s="155">
        <f>Ruimtestaat[[#This Row],[uren / jaar werkdagen]]*Tariefsopbouw!$E$35</f>
        <v>0</v>
      </c>
      <c r="Y760" s="33"/>
      <c r="Z760" s="33">
        <f>IF(Ruimtestaat[[#This Row],[Frequentie weekend]]&gt;0,VALUE(LEFT(Y760,1))*R760,0)</f>
        <v>0</v>
      </c>
      <c r="AA760" s="97">
        <f>IF($Z760&gt;0,VLOOKUP($J760,Ruimtegroepen[],3,FALSE)*VLOOKUP($L760,Vloersoorten[],3,FALSE)*VLOOKUP($Y760,Frequenties[],3,FALSE)*VLOOKUP(Ruimtestaat[[#This Row],[Code]],Locaties[],3,FALSE),0)</f>
        <v>0</v>
      </c>
      <c r="AB760" s="97">
        <f>Ruimtestaat[[#This Row],[Uitvoeringen weekend]]*Ruimtestaat[[#This Row],[Oppervlak (netto)]]</f>
        <v>0</v>
      </c>
      <c r="AC760" s="97">
        <f>IF(AA760&gt;0,Ruimtestaat[[#This Row],[Prest. (m2 /jaar) weekend]]/Ruimtestaat[[#This Row],[Norm (m2/uur) weekend]],0)</f>
        <v>0</v>
      </c>
      <c r="AD760" s="155">
        <f>Ruimtestaat[[#This Row],[uren / jaar weekend]]*Tariefsopbouw!$D$40</f>
        <v>0</v>
      </c>
      <c r="AE760" s="154">
        <f>Ruimtestaat[[#This Row],[Prest. (m2 /jaar) weekend]]+Ruimtestaat[[#This Row],[Prest. (m2 /jaar) werkdagen]]</f>
        <v>1890</v>
      </c>
      <c r="AF760" s="154">
        <f>Ruimtestaat[[#This Row],[uren / jaar weekend]]+Ruimtestaat[[#This Row],[uren / jaar werkdagen]]</f>
        <v>0</v>
      </c>
      <c r="AG760" s="69">
        <f>Ruimtestaat[[#This Row],[kosten / jaar weekend]]+Ruimtestaat[[#This Row],[kosten / jaar werkdagen]]</f>
        <v>0</v>
      </c>
      <c r="AH760" s="69"/>
      <c r="AI760" s="256" t="str">
        <f>IF(Ruimtestaat[[#This Row],[Frequentie werkdagen]]="","",_xlfn.CONCAT(Ruimtestaat[[#This Row],[Ruimte code]],"-",Ruimtestaat[[#This Row],[Frequentie werkdagen]]," ",Ruimtestaat[[#This Row],[Vloer code]]))</f>
        <v>2-3w L</v>
      </c>
      <c r="AJ760" s="300" t="str">
        <f>_xlfn.IFNA(VLOOKUP($AI760,Programma!$F$3:$G$1107,2,0),"")</f>
        <v>_</v>
      </c>
      <c r="AK760" s="300" t="str">
        <f>_xlfn.IFNA(VLOOKUP($AI760,Programma!$F$3:$H$1107,3,0),"")</f>
        <v>_</v>
      </c>
      <c r="AL760" s="300" t="str">
        <f>_xlfn.IFNA(VLOOKUP($AI760,Programma!$F$3:$I$1107,4,0),"")</f>
        <v>2w</v>
      </c>
      <c r="AM760" s="300" t="str">
        <f>_xlfn.IFNA(VLOOKUP($AI760,Programma!$F$3:$J$1107,5,0),"")</f>
        <v>1w</v>
      </c>
      <c r="AN760" s="300" t="str">
        <f>_xlfn.IFNA(VLOOKUP($AI760,Programma!$F$3:$K$1107,6,0),"")</f>
        <v>_</v>
      </c>
      <c r="AO760" s="300" t="str">
        <f>_xlfn.IFNA(VLOOKUP($AI760,Programma!$F$3:$L$1107,7,0),"")</f>
        <v>_</v>
      </c>
      <c r="AP760" s="300" t="str">
        <f>_xlfn.IFNA(VLOOKUP($AI760,Programma!$F$3:$M$1107,8,0),"")</f>
        <v>_</v>
      </c>
      <c r="AQ760" s="300" t="str">
        <f>_xlfn.IFNA(VLOOKUP($AI760,Programma!$F$3:$N$1107,9,0),"")</f>
        <v>_</v>
      </c>
      <c r="AR760" s="300" t="str">
        <f>_xlfn.IFNA(VLOOKUP($AI760,Programma!$F$3:$O$1107,10,0),"")</f>
        <v>3w</v>
      </c>
      <c r="AS760" s="300" t="str">
        <f>_xlfn.IFNA(VLOOKUP($AI760,Programma!$F$3:$P$1107,11,0),"")</f>
        <v>3w</v>
      </c>
      <c r="AT760" s="300" t="str">
        <f>_xlfn.IFNA(VLOOKUP($AI760,Programma!$F$3:$Q$1107,12,0),"")</f>
        <v>1w</v>
      </c>
      <c r="AU760" s="300" t="str">
        <f>_xlfn.IFNA(VLOOKUP($AI760,Programma!$F$3:$R$1107,13,0),"")</f>
        <v>1w</v>
      </c>
      <c r="AV760" s="300" t="str">
        <f>_xlfn.IFNA(VLOOKUP($AI760,Programma!$F$3:$S$1107,14,0),"")</f>
        <v>1m</v>
      </c>
      <c r="AW760" s="300" t="str">
        <f>_xlfn.IFNA(VLOOKUP($AI760,Programma!$F$3:$T$1107,15,0),"")</f>
        <v>2j</v>
      </c>
      <c r="AX760" s="300" t="str">
        <f>_xlfn.IFNA(VLOOKUP($AI760,Programma!$F$3:$U$1107,16,0),"")</f>
        <v>1j</v>
      </c>
      <c r="AY760" s="300" t="str">
        <f>_xlfn.IFNA(VLOOKUP($AI760,Programma!$F$3:$V$1107,17,0),"")</f>
        <v>_</v>
      </c>
      <c r="AZ760" s="300" t="str">
        <f>_xlfn.IFNA(VLOOKUP($AI760,Programma!$F$3:$W$1107,18,0),"")</f>
        <v>_</v>
      </c>
      <c r="BA760" s="300" t="str">
        <f>_xlfn.IFNA(VLOOKUP($AI760,Programma!$F$3:$X$1107,19,0),"")</f>
        <v>_</v>
      </c>
      <c r="BB760" s="300" t="str">
        <f>_xlfn.IFNA(VLOOKUP($AI760,Programma!$F$3:$Y$1107,20,0),"")</f>
        <v>_</v>
      </c>
      <c r="BC760" s="257"/>
      <c r="BD760" s="256" t="str">
        <f>IF(Ruimtestaat[[#This Row],[Frequentie weekend]]="","",_xlfn.CONCAT(Ruimtestaat[[#This Row],[Ruimte code]],"-",Ruimtestaat[[#This Row],[Frequentie weekend]]," ",Ruimtestaat[[#This Row],[Vloer code]]))</f>
        <v/>
      </c>
      <c r="BE760" s="300" t="str">
        <f>_xlfn.IFNA(VLOOKUP($BD760,Programma!$F$3:$G$1107,2,0),"")</f>
        <v/>
      </c>
      <c r="BF760" s="300" t="str">
        <f>_xlfn.IFNA(VLOOKUP($BD760,Programma!$F$3:$H$1107,3,0),"")</f>
        <v/>
      </c>
      <c r="BG760" s="300" t="str">
        <f>_xlfn.IFNA(VLOOKUP($BD760,Programma!$F$3:$I$1107,4,0),"")</f>
        <v/>
      </c>
      <c r="BH760" s="300" t="str">
        <f>_xlfn.IFNA(VLOOKUP($BD760,Programma!$F$3:$J$1107,5,0),"")</f>
        <v/>
      </c>
      <c r="BI760" s="300" t="str">
        <f>_xlfn.IFNA(VLOOKUP($BD760,Programma!$F$3:$K$1107,6,0),"")</f>
        <v/>
      </c>
      <c r="BJ760" s="300" t="str">
        <f>_xlfn.IFNA(VLOOKUP($BD760,Programma!$F$3:$L$1107,7,0),"")</f>
        <v/>
      </c>
      <c r="BK760" s="300" t="str">
        <f>_xlfn.IFNA(VLOOKUP($BD760,Programma!$F$3:$M$1107,8,0),"")</f>
        <v/>
      </c>
      <c r="BL760" s="300" t="str">
        <f>_xlfn.IFNA(VLOOKUP($BD760,Programma!$F$3:$N$1107,9,0),"")</f>
        <v/>
      </c>
      <c r="BM760" s="300" t="str">
        <f>_xlfn.IFNA(VLOOKUP($BD760,Programma!$F$3:$O$1107,10,0),"")</f>
        <v/>
      </c>
      <c r="BN760" s="300" t="str">
        <f>_xlfn.IFNA(VLOOKUP($BD760,Programma!$F$3:$P$1107,11,0),"")</f>
        <v/>
      </c>
      <c r="BO760" s="300" t="str">
        <f>_xlfn.IFNA(VLOOKUP($BD760,Programma!$F$3:$Q$1107,12,0),"")</f>
        <v/>
      </c>
      <c r="BP760" s="300" t="str">
        <f>_xlfn.IFNA(VLOOKUP($BD760,Programma!$F$3:$R$1107,13,0),"")</f>
        <v/>
      </c>
      <c r="BQ760" s="300" t="str">
        <f>_xlfn.IFNA(VLOOKUP($BD760,Programma!$F$3:$S$1107,14,0),"")</f>
        <v/>
      </c>
      <c r="BR760" s="300" t="str">
        <f>_xlfn.IFNA(VLOOKUP($BD760,Programma!$F$3:$T$1107,15,0),"")</f>
        <v/>
      </c>
      <c r="BS760" s="300" t="str">
        <f>_xlfn.IFNA(VLOOKUP($BD760,Programma!$F$3:$U$1107,16,0),"")</f>
        <v/>
      </c>
      <c r="BT760" s="300" t="str">
        <f>_xlfn.IFNA(VLOOKUP($BD760,Programma!$F$3:$V$1107,17,0),"")</f>
        <v/>
      </c>
      <c r="BU760" s="300" t="str">
        <f>_xlfn.IFNA(VLOOKUP($BD760,Programma!$F$3:$W$1107,18,0),"")</f>
        <v/>
      </c>
      <c r="BV760" s="300" t="str">
        <f>_xlfn.IFNA(VLOOKUP($BD760,Programma!$F$3:$X$1107,19,0),"")</f>
        <v/>
      </c>
      <c r="BW760" s="300" t="str">
        <f>_xlfn.IFNA(VLOOKUP($BD760,Programma!$F$3:$Y$1107,20,0),"")</f>
        <v/>
      </c>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c r="GK760" s="4"/>
      <c r="GL760" s="4"/>
      <c r="GM760" s="4"/>
      <c r="GN760" s="4"/>
      <c r="GO760" s="4"/>
      <c r="GP760" s="4"/>
      <c r="GQ760" s="4"/>
      <c r="GR760" s="4"/>
      <c r="GS760" s="4"/>
      <c r="GT760" s="4"/>
      <c r="GU760" s="4"/>
      <c r="GV760" s="4"/>
      <c r="GW760" s="4"/>
      <c r="GX760" s="4"/>
      <c r="GY760" s="4"/>
      <c r="GZ760" s="4"/>
      <c r="HA760" s="4"/>
      <c r="HB760" s="4"/>
      <c r="HC760" s="4"/>
      <c r="HD760" s="4"/>
      <c r="HE760" s="4"/>
      <c r="HF760" s="4"/>
      <c r="HG760" s="4"/>
      <c r="HH760" s="4"/>
      <c r="HI760" s="4"/>
      <c r="HJ760" s="4"/>
      <c r="HK760" s="4"/>
      <c r="HL760" s="4"/>
    </row>
    <row r="761" spans="1:220" ht="15" customHeight="1">
      <c r="A761" s="21">
        <v>8</v>
      </c>
      <c r="B761" s="157" t="str">
        <f>VLOOKUP(Ruimtestaat[[#This Row],[Code]],Locaties[[Code]:[Locatie]],2,FALSE)</f>
        <v>Dalton College</v>
      </c>
      <c r="C761" s="157" t="str">
        <f>VLOOKUP(Ruimtestaat[[#This Row],[Code]],Locaties[[#All],[Code]:[Adres]],4,FALSE)</f>
        <v>Loolaan 125</v>
      </c>
      <c r="D761" s="157" t="str">
        <f>VLOOKUP(Ruimtestaat[[#This Row],[Code]],Locaties[[#All],[Code]:[Postcode]],5,FALSE)</f>
        <v xml:space="preserve">2271 TM </v>
      </c>
      <c r="E761" s="157" t="str">
        <f>VLOOKUP(Ruimtestaat[[#This Row],[Code]],Locaties[#All],6,FALSE)</f>
        <v>Voorburg</v>
      </c>
      <c r="F761" s="62"/>
      <c r="G761" s="21" t="s">
        <v>1624</v>
      </c>
      <c r="H761" s="21" t="s">
        <v>1687</v>
      </c>
      <c r="I761" s="62" t="s">
        <v>1625</v>
      </c>
      <c r="J761" s="21">
        <v>6</v>
      </c>
      <c r="K761" s="62" t="str">
        <f>VLOOKUP(Ruimtestaat[[#This Row],[Ruimte code]],Ruimtegroepen[[#All],[Code]:[Ruimte omschrijving]],2,FALSE)</f>
        <v>Gangen/hallen</v>
      </c>
      <c r="L761" s="33" t="s">
        <v>101</v>
      </c>
      <c r="M761" s="367" t="s">
        <v>2495</v>
      </c>
      <c r="N761" s="140">
        <v>24</v>
      </c>
      <c r="O761" s="140"/>
      <c r="P761" s="125" t="str">
        <f>VLOOKUP(Ruimtestaat[[#This Row],[Ruimte code]],Ruimtegroepen[],4,FALSE)</f>
        <v>Ve</v>
      </c>
      <c r="R761" s="33">
        <v>40</v>
      </c>
      <c r="S761" s="33" t="s">
        <v>2</v>
      </c>
      <c r="T761" s="33">
        <f>IF(R761&gt;0,IF(RIGHT(Ruimtestaat[[#This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61" s="33">
        <f>IF(T761&gt;0,VLOOKUP($J761,Ruimtegroepen[],3,FALSE)*VLOOKUP($L761,Vloersoorten[],3,FALSE)*VLOOKUP($S761,Frequenties[],3,FALSE)*VLOOKUP($A761,Locaties[],3,FALSE),0)</f>
        <v>0</v>
      </c>
      <c r="V761" s="33">
        <f>Ruimtestaat[[#This Row],[Uitvoeringen werkdagen]]*Ruimtestaat[[#This Row],[Oppervlak (netto)]]</f>
        <v>4800</v>
      </c>
      <c r="W761" s="154">
        <f>IF(U761&gt;0,Ruimtestaat[[#This Row],[Prest. (m2 /jaar) werkdagen]]/Ruimtestaat[[#This Row],[Norm (m2/uur) werkdagen]],0)</f>
        <v>0</v>
      </c>
      <c r="X761" s="155">
        <f>Ruimtestaat[[#This Row],[uren / jaar werkdagen]]*Tariefsopbouw!$E$35</f>
        <v>0</v>
      </c>
      <c r="Y761" s="33"/>
      <c r="Z761" s="33">
        <f>IF(Ruimtestaat[[#This Row],[Frequentie weekend]]&gt;0,VALUE(LEFT(Y761,1))*R761,0)</f>
        <v>0</v>
      </c>
      <c r="AA761" s="97">
        <f>IF($Z761&gt;0,VLOOKUP($J761,Ruimtegroepen[],3,FALSE)*VLOOKUP($L761,Vloersoorten[],3,FALSE)*VLOOKUP($Y761,Frequenties[],3,FALSE)*VLOOKUP(Ruimtestaat[[#This Row],[Code]],Locaties[],3,FALSE),0)</f>
        <v>0</v>
      </c>
      <c r="AB761" s="97">
        <f>Ruimtestaat[[#This Row],[Uitvoeringen weekend]]*Ruimtestaat[[#This Row],[Oppervlak (netto)]]</f>
        <v>0</v>
      </c>
      <c r="AC761" s="97">
        <f>IF(AA761&gt;0,Ruimtestaat[[#This Row],[Prest. (m2 /jaar) weekend]]/Ruimtestaat[[#This Row],[Norm (m2/uur) weekend]],0)</f>
        <v>0</v>
      </c>
      <c r="AD761" s="155">
        <f>Ruimtestaat[[#This Row],[uren / jaar weekend]]*Tariefsopbouw!$D$40</f>
        <v>0</v>
      </c>
      <c r="AE761" s="154">
        <f>Ruimtestaat[[#This Row],[Prest. (m2 /jaar) weekend]]+Ruimtestaat[[#This Row],[Prest. (m2 /jaar) werkdagen]]</f>
        <v>4800</v>
      </c>
      <c r="AF761" s="154">
        <f>Ruimtestaat[[#This Row],[uren / jaar weekend]]+Ruimtestaat[[#This Row],[uren / jaar werkdagen]]</f>
        <v>0</v>
      </c>
      <c r="AG761" s="69">
        <f>Ruimtestaat[[#This Row],[kosten / jaar weekend]]+Ruimtestaat[[#This Row],[kosten / jaar werkdagen]]</f>
        <v>0</v>
      </c>
      <c r="AH761" s="69"/>
      <c r="AI761" s="256" t="str">
        <f>IF(Ruimtestaat[[#This Row],[Frequentie werkdagen]]="","",_xlfn.CONCAT(Ruimtestaat[[#This Row],[Ruimte code]],"-",Ruimtestaat[[#This Row],[Frequentie werkdagen]]," ",Ruimtestaat[[#This Row],[Vloer code]]))</f>
        <v>6-5w L</v>
      </c>
      <c r="AJ761" s="300" t="str">
        <f>_xlfn.IFNA(VLOOKUP($AI761,Programma!$F$3:$G$1107,2,0),"")</f>
        <v>_</v>
      </c>
      <c r="AK761" s="300" t="str">
        <f>_xlfn.IFNA(VLOOKUP($AI761,Programma!$F$3:$H$1107,3,0),"")</f>
        <v>_</v>
      </c>
      <c r="AL761" s="300" t="str">
        <f>_xlfn.IFNA(VLOOKUP($AI761,Programma!$F$3:$I$1107,4,0),"")</f>
        <v>_</v>
      </c>
      <c r="AM761" s="300" t="str">
        <f>_xlfn.IFNA(VLOOKUP($AI761,Programma!$F$3:$J$1107,5,0),"")</f>
        <v>5w</v>
      </c>
      <c r="AN761" s="300" t="str">
        <f>_xlfn.IFNA(VLOOKUP($AI761,Programma!$F$3:$K$1107,6,0),"")</f>
        <v>_</v>
      </c>
      <c r="AO761" s="300" t="str">
        <f>_xlfn.IFNA(VLOOKUP($AI761,Programma!$F$3:$L$1107,7,0),"")</f>
        <v>_</v>
      </c>
      <c r="AP761" s="300" t="str">
        <f>_xlfn.IFNA(VLOOKUP($AI761,Programma!$F$3:$M$1107,8,0),"")</f>
        <v>_</v>
      </c>
      <c r="AQ761" s="300" t="str">
        <f>_xlfn.IFNA(VLOOKUP($AI761,Programma!$F$3:$N$1107,9,0),"")</f>
        <v>_</v>
      </c>
      <c r="AR761" s="300" t="str">
        <f>_xlfn.IFNA(VLOOKUP($AI761,Programma!$F$3:$O$1107,10,0),"")</f>
        <v>5w</v>
      </c>
      <c r="AS761" s="300" t="str">
        <f>_xlfn.IFNA(VLOOKUP($AI761,Programma!$F$3:$P$1107,11,0),"")</f>
        <v>5w</v>
      </c>
      <c r="AT761" s="300" t="str">
        <f>_xlfn.IFNA(VLOOKUP($AI761,Programma!$F$3:$Q$1107,12,0),"")</f>
        <v>1w</v>
      </c>
      <c r="AU761" s="300" t="str">
        <f>_xlfn.IFNA(VLOOKUP($AI761,Programma!$F$3:$R$1107,13,0),"")</f>
        <v>1w</v>
      </c>
      <c r="AV761" s="300" t="str">
        <f>_xlfn.IFNA(VLOOKUP($AI761,Programma!$F$3:$S$1107,14,0),"")</f>
        <v>1m</v>
      </c>
      <c r="AW761" s="300" t="str">
        <f>_xlfn.IFNA(VLOOKUP($AI761,Programma!$F$3:$T$1107,15,0),"")</f>
        <v>2j</v>
      </c>
      <c r="AX761" s="300" t="str">
        <f>_xlfn.IFNA(VLOOKUP($AI761,Programma!$F$3:$U$1107,16,0),"")</f>
        <v>1j</v>
      </c>
      <c r="AY761" s="300" t="str">
        <f>_xlfn.IFNA(VLOOKUP($AI761,Programma!$F$3:$V$1107,17,0),"")</f>
        <v>_</v>
      </c>
      <c r="AZ761" s="300" t="str">
        <f>_xlfn.IFNA(VLOOKUP($AI761,Programma!$F$3:$W$1107,18,0),"")</f>
        <v>_</v>
      </c>
      <c r="BA761" s="300" t="str">
        <f>_xlfn.IFNA(VLOOKUP($AI761,Programma!$F$3:$X$1107,19,0),"")</f>
        <v>_</v>
      </c>
      <c r="BB761" s="300" t="str">
        <f>_xlfn.IFNA(VLOOKUP($AI761,Programma!$F$3:$Y$1107,20,0),"")</f>
        <v>_</v>
      </c>
      <c r="BC761" s="257"/>
      <c r="BD761" s="256" t="str">
        <f>IF(Ruimtestaat[[#This Row],[Frequentie weekend]]="","",_xlfn.CONCAT(Ruimtestaat[[#This Row],[Ruimte code]],"-",Ruimtestaat[[#This Row],[Frequentie weekend]]," ",Ruimtestaat[[#This Row],[Vloer code]]))</f>
        <v/>
      </c>
      <c r="BE761" s="300" t="str">
        <f>_xlfn.IFNA(VLOOKUP($BD761,Programma!$F$3:$G$1107,2,0),"")</f>
        <v/>
      </c>
      <c r="BF761" s="300" t="str">
        <f>_xlfn.IFNA(VLOOKUP($BD761,Programma!$F$3:$H$1107,3,0),"")</f>
        <v/>
      </c>
      <c r="BG761" s="300" t="str">
        <f>_xlfn.IFNA(VLOOKUP($BD761,Programma!$F$3:$I$1107,4,0),"")</f>
        <v/>
      </c>
      <c r="BH761" s="300" t="str">
        <f>_xlfn.IFNA(VLOOKUP($BD761,Programma!$F$3:$J$1107,5,0),"")</f>
        <v/>
      </c>
      <c r="BI761" s="300" t="str">
        <f>_xlfn.IFNA(VLOOKUP($BD761,Programma!$F$3:$K$1107,6,0),"")</f>
        <v/>
      </c>
      <c r="BJ761" s="300" t="str">
        <f>_xlfn.IFNA(VLOOKUP($BD761,Programma!$F$3:$L$1107,7,0),"")</f>
        <v/>
      </c>
      <c r="BK761" s="300" t="str">
        <f>_xlfn.IFNA(VLOOKUP($BD761,Programma!$F$3:$M$1107,8,0),"")</f>
        <v/>
      </c>
      <c r="BL761" s="300" t="str">
        <f>_xlfn.IFNA(VLOOKUP($BD761,Programma!$F$3:$N$1107,9,0),"")</f>
        <v/>
      </c>
      <c r="BM761" s="300" t="str">
        <f>_xlfn.IFNA(VLOOKUP($BD761,Programma!$F$3:$O$1107,10,0),"")</f>
        <v/>
      </c>
      <c r="BN761" s="300" t="str">
        <f>_xlfn.IFNA(VLOOKUP($BD761,Programma!$F$3:$P$1107,11,0),"")</f>
        <v/>
      </c>
      <c r="BO761" s="300" t="str">
        <f>_xlfn.IFNA(VLOOKUP($BD761,Programma!$F$3:$Q$1107,12,0),"")</f>
        <v/>
      </c>
      <c r="BP761" s="300" t="str">
        <f>_xlfn.IFNA(VLOOKUP($BD761,Programma!$F$3:$R$1107,13,0),"")</f>
        <v/>
      </c>
      <c r="BQ761" s="300" t="str">
        <f>_xlfn.IFNA(VLOOKUP($BD761,Programma!$F$3:$S$1107,14,0),"")</f>
        <v/>
      </c>
      <c r="BR761" s="300" t="str">
        <f>_xlfn.IFNA(VLOOKUP($BD761,Programma!$F$3:$T$1107,15,0),"")</f>
        <v/>
      </c>
      <c r="BS761" s="300" t="str">
        <f>_xlfn.IFNA(VLOOKUP($BD761,Programma!$F$3:$U$1107,16,0),"")</f>
        <v/>
      </c>
      <c r="BT761" s="300" t="str">
        <f>_xlfn.IFNA(VLOOKUP($BD761,Programma!$F$3:$V$1107,17,0),"")</f>
        <v/>
      </c>
      <c r="BU761" s="300" t="str">
        <f>_xlfn.IFNA(VLOOKUP($BD761,Programma!$F$3:$W$1107,18,0),"")</f>
        <v/>
      </c>
      <c r="BV761" s="300" t="str">
        <f>_xlfn.IFNA(VLOOKUP($BD761,Programma!$F$3:$X$1107,19,0),"")</f>
        <v/>
      </c>
      <c r="BW761" s="300" t="str">
        <f>_xlfn.IFNA(VLOOKUP($BD761,Programma!$F$3:$Y$1107,20,0),"")</f>
        <v/>
      </c>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c r="GK761" s="4"/>
      <c r="GL761" s="4"/>
      <c r="GM761" s="4"/>
      <c r="GN761" s="4"/>
      <c r="GO761" s="4"/>
      <c r="GP761" s="4"/>
      <c r="GQ761" s="4"/>
      <c r="GR761" s="4"/>
      <c r="GS761" s="4"/>
      <c r="GT761" s="4"/>
      <c r="GU761" s="4"/>
      <c r="GV761" s="4"/>
      <c r="GW761" s="4"/>
      <c r="GX761" s="4"/>
      <c r="GY761" s="4"/>
      <c r="GZ761" s="4"/>
      <c r="HA761" s="4"/>
      <c r="HB761" s="4"/>
      <c r="HC761" s="4"/>
      <c r="HD761" s="4"/>
      <c r="HE761" s="4"/>
      <c r="HF761" s="4"/>
      <c r="HG761" s="4"/>
      <c r="HH761" s="4"/>
      <c r="HI761" s="4"/>
      <c r="HJ761" s="4"/>
      <c r="HK761" s="4"/>
      <c r="HL761" s="4"/>
    </row>
    <row r="762" spans="1:220" ht="15" customHeight="1">
      <c r="A762" s="21">
        <v>8</v>
      </c>
      <c r="B762" s="157" t="str">
        <f>VLOOKUP(Ruimtestaat[[#This Row],[Code]],Locaties[[Code]:[Locatie]],2,FALSE)</f>
        <v>Dalton College</v>
      </c>
      <c r="C762" s="157" t="str">
        <f>VLOOKUP(Ruimtestaat[[#This Row],[Code]],Locaties[[#All],[Code]:[Adres]],4,FALSE)</f>
        <v>Loolaan 125</v>
      </c>
      <c r="D762" s="157" t="str">
        <f>VLOOKUP(Ruimtestaat[[#This Row],[Code]],Locaties[[#All],[Code]:[Postcode]],5,FALSE)</f>
        <v xml:space="preserve">2271 TM </v>
      </c>
      <c r="E762" s="157" t="str">
        <f>VLOOKUP(Ruimtestaat[[#This Row],[Code]],Locaties[#All],6,FALSE)</f>
        <v>Voorburg</v>
      </c>
      <c r="F762" s="62"/>
      <c r="G762" s="21" t="s">
        <v>1624</v>
      </c>
      <c r="H762" s="21" t="s">
        <v>1689</v>
      </c>
      <c r="I762" s="62" t="s">
        <v>1636</v>
      </c>
      <c r="J762" s="21">
        <v>12</v>
      </c>
      <c r="K762" s="62" t="str">
        <f>VLOOKUP(Ruimtestaat[[#This Row],[Ruimte code]],Ruimtegroepen[[#All],[Code]:[Ruimte omschrijving]],2,FALSE)</f>
        <v>Kantine</v>
      </c>
      <c r="L762" s="33" t="s">
        <v>101</v>
      </c>
      <c r="M762" s="367" t="s">
        <v>2495</v>
      </c>
      <c r="N762" s="140">
        <v>362</v>
      </c>
      <c r="O762" s="140"/>
      <c r="P762" s="125" t="str">
        <f>VLOOKUP(Ruimtestaat[[#This Row],[Ruimte code]],Ruimtegroepen[],4,FALSE)</f>
        <v>Ve</v>
      </c>
      <c r="R762" s="33">
        <v>40</v>
      </c>
      <c r="S762" s="33" t="s">
        <v>2</v>
      </c>
      <c r="T762" s="33">
        <f>IF(R762&gt;0,IF(RIGHT(Ruimtestaat[[#This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62" s="33">
        <f>IF(T762&gt;0,VLOOKUP($J762,Ruimtegroepen[],3,FALSE)*VLOOKUP($L762,Vloersoorten[],3,FALSE)*VLOOKUP($S762,Frequenties[],3,FALSE)*VLOOKUP($A762,Locaties[],3,FALSE),0)</f>
        <v>0</v>
      </c>
      <c r="V762" s="33">
        <f>Ruimtestaat[[#This Row],[Uitvoeringen werkdagen]]*Ruimtestaat[[#This Row],[Oppervlak (netto)]]</f>
        <v>72400</v>
      </c>
      <c r="W762" s="154">
        <f>IF(U762&gt;0,Ruimtestaat[[#This Row],[Prest. (m2 /jaar) werkdagen]]/Ruimtestaat[[#This Row],[Norm (m2/uur) werkdagen]],0)</f>
        <v>0</v>
      </c>
      <c r="X762" s="155">
        <f>Ruimtestaat[[#This Row],[uren / jaar werkdagen]]*Tariefsopbouw!$E$35</f>
        <v>0</v>
      </c>
      <c r="Y762" s="33"/>
      <c r="Z762" s="33">
        <f>IF(Ruimtestaat[[#This Row],[Frequentie weekend]]&gt;0,VALUE(LEFT(Y762,1))*R762,0)</f>
        <v>0</v>
      </c>
      <c r="AA762" s="97">
        <f>IF($Z762&gt;0,VLOOKUP($J762,Ruimtegroepen[],3,FALSE)*VLOOKUP($L762,Vloersoorten[],3,FALSE)*VLOOKUP($Y762,Frequenties[],3,FALSE)*VLOOKUP(Ruimtestaat[[#This Row],[Code]],Locaties[],3,FALSE),0)</f>
        <v>0</v>
      </c>
      <c r="AB762" s="97">
        <f>Ruimtestaat[[#This Row],[Uitvoeringen weekend]]*Ruimtestaat[[#This Row],[Oppervlak (netto)]]</f>
        <v>0</v>
      </c>
      <c r="AC762" s="97">
        <f>IF(AA762&gt;0,Ruimtestaat[[#This Row],[Prest. (m2 /jaar) weekend]]/Ruimtestaat[[#This Row],[Norm (m2/uur) weekend]],0)</f>
        <v>0</v>
      </c>
      <c r="AD762" s="155">
        <f>Ruimtestaat[[#This Row],[uren / jaar weekend]]*Tariefsopbouw!$D$40</f>
        <v>0</v>
      </c>
      <c r="AE762" s="154">
        <f>Ruimtestaat[[#This Row],[Prest. (m2 /jaar) weekend]]+Ruimtestaat[[#This Row],[Prest. (m2 /jaar) werkdagen]]</f>
        <v>72400</v>
      </c>
      <c r="AF762" s="154">
        <f>Ruimtestaat[[#This Row],[uren / jaar weekend]]+Ruimtestaat[[#This Row],[uren / jaar werkdagen]]</f>
        <v>0</v>
      </c>
      <c r="AG762" s="69">
        <f>Ruimtestaat[[#This Row],[kosten / jaar weekend]]+Ruimtestaat[[#This Row],[kosten / jaar werkdagen]]</f>
        <v>0</v>
      </c>
      <c r="AH762" s="69"/>
      <c r="AI762" s="256" t="str">
        <f>IF(Ruimtestaat[[#This Row],[Frequentie werkdagen]]="","",_xlfn.CONCAT(Ruimtestaat[[#This Row],[Ruimte code]],"-",Ruimtestaat[[#This Row],[Frequentie werkdagen]]," ",Ruimtestaat[[#This Row],[Vloer code]]))</f>
        <v>12-5w L</v>
      </c>
      <c r="AJ762" s="300" t="str">
        <f>_xlfn.IFNA(VLOOKUP($AI762,Programma!$F$3:$G$1107,2,0),"")</f>
        <v>_</v>
      </c>
      <c r="AK762" s="300" t="str">
        <f>_xlfn.IFNA(VLOOKUP($AI762,Programma!$F$3:$H$1107,3,0),"")</f>
        <v>_</v>
      </c>
      <c r="AL762" s="300" t="str">
        <f>_xlfn.IFNA(VLOOKUP($AI762,Programma!$F$3:$I$1107,4,0),"")</f>
        <v>_</v>
      </c>
      <c r="AM762" s="300" t="str">
        <f>_xlfn.IFNA(VLOOKUP($AI762,Programma!$F$3:$J$1107,5,0),"")</f>
        <v>5w</v>
      </c>
      <c r="AN762" s="300" t="str">
        <f>_xlfn.IFNA(VLOOKUP($AI762,Programma!$F$3:$K$1107,6,0),"")</f>
        <v>_</v>
      </c>
      <c r="AO762" s="300" t="str">
        <f>_xlfn.IFNA(VLOOKUP($AI762,Programma!$F$3:$L$1107,7,0),"")</f>
        <v>_</v>
      </c>
      <c r="AP762" s="300" t="str">
        <f>_xlfn.IFNA(VLOOKUP($AI762,Programma!$F$3:$M$1107,8,0),"")</f>
        <v>_</v>
      </c>
      <c r="AQ762" s="300" t="str">
        <f>_xlfn.IFNA(VLOOKUP($AI762,Programma!$F$3:$N$1107,9,0),"")</f>
        <v>_</v>
      </c>
      <c r="AR762" s="300" t="str">
        <f>_xlfn.IFNA(VLOOKUP($AI762,Programma!$F$3:$O$1107,10,0),"")</f>
        <v>5w</v>
      </c>
      <c r="AS762" s="300" t="str">
        <f>_xlfn.IFNA(VLOOKUP($AI762,Programma!$F$3:$P$1107,11,0),"")</f>
        <v>5w</v>
      </c>
      <c r="AT762" s="300" t="str">
        <f>_xlfn.IFNA(VLOOKUP($AI762,Programma!$F$3:$Q$1107,12,0),"")</f>
        <v>1w</v>
      </c>
      <c r="AU762" s="300" t="str">
        <f>_xlfn.IFNA(VLOOKUP($AI762,Programma!$F$3:$R$1107,13,0),"")</f>
        <v>1w</v>
      </c>
      <c r="AV762" s="300" t="str">
        <f>_xlfn.IFNA(VLOOKUP($AI762,Programma!$F$3:$S$1107,14,0),"")</f>
        <v>1m</v>
      </c>
      <c r="AW762" s="300" t="str">
        <f>_xlfn.IFNA(VLOOKUP($AI762,Programma!$F$3:$T$1107,15,0),"")</f>
        <v>2j</v>
      </c>
      <c r="AX762" s="300" t="str">
        <f>_xlfn.IFNA(VLOOKUP($AI762,Programma!$F$3:$U$1107,16,0),"")</f>
        <v>1j</v>
      </c>
      <c r="AY762" s="300" t="str">
        <f>_xlfn.IFNA(VLOOKUP($AI762,Programma!$F$3:$V$1107,17,0),"")</f>
        <v>_</v>
      </c>
      <c r="AZ762" s="300" t="str">
        <f>_xlfn.IFNA(VLOOKUP($AI762,Programma!$F$3:$W$1107,18,0),"")</f>
        <v>_</v>
      </c>
      <c r="BA762" s="300" t="str">
        <f>_xlfn.IFNA(VLOOKUP($AI762,Programma!$F$3:$X$1107,19,0),"")</f>
        <v>_</v>
      </c>
      <c r="BB762" s="300" t="str">
        <f>_xlfn.IFNA(VLOOKUP($AI762,Programma!$F$3:$Y$1107,20,0),"")</f>
        <v>_</v>
      </c>
      <c r="BC762" s="257"/>
      <c r="BD762" s="256" t="str">
        <f>IF(Ruimtestaat[[#This Row],[Frequentie weekend]]="","",_xlfn.CONCAT(Ruimtestaat[[#This Row],[Ruimte code]],"-",Ruimtestaat[[#This Row],[Frequentie weekend]]," ",Ruimtestaat[[#This Row],[Vloer code]]))</f>
        <v/>
      </c>
      <c r="BE762" s="300" t="str">
        <f>_xlfn.IFNA(VLOOKUP($BD762,Programma!$F$3:$G$1107,2,0),"")</f>
        <v/>
      </c>
      <c r="BF762" s="300" t="str">
        <f>_xlfn.IFNA(VLOOKUP($BD762,Programma!$F$3:$H$1107,3,0),"")</f>
        <v/>
      </c>
      <c r="BG762" s="300" t="str">
        <f>_xlfn.IFNA(VLOOKUP($BD762,Programma!$F$3:$I$1107,4,0),"")</f>
        <v/>
      </c>
      <c r="BH762" s="300" t="str">
        <f>_xlfn.IFNA(VLOOKUP($BD762,Programma!$F$3:$J$1107,5,0),"")</f>
        <v/>
      </c>
      <c r="BI762" s="300" t="str">
        <f>_xlfn.IFNA(VLOOKUP($BD762,Programma!$F$3:$K$1107,6,0),"")</f>
        <v/>
      </c>
      <c r="BJ762" s="300" t="str">
        <f>_xlfn.IFNA(VLOOKUP($BD762,Programma!$F$3:$L$1107,7,0),"")</f>
        <v/>
      </c>
      <c r="BK762" s="300" t="str">
        <f>_xlfn.IFNA(VLOOKUP($BD762,Programma!$F$3:$M$1107,8,0),"")</f>
        <v/>
      </c>
      <c r="BL762" s="300" t="str">
        <f>_xlfn.IFNA(VLOOKUP($BD762,Programma!$F$3:$N$1107,9,0),"")</f>
        <v/>
      </c>
      <c r="BM762" s="300" t="str">
        <f>_xlfn.IFNA(VLOOKUP($BD762,Programma!$F$3:$O$1107,10,0),"")</f>
        <v/>
      </c>
      <c r="BN762" s="300" t="str">
        <f>_xlfn.IFNA(VLOOKUP($BD762,Programma!$F$3:$P$1107,11,0),"")</f>
        <v/>
      </c>
      <c r="BO762" s="300" t="str">
        <f>_xlfn.IFNA(VLOOKUP($BD762,Programma!$F$3:$Q$1107,12,0),"")</f>
        <v/>
      </c>
      <c r="BP762" s="300" t="str">
        <f>_xlfn.IFNA(VLOOKUP($BD762,Programma!$F$3:$R$1107,13,0),"")</f>
        <v/>
      </c>
      <c r="BQ762" s="300" t="str">
        <f>_xlfn.IFNA(VLOOKUP($BD762,Programma!$F$3:$S$1107,14,0),"")</f>
        <v/>
      </c>
      <c r="BR762" s="300" t="str">
        <f>_xlfn.IFNA(VLOOKUP($BD762,Programma!$F$3:$T$1107,15,0),"")</f>
        <v/>
      </c>
      <c r="BS762" s="300" t="str">
        <f>_xlfn.IFNA(VLOOKUP($BD762,Programma!$F$3:$U$1107,16,0),"")</f>
        <v/>
      </c>
      <c r="BT762" s="300" t="str">
        <f>_xlfn.IFNA(VLOOKUP($BD762,Programma!$F$3:$V$1107,17,0),"")</f>
        <v/>
      </c>
      <c r="BU762" s="300" t="str">
        <f>_xlfn.IFNA(VLOOKUP($BD762,Programma!$F$3:$W$1107,18,0),"")</f>
        <v/>
      </c>
      <c r="BV762" s="300" t="str">
        <f>_xlfn.IFNA(VLOOKUP($BD762,Programma!$F$3:$X$1107,19,0),"")</f>
        <v/>
      </c>
      <c r="BW762" s="300" t="str">
        <f>_xlfn.IFNA(VLOOKUP($BD762,Programma!$F$3:$Y$1107,20,0),"")</f>
        <v/>
      </c>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c r="GK762" s="4"/>
      <c r="GL762" s="4"/>
      <c r="GM762" s="4"/>
      <c r="GN762" s="4"/>
      <c r="GO762" s="4"/>
      <c r="GP762" s="4"/>
      <c r="GQ762" s="4"/>
      <c r="GR762" s="4"/>
      <c r="GS762" s="4"/>
      <c r="GT762" s="4"/>
      <c r="GU762" s="4"/>
      <c r="GV762" s="4"/>
      <c r="GW762" s="4"/>
      <c r="GX762" s="4"/>
      <c r="GY762" s="4"/>
      <c r="GZ762" s="4"/>
      <c r="HA762" s="4"/>
      <c r="HB762" s="4"/>
      <c r="HC762" s="4"/>
      <c r="HD762" s="4"/>
      <c r="HE762" s="4"/>
      <c r="HF762" s="4"/>
      <c r="HG762" s="4"/>
      <c r="HH762" s="4"/>
      <c r="HI762" s="4"/>
      <c r="HJ762" s="4"/>
      <c r="HK762" s="4"/>
      <c r="HL762" s="4"/>
    </row>
    <row r="763" spans="1:220" ht="15" customHeight="1">
      <c r="A763" s="21">
        <v>8</v>
      </c>
      <c r="B763" s="157" t="str">
        <f>VLOOKUP(Ruimtestaat[[#This Row],[Code]],Locaties[[Code]:[Locatie]],2,FALSE)</f>
        <v>Dalton College</v>
      </c>
      <c r="C763" s="157" t="str">
        <f>VLOOKUP(Ruimtestaat[[#This Row],[Code]],Locaties[[#All],[Code]:[Adres]],4,FALSE)</f>
        <v>Loolaan 125</v>
      </c>
      <c r="D763" s="157" t="str">
        <f>VLOOKUP(Ruimtestaat[[#This Row],[Code]],Locaties[[#All],[Code]:[Postcode]],5,FALSE)</f>
        <v xml:space="preserve">2271 TM </v>
      </c>
      <c r="E763" s="157" t="str">
        <f>VLOOKUP(Ruimtestaat[[#This Row],[Code]],Locaties[#All],6,FALSE)</f>
        <v>Voorburg</v>
      </c>
      <c r="F763" s="62"/>
      <c r="G763" s="21" t="s">
        <v>1624</v>
      </c>
      <c r="H763" s="21" t="s">
        <v>1691</v>
      </c>
      <c r="I763" s="62" t="s">
        <v>2243</v>
      </c>
      <c r="J763" s="21">
        <v>6</v>
      </c>
      <c r="K763" s="62" t="str">
        <f>VLOOKUP(Ruimtestaat[[#This Row],[Ruimte code]],Ruimtegroepen[[#All],[Code]:[Ruimte omschrijving]],2,FALSE)</f>
        <v>Gangen/hallen</v>
      </c>
      <c r="L763" s="33" t="s">
        <v>101</v>
      </c>
      <c r="M763" s="367" t="s">
        <v>2495</v>
      </c>
      <c r="N763" s="140">
        <v>122</v>
      </c>
      <c r="O763" s="140"/>
      <c r="P763" s="125" t="str">
        <f>VLOOKUP(Ruimtestaat[[#This Row],[Ruimte code]],Ruimtegroepen[],4,FALSE)</f>
        <v>Ve</v>
      </c>
      <c r="R763" s="33">
        <v>40</v>
      </c>
      <c r="S763" s="33" t="s">
        <v>2</v>
      </c>
      <c r="T763" s="33">
        <f>IF(R763&gt;0,IF(RIGHT(Ruimtestaat[[#This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63" s="33">
        <f>IF(T763&gt;0,VLOOKUP($J763,Ruimtegroepen[],3,FALSE)*VLOOKUP($L763,Vloersoorten[],3,FALSE)*VLOOKUP($S763,Frequenties[],3,FALSE)*VLOOKUP($A763,Locaties[],3,FALSE),0)</f>
        <v>0</v>
      </c>
      <c r="V763" s="33">
        <f>Ruimtestaat[[#This Row],[Uitvoeringen werkdagen]]*Ruimtestaat[[#This Row],[Oppervlak (netto)]]</f>
        <v>24400</v>
      </c>
      <c r="W763" s="154">
        <f>IF(U763&gt;0,Ruimtestaat[[#This Row],[Prest. (m2 /jaar) werkdagen]]/Ruimtestaat[[#This Row],[Norm (m2/uur) werkdagen]],0)</f>
        <v>0</v>
      </c>
      <c r="X763" s="155">
        <f>Ruimtestaat[[#This Row],[uren / jaar werkdagen]]*Tariefsopbouw!$E$35</f>
        <v>0</v>
      </c>
      <c r="Y763" s="33"/>
      <c r="Z763" s="33">
        <f>IF(Ruimtestaat[[#This Row],[Frequentie weekend]]&gt;0,VALUE(LEFT(Y763,1))*R763,0)</f>
        <v>0</v>
      </c>
      <c r="AA763" s="97">
        <f>IF($Z763&gt;0,VLOOKUP($J763,Ruimtegroepen[],3,FALSE)*VLOOKUP($L763,Vloersoorten[],3,FALSE)*VLOOKUP($Y763,Frequenties[],3,FALSE)*VLOOKUP(Ruimtestaat[[#This Row],[Code]],Locaties[],3,FALSE),0)</f>
        <v>0</v>
      </c>
      <c r="AB763" s="97">
        <f>Ruimtestaat[[#This Row],[Uitvoeringen weekend]]*Ruimtestaat[[#This Row],[Oppervlak (netto)]]</f>
        <v>0</v>
      </c>
      <c r="AC763" s="97">
        <f>IF(AA763&gt;0,Ruimtestaat[[#This Row],[Prest. (m2 /jaar) weekend]]/Ruimtestaat[[#This Row],[Norm (m2/uur) weekend]],0)</f>
        <v>0</v>
      </c>
      <c r="AD763" s="155">
        <f>Ruimtestaat[[#This Row],[uren / jaar weekend]]*Tariefsopbouw!$D$40</f>
        <v>0</v>
      </c>
      <c r="AE763" s="154">
        <f>Ruimtestaat[[#This Row],[Prest. (m2 /jaar) weekend]]+Ruimtestaat[[#This Row],[Prest. (m2 /jaar) werkdagen]]</f>
        <v>24400</v>
      </c>
      <c r="AF763" s="154">
        <f>Ruimtestaat[[#This Row],[uren / jaar weekend]]+Ruimtestaat[[#This Row],[uren / jaar werkdagen]]</f>
        <v>0</v>
      </c>
      <c r="AG763" s="69">
        <f>Ruimtestaat[[#This Row],[kosten / jaar weekend]]+Ruimtestaat[[#This Row],[kosten / jaar werkdagen]]</f>
        <v>0</v>
      </c>
      <c r="AH763" s="69"/>
      <c r="AI763" s="256" t="str">
        <f>IF(Ruimtestaat[[#This Row],[Frequentie werkdagen]]="","",_xlfn.CONCAT(Ruimtestaat[[#This Row],[Ruimte code]],"-",Ruimtestaat[[#This Row],[Frequentie werkdagen]]," ",Ruimtestaat[[#This Row],[Vloer code]]))</f>
        <v>6-5w L</v>
      </c>
      <c r="AJ763" s="300" t="str">
        <f>_xlfn.IFNA(VLOOKUP($AI763,Programma!$F$3:$G$1107,2,0),"")</f>
        <v>_</v>
      </c>
      <c r="AK763" s="300" t="str">
        <f>_xlfn.IFNA(VLOOKUP($AI763,Programma!$F$3:$H$1107,3,0),"")</f>
        <v>_</v>
      </c>
      <c r="AL763" s="300" t="str">
        <f>_xlfn.IFNA(VLOOKUP($AI763,Programma!$F$3:$I$1107,4,0),"")</f>
        <v>_</v>
      </c>
      <c r="AM763" s="300" t="str">
        <f>_xlfn.IFNA(VLOOKUP($AI763,Programma!$F$3:$J$1107,5,0),"")</f>
        <v>5w</v>
      </c>
      <c r="AN763" s="300" t="str">
        <f>_xlfn.IFNA(VLOOKUP($AI763,Programma!$F$3:$K$1107,6,0),"")</f>
        <v>_</v>
      </c>
      <c r="AO763" s="300" t="str">
        <f>_xlfn.IFNA(VLOOKUP($AI763,Programma!$F$3:$L$1107,7,0),"")</f>
        <v>_</v>
      </c>
      <c r="AP763" s="300" t="str">
        <f>_xlfn.IFNA(VLOOKUP($AI763,Programma!$F$3:$M$1107,8,0),"")</f>
        <v>_</v>
      </c>
      <c r="AQ763" s="300" t="str">
        <f>_xlfn.IFNA(VLOOKUP($AI763,Programma!$F$3:$N$1107,9,0),"")</f>
        <v>_</v>
      </c>
      <c r="AR763" s="300" t="str">
        <f>_xlfn.IFNA(VLOOKUP($AI763,Programma!$F$3:$O$1107,10,0),"")</f>
        <v>5w</v>
      </c>
      <c r="AS763" s="300" t="str">
        <f>_xlfn.IFNA(VLOOKUP($AI763,Programma!$F$3:$P$1107,11,0),"")</f>
        <v>5w</v>
      </c>
      <c r="AT763" s="300" t="str">
        <f>_xlfn.IFNA(VLOOKUP($AI763,Programma!$F$3:$Q$1107,12,0),"")</f>
        <v>1w</v>
      </c>
      <c r="AU763" s="300" t="str">
        <f>_xlfn.IFNA(VLOOKUP($AI763,Programma!$F$3:$R$1107,13,0),"")</f>
        <v>1w</v>
      </c>
      <c r="AV763" s="300" t="str">
        <f>_xlfn.IFNA(VLOOKUP($AI763,Programma!$F$3:$S$1107,14,0),"")</f>
        <v>1m</v>
      </c>
      <c r="AW763" s="300" t="str">
        <f>_xlfn.IFNA(VLOOKUP($AI763,Programma!$F$3:$T$1107,15,0),"")</f>
        <v>2j</v>
      </c>
      <c r="AX763" s="300" t="str">
        <f>_xlfn.IFNA(VLOOKUP($AI763,Programma!$F$3:$U$1107,16,0),"")</f>
        <v>1j</v>
      </c>
      <c r="AY763" s="300" t="str">
        <f>_xlfn.IFNA(VLOOKUP($AI763,Programma!$F$3:$V$1107,17,0),"")</f>
        <v>_</v>
      </c>
      <c r="AZ763" s="300" t="str">
        <f>_xlfn.IFNA(VLOOKUP($AI763,Programma!$F$3:$W$1107,18,0),"")</f>
        <v>_</v>
      </c>
      <c r="BA763" s="300" t="str">
        <f>_xlfn.IFNA(VLOOKUP($AI763,Programma!$F$3:$X$1107,19,0),"")</f>
        <v>_</v>
      </c>
      <c r="BB763" s="300" t="str">
        <f>_xlfn.IFNA(VLOOKUP($AI763,Programma!$F$3:$Y$1107,20,0),"")</f>
        <v>_</v>
      </c>
      <c r="BC763" s="257"/>
      <c r="BD763" s="256" t="str">
        <f>IF(Ruimtestaat[[#This Row],[Frequentie weekend]]="","",_xlfn.CONCAT(Ruimtestaat[[#This Row],[Ruimte code]],"-",Ruimtestaat[[#This Row],[Frequentie weekend]]," ",Ruimtestaat[[#This Row],[Vloer code]]))</f>
        <v/>
      </c>
      <c r="BE763" s="300" t="str">
        <f>_xlfn.IFNA(VLOOKUP($BD763,Programma!$F$3:$G$1107,2,0),"")</f>
        <v/>
      </c>
      <c r="BF763" s="300" t="str">
        <f>_xlfn.IFNA(VLOOKUP($BD763,Programma!$F$3:$H$1107,3,0),"")</f>
        <v/>
      </c>
      <c r="BG763" s="300" t="str">
        <f>_xlfn.IFNA(VLOOKUP($BD763,Programma!$F$3:$I$1107,4,0),"")</f>
        <v/>
      </c>
      <c r="BH763" s="300" t="str">
        <f>_xlfn.IFNA(VLOOKUP($BD763,Programma!$F$3:$J$1107,5,0),"")</f>
        <v/>
      </c>
      <c r="BI763" s="300" t="str">
        <f>_xlfn.IFNA(VLOOKUP($BD763,Programma!$F$3:$K$1107,6,0),"")</f>
        <v/>
      </c>
      <c r="BJ763" s="300" t="str">
        <f>_xlfn.IFNA(VLOOKUP($BD763,Programma!$F$3:$L$1107,7,0),"")</f>
        <v/>
      </c>
      <c r="BK763" s="300" t="str">
        <f>_xlfn.IFNA(VLOOKUP($BD763,Programma!$F$3:$M$1107,8,0),"")</f>
        <v/>
      </c>
      <c r="BL763" s="300" t="str">
        <f>_xlfn.IFNA(VLOOKUP($BD763,Programma!$F$3:$N$1107,9,0),"")</f>
        <v/>
      </c>
      <c r="BM763" s="300" t="str">
        <f>_xlfn.IFNA(VLOOKUP($BD763,Programma!$F$3:$O$1107,10,0),"")</f>
        <v/>
      </c>
      <c r="BN763" s="300" t="str">
        <f>_xlfn.IFNA(VLOOKUP($BD763,Programma!$F$3:$P$1107,11,0),"")</f>
        <v/>
      </c>
      <c r="BO763" s="300" t="str">
        <f>_xlfn.IFNA(VLOOKUP($BD763,Programma!$F$3:$Q$1107,12,0),"")</f>
        <v/>
      </c>
      <c r="BP763" s="300" t="str">
        <f>_xlfn.IFNA(VLOOKUP($BD763,Programma!$F$3:$R$1107,13,0),"")</f>
        <v/>
      </c>
      <c r="BQ763" s="300" t="str">
        <f>_xlfn.IFNA(VLOOKUP($BD763,Programma!$F$3:$S$1107,14,0),"")</f>
        <v/>
      </c>
      <c r="BR763" s="300" t="str">
        <f>_xlfn.IFNA(VLOOKUP($BD763,Programma!$F$3:$T$1107,15,0),"")</f>
        <v/>
      </c>
      <c r="BS763" s="300" t="str">
        <f>_xlfn.IFNA(VLOOKUP($BD763,Programma!$F$3:$U$1107,16,0),"")</f>
        <v/>
      </c>
      <c r="BT763" s="300" t="str">
        <f>_xlfn.IFNA(VLOOKUP($BD763,Programma!$F$3:$V$1107,17,0),"")</f>
        <v/>
      </c>
      <c r="BU763" s="300" t="str">
        <f>_xlfn.IFNA(VLOOKUP($BD763,Programma!$F$3:$W$1107,18,0),"")</f>
        <v/>
      </c>
      <c r="BV763" s="300" t="str">
        <f>_xlfn.IFNA(VLOOKUP($BD763,Programma!$F$3:$X$1107,19,0),"")</f>
        <v/>
      </c>
      <c r="BW763" s="300" t="str">
        <f>_xlfn.IFNA(VLOOKUP($BD763,Programma!$F$3:$Y$1107,20,0),"")</f>
        <v/>
      </c>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c r="GK763" s="4"/>
      <c r="GL763" s="4"/>
      <c r="GM763" s="4"/>
      <c r="GN763" s="4"/>
      <c r="GO763" s="4"/>
      <c r="GP763" s="4"/>
      <c r="GQ763" s="4"/>
      <c r="GR763" s="4"/>
      <c r="GS763" s="4"/>
      <c r="GT763" s="4"/>
      <c r="GU763" s="4"/>
      <c r="GV763" s="4"/>
      <c r="GW763" s="4"/>
      <c r="GX763" s="4"/>
      <c r="GY763" s="4"/>
      <c r="GZ763" s="4"/>
      <c r="HA763" s="4"/>
      <c r="HB763" s="4"/>
      <c r="HC763" s="4"/>
      <c r="HD763" s="4"/>
      <c r="HE763" s="4"/>
      <c r="HF763" s="4"/>
      <c r="HG763" s="4"/>
      <c r="HH763" s="4"/>
      <c r="HI763" s="4"/>
      <c r="HJ763" s="4"/>
      <c r="HK763" s="4"/>
      <c r="HL763" s="4"/>
    </row>
    <row r="764" spans="1:220" ht="15" customHeight="1">
      <c r="A764" s="21">
        <v>8</v>
      </c>
      <c r="B764" s="157" t="str">
        <f>VLOOKUP(Ruimtestaat[[#This Row],[Code]],Locaties[[Code]:[Locatie]],2,FALSE)</f>
        <v>Dalton College</v>
      </c>
      <c r="C764" s="157" t="str">
        <f>VLOOKUP(Ruimtestaat[[#This Row],[Code]],Locaties[[#All],[Code]:[Adres]],4,FALSE)</f>
        <v>Loolaan 125</v>
      </c>
      <c r="D764" s="157" t="str">
        <f>VLOOKUP(Ruimtestaat[[#This Row],[Code]],Locaties[[#All],[Code]:[Postcode]],5,FALSE)</f>
        <v xml:space="preserve">2271 TM </v>
      </c>
      <c r="E764" s="157" t="str">
        <f>VLOOKUP(Ruimtestaat[[#This Row],[Code]],Locaties[#All],6,FALSE)</f>
        <v>Voorburg</v>
      </c>
      <c r="F764" s="62"/>
      <c r="G764" s="21" t="s">
        <v>1624</v>
      </c>
      <c r="H764" s="21" t="s">
        <v>1693</v>
      </c>
      <c r="I764" s="62" t="s">
        <v>2142</v>
      </c>
      <c r="J764" s="21">
        <v>1</v>
      </c>
      <c r="K764" s="62" t="str">
        <f>VLOOKUP(Ruimtestaat[[#This Row],[Ruimte code]],Ruimtegroepen[[#All],[Code]:[Ruimte omschrijving]],2,FALSE)</f>
        <v>Magazijnen/bergingen</v>
      </c>
      <c r="L764" s="33" t="s">
        <v>101</v>
      </c>
      <c r="M764" s="367" t="s">
        <v>2495</v>
      </c>
      <c r="N764" s="140">
        <v>92</v>
      </c>
      <c r="O764" s="140"/>
      <c r="P764" s="125" t="str">
        <f>VLOOKUP(Ruimtestaat[[#This Row],[Ruimte code]],Ruimtegroepen[],4,FALSE)</f>
        <v>Ve</v>
      </c>
      <c r="R764" s="33">
        <v>40</v>
      </c>
      <c r="S764" s="33" t="s">
        <v>16</v>
      </c>
      <c r="T764" s="33">
        <f>IF(R764&gt;0,IF(RIGHT(Ruimtestaat[[#This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764" s="33">
        <f>IF(T764&gt;0,VLOOKUP($J764,Ruimtegroepen[],3,FALSE)*VLOOKUP($L764,Vloersoorten[],3,FALSE)*VLOOKUP($S764,Frequenties[],3,FALSE)*VLOOKUP($A764,Locaties[],3,FALSE),0)</f>
        <v>0</v>
      </c>
      <c r="V764" s="33">
        <f>Ruimtestaat[[#This Row],[Uitvoeringen werkdagen]]*Ruimtestaat[[#This Row],[Oppervlak (netto)]]</f>
        <v>1104</v>
      </c>
      <c r="W764" s="154">
        <f>IF(U764&gt;0,Ruimtestaat[[#This Row],[Prest. (m2 /jaar) werkdagen]]/Ruimtestaat[[#This Row],[Norm (m2/uur) werkdagen]],0)</f>
        <v>0</v>
      </c>
      <c r="X764" s="155">
        <f>Ruimtestaat[[#This Row],[uren / jaar werkdagen]]*Tariefsopbouw!$E$35</f>
        <v>0</v>
      </c>
      <c r="Y764" s="33"/>
      <c r="Z764" s="33">
        <f>IF(Ruimtestaat[[#This Row],[Frequentie weekend]]&gt;0,VALUE(LEFT(Y764,1))*R764,0)</f>
        <v>0</v>
      </c>
      <c r="AA764" s="97">
        <f>IF($Z764&gt;0,VLOOKUP($J764,Ruimtegroepen[],3,FALSE)*VLOOKUP($L764,Vloersoorten[],3,FALSE)*VLOOKUP($Y764,Frequenties[],3,FALSE)*VLOOKUP(Ruimtestaat[[#This Row],[Code]],Locaties[],3,FALSE),0)</f>
        <v>0</v>
      </c>
      <c r="AB764" s="97">
        <f>Ruimtestaat[[#This Row],[Uitvoeringen weekend]]*Ruimtestaat[[#This Row],[Oppervlak (netto)]]</f>
        <v>0</v>
      </c>
      <c r="AC764" s="97">
        <f>IF(AA764&gt;0,Ruimtestaat[[#This Row],[Prest. (m2 /jaar) weekend]]/Ruimtestaat[[#This Row],[Norm (m2/uur) weekend]],0)</f>
        <v>0</v>
      </c>
      <c r="AD764" s="155">
        <f>Ruimtestaat[[#This Row],[uren / jaar weekend]]*Tariefsopbouw!$D$40</f>
        <v>0</v>
      </c>
      <c r="AE764" s="154">
        <f>Ruimtestaat[[#This Row],[Prest. (m2 /jaar) weekend]]+Ruimtestaat[[#This Row],[Prest. (m2 /jaar) werkdagen]]</f>
        <v>1104</v>
      </c>
      <c r="AF764" s="154">
        <f>Ruimtestaat[[#This Row],[uren / jaar weekend]]+Ruimtestaat[[#This Row],[uren / jaar werkdagen]]</f>
        <v>0</v>
      </c>
      <c r="AG764" s="69">
        <f>Ruimtestaat[[#This Row],[kosten / jaar weekend]]+Ruimtestaat[[#This Row],[kosten / jaar werkdagen]]</f>
        <v>0</v>
      </c>
      <c r="AH764" s="69"/>
      <c r="AI764" s="256" t="str">
        <f>IF(Ruimtestaat[[#This Row],[Frequentie werkdagen]]="","",_xlfn.CONCAT(Ruimtestaat[[#This Row],[Ruimte code]],"-",Ruimtestaat[[#This Row],[Frequentie werkdagen]]," ",Ruimtestaat[[#This Row],[Vloer code]]))</f>
        <v>1-1m L</v>
      </c>
      <c r="AJ764" s="300" t="str">
        <f>_xlfn.IFNA(VLOOKUP($AI764,Programma!$F$3:$G$1107,2,0),"")</f>
        <v>_</v>
      </c>
      <c r="AK764" s="300" t="str">
        <f>_xlfn.IFNA(VLOOKUP($AI764,Programma!$F$3:$H$1107,3,0),"")</f>
        <v>_</v>
      </c>
      <c r="AL764" s="300" t="str">
        <f>_xlfn.IFNA(VLOOKUP($AI764,Programma!$F$3:$I$1107,4,0),"")</f>
        <v>1m</v>
      </c>
      <c r="AM764" s="300" t="str">
        <f>_xlfn.IFNA(VLOOKUP($AI764,Programma!$F$3:$J$1107,5,0),"")</f>
        <v>1m</v>
      </c>
      <c r="AN764" s="300" t="str">
        <f>_xlfn.IFNA(VLOOKUP($AI764,Programma!$F$3:$K$1107,6,0),"")</f>
        <v>_</v>
      </c>
      <c r="AO764" s="300" t="str">
        <f>_xlfn.IFNA(VLOOKUP($AI764,Programma!$F$3:$L$1107,7,0),"")</f>
        <v>_</v>
      </c>
      <c r="AP764" s="300" t="str">
        <f>_xlfn.IFNA(VLOOKUP($AI764,Programma!$F$3:$M$1107,8,0),"")</f>
        <v>_</v>
      </c>
      <c r="AQ764" s="300" t="str">
        <f>_xlfn.IFNA(VLOOKUP($AI764,Programma!$F$3:$N$1107,9,0),"")</f>
        <v>_</v>
      </c>
      <c r="AR764" s="300" t="str">
        <f>_xlfn.IFNA(VLOOKUP($AI764,Programma!$F$3:$O$1107,10,0),"")</f>
        <v>_</v>
      </c>
      <c r="AS764" s="300" t="str">
        <f>_xlfn.IFNA(VLOOKUP($AI764,Programma!$F$3:$P$1107,11,0),"")</f>
        <v>_</v>
      </c>
      <c r="AT764" s="300" t="str">
        <f>_xlfn.IFNA(VLOOKUP($AI764,Programma!$F$3:$Q$1107,12,0),"")</f>
        <v>_</v>
      </c>
      <c r="AU764" s="300" t="str">
        <f>_xlfn.IFNA(VLOOKUP($AI764,Programma!$F$3:$R$1107,13,0),"")</f>
        <v>_</v>
      </c>
      <c r="AV764" s="300" t="str">
        <f>_xlfn.IFNA(VLOOKUP($AI764,Programma!$F$3:$S$1107,14,0),"")</f>
        <v>1m</v>
      </c>
      <c r="AW764" s="300" t="str">
        <f>_xlfn.IFNA(VLOOKUP($AI764,Programma!$F$3:$T$1107,15,0),"")</f>
        <v>4j</v>
      </c>
      <c r="AX764" s="300" t="str">
        <f>_xlfn.IFNA(VLOOKUP($AI764,Programma!$F$3:$U$1107,16,0),"")</f>
        <v>4j</v>
      </c>
      <c r="AY764" s="300" t="str">
        <f>_xlfn.IFNA(VLOOKUP($AI764,Programma!$F$3:$V$1107,17,0),"")</f>
        <v>_</v>
      </c>
      <c r="AZ764" s="300" t="str">
        <f>_xlfn.IFNA(VLOOKUP($AI764,Programma!$F$3:$W$1107,18,0),"")</f>
        <v>_</v>
      </c>
      <c r="BA764" s="300" t="str">
        <f>_xlfn.IFNA(VLOOKUP($AI764,Programma!$F$3:$X$1107,19,0),"")</f>
        <v>_</v>
      </c>
      <c r="BB764" s="300" t="str">
        <f>_xlfn.IFNA(VLOOKUP($AI764,Programma!$F$3:$Y$1107,20,0),"")</f>
        <v>_</v>
      </c>
      <c r="BC764" s="257"/>
      <c r="BD764" s="256" t="str">
        <f>IF(Ruimtestaat[[#This Row],[Frequentie weekend]]="","",_xlfn.CONCAT(Ruimtestaat[[#This Row],[Ruimte code]],"-",Ruimtestaat[[#This Row],[Frequentie weekend]]," ",Ruimtestaat[[#This Row],[Vloer code]]))</f>
        <v/>
      </c>
      <c r="BE764" s="300" t="str">
        <f>_xlfn.IFNA(VLOOKUP($BD764,Programma!$F$3:$G$1107,2,0),"")</f>
        <v/>
      </c>
      <c r="BF764" s="300" t="str">
        <f>_xlfn.IFNA(VLOOKUP($BD764,Programma!$F$3:$H$1107,3,0),"")</f>
        <v/>
      </c>
      <c r="BG764" s="300" t="str">
        <f>_xlfn.IFNA(VLOOKUP($BD764,Programma!$F$3:$I$1107,4,0),"")</f>
        <v/>
      </c>
      <c r="BH764" s="300" t="str">
        <f>_xlfn.IFNA(VLOOKUP($BD764,Programma!$F$3:$J$1107,5,0),"")</f>
        <v/>
      </c>
      <c r="BI764" s="300" t="str">
        <f>_xlfn.IFNA(VLOOKUP($BD764,Programma!$F$3:$K$1107,6,0),"")</f>
        <v/>
      </c>
      <c r="BJ764" s="300" t="str">
        <f>_xlfn.IFNA(VLOOKUP($BD764,Programma!$F$3:$L$1107,7,0),"")</f>
        <v/>
      </c>
      <c r="BK764" s="300" t="str">
        <f>_xlfn.IFNA(VLOOKUP($BD764,Programma!$F$3:$M$1107,8,0),"")</f>
        <v/>
      </c>
      <c r="BL764" s="300" t="str">
        <f>_xlfn.IFNA(VLOOKUP($BD764,Programma!$F$3:$N$1107,9,0),"")</f>
        <v/>
      </c>
      <c r="BM764" s="300" t="str">
        <f>_xlfn.IFNA(VLOOKUP($BD764,Programma!$F$3:$O$1107,10,0),"")</f>
        <v/>
      </c>
      <c r="BN764" s="300" t="str">
        <f>_xlfn.IFNA(VLOOKUP($BD764,Programma!$F$3:$P$1107,11,0),"")</f>
        <v/>
      </c>
      <c r="BO764" s="300" t="str">
        <f>_xlfn.IFNA(VLOOKUP($BD764,Programma!$F$3:$Q$1107,12,0),"")</f>
        <v/>
      </c>
      <c r="BP764" s="300" t="str">
        <f>_xlfn.IFNA(VLOOKUP($BD764,Programma!$F$3:$R$1107,13,0),"")</f>
        <v/>
      </c>
      <c r="BQ764" s="300" t="str">
        <f>_xlfn.IFNA(VLOOKUP($BD764,Programma!$F$3:$S$1107,14,0),"")</f>
        <v/>
      </c>
      <c r="BR764" s="300" t="str">
        <f>_xlfn.IFNA(VLOOKUP($BD764,Programma!$F$3:$T$1107,15,0),"")</f>
        <v/>
      </c>
      <c r="BS764" s="300" t="str">
        <f>_xlfn.IFNA(VLOOKUP($BD764,Programma!$F$3:$U$1107,16,0),"")</f>
        <v/>
      </c>
      <c r="BT764" s="300" t="str">
        <f>_xlfn.IFNA(VLOOKUP($BD764,Programma!$F$3:$V$1107,17,0),"")</f>
        <v/>
      </c>
      <c r="BU764" s="300" t="str">
        <f>_xlfn.IFNA(VLOOKUP($BD764,Programma!$F$3:$W$1107,18,0),"")</f>
        <v/>
      </c>
      <c r="BV764" s="300" t="str">
        <f>_xlfn.IFNA(VLOOKUP($BD764,Programma!$F$3:$X$1107,19,0),"")</f>
        <v/>
      </c>
      <c r="BW764" s="300" t="str">
        <f>_xlfn.IFNA(VLOOKUP($BD764,Programma!$F$3:$Y$1107,20,0),"")</f>
        <v/>
      </c>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c r="GK764" s="4"/>
      <c r="GL764" s="4"/>
      <c r="GM764" s="4"/>
      <c r="GN764" s="4"/>
      <c r="GO764" s="4"/>
      <c r="GP764" s="4"/>
      <c r="GQ764" s="4"/>
      <c r="GR764" s="4"/>
      <c r="GS764" s="4"/>
      <c r="GT764" s="4"/>
      <c r="GU764" s="4"/>
      <c r="GV764" s="4"/>
      <c r="GW764" s="4"/>
      <c r="GX764" s="4"/>
      <c r="GY764" s="4"/>
      <c r="GZ764" s="4"/>
      <c r="HA764" s="4"/>
      <c r="HB764" s="4"/>
      <c r="HC764" s="4"/>
      <c r="HD764" s="4"/>
      <c r="HE764" s="4"/>
      <c r="HF764" s="4"/>
      <c r="HG764" s="4"/>
      <c r="HH764" s="4"/>
      <c r="HI764" s="4"/>
      <c r="HJ764" s="4"/>
      <c r="HK764" s="4"/>
      <c r="HL764" s="4"/>
    </row>
    <row r="765" spans="1:220" ht="15" customHeight="1">
      <c r="A765" s="21">
        <v>8</v>
      </c>
      <c r="B765" s="157" t="str">
        <f>VLOOKUP(Ruimtestaat[[#This Row],[Code]],Locaties[[Code]:[Locatie]],2,FALSE)</f>
        <v>Dalton College</v>
      </c>
      <c r="C765" s="157" t="str">
        <f>VLOOKUP(Ruimtestaat[[#This Row],[Code]],Locaties[[#All],[Code]:[Adres]],4,FALSE)</f>
        <v>Loolaan 125</v>
      </c>
      <c r="D765" s="157" t="str">
        <f>VLOOKUP(Ruimtestaat[[#This Row],[Code]],Locaties[[#All],[Code]:[Postcode]],5,FALSE)</f>
        <v xml:space="preserve">2271 TM </v>
      </c>
      <c r="E765" s="157" t="str">
        <f>VLOOKUP(Ruimtestaat[[#This Row],[Code]],Locaties[#All],6,FALSE)</f>
        <v>Voorburg</v>
      </c>
      <c r="F765" s="62"/>
      <c r="G765" s="21" t="s">
        <v>1624</v>
      </c>
      <c r="H765" s="21" t="s">
        <v>1695</v>
      </c>
      <c r="I765" s="62" t="s">
        <v>1625</v>
      </c>
      <c r="J765" s="21">
        <v>6</v>
      </c>
      <c r="K765" s="62" t="str">
        <f>VLOOKUP(Ruimtestaat[[#This Row],[Ruimte code]],Ruimtegroepen[[#All],[Code]:[Ruimte omschrijving]],2,FALSE)</f>
        <v>Gangen/hallen</v>
      </c>
      <c r="L765" s="33" t="s">
        <v>102</v>
      </c>
      <c r="M765" s="367" t="s">
        <v>2509</v>
      </c>
      <c r="N765" s="140">
        <v>43</v>
      </c>
      <c r="O765" s="140"/>
      <c r="P765" s="125" t="str">
        <f>VLOOKUP(Ruimtestaat[[#This Row],[Ruimte code]],Ruimtegroepen[],4,FALSE)</f>
        <v>Ve</v>
      </c>
      <c r="R765" s="33">
        <v>40</v>
      </c>
      <c r="S765" s="33" t="s">
        <v>2</v>
      </c>
      <c r="T765" s="33">
        <f>IF(R765&gt;0,IF(RIGHT(Ruimtestaat[[#This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65" s="33">
        <f>IF(T765&gt;0,VLOOKUP($J765,Ruimtegroepen[],3,FALSE)*VLOOKUP($L765,Vloersoorten[],3,FALSE)*VLOOKUP($S765,Frequenties[],3,FALSE)*VLOOKUP($A765,Locaties[],3,FALSE),0)</f>
        <v>0</v>
      </c>
      <c r="V765" s="33">
        <f>Ruimtestaat[[#This Row],[Uitvoeringen werkdagen]]*Ruimtestaat[[#This Row],[Oppervlak (netto)]]</f>
        <v>8600</v>
      </c>
      <c r="W765" s="154">
        <f>IF(U765&gt;0,Ruimtestaat[[#This Row],[Prest. (m2 /jaar) werkdagen]]/Ruimtestaat[[#This Row],[Norm (m2/uur) werkdagen]],0)</f>
        <v>0</v>
      </c>
      <c r="X765" s="155">
        <f>Ruimtestaat[[#This Row],[uren / jaar werkdagen]]*Tariefsopbouw!$E$35</f>
        <v>0</v>
      </c>
      <c r="Y765" s="33"/>
      <c r="Z765" s="33">
        <f>IF(Ruimtestaat[[#This Row],[Frequentie weekend]]&gt;0,VALUE(LEFT(Y765,1))*R765,0)</f>
        <v>0</v>
      </c>
      <c r="AA765" s="97">
        <f>IF($Z765&gt;0,VLOOKUP($J765,Ruimtegroepen[],3,FALSE)*VLOOKUP($L765,Vloersoorten[],3,FALSE)*VLOOKUP($Y765,Frequenties[],3,FALSE)*VLOOKUP(Ruimtestaat[[#This Row],[Code]],Locaties[],3,FALSE),0)</f>
        <v>0</v>
      </c>
      <c r="AB765" s="97">
        <f>Ruimtestaat[[#This Row],[Uitvoeringen weekend]]*Ruimtestaat[[#This Row],[Oppervlak (netto)]]</f>
        <v>0</v>
      </c>
      <c r="AC765" s="97">
        <f>IF(AA765&gt;0,Ruimtestaat[[#This Row],[Prest. (m2 /jaar) weekend]]/Ruimtestaat[[#This Row],[Norm (m2/uur) weekend]],0)</f>
        <v>0</v>
      </c>
      <c r="AD765" s="155">
        <f>Ruimtestaat[[#This Row],[uren / jaar weekend]]*Tariefsopbouw!$D$40</f>
        <v>0</v>
      </c>
      <c r="AE765" s="154">
        <f>Ruimtestaat[[#This Row],[Prest. (m2 /jaar) weekend]]+Ruimtestaat[[#This Row],[Prest. (m2 /jaar) werkdagen]]</f>
        <v>8600</v>
      </c>
      <c r="AF765" s="154">
        <f>Ruimtestaat[[#This Row],[uren / jaar weekend]]+Ruimtestaat[[#This Row],[uren / jaar werkdagen]]</f>
        <v>0</v>
      </c>
      <c r="AG765" s="69">
        <f>Ruimtestaat[[#This Row],[kosten / jaar weekend]]+Ruimtestaat[[#This Row],[kosten / jaar werkdagen]]</f>
        <v>0</v>
      </c>
      <c r="AH765" s="69"/>
      <c r="AI765" s="256" t="str">
        <f>IF(Ruimtestaat[[#This Row],[Frequentie werkdagen]]="","",_xlfn.CONCAT(Ruimtestaat[[#This Row],[Ruimte code]],"-",Ruimtestaat[[#This Row],[Frequentie werkdagen]]," ",Ruimtestaat[[#This Row],[Vloer code]]))</f>
        <v>6-5w S</v>
      </c>
      <c r="AJ765" s="300" t="str">
        <f>_xlfn.IFNA(VLOOKUP($AI765,Programma!$F$3:$G$1107,2,0),"")</f>
        <v>_</v>
      </c>
      <c r="AK765" s="300" t="str">
        <f>_xlfn.IFNA(VLOOKUP($AI765,Programma!$F$3:$H$1107,3,0),"")</f>
        <v>_</v>
      </c>
      <c r="AL765" s="300" t="str">
        <f>_xlfn.IFNA(VLOOKUP($AI765,Programma!$F$3:$I$1107,4,0),"")</f>
        <v>5w</v>
      </c>
      <c r="AM765" s="300" t="str">
        <f>_xlfn.IFNA(VLOOKUP($AI765,Programma!$F$3:$J$1107,5,0),"")</f>
        <v>_</v>
      </c>
      <c r="AN765" s="300" t="str">
        <f>_xlfn.IFNA(VLOOKUP($AI765,Programma!$F$3:$K$1107,6,0),"")</f>
        <v>5w</v>
      </c>
      <c r="AO765" s="300" t="str">
        <f>_xlfn.IFNA(VLOOKUP($AI765,Programma!$F$3:$L$1107,7,0),"")</f>
        <v>_</v>
      </c>
      <c r="AP765" s="300" t="str">
        <f>_xlfn.IFNA(VLOOKUP($AI765,Programma!$F$3:$M$1107,8,0),"")</f>
        <v>_</v>
      </c>
      <c r="AQ765" s="300" t="str">
        <f>_xlfn.IFNA(VLOOKUP($AI765,Programma!$F$3:$N$1107,9,0),"")</f>
        <v>_</v>
      </c>
      <c r="AR765" s="300" t="str">
        <f>_xlfn.IFNA(VLOOKUP($AI765,Programma!$F$3:$O$1107,10,0),"")</f>
        <v>5w</v>
      </c>
      <c r="AS765" s="300" t="str">
        <f>_xlfn.IFNA(VLOOKUP($AI765,Programma!$F$3:$P$1107,11,0),"")</f>
        <v>5w</v>
      </c>
      <c r="AT765" s="300" t="str">
        <f>_xlfn.IFNA(VLOOKUP($AI765,Programma!$F$3:$Q$1107,12,0),"")</f>
        <v>1w</v>
      </c>
      <c r="AU765" s="300" t="str">
        <f>_xlfn.IFNA(VLOOKUP($AI765,Programma!$F$3:$R$1107,13,0),"")</f>
        <v>1w</v>
      </c>
      <c r="AV765" s="300" t="str">
        <f>_xlfn.IFNA(VLOOKUP($AI765,Programma!$F$3:$S$1107,14,0),"")</f>
        <v>1m</v>
      </c>
      <c r="AW765" s="300" t="str">
        <f>_xlfn.IFNA(VLOOKUP($AI765,Programma!$F$3:$T$1107,15,0),"")</f>
        <v>2j</v>
      </c>
      <c r="AX765" s="300" t="str">
        <f>_xlfn.IFNA(VLOOKUP($AI765,Programma!$F$3:$U$1107,16,0),"")</f>
        <v>1j</v>
      </c>
      <c r="AY765" s="300" t="str">
        <f>_xlfn.IFNA(VLOOKUP($AI765,Programma!$F$3:$V$1107,17,0),"")</f>
        <v>_</v>
      </c>
      <c r="AZ765" s="300" t="str">
        <f>_xlfn.IFNA(VLOOKUP($AI765,Programma!$F$3:$W$1107,18,0),"")</f>
        <v>_</v>
      </c>
      <c r="BA765" s="300" t="str">
        <f>_xlfn.IFNA(VLOOKUP($AI765,Programma!$F$3:$X$1107,19,0),"")</f>
        <v>_</v>
      </c>
      <c r="BB765" s="300" t="str">
        <f>_xlfn.IFNA(VLOOKUP($AI765,Programma!$F$3:$Y$1107,20,0),"")</f>
        <v>_</v>
      </c>
      <c r="BC765" s="257"/>
      <c r="BD765" s="256" t="str">
        <f>IF(Ruimtestaat[[#This Row],[Frequentie weekend]]="","",_xlfn.CONCAT(Ruimtestaat[[#This Row],[Ruimte code]],"-",Ruimtestaat[[#This Row],[Frequentie weekend]]," ",Ruimtestaat[[#This Row],[Vloer code]]))</f>
        <v/>
      </c>
      <c r="BE765" s="300" t="str">
        <f>_xlfn.IFNA(VLOOKUP($BD765,Programma!$F$3:$G$1107,2,0),"")</f>
        <v/>
      </c>
      <c r="BF765" s="300" t="str">
        <f>_xlfn.IFNA(VLOOKUP($BD765,Programma!$F$3:$H$1107,3,0),"")</f>
        <v/>
      </c>
      <c r="BG765" s="300" t="str">
        <f>_xlfn.IFNA(VLOOKUP($BD765,Programma!$F$3:$I$1107,4,0),"")</f>
        <v/>
      </c>
      <c r="BH765" s="300" t="str">
        <f>_xlfn.IFNA(VLOOKUP($BD765,Programma!$F$3:$J$1107,5,0),"")</f>
        <v/>
      </c>
      <c r="BI765" s="300" t="str">
        <f>_xlfn.IFNA(VLOOKUP($BD765,Programma!$F$3:$K$1107,6,0),"")</f>
        <v/>
      </c>
      <c r="BJ765" s="300" t="str">
        <f>_xlfn.IFNA(VLOOKUP($BD765,Programma!$F$3:$L$1107,7,0),"")</f>
        <v/>
      </c>
      <c r="BK765" s="300" t="str">
        <f>_xlfn.IFNA(VLOOKUP($BD765,Programma!$F$3:$M$1107,8,0),"")</f>
        <v/>
      </c>
      <c r="BL765" s="300" t="str">
        <f>_xlfn.IFNA(VLOOKUP($BD765,Programma!$F$3:$N$1107,9,0),"")</f>
        <v/>
      </c>
      <c r="BM765" s="300" t="str">
        <f>_xlfn.IFNA(VLOOKUP($BD765,Programma!$F$3:$O$1107,10,0),"")</f>
        <v/>
      </c>
      <c r="BN765" s="300" t="str">
        <f>_xlfn.IFNA(VLOOKUP($BD765,Programma!$F$3:$P$1107,11,0),"")</f>
        <v/>
      </c>
      <c r="BO765" s="300" t="str">
        <f>_xlfn.IFNA(VLOOKUP($BD765,Programma!$F$3:$Q$1107,12,0),"")</f>
        <v/>
      </c>
      <c r="BP765" s="300" t="str">
        <f>_xlfn.IFNA(VLOOKUP($BD765,Programma!$F$3:$R$1107,13,0),"")</f>
        <v/>
      </c>
      <c r="BQ765" s="300" t="str">
        <f>_xlfn.IFNA(VLOOKUP($BD765,Programma!$F$3:$S$1107,14,0),"")</f>
        <v/>
      </c>
      <c r="BR765" s="300" t="str">
        <f>_xlfn.IFNA(VLOOKUP($BD765,Programma!$F$3:$T$1107,15,0),"")</f>
        <v/>
      </c>
      <c r="BS765" s="300" t="str">
        <f>_xlfn.IFNA(VLOOKUP($BD765,Programma!$F$3:$U$1107,16,0),"")</f>
        <v/>
      </c>
      <c r="BT765" s="300" t="str">
        <f>_xlfn.IFNA(VLOOKUP($BD765,Programma!$F$3:$V$1107,17,0),"")</f>
        <v/>
      </c>
      <c r="BU765" s="300" t="str">
        <f>_xlfn.IFNA(VLOOKUP($BD765,Programma!$F$3:$W$1107,18,0),"")</f>
        <v/>
      </c>
      <c r="BV765" s="300" t="str">
        <f>_xlfn.IFNA(VLOOKUP($BD765,Programma!$F$3:$X$1107,19,0),"")</f>
        <v/>
      </c>
      <c r="BW765" s="300" t="str">
        <f>_xlfn.IFNA(VLOOKUP($BD765,Programma!$F$3:$Y$1107,20,0),"")</f>
        <v/>
      </c>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c r="GK765" s="4"/>
      <c r="GL765" s="4"/>
      <c r="GM765" s="4"/>
      <c r="GN765" s="4"/>
      <c r="GO765" s="4"/>
      <c r="GP765" s="4"/>
      <c r="GQ765" s="4"/>
      <c r="GR765" s="4"/>
      <c r="GS765" s="4"/>
      <c r="GT765" s="4"/>
      <c r="GU765" s="4"/>
      <c r="GV765" s="4"/>
      <c r="GW765" s="4"/>
      <c r="GX765" s="4"/>
      <c r="GY765" s="4"/>
      <c r="GZ765" s="4"/>
      <c r="HA765" s="4"/>
      <c r="HB765" s="4"/>
      <c r="HC765" s="4"/>
      <c r="HD765" s="4"/>
      <c r="HE765" s="4"/>
      <c r="HF765" s="4"/>
      <c r="HG765" s="4"/>
      <c r="HH765" s="4"/>
      <c r="HI765" s="4"/>
      <c r="HJ765" s="4"/>
      <c r="HK765" s="4"/>
      <c r="HL765" s="4"/>
    </row>
    <row r="766" spans="1:220" ht="15" customHeight="1">
      <c r="A766" s="21">
        <v>8</v>
      </c>
      <c r="B766" s="157" t="str">
        <f>VLOOKUP(Ruimtestaat[[#This Row],[Code]],Locaties[[Code]:[Locatie]],2,FALSE)</f>
        <v>Dalton College</v>
      </c>
      <c r="C766" s="157" t="str">
        <f>VLOOKUP(Ruimtestaat[[#This Row],[Code]],Locaties[[#All],[Code]:[Adres]],4,FALSE)</f>
        <v>Loolaan 125</v>
      </c>
      <c r="D766" s="157" t="str">
        <f>VLOOKUP(Ruimtestaat[[#This Row],[Code]],Locaties[[#All],[Code]:[Postcode]],5,FALSE)</f>
        <v xml:space="preserve">2271 TM </v>
      </c>
      <c r="E766" s="157" t="str">
        <f>VLOOKUP(Ruimtestaat[[#This Row],[Code]],Locaties[#All],6,FALSE)</f>
        <v>Voorburg</v>
      </c>
      <c r="F766" s="62"/>
      <c r="G766" s="21" t="s">
        <v>1624</v>
      </c>
      <c r="H766" s="21" t="s">
        <v>1697</v>
      </c>
      <c r="I766" s="62" t="s">
        <v>2215</v>
      </c>
      <c r="J766" s="21">
        <v>5</v>
      </c>
      <c r="K766" s="62" t="str">
        <f>VLOOKUP(Ruimtestaat[[#This Row],[Ruimte code]],Ruimtegroepen[[#All],[Code]:[Ruimte omschrijving]],2,FALSE)</f>
        <v>Sanitair</v>
      </c>
      <c r="L766" s="33" t="s">
        <v>102</v>
      </c>
      <c r="M766" s="367" t="s">
        <v>2509</v>
      </c>
      <c r="N766" s="140">
        <v>12</v>
      </c>
      <c r="O766" s="140"/>
      <c r="P766" s="125" t="str">
        <f>VLOOKUP(Ruimtestaat[[#This Row],[Ruimte code]],Ruimtegroepen[],4,FALSE)</f>
        <v>Sa</v>
      </c>
      <c r="Q766" s="125" t="s">
        <v>2547</v>
      </c>
      <c r="R766" s="33">
        <v>40</v>
      </c>
      <c r="S766" s="33" t="s">
        <v>2</v>
      </c>
      <c r="T766" s="33">
        <f>IF(R766&gt;0,IF(RIGHT(Ruimtestaat[[#This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66" s="33">
        <f>IF(T766&gt;0,VLOOKUP($J766,Ruimtegroepen[],3,FALSE)*VLOOKUP($L766,Vloersoorten[],3,FALSE)*VLOOKUP($S766,Frequenties[],3,FALSE)*VLOOKUP($A766,Locaties[],3,FALSE),0)</f>
        <v>0</v>
      </c>
      <c r="V766" s="33">
        <f>Ruimtestaat[[#This Row],[Uitvoeringen werkdagen]]*Ruimtestaat[[#This Row],[Oppervlak (netto)]]</f>
        <v>2400</v>
      </c>
      <c r="W766" s="154">
        <f>IF(U766&gt;0,Ruimtestaat[[#This Row],[Prest. (m2 /jaar) werkdagen]]/Ruimtestaat[[#This Row],[Norm (m2/uur) werkdagen]],0)</f>
        <v>0</v>
      </c>
      <c r="X766" s="155">
        <f>Ruimtestaat[[#This Row],[uren / jaar werkdagen]]*Tariefsopbouw!$E$35</f>
        <v>0</v>
      </c>
      <c r="Y766" s="33"/>
      <c r="Z766" s="33">
        <f>IF(Ruimtestaat[[#This Row],[Frequentie weekend]]&gt;0,VALUE(LEFT(Y766,1))*R766,0)</f>
        <v>0</v>
      </c>
      <c r="AA766" s="97">
        <f>IF($Z766&gt;0,VLOOKUP($J766,Ruimtegroepen[],3,FALSE)*VLOOKUP($L766,Vloersoorten[],3,FALSE)*VLOOKUP($Y766,Frequenties[],3,FALSE)*VLOOKUP(Ruimtestaat[[#This Row],[Code]],Locaties[],3,FALSE),0)</f>
        <v>0</v>
      </c>
      <c r="AB766" s="97">
        <f>Ruimtestaat[[#This Row],[Uitvoeringen weekend]]*Ruimtestaat[[#This Row],[Oppervlak (netto)]]</f>
        <v>0</v>
      </c>
      <c r="AC766" s="97">
        <f>IF(AA766&gt;0,Ruimtestaat[[#This Row],[Prest. (m2 /jaar) weekend]]/Ruimtestaat[[#This Row],[Norm (m2/uur) weekend]],0)</f>
        <v>0</v>
      </c>
      <c r="AD766" s="155">
        <f>Ruimtestaat[[#This Row],[uren / jaar weekend]]*Tariefsopbouw!$D$40</f>
        <v>0</v>
      </c>
      <c r="AE766" s="154">
        <f>Ruimtestaat[[#This Row],[Prest. (m2 /jaar) weekend]]+Ruimtestaat[[#This Row],[Prest. (m2 /jaar) werkdagen]]</f>
        <v>2400</v>
      </c>
      <c r="AF766" s="154">
        <f>Ruimtestaat[[#This Row],[uren / jaar weekend]]+Ruimtestaat[[#This Row],[uren / jaar werkdagen]]</f>
        <v>0</v>
      </c>
      <c r="AG766" s="69">
        <f>Ruimtestaat[[#This Row],[kosten / jaar weekend]]+Ruimtestaat[[#This Row],[kosten / jaar werkdagen]]</f>
        <v>0</v>
      </c>
      <c r="AH766" s="69"/>
      <c r="AI766" s="256" t="str">
        <f>IF(Ruimtestaat[[#This Row],[Frequentie werkdagen]]="","",_xlfn.CONCAT(Ruimtestaat[[#This Row],[Ruimte code]],"-",Ruimtestaat[[#This Row],[Frequentie werkdagen]]," ",Ruimtestaat[[#This Row],[Vloer code]]))</f>
        <v>5-5w S</v>
      </c>
      <c r="AJ766" s="300" t="str">
        <f>_xlfn.IFNA(VLOOKUP($AI766,Programma!$F$3:$G$1107,2,0),"")</f>
        <v>_</v>
      </c>
      <c r="AK766" s="300" t="str">
        <f>_xlfn.IFNA(VLOOKUP($AI766,Programma!$F$3:$H$1107,3,0),"")</f>
        <v>_</v>
      </c>
      <c r="AL766" s="300" t="str">
        <f>_xlfn.IFNA(VLOOKUP($AI766,Programma!$F$3:$I$1107,4,0),"")</f>
        <v>_</v>
      </c>
      <c r="AM766" s="300" t="str">
        <f>_xlfn.IFNA(VLOOKUP($AI766,Programma!$F$3:$J$1107,5,0),"")</f>
        <v>4w</v>
      </c>
      <c r="AN766" s="300" t="str">
        <f>_xlfn.IFNA(VLOOKUP($AI766,Programma!$F$3:$K$1107,6,0),"")</f>
        <v>1w</v>
      </c>
      <c r="AO766" s="300" t="str">
        <f>_xlfn.IFNA(VLOOKUP($AI766,Programma!$F$3:$L$1107,7,0),"")</f>
        <v>_</v>
      </c>
      <c r="AP766" s="300" t="str">
        <f>_xlfn.IFNA(VLOOKUP($AI766,Programma!$F$3:$M$1107,8,0),"")</f>
        <v>_</v>
      </c>
      <c r="AQ766" s="300" t="str">
        <f>_xlfn.IFNA(VLOOKUP($AI766,Programma!$F$3:$N$1107,9,0),"")</f>
        <v>_</v>
      </c>
      <c r="AR766" s="300" t="str">
        <f>_xlfn.IFNA(VLOOKUP($AI766,Programma!$F$3:$O$1107,10,0),"")</f>
        <v>_</v>
      </c>
      <c r="AS766" s="300" t="str">
        <f>_xlfn.IFNA(VLOOKUP($AI766,Programma!$F$3:$P$1107,11,0),"")</f>
        <v>_</v>
      </c>
      <c r="AT766" s="300" t="str">
        <f>_xlfn.IFNA(VLOOKUP($AI766,Programma!$F$3:$Q$1107,12,0),"")</f>
        <v>_</v>
      </c>
      <c r="AU766" s="300" t="str">
        <f>_xlfn.IFNA(VLOOKUP($AI766,Programma!$F$3:$R$1107,13,0),"")</f>
        <v>_</v>
      </c>
      <c r="AV766" s="300" t="str">
        <f>_xlfn.IFNA(VLOOKUP($AI766,Programma!$F$3:$S$1107,14,0),"")</f>
        <v>_</v>
      </c>
      <c r="AW766" s="300" t="str">
        <f>_xlfn.IFNA(VLOOKUP($AI766,Programma!$F$3:$T$1107,15,0),"")</f>
        <v>_</v>
      </c>
      <c r="AX766" s="300" t="str">
        <f>_xlfn.IFNA(VLOOKUP($AI766,Programma!$F$3:$U$1107,16,0),"")</f>
        <v>_</v>
      </c>
      <c r="AY766" s="300" t="str">
        <f>_xlfn.IFNA(VLOOKUP($AI766,Programma!$F$3:$V$1107,17,0),"")</f>
        <v>_</v>
      </c>
      <c r="AZ766" s="300" t="str">
        <f>_xlfn.IFNA(VLOOKUP($AI766,Programma!$F$3:$W$1107,18,0),"")</f>
        <v>4w</v>
      </c>
      <c r="BA766" s="300" t="str">
        <f>_xlfn.IFNA(VLOOKUP($AI766,Programma!$F$3:$X$1107,19,0),"")</f>
        <v>1w</v>
      </c>
      <c r="BB766" s="300" t="str">
        <f>_xlfn.IFNA(VLOOKUP($AI766,Programma!$F$3:$Y$1107,20,0),"")</f>
        <v>_</v>
      </c>
      <c r="BC766" s="257"/>
      <c r="BD766" s="256" t="str">
        <f>IF(Ruimtestaat[[#This Row],[Frequentie weekend]]="","",_xlfn.CONCAT(Ruimtestaat[[#This Row],[Ruimte code]],"-",Ruimtestaat[[#This Row],[Frequentie weekend]]," ",Ruimtestaat[[#This Row],[Vloer code]]))</f>
        <v/>
      </c>
      <c r="BE766" s="300" t="str">
        <f>_xlfn.IFNA(VLOOKUP($BD766,Programma!$F$3:$G$1107,2,0),"")</f>
        <v/>
      </c>
      <c r="BF766" s="300" t="str">
        <f>_xlfn.IFNA(VLOOKUP($BD766,Programma!$F$3:$H$1107,3,0),"")</f>
        <v/>
      </c>
      <c r="BG766" s="300" t="str">
        <f>_xlfn.IFNA(VLOOKUP($BD766,Programma!$F$3:$I$1107,4,0),"")</f>
        <v/>
      </c>
      <c r="BH766" s="300" t="str">
        <f>_xlfn.IFNA(VLOOKUP($BD766,Programma!$F$3:$J$1107,5,0),"")</f>
        <v/>
      </c>
      <c r="BI766" s="300" t="str">
        <f>_xlfn.IFNA(VLOOKUP($BD766,Programma!$F$3:$K$1107,6,0),"")</f>
        <v/>
      </c>
      <c r="BJ766" s="300" t="str">
        <f>_xlfn.IFNA(VLOOKUP($BD766,Programma!$F$3:$L$1107,7,0),"")</f>
        <v/>
      </c>
      <c r="BK766" s="300" t="str">
        <f>_xlfn.IFNA(VLOOKUP($BD766,Programma!$F$3:$M$1107,8,0),"")</f>
        <v/>
      </c>
      <c r="BL766" s="300" t="str">
        <f>_xlfn.IFNA(VLOOKUP($BD766,Programma!$F$3:$N$1107,9,0),"")</f>
        <v/>
      </c>
      <c r="BM766" s="300" t="str">
        <f>_xlfn.IFNA(VLOOKUP($BD766,Programma!$F$3:$O$1107,10,0),"")</f>
        <v/>
      </c>
      <c r="BN766" s="300" t="str">
        <f>_xlfn.IFNA(VLOOKUP($BD766,Programma!$F$3:$P$1107,11,0),"")</f>
        <v/>
      </c>
      <c r="BO766" s="300" t="str">
        <f>_xlfn.IFNA(VLOOKUP($BD766,Programma!$F$3:$Q$1107,12,0),"")</f>
        <v/>
      </c>
      <c r="BP766" s="300" t="str">
        <f>_xlfn.IFNA(VLOOKUP($BD766,Programma!$F$3:$R$1107,13,0),"")</f>
        <v/>
      </c>
      <c r="BQ766" s="300" t="str">
        <f>_xlfn.IFNA(VLOOKUP($BD766,Programma!$F$3:$S$1107,14,0),"")</f>
        <v/>
      </c>
      <c r="BR766" s="300" t="str">
        <f>_xlfn.IFNA(VLOOKUP($BD766,Programma!$F$3:$T$1107,15,0),"")</f>
        <v/>
      </c>
      <c r="BS766" s="300" t="str">
        <f>_xlfn.IFNA(VLOOKUP($BD766,Programma!$F$3:$U$1107,16,0),"")</f>
        <v/>
      </c>
      <c r="BT766" s="300" t="str">
        <f>_xlfn.IFNA(VLOOKUP($BD766,Programma!$F$3:$V$1107,17,0),"")</f>
        <v/>
      </c>
      <c r="BU766" s="300" t="str">
        <f>_xlfn.IFNA(VLOOKUP($BD766,Programma!$F$3:$W$1107,18,0),"")</f>
        <v/>
      </c>
      <c r="BV766" s="300" t="str">
        <f>_xlfn.IFNA(VLOOKUP($BD766,Programma!$F$3:$X$1107,19,0),"")</f>
        <v/>
      </c>
      <c r="BW766" s="300" t="str">
        <f>_xlfn.IFNA(VLOOKUP($BD766,Programma!$F$3:$Y$1107,20,0),"")</f>
        <v/>
      </c>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c r="GK766" s="4"/>
      <c r="GL766" s="4"/>
      <c r="GM766" s="4"/>
      <c r="GN766" s="4"/>
      <c r="GO766" s="4"/>
      <c r="GP766" s="4"/>
      <c r="GQ766" s="4"/>
      <c r="GR766" s="4"/>
      <c r="GS766" s="4"/>
      <c r="GT766" s="4"/>
      <c r="GU766" s="4"/>
      <c r="GV766" s="4"/>
      <c r="GW766" s="4"/>
      <c r="GX766" s="4"/>
      <c r="GY766" s="4"/>
      <c r="GZ766" s="4"/>
      <c r="HA766" s="4"/>
      <c r="HB766" s="4"/>
      <c r="HC766" s="4"/>
      <c r="HD766" s="4"/>
      <c r="HE766" s="4"/>
      <c r="HF766" s="4"/>
      <c r="HG766" s="4"/>
      <c r="HH766" s="4"/>
      <c r="HI766" s="4"/>
      <c r="HJ766" s="4"/>
      <c r="HK766" s="4"/>
      <c r="HL766" s="4"/>
    </row>
    <row r="767" spans="1:220" ht="15" customHeight="1">
      <c r="A767" s="21">
        <v>8</v>
      </c>
      <c r="B767" s="157" t="str">
        <f>VLOOKUP(Ruimtestaat[[#This Row],[Code]],Locaties[[Code]:[Locatie]],2,FALSE)</f>
        <v>Dalton College</v>
      </c>
      <c r="C767" s="157" t="str">
        <f>VLOOKUP(Ruimtestaat[[#This Row],[Code]],Locaties[[#All],[Code]:[Adres]],4,FALSE)</f>
        <v>Loolaan 125</v>
      </c>
      <c r="D767" s="157" t="str">
        <f>VLOOKUP(Ruimtestaat[[#This Row],[Code]],Locaties[[#All],[Code]:[Postcode]],5,FALSE)</f>
        <v xml:space="preserve">2271 TM </v>
      </c>
      <c r="E767" s="157" t="str">
        <f>VLOOKUP(Ruimtestaat[[#This Row],[Code]],Locaties[#All],6,FALSE)</f>
        <v>Voorburg</v>
      </c>
      <c r="F767" s="62"/>
      <c r="G767" s="21" t="s">
        <v>1624</v>
      </c>
      <c r="H767" s="21" t="s">
        <v>1699</v>
      </c>
      <c r="I767" s="62" t="s">
        <v>2215</v>
      </c>
      <c r="J767" s="21">
        <v>5</v>
      </c>
      <c r="K767" s="62" t="str">
        <f>VLOOKUP(Ruimtestaat[[#This Row],[Ruimte code]],Ruimtegroepen[[#All],[Code]:[Ruimte omschrijving]],2,FALSE)</f>
        <v>Sanitair</v>
      </c>
      <c r="L767" s="33" t="s">
        <v>102</v>
      </c>
      <c r="M767" s="367" t="s">
        <v>2509</v>
      </c>
      <c r="N767" s="140">
        <v>13</v>
      </c>
      <c r="O767" s="140"/>
      <c r="P767" s="125" t="str">
        <f>VLOOKUP(Ruimtestaat[[#This Row],[Ruimte code]],Ruimtegroepen[],4,FALSE)</f>
        <v>Sa</v>
      </c>
      <c r="Q767" s="125" t="s">
        <v>2547</v>
      </c>
      <c r="R767" s="33">
        <v>40</v>
      </c>
      <c r="S767" s="33" t="s">
        <v>2</v>
      </c>
      <c r="T767" s="33">
        <f>IF(R767&gt;0,IF(RIGHT(Ruimtestaat[[#This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67" s="33">
        <f>IF(T767&gt;0,VLOOKUP($J767,Ruimtegroepen[],3,FALSE)*VLOOKUP($L767,Vloersoorten[],3,FALSE)*VLOOKUP($S767,Frequenties[],3,FALSE)*VLOOKUP($A767,Locaties[],3,FALSE),0)</f>
        <v>0</v>
      </c>
      <c r="V767" s="33">
        <f>Ruimtestaat[[#This Row],[Uitvoeringen werkdagen]]*Ruimtestaat[[#This Row],[Oppervlak (netto)]]</f>
        <v>2600</v>
      </c>
      <c r="W767" s="154">
        <f>IF(U767&gt;0,Ruimtestaat[[#This Row],[Prest. (m2 /jaar) werkdagen]]/Ruimtestaat[[#This Row],[Norm (m2/uur) werkdagen]],0)</f>
        <v>0</v>
      </c>
      <c r="X767" s="155">
        <f>Ruimtestaat[[#This Row],[uren / jaar werkdagen]]*Tariefsopbouw!$E$35</f>
        <v>0</v>
      </c>
      <c r="Y767" s="33"/>
      <c r="Z767" s="33">
        <f>IF(Ruimtestaat[[#This Row],[Frequentie weekend]]&gt;0,VALUE(LEFT(Y767,1))*R767,0)</f>
        <v>0</v>
      </c>
      <c r="AA767" s="97">
        <f>IF($Z767&gt;0,VLOOKUP($J767,Ruimtegroepen[],3,FALSE)*VLOOKUP($L767,Vloersoorten[],3,FALSE)*VLOOKUP($Y767,Frequenties[],3,FALSE)*VLOOKUP(Ruimtestaat[[#This Row],[Code]],Locaties[],3,FALSE),0)</f>
        <v>0</v>
      </c>
      <c r="AB767" s="97">
        <f>Ruimtestaat[[#This Row],[Uitvoeringen weekend]]*Ruimtestaat[[#This Row],[Oppervlak (netto)]]</f>
        <v>0</v>
      </c>
      <c r="AC767" s="97">
        <f>IF(AA767&gt;0,Ruimtestaat[[#This Row],[Prest. (m2 /jaar) weekend]]/Ruimtestaat[[#This Row],[Norm (m2/uur) weekend]],0)</f>
        <v>0</v>
      </c>
      <c r="AD767" s="155">
        <f>Ruimtestaat[[#This Row],[uren / jaar weekend]]*Tariefsopbouw!$D$40</f>
        <v>0</v>
      </c>
      <c r="AE767" s="154">
        <f>Ruimtestaat[[#This Row],[Prest. (m2 /jaar) weekend]]+Ruimtestaat[[#This Row],[Prest. (m2 /jaar) werkdagen]]</f>
        <v>2600</v>
      </c>
      <c r="AF767" s="154">
        <f>Ruimtestaat[[#This Row],[uren / jaar weekend]]+Ruimtestaat[[#This Row],[uren / jaar werkdagen]]</f>
        <v>0</v>
      </c>
      <c r="AG767" s="69">
        <f>Ruimtestaat[[#This Row],[kosten / jaar weekend]]+Ruimtestaat[[#This Row],[kosten / jaar werkdagen]]</f>
        <v>0</v>
      </c>
      <c r="AH767" s="69"/>
      <c r="AI767" s="256" t="str">
        <f>IF(Ruimtestaat[[#This Row],[Frequentie werkdagen]]="","",_xlfn.CONCAT(Ruimtestaat[[#This Row],[Ruimte code]],"-",Ruimtestaat[[#This Row],[Frequentie werkdagen]]," ",Ruimtestaat[[#This Row],[Vloer code]]))</f>
        <v>5-5w S</v>
      </c>
      <c r="AJ767" s="300" t="str">
        <f>_xlfn.IFNA(VLOOKUP($AI767,Programma!$F$3:$G$1107,2,0),"")</f>
        <v>_</v>
      </c>
      <c r="AK767" s="300" t="str">
        <f>_xlfn.IFNA(VLOOKUP($AI767,Programma!$F$3:$H$1107,3,0),"")</f>
        <v>_</v>
      </c>
      <c r="AL767" s="300" t="str">
        <f>_xlfn.IFNA(VLOOKUP($AI767,Programma!$F$3:$I$1107,4,0),"")</f>
        <v>_</v>
      </c>
      <c r="AM767" s="300" t="str">
        <f>_xlfn.IFNA(VLOOKUP($AI767,Programma!$F$3:$J$1107,5,0),"")</f>
        <v>4w</v>
      </c>
      <c r="AN767" s="300" t="str">
        <f>_xlfn.IFNA(VLOOKUP($AI767,Programma!$F$3:$K$1107,6,0),"")</f>
        <v>1w</v>
      </c>
      <c r="AO767" s="300" t="str">
        <f>_xlfn.IFNA(VLOOKUP($AI767,Programma!$F$3:$L$1107,7,0),"")</f>
        <v>_</v>
      </c>
      <c r="AP767" s="300" t="str">
        <f>_xlfn.IFNA(VLOOKUP($AI767,Programma!$F$3:$M$1107,8,0),"")</f>
        <v>_</v>
      </c>
      <c r="AQ767" s="300" t="str">
        <f>_xlfn.IFNA(VLOOKUP($AI767,Programma!$F$3:$N$1107,9,0),"")</f>
        <v>_</v>
      </c>
      <c r="AR767" s="300" t="str">
        <f>_xlfn.IFNA(VLOOKUP($AI767,Programma!$F$3:$O$1107,10,0),"")</f>
        <v>_</v>
      </c>
      <c r="AS767" s="300" t="str">
        <f>_xlfn.IFNA(VLOOKUP($AI767,Programma!$F$3:$P$1107,11,0),"")</f>
        <v>_</v>
      </c>
      <c r="AT767" s="300" t="str">
        <f>_xlfn.IFNA(VLOOKUP($AI767,Programma!$F$3:$Q$1107,12,0),"")</f>
        <v>_</v>
      </c>
      <c r="AU767" s="300" t="str">
        <f>_xlfn.IFNA(VLOOKUP($AI767,Programma!$F$3:$R$1107,13,0),"")</f>
        <v>_</v>
      </c>
      <c r="AV767" s="300" t="str">
        <f>_xlfn.IFNA(VLOOKUP($AI767,Programma!$F$3:$S$1107,14,0),"")</f>
        <v>_</v>
      </c>
      <c r="AW767" s="300" t="str">
        <f>_xlfn.IFNA(VLOOKUP($AI767,Programma!$F$3:$T$1107,15,0),"")</f>
        <v>_</v>
      </c>
      <c r="AX767" s="300" t="str">
        <f>_xlfn.IFNA(VLOOKUP($AI767,Programma!$F$3:$U$1107,16,0),"")</f>
        <v>_</v>
      </c>
      <c r="AY767" s="300" t="str">
        <f>_xlfn.IFNA(VLOOKUP($AI767,Programma!$F$3:$V$1107,17,0),"")</f>
        <v>_</v>
      </c>
      <c r="AZ767" s="300" t="str">
        <f>_xlfn.IFNA(VLOOKUP($AI767,Programma!$F$3:$W$1107,18,0),"")</f>
        <v>4w</v>
      </c>
      <c r="BA767" s="300" t="str">
        <f>_xlfn.IFNA(VLOOKUP($AI767,Programma!$F$3:$X$1107,19,0),"")</f>
        <v>1w</v>
      </c>
      <c r="BB767" s="300" t="str">
        <f>_xlfn.IFNA(VLOOKUP($AI767,Programma!$F$3:$Y$1107,20,0),"")</f>
        <v>_</v>
      </c>
      <c r="BC767" s="257"/>
      <c r="BD767" s="256" t="str">
        <f>IF(Ruimtestaat[[#This Row],[Frequentie weekend]]="","",_xlfn.CONCAT(Ruimtestaat[[#This Row],[Ruimte code]],"-",Ruimtestaat[[#This Row],[Frequentie weekend]]," ",Ruimtestaat[[#This Row],[Vloer code]]))</f>
        <v/>
      </c>
      <c r="BE767" s="300" t="str">
        <f>_xlfn.IFNA(VLOOKUP($BD767,Programma!$F$3:$G$1107,2,0),"")</f>
        <v/>
      </c>
      <c r="BF767" s="300" t="str">
        <f>_xlfn.IFNA(VLOOKUP($BD767,Programma!$F$3:$H$1107,3,0),"")</f>
        <v/>
      </c>
      <c r="BG767" s="300" t="str">
        <f>_xlfn.IFNA(VLOOKUP($BD767,Programma!$F$3:$I$1107,4,0),"")</f>
        <v/>
      </c>
      <c r="BH767" s="300" t="str">
        <f>_xlfn.IFNA(VLOOKUP($BD767,Programma!$F$3:$J$1107,5,0),"")</f>
        <v/>
      </c>
      <c r="BI767" s="300" t="str">
        <f>_xlfn.IFNA(VLOOKUP($BD767,Programma!$F$3:$K$1107,6,0),"")</f>
        <v/>
      </c>
      <c r="BJ767" s="300" t="str">
        <f>_xlfn.IFNA(VLOOKUP($BD767,Programma!$F$3:$L$1107,7,0),"")</f>
        <v/>
      </c>
      <c r="BK767" s="300" t="str">
        <f>_xlfn.IFNA(VLOOKUP($BD767,Programma!$F$3:$M$1107,8,0),"")</f>
        <v/>
      </c>
      <c r="BL767" s="300" t="str">
        <f>_xlfn.IFNA(VLOOKUP($BD767,Programma!$F$3:$N$1107,9,0),"")</f>
        <v/>
      </c>
      <c r="BM767" s="300" t="str">
        <f>_xlfn.IFNA(VLOOKUP($BD767,Programma!$F$3:$O$1107,10,0),"")</f>
        <v/>
      </c>
      <c r="BN767" s="300" t="str">
        <f>_xlfn.IFNA(VLOOKUP($BD767,Programma!$F$3:$P$1107,11,0),"")</f>
        <v/>
      </c>
      <c r="BO767" s="300" t="str">
        <f>_xlfn.IFNA(VLOOKUP($BD767,Programma!$F$3:$Q$1107,12,0),"")</f>
        <v/>
      </c>
      <c r="BP767" s="300" t="str">
        <f>_xlfn.IFNA(VLOOKUP($BD767,Programma!$F$3:$R$1107,13,0),"")</f>
        <v/>
      </c>
      <c r="BQ767" s="300" t="str">
        <f>_xlfn.IFNA(VLOOKUP($BD767,Programma!$F$3:$S$1107,14,0),"")</f>
        <v/>
      </c>
      <c r="BR767" s="300" t="str">
        <f>_xlfn.IFNA(VLOOKUP($BD767,Programma!$F$3:$T$1107,15,0),"")</f>
        <v/>
      </c>
      <c r="BS767" s="300" t="str">
        <f>_xlfn.IFNA(VLOOKUP($BD767,Programma!$F$3:$U$1107,16,0),"")</f>
        <v/>
      </c>
      <c r="BT767" s="300" t="str">
        <f>_xlfn.IFNA(VLOOKUP($BD767,Programma!$F$3:$V$1107,17,0),"")</f>
        <v/>
      </c>
      <c r="BU767" s="300" t="str">
        <f>_xlfn.IFNA(VLOOKUP($BD767,Programma!$F$3:$W$1107,18,0),"")</f>
        <v/>
      </c>
      <c r="BV767" s="300" t="str">
        <f>_xlfn.IFNA(VLOOKUP($BD767,Programma!$F$3:$X$1107,19,0),"")</f>
        <v/>
      </c>
      <c r="BW767" s="300" t="str">
        <f>_xlfn.IFNA(VLOOKUP($BD767,Programma!$F$3:$Y$1107,20,0),"")</f>
        <v/>
      </c>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c r="GK767" s="4"/>
      <c r="GL767" s="4"/>
      <c r="GM767" s="4"/>
      <c r="GN767" s="4"/>
      <c r="GO767" s="4"/>
      <c r="GP767" s="4"/>
      <c r="GQ767" s="4"/>
      <c r="GR767" s="4"/>
      <c r="GS767" s="4"/>
      <c r="GT767" s="4"/>
      <c r="GU767" s="4"/>
      <c r="GV767" s="4"/>
      <c r="GW767" s="4"/>
      <c r="GX767" s="4"/>
      <c r="GY767" s="4"/>
      <c r="GZ767" s="4"/>
      <c r="HA767" s="4"/>
      <c r="HB767" s="4"/>
      <c r="HC767" s="4"/>
      <c r="HD767" s="4"/>
      <c r="HE767" s="4"/>
      <c r="HF767" s="4"/>
      <c r="HG767" s="4"/>
      <c r="HH767" s="4"/>
      <c r="HI767" s="4"/>
      <c r="HJ767" s="4"/>
      <c r="HK767" s="4"/>
      <c r="HL767" s="4"/>
    </row>
    <row r="768" spans="1:220" ht="15" customHeight="1">
      <c r="A768" s="21">
        <v>8</v>
      </c>
      <c r="B768" s="157" t="str">
        <f>VLOOKUP(Ruimtestaat[[#This Row],[Code]],Locaties[[Code]:[Locatie]],2,FALSE)</f>
        <v>Dalton College</v>
      </c>
      <c r="C768" s="157" t="str">
        <f>VLOOKUP(Ruimtestaat[[#This Row],[Code]],Locaties[[#All],[Code]:[Adres]],4,FALSE)</f>
        <v>Loolaan 125</v>
      </c>
      <c r="D768" s="157" t="str">
        <f>VLOOKUP(Ruimtestaat[[#This Row],[Code]],Locaties[[#All],[Code]:[Postcode]],5,FALSE)</f>
        <v xml:space="preserve">2271 TM </v>
      </c>
      <c r="E768" s="157" t="str">
        <f>VLOOKUP(Ruimtestaat[[#This Row],[Code]],Locaties[#All],6,FALSE)</f>
        <v>Voorburg</v>
      </c>
      <c r="F768" s="62"/>
      <c r="G768" s="21" t="s">
        <v>1624</v>
      </c>
      <c r="H768" s="21" t="s">
        <v>1701</v>
      </c>
      <c r="I768" s="62" t="s">
        <v>2200</v>
      </c>
      <c r="J768" s="21">
        <v>19</v>
      </c>
      <c r="K768" s="62" t="str">
        <f>VLOOKUP(Ruimtestaat[[#This Row],[Ruimte code]],Ruimtegroepen[[#All],[Code]:[Ruimte omschrijving]],2,FALSE)</f>
        <v>kleedruimten</v>
      </c>
      <c r="L768" s="33" t="s">
        <v>102</v>
      </c>
      <c r="M768" s="367" t="s">
        <v>2509</v>
      </c>
      <c r="N768" s="140">
        <v>17</v>
      </c>
      <c r="O768" s="140"/>
      <c r="P768" s="125" t="str">
        <f>VLOOKUP(Ruimtestaat[[#This Row],[Ruimte code]],Ruimtegroepen[],4,FALSE)</f>
        <v>Ve</v>
      </c>
      <c r="Q768" s="125" t="s">
        <v>2547</v>
      </c>
      <c r="R768" s="33">
        <v>40</v>
      </c>
      <c r="S768" s="33" t="s">
        <v>2</v>
      </c>
      <c r="T768" s="33">
        <f>IF(R768&gt;0,IF(RIGHT(Ruimtestaat[[#This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68" s="33">
        <f>IF(T768&gt;0,VLOOKUP($J768,Ruimtegroepen[],3,FALSE)*VLOOKUP($L768,Vloersoorten[],3,FALSE)*VLOOKUP($S768,Frequenties[],3,FALSE)*VLOOKUP($A768,Locaties[],3,FALSE),0)</f>
        <v>0</v>
      </c>
      <c r="V768" s="33">
        <f>Ruimtestaat[[#This Row],[Uitvoeringen werkdagen]]*Ruimtestaat[[#This Row],[Oppervlak (netto)]]</f>
        <v>3400</v>
      </c>
      <c r="W768" s="154">
        <f>IF(U768&gt;0,Ruimtestaat[[#This Row],[Prest. (m2 /jaar) werkdagen]]/Ruimtestaat[[#This Row],[Norm (m2/uur) werkdagen]],0)</f>
        <v>0</v>
      </c>
      <c r="X768" s="155">
        <f>Ruimtestaat[[#This Row],[uren / jaar werkdagen]]*Tariefsopbouw!$E$35</f>
        <v>0</v>
      </c>
      <c r="Y768" s="33"/>
      <c r="Z768" s="33">
        <f>IF(Ruimtestaat[[#This Row],[Frequentie weekend]]&gt;0,VALUE(LEFT(Y768,1))*R768,0)</f>
        <v>0</v>
      </c>
      <c r="AA768" s="97">
        <f>IF($Z768&gt;0,VLOOKUP($J768,Ruimtegroepen[],3,FALSE)*VLOOKUP($L768,Vloersoorten[],3,FALSE)*VLOOKUP($Y768,Frequenties[],3,FALSE)*VLOOKUP(Ruimtestaat[[#This Row],[Code]],Locaties[],3,FALSE),0)</f>
        <v>0</v>
      </c>
      <c r="AB768" s="97">
        <f>Ruimtestaat[[#This Row],[Uitvoeringen weekend]]*Ruimtestaat[[#This Row],[Oppervlak (netto)]]</f>
        <v>0</v>
      </c>
      <c r="AC768" s="97">
        <f>IF(AA768&gt;0,Ruimtestaat[[#This Row],[Prest. (m2 /jaar) weekend]]/Ruimtestaat[[#This Row],[Norm (m2/uur) weekend]],0)</f>
        <v>0</v>
      </c>
      <c r="AD768" s="155">
        <f>Ruimtestaat[[#This Row],[uren / jaar weekend]]*Tariefsopbouw!$D$40</f>
        <v>0</v>
      </c>
      <c r="AE768" s="154">
        <f>Ruimtestaat[[#This Row],[Prest. (m2 /jaar) weekend]]+Ruimtestaat[[#This Row],[Prest. (m2 /jaar) werkdagen]]</f>
        <v>3400</v>
      </c>
      <c r="AF768" s="154">
        <f>Ruimtestaat[[#This Row],[uren / jaar weekend]]+Ruimtestaat[[#This Row],[uren / jaar werkdagen]]</f>
        <v>0</v>
      </c>
      <c r="AG768" s="69">
        <f>Ruimtestaat[[#This Row],[kosten / jaar weekend]]+Ruimtestaat[[#This Row],[kosten / jaar werkdagen]]</f>
        <v>0</v>
      </c>
      <c r="AH768" s="69"/>
      <c r="AI768" s="256" t="str">
        <f>IF(Ruimtestaat[[#This Row],[Frequentie werkdagen]]="","",_xlfn.CONCAT(Ruimtestaat[[#This Row],[Ruimte code]],"-",Ruimtestaat[[#This Row],[Frequentie werkdagen]]," ",Ruimtestaat[[#This Row],[Vloer code]]))</f>
        <v>19-5w S</v>
      </c>
      <c r="AJ768" s="300" t="str">
        <f>_xlfn.IFNA(VLOOKUP($AI768,Programma!$F$3:$G$1107,2,0),"")</f>
        <v>_</v>
      </c>
      <c r="AK768" s="300" t="str">
        <f>_xlfn.IFNA(VLOOKUP($AI768,Programma!$F$3:$H$1107,3,0),"")</f>
        <v>_</v>
      </c>
      <c r="AL768" s="300" t="str">
        <f>_xlfn.IFNA(VLOOKUP($AI768,Programma!$F$3:$I$1107,4,0),"")</f>
        <v>5w</v>
      </c>
      <c r="AM768" s="300" t="str">
        <f>_xlfn.IFNA(VLOOKUP($AI768,Programma!$F$3:$J$1107,5,0),"")</f>
        <v>_</v>
      </c>
      <c r="AN768" s="300" t="str">
        <f>_xlfn.IFNA(VLOOKUP($AI768,Programma!$F$3:$K$1107,6,0),"")</f>
        <v>5w</v>
      </c>
      <c r="AO768" s="300" t="str">
        <f>_xlfn.IFNA(VLOOKUP($AI768,Programma!$F$3:$L$1107,7,0),"")</f>
        <v>_</v>
      </c>
      <c r="AP768" s="300" t="str">
        <f>_xlfn.IFNA(VLOOKUP($AI768,Programma!$F$3:$M$1107,8,0),"")</f>
        <v>_</v>
      </c>
      <c r="AQ768" s="300" t="str">
        <f>_xlfn.IFNA(VLOOKUP($AI768,Programma!$F$3:$N$1107,9,0),"")</f>
        <v>_</v>
      </c>
      <c r="AR768" s="300" t="str">
        <f>_xlfn.IFNA(VLOOKUP($AI768,Programma!$F$3:$O$1107,10,0),"")</f>
        <v>5w</v>
      </c>
      <c r="AS768" s="300" t="str">
        <f>_xlfn.IFNA(VLOOKUP($AI768,Programma!$F$3:$P$1107,11,0),"")</f>
        <v>5w</v>
      </c>
      <c r="AT768" s="300" t="str">
        <f>_xlfn.IFNA(VLOOKUP($AI768,Programma!$F$3:$Q$1107,12,0),"")</f>
        <v>1w</v>
      </c>
      <c r="AU768" s="300" t="str">
        <f>_xlfn.IFNA(VLOOKUP($AI768,Programma!$F$3:$R$1107,13,0),"")</f>
        <v>1w</v>
      </c>
      <c r="AV768" s="300" t="str">
        <f>_xlfn.IFNA(VLOOKUP($AI768,Programma!$F$3:$S$1107,14,0),"")</f>
        <v>1m</v>
      </c>
      <c r="AW768" s="300" t="str">
        <f>_xlfn.IFNA(VLOOKUP($AI768,Programma!$F$3:$T$1107,15,0),"")</f>
        <v>2j</v>
      </c>
      <c r="AX768" s="300" t="str">
        <f>_xlfn.IFNA(VLOOKUP($AI768,Programma!$F$3:$U$1107,16,0),"")</f>
        <v>1j</v>
      </c>
      <c r="AY768" s="300" t="str">
        <f>_xlfn.IFNA(VLOOKUP($AI768,Programma!$F$3:$V$1107,17,0),"")</f>
        <v>_</v>
      </c>
      <c r="AZ768" s="300" t="str">
        <f>_xlfn.IFNA(VLOOKUP($AI768,Programma!$F$3:$W$1107,18,0),"")</f>
        <v>_</v>
      </c>
      <c r="BA768" s="300" t="str">
        <f>_xlfn.IFNA(VLOOKUP($AI768,Programma!$F$3:$X$1107,19,0),"")</f>
        <v>_</v>
      </c>
      <c r="BB768" s="300" t="str">
        <f>_xlfn.IFNA(VLOOKUP($AI768,Programma!$F$3:$Y$1107,20,0),"")</f>
        <v>_</v>
      </c>
      <c r="BC768" s="257"/>
      <c r="BD768" s="256" t="str">
        <f>IF(Ruimtestaat[[#This Row],[Frequentie weekend]]="","",_xlfn.CONCAT(Ruimtestaat[[#This Row],[Ruimte code]],"-",Ruimtestaat[[#This Row],[Frequentie weekend]]," ",Ruimtestaat[[#This Row],[Vloer code]]))</f>
        <v/>
      </c>
      <c r="BE768" s="300" t="str">
        <f>_xlfn.IFNA(VLOOKUP($BD768,Programma!$F$3:$G$1107,2,0),"")</f>
        <v/>
      </c>
      <c r="BF768" s="300" t="str">
        <f>_xlfn.IFNA(VLOOKUP($BD768,Programma!$F$3:$H$1107,3,0),"")</f>
        <v/>
      </c>
      <c r="BG768" s="300" t="str">
        <f>_xlfn.IFNA(VLOOKUP($BD768,Programma!$F$3:$I$1107,4,0),"")</f>
        <v/>
      </c>
      <c r="BH768" s="300" t="str">
        <f>_xlfn.IFNA(VLOOKUP($BD768,Programma!$F$3:$J$1107,5,0),"")</f>
        <v/>
      </c>
      <c r="BI768" s="300" t="str">
        <f>_xlfn.IFNA(VLOOKUP($BD768,Programma!$F$3:$K$1107,6,0),"")</f>
        <v/>
      </c>
      <c r="BJ768" s="300" t="str">
        <f>_xlfn.IFNA(VLOOKUP($BD768,Programma!$F$3:$L$1107,7,0),"")</f>
        <v/>
      </c>
      <c r="BK768" s="300" t="str">
        <f>_xlfn.IFNA(VLOOKUP($BD768,Programma!$F$3:$M$1107,8,0),"")</f>
        <v/>
      </c>
      <c r="BL768" s="300" t="str">
        <f>_xlfn.IFNA(VLOOKUP($BD768,Programma!$F$3:$N$1107,9,0),"")</f>
        <v/>
      </c>
      <c r="BM768" s="300" t="str">
        <f>_xlfn.IFNA(VLOOKUP($BD768,Programma!$F$3:$O$1107,10,0),"")</f>
        <v/>
      </c>
      <c r="BN768" s="300" t="str">
        <f>_xlfn.IFNA(VLOOKUP($BD768,Programma!$F$3:$P$1107,11,0),"")</f>
        <v/>
      </c>
      <c r="BO768" s="300" t="str">
        <f>_xlfn.IFNA(VLOOKUP($BD768,Programma!$F$3:$Q$1107,12,0),"")</f>
        <v/>
      </c>
      <c r="BP768" s="300" t="str">
        <f>_xlfn.IFNA(VLOOKUP($BD768,Programma!$F$3:$R$1107,13,0),"")</f>
        <v/>
      </c>
      <c r="BQ768" s="300" t="str">
        <f>_xlfn.IFNA(VLOOKUP($BD768,Programma!$F$3:$S$1107,14,0),"")</f>
        <v/>
      </c>
      <c r="BR768" s="300" t="str">
        <f>_xlfn.IFNA(VLOOKUP($BD768,Programma!$F$3:$T$1107,15,0),"")</f>
        <v/>
      </c>
      <c r="BS768" s="300" t="str">
        <f>_xlfn.IFNA(VLOOKUP($BD768,Programma!$F$3:$U$1107,16,0),"")</f>
        <v/>
      </c>
      <c r="BT768" s="300" t="str">
        <f>_xlfn.IFNA(VLOOKUP($BD768,Programma!$F$3:$V$1107,17,0),"")</f>
        <v/>
      </c>
      <c r="BU768" s="300" t="str">
        <f>_xlfn.IFNA(VLOOKUP($BD768,Programma!$F$3:$W$1107,18,0),"")</f>
        <v/>
      </c>
      <c r="BV768" s="300" t="str">
        <f>_xlfn.IFNA(VLOOKUP($BD768,Programma!$F$3:$X$1107,19,0),"")</f>
        <v/>
      </c>
      <c r="BW768" s="300" t="str">
        <f>_xlfn.IFNA(VLOOKUP($BD768,Programma!$F$3:$Y$1107,20,0),"")</f>
        <v/>
      </c>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c r="GK768" s="4"/>
      <c r="GL768" s="4"/>
      <c r="GM768" s="4"/>
      <c r="GN768" s="4"/>
      <c r="GO768" s="4"/>
      <c r="GP768" s="4"/>
      <c r="GQ768" s="4"/>
      <c r="GR768" s="4"/>
      <c r="GS768" s="4"/>
      <c r="GT768" s="4"/>
      <c r="GU768" s="4"/>
      <c r="GV768" s="4"/>
      <c r="GW768" s="4"/>
      <c r="GX768" s="4"/>
      <c r="GY768" s="4"/>
      <c r="GZ768" s="4"/>
      <c r="HA768" s="4"/>
      <c r="HB768" s="4"/>
      <c r="HC768" s="4"/>
      <c r="HD768" s="4"/>
      <c r="HE768" s="4"/>
      <c r="HF768" s="4"/>
      <c r="HG768" s="4"/>
      <c r="HH768" s="4"/>
      <c r="HI768" s="4"/>
      <c r="HJ768" s="4"/>
      <c r="HK768" s="4"/>
      <c r="HL768" s="4"/>
    </row>
    <row r="769" spans="1:220" ht="15" customHeight="1">
      <c r="A769" s="21">
        <v>8</v>
      </c>
      <c r="B769" s="157" t="str">
        <f>VLOOKUP(Ruimtestaat[[#This Row],[Code]],Locaties[[Code]:[Locatie]],2,FALSE)</f>
        <v>Dalton College</v>
      </c>
      <c r="C769" s="157" t="str">
        <f>VLOOKUP(Ruimtestaat[[#This Row],[Code]],Locaties[[#All],[Code]:[Adres]],4,FALSE)</f>
        <v>Loolaan 125</v>
      </c>
      <c r="D769" s="157" t="str">
        <f>VLOOKUP(Ruimtestaat[[#This Row],[Code]],Locaties[[#All],[Code]:[Postcode]],5,FALSE)</f>
        <v xml:space="preserve">2271 TM </v>
      </c>
      <c r="E769" s="157" t="str">
        <f>VLOOKUP(Ruimtestaat[[#This Row],[Code]],Locaties[#All],6,FALSE)</f>
        <v>Voorburg</v>
      </c>
      <c r="F769" s="62"/>
      <c r="G769" s="21" t="s">
        <v>1624</v>
      </c>
      <c r="H769" s="21" t="s">
        <v>1703</v>
      </c>
      <c r="I769" s="62" t="s">
        <v>2200</v>
      </c>
      <c r="J769" s="21">
        <v>19</v>
      </c>
      <c r="K769" s="62" t="str">
        <f>VLOOKUP(Ruimtestaat[[#This Row],[Ruimte code]],Ruimtegroepen[[#All],[Code]:[Ruimte omschrijving]],2,FALSE)</f>
        <v>kleedruimten</v>
      </c>
      <c r="L769" s="33" t="s">
        <v>102</v>
      </c>
      <c r="M769" s="367" t="s">
        <v>2509</v>
      </c>
      <c r="N769" s="140">
        <v>17</v>
      </c>
      <c r="O769" s="140"/>
      <c r="P769" s="125" t="str">
        <f>VLOOKUP(Ruimtestaat[[#This Row],[Ruimte code]],Ruimtegroepen[],4,FALSE)</f>
        <v>Ve</v>
      </c>
      <c r="Q769" s="125" t="s">
        <v>2547</v>
      </c>
      <c r="R769" s="33">
        <v>40</v>
      </c>
      <c r="S769" s="33" t="s">
        <v>2</v>
      </c>
      <c r="T769" s="33">
        <f>IF(R769&gt;0,IF(RIGHT(Ruimtestaat[[#This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69" s="33">
        <f>IF(T769&gt;0,VLOOKUP($J769,Ruimtegroepen[],3,FALSE)*VLOOKUP($L769,Vloersoorten[],3,FALSE)*VLOOKUP($S769,Frequenties[],3,FALSE)*VLOOKUP($A769,Locaties[],3,FALSE),0)</f>
        <v>0</v>
      </c>
      <c r="V769" s="33">
        <f>Ruimtestaat[[#This Row],[Uitvoeringen werkdagen]]*Ruimtestaat[[#This Row],[Oppervlak (netto)]]</f>
        <v>3400</v>
      </c>
      <c r="W769" s="154">
        <f>IF(U769&gt;0,Ruimtestaat[[#This Row],[Prest. (m2 /jaar) werkdagen]]/Ruimtestaat[[#This Row],[Norm (m2/uur) werkdagen]],0)</f>
        <v>0</v>
      </c>
      <c r="X769" s="155">
        <f>Ruimtestaat[[#This Row],[uren / jaar werkdagen]]*Tariefsopbouw!$E$35</f>
        <v>0</v>
      </c>
      <c r="Y769" s="33"/>
      <c r="Z769" s="33">
        <f>IF(Ruimtestaat[[#This Row],[Frequentie weekend]]&gt;0,VALUE(LEFT(Y769,1))*R769,0)</f>
        <v>0</v>
      </c>
      <c r="AA769" s="97">
        <f>IF($Z769&gt;0,VLOOKUP($J769,Ruimtegroepen[],3,FALSE)*VLOOKUP($L769,Vloersoorten[],3,FALSE)*VLOOKUP($Y769,Frequenties[],3,FALSE)*VLOOKUP(Ruimtestaat[[#This Row],[Code]],Locaties[],3,FALSE),0)</f>
        <v>0</v>
      </c>
      <c r="AB769" s="97">
        <f>Ruimtestaat[[#This Row],[Uitvoeringen weekend]]*Ruimtestaat[[#This Row],[Oppervlak (netto)]]</f>
        <v>0</v>
      </c>
      <c r="AC769" s="97">
        <f>IF(AA769&gt;0,Ruimtestaat[[#This Row],[Prest. (m2 /jaar) weekend]]/Ruimtestaat[[#This Row],[Norm (m2/uur) weekend]],0)</f>
        <v>0</v>
      </c>
      <c r="AD769" s="155">
        <f>Ruimtestaat[[#This Row],[uren / jaar weekend]]*Tariefsopbouw!$D$40</f>
        <v>0</v>
      </c>
      <c r="AE769" s="154">
        <f>Ruimtestaat[[#This Row],[Prest. (m2 /jaar) weekend]]+Ruimtestaat[[#This Row],[Prest. (m2 /jaar) werkdagen]]</f>
        <v>3400</v>
      </c>
      <c r="AF769" s="154">
        <f>Ruimtestaat[[#This Row],[uren / jaar weekend]]+Ruimtestaat[[#This Row],[uren / jaar werkdagen]]</f>
        <v>0</v>
      </c>
      <c r="AG769" s="69">
        <f>Ruimtestaat[[#This Row],[kosten / jaar weekend]]+Ruimtestaat[[#This Row],[kosten / jaar werkdagen]]</f>
        <v>0</v>
      </c>
      <c r="AH769" s="69"/>
      <c r="AI769" s="256" t="str">
        <f>IF(Ruimtestaat[[#This Row],[Frequentie werkdagen]]="","",_xlfn.CONCAT(Ruimtestaat[[#This Row],[Ruimte code]],"-",Ruimtestaat[[#This Row],[Frequentie werkdagen]]," ",Ruimtestaat[[#This Row],[Vloer code]]))</f>
        <v>19-5w S</v>
      </c>
      <c r="AJ769" s="300" t="str">
        <f>_xlfn.IFNA(VLOOKUP($AI769,Programma!$F$3:$G$1107,2,0),"")</f>
        <v>_</v>
      </c>
      <c r="AK769" s="300" t="str">
        <f>_xlfn.IFNA(VLOOKUP($AI769,Programma!$F$3:$H$1107,3,0),"")</f>
        <v>_</v>
      </c>
      <c r="AL769" s="300" t="str">
        <f>_xlfn.IFNA(VLOOKUP($AI769,Programma!$F$3:$I$1107,4,0),"")</f>
        <v>5w</v>
      </c>
      <c r="AM769" s="300" t="str">
        <f>_xlfn.IFNA(VLOOKUP($AI769,Programma!$F$3:$J$1107,5,0),"")</f>
        <v>_</v>
      </c>
      <c r="AN769" s="300" t="str">
        <f>_xlfn.IFNA(VLOOKUP($AI769,Programma!$F$3:$K$1107,6,0),"")</f>
        <v>5w</v>
      </c>
      <c r="AO769" s="300" t="str">
        <f>_xlfn.IFNA(VLOOKUP($AI769,Programma!$F$3:$L$1107,7,0),"")</f>
        <v>_</v>
      </c>
      <c r="AP769" s="300" t="str">
        <f>_xlfn.IFNA(VLOOKUP($AI769,Programma!$F$3:$M$1107,8,0),"")</f>
        <v>_</v>
      </c>
      <c r="AQ769" s="300" t="str">
        <f>_xlfn.IFNA(VLOOKUP($AI769,Programma!$F$3:$N$1107,9,0),"")</f>
        <v>_</v>
      </c>
      <c r="AR769" s="300" t="str">
        <f>_xlfn.IFNA(VLOOKUP($AI769,Programma!$F$3:$O$1107,10,0),"")</f>
        <v>5w</v>
      </c>
      <c r="AS769" s="300" t="str">
        <f>_xlfn.IFNA(VLOOKUP($AI769,Programma!$F$3:$P$1107,11,0),"")</f>
        <v>5w</v>
      </c>
      <c r="AT769" s="300" t="str">
        <f>_xlfn.IFNA(VLOOKUP($AI769,Programma!$F$3:$Q$1107,12,0),"")</f>
        <v>1w</v>
      </c>
      <c r="AU769" s="300" t="str">
        <f>_xlfn.IFNA(VLOOKUP($AI769,Programma!$F$3:$R$1107,13,0),"")</f>
        <v>1w</v>
      </c>
      <c r="AV769" s="300" t="str">
        <f>_xlfn.IFNA(VLOOKUP($AI769,Programma!$F$3:$S$1107,14,0),"")</f>
        <v>1m</v>
      </c>
      <c r="AW769" s="300" t="str">
        <f>_xlfn.IFNA(VLOOKUP($AI769,Programma!$F$3:$T$1107,15,0),"")</f>
        <v>2j</v>
      </c>
      <c r="AX769" s="300" t="str">
        <f>_xlfn.IFNA(VLOOKUP($AI769,Programma!$F$3:$U$1107,16,0),"")</f>
        <v>1j</v>
      </c>
      <c r="AY769" s="300" t="str">
        <f>_xlfn.IFNA(VLOOKUP($AI769,Programma!$F$3:$V$1107,17,0),"")</f>
        <v>_</v>
      </c>
      <c r="AZ769" s="300" t="str">
        <f>_xlfn.IFNA(VLOOKUP($AI769,Programma!$F$3:$W$1107,18,0),"")</f>
        <v>_</v>
      </c>
      <c r="BA769" s="300" t="str">
        <f>_xlfn.IFNA(VLOOKUP($AI769,Programma!$F$3:$X$1107,19,0),"")</f>
        <v>_</v>
      </c>
      <c r="BB769" s="300" t="str">
        <f>_xlfn.IFNA(VLOOKUP($AI769,Programma!$F$3:$Y$1107,20,0),"")</f>
        <v>_</v>
      </c>
      <c r="BC769" s="257"/>
      <c r="BD769" s="256" t="str">
        <f>IF(Ruimtestaat[[#This Row],[Frequentie weekend]]="","",_xlfn.CONCAT(Ruimtestaat[[#This Row],[Ruimte code]],"-",Ruimtestaat[[#This Row],[Frequentie weekend]]," ",Ruimtestaat[[#This Row],[Vloer code]]))</f>
        <v/>
      </c>
      <c r="BE769" s="300" t="str">
        <f>_xlfn.IFNA(VLOOKUP($BD769,Programma!$F$3:$G$1107,2,0),"")</f>
        <v/>
      </c>
      <c r="BF769" s="300" t="str">
        <f>_xlfn.IFNA(VLOOKUP($BD769,Programma!$F$3:$H$1107,3,0),"")</f>
        <v/>
      </c>
      <c r="BG769" s="300" t="str">
        <f>_xlfn.IFNA(VLOOKUP($BD769,Programma!$F$3:$I$1107,4,0),"")</f>
        <v/>
      </c>
      <c r="BH769" s="300" t="str">
        <f>_xlfn.IFNA(VLOOKUP($BD769,Programma!$F$3:$J$1107,5,0),"")</f>
        <v/>
      </c>
      <c r="BI769" s="300" t="str">
        <f>_xlfn.IFNA(VLOOKUP($BD769,Programma!$F$3:$K$1107,6,0),"")</f>
        <v/>
      </c>
      <c r="BJ769" s="300" t="str">
        <f>_xlfn.IFNA(VLOOKUP($BD769,Programma!$F$3:$L$1107,7,0),"")</f>
        <v/>
      </c>
      <c r="BK769" s="300" t="str">
        <f>_xlfn.IFNA(VLOOKUP($BD769,Programma!$F$3:$M$1107,8,0),"")</f>
        <v/>
      </c>
      <c r="BL769" s="300" t="str">
        <f>_xlfn.IFNA(VLOOKUP($BD769,Programma!$F$3:$N$1107,9,0),"")</f>
        <v/>
      </c>
      <c r="BM769" s="300" t="str">
        <f>_xlfn.IFNA(VLOOKUP($BD769,Programma!$F$3:$O$1107,10,0),"")</f>
        <v/>
      </c>
      <c r="BN769" s="300" t="str">
        <f>_xlfn.IFNA(VLOOKUP($BD769,Programma!$F$3:$P$1107,11,0),"")</f>
        <v/>
      </c>
      <c r="BO769" s="300" t="str">
        <f>_xlfn.IFNA(VLOOKUP($BD769,Programma!$F$3:$Q$1107,12,0),"")</f>
        <v/>
      </c>
      <c r="BP769" s="300" t="str">
        <f>_xlfn.IFNA(VLOOKUP($BD769,Programma!$F$3:$R$1107,13,0),"")</f>
        <v/>
      </c>
      <c r="BQ769" s="300" t="str">
        <f>_xlfn.IFNA(VLOOKUP($BD769,Programma!$F$3:$S$1107,14,0),"")</f>
        <v/>
      </c>
      <c r="BR769" s="300" t="str">
        <f>_xlfn.IFNA(VLOOKUP($BD769,Programma!$F$3:$T$1107,15,0),"")</f>
        <v/>
      </c>
      <c r="BS769" s="300" t="str">
        <f>_xlfn.IFNA(VLOOKUP($BD769,Programma!$F$3:$U$1107,16,0),"")</f>
        <v/>
      </c>
      <c r="BT769" s="300" t="str">
        <f>_xlfn.IFNA(VLOOKUP($BD769,Programma!$F$3:$V$1107,17,0),"")</f>
        <v/>
      </c>
      <c r="BU769" s="300" t="str">
        <f>_xlfn.IFNA(VLOOKUP($BD769,Programma!$F$3:$W$1107,18,0),"")</f>
        <v/>
      </c>
      <c r="BV769" s="300" t="str">
        <f>_xlfn.IFNA(VLOOKUP($BD769,Programma!$F$3:$X$1107,19,0),"")</f>
        <v/>
      </c>
      <c r="BW769" s="300" t="str">
        <f>_xlfn.IFNA(VLOOKUP($BD769,Programma!$F$3:$Y$1107,20,0),"")</f>
        <v/>
      </c>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c r="GK769" s="4"/>
      <c r="GL769" s="4"/>
      <c r="GM769" s="4"/>
      <c r="GN769" s="4"/>
      <c r="GO769" s="4"/>
      <c r="GP769" s="4"/>
      <c r="GQ769" s="4"/>
      <c r="GR769" s="4"/>
      <c r="GS769" s="4"/>
      <c r="GT769" s="4"/>
      <c r="GU769" s="4"/>
      <c r="GV769" s="4"/>
      <c r="GW769" s="4"/>
      <c r="GX769" s="4"/>
      <c r="GY769" s="4"/>
      <c r="GZ769" s="4"/>
      <c r="HA769" s="4"/>
      <c r="HB769" s="4"/>
      <c r="HC769" s="4"/>
      <c r="HD769" s="4"/>
      <c r="HE769" s="4"/>
      <c r="HF769" s="4"/>
      <c r="HG769" s="4"/>
      <c r="HH769" s="4"/>
      <c r="HI769" s="4"/>
      <c r="HJ769" s="4"/>
      <c r="HK769" s="4"/>
      <c r="HL769" s="4"/>
    </row>
    <row r="770" spans="1:220" ht="15" customHeight="1">
      <c r="A770" s="21">
        <v>8</v>
      </c>
      <c r="B770" s="157" t="str">
        <f>VLOOKUP(Ruimtestaat[[#This Row],[Code]],Locaties[[Code]:[Locatie]],2,FALSE)</f>
        <v>Dalton College</v>
      </c>
      <c r="C770" s="157" t="str">
        <f>VLOOKUP(Ruimtestaat[[#This Row],[Code]],Locaties[[#All],[Code]:[Adres]],4,FALSE)</f>
        <v>Loolaan 125</v>
      </c>
      <c r="D770" s="157" t="str">
        <f>VLOOKUP(Ruimtestaat[[#This Row],[Code]],Locaties[[#All],[Code]:[Postcode]],5,FALSE)</f>
        <v xml:space="preserve">2271 TM </v>
      </c>
      <c r="E770" s="157" t="str">
        <f>VLOOKUP(Ruimtestaat[[#This Row],[Code]],Locaties[#All],6,FALSE)</f>
        <v>Voorburg</v>
      </c>
      <c r="F770" s="62"/>
      <c r="G770" s="21" t="s">
        <v>1624</v>
      </c>
      <c r="H770" s="21" t="s">
        <v>1704</v>
      </c>
      <c r="I770" s="62" t="s">
        <v>1627</v>
      </c>
      <c r="J770" s="21">
        <v>5</v>
      </c>
      <c r="K770" s="62" t="str">
        <f>VLOOKUP(Ruimtestaat[[#This Row],[Ruimte code]],Ruimtegroepen[[#All],[Code]:[Ruimte omschrijving]],2,FALSE)</f>
        <v>Sanitair</v>
      </c>
      <c r="L770" s="33" t="s">
        <v>102</v>
      </c>
      <c r="M770" s="367" t="s">
        <v>2509</v>
      </c>
      <c r="N770" s="140">
        <v>12</v>
      </c>
      <c r="O770" s="140"/>
      <c r="P770" s="125" t="str">
        <f>VLOOKUP(Ruimtestaat[[#This Row],[Ruimte code]],Ruimtegroepen[],4,FALSE)</f>
        <v>Sa</v>
      </c>
      <c r="Q770" s="125" t="s">
        <v>2547</v>
      </c>
      <c r="R770" s="33">
        <v>40</v>
      </c>
      <c r="S770" s="33" t="s">
        <v>2</v>
      </c>
      <c r="T770" s="33">
        <f>IF(R770&gt;0,IF(RIGHT(Ruimtestaat[[#This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0" s="33">
        <f>IF(T770&gt;0,VLOOKUP($J770,Ruimtegroepen[],3,FALSE)*VLOOKUP($L770,Vloersoorten[],3,FALSE)*VLOOKUP($S770,Frequenties[],3,FALSE)*VLOOKUP($A770,Locaties[],3,FALSE),0)</f>
        <v>0</v>
      </c>
      <c r="V770" s="33">
        <f>Ruimtestaat[[#This Row],[Uitvoeringen werkdagen]]*Ruimtestaat[[#This Row],[Oppervlak (netto)]]</f>
        <v>2400</v>
      </c>
      <c r="W770" s="154">
        <f>IF(U770&gt;0,Ruimtestaat[[#This Row],[Prest. (m2 /jaar) werkdagen]]/Ruimtestaat[[#This Row],[Norm (m2/uur) werkdagen]],0)</f>
        <v>0</v>
      </c>
      <c r="X770" s="155">
        <f>Ruimtestaat[[#This Row],[uren / jaar werkdagen]]*Tariefsopbouw!$E$35</f>
        <v>0</v>
      </c>
      <c r="Y770" s="33"/>
      <c r="Z770" s="33">
        <f>IF(Ruimtestaat[[#This Row],[Frequentie weekend]]&gt;0,VALUE(LEFT(Y770,1))*R770,0)</f>
        <v>0</v>
      </c>
      <c r="AA770" s="97">
        <f>IF($Z770&gt;0,VLOOKUP($J770,Ruimtegroepen[],3,FALSE)*VLOOKUP($L770,Vloersoorten[],3,FALSE)*VLOOKUP($Y770,Frequenties[],3,FALSE)*VLOOKUP(Ruimtestaat[[#This Row],[Code]],Locaties[],3,FALSE),0)</f>
        <v>0</v>
      </c>
      <c r="AB770" s="97">
        <f>Ruimtestaat[[#This Row],[Uitvoeringen weekend]]*Ruimtestaat[[#This Row],[Oppervlak (netto)]]</f>
        <v>0</v>
      </c>
      <c r="AC770" s="97">
        <f>IF(AA770&gt;0,Ruimtestaat[[#This Row],[Prest. (m2 /jaar) weekend]]/Ruimtestaat[[#This Row],[Norm (m2/uur) weekend]],0)</f>
        <v>0</v>
      </c>
      <c r="AD770" s="155">
        <f>Ruimtestaat[[#This Row],[uren / jaar weekend]]*Tariefsopbouw!$D$40</f>
        <v>0</v>
      </c>
      <c r="AE770" s="154">
        <f>Ruimtestaat[[#This Row],[Prest. (m2 /jaar) weekend]]+Ruimtestaat[[#This Row],[Prest. (m2 /jaar) werkdagen]]</f>
        <v>2400</v>
      </c>
      <c r="AF770" s="154">
        <f>Ruimtestaat[[#This Row],[uren / jaar weekend]]+Ruimtestaat[[#This Row],[uren / jaar werkdagen]]</f>
        <v>0</v>
      </c>
      <c r="AG770" s="69">
        <f>Ruimtestaat[[#This Row],[kosten / jaar weekend]]+Ruimtestaat[[#This Row],[kosten / jaar werkdagen]]</f>
        <v>0</v>
      </c>
      <c r="AH770" s="69"/>
      <c r="AI770" s="256" t="str">
        <f>IF(Ruimtestaat[[#This Row],[Frequentie werkdagen]]="","",_xlfn.CONCAT(Ruimtestaat[[#This Row],[Ruimte code]],"-",Ruimtestaat[[#This Row],[Frequentie werkdagen]]," ",Ruimtestaat[[#This Row],[Vloer code]]))</f>
        <v>5-5w S</v>
      </c>
      <c r="AJ770" s="300" t="str">
        <f>_xlfn.IFNA(VLOOKUP($AI770,Programma!$F$3:$G$1107,2,0),"")</f>
        <v>_</v>
      </c>
      <c r="AK770" s="300" t="str">
        <f>_xlfn.IFNA(VLOOKUP($AI770,Programma!$F$3:$H$1107,3,0),"")</f>
        <v>_</v>
      </c>
      <c r="AL770" s="300" t="str">
        <f>_xlfn.IFNA(VLOOKUP($AI770,Programma!$F$3:$I$1107,4,0),"")</f>
        <v>_</v>
      </c>
      <c r="AM770" s="300" t="str">
        <f>_xlfn.IFNA(VLOOKUP($AI770,Programma!$F$3:$J$1107,5,0),"")</f>
        <v>4w</v>
      </c>
      <c r="AN770" s="300" t="str">
        <f>_xlfn.IFNA(VLOOKUP($AI770,Programma!$F$3:$K$1107,6,0),"")</f>
        <v>1w</v>
      </c>
      <c r="AO770" s="300" t="str">
        <f>_xlfn.IFNA(VLOOKUP($AI770,Programma!$F$3:$L$1107,7,0),"")</f>
        <v>_</v>
      </c>
      <c r="AP770" s="300" t="str">
        <f>_xlfn.IFNA(VLOOKUP($AI770,Programma!$F$3:$M$1107,8,0),"")</f>
        <v>_</v>
      </c>
      <c r="AQ770" s="300" t="str">
        <f>_xlfn.IFNA(VLOOKUP($AI770,Programma!$F$3:$N$1107,9,0),"")</f>
        <v>_</v>
      </c>
      <c r="AR770" s="300" t="str">
        <f>_xlfn.IFNA(VLOOKUP($AI770,Programma!$F$3:$O$1107,10,0),"")</f>
        <v>_</v>
      </c>
      <c r="AS770" s="300" t="str">
        <f>_xlfn.IFNA(VLOOKUP($AI770,Programma!$F$3:$P$1107,11,0),"")</f>
        <v>_</v>
      </c>
      <c r="AT770" s="300" t="str">
        <f>_xlfn.IFNA(VLOOKUP($AI770,Programma!$F$3:$Q$1107,12,0),"")</f>
        <v>_</v>
      </c>
      <c r="AU770" s="300" t="str">
        <f>_xlfn.IFNA(VLOOKUP($AI770,Programma!$F$3:$R$1107,13,0),"")</f>
        <v>_</v>
      </c>
      <c r="AV770" s="300" t="str">
        <f>_xlfn.IFNA(VLOOKUP($AI770,Programma!$F$3:$S$1107,14,0),"")</f>
        <v>_</v>
      </c>
      <c r="AW770" s="300" t="str">
        <f>_xlfn.IFNA(VLOOKUP($AI770,Programma!$F$3:$T$1107,15,0),"")</f>
        <v>_</v>
      </c>
      <c r="AX770" s="300" t="str">
        <f>_xlfn.IFNA(VLOOKUP($AI770,Programma!$F$3:$U$1107,16,0),"")</f>
        <v>_</v>
      </c>
      <c r="AY770" s="300" t="str">
        <f>_xlfn.IFNA(VLOOKUP($AI770,Programma!$F$3:$V$1107,17,0),"")</f>
        <v>_</v>
      </c>
      <c r="AZ770" s="300" t="str">
        <f>_xlfn.IFNA(VLOOKUP($AI770,Programma!$F$3:$W$1107,18,0),"")</f>
        <v>4w</v>
      </c>
      <c r="BA770" s="300" t="str">
        <f>_xlfn.IFNA(VLOOKUP($AI770,Programma!$F$3:$X$1107,19,0),"")</f>
        <v>1w</v>
      </c>
      <c r="BB770" s="300" t="str">
        <f>_xlfn.IFNA(VLOOKUP($AI770,Programma!$F$3:$Y$1107,20,0),"")</f>
        <v>_</v>
      </c>
      <c r="BC770" s="257"/>
      <c r="BD770" s="256" t="str">
        <f>IF(Ruimtestaat[[#This Row],[Frequentie weekend]]="","",_xlfn.CONCAT(Ruimtestaat[[#This Row],[Ruimte code]],"-",Ruimtestaat[[#This Row],[Frequentie weekend]]," ",Ruimtestaat[[#This Row],[Vloer code]]))</f>
        <v/>
      </c>
      <c r="BE770" s="300" t="str">
        <f>_xlfn.IFNA(VLOOKUP($BD770,Programma!$F$3:$G$1107,2,0),"")</f>
        <v/>
      </c>
      <c r="BF770" s="300" t="str">
        <f>_xlfn.IFNA(VLOOKUP($BD770,Programma!$F$3:$H$1107,3,0),"")</f>
        <v/>
      </c>
      <c r="BG770" s="300" t="str">
        <f>_xlfn.IFNA(VLOOKUP($BD770,Programma!$F$3:$I$1107,4,0),"")</f>
        <v/>
      </c>
      <c r="BH770" s="300" t="str">
        <f>_xlfn.IFNA(VLOOKUP($BD770,Programma!$F$3:$J$1107,5,0),"")</f>
        <v/>
      </c>
      <c r="BI770" s="300" t="str">
        <f>_xlfn.IFNA(VLOOKUP($BD770,Programma!$F$3:$K$1107,6,0),"")</f>
        <v/>
      </c>
      <c r="BJ770" s="300" t="str">
        <f>_xlfn.IFNA(VLOOKUP($BD770,Programma!$F$3:$L$1107,7,0),"")</f>
        <v/>
      </c>
      <c r="BK770" s="300" t="str">
        <f>_xlfn.IFNA(VLOOKUP($BD770,Programma!$F$3:$M$1107,8,0),"")</f>
        <v/>
      </c>
      <c r="BL770" s="300" t="str">
        <f>_xlfn.IFNA(VLOOKUP($BD770,Programma!$F$3:$N$1107,9,0),"")</f>
        <v/>
      </c>
      <c r="BM770" s="300" t="str">
        <f>_xlfn.IFNA(VLOOKUP($BD770,Programma!$F$3:$O$1107,10,0),"")</f>
        <v/>
      </c>
      <c r="BN770" s="300" t="str">
        <f>_xlfn.IFNA(VLOOKUP($BD770,Programma!$F$3:$P$1107,11,0),"")</f>
        <v/>
      </c>
      <c r="BO770" s="300" t="str">
        <f>_xlfn.IFNA(VLOOKUP($BD770,Programma!$F$3:$Q$1107,12,0),"")</f>
        <v/>
      </c>
      <c r="BP770" s="300" t="str">
        <f>_xlfn.IFNA(VLOOKUP($BD770,Programma!$F$3:$R$1107,13,0),"")</f>
        <v/>
      </c>
      <c r="BQ770" s="300" t="str">
        <f>_xlfn.IFNA(VLOOKUP($BD770,Programma!$F$3:$S$1107,14,0),"")</f>
        <v/>
      </c>
      <c r="BR770" s="300" t="str">
        <f>_xlfn.IFNA(VLOOKUP($BD770,Programma!$F$3:$T$1107,15,0),"")</f>
        <v/>
      </c>
      <c r="BS770" s="300" t="str">
        <f>_xlfn.IFNA(VLOOKUP($BD770,Programma!$F$3:$U$1107,16,0),"")</f>
        <v/>
      </c>
      <c r="BT770" s="300" t="str">
        <f>_xlfn.IFNA(VLOOKUP($BD770,Programma!$F$3:$V$1107,17,0),"")</f>
        <v/>
      </c>
      <c r="BU770" s="300" t="str">
        <f>_xlfn.IFNA(VLOOKUP($BD770,Programma!$F$3:$W$1107,18,0),"")</f>
        <v/>
      </c>
      <c r="BV770" s="300" t="str">
        <f>_xlfn.IFNA(VLOOKUP($BD770,Programma!$F$3:$X$1107,19,0),"")</f>
        <v/>
      </c>
      <c r="BW770" s="300" t="str">
        <f>_xlfn.IFNA(VLOOKUP($BD770,Programma!$F$3:$Y$1107,20,0),"")</f>
        <v/>
      </c>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c r="GB770" s="4"/>
      <c r="GC770" s="4"/>
      <c r="GD770" s="4"/>
      <c r="GE770" s="4"/>
      <c r="GF770" s="4"/>
      <c r="GG770" s="4"/>
      <c r="GH770" s="4"/>
      <c r="GI770" s="4"/>
      <c r="GJ770" s="4"/>
      <c r="GK770" s="4"/>
      <c r="GL770" s="4"/>
      <c r="GM770" s="4"/>
      <c r="GN770" s="4"/>
      <c r="GO770" s="4"/>
      <c r="GP770" s="4"/>
      <c r="GQ770" s="4"/>
      <c r="GR770" s="4"/>
      <c r="GS770" s="4"/>
      <c r="GT770" s="4"/>
      <c r="GU770" s="4"/>
      <c r="GV770" s="4"/>
      <c r="GW770" s="4"/>
      <c r="GX770" s="4"/>
      <c r="GY770" s="4"/>
      <c r="GZ770" s="4"/>
      <c r="HA770" s="4"/>
      <c r="HB770" s="4"/>
      <c r="HC770" s="4"/>
      <c r="HD770" s="4"/>
      <c r="HE770" s="4"/>
      <c r="HF770" s="4"/>
      <c r="HG770" s="4"/>
      <c r="HH770" s="4"/>
      <c r="HI770" s="4"/>
      <c r="HJ770" s="4"/>
      <c r="HK770" s="4"/>
      <c r="HL770" s="4"/>
    </row>
    <row r="771" spans="1:220" ht="15" customHeight="1">
      <c r="A771" s="21">
        <v>8</v>
      </c>
      <c r="B771" s="157" t="str">
        <f>VLOOKUP(Ruimtestaat[[#This Row],[Code]],Locaties[[Code]:[Locatie]],2,FALSE)</f>
        <v>Dalton College</v>
      </c>
      <c r="C771" s="157" t="str">
        <f>VLOOKUP(Ruimtestaat[[#This Row],[Code]],Locaties[[#All],[Code]:[Adres]],4,FALSE)</f>
        <v>Loolaan 125</v>
      </c>
      <c r="D771" s="157" t="str">
        <f>VLOOKUP(Ruimtestaat[[#This Row],[Code]],Locaties[[#All],[Code]:[Postcode]],5,FALSE)</f>
        <v xml:space="preserve">2271 TM </v>
      </c>
      <c r="E771" s="157" t="str">
        <f>VLOOKUP(Ruimtestaat[[#This Row],[Code]],Locaties[#All],6,FALSE)</f>
        <v>Voorburg</v>
      </c>
      <c r="F771" s="62"/>
      <c r="G771" s="21" t="s">
        <v>1624</v>
      </c>
      <c r="H771" s="21" t="s">
        <v>1705</v>
      </c>
      <c r="I771" s="62" t="s">
        <v>1627</v>
      </c>
      <c r="J771" s="21">
        <v>5</v>
      </c>
      <c r="K771" s="62" t="str">
        <f>VLOOKUP(Ruimtestaat[[#This Row],[Ruimte code]],Ruimtegroepen[[#All],[Code]:[Ruimte omschrijving]],2,FALSE)</f>
        <v>Sanitair</v>
      </c>
      <c r="L771" s="33" t="s">
        <v>102</v>
      </c>
      <c r="M771" s="367" t="s">
        <v>2509</v>
      </c>
      <c r="N771" s="140">
        <v>12</v>
      </c>
      <c r="O771" s="140"/>
      <c r="P771" s="125" t="str">
        <f>VLOOKUP(Ruimtestaat[[#This Row],[Ruimte code]],Ruimtegroepen[],4,FALSE)</f>
        <v>Sa</v>
      </c>
      <c r="Q771" s="125" t="s">
        <v>2547</v>
      </c>
      <c r="R771" s="33">
        <v>40</v>
      </c>
      <c r="S771" s="33" t="s">
        <v>2</v>
      </c>
      <c r="T771" s="33">
        <f>IF(R771&gt;0,IF(RIGHT(Ruimtestaat[[#This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1" s="33">
        <f>IF(T771&gt;0,VLOOKUP($J771,Ruimtegroepen[],3,FALSE)*VLOOKUP($L771,Vloersoorten[],3,FALSE)*VLOOKUP($S771,Frequenties[],3,FALSE)*VLOOKUP($A771,Locaties[],3,FALSE),0)</f>
        <v>0</v>
      </c>
      <c r="V771" s="33">
        <f>Ruimtestaat[[#This Row],[Uitvoeringen werkdagen]]*Ruimtestaat[[#This Row],[Oppervlak (netto)]]</f>
        <v>2400</v>
      </c>
      <c r="W771" s="154">
        <f>IF(U771&gt;0,Ruimtestaat[[#This Row],[Prest. (m2 /jaar) werkdagen]]/Ruimtestaat[[#This Row],[Norm (m2/uur) werkdagen]],0)</f>
        <v>0</v>
      </c>
      <c r="X771" s="155">
        <f>Ruimtestaat[[#This Row],[uren / jaar werkdagen]]*Tariefsopbouw!$E$35</f>
        <v>0</v>
      </c>
      <c r="Y771" s="33"/>
      <c r="Z771" s="33">
        <f>IF(Ruimtestaat[[#This Row],[Frequentie weekend]]&gt;0,VALUE(LEFT(Y771,1))*R771,0)</f>
        <v>0</v>
      </c>
      <c r="AA771" s="97">
        <f>IF($Z771&gt;0,VLOOKUP($J771,Ruimtegroepen[],3,FALSE)*VLOOKUP($L771,Vloersoorten[],3,FALSE)*VLOOKUP($Y771,Frequenties[],3,FALSE)*VLOOKUP(Ruimtestaat[[#This Row],[Code]],Locaties[],3,FALSE),0)</f>
        <v>0</v>
      </c>
      <c r="AB771" s="97">
        <f>Ruimtestaat[[#This Row],[Uitvoeringen weekend]]*Ruimtestaat[[#This Row],[Oppervlak (netto)]]</f>
        <v>0</v>
      </c>
      <c r="AC771" s="97">
        <f>IF(AA771&gt;0,Ruimtestaat[[#This Row],[Prest. (m2 /jaar) weekend]]/Ruimtestaat[[#This Row],[Norm (m2/uur) weekend]],0)</f>
        <v>0</v>
      </c>
      <c r="AD771" s="155">
        <f>Ruimtestaat[[#This Row],[uren / jaar weekend]]*Tariefsopbouw!$D$40</f>
        <v>0</v>
      </c>
      <c r="AE771" s="154">
        <f>Ruimtestaat[[#This Row],[Prest. (m2 /jaar) weekend]]+Ruimtestaat[[#This Row],[Prest. (m2 /jaar) werkdagen]]</f>
        <v>2400</v>
      </c>
      <c r="AF771" s="154">
        <f>Ruimtestaat[[#This Row],[uren / jaar weekend]]+Ruimtestaat[[#This Row],[uren / jaar werkdagen]]</f>
        <v>0</v>
      </c>
      <c r="AG771" s="69">
        <f>Ruimtestaat[[#This Row],[kosten / jaar weekend]]+Ruimtestaat[[#This Row],[kosten / jaar werkdagen]]</f>
        <v>0</v>
      </c>
      <c r="AH771" s="69"/>
      <c r="AI771" s="256" t="str">
        <f>IF(Ruimtestaat[[#This Row],[Frequentie werkdagen]]="","",_xlfn.CONCAT(Ruimtestaat[[#This Row],[Ruimte code]],"-",Ruimtestaat[[#This Row],[Frequentie werkdagen]]," ",Ruimtestaat[[#This Row],[Vloer code]]))</f>
        <v>5-5w S</v>
      </c>
      <c r="AJ771" s="300" t="str">
        <f>_xlfn.IFNA(VLOOKUP($AI771,Programma!$F$3:$G$1107,2,0),"")</f>
        <v>_</v>
      </c>
      <c r="AK771" s="300" t="str">
        <f>_xlfn.IFNA(VLOOKUP($AI771,Programma!$F$3:$H$1107,3,0),"")</f>
        <v>_</v>
      </c>
      <c r="AL771" s="300" t="str">
        <f>_xlfn.IFNA(VLOOKUP($AI771,Programma!$F$3:$I$1107,4,0),"")</f>
        <v>_</v>
      </c>
      <c r="AM771" s="300" t="str">
        <f>_xlfn.IFNA(VLOOKUP($AI771,Programma!$F$3:$J$1107,5,0),"")</f>
        <v>4w</v>
      </c>
      <c r="AN771" s="300" t="str">
        <f>_xlfn.IFNA(VLOOKUP($AI771,Programma!$F$3:$K$1107,6,0),"")</f>
        <v>1w</v>
      </c>
      <c r="AO771" s="300" t="str">
        <f>_xlfn.IFNA(VLOOKUP($AI771,Programma!$F$3:$L$1107,7,0),"")</f>
        <v>_</v>
      </c>
      <c r="AP771" s="300" t="str">
        <f>_xlfn.IFNA(VLOOKUP($AI771,Programma!$F$3:$M$1107,8,0),"")</f>
        <v>_</v>
      </c>
      <c r="AQ771" s="300" t="str">
        <f>_xlfn.IFNA(VLOOKUP($AI771,Programma!$F$3:$N$1107,9,0),"")</f>
        <v>_</v>
      </c>
      <c r="AR771" s="300" t="str">
        <f>_xlfn.IFNA(VLOOKUP($AI771,Programma!$F$3:$O$1107,10,0),"")</f>
        <v>_</v>
      </c>
      <c r="AS771" s="300" t="str">
        <f>_xlfn.IFNA(VLOOKUP($AI771,Programma!$F$3:$P$1107,11,0),"")</f>
        <v>_</v>
      </c>
      <c r="AT771" s="300" t="str">
        <f>_xlfn.IFNA(VLOOKUP($AI771,Programma!$F$3:$Q$1107,12,0),"")</f>
        <v>_</v>
      </c>
      <c r="AU771" s="300" t="str">
        <f>_xlfn.IFNA(VLOOKUP($AI771,Programma!$F$3:$R$1107,13,0),"")</f>
        <v>_</v>
      </c>
      <c r="AV771" s="300" t="str">
        <f>_xlfn.IFNA(VLOOKUP($AI771,Programma!$F$3:$S$1107,14,0),"")</f>
        <v>_</v>
      </c>
      <c r="AW771" s="300" t="str">
        <f>_xlfn.IFNA(VLOOKUP($AI771,Programma!$F$3:$T$1107,15,0),"")</f>
        <v>_</v>
      </c>
      <c r="AX771" s="300" t="str">
        <f>_xlfn.IFNA(VLOOKUP($AI771,Programma!$F$3:$U$1107,16,0),"")</f>
        <v>_</v>
      </c>
      <c r="AY771" s="300" t="str">
        <f>_xlfn.IFNA(VLOOKUP($AI771,Programma!$F$3:$V$1107,17,0),"")</f>
        <v>_</v>
      </c>
      <c r="AZ771" s="300" t="str">
        <f>_xlfn.IFNA(VLOOKUP($AI771,Programma!$F$3:$W$1107,18,0),"")</f>
        <v>4w</v>
      </c>
      <c r="BA771" s="300" t="str">
        <f>_xlfn.IFNA(VLOOKUP($AI771,Programma!$F$3:$X$1107,19,0),"")</f>
        <v>1w</v>
      </c>
      <c r="BB771" s="300" t="str">
        <f>_xlfn.IFNA(VLOOKUP($AI771,Programma!$F$3:$Y$1107,20,0),"")</f>
        <v>_</v>
      </c>
      <c r="BC771" s="257"/>
      <c r="BD771" s="256" t="str">
        <f>IF(Ruimtestaat[[#This Row],[Frequentie weekend]]="","",_xlfn.CONCAT(Ruimtestaat[[#This Row],[Ruimte code]],"-",Ruimtestaat[[#This Row],[Frequentie weekend]]," ",Ruimtestaat[[#This Row],[Vloer code]]))</f>
        <v/>
      </c>
      <c r="BE771" s="300" t="str">
        <f>_xlfn.IFNA(VLOOKUP($BD771,Programma!$F$3:$G$1107,2,0),"")</f>
        <v/>
      </c>
      <c r="BF771" s="300" t="str">
        <f>_xlfn.IFNA(VLOOKUP($BD771,Programma!$F$3:$H$1107,3,0),"")</f>
        <v/>
      </c>
      <c r="BG771" s="300" t="str">
        <f>_xlfn.IFNA(VLOOKUP($BD771,Programma!$F$3:$I$1107,4,0),"")</f>
        <v/>
      </c>
      <c r="BH771" s="300" t="str">
        <f>_xlfn.IFNA(VLOOKUP($BD771,Programma!$F$3:$J$1107,5,0),"")</f>
        <v/>
      </c>
      <c r="BI771" s="300" t="str">
        <f>_xlfn.IFNA(VLOOKUP($BD771,Programma!$F$3:$K$1107,6,0),"")</f>
        <v/>
      </c>
      <c r="BJ771" s="300" t="str">
        <f>_xlfn.IFNA(VLOOKUP($BD771,Programma!$F$3:$L$1107,7,0),"")</f>
        <v/>
      </c>
      <c r="BK771" s="300" t="str">
        <f>_xlfn.IFNA(VLOOKUP($BD771,Programma!$F$3:$M$1107,8,0),"")</f>
        <v/>
      </c>
      <c r="BL771" s="300" t="str">
        <f>_xlfn.IFNA(VLOOKUP($BD771,Programma!$F$3:$N$1107,9,0),"")</f>
        <v/>
      </c>
      <c r="BM771" s="300" t="str">
        <f>_xlfn.IFNA(VLOOKUP($BD771,Programma!$F$3:$O$1107,10,0),"")</f>
        <v/>
      </c>
      <c r="BN771" s="300" t="str">
        <f>_xlfn.IFNA(VLOOKUP($BD771,Programma!$F$3:$P$1107,11,0),"")</f>
        <v/>
      </c>
      <c r="BO771" s="300" t="str">
        <f>_xlfn.IFNA(VLOOKUP($BD771,Programma!$F$3:$Q$1107,12,0),"")</f>
        <v/>
      </c>
      <c r="BP771" s="300" t="str">
        <f>_xlfn.IFNA(VLOOKUP($BD771,Programma!$F$3:$R$1107,13,0),"")</f>
        <v/>
      </c>
      <c r="BQ771" s="300" t="str">
        <f>_xlfn.IFNA(VLOOKUP($BD771,Programma!$F$3:$S$1107,14,0),"")</f>
        <v/>
      </c>
      <c r="BR771" s="300" t="str">
        <f>_xlfn.IFNA(VLOOKUP($BD771,Programma!$F$3:$T$1107,15,0),"")</f>
        <v/>
      </c>
      <c r="BS771" s="300" t="str">
        <f>_xlfn.IFNA(VLOOKUP($BD771,Programma!$F$3:$U$1107,16,0),"")</f>
        <v/>
      </c>
      <c r="BT771" s="300" t="str">
        <f>_xlfn.IFNA(VLOOKUP($BD771,Programma!$F$3:$V$1107,17,0),"")</f>
        <v/>
      </c>
      <c r="BU771" s="300" t="str">
        <f>_xlfn.IFNA(VLOOKUP($BD771,Programma!$F$3:$W$1107,18,0),"")</f>
        <v/>
      </c>
      <c r="BV771" s="300" t="str">
        <f>_xlfn.IFNA(VLOOKUP($BD771,Programma!$F$3:$X$1107,19,0),"")</f>
        <v/>
      </c>
      <c r="BW771" s="300" t="str">
        <f>_xlfn.IFNA(VLOOKUP($BD771,Programma!$F$3:$Y$1107,20,0),"")</f>
        <v/>
      </c>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c r="GK771" s="4"/>
      <c r="GL771" s="4"/>
      <c r="GM771" s="4"/>
      <c r="GN771" s="4"/>
      <c r="GO771" s="4"/>
      <c r="GP771" s="4"/>
      <c r="GQ771" s="4"/>
      <c r="GR771" s="4"/>
      <c r="GS771" s="4"/>
      <c r="GT771" s="4"/>
      <c r="GU771" s="4"/>
      <c r="GV771" s="4"/>
      <c r="GW771" s="4"/>
      <c r="GX771" s="4"/>
      <c r="GY771" s="4"/>
      <c r="GZ771" s="4"/>
      <c r="HA771" s="4"/>
      <c r="HB771" s="4"/>
      <c r="HC771" s="4"/>
      <c r="HD771" s="4"/>
      <c r="HE771" s="4"/>
      <c r="HF771" s="4"/>
      <c r="HG771" s="4"/>
      <c r="HH771" s="4"/>
      <c r="HI771" s="4"/>
      <c r="HJ771" s="4"/>
      <c r="HK771" s="4"/>
      <c r="HL771" s="4"/>
    </row>
    <row r="772" spans="1:220" ht="15" customHeight="1">
      <c r="A772" s="21">
        <v>8</v>
      </c>
      <c r="B772" s="157" t="str">
        <f>VLOOKUP(Ruimtestaat[[#This Row],[Code]],Locaties[[Code]:[Locatie]],2,FALSE)</f>
        <v>Dalton College</v>
      </c>
      <c r="C772" s="157" t="str">
        <f>VLOOKUP(Ruimtestaat[[#This Row],[Code]],Locaties[[#All],[Code]:[Adres]],4,FALSE)</f>
        <v>Loolaan 125</v>
      </c>
      <c r="D772" s="157" t="str">
        <f>VLOOKUP(Ruimtestaat[[#This Row],[Code]],Locaties[[#All],[Code]:[Postcode]],5,FALSE)</f>
        <v xml:space="preserve">2271 TM </v>
      </c>
      <c r="E772" s="157" t="str">
        <f>VLOOKUP(Ruimtestaat[[#This Row],[Code]],Locaties[#All],6,FALSE)</f>
        <v>Voorburg</v>
      </c>
      <c r="F772" s="62"/>
      <c r="G772" s="21" t="s">
        <v>1624</v>
      </c>
      <c r="H772" s="21" t="s">
        <v>2058</v>
      </c>
      <c r="I772" s="62" t="s">
        <v>2201</v>
      </c>
      <c r="J772" s="21">
        <v>12</v>
      </c>
      <c r="K772" s="62" t="str">
        <f>VLOOKUP(Ruimtestaat[[#This Row],[Ruimte code]],Ruimtegroepen[[#All],[Code]:[Ruimte omschrijving]],2,FALSE)</f>
        <v>Kantine</v>
      </c>
      <c r="L772" s="33" t="s">
        <v>103</v>
      </c>
      <c r="M772" s="367" t="s">
        <v>2526</v>
      </c>
      <c r="N772" s="140">
        <v>78</v>
      </c>
      <c r="O772" s="140"/>
      <c r="P772" s="125" t="str">
        <f>VLOOKUP(Ruimtestaat[[#This Row],[Ruimte code]],Ruimtegroepen[],4,FALSE)</f>
        <v>Ve</v>
      </c>
      <c r="R772" s="33">
        <v>40</v>
      </c>
      <c r="S772" s="33" t="s">
        <v>2</v>
      </c>
      <c r="T772" s="33">
        <f>IF(R772&gt;0,IF(RIGHT(Ruimtestaat[[#This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2" s="33">
        <f>IF(T772&gt;0,VLOOKUP($J772,Ruimtegroepen[],3,FALSE)*VLOOKUP($L772,Vloersoorten[],3,FALSE)*VLOOKUP($S772,Frequenties[],3,FALSE)*VLOOKUP($A772,Locaties[],3,FALSE),0)</f>
        <v>0</v>
      </c>
      <c r="V772" s="33">
        <f>Ruimtestaat[[#This Row],[Uitvoeringen werkdagen]]*Ruimtestaat[[#This Row],[Oppervlak (netto)]]</f>
        <v>15600</v>
      </c>
      <c r="W772" s="154">
        <f>IF(U772&gt;0,Ruimtestaat[[#This Row],[Prest. (m2 /jaar) werkdagen]]/Ruimtestaat[[#This Row],[Norm (m2/uur) werkdagen]],0)</f>
        <v>0</v>
      </c>
      <c r="X772" s="155">
        <f>Ruimtestaat[[#This Row],[uren / jaar werkdagen]]*Tariefsopbouw!$E$35</f>
        <v>0</v>
      </c>
      <c r="Y772" s="33"/>
      <c r="Z772" s="33">
        <f>IF(Ruimtestaat[[#This Row],[Frequentie weekend]]&gt;0,VALUE(LEFT(Y772,1))*R772,0)</f>
        <v>0</v>
      </c>
      <c r="AA772" s="97">
        <f>IF($Z772&gt;0,VLOOKUP($J772,Ruimtegroepen[],3,FALSE)*VLOOKUP($L772,Vloersoorten[],3,FALSE)*VLOOKUP($Y772,Frequenties[],3,FALSE)*VLOOKUP(Ruimtestaat[[#This Row],[Code]],Locaties[],3,FALSE),0)</f>
        <v>0</v>
      </c>
      <c r="AB772" s="97">
        <f>Ruimtestaat[[#This Row],[Uitvoeringen weekend]]*Ruimtestaat[[#This Row],[Oppervlak (netto)]]</f>
        <v>0</v>
      </c>
      <c r="AC772" s="97">
        <f>IF(AA772&gt;0,Ruimtestaat[[#This Row],[Prest. (m2 /jaar) weekend]]/Ruimtestaat[[#This Row],[Norm (m2/uur) weekend]],0)</f>
        <v>0</v>
      </c>
      <c r="AD772" s="155">
        <f>Ruimtestaat[[#This Row],[uren / jaar weekend]]*Tariefsopbouw!$D$40</f>
        <v>0</v>
      </c>
      <c r="AE772" s="154">
        <f>Ruimtestaat[[#This Row],[Prest. (m2 /jaar) weekend]]+Ruimtestaat[[#This Row],[Prest. (m2 /jaar) werkdagen]]</f>
        <v>15600</v>
      </c>
      <c r="AF772" s="154">
        <f>Ruimtestaat[[#This Row],[uren / jaar weekend]]+Ruimtestaat[[#This Row],[uren / jaar werkdagen]]</f>
        <v>0</v>
      </c>
      <c r="AG772" s="69">
        <f>Ruimtestaat[[#This Row],[kosten / jaar weekend]]+Ruimtestaat[[#This Row],[kosten / jaar werkdagen]]</f>
        <v>0</v>
      </c>
      <c r="AH772" s="69"/>
      <c r="AI772" s="256" t="str">
        <f>IF(Ruimtestaat[[#This Row],[Frequentie werkdagen]]="","",_xlfn.CONCAT(Ruimtestaat[[#This Row],[Ruimte code]],"-",Ruimtestaat[[#This Row],[Frequentie werkdagen]]," ",Ruimtestaat[[#This Row],[Vloer code]]))</f>
        <v>12-5w P</v>
      </c>
      <c r="AJ772" s="300" t="str">
        <f>_xlfn.IFNA(VLOOKUP($AI772,Programma!$F$3:$G$1107,2,0),"")</f>
        <v>_</v>
      </c>
      <c r="AK772" s="300" t="str">
        <f>_xlfn.IFNA(VLOOKUP($AI772,Programma!$F$3:$H$1107,3,0),"")</f>
        <v>_</v>
      </c>
      <c r="AL772" s="300" t="str">
        <f>_xlfn.IFNA(VLOOKUP($AI772,Programma!$F$3:$I$1107,4,0),"")</f>
        <v>5w</v>
      </c>
      <c r="AM772" s="300" t="str">
        <f>_xlfn.IFNA(VLOOKUP($AI772,Programma!$F$3:$J$1107,5,0),"")</f>
        <v>_</v>
      </c>
      <c r="AN772" s="300" t="str">
        <f>_xlfn.IFNA(VLOOKUP($AI772,Programma!$F$3:$K$1107,6,0),"")</f>
        <v>5w</v>
      </c>
      <c r="AO772" s="300" t="str">
        <f>_xlfn.IFNA(VLOOKUP($AI772,Programma!$F$3:$L$1107,7,0),"")</f>
        <v>_</v>
      </c>
      <c r="AP772" s="300" t="str">
        <f>_xlfn.IFNA(VLOOKUP($AI772,Programma!$F$3:$M$1107,8,0),"")</f>
        <v>_</v>
      </c>
      <c r="AQ772" s="300" t="str">
        <f>_xlfn.IFNA(VLOOKUP($AI772,Programma!$F$3:$N$1107,9,0),"")</f>
        <v>_</v>
      </c>
      <c r="AR772" s="300" t="str">
        <f>_xlfn.IFNA(VLOOKUP($AI772,Programma!$F$3:$O$1107,10,0),"")</f>
        <v>5w</v>
      </c>
      <c r="AS772" s="300" t="str">
        <f>_xlfn.IFNA(VLOOKUP($AI772,Programma!$F$3:$P$1107,11,0),"")</f>
        <v>5w</v>
      </c>
      <c r="AT772" s="300" t="str">
        <f>_xlfn.IFNA(VLOOKUP($AI772,Programma!$F$3:$Q$1107,12,0),"")</f>
        <v>1w</v>
      </c>
      <c r="AU772" s="300" t="str">
        <f>_xlfn.IFNA(VLOOKUP($AI772,Programma!$F$3:$R$1107,13,0),"")</f>
        <v>1w</v>
      </c>
      <c r="AV772" s="300" t="str">
        <f>_xlfn.IFNA(VLOOKUP($AI772,Programma!$F$3:$S$1107,14,0),"")</f>
        <v>1m</v>
      </c>
      <c r="AW772" s="300" t="str">
        <f>_xlfn.IFNA(VLOOKUP($AI772,Programma!$F$3:$T$1107,15,0),"")</f>
        <v>2j</v>
      </c>
      <c r="AX772" s="300" t="str">
        <f>_xlfn.IFNA(VLOOKUP($AI772,Programma!$F$3:$U$1107,16,0),"")</f>
        <v>1j</v>
      </c>
      <c r="AY772" s="300" t="str">
        <f>_xlfn.IFNA(VLOOKUP($AI772,Programma!$F$3:$V$1107,17,0),"")</f>
        <v>_</v>
      </c>
      <c r="AZ772" s="300" t="str">
        <f>_xlfn.IFNA(VLOOKUP($AI772,Programma!$F$3:$W$1107,18,0),"")</f>
        <v>_</v>
      </c>
      <c r="BA772" s="300" t="str">
        <f>_xlfn.IFNA(VLOOKUP($AI772,Programma!$F$3:$X$1107,19,0),"")</f>
        <v>_</v>
      </c>
      <c r="BB772" s="300" t="str">
        <f>_xlfn.IFNA(VLOOKUP($AI772,Programma!$F$3:$Y$1107,20,0),"")</f>
        <v>_</v>
      </c>
      <c r="BC772" s="257"/>
      <c r="BD772" s="256" t="str">
        <f>IF(Ruimtestaat[[#This Row],[Frequentie weekend]]="","",_xlfn.CONCAT(Ruimtestaat[[#This Row],[Ruimte code]],"-",Ruimtestaat[[#This Row],[Frequentie weekend]]," ",Ruimtestaat[[#This Row],[Vloer code]]))</f>
        <v/>
      </c>
      <c r="BE772" s="300" t="str">
        <f>_xlfn.IFNA(VLOOKUP($BD772,Programma!$F$3:$G$1107,2,0),"")</f>
        <v/>
      </c>
      <c r="BF772" s="300" t="str">
        <f>_xlfn.IFNA(VLOOKUP($BD772,Programma!$F$3:$H$1107,3,0),"")</f>
        <v/>
      </c>
      <c r="BG772" s="300" t="str">
        <f>_xlfn.IFNA(VLOOKUP($BD772,Programma!$F$3:$I$1107,4,0),"")</f>
        <v/>
      </c>
      <c r="BH772" s="300" t="str">
        <f>_xlfn.IFNA(VLOOKUP($BD772,Programma!$F$3:$J$1107,5,0),"")</f>
        <v/>
      </c>
      <c r="BI772" s="300" t="str">
        <f>_xlfn.IFNA(VLOOKUP($BD772,Programma!$F$3:$K$1107,6,0),"")</f>
        <v/>
      </c>
      <c r="BJ772" s="300" t="str">
        <f>_xlfn.IFNA(VLOOKUP($BD772,Programma!$F$3:$L$1107,7,0),"")</f>
        <v/>
      </c>
      <c r="BK772" s="300" t="str">
        <f>_xlfn.IFNA(VLOOKUP($BD772,Programma!$F$3:$M$1107,8,0),"")</f>
        <v/>
      </c>
      <c r="BL772" s="300" t="str">
        <f>_xlfn.IFNA(VLOOKUP($BD772,Programma!$F$3:$N$1107,9,0),"")</f>
        <v/>
      </c>
      <c r="BM772" s="300" t="str">
        <f>_xlfn.IFNA(VLOOKUP($BD772,Programma!$F$3:$O$1107,10,0),"")</f>
        <v/>
      </c>
      <c r="BN772" s="300" t="str">
        <f>_xlfn.IFNA(VLOOKUP($BD772,Programma!$F$3:$P$1107,11,0),"")</f>
        <v/>
      </c>
      <c r="BO772" s="300" t="str">
        <f>_xlfn.IFNA(VLOOKUP($BD772,Programma!$F$3:$Q$1107,12,0),"")</f>
        <v/>
      </c>
      <c r="BP772" s="300" t="str">
        <f>_xlfn.IFNA(VLOOKUP($BD772,Programma!$F$3:$R$1107,13,0),"")</f>
        <v/>
      </c>
      <c r="BQ772" s="300" t="str">
        <f>_xlfn.IFNA(VLOOKUP($BD772,Programma!$F$3:$S$1107,14,0),"")</f>
        <v/>
      </c>
      <c r="BR772" s="300" t="str">
        <f>_xlfn.IFNA(VLOOKUP($BD772,Programma!$F$3:$T$1107,15,0),"")</f>
        <v/>
      </c>
      <c r="BS772" s="300" t="str">
        <f>_xlfn.IFNA(VLOOKUP($BD772,Programma!$F$3:$U$1107,16,0),"")</f>
        <v/>
      </c>
      <c r="BT772" s="300" t="str">
        <f>_xlfn.IFNA(VLOOKUP($BD772,Programma!$F$3:$V$1107,17,0),"")</f>
        <v/>
      </c>
      <c r="BU772" s="300" t="str">
        <f>_xlfn.IFNA(VLOOKUP($BD772,Programma!$F$3:$W$1107,18,0),"")</f>
        <v/>
      </c>
      <c r="BV772" s="300" t="str">
        <f>_xlfn.IFNA(VLOOKUP($BD772,Programma!$F$3:$X$1107,19,0),"")</f>
        <v/>
      </c>
      <c r="BW772" s="300" t="str">
        <f>_xlfn.IFNA(VLOOKUP($BD772,Programma!$F$3:$Y$1107,20,0),"")</f>
        <v/>
      </c>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c r="GK772" s="4"/>
      <c r="GL772" s="4"/>
      <c r="GM772" s="4"/>
      <c r="GN772" s="4"/>
      <c r="GO772" s="4"/>
      <c r="GP772" s="4"/>
      <c r="GQ772" s="4"/>
      <c r="GR772" s="4"/>
      <c r="GS772" s="4"/>
      <c r="GT772" s="4"/>
      <c r="GU772" s="4"/>
      <c r="GV772" s="4"/>
      <c r="GW772" s="4"/>
      <c r="GX772" s="4"/>
      <c r="GY772" s="4"/>
      <c r="GZ772" s="4"/>
      <c r="HA772" s="4"/>
      <c r="HB772" s="4"/>
      <c r="HC772" s="4"/>
      <c r="HD772" s="4"/>
      <c r="HE772" s="4"/>
      <c r="HF772" s="4"/>
      <c r="HG772" s="4"/>
      <c r="HH772" s="4"/>
      <c r="HI772" s="4"/>
      <c r="HJ772" s="4"/>
      <c r="HK772" s="4"/>
      <c r="HL772" s="4"/>
    </row>
    <row r="773" spans="1:220" ht="15" customHeight="1">
      <c r="A773" s="21">
        <v>8</v>
      </c>
      <c r="B773" s="157" t="str">
        <f>VLOOKUP(Ruimtestaat[[#This Row],[Code]],Locaties[[Code]:[Locatie]],2,FALSE)</f>
        <v>Dalton College</v>
      </c>
      <c r="C773" s="157" t="str">
        <f>VLOOKUP(Ruimtestaat[[#This Row],[Code]],Locaties[[#All],[Code]:[Adres]],4,FALSE)</f>
        <v>Loolaan 125</v>
      </c>
      <c r="D773" s="157" t="str">
        <f>VLOOKUP(Ruimtestaat[[#This Row],[Code]],Locaties[[#All],[Code]:[Postcode]],5,FALSE)</f>
        <v xml:space="preserve">2271 TM </v>
      </c>
      <c r="E773" s="157" t="str">
        <f>VLOOKUP(Ruimtestaat[[#This Row],[Code]],Locaties[#All],6,FALSE)</f>
        <v>Voorburg</v>
      </c>
      <c r="F773" s="62"/>
      <c r="G773" s="21" t="s">
        <v>1624</v>
      </c>
      <c r="H773" s="21" t="s">
        <v>1915</v>
      </c>
      <c r="I773" s="62" t="s">
        <v>122</v>
      </c>
      <c r="J773" s="21">
        <v>15</v>
      </c>
      <c r="K773" s="62" t="str">
        <f>VLOOKUP(Ruimtestaat[[#This Row],[Ruimte code]],Ruimtegroepen[[#All],[Code]:[Ruimte omschrijving]],2,FALSE)</f>
        <v>Keuken/pantry</v>
      </c>
      <c r="L773" s="33" t="s">
        <v>102</v>
      </c>
      <c r="M773" s="367" t="s">
        <v>2509</v>
      </c>
      <c r="N773" s="140">
        <v>9</v>
      </c>
      <c r="O773" s="140"/>
      <c r="P773" s="125" t="str">
        <f>VLOOKUP(Ruimtestaat[[#This Row],[Ruimte code]],Ruimtegroepen[],4,FALSE)</f>
        <v>Ve</v>
      </c>
      <c r="R773" s="33">
        <v>40</v>
      </c>
      <c r="S773" s="33" t="s">
        <v>2</v>
      </c>
      <c r="T773" s="33">
        <f>IF(R773&gt;0,IF(RIGHT(Ruimtestaat[[#This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3" s="33">
        <f>IF(T773&gt;0,VLOOKUP($J773,Ruimtegroepen[],3,FALSE)*VLOOKUP($L773,Vloersoorten[],3,FALSE)*VLOOKUP($S773,Frequenties[],3,FALSE)*VLOOKUP($A773,Locaties[],3,FALSE),0)</f>
        <v>0</v>
      </c>
      <c r="V773" s="33">
        <f>Ruimtestaat[[#This Row],[Uitvoeringen werkdagen]]*Ruimtestaat[[#This Row],[Oppervlak (netto)]]</f>
        <v>1800</v>
      </c>
      <c r="W773" s="154">
        <f>IF(U773&gt;0,Ruimtestaat[[#This Row],[Prest. (m2 /jaar) werkdagen]]/Ruimtestaat[[#This Row],[Norm (m2/uur) werkdagen]],0)</f>
        <v>0</v>
      </c>
      <c r="X773" s="155">
        <f>Ruimtestaat[[#This Row],[uren / jaar werkdagen]]*Tariefsopbouw!$E$35</f>
        <v>0</v>
      </c>
      <c r="Y773" s="33"/>
      <c r="Z773" s="33">
        <f>IF(Ruimtestaat[[#This Row],[Frequentie weekend]]&gt;0,VALUE(LEFT(Y773,1))*R773,0)</f>
        <v>0</v>
      </c>
      <c r="AA773" s="97">
        <f>IF($Z773&gt;0,VLOOKUP($J773,Ruimtegroepen[],3,FALSE)*VLOOKUP($L773,Vloersoorten[],3,FALSE)*VLOOKUP($Y773,Frequenties[],3,FALSE)*VLOOKUP(Ruimtestaat[[#This Row],[Code]],Locaties[],3,FALSE),0)</f>
        <v>0</v>
      </c>
      <c r="AB773" s="97">
        <f>Ruimtestaat[[#This Row],[Uitvoeringen weekend]]*Ruimtestaat[[#This Row],[Oppervlak (netto)]]</f>
        <v>0</v>
      </c>
      <c r="AC773" s="97">
        <f>IF(AA773&gt;0,Ruimtestaat[[#This Row],[Prest. (m2 /jaar) weekend]]/Ruimtestaat[[#This Row],[Norm (m2/uur) weekend]],0)</f>
        <v>0</v>
      </c>
      <c r="AD773" s="155">
        <f>Ruimtestaat[[#This Row],[uren / jaar weekend]]*Tariefsopbouw!$D$40</f>
        <v>0</v>
      </c>
      <c r="AE773" s="154">
        <f>Ruimtestaat[[#This Row],[Prest. (m2 /jaar) weekend]]+Ruimtestaat[[#This Row],[Prest. (m2 /jaar) werkdagen]]</f>
        <v>1800</v>
      </c>
      <c r="AF773" s="154">
        <f>Ruimtestaat[[#This Row],[uren / jaar weekend]]+Ruimtestaat[[#This Row],[uren / jaar werkdagen]]</f>
        <v>0</v>
      </c>
      <c r="AG773" s="69">
        <f>Ruimtestaat[[#This Row],[kosten / jaar weekend]]+Ruimtestaat[[#This Row],[kosten / jaar werkdagen]]</f>
        <v>0</v>
      </c>
      <c r="AH773" s="69"/>
      <c r="AI773" s="256" t="str">
        <f>IF(Ruimtestaat[[#This Row],[Frequentie werkdagen]]="","",_xlfn.CONCAT(Ruimtestaat[[#This Row],[Ruimte code]],"-",Ruimtestaat[[#This Row],[Frequentie werkdagen]]," ",Ruimtestaat[[#This Row],[Vloer code]]))</f>
        <v>15-5w S</v>
      </c>
      <c r="AJ773" s="300" t="str">
        <f>_xlfn.IFNA(VLOOKUP($AI773,Programma!$F$3:$G$1107,2,0),"")</f>
        <v>_</v>
      </c>
      <c r="AK773" s="300" t="str">
        <f>_xlfn.IFNA(VLOOKUP($AI773,Programma!$F$3:$H$1107,3,0),"")</f>
        <v>_</v>
      </c>
      <c r="AL773" s="300" t="str">
        <f>_xlfn.IFNA(VLOOKUP($AI773,Programma!$F$3:$I$1107,4,0),"")</f>
        <v>5w</v>
      </c>
      <c r="AM773" s="300" t="str">
        <f>_xlfn.IFNA(VLOOKUP($AI773,Programma!$F$3:$J$1107,5,0),"")</f>
        <v>_</v>
      </c>
      <c r="AN773" s="300" t="str">
        <f>_xlfn.IFNA(VLOOKUP($AI773,Programma!$F$3:$K$1107,6,0),"")</f>
        <v>5w</v>
      </c>
      <c r="AO773" s="300" t="str">
        <f>_xlfn.IFNA(VLOOKUP($AI773,Programma!$F$3:$L$1107,7,0),"")</f>
        <v>_</v>
      </c>
      <c r="AP773" s="300" t="str">
        <f>_xlfn.IFNA(VLOOKUP($AI773,Programma!$F$3:$M$1107,8,0),"")</f>
        <v>_</v>
      </c>
      <c r="AQ773" s="300" t="str">
        <f>_xlfn.IFNA(VLOOKUP($AI773,Programma!$F$3:$N$1107,9,0),"")</f>
        <v>_</v>
      </c>
      <c r="AR773" s="300" t="str">
        <f>_xlfn.IFNA(VLOOKUP($AI773,Programma!$F$3:$O$1107,10,0),"")</f>
        <v>5w</v>
      </c>
      <c r="AS773" s="300" t="str">
        <f>_xlfn.IFNA(VLOOKUP($AI773,Programma!$F$3:$P$1107,11,0),"")</f>
        <v>5w</v>
      </c>
      <c r="AT773" s="300" t="str">
        <f>_xlfn.IFNA(VLOOKUP($AI773,Programma!$F$3:$Q$1107,12,0),"")</f>
        <v>1w</v>
      </c>
      <c r="AU773" s="300" t="str">
        <f>_xlfn.IFNA(VLOOKUP($AI773,Programma!$F$3:$R$1107,13,0),"")</f>
        <v>1w</v>
      </c>
      <c r="AV773" s="300" t="str">
        <f>_xlfn.IFNA(VLOOKUP($AI773,Programma!$F$3:$S$1107,14,0),"")</f>
        <v>1m</v>
      </c>
      <c r="AW773" s="300" t="str">
        <f>_xlfn.IFNA(VLOOKUP($AI773,Programma!$F$3:$T$1107,15,0),"")</f>
        <v>2j</v>
      </c>
      <c r="AX773" s="300" t="str">
        <f>_xlfn.IFNA(VLOOKUP($AI773,Programma!$F$3:$U$1107,16,0),"")</f>
        <v>1j</v>
      </c>
      <c r="AY773" s="300" t="str">
        <f>_xlfn.IFNA(VLOOKUP($AI773,Programma!$F$3:$V$1107,17,0),"")</f>
        <v>_</v>
      </c>
      <c r="AZ773" s="300" t="str">
        <f>_xlfn.IFNA(VLOOKUP($AI773,Programma!$F$3:$W$1107,18,0),"")</f>
        <v>_</v>
      </c>
      <c r="BA773" s="300" t="str">
        <f>_xlfn.IFNA(VLOOKUP($AI773,Programma!$F$3:$X$1107,19,0),"")</f>
        <v>_</v>
      </c>
      <c r="BB773" s="300" t="str">
        <f>_xlfn.IFNA(VLOOKUP($AI773,Programma!$F$3:$Y$1107,20,0),"")</f>
        <v>_</v>
      </c>
      <c r="BC773" s="257"/>
      <c r="BD773" s="256" t="str">
        <f>IF(Ruimtestaat[[#This Row],[Frequentie weekend]]="","",_xlfn.CONCAT(Ruimtestaat[[#This Row],[Ruimte code]],"-",Ruimtestaat[[#This Row],[Frequentie weekend]]," ",Ruimtestaat[[#This Row],[Vloer code]]))</f>
        <v/>
      </c>
      <c r="BE773" s="300" t="str">
        <f>_xlfn.IFNA(VLOOKUP($BD773,Programma!$F$3:$G$1107,2,0),"")</f>
        <v/>
      </c>
      <c r="BF773" s="300" t="str">
        <f>_xlfn.IFNA(VLOOKUP($BD773,Programma!$F$3:$H$1107,3,0),"")</f>
        <v/>
      </c>
      <c r="BG773" s="300" t="str">
        <f>_xlfn.IFNA(VLOOKUP($BD773,Programma!$F$3:$I$1107,4,0),"")</f>
        <v/>
      </c>
      <c r="BH773" s="300" t="str">
        <f>_xlfn.IFNA(VLOOKUP($BD773,Programma!$F$3:$J$1107,5,0),"")</f>
        <v/>
      </c>
      <c r="BI773" s="300" t="str">
        <f>_xlfn.IFNA(VLOOKUP($BD773,Programma!$F$3:$K$1107,6,0),"")</f>
        <v/>
      </c>
      <c r="BJ773" s="300" t="str">
        <f>_xlfn.IFNA(VLOOKUP($BD773,Programma!$F$3:$L$1107,7,0),"")</f>
        <v/>
      </c>
      <c r="BK773" s="300" t="str">
        <f>_xlfn.IFNA(VLOOKUP($BD773,Programma!$F$3:$M$1107,8,0),"")</f>
        <v/>
      </c>
      <c r="BL773" s="300" t="str">
        <f>_xlfn.IFNA(VLOOKUP($BD773,Programma!$F$3:$N$1107,9,0),"")</f>
        <v/>
      </c>
      <c r="BM773" s="300" t="str">
        <f>_xlfn.IFNA(VLOOKUP($BD773,Programma!$F$3:$O$1107,10,0),"")</f>
        <v/>
      </c>
      <c r="BN773" s="300" t="str">
        <f>_xlfn.IFNA(VLOOKUP($BD773,Programma!$F$3:$P$1107,11,0),"")</f>
        <v/>
      </c>
      <c r="BO773" s="300" t="str">
        <f>_xlfn.IFNA(VLOOKUP($BD773,Programma!$F$3:$Q$1107,12,0),"")</f>
        <v/>
      </c>
      <c r="BP773" s="300" t="str">
        <f>_xlfn.IFNA(VLOOKUP($BD773,Programma!$F$3:$R$1107,13,0),"")</f>
        <v/>
      </c>
      <c r="BQ773" s="300" t="str">
        <f>_xlfn.IFNA(VLOOKUP($BD773,Programma!$F$3:$S$1107,14,0),"")</f>
        <v/>
      </c>
      <c r="BR773" s="300" t="str">
        <f>_xlfn.IFNA(VLOOKUP($BD773,Programma!$F$3:$T$1107,15,0),"")</f>
        <v/>
      </c>
      <c r="BS773" s="300" t="str">
        <f>_xlfn.IFNA(VLOOKUP($BD773,Programma!$F$3:$U$1107,16,0),"")</f>
        <v/>
      </c>
      <c r="BT773" s="300" t="str">
        <f>_xlfn.IFNA(VLOOKUP($BD773,Programma!$F$3:$V$1107,17,0),"")</f>
        <v/>
      </c>
      <c r="BU773" s="300" t="str">
        <f>_xlfn.IFNA(VLOOKUP($BD773,Programma!$F$3:$W$1107,18,0),"")</f>
        <v/>
      </c>
      <c r="BV773" s="300" t="str">
        <f>_xlfn.IFNA(VLOOKUP($BD773,Programma!$F$3:$X$1107,19,0),"")</f>
        <v/>
      </c>
      <c r="BW773" s="300" t="str">
        <f>_xlfn.IFNA(VLOOKUP($BD773,Programma!$F$3:$Y$1107,20,0),"")</f>
        <v/>
      </c>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c r="GK773" s="4"/>
      <c r="GL773" s="4"/>
      <c r="GM773" s="4"/>
      <c r="GN773" s="4"/>
      <c r="GO773" s="4"/>
      <c r="GP773" s="4"/>
      <c r="GQ773" s="4"/>
      <c r="GR773" s="4"/>
      <c r="GS773" s="4"/>
      <c r="GT773" s="4"/>
      <c r="GU773" s="4"/>
      <c r="GV773" s="4"/>
      <c r="GW773" s="4"/>
      <c r="GX773" s="4"/>
      <c r="GY773" s="4"/>
      <c r="GZ773" s="4"/>
      <c r="HA773" s="4"/>
      <c r="HB773" s="4"/>
      <c r="HC773" s="4"/>
      <c r="HD773" s="4"/>
      <c r="HE773" s="4"/>
      <c r="HF773" s="4"/>
      <c r="HG773" s="4"/>
      <c r="HH773" s="4"/>
      <c r="HI773" s="4"/>
      <c r="HJ773" s="4"/>
      <c r="HK773" s="4"/>
      <c r="HL773" s="4"/>
    </row>
    <row r="774" spans="1:220" ht="15" customHeight="1">
      <c r="A774" s="21">
        <v>8</v>
      </c>
      <c r="B774" s="157" t="str">
        <f>VLOOKUP(Ruimtestaat[[#This Row],[Code]],Locaties[[Code]:[Locatie]],2,FALSE)</f>
        <v>Dalton College</v>
      </c>
      <c r="C774" s="157" t="str">
        <f>VLOOKUP(Ruimtestaat[[#This Row],[Code]],Locaties[[#All],[Code]:[Adres]],4,FALSE)</f>
        <v>Loolaan 125</v>
      </c>
      <c r="D774" s="157" t="str">
        <f>VLOOKUP(Ruimtestaat[[#This Row],[Code]],Locaties[[#All],[Code]:[Postcode]],5,FALSE)</f>
        <v xml:space="preserve">2271 TM </v>
      </c>
      <c r="E774" s="157" t="str">
        <f>VLOOKUP(Ruimtestaat[[#This Row],[Code]],Locaties[#All],6,FALSE)</f>
        <v>Voorburg</v>
      </c>
      <c r="F774" s="62"/>
      <c r="G774" s="21" t="s">
        <v>1624</v>
      </c>
      <c r="H774" s="21" t="s">
        <v>1916</v>
      </c>
      <c r="I774" s="62" t="s">
        <v>2244</v>
      </c>
      <c r="J774" s="21">
        <v>1</v>
      </c>
      <c r="K774" s="62" t="str">
        <f>VLOOKUP(Ruimtestaat[[#This Row],[Ruimte code]],Ruimtegroepen[[#All],[Code]:[Ruimte omschrijving]],2,FALSE)</f>
        <v>Magazijnen/bergingen</v>
      </c>
      <c r="L774" s="33" t="s">
        <v>102</v>
      </c>
      <c r="M774" s="367" t="s">
        <v>2509</v>
      </c>
      <c r="N774" s="140">
        <v>30</v>
      </c>
      <c r="O774" s="140"/>
      <c r="P774" s="125" t="str">
        <f>VLOOKUP(Ruimtestaat[[#This Row],[Ruimte code]],Ruimtegroepen[],4,FALSE)</f>
        <v>Ve</v>
      </c>
      <c r="R774" s="33">
        <v>40</v>
      </c>
      <c r="S774" s="33" t="s">
        <v>16</v>
      </c>
      <c r="T774" s="33">
        <f>IF(R774&gt;0,IF(RIGHT(Ruimtestaat[[#This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774" s="33">
        <f>IF(T774&gt;0,VLOOKUP($J774,Ruimtegroepen[],3,FALSE)*VLOOKUP($L774,Vloersoorten[],3,FALSE)*VLOOKUP($S774,Frequenties[],3,FALSE)*VLOOKUP($A774,Locaties[],3,FALSE),0)</f>
        <v>0</v>
      </c>
      <c r="V774" s="33">
        <f>Ruimtestaat[[#This Row],[Uitvoeringen werkdagen]]*Ruimtestaat[[#This Row],[Oppervlak (netto)]]</f>
        <v>360</v>
      </c>
      <c r="W774" s="154">
        <f>IF(U774&gt;0,Ruimtestaat[[#This Row],[Prest. (m2 /jaar) werkdagen]]/Ruimtestaat[[#This Row],[Norm (m2/uur) werkdagen]],0)</f>
        <v>0</v>
      </c>
      <c r="X774" s="155">
        <f>Ruimtestaat[[#This Row],[uren / jaar werkdagen]]*Tariefsopbouw!$E$35</f>
        <v>0</v>
      </c>
      <c r="Y774" s="33"/>
      <c r="Z774" s="33">
        <f>IF(Ruimtestaat[[#This Row],[Frequentie weekend]]&gt;0,VALUE(LEFT(Y774,1))*R774,0)</f>
        <v>0</v>
      </c>
      <c r="AA774" s="97">
        <f>IF($Z774&gt;0,VLOOKUP($J774,Ruimtegroepen[],3,FALSE)*VLOOKUP($L774,Vloersoorten[],3,FALSE)*VLOOKUP($Y774,Frequenties[],3,FALSE)*VLOOKUP(Ruimtestaat[[#This Row],[Code]],Locaties[],3,FALSE),0)</f>
        <v>0</v>
      </c>
      <c r="AB774" s="97">
        <f>Ruimtestaat[[#This Row],[Uitvoeringen weekend]]*Ruimtestaat[[#This Row],[Oppervlak (netto)]]</f>
        <v>0</v>
      </c>
      <c r="AC774" s="97">
        <f>IF(AA774&gt;0,Ruimtestaat[[#This Row],[Prest. (m2 /jaar) weekend]]/Ruimtestaat[[#This Row],[Norm (m2/uur) weekend]],0)</f>
        <v>0</v>
      </c>
      <c r="AD774" s="155">
        <f>Ruimtestaat[[#This Row],[uren / jaar weekend]]*Tariefsopbouw!$D$40</f>
        <v>0</v>
      </c>
      <c r="AE774" s="154">
        <f>Ruimtestaat[[#This Row],[Prest. (m2 /jaar) weekend]]+Ruimtestaat[[#This Row],[Prest. (m2 /jaar) werkdagen]]</f>
        <v>360</v>
      </c>
      <c r="AF774" s="154">
        <f>Ruimtestaat[[#This Row],[uren / jaar weekend]]+Ruimtestaat[[#This Row],[uren / jaar werkdagen]]</f>
        <v>0</v>
      </c>
      <c r="AG774" s="69">
        <f>Ruimtestaat[[#This Row],[kosten / jaar weekend]]+Ruimtestaat[[#This Row],[kosten / jaar werkdagen]]</f>
        <v>0</v>
      </c>
      <c r="AH774" s="69"/>
      <c r="AI774" s="256" t="str">
        <f>IF(Ruimtestaat[[#This Row],[Frequentie werkdagen]]="","",_xlfn.CONCAT(Ruimtestaat[[#This Row],[Ruimte code]],"-",Ruimtestaat[[#This Row],[Frequentie werkdagen]]," ",Ruimtestaat[[#This Row],[Vloer code]]))</f>
        <v>1-1m S</v>
      </c>
      <c r="AJ774" s="300" t="str">
        <f>_xlfn.IFNA(VLOOKUP($AI774,Programma!$F$3:$G$1107,2,0),"")</f>
        <v>_</v>
      </c>
      <c r="AK774" s="300" t="str">
        <f>_xlfn.IFNA(VLOOKUP($AI774,Programma!$F$3:$H$1107,3,0),"")</f>
        <v>_</v>
      </c>
      <c r="AL774" s="300" t="str">
        <f>_xlfn.IFNA(VLOOKUP($AI774,Programma!$F$3:$I$1107,4,0),"")</f>
        <v>_</v>
      </c>
      <c r="AM774" s="300" t="str">
        <f>_xlfn.IFNA(VLOOKUP($AI774,Programma!$F$3:$J$1107,5,0),"")</f>
        <v>1m</v>
      </c>
      <c r="AN774" s="300" t="str">
        <f>_xlfn.IFNA(VLOOKUP($AI774,Programma!$F$3:$K$1107,6,0),"")</f>
        <v>1j</v>
      </c>
      <c r="AO774" s="300" t="str">
        <f>_xlfn.IFNA(VLOOKUP($AI774,Programma!$F$3:$L$1107,7,0),"")</f>
        <v>_</v>
      </c>
      <c r="AP774" s="300" t="str">
        <f>_xlfn.IFNA(VLOOKUP($AI774,Programma!$F$3:$M$1107,8,0),"")</f>
        <v>_</v>
      </c>
      <c r="AQ774" s="300" t="str">
        <f>_xlfn.IFNA(VLOOKUP($AI774,Programma!$F$3:$N$1107,9,0),"")</f>
        <v>_</v>
      </c>
      <c r="AR774" s="300" t="str">
        <f>_xlfn.IFNA(VLOOKUP($AI774,Programma!$F$3:$O$1107,10,0),"")</f>
        <v>_</v>
      </c>
      <c r="AS774" s="300" t="str">
        <f>_xlfn.IFNA(VLOOKUP($AI774,Programma!$F$3:$P$1107,11,0),"")</f>
        <v>_</v>
      </c>
      <c r="AT774" s="300" t="str">
        <f>_xlfn.IFNA(VLOOKUP($AI774,Programma!$F$3:$Q$1107,12,0),"")</f>
        <v>_</v>
      </c>
      <c r="AU774" s="300" t="str">
        <f>_xlfn.IFNA(VLOOKUP($AI774,Programma!$F$3:$R$1107,13,0),"")</f>
        <v>_</v>
      </c>
      <c r="AV774" s="300" t="str">
        <f>_xlfn.IFNA(VLOOKUP($AI774,Programma!$F$3:$S$1107,14,0),"")</f>
        <v>1m</v>
      </c>
      <c r="AW774" s="300" t="str">
        <f>_xlfn.IFNA(VLOOKUP($AI774,Programma!$F$3:$T$1107,15,0),"")</f>
        <v>4j</v>
      </c>
      <c r="AX774" s="300" t="str">
        <f>_xlfn.IFNA(VLOOKUP($AI774,Programma!$F$3:$U$1107,16,0),"")</f>
        <v>4j</v>
      </c>
      <c r="AY774" s="300" t="str">
        <f>_xlfn.IFNA(VLOOKUP($AI774,Programma!$F$3:$V$1107,17,0),"")</f>
        <v>_</v>
      </c>
      <c r="AZ774" s="300" t="str">
        <f>_xlfn.IFNA(VLOOKUP($AI774,Programma!$F$3:$W$1107,18,0),"")</f>
        <v>_</v>
      </c>
      <c r="BA774" s="300" t="str">
        <f>_xlfn.IFNA(VLOOKUP($AI774,Programma!$F$3:$X$1107,19,0),"")</f>
        <v>_</v>
      </c>
      <c r="BB774" s="300" t="str">
        <f>_xlfn.IFNA(VLOOKUP($AI774,Programma!$F$3:$Y$1107,20,0),"")</f>
        <v>_</v>
      </c>
      <c r="BC774" s="257"/>
      <c r="BD774" s="256" t="str">
        <f>IF(Ruimtestaat[[#This Row],[Frequentie weekend]]="","",_xlfn.CONCAT(Ruimtestaat[[#This Row],[Ruimte code]],"-",Ruimtestaat[[#This Row],[Frequentie weekend]]," ",Ruimtestaat[[#This Row],[Vloer code]]))</f>
        <v/>
      </c>
      <c r="BE774" s="300" t="str">
        <f>_xlfn.IFNA(VLOOKUP($BD774,Programma!$F$3:$G$1107,2,0),"")</f>
        <v/>
      </c>
      <c r="BF774" s="300" t="str">
        <f>_xlfn.IFNA(VLOOKUP($BD774,Programma!$F$3:$H$1107,3,0),"")</f>
        <v/>
      </c>
      <c r="BG774" s="300" t="str">
        <f>_xlfn.IFNA(VLOOKUP($BD774,Programma!$F$3:$I$1107,4,0),"")</f>
        <v/>
      </c>
      <c r="BH774" s="300" t="str">
        <f>_xlfn.IFNA(VLOOKUP($BD774,Programma!$F$3:$J$1107,5,0),"")</f>
        <v/>
      </c>
      <c r="BI774" s="300" t="str">
        <f>_xlfn.IFNA(VLOOKUP($BD774,Programma!$F$3:$K$1107,6,0),"")</f>
        <v/>
      </c>
      <c r="BJ774" s="300" t="str">
        <f>_xlfn.IFNA(VLOOKUP($BD774,Programma!$F$3:$L$1107,7,0),"")</f>
        <v/>
      </c>
      <c r="BK774" s="300" t="str">
        <f>_xlfn.IFNA(VLOOKUP($BD774,Programma!$F$3:$M$1107,8,0),"")</f>
        <v/>
      </c>
      <c r="BL774" s="300" t="str">
        <f>_xlfn.IFNA(VLOOKUP($BD774,Programma!$F$3:$N$1107,9,0),"")</f>
        <v/>
      </c>
      <c r="BM774" s="300" t="str">
        <f>_xlfn.IFNA(VLOOKUP($BD774,Programma!$F$3:$O$1107,10,0),"")</f>
        <v/>
      </c>
      <c r="BN774" s="300" t="str">
        <f>_xlfn.IFNA(VLOOKUP($BD774,Programma!$F$3:$P$1107,11,0),"")</f>
        <v/>
      </c>
      <c r="BO774" s="300" t="str">
        <f>_xlfn.IFNA(VLOOKUP($BD774,Programma!$F$3:$Q$1107,12,0),"")</f>
        <v/>
      </c>
      <c r="BP774" s="300" t="str">
        <f>_xlfn.IFNA(VLOOKUP($BD774,Programma!$F$3:$R$1107,13,0),"")</f>
        <v/>
      </c>
      <c r="BQ774" s="300" t="str">
        <f>_xlfn.IFNA(VLOOKUP($BD774,Programma!$F$3:$S$1107,14,0),"")</f>
        <v/>
      </c>
      <c r="BR774" s="300" t="str">
        <f>_xlfn.IFNA(VLOOKUP($BD774,Programma!$F$3:$T$1107,15,0),"")</f>
        <v/>
      </c>
      <c r="BS774" s="300" t="str">
        <f>_xlfn.IFNA(VLOOKUP($BD774,Programma!$F$3:$U$1107,16,0),"")</f>
        <v/>
      </c>
      <c r="BT774" s="300" t="str">
        <f>_xlfn.IFNA(VLOOKUP($BD774,Programma!$F$3:$V$1107,17,0),"")</f>
        <v/>
      </c>
      <c r="BU774" s="300" t="str">
        <f>_xlfn.IFNA(VLOOKUP($BD774,Programma!$F$3:$W$1107,18,0),"")</f>
        <v/>
      </c>
      <c r="BV774" s="300" t="str">
        <f>_xlfn.IFNA(VLOOKUP($BD774,Programma!$F$3:$X$1107,19,0),"")</f>
        <v/>
      </c>
      <c r="BW774" s="300" t="str">
        <f>_xlfn.IFNA(VLOOKUP($BD774,Programma!$F$3:$Y$1107,20,0),"")</f>
        <v/>
      </c>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c r="GB774" s="4"/>
      <c r="GC774" s="4"/>
      <c r="GD774" s="4"/>
      <c r="GE774" s="4"/>
      <c r="GF774" s="4"/>
      <c r="GG774" s="4"/>
      <c r="GH774" s="4"/>
      <c r="GI774" s="4"/>
      <c r="GJ774" s="4"/>
      <c r="GK774" s="4"/>
      <c r="GL774" s="4"/>
      <c r="GM774" s="4"/>
      <c r="GN774" s="4"/>
      <c r="GO774" s="4"/>
      <c r="GP774" s="4"/>
      <c r="GQ774" s="4"/>
      <c r="GR774" s="4"/>
      <c r="GS774" s="4"/>
      <c r="GT774" s="4"/>
      <c r="GU774" s="4"/>
      <c r="GV774" s="4"/>
      <c r="GW774" s="4"/>
      <c r="GX774" s="4"/>
      <c r="GY774" s="4"/>
      <c r="GZ774" s="4"/>
      <c r="HA774" s="4"/>
      <c r="HB774" s="4"/>
      <c r="HC774" s="4"/>
      <c r="HD774" s="4"/>
      <c r="HE774" s="4"/>
      <c r="HF774" s="4"/>
      <c r="HG774" s="4"/>
      <c r="HH774" s="4"/>
      <c r="HI774" s="4"/>
      <c r="HJ774" s="4"/>
      <c r="HK774" s="4"/>
      <c r="HL774" s="4"/>
    </row>
    <row r="775" spans="1:220" ht="15" customHeight="1">
      <c r="A775" s="21">
        <v>8</v>
      </c>
      <c r="B775" s="157" t="str">
        <f>VLOOKUP(Ruimtestaat[[#This Row],[Code]],Locaties[[Code]:[Locatie]],2,FALSE)</f>
        <v>Dalton College</v>
      </c>
      <c r="C775" s="157" t="str">
        <f>VLOOKUP(Ruimtestaat[[#This Row],[Code]],Locaties[[#All],[Code]:[Adres]],4,FALSE)</f>
        <v>Loolaan 125</v>
      </c>
      <c r="D775" s="157" t="str">
        <f>VLOOKUP(Ruimtestaat[[#This Row],[Code]],Locaties[[#All],[Code]:[Postcode]],5,FALSE)</f>
        <v xml:space="preserve">2271 TM </v>
      </c>
      <c r="E775" s="157" t="str">
        <f>VLOOKUP(Ruimtestaat[[#This Row],[Code]],Locaties[#All],6,FALSE)</f>
        <v>Voorburg</v>
      </c>
      <c r="F775" s="62"/>
      <c r="G775" s="21" t="s">
        <v>1624</v>
      </c>
      <c r="H775" s="21" t="s">
        <v>1918</v>
      </c>
      <c r="I775" s="62" t="s">
        <v>2245</v>
      </c>
      <c r="J775" s="21">
        <v>6</v>
      </c>
      <c r="K775" s="62" t="str">
        <f>VLOOKUP(Ruimtestaat[[#This Row],[Ruimte code]],Ruimtegroepen[[#All],[Code]:[Ruimte omschrijving]],2,FALSE)</f>
        <v>Gangen/hallen</v>
      </c>
      <c r="L775" s="33" t="s">
        <v>102</v>
      </c>
      <c r="M775" s="367" t="s">
        <v>2509</v>
      </c>
      <c r="N775" s="140">
        <v>42</v>
      </c>
      <c r="O775" s="140"/>
      <c r="P775" s="125" t="str">
        <f>VLOOKUP(Ruimtestaat[[#This Row],[Ruimte code]],Ruimtegroepen[],4,FALSE)</f>
        <v>Ve</v>
      </c>
      <c r="Q775" s="125" t="s">
        <v>2548</v>
      </c>
      <c r="R775" s="33">
        <v>40</v>
      </c>
      <c r="S775" s="33" t="s">
        <v>2</v>
      </c>
      <c r="T775" s="33">
        <f>IF(R775&gt;0,IF(RIGHT(Ruimtestaat[[#This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5" s="33">
        <f>IF(T775&gt;0,VLOOKUP($J775,Ruimtegroepen[],3,FALSE)*VLOOKUP($L775,Vloersoorten[],3,FALSE)*VLOOKUP($S775,Frequenties[],3,FALSE)*VLOOKUP($A775,Locaties[],3,FALSE),0)</f>
        <v>0</v>
      </c>
      <c r="V775" s="33">
        <f>Ruimtestaat[[#This Row],[Uitvoeringen werkdagen]]*Ruimtestaat[[#This Row],[Oppervlak (netto)]]</f>
        <v>8400</v>
      </c>
      <c r="W775" s="154">
        <f>IF(U775&gt;0,Ruimtestaat[[#This Row],[Prest. (m2 /jaar) werkdagen]]/Ruimtestaat[[#This Row],[Norm (m2/uur) werkdagen]],0)</f>
        <v>0</v>
      </c>
      <c r="X775" s="155">
        <f>Ruimtestaat[[#This Row],[uren / jaar werkdagen]]*Tariefsopbouw!$E$35</f>
        <v>0</v>
      </c>
      <c r="Y775" s="33"/>
      <c r="Z775" s="33">
        <f>IF(Ruimtestaat[[#This Row],[Frequentie weekend]]&gt;0,VALUE(LEFT(Y775,1))*R775,0)</f>
        <v>0</v>
      </c>
      <c r="AA775" s="97">
        <f>IF($Z775&gt;0,VLOOKUP($J775,Ruimtegroepen[],3,FALSE)*VLOOKUP($L775,Vloersoorten[],3,FALSE)*VLOOKUP($Y775,Frequenties[],3,FALSE)*VLOOKUP(Ruimtestaat[[#This Row],[Code]],Locaties[],3,FALSE),0)</f>
        <v>0</v>
      </c>
      <c r="AB775" s="97">
        <f>Ruimtestaat[[#This Row],[Uitvoeringen weekend]]*Ruimtestaat[[#This Row],[Oppervlak (netto)]]</f>
        <v>0</v>
      </c>
      <c r="AC775" s="97">
        <f>IF(AA775&gt;0,Ruimtestaat[[#This Row],[Prest. (m2 /jaar) weekend]]/Ruimtestaat[[#This Row],[Norm (m2/uur) weekend]],0)</f>
        <v>0</v>
      </c>
      <c r="AD775" s="155">
        <f>Ruimtestaat[[#This Row],[uren / jaar weekend]]*Tariefsopbouw!$D$40</f>
        <v>0</v>
      </c>
      <c r="AE775" s="154">
        <f>Ruimtestaat[[#This Row],[Prest. (m2 /jaar) weekend]]+Ruimtestaat[[#This Row],[Prest. (m2 /jaar) werkdagen]]</f>
        <v>8400</v>
      </c>
      <c r="AF775" s="154">
        <f>Ruimtestaat[[#This Row],[uren / jaar weekend]]+Ruimtestaat[[#This Row],[uren / jaar werkdagen]]</f>
        <v>0</v>
      </c>
      <c r="AG775" s="69">
        <f>Ruimtestaat[[#This Row],[kosten / jaar weekend]]+Ruimtestaat[[#This Row],[kosten / jaar werkdagen]]</f>
        <v>0</v>
      </c>
      <c r="AH775" s="69"/>
      <c r="AI775" s="256" t="str">
        <f>IF(Ruimtestaat[[#This Row],[Frequentie werkdagen]]="","",_xlfn.CONCAT(Ruimtestaat[[#This Row],[Ruimte code]],"-",Ruimtestaat[[#This Row],[Frequentie werkdagen]]," ",Ruimtestaat[[#This Row],[Vloer code]]))</f>
        <v>6-5w S</v>
      </c>
      <c r="AJ775" s="300" t="str">
        <f>_xlfn.IFNA(VLOOKUP($AI775,Programma!$F$3:$G$1107,2,0),"")</f>
        <v>_</v>
      </c>
      <c r="AK775" s="300" t="str">
        <f>_xlfn.IFNA(VLOOKUP($AI775,Programma!$F$3:$H$1107,3,0),"")</f>
        <v>_</v>
      </c>
      <c r="AL775" s="300" t="str">
        <f>_xlfn.IFNA(VLOOKUP($AI775,Programma!$F$3:$I$1107,4,0),"")</f>
        <v>5w</v>
      </c>
      <c r="AM775" s="300" t="str">
        <f>_xlfn.IFNA(VLOOKUP($AI775,Programma!$F$3:$J$1107,5,0),"")</f>
        <v>_</v>
      </c>
      <c r="AN775" s="300" t="str">
        <f>_xlfn.IFNA(VLOOKUP($AI775,Programma!$F$3:$K$1107,6,0),"")</f>
        <v>5w</v>
      </c>
      <c r="AO775" s="300" t="str">
        <f>_xlfn.IFNA(VLOOKUP($AI775,Programma!$F$3:$L$1107,7,0),"")</f>
        <v>_</v>
      </c>
      <c r="AP775" s="300" t="str">
        <f>_xlfn.IFNA(VLOOKUP($AI775,Programma!$F$3:$M$1107,8,0),"")</f>
        <v>_</v>
      </c>
      <c r="AQ775" s="300" t="str">
        <f>_xlfn.IFNA(VLOOKUP($AI775,Programma!$F$3:$N$1107,9,0),"")</f>
        <v>_</v>
      </c>
      <c r="AR775" s="300" t="str">
        <f>_xlfn.IFNA(VLOOKUP($AI775,Programma!$F$3:$O$1107,10,0),"")</f>
        <v>5w</v>
      </c>
      <c r="AS775" s="300" t="str">
        <f>_xlfn.IFNA(VLOOKUP($AI775,Programma!$F$3:$P$1107,11,0),"")</f>
        <v>5w</v>
      </c>
      <c r="AT775" s="300" t="str">
        <f>_xlfn.IFNA(VLOOKUP($AI775,Programma!$F$3:$Q$1107,12,0),"")</f>
        <v>1w</v>
      </c>
      <c r="AU775" s="300" t="str">
        <f>_xlfn.IFNA(VLOOKUP($AI775,Programma!$F$3:$R$1107,13,0),"")</f>
        <v>1w</v>
      </c>
      <c r="AV775" s="300" t="str">
        <f>_xlfn.IFNA(VLOOKUP($AI775,Programma!$F$3:$S$1107,14,0),"")</f>
        <v>1m</v>
      </c>
      <c r="AW775" s="300" t="str">
        <f>_xlfn.IFNA(VLOOKUP($AI775,Programma!$F$3:$T$1107,15,0),"")</f>
        <v>2j</v>
      </c>
      <c r="AX775" s="300" t="str">
        <f>_xlfn.IFNA(VLOOKUP($AI775,Programma!$F$3:$U$1107,16,0),"")</f>
        <v>1j</v>
      </c>
      <c r="AY775" s="300" t="str">
        <f>_xlfn.IFNA(VLOOKUP($AI775,Programma!$F$3:$V$1107,17,0),"")</f>
        <v>_</v>
      </c>
      <c r="AZ775" s="300" t="str">
        <f>_xlfn.IFNA(VLOOKUP($AI775,Programma!$F$3:$W$1107,18,0),"")</f>
        <v>_</v>
      </c>
      <c r="BA775" s="300" t="str">
        <f>_xlfn.IFNA(VLOOKUP($AI775,Programma!$F$3:$X$1107,19,0),"")</f>
        <v>_</v>
      </c>
      <c r="BB775" s="300" t="str">
        <f>_xlfn.IFNA(VLOOKUP($AI775,Programma!$F$3:$Y$1107,20,0),"")</f>
        <v>_</v>
      </c>
      <c r="BC775" s="257"/>
      <c r="BD775" s="256" t="str">
        <f>IF(Ruimtestaat[[#This Row],[Frequentie weekend]]="","",_xlfn.CONCAT(Ruimtestaat[[#This Row],[Ruimte code]],"-",Ruimtestaat[[#This Row],[Frequentie weekend]]," ",Ruimtestaat[[#This Row],[Vloer code]]))</f>
        <v/>
      </c>
      <c r="BE775" s="300" t="str">
        <f>_xlfn.IFNA(VLOOKUP($BD775,Programma!$F$3:$G$1107,2,0),"")</f>
        <v/>
      </c>
      <c r="BF775" s="300" t="str">
        <f>_xlfn.IFNA(VLOOKUP($BD775,Programma!$F$3:$H$1107,3,0),"")</f>
        <v/>
      </c>
      <c r="BG775" s="300" t="str">
        <f>_xlfn.IFNA(VLOOKUP($BD775,Programma!$F$3:$I$1107,4,0),"")</f>
        <v/>
      </c>
      <c r="BH775" s="300" t="str">
        <f>_xlfn.IFNA(VLOOKUP($BD775,Programma!$F$3:$J$1107,5,0),"")</f>
        <v/>
      </c>
      <c r="BI775" s="300" t="str">
        <f>_xlfn.IFNA(VLOOKUP($BD775,Programma!$F$3:$K$1107,6,0),"")</f>
        <v/>
      </c>
      <c r="BJ775" s="300" t="str">
        <f>_xlfn.IFNA(VLOOKUP($BD775,Programma!$F$3:$L$1107,7,0),"")</f>
        <v/>
      </c>
      <c r="BK775" s="300" t="str">
        <f>_xlfn.IFNA(VLOOKUP($BD775,Programma!$F$3:$M$1107,8,0),"")</f>
        <v/>
      </c>
      <c r="BL775" s="300" t="str">
        <f>_xlfn.IFNA(VLOOKUP($BD775,Programma!$F$3:$N$1107,9,0),"")</f>
        <v/>
      </c>
      <c r="BM775" s="300" t="str">
        <f>_xlfn.IFNA(VLOOKUP($BD775,Programma!$F$3:$O$1107,10,0),"")</f>
        <v/>
      </c>
      <c r="BN775" s="300" t="str">
        <f>_xlfn.IFNA(VLOOKUP($BD775,Programma!$F$3:$P$1107,11,0),"")</f>
        <v/>
      </c>
      <c r="BO775" s="300" t="str">
        <f>_xlfn.IFNA(VLOOKUP($BD775,Programma!$F$3:$Q$1107,12,0),"")</f>
        <v/>
      </c>
      <c r="BP775" s="300" t="str">
        <f>_xlfn.IFNA(VLOOKUP($BD775,Programma!$F$3:$R$1107,13,0),"")</f>
        <v/>
      </c>
      <c r="BQ775" s="300" t="str">
        <f>_xlfn.IFNA(VLOOKUP($BD775,Programma!$F$3:$S$1107,14,0),"")</f>
        <v/>
      </c>
      <c r="BR775" s="300" t="str">
        <f>_xlfn.IFNA(VLOOKUP($BD775,Programma!$F$3:$T$1107,15,0),"")</f>
        <v/>
      </c>
      <c r="BS775" s="300" t="str">
        <f>_xlfn.IFNA(VLOOKUP($BD775,Programma!$F$3:$U$1107,16,0),"")</f>
        <v/>
      </c>
      <c r="BT775" s="300" t="str">
        <f>_xlfn.IFNA(VLOOKUP($BD775,Programma!$F$3:$V$1107,17,0),"")</f>
        <v/>
      </c>
      <c r="BU775" s="300" t="str">
        <f>_xlfn.IFNA(VLOOKUP($BD775,Programma!$F$3:$W$1107,18,0),"")</f>
        <v/>
      </c>
      <c r="BV775" s="300" t="str">
        <f>_xlfn.IFNA(VLOOKUP($BD775,Programma!$F$3:$X$1107,19,0),"")</f>
        <v/>
      </c>
      <c r="BW775" s="300" t="str">
        <f>_xlfn.IFNA(VLOOKUP($BD775,Programma!$F$3:$Y$1107,20,0),"")</f>
        <v/>
      </c>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c r="GB775" s="4"/>
      <c r="GC775" s="4"/>
      <c r="GD775" s="4"/>
      <c r="GE775" s="4"/>
      <c r="GF775" s="4"/>
      <c r="GG775" s="4"/>
      <c r="GH775" s="4"/>
      <c r="GI775" s="4"/>
      <c r="GJ775" s="4"/>
      <c r="GK775" s="4"/>
      <c r="GL775" s="4"/>
      <c r="GM775" s="4"/>
      <c r="GN775" s="4"/>
      <c r="GO775" s="4"/>
      <c r="GP775" s="4"/>
      <c r="GQ775" s="4"/>
      <c r="GR775" s="4"/>
      <c r="GS775" s="4"/>
      <c r="GT775" s="4"/>
      <c r="GU775" s="4"/>
      <c r="GV775" s="4"/>
      <c r="GW775" s="4"/>
      <c r="GX775" s="4"/>
      <c r="GY775" s="4"/>
      <c r="GZ775" s="4"/>
      <c r="HA775" s="4"/>
      <c r="HB775" s="4"/>
      <c r="HC775" s="4"/>
      <c r="HD775" s="4"/>
      <c r="HE775" s="4"/>
      <c r="HF775" s="4"/>
      <c r="HG775" s="4"/>
      <c r="HH775" s="4"/>
      <c r="HI775" s="4"/>
      <c r="HJ775" s="4"/>
      <c r="HK775" s="4"/>
      <c r="HL775" s="4"/>
    </row>
    <row r="776" spans="1:220" ht="15" customHeight="1">
      <c r="A776" s="21">
        <v>8</v>
      </c>
      <c r="B776" s="157" t="str">
        <f>VLOOKUP(Ruimtestaat[[#This Row],[Code]],Locaties[[Code]:[Locatie]],2,FALSE)</f>
        <v>Dalton College</v>
      </c>
      <c r="C776" s="157" t="str">
        <f>VLOOKUP(Ruimtestaat[[#This Row],[Code]],Locaties[[#All],[Code]:[Adres]],4,FALSE)</f>
        <v>Loolaan 125</v>
      </c>
      <c r="D776" s="157" t="str">
        <f>VLOOKUP(Ruimtestaat[[#This Row],[Code]],Locaties[[#All],[Code]:[Postcode]],5,FALSE)</f>
        <v xml:space="preserve">2271 TM </v>
      </c>
      <c r="E776" s="157" t="str">
        <f>VLOOKUP(Ruimtestaat[[#This Row],[Code]],Locaties[#All],6,FALSE)</f>
        <v>Voorburg</v>
      </c>
      <c r="F776" s="62"/>
      <c r="G776" s="21" t="s">
        <v>1624</v>
      </c>
      <c r="H776" s="21" t="s">
        <v>1920</v>
      </c>
      <c r="I776" s="62" t="s">
        <v>2246</v>
      </c>
      <c r="J776" s="21">
        <v>6</v>
      </c>
      <c r="K776" s="62" t="str">
        <f>VLOOKUP(Ruimtestaat[[#This Row],[Ruimte code]],Ruimtegroepen[[#All],[Code]:[Ruimte omschrijving]],2,FALSE)</f>
        <v>Gangen/hallen</v>
      </c>
      <c r="L776" s="33" t="s">
        <v>102</v>
      </c>
      <c r="M776" s="367" t="s">
        <v>2509</v>
      </c>
      <c r="N776" s="140">
        <v>85</v>
      </c>
      <c r="O776" s="140"/>
      <c r="P776" s="125" t="str">
        <f>VLOOKUP(Ruimtestaat[[#This Row],[Ruimte code]],Ruimtegroepen[],4,FALSE)</f>
        <v>Ve</v>
      </c>
      <c r="Q776" s="125" t="s">
        <v>2548</v>
      </c>
      <c r="R776" s="33">
        <v>40</v>
      </c>
      <c r="S776" s="33" t="s">
        <v>2</v>
      </c>
      <c r="T776" s="33">
        <f>IF(R776&gt;0,IF(RIGHT(Ruimtestaat[[#This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6" s="33">
        <f>IF(T776&gt;0,VLOOKUP($J776,Ruimtegroepen[],3,FALSE)*VLOOKUP($L776,Vloersoorten[],3,FALSE)*VLOOKUP($S776,Frequenties[],3,FALSE)*VLOOKUP($A776,Locaties[],3,FALSE),0)</f>
        <v>0</v>
      </c>
      <c r="V776" s="33">
        <f>Ruimtestaat[[#This Row],[Uitvoeringen werkdagen]]*Ruimtestaat[[#This Row],[Oppervlak (netto)]]</f>
        <v>17000</v>
      </c>
      <c r="W776" s="154">
        <f>IF(U776&gt;0,Ruimtestaat[[#This Row],[Prest. (m2 /jaar) werkdagen]]/Ruimtestaat[[#This Row],[Norm (m2/uur) werkdagen]],0)</f>
        <v>0</v>
      </c>
      <c r="X776" s="155">
        <f>Ruimtestaat[[#This Row],[uren / jaar werkdagen]]*Tariefsopbouw!$E$35</f>
        <v>0</v>
      </c>
      <c r="Y776" s="33"/>
      <c r="Z776" s="33">
        <f>IF(Ruimtestaat[[#This Row],[Frequentie weekend]]&gt;0,VALUE(LEFT(Y776,1))*R776,0)</f>
        <v>0</v>
      </c>
      <c r="AA776" s="97">
        <f>IF($Z776&gt;0,VLOOKUP($J776,Ruimtegroepen[],3,FALSE)*VLOOKUP($L776,Vloersoorten[],3,FALSE)*VLOOKUP($Y776,Frequenties[],3,FALSE)*VLOOKUP(Ruimtestaat[[#This Row],[Code]],Locaties[],3,FALSE),0)</f>
        <v>0</v>
      </c>
      <c r="AB776" s="97">
        <f>Ruimtestaat[[#This Row],[Uitvoeringen weekend]]*Ruimtestaat[[#This Row],[Oppervlak (netto)]]</f>
        <v>0</v>
      </c>
      <c r="AC776" s="97">
        <f>IF(AA776&gt;0,Ruimtestaat[[#This Row],[Prest. (m2 /jaar) weekend]]/Ruimtestaat[[#This Row],[Norm (m2/uur) weekend]],0)</f>
        <v>0</v>
      </c>
      <c r="AD776" s="155">
        <f>Ruimtestaat[[#This Row],[uren / jaar weekend]]*Tariefsopbouw!$D$40</f>
        <v>0</v>
      </c>
      <c r="AE776" s="154">
        <f>Ruimtestaat[[#This Row],[Prest. (m2 /jaar) weekend]]+Ruimtestaat[[#This Row],[Prest. (m2 /jaar) werkdagen]]</f>
        <v>17000</v>
      </c>
      <c r="AF776" s="154">
        <f>Ruimtestaat[[#This Row],[uren / jaar weekend]]+Ruimtestaat[[#This Row],[uren / jaar werkdagen]]</f>
        <v>0</v>
      </c>
      <c r="AG776" s="69">
        <f>Ruimtestaat[[#This Row],[kosten / jaar weekend]]+Ruimtestaat[[#This Row],[kosten / jaar werkdagen]]</f>
        <v>0</v>
      </c>
      <c r="AH776" s="69"/>
      <c r="AI776" s="256" t="str">
        <f>IF(Ruimtestaat[[#This Row],[Frequentie werkdagen]]="","",_xlfn.CONCAT(Ruimtestaat[[#This Row],[Ruimte code]],"-",Ruimtestaat[[#This Row],[Frequentie werkdagen]]," ",Ruimtestaat[[#This Row],[Vloer code]]))</f>
        <v>6-5w S</v>
      </c>
      <c r="AJ776" s="300" t="str">
        <f>_xlfn.IFNA(VLOOKUP($AI776,Programma!$F$3:$G$1107,2,0),"")</f>
        <v>_</v>
      </c>
      <c r="AK776" s="300" t="str">
        <f>_xlfn.IFNA(VLOOKUP($AI776,Programma!$F$3:$H$1107,3,0),"")</f>
        <v>_</v>
      </c>
      <c r="AL776" s="300" t="str">
        <f>_xlfn.IFNA(VLOOKUP($AI776,Programma!$F$3:$I$1107,4,0),"")</f>
        <v>5w</v>
      </c>
      <c r="AM776" s="300" t="str">
        <f>_xlfn.IFNA(VLOOKUP($AI776,Programma!$F$3:$J$1107,5,0),"")</f>
        <v>_</v>
      </c>
      <c r="AN776" s="300" t="str">
        <f>_xlfn.IFNA(VLOOKUP($AI776,Programma!$F$3:$K$1107,6,0),"")</f>
        <v>5w</v>
      </c>
      <c r="AO776" s="300" t="str">
        <f>_xlfn.IFNA(VLOOKUP($AI776,Programma!$F$3:$L$1107,7,0),"")</f>
        <v>_</v>
      </c>
      <c r="AP776" s="300" t="str">
        <f>_xlfn.IFNA(VLOOKUP($AI776,Programma!$F$3:$M$1107,8,0),"")</f>
        <v>_</v>
      </c>
      <c r="AQ776" s="300" t="str">
        <f>_xlfn.IFNA(VLOOKUP($AI776,Programma!$F$3:$N$1107,9,0),"")</f>
        <v>_</v>
      </c>
      <c r="AR776" s="300" t="str">
        <f>_xlfn.IFNA(VLOOKUP($AI776,Programma!$F$3:$O$1107,10,0),"")</f>
        <v>5w</v>
      </c>
      <c r="AS776" s="300" t="str">
        <f>_xlfn.IFNA(VLOOKUP($AI776,Programma!$F$3:$P$1107,11,0),"")</f>
        <v>5w</v>
      </c>
      <c r="AT776" s="300" t="str">
        <f>_xlfn.IFNA(VLOOKUP($AI776,Programma!$F$3:$Q$1107,12,0),"")</f>
        <v>1w</v>
      </c>
      <c r="AU776" s="300" t="str">
        <f>_xlfn.IFNA(VLOOKUP($AI776,Programma!$F$3:$R$1107,13,0),"")</f>
        <v>1w</v>
      </c>
      <c r="AV776" s="300" t="str">
        <f>_xlfn.IFNA(VLOOKUP($AI776,Programma!$F$3:$S$1107,14,0),"")</f>
        <v>1m</v>
      </c>
      <c r="AW776" s="300" t="str">
        <f>_xlfn.IFNA(VLOOKUP($AI776,Programma!$F$3:$T$1107,15,0),"")</f>
        <v>2j</v>
      </c>
      <c r="AX776" s="300" t="str">
        <f>_xlfn.IFNA(VLOOKUP($AI776,Programma!$F$3:$U$1107,16,0),"")</f>
        <v>1j</v>
      </c>
      <c r="AY776" s="300" t="str">
        <f>_xlfn.IFNA(VLOOKUP($AI776,Programma!$F$3:$V$1107,17,0),"")</f>
        <v>_</v>
      </c>
      <c r="AZ776" s="300" t="str">
        <f>_xlfn.IFNA(VLOOKUP($AI776,Programma!$F$3:$W$1107,18,0),"")</f>
        <v>_</v>
      </c>
      <c r="BA776" s="300" t="str">
        <f>_xlfn.IFNA(VLOOKUP($AI776,Programma!$F$3:$X$1107,19,0),"")</f>
        <v>_</v>
      </c>
      <c r="BB776" s="300" t="str">
        <f>_xlfn.IFNA(VLOOKUP($AI776,Programma!$F$3:$Y$1107,20,0),"")</f>
        <v>_</v>
      </c>
      <c r="BC776" s="257"/>
      <c r="BD776" s="256" t="str">
        <f>IF(Ruimtestaat[[#This Row],[Frequentie weekend]]="","",_xlfn.CONCAT(Ruimtestaat[[#This Row],[Ruimte code]],"-",Ruimtestaat[[#This Row],[Frequentie weekend]]," ",Ruimtestaat[[#This Row],[Vloer code]]))</f>
        <v/>
      </c>
      <c r="BE776" s="300" t="str">
        <f>_xlfn.IFNA(VLOOKUP($BD776,Programma!$F$3:$G$1107,2,0),"")</f>
        <v/>
      </c>
      <c r="BF776" s="300" t="str">
        <f>_xlfn.IFNA(VLOOKUP($BD776,Programma!$F$3:$H$1107,3,0),"")</f>
        <v/>
      </c>
      <c r="BG776" s="300" t="str">
        <f>_xlfn.IFNA(VLOOKUP($BD776,Programma!$F$3:$I$1107,4,0),"")</f>
        <v/>
      </c>
      <c r="BH776" s="300" t="str">
        <f>_xlfn.IFNA(VLOOKUP($BD776,Programma!$F$3:$J$1107,5,0),"")</f>
        <v/>
      </c>
      <c r="BI776" s="300" t="str">
        <f>_xlfn.IFNA(VLOOKUP($BD776,Programma!$F$3:$K$1107,6,0),"")</f>
        <v/>
      </c>
      <c r="BJ776" s="300" t="str">
        <f>_xlfn.IFNA(VLOOKUP($BD776,Programma!$F$3:$L$1107,7,0),"")</f>
        <v/>
      </c>
      <c r="BK776" s="300" t="str">
        <f>_xlfn.IFNA(VLOOKUP($BD776,Programma!$F$3:$M$1107,8,0),"")</f>
        <v/>
      </c>
      <c r="BL776" s="300" t="str">
        <f>_xlfn.IFNA(VLOOKUP($BD776,Programma!$F$3:$N$1107,9,0),"")</f>
        <v/>
      </c>
      <c r="BM776" s="300" t="str">
        <f>_xlfn.IFNA(VLOOKUP($BD776,Programma!$F$3:$O$1107,10,0),"")</f>
        <v/>
      </c>
      <c r="BN776" s="300" t="str">
        <f>_xlfn.IFNA(VLOOKUP($BD776,Programma!$F$3:$P$1107,11,0),"")</f>
        <v/>
      </c>
      <c r="BO776" s="300" t="str">
        <f>_xlfn.IFNA(VLOOKUP($BD776,Programma!$F$3:$Q$1107,12,0),"")</f>
        <v/>
      </c>
      <c r="BP776" s="300" t="str">
        <f>_xlfn.IFNA(VLOOKUP($BD776,Programma!$F$3:$R$1107,13,0),"")</f>
        <v/>
      </c>
      <c r="BQ776" s="300" t="str">
        <f>_xlfn.IFNA(VLOOKUP($BD776,Programma!$F$3:$S$1107,14,0),"")</f>
        <v/>
      </c>
      <c r="BR776" s="300" t="str">
        <f>_xlfn.IFNA(VLOOKUP($BD776,Programma!$F$3:$T$1107,15,0),"")</f>
        <v/>
      </c>
      <c r="BS776" s="300" t="str">
        <f>_xlfn.IFNA(VLOOKUP($BD776,Programma!$F$3:$U$1107,16,0),"")</f>
        <v/>
      </c>
      <c r="BT776" s="300" t="str">
        <f>_xlfn.IFNA(VLOOKUP($BD776,Programma!$F$3:$V$1107,17,0),"")</f>
        <v/>
      </c>
      <c r="BU776" s="300" t="str">
        <f>_xlfn.IFNA(VLOOKUP($BD776,Programma!$F$3:$W$1107,18,0),"")</f>
        <v/>
      </c>
      <c r="BV776" s="300" t="str">
        <f>_xlfn.IFNA(VLOOKUP($BD776,Programma!$F$3:$X$1107,19,0),"")</f>
        <v/>
      </c>
      <c r="BW776" s="300" t="str">
        <f>_xlfn.IFNA(VLOOKUP($BD776,Programma!$F$3:$Y$1107,20,0),"")</f>
        <v/>
      </c>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c r="GK776" s="4"/>
      <c r="GL776" s="4"/>
      <c r="GM776" s="4"/>
      <c r="GN776" s="4"/>
      <c r="GO776" s="4"/>
      <c r="GP776" s="4"/>
      <c r="GQ776" s="4"/>
      <c r="GR776" s="4"/>
      <c r="GS776" s="4"/>
      <c r="GT776" s="4"/>
      <c r="GU776" s="4"/>
      <c r="GV776" s="4"/>
      <c r="GW776" s="4"/>
      <c r="GX776" s="4"/>
      <c r="GY776" s="4"/>
      <c r="GZ776" s="4"/>
      <c r="HA776" s="4"/>
      <c r="HB776" s="4"/>
      <c r="HC776" s="4"/>
      <c r="HD776" s="4"/>
      <c r="HE776" s="4"/>
      <c r="HF776" s="4"/>
      <c r="HG776" s="4"/>
      <c r="HH776" s="4"/>
      <c r="HI776" s="4"/>
      <c r="HJ776" s="4"/>
      <c r="HK776" s="4"/>
      <c r="HL776" s="4"/>
    </row>
    <row r="777" spans="1:220" ht="15" customHeight="1">
      <c r="A777" s="21">
        <v>8</v>
      </c>
      <c r="B777" s="157" t="str">
        <f>VLOOKUP(Ruimtestaat[[#This Row],[Code]],Locaties[[Code]:[Locatie]],2,FALSE)</f>
        <v>Dalton College</v>
      </c>
      <c r="C777" s="157" t="str">
        <f>VLOOKUP(Ruimtestaat[[#This Row],[Code]],Locaties[[#All],[Code]:[Adres]],4,FALSE)</f>
        <v>Loolaan 125</v>
      </c>
      <c r="D777" s="157" t="str">
        <f>VLOOKUP(Ruimtestaat[[#This Row],[Code]],Locaties[[#All],[Code]:[Postcode]],5,FALSE)</f>
        <v xml:space="preserve">2271 TM </v>
      </c>
      <c r="E777" s="157" t="str">
        <f>VLOOKUP(Ruimtestaat[[#This Row],[Code]],Locaties[#All],6,FALSE)</f>
        <v>Voorburg</v>
      </c>
      <c r="F777" s="62"/>
      <c r="G777" s="21" t="s">
        <v>1624</v>
      </c>
      <c r="H777" s="21" t="s">
        <v>1922</v>
      </c>
      <c r="I777" s="62" t="s">
        <v>1899</v>
      </c>
      <c r="J777" s="21">
        <v>8</v>
      </c>
      <c r="K777" s="62" t="str">
        <f>VLOOKUP(Ruimtestaat[[#This Row],[Ruimte code]],Ruimtegroepen[[#All],[Code]:[Ruimte omschrijving]],2,FALSE)</f>
        <v>Mediatheek / OLC</v>
      </c>
      <c r="L777" s="33" t="s">
        <v>100</v>
      </c>
      <c r="M777" s="367" t="s">
        <v>2493</v>
      </c>
      <c r="N777" s="140">
        <v>95</v>
      </c>
      <c r="O777" s="140"/>
      <c r="P777" s="125" t="str">
        <f>VLOOKUP(Ruimtestaat[[#This Row],[Ruimte code]],Ruimtegroepen[],4,FALSE)</f>
        <v>Le</v>
      </c>
      <c r="R777" s="33">
        <v>40</v>
      </c>
      <c r="S777" s="33" t="s">
        <v>2</v>
      </c>
      <c r="T777" s="33">
        <f>IF(R777&gt;0,IF(RIGHT(Ruimtestaat[[#This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7" s="33">
        <f>IF(T777&gt;0,VLOOKUP($J777,Ruimtegroepen[],3,FALSE)*VLOOKUP($L777,Vloersoorten[],3,FALSE)*VLOOKUP($S777,Frequenties[],3,FALSE)*VLOOKUP($A777,Locaties[],3,FALSE),0)</f>
        <v>0</v>
      </c>
      <c r="V777" s="33">
        <f>Ruimtestaat[[#This Row],[Uitvoeringen werkdagen]]*Ruimtestaat[[#This Row],[Oppervlak (netto)]]</f>
        <v>19000</v>
      </c>
      <c r="W777" s="154">
        <f>IF(U777&gt;0,Ruimtestaat[[#This Row],[Prest. (m2 /jaar) werkdagen]]/Ruimtestaat[[#This Row],[Norm (m2/uur) werkdagen]],0)</f>
        <v>0</v>
      </c>
      <c r="X777" s="155">
        <f>Ruimtestaat[[#This Row],[uren / jaar werkdagen]]*Tariefsopbouw!$E$35</f>
        <v>0</v>
      </c>
      <c r="Y777" s="33"/>
      <c r="Z777" s="33">
        <f>IF(Ruimtestaat[[#This Row],[Frequentie weekend]]&gt;0,VALUE(LEFT(Y777,1))*R777,0)</f>
        <v>0</v>
      </c>
      <c r="AA777" s="97">
        <f>IF($Z777&gt;0,VLOOKUP($J777,Ruimtegroepen[],3,FALSE)*VLOOKUP($L777,Vloersoorten[],3,FALSE)*VLOOKUP($Y777,Frequenties[],3,FALSE)*VLOOKUP(Ruimtestaat[[#This Row],[Code]],Locaties[],3,FALSE),0)</f>
        <v>0</v>
      </c>
      <c r="AB777" s="97">
        <f>Ruimtestaat[[#This Row],[Uitvoeringen weekend]]*Ruimtestaat[[#This Row],[Oppervlak (netto)]]</f>
        <v>0</v>
      </c>
      <c r="AC777" s="97">
        <f>IF(AA777&gt;0,Ruimtestaat[[#This Row],[Prest. (m2 /jaar) weekend]]/Ruimtestaat[[#This Row],[Norm (m2/uur) weekend]],0)</f>
        <v>0</v>
      </c>
      <c r="AD777" s="155">
        <f>Ruimtestaat[[#This Row],[uren / jaar weekend]]*Tariefsopbouw!$D$40</f>
        <v>0</v>
      </c>
      <c r="AE777" s="154">
        <f>Ruimtestaat[[#This Row],[Prest. (m2 /jaar) weekend]]+Ruimtestaat[[#This Row],[Prest. (m2 /jaar) werkdagen]]</f>
        <v>19000</v>
      </c>
      <c r="AF777" s="154">
        <f>Ruimtestaat[[#This Row],[uren / jaar weekend]]+Ruimtestaat[[#This Row],[uren / jaar werkdagen]]</f>
        <v>0</v>
      </c>
      <c r="AG777" s="69">
        <f>Ruimtestaat[[#This Row],[kosten / jaar weekend]]+Ruimtestaat[[#This Row],[kosten / jaar werkdagen]]</f>
        <v>0</v>
      </c>
      <c r="AH777" s="69"/>
      <c r="AI777" s="256" t="str">
        <f>IF(Ruimtestaat[[#This Row],[Frequentie werkdagen]]="","",_xlfn.CONCAT(Ruimtestaat[[#This Row],[Ruimte code]],"-",Ruimtestaat[[#This Row],[Frequentie werkdagen]]," ",Ruimtestaat[[#This Row],[Vloer code]]))</f>
        <v>8-5w T</v>
      </c>
      <c r="AJ777" s="300" t="str">
        <f>_xlfn.IFNA(VLOOKUP($AI777,Programma!$F$3:$G$1107,2,0),"")</f>
        <v>_</v>
      </c>
      <c r="AK777" s="300" t="str">
        <f>_xlfn.IFNA(VLOOKUP($AI777,Programma!$F$3:$H$1107,3,0),"")</f>
        <v>5w</v>
      </c>
      <c r="AL777" s="300" t="str">
        <f>_xlfn.IFNA(VLOOKUP($AI777,Programma!$F$3:$I$1107,4,0),"")</f>
        <v>_</v>
      </c>
      <c r="AM777" s="300" t="str">
        <f>_xlfn.IFNA(VLOOKUP($AI777,Programma!$F$3:$J$1107,5,0),"")</f>
        <v>_</v>
      </c>
      <c r="AN777" s="300" t="str">
        <f>_xlfn.IFNA(VLOOKUP($AI777,Programma!$F$3:$K$1107,6,0),"")</f>
        <v>_</v>
      </c>
      <c r="AO777" s="300" t="str">
        <f>_xlfn.IFNA(VLOOKUP($AI777,Programma!$F$3:$L$1107,7,0),"")</f>
        <v>_</v>
      </c>
      <c r="AP777" s="300" t="str">
        <f>_xlfn.IFNA(VLOOKUP($AI777,Programma!$F$3:$M$1107,8,0),"")</f>
        <v>_</v>
      </c>
      <c r="AQ777" s="300" t="str">
        <f>_xlfn.IFNA(VLOOKUP($AI777,Programma!$F$3:$N$1107,9,0),"")</f>
        <v>_</v>
      </c>
      <c r="AR777" s="300" t="str">
        <f>_xlfn.IFNA(VLOOKUP($AI777,Programma!$F$3:$O$1107,10,0),"")</f>
        <v>5w</v>
      </c>
      <c r="AS777" s="300" t="str">
        <f>_xlfn.IFNA(VLOOKUP($AI777,Programma!$F$3:$P$1107,11,0),"")</f>
        <v>5w</v>
      </c>
      <c r="AT777" s="300" t="str">
        <f>_xlfn.IFNA(VLOOKUP($AI777,Programma!$F$3:$Q$1107,12,0),"")</f>
        <v>1w</v>
      </c>
      <c r="AU777" s="300" t="str">
        <f>_xlfn.IFNA(VLOOKUP($AI777,Programma!$F$3:$R$1107,13,0),"")</f>
        <v>1w</v>
      </c>
      <c r="AV777" s="300" t="str">
        <f>_xlfn.IFNA(VLOOKUP($AI777,Programma!$F$3:$S$1107,14,0),"")</f>
        <v>1m</v>
      </c>
      <c r="AW777" s="300" t="str">
        <f>_xlfn.IFNA(VLOOKUP($AI777,Programma!$F$3:$T$1107,15,0),"")</f>
        <v>2j</v>
      </c>
      <c r="AX777" s="300" t="str">
        <f>_xlfn.IFNA(VLOOKUP($AI777,Programma!$F$3:$U$1107,16,0),"")</f>
        <v>1j</v>
      </c>
      <c r="AY777" s="300" t="str">
        <f>_xlfn.IFNA(VLOOKUP($AI777,Programma!$F$3:$V$1107,17,0),"")</f>
        <v>_</v>
      </c>
      <c r="AZ777" s="300" t="str">
        <f>_xlfn.IFNA(VLOOKUP($AI777,Programma!$F$3:$W$1107,18,0),"")</f>
        <v>_</v>
      </c>
      <c r="BA777" s="300" t="str">
        <f>_xlfn.IFNA(VLOOKUP($AI777,Programma!$F$3:$X$1107,19,0),"")</f>
        <v>_</v>
      </c>
      <c r="BB777" s="300" t="str">
        <f>_xlfn.IFNA(VLOOKUP($AI777,Programma!$F$3:$Y$1107,20,0),"")</f>
        <v>_</v>
      </c>
      <c r="BC777" s="257"/>
      <c r="BD777" s="256" t="str">
        <f>IF(Ruimtestaat[[#This Row],[Frequentie weekend]]="","",_xlfn.CONCAT(Ruimtestaat[[#This Row],[Ruimte code]],"-",Ruimtestaat[[#This Row],[Frequentie weekend]]," ",Ruimtestaat[[#This Row],[Vloer code]]))</f>
        <v/>
      </c>
      <c r="BE777" s="300" t="str">
        <f>_xlfn.IFNA(VLOOKUP($BD777,Programma!$F$3:$G$1107,2,0),"")</f>
        <v/>
      </c>
      <c r="BF777" s="300" t="str">
        <f>_xlfn.IFNA(VLOOKUP($BD777,Programma!$F$3:$H$1107,3,0),"")</f>
        <v/>
      </c>
      <c r="BG777" s="300" t="str">
        <f>_xlfn.IFNA(VLOOKUP($BD777,Programma!$F$3:$I$1107,4,0),"")</f>
        <v/>
      </c>
      <c r="BH777" s="300" t="str">
        <f>_xlfn.IFNA(VLOOKUP($BD777,Programma!$F$3:$J$1107,5,0),"")</f>
        <v/>
      </c>
      <c r="BI777" s="300" t="str">
        <f>_xlfn.IFNA(VLOOKUP($BD777,Programma!$F$3:$K$1107,6,0),"")</f>
        <v/>
      </c>
      <c r="BJ777" s="300" t="str">
        <f>_xlfn.IFNA(VLOOKUP($BD777,Programma!$F$3:$L$1107,7,0),"")</f>
        <v/>
      </c>
      <c r="BK777" s="300" t="str">
        <f>_xlfn.IFNA(VLOOKUP($BD777,Programma!$F$3:$M$1107,8,0),"")</f>
        <v/>
      </c>
      <c r="BL777" s="300" t="str">
        <f>_xlfn.IFNA(VLOOKUP($BD777,Programma!$F$3:$N$1107,9,0),"")</f>
        <v/>
      </c>
      <c r="BM777" s="300" t="str">
        <f>_xlfn.IFNA(VLOOKUP($BD777,Programma!$F$3:$O$1107,10,0),"")</f>
        <v/>
      </c>
      <c r="BN777" s="300" t="str">
        <f>_xlfn.IFNA(VLOOKUP($BD777,Programma!$F$3:$P$1107,11,0),"")</f>
        <v/>
      </c>
      <c r="BO777" s="300" t="str">
        <f>_xlfn.IFNA(VLOOKUP($BD777,Programma!$F$3:$Q$1107,12,0),"")</f>
        <v/>
      </c>
      <c r="BP777" s="300" t="str">
        <f>_xlfn.IFNA(VLOOKUP($BD777,Programma!$F$3:$R$1107,13,0),"")</f>
        <v/>
      </c>
      <c r="BQ777" s="300" t="str">
        <f>_xlfn.IFNA(VLOOKUP($BD777,Programma!$F$3:$S$1107,14,0),"")</f>
        <v/>
      </c>
      <c r="BR777" s="300" t="str">
        <f>_xlfn.IFNA(VLOOKUP($BD777,Programma!$F$3:$T$1107,15,0),"")</f>
        <v/>
      </c>
      <c r="BS777" s="300" t="str">
        <f>_xlfn.IFNA(VLOOKUP($BD777,Programma!$F$3:$U$1107,16,0),"")</f>
        <v/>
      </c>
      <c r="BT777" s="300" t="str">
        <f>_xlfn.IFNA(VLOOKUP($BD777,Programma!$F$3:$V$1107,17,0),"")</f>
        <v/>
      </c>
      <c r="BU777" s="300" t="str">
        <f>_xlfn.IFNA(VLOOKUP($BD777,Programma!$F$3:$W$1107,18,0),"")</f>
        <v/>
      </c>
      <c r="BV777" s="300" t="str">
        <f>_xlfn.IFNA(VLOOKUP($BD777,Programma!$F$3:$X$1107,19,0),"")</f>
        <v/>
      </c>
      <c r="BW777" s="300" t="str">
        <f>_xlfn.IFNA(VLOOKUP($BD777,Programma!$F$3:$Y$1107,20,0),"")</f>
        <v/>
      </c>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c r="GK777" s="4"/>
      <c r="GL777" s="4"/>
      <c r="GM777" s="4"/>
      <c r="GN777" s="4"/>
      <c r="GO777" s="4"/>
      <c r="GP777" s="4"/>
      <c r="GQ777" s="4"/>
      <c r="GR777" s="4"/>
      <c r="GS777" s="4"/>
      <c r="GT777" s="4"/>
      <c r="GU777" s="4"/>
      <c r="GV777" s="4"/>
      <c r="GW777" s="4"/>
      <c r="GX777" s="4"/>
      <c r="GY777" s="4"/>
      <c r="GZ777" s="4"/>
      <c r="HA777" s="4"/>
      <c r="HB777" s="4"/>
      <c r="HC777" s="4"/>
      <c r="HD777" s="4"/>
      <c r="HE777" s="4"/>
      <c r="HF777" s="4"/>
      <c r="HG777" s="4"/>
      <c r="HH777" s="4"/>
      <c r="HI777" s="4"/>
      <c r="HJ777" s="4"/>
      <c r="HK777" s="4"/>
      <c r="HL777" s="4"/>
    </row>
    <row r="778" spans="1:220" ht="15" customHeight="1">
      <c r="A778" s="21">
        <v>8</v>
      </c>
      <c r="B778" s="157" t="str">
        <f>VLOOKUP(Ruimtestaat[[#This Row],[Code]],Locaties[[Code]:[Locatie]],2,FALSE)</f>
        <v>Dalton College</v>
      </c>
      <c r="C778" s="157" t="str">
        <f>VLOOKUP(Ruimtestaat[[#This Row],[Code]],Locaties[[#All],[Code]:[Adres]],4,FALSE)</f>
        <v>Loolaan 125</v>
      </c>
      <c r="D778" s="157" t="str">
        <f>VLOOKUP(Ruimtestaat[[#This Row],[Code]],Locaties[[#All],[Code]:[Postcode]],5,FALSE)</f>
        <v xml:space="preserve">2271 TM </v>
      </c>
      <c r="E778" s="157" t="str">
        <f>VLOOKUP(Ruimtestaat[[#This Row],[Code]],Locaties[#All],6,FALSE)</f>
        <v>Voorburg</v>
      </c>
      <c r="F778" s="62"/>
      <c r="G778" s="21" t="s">
        <v>1624</v>
      </c>
      <c r="H778" s="21" t="s">
        <v>1924</v>
      </c>
      <c r="I778" s="62" t="s">
        <v>2247</v>
      </c>
      <c r="J778" s="21">
        <v>16</v>
      </c>
      <c r="K778" s="62" t="str">
        <f>VLOOKUP(Ruimtestaat[[#This Row],[Ruimte code]],Ruimtegroepen[[#All],[Code]:[Ruimte omschrijving]],2,FALSE)</f>
        <v>Leslokalen theorie</v>
      </c>
      <c r="L778" s="33" t="s">
        <v>101</v>
      </c>
      <c r="M778" s="367" t="s">
        <v>2495</v>
      </c>
      <c r="N778" s="140">
        <v>78</v>
      </c>
      <c r="O778" s="140"/>
      <c r="P778" s="125" t="str">
        <f>VLOOKUP(Ruimtestaat[[#This Row],[Ruimte code]],Ruimtegroepen[],4,FALSE)</f>
        <v>Le</v>
      </c>
      <c r="R778" s="33">
        <v>40</v>
      </c>
      <c r="S778" s="33" t="s">
        <v>2</v>
      </c>
      <c r="T778" s="33">
        <f>IF(R778&gt;0,IF(RIGHT(Ruimtestaat[[#This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8" s="33">
        <f>IF(T778&gt;0,VLOOKUP($J778,Ruimtegroepen[],3,FALSE)*VLOOKUP($L778,Vloersoorten[],3,FALSE)*VLOOKUP($S778,Frequenties[],3,FALSE)*VLOOKUP($A778,Locaties[],3,FALSE),0)</f>
        <v>0</v>
      </c>
      <c r="V778" s="33">
        <f>Ruimtestaat[[#This Row],[Uitvoeringen werkdagen]]*Ruimtestaat[[#This Row],[Oppervlak (netto)]]</f>
        <v>15600</v>
      </c>
      <c r="W778" s="154">
        <f>IF(U778&gt;0,Ruimtestaat[[#This Row],[Prest. (m2 /jaar) werkdagen]]/Ruimtestaat[[#This Row],[Norm (m2/uur) werkdagen]],0)</f>
        <v>0</v>
      </c>
      <c r="X778" s="155">
        <f>Ruimtestaat[[#This Row],[uren / jaar werkdagen]]*Tariefsopbouw!$E$35</f>
        <v>0</v>
      </c>
      <c r="Y778" s="33"/>
      <c r="Z778" s="33">
        <f>IF(Ruimtestaat[[#This Row],[Frequentie weekend]]&gt;0,VALUE(LEFT(Y778,1))*R778,0)</f>
        <v>0</v>
      </c>
      <c r="AA778" s="97">
        <f>IF($Z778&gt;0,VLOOKUP($J778,Ruimtegroepen[],3,FALSE)*VLOOKUP($L778,Vloersoorten[],3,FALSE)*VLOOKUP($Y778,Frequenties[],3,FALSE)*VLOOKUP(Ruimtestaat[[#This Row],[Code]],Locaties[],3,FALSE),0)</f>
        <v>0</v>
      </c>
      <c r="AB778" s="97">
        <f>Ruimtestaat[[#This Row],[Uitvoeringen weekend]]*Ruimtestaat[[#This Row],[Oppervlak (netto)]]</f>
        <v>0</v>
      </c>
      <c r="AC778" s="97">
        <f>IF(AA778&gt;0,Ruimtestaat[[#This Row],[Prest. (m2 /jaar) weekend]]/Ruimtestaat[[#This Row],[Norm (m2/uur) weekend]],0)</f>
        <v>0</v>
      </c>
      <c r="AD778" s="155">
        <f>Ruimtestaat[[#This Row],[uren / jaar weekend]]*Tariefsopbouw!$D$40</f>
        <v>0</v>
      </c>
      <c r="AE778" s="154">
        <f>Ruimtestaat[[#This Row],[Prest. (m2 /jaar) weekend]]+Ruimtestaat[[#This Row],[Prest. (m2 /jaar) werkdagen]]</f>
        <v>15600</v>
      </c>
      <c r="AF778" s="154">
        <f>Ruimtestaat[[#This Row],[uren / jaar weekend]]+Ruimtestaat[[#This Row],[uren / jaar werkdagen]]</f>
        <v>0</v>
      </c>
      <c r="AG778" s="69">
        <f>Ruimtestaat[[#This Row],[kosten / jaar weekend]]+Ruimtestaat[[#This Row],[kosten / jaar werkdagen]]</f>
        <v>0</v>
      </c>
      <c r="AH778" s="69"/>
      <c r="AI778" s="256" t="str">
        <f>IF(Ruimtestaat[[#This Row],[Frequentie werkdagen]]="","",_xlfn.CONCAT(Ruimtestaat[[#This Row],[Ruimte code]],"-",Ruimtestaat[[#This Row],[Frequentie werkdagen]]," ",Ruimtestaat[[#This Row],[Vloer code]]))</f>
        <v>16-5w L</v>
      </c>
      <c r="AJ778" s="300" t="str">
        <f>_xlfn.IFNA(VLOOKUP($AI778,Programma!$F$3:$G$1107,2,0),"")</f>
        <v>_</v>
      </c>
      <c r="AK778" s="300" t="str">
        <f>_xlfn.IFNA(VLOOKUP($AI778,Programma!$F$3:$H$1107,3,0),"")</f>
        <v>_</v>
      </c>
      <c r="AL778" s="300" t="str">
        <f>_xlfn.IFNA(VLOOKUP($AI778,Programma!$F$3:$I$1107,4,0),"")</f>
        <v>4w</v>
      </c>
      <c r="AM778" s="300" t="str">
        <f>_xlfn.IFNA(VLOOKUP($AI778,Programma!$F$3:$J$1107,5,0),"")</f>
        <v>1w</v>
      </c>
      <c r="AN778" s="300" t="str">
        <f>_xlfn.IFNA(VLOOKUP($AI778,Programma!$F$3:$K$1107,6,0),"")</f>
        <v>_</v>
      </c>
      <c r="AO778" s="300" t="str">
        <f>_xlfn.IFNA(VLOOKUP($AI778,Programma!$F$3:$L$1107,7,0),"")</f>
        <v>_</v>
      </c>
      <c r="AP778" s="300" t="str">
        <f>_xlfn.IFNA(VLOOKUP($AI778,Programma!$F$3:$M$1107,8,0),"")</f>
        <v>_</v>
      </c>
      <c r="AQ778" s="300" t="str">
        <f>_xlfn.IFNA(VLOOKUP($AI778,Programma!$F$3:$N$1107,9,0),"")</f>
        <v>_</v>
      </c>
      <c r="AR778" s="300" t="str">
        <f>_xlfn.IFNA(VLOOKUP($AI778,Programma!$F$3:$O$1107,10,0),"")</f>
        <v>5w</v>
      </c>
      <c r="AS778" s="300" t="str">
        <f>_xlfn.IFNA(VLOOKUP($AI778,Programma!$F$3:$P$1107,11,0),"")</f>
        <v>5w</v>
      </c>
      <c r="AT778" s="300" t="str">
        <f>_xlfn.IFNA(VLOOKUP($AI778,Programma!$F$3:$Q$1107,12,0),"")</f>
        <v>1w</v>
      </c>
      <c r="AU778" s="300" t="str">
        <f>_xlfn.IFNA(VLOOKUP($AI778,Programma!$F$3:$R$1107,13,0),"")</f>
        <v>1w</v>
      </c>
      <c r="AV778" s="300" t="str">
        <f>_xlfn.IFNA(VLOOKUP($AI778,Programma!$F$3:$S$1107,14,0),"")</f>
        <v>1m</v>
      </c>
      <c r="AW778" s="300" t="str">
        <f>_xlfn.IFNA(VLOOKUP($AI778,Programma!$F$3:$T$1107,15,0),"")</f>
        <v>2j</v>
      </c>
      <c r="AX778" s="300" t="str">
        <f>_xlfn.IFNA(VLOOKUP($AI778,Programma!$F$3:$U$1107,16,0),"")</f>
        <v>1j</v>
      </c>
      <c r="AY778" s="300" t="str">
        <f>_xlfn.IFNA(VLOOKUP($AI778,Programma!$F$3:$V$1107,17,0),"")</f>
        <v>_</v>
      </c>
      <c r="AZ778" s="300" t="str">
        <f>_xlfn.IFNA(VLOOKUP($AI778,Programma!$F$3:$W$1107,18,0),"")</f>
        <v>_</v>
      </c>
      <c r="BA778" s="300" t="str">
        <f>_xlfn.IFNA(VLOOKUP($AI778,Programma!$F$3:$X$1107,19,0),"")</f>
        <v>_</v>
      </c>
      <c r="BB778" s="300" t="str">
        <f>_xlfn.IFNA(VLOOKUP($AI778,Programma!$F$3:$Y$1107,20,0),"")</f>
        <v>_</v>
      </c>
      <c r="BC778" s="257"/>
      <c r="BD778" s="256" t="str">
        <f>IF(Ruimtestaat[[#This Row],[Frequentie weekend]]="","",_xlfn.CONCAT(Ruimtestaat[[#This Row],[Ruimte code]],"-",Ruimtestaat[[#This Row],[Frequentie weekend]]," ",Ruimtestaat[[#This Row],[Vloer code]]))</f>
        <v/>
      </c>
      <c r="BE778" s="300" t="str">
        <f>_xlfn.IFNA(VLOOKUP($BD778,Programma!$F$3:$G$1107,2,0),"")</f>
        <v/>
      </c>
      <c r="BF778" s="300" t="str">
        <f>_xlfn.IFNA(VLOOKUP($BD778,Programma!$F$3:$H$1107,3,0),"")</f>
        <v/>
      </c>
      <c r="BG778" s="300" t="str">
        <f>_xlfn.IFNA(VLOOKUP($BD778,Programma!$F$3:$I$1107,4,0),"")</f>
        <v/>
      </c>
      <c r="BH778" s="300" t="str">
        <f>_xlfn.IFNA(VLOOKUP($BD778,Programma!$F$3:$J$1107,5,0),"")</f>
        <v/>
      </c>
      <c r="BI778" s="300" t="str">
        <f>_xlfn.IFNA(VLOOKUP($BD778,Programma!$F$3:$K$1107,6,0),"")</f>
        <v/>
      </c>
      <c r="BJ778" s="300" t="str">
        <f>_xlfn.IFNA(VLOOKUP($BD778,Programma!$F$3:$L$1107,7,0),"")</f>
        <v/>
      </c>
      <c r="BK778" s="300" t="str">
        <f>_xlfn.IFNA(VLOOKUP($BD778,Programma!$F$3:$M$1107,8,0),"")</f>
        <v/>
      </c>
      <c r="BL778" s="300" t="str">
        <f>_xlfn.IFNA(VLOOKUP($BD778,Programma!$F$3:$N$1107,9,0),"")</f>
        <v/>
      </c>
      <c r="BM778" s="300" t="str">
        <f>_xlfn.IFNA(VLOOKUP($BD778,Programma!$F$3:$O$1107,10,0),"")</f>
        <v/>
      </c>
      <c r="BN778" s="300" t="str">
        <f>_xlfn.IFNA(VLOOKUP($BD778,Programma!$F$3:$P$1107,11,0),"")</f>
        <v/>
      </c>
      <c r="BO778" s="300" t="str">
        <f>_xlfn.IFNA(VLOOKUP($BD778,Programma!$F$3:$Q$1107,12,0),"")</f>
        <v/>
      </c>
      <c r="BP778" s="300" t="str">
        <f>_xlfn.IFNA(VLOOKUP($BD778,Programma!$F$3:$R$1107,13,0),"")</f>
        <v/>
      </c>
      <c r="BQ778" s="300" t="str">
        <f>_xlfn.IFNA(VLOOKUP($BD778,Programma!$F$3:$S$1107,14,0),"")</f>
        <v/>
      </c>
      <c r="BR778" s="300" t="str">
        <f>_xlfn.IFNA(VLOOKUP($BD778,Programma!$F$3:$T$1107,15,0),"")</f>
        <v/>
      </c>
      <c r="BS778" s="300" t="str">
        <f>_xlfn.IFNA(VLOOKUP($BD778,Programma!$F$3:$U$1107,16,0),"")</f>
        <v/>
      </c>
      <c r="BT778" s="300" t="str">
        <f>_xlfn.IFNA(VLOOKUP($BD778,Programma!$F$3:$V$1107,17,0),"")</f>
        <v/>
      </c>
      <c r="BU778" s="300" t="str">
        <f>_xlfn.IFNA(VLOOKUP($BD778,Programma!$F$3:$W$1107,18,0),"")</f>
        <v/>
      </c>
      <c r="BV778" s="300" t="str">
        <f>_xlfn.IFNA(VLOOKUP($BD778,Programma!$F$3:$X$1107,19,0),"")</f>
        <v/>
      </c>
      <c r="BW778" s="300" t="str">
        <f>_xlfn.IFNA(VLOOKUP($BD778,Programma!$F$3:$Y$1107,20,0),"")</f>
        <v/>
      </c>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c r="GK778" s="4"/>
      <c r="GL778" s="4"/>
      <c r="GM778" s="4"/>
      <c r="GN778" s="4"/>
      <c r="GO778" s="4"/>
      <c r="GP778" s="4"/>
      <c r="GQ778" s="4"/>
      <c r="GR778" s="4"/>
      <c r="GS778" s="4"/>
      <c r="GT778" s="4"/>
      <c r="GU778" s="4"/>
      <c r="GV778" s="4"/>
      <c r="GW778" s="4"/>
      <c r="GX778" s="4"/>
      <c r="GY778" s="4"/>
      <c r="GZ778" s="4"/>
      <c r="HA778" s="4"/>
      <c r="HB778" s="4"/>
      <c r="HC778" s="4"/>
      <c r="HD778" s="4"/>
      <c r="HE778" s="4"/>
      <c r="HF778" s="4"/>
      <c r="HG778" s="4"/>
      <c r="HH778" s="4"/>
      <c r="HI778" s="4"/>
      <c r="HJ778" s="4"/>
      <c r="HK778" s="4"/>
      <c r="HL778" s="4"/>
    </row>
    <row r="779" spans="1:220" ht="15" customHeight="1">
      <c r="A779" s="21">
        <v>8</v>
      </c>
      <c r="B779" s="157" t="str">
        <f>VLOOKUP(Ruimtestaat[[#This Row],[Code]],Locaties[[Code]:[Locatie]],2,FALSE)</f>
        <v>Dalton College</v>
      </c>
      <c r="C779" s="157" t="str">
        <f>VLOOKUP(Ruimtestaat[[#This Row],[Code]],Locaties[[#All],[Code]:[Adres]],4,FALSE)</f>
        <v>Loolaan 125</v>
      </c>
      <c r="D779" s="157" t="str">
        <f>VLOOKUP(Ruimtestaat[[#This Row],[Code]],Locaties[[#All],[Code]:[Postcode]],5,FALSE)</f>
        <v xml:space="preserve">2271 TM </v>
      </c>
      <c r="E779" s="157" t="str">
        <f>VLOOKUP(Ruimtestaat[[#This Row],[Code]],Locaties[#All],6,FALSE)</f>
        <v>Voorburg</v>
      </c>
      <c r="F779" s="62"/>
      <c r="G779" s="21" t="s">
        <v>1624</v>
      </c>
      <c r="H779" s="21" t="s">
        <v>1926</v>
      </c>
      <c r="I779" s="62" t="s">
        <v>1657</v>
      </c>
      <c r="J779" s="21">
        <v>10</v>
      </c>
      <c r="K779" s="62" t="str">
        <f>VLOOKUP(Ruimtestaat[[#This Row],[Ruimte code]],Ruimtegroepen[[#All],[Code]:[Ruimte omschrijving]],2,FALSE)</f>
        <v>Trappenhuizen/lift</v>
      </c>
      <c r="L779" s="33" t="s">
        <v>102</v>
      </c>
      <c r="M779" s="367" t="s">
        <v>2509</v>
      </c>
      <c r="N779" s="140">
        <v>20</v>
      </c>
      <c r="O779" s="140"/>
      <c r="P779" s="125" t="str">
        <f>VLOOKUP(Ruimtestaat[[#This Row],[Ruimte code]],Ruimtegroepen[],4,FALSE)</f>
        <v>Ve</v>
      </c>
      <c r="Q779" s="125" t="s">
        <v>2549</v>
      </c>
      <c r="R779" s="33">
        <v>40</v>
      </c>
      <c r="S779" s="33" t="s">
        <v>2</v>
      </c>
      <c r="T779" s="33">
        <f>IF(R779&gt;0,IF(RIGHT(Ruimtestaat[[#This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9" s="33">
        <f>IF(T779&gt;0,VLOOKUP($J779,Ruimtegroepen[],3,FALSE)*VLOOKUP($L779,Vloersoorten[],3,FALSE)*VLOOKUP($S779,Frequenties[],3,FALSE)*VLOOKUP($A779,Locaties[],3,FALSE),0)</f>
        <v>0</v>
      </c>
      <c r="V779" s="33">
        <f>Ruimtestaat[[#This Row],[Uitvoeringen werkdagen]]*Ruimtestaat[[#This Row],[Oppervlak (netto)]]</f>
        <v>4000</v>
      </c>
      <c r="W779" s="154">
        <f>IF(U779&gt;0,Ruimtestaat[[#This Row],[Prest. (m2 /jaar) werkdagen]]/Ruimtestaat[[#This Row],[Norm (m2/uur) werkdagen]],0)</f>
        <v>0</v>
      </c>
      <c r="X779" s="155">
        <f>Ruimtestaat[[#This Row],[uren / jaar werkdagen]]*Tariefsopbouw!$E$35</f>
        <v>0</v>
      </c>
      <c r="Y779" s="33"/>
      <c r="Z779" s="33">
        <f>IF(Ruimtestaat[[#This Row],[Frequentie weekend]]&gt;0,VALUE(LEFT(Y779,1))*R779,0)</f>
        <v>0</v>
      </c>
      <c r="AA779" s="97">
        <f>IF($Z779&gt;0,VLOOKUP($J779,Ruimtegroepen[],3,FALSE)*VLOOKUP($L779,Vloersoorten[],3,FALSE)*VLOOKUP($Y779,Frequenties[],3,FALSE)*VLOOKUP(Ruimtestaat[[#This Row],[Code]],Locaties[],3,FALSE),0)</f>
        <v>0</v>
      </c>
      <c r="AB779" s="97">
        <f>Ruimtestaat[[#This Row],[Uitvoeringen weekend]]*Ruimtestaat[[#This Row],[Oppervlak (netto)]]</f>
        <v>0</v>
      </c>
      <c r="AC779" s="97">
        <f>IF(AA779&gt;0,Ruimtestaat[[#This Row],[Prest. (m2 /jaar) weekend]]/Ruimtestaat[[#This Row],[Norm (m2/uur) weekend]],0)</f>
        <v>0</v>
      </c>
      <c r="AD779" s="155">
        <f>Ruimtestaat[[#This Row],[uren / jaar weekend]]*Tariefsopbouw!$D$40</f>
        <v>0</v>
      </c>
      <c r="AE779" s="154">
        <f>Ruimtestaat[[#This Row],[Prest. (m2 /jaar) weekend]]+Ruimtestaat[[#This Row],[Prest. (m2 /jaar) werkdagen]]</f>
        <v>4000</v>
      </c>
      <c r="AF779" s="154">
        <f>Ruimtestaat[[#This Row],[uren / jaar weekend]]+Ruimtestaat[[#This Row],[uren / jaar werkdagen]]</f>
        <v>0</v>
      </c>
      <c r="AG779" s="69">
        <f>Ruimtestaat[[#This Row],[kosten / jaar weekend]]+Ruimtestaat[[#This Row],[kosten / jaar werkdagen]]</f>
        <v>0</v>
      </c>
      <c r="AH779" s="69"/>
      <c r="AI779" s="256" t="str">
        <f>IF(Ruimtestaat[[#This Row],[Frequentie werkdagen]]="","",_xlfn.CONCAT(Ruimtestaat[[#This Row],[Ruimte code]],"-",Ruimtestaat[[#This Row],[Frequentie werkdagen]]," ",Ruimtestaat[[#This Row],[Vloer code]]))</f>
        <v>10-5w S</v>
      </c>
      <c r="AJ779" s="300" t="str">
        <f>_xlfn.IFNA(VLOOKUP($AI779,Programma!$F$3:$G$1107,2,0),"")</f>
        <v>_</v>
      </c>
      <c r="AK779" s="300" t="str">
        <f>_xlfn.IFNA(VLOOKUP($AI779,Programma!$F$3:$H$1107,3,0),"")</f>
        <v>_</v>
      </c>
      <c r="AL779" s="300" t="str">
        <f>_xlfn.IFNA(VLOOKUP($AI779,Programma!$F$3:$I$1107,4,0),"")</f>
        <v>4w</v>
      </c>
      <c r="AM779" s="300" t="str">
        <f>_xlfn.IFNA(VLOOKUP($AI779,Programma!$F$3:$J$1107,5,0),"")</f>
        <v>1w</v>
      </c>
      <c r="AN779" s="300" t="str">
        <f>_xlfn.IFNA(VLOOKUP($AI779,Programma!$F$3:$K$1107,6,0),"")</f>
        <v>4j</v>
      </c>
      <c r="AO779" s="300" t="str">
        <f>_xlfn.IFNA(VLOOKUP($AI779,Programma!$F$3:$L$1107,7,0),"")</f>
        <v>_</v>
      </c>
      <c r="AP779" s="300" t="str">
        <f>_xlfn.IFNA(VLOOKUP($AI779,Programma!$F$3:$M$1107,8,0),"")</f>
        <v>_</v>
      </c>
      <c r="AQ779" s="300" t="str">
        <f>_xlfn.IFNA(VLOOKUP($AI779,Programma!$F$3:$N$1107,9,0),"")</f>
        <v>_</v>
      </c>
      <c r="AR779" s="300" t="str">
        <f>_xlfn.IFNA(VLOOKUP($AI779,Programma!$F$3:$O$1107,10,0),"")</f>
        <v>5w</v>
      </c>
      <c r="AS779" s="300" t="str">
        <f>_xlfn.IFNA(VLOOKUP($AI779,Programma!$F$3:$P$1107,11,0),"")</f>
        <v>5w</v>
      </c>
      <c r="AT779" s="300" t="str">
        <f>_xlfn.IFNA(VLOOKUP($AI779,Programma!$F$3:$Q$1107,12,0),"")</f>
        <v>1w</v>
      </c>
      <c r="AU779" s="300" t="str">
        <f>_xlfn.IFNA(VLOOKUP($AI779,Programma!$F$3:$R$1107,13,0),"")</f>
        <v>1w</v>
      </c>
      <c r="AV779" s="300" t="str">
        <f>_xlfn.IFNA(VLOOKUP($AI779,Programma!$F$3:$S$1107,14,0),"")</f>
        <v>1m</v>
      </c>
      <c r="AW779" s="300" t="str">
        <f>_xlfn.IFNA(VLOOKUP($AI779,Programma!$F$3:$T$1107,15,0),"")</f>
        <v>2j</v>
      </c>
      <c r="AX779" s="300" t="str">
        <f>_xlfn.IFNA(VLOOKUP($AI779,Programma!$F$3:$U$1107,16,0),"")</f>
        <v>1j</v>
      </c>
      <c r="AY779" s="300" t="str">
        <f>_xlfn.IFNA(VLOOKUP($AI779,Programma!$F$3:$V$1107,17,0),"")</f>
        <v>_</v>
      </c>
      <c r="AZ779" s="300" t="str">
        <f>_xlfn.IFNA(VLOOKUP($AI779,Programma!$F$3:$W$1107,18,0),"")</f>
        <v>_</v>
      </c>
      <c r="BA779" s="300" t="str">
        <f>_xlfn.IFNA(VLOOKUP($AI779,Programma!$F$3:$X$1107,19,0),"")</f>
        <v>_</v>
      </c>
      <c r="BB779" s="300" t="str">
        <f>_xlfn.IFNA(VLOOKUP($AI779,Programma!$F$3:$Y$1107,20,0),"")</f>
        <v>_</v>
      </c>
      <c r="BC779" s="257"/>
      <c r="BD779" s="256" t="str">
        <f>IF(Ruimtestaat[[#This Row],[Frequentie weekend]]="","",_xlfn.CONCAT(Ruimtestaat[[#This Row],[Ruimte code]],"-",Ruimtestaat[[#This Row],[Frequentie weekend]]," ",Ruimtestaat[[#This Row],[Vloer code]]))</f>
        <v/>
      </c>
      <c r="BE779" s="300" t="str">
        <f>_xlfn.IFNA(VLOOKUP($BD779,Programma!$F$3:$G$1107,2,0),"")</f>
        <v/>
      </c>
      <c r="BF779" s="300" t="str">
        <f>_xlfn.IFNA(VLOOKUP($BD779,Programma!$F$3:$H$1107,3,0),"")</f>
        <v/>
      </c>
      <c r="BG779" s="300" t="str">
        <f>_xlfn.IFNA(VLOOKUP($BD779,Programma!$F$3:$I$1107,4,0),"")</f>
        <v/>
      </c>
      <c r="BH779" s="300" t="str">
        <f>_xlfn.IFNA(VLOOKUP($BD779,Programma!$F$3:$J$1107,5,0),"")</f>
        <v/>
      </c>
      <c r="BI779" s="300" t="str">
        <f>_xlfn.IFNA(VLOOKUP($BD779,Programma!$F$3:$K$1107,6,0),"")</f>
        <v/>
      </c>
      <c r="BJ779" s="300" t="str">
        <f>_xlfn.IFNA(VLOOKUP($BD779,Programma!$F$3:$L$1107,7,0),"")</f>
        <v/>
      </c>
      <c r="BK779" s="300" t="str">
        <f>_xlfn.IFNA(VLOOKUP($BD779,Programma!$F$3:$M$1107,8,0),"")</f>
        <v/>
      </c>
      <c r="BL779" s="300" t="str">
        <f>_xlfn.IFNA(VLOOKUP($BD779,Programma!$F$3:$N$1107,9,0),"")</f>
        <v/>
      </c>
      <c r="BM779" s="300" t="str">
        <f>_xlfn.IFNA(VLOOKUP($BD779,Programma!$F$3:$O$1107,10,0),"")</f>
        <v/>
      </c>
      <c r="BN779" s="300" t="str">
        <f>_xlfn.IFNA(VLOOKUP($BD779,Programma!$F$3:$P$1107,11,0),"")</f>
        <v/>
      </c>
      <c r="BO779" s="300" t="str">
        <f>_xlfn.IFNA(VLOOKUP($BD779,Programma!$F$3:$Q$1107,12,0),"")</f>
        <v/>
      </c>
      <c r="BP779" s="300" t="str">
        <f>_xlfn.IFNA(VLOOKUP($BD779,Programma!$F$3:$R$1107,13,0),"")</f>
        <v/>
      </c>
      <c r="BQ779" s="300" t="str">
        <f>_xlfn.IFNA(VLOOKUP($BD779,Programma!$F$3:$S$1107,14,0),"")</f>
        <v/>
      </c>
      <c r="BR779" s="300" t="str">
        <f>_xlfn.IFNA(VLOOKUP($BD779,Programma!$F$3:$T$1107,15,0),"")</f>
        <v/>
      </c>
      <c r="BS779" s="300" t="str">
        <f>_xlfn.IFNA(VLOOKUP($BD779,Programma!$F$3:$U$1107,16,0),"")</f>
        <v/>
      </c>
      <c r="BT779" s="300" t="str">
        <f>_xlfn.IFNA(VLOOKUP($BD779,Programma!$F$3:$V$1107,17,0),"")</f>
        <v/>
      </c>
      <c r="BU779" s="300" t="str">
        <f>_xlfn.IFNA(VLOOKUP($BD779,Programma!$F$3:$W$1107,18,0),"")</f>
        <v/>
      </c>
      <c r="BV779" s="300" t="str">
        <f>_xlfn.IFNA(VLOOKUP($BD779,Programma!$F$3:$X$1107,19,0),"")</f>
        <v/>
      </c>
      <c r="BW779" s="300" t="str">
        <f>_xlfn.IFNA(VLOOKUP($BD779,Programma!$F$3:$Y$1107,20,0),"")</f>
        <v/>
      </c>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c r="GK779" s="4"/>
      <c r="GL779" s="4"/>
      <c r="GM779" s="4"/>
      <c r="GN779" s="4"/>
      <c r="GO779" s="4"/>
      <c r="GP779" s="4"/>
      <c r="GQ779" s="4"/>
      <c r="GR779" s="4"/>
      <c r="GS779" s="4"/>
      <c r="GT779" s="4"/>
      <c r="GU779" s="4"/>
      <c r="GV779" s="4"/>
      <c r="GW779" s="4"/>
      <c r="GX779" s="4"/>
      <c r="GY779" s="4"/>
      <c r="GZ779" s="4"/>
      <c r="HA779" s="4"/>
      <c r="HB779" s="4"/>
      <c r="HC779" s="4"/>
      <c r="HD779" s="4"/>
      <c r="HE779" s="4"/>
      <c r="HF779" s="4"/>
      <c r="HG779" s="4"/>
      <c r="HH779" s="4"/>
      <c r="HI779" s="4"/>
      <c r="HJ779" s="4"/>
      <c r="HK779" s="4"/>
      <c r="HL779" s="4"/>
    </row>
    <row r="780" spans="1:220" ht="15" customHeight="1">
      <c r="A780" s="21">
        <v>8</v>
      </c>
      <c r="B780" s="157" t="str">
        <f>VLOOKUP(Ruimtestaat[[#This Row],[Code]],Locaties[[Code]:[Locatie]],2,FALSE)</f>
        <v>Dalton College</v>
      </c>
      <c r="C780" s="157" t="str">
        <f>VLOOKUP(Ruimtestaat[[#This Row],[Code]],Locaties[[#All],[Code]:[Adres]],4,FALSE)</f>
        <v>Loolaan 125</v>
      </c>
      <c r="D780" s="157" t="str">
        <f>VLOOKUP(Ruimtestaat[[#This Row],[Code]],Locaties[[#All],[Code]:[Postcode]],5,FALSE)</f>
        <v xml:space="preserve">2271 TM </v>
      </c>
      <c r="E780" s="157" t="str">
        <f>VLOOKUP(Ruimtestaat[[#This Row],[Code]],Locaties[#All],6,FALSE)</f>
        <v>Voorburg</v>
      </c>
      <c r="F780" s="62"/>
      <c r="G780" s="21" t="s">
        <v>1624</v>
      </c>
      <c r="H780" s="21" t="s">
        <v>1928</v>
      </c>
      <c r="I780" s="62" t="s">
        <v>1657</v>
      </c>
      <c r="J780" s="21">
        <v>10</v>
      </c>
      <c r="K780" s="62" t="str">
        <f>VLOOKUP(Ruimtestaat[[#This Row],[Ruimte code]],Ruimtegroepen[[#All],[Code]:[Ruimte omschrijving]],2,FALSE)</f>
        <v>Trappenhuizen/lift</v>
      </c>
      <c r="L780" s="33" t="s">
        <v>102</v>
      </c>
      <c r="M780" s="367" t="s">
        <v>2509</v>
      </c>
      <c r="N780" s="140">
        <v>29</v>
      </c>
      <c r="O780" s="140"/>
      <c r="P780" s="125" t="str">
        <f>VLOOKUP(Ruimtestaat[[#This Row],[Ruimte code]],Ruimtegroepen[],4,FALSE)</f>
        <v>Ve</v>
      </c>
      <c r="R780" s="33">
        <v>40</v>
      </c>
      <c r="S780" s="33" t="s">
        <v>2</v>
      </c>
      <c r="T780" s="33">
        <f>IF(R780&gt;0,IF(RIGHT(Ruimtestaat[[#This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80" s="33">
        <f>IF(T780&gt;0,VLOOKUP($J780,Ruimtegroepen[],3,FALSE)*VLOOKUP($L780,Vloersoorten[],3,FALSE)*VLOOKUP($S780,Frequenties[],3,FALSE)*VLOOKUP($A780,Locaties[],3,FALSE),0)</f>
        <v>0</v>
      </c>
      <c r="V780" s="33">
        <f>Ruimtestaat[[#This Row],[Uitvoeringen werkdagen]]*Ruimtestaat[[#This Row],[Oppervlak (netto)]]</f>
        <v>5800</v>
      </c>
      <c r="W780" s="154">
        <f>IF(U780&gt;0,Ruimtestaat[[#This Row],[Prest. (m2 /jaar) werkdagen]]/Ruimtestaat[[#This Row],[Norm (m2/uur) werkdagen]],0)</f>
        <v>0</v>
      </c>
      <c r="X780" s="155">
        <f>Ruimtestaat[[#This Row],[uren / jaar werkdagen]]*Tariefsopbouw!$E$35</f>
        <v>0</v>
      </c>
      <c r="Y780" s="33"/>
      <c r="Z780" s="33">
        <f>IF(Ruimtestaat[[#This Row],[Frequentie weekend]]&gt;0,VALUE(LEFT(Y780,1))*R780,0)</f>
        <v>0</v>
      </c>
      <c r="AA780" s="97">
        <f>IF($Z780&gt;0,VLOOKUP($J780,Ruimtegroepen[],3,FALSE)*VLOOKUP($L780,Vloersoorten[],3,FALSE)*VLOOKUP($Y780,Frequenties[],3,FALSE)*VLOOKUP(Ruimtestaat[[#This Row],[Code]],Locaties[],3,FALSE),0)</f>
        <v>0</v>
      </c>
      <c r="AB780" s="97">
        <f>Ruimtestaat[[#This Row],[Uitvoeringen weekend]]*Ruimtestaat[[#This Row],[Oppervlak (netto)]]</f>
        <v>0</v>
      </c>
      <c r="AC780" s="97">
        <f>IF(AA780&gt;0,Ruimtestaat[[#This Row],[Prest. (m2 /jaar) weekend]]/Ruimtestaat[[#This Row],[Norm (m2/uur) weekend]],0)</f>
        <v>0</v>
      </c>
      <c r="AD780" s="155">
        <f>Ruimtestaat[[#This Row],[uren / jaar weekend]]*Tariefsopbouw!$D$40</f>
        <v>0</v>
      </c>
      <c r="AE780" s="154">
        <f>Ruimtestaat[[#This Row],[Prest. (m2 /jaar) weekend]]+Ruimtestaat[[#This Row],[Prest. (m2 /jaar) werkdagen]]</f>
        <v>5800</v>
      </c>
      <c r="AF780" s="154">
        <f>Ruimtestaat[[#This Row],[uren / jaar weekend]]+Ruimtestaat[[#This Row],[uren / jaar werkdagen]]</f>
        <v>0</v>
      </c>
      <c r="AG780" s="69">
        <f>Ruimtestaat[[#This Row],[kosten / jaar weekend]]+Ruimtestaat[[#This Row],[kosten / jaar werkdagen]]</f>
        <v>0</v>
      </c>
      <c r="AH780" s="69"/>
      <c r="AI780" s="256" t="str">
        <f>IF(Ruimtestaat[[#This Row],[Frequentie werkdagen]]="","",_xlfn.CONCAT(Ruimtestaat[[#This Row],[Ruimte code]],"-",Ruimtestaat[[#This Row],[Frequentie werkdagen]]," ",Ruimtestaat[[#This Row],[Vloer code]]))</f>
        <v>10-5w S</v>
      </c>
      <c r="AJ780" s="300" t="str">
        <f>_xlfn.IFNA(VLOOKUP($AI780,Programma!$F$3:$G$1107,2,0),"")</f>
        <v>_</v>
      </c>
      <c r="AK780" s="300" t="str">
        <f>_xlfn.IFNA(VLOOKUP($AI780,Programma!$F$3:$H$1107,3,0),"")</f>
        <v>_</v>
      </c>
      <c r="AL780" s="300" t="str">
        <f>_xlfn.IFNA(VLOOKUP($AI780,Programma!$F$3:$I$1107,4,0),"")</f>
        <v>4w</v>
      </c>
      <c r="AM780" s="300" t="str">
        <f>_xlfn.IFNA(VLOOKUP($AI780,Programma!$F$3:$J$1107,5,0),"")</f>
        <v>1w</v>
      </c>
      <c r="AN780" s="300" t="str">
        <f>_xlfn.IFNA(VLOOKUP($AI780,Programma!$F$3:$K$1107,6,0),"")</f>
        <v>4j</v>
      </c>
      <c r="AO780" s="300" t="str">
        <f>_xlfn.IFNA(VLOOKUP($AI780,Programma!$F$3:$L$1107,7,0),"")</f>
        <v>_</v>
      </c>
      <c r="AP780" s="300" t="str">
        <f>_xlfn.IFNA(VLOOKUP($AI780,Programma!$F$3:$M$1107,8,0),"")</f>
        <v>_</v>
      </c>
      <c r="AQ780" s="300" t="str">
        <f>_xlfn.IFNA(VLOOKUP($AI780,Programma!$F$3:$N$1107,9,0),"")</f>
        <v>_</v>
      </c>
      <c r="AR780" s="300" t="str">
        <f>_xlfn.IFNA(VLOOKUP($AI780,Programma!$F$3:$O$1107,10,0),"")</f>
        <v>5w</v>
      </c>
      <c r="AS780" s="300" t="str">
        <f>_xlfn.IFNA(VLOOKUP($AI780,Programma!$F$3:$P$1107,11,0),"")</f>
        <v>5w</v>
      </c>
      <c r="AT780" s="300" t="str">
        <f>_xlfn.IFNA(VLOOKUP($AI780,Programma!$F$3:$Q$1107,12,0),"")</f>
        <v>1w</v>
      </c>
      <c r="AU780" s="300" t="str">
        <f>_xlfn.IFNA(VLOOKUP($AI780,Programma!$F$3:$R$1107,13,0),"")</f>
        <v>1w</v>
      </c>
      <c r="AV780" s="300" t="str">
        <f>_xlfn.IFNA(VLOOKUP($AI780,Programma!$F$3:$S$1107,14,0),"")</f>
        <v>1m</v>
      </c>
      <c r="AW780" s="300" t="str">
        <f>_xlfn.IFNA(VLOOKUP($AI780,Programma!$F$3:$T$1107,15,0),"")</f>
        <v>2j</v>
      </c>
      <c r="AX780" s="300" t="str">
        <f>_xlfn.IFNA(VLOOKUP($AI780,Programma!$F$3:$U$1107,16,0),"")</f>
        <v>1j</v>
      </c>
      <c r="AY780" s="300" t="str">
        <f>_xlfn.IFNA(VLOOKUP($AI780,Programma!$F$3:$V$1107,17,0),"")</f>
        <v>_</v>
      </c>
      <c r="AZ780" s="300" t="str">
        <f>_xlfn.IFNA(VLOOKUP($AI780,Programma!$F$3:$W$1107,18,0),"")</f>
        <v>_</v>
      </c>
      <c r="BA780" s="300" t="str">
        <f>_xlfn.IFNA(VLOOKUP($AI780,Programma!$F$3:$X$1107,19,0),"")</f>
        <v>_</v>
      </c>
      <c r="BB780" s="300" t="str">
        <f>_xlfn.IFNA(VLOOKUP($AI780,Programma!$F$3:$Y$1107,20,0),"")</f>
        <v>_</v>
      </c>
      <c r="BC780" s="257"/>
      <c r="BD780" s="256" t="str">
        <f>IF(Ruimtestaat[[#This Row],[Frequentie weekend]]="","",_xlfn.CONCAT(Ruimtestaat[[#This Row],[Ruimte code]],"-",Ruimtestaat[[#This Row],[Frequentie weekend]]," ",Ruimtestaat[[#This Row],[Vloer code]]))</f>
        <v/>
      </c>
      <c r="BE780" s="300" t="str">
        <f>_xlfn.IFNA(VLOOKUP($BD780,Programma!$F$3:$G$1107,2,0),"")</f>
        <v/>
      </c>
      <c r="BF780" s="300" t="str">
        <f>_xlfn.IFNA(VLOOKUP($BD780,Programma!$F$3:$H$1107,3,0),"")</f>
        <v/>
      </c>
      <c r="BG780" s="300" t="str">
        <f>_xlfn.IFNA(VLOOKUP($BD780,Programma!$F$3:$I$1107,4,0),"")</f>
        <v/>
      </c>
      <c r="BH780" s="300" t="str">
        <f>_xlfn.IFNA(VLOOKUP($BD780,Programma!$F$3:$J$1107,5,0),"")</f>
        <v/>
      </c>
      <c r="BI780" s="300" t="str">
        <f>_xlfn.IFNA(VLOOKUP($BD780,Programma!$F$3:$K$1107,6,0),"")</f>
        <v/>
      </c>
      <c r="BJ780" s="300" t="str">
        <f>_xlfn.IFNA(VLOOKUP($BD780,Programma!$F$3:$L$1107,7,0),"")</f>
        <v/>
      </c>
      <c r="BK780" s="300" t="str">
        <f>_xlfn.IFNA(VLOOKUP($BD780,Programma!$F$3:$M$1107,8,0),"")</f>
        <v/>
      </c>
      <c r="BL780" s="300" t="str">
        <f>_xlfn.IFNA(VLOOKUP($BD780,Programma!$F$3:$N$1107,9,0),"")</f>
        <v/>
      </c>
      <c r="BM780" s="300" t="str">
        <f>_xlfn.IFNA(VLOOKUP($BD780,Programma!$F$3:$O$1107,10,0),"")</f>
        <v/>
      </c>
      <c r="BN780" s="300" t="str">
        <f>_xlfn.IFNA(VLOOKUP($BD780,Programma!$F$3:$P$1107,11,0),"")</f>
        <v/>
      </c>
      <c r="BO780" s="300" t="str">
        <f>_xlfn.IFNA(VLOOKUP($BD780,Programma!$F$3:$Q$1107,12,0),"")</f>
        <v/>
      </c>
      <c r="BP780" s="300" t="str">
        <f>_xlfn.IFNA(VLOOKUP($BD780,Programma!$F$3:$R$1107,13,0),"")</f>
        <v/>
      </c>
      <c r="BQ780" s="300" t="str">
        <f>_xlfn.IFNA(VLOOKUP($BD780,Programma!$F$3:$S$1107,14,0),"")</f>
        <v/>
      </c>
      <c r="BR780" s="300" t="str">
        <f>_xlfn.IFNA(VLOOKUP($BD780,Programma!$F$3:$T$1107,15,0),"")</f>
        <v/>
      </c>
      <c r="BS780" s="300" t="str">
        <f>_xlfn.IFNA(VLOOKUP($BD780,Programma!$F$3:$U$1107,16,0),"")</f>
        <v/>
      </c>
      <c r="BT780" s="300" t="str">
        <f>_xlfn.IFNA(VLOOKUP($BD780,Programma!$F$3:$V$1107,17,0),"")</f>
        <v/>
      </c>
      <c r="BU780" s="300" t="str">
        <f>_xlfn.IFNA(VLOOKUP($BD780,Programma!$F$3:$W$1107,18,0),"")</f>
        <v/>
      </c>
      <c r="BV780" s="300" t="str">
        <f>_xlfn.IFNA(VLOOKUP($BD780,Programma!$F$3:$X$1107,19,0),"")</f>
        <v/>
      </c>
      <c r="BW780" s="300" t="str">
        <f>_xlfn.IFNA(VLOOKUP($BD780,Programma!$F$3:$Y$1107,20,0),"")</f>
        <v/>
      </c>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c r="GK780" s="4"/>
      <c r="GL780" s="4"/>
      <c r="GM780" s="4"/>
      <c r="GN780" s="4"/>
      <c r="GO780" s="4"/>
      <c r="GP780" s="4"/>
      <c r="GQ780" s="4"/>
      <c r="GR780" s="4"/>
      <c r="GS780" s="4"/>
      <c r="GT780" s="4"/>
      <c r="GU780" s="4"/>
      <c r="GV780" s="4"/>
      <c r="GW780" s="4"/>
      <c r="GX780" s="4"/>
      <c r="GY780" s="4"/>
      <c r="GZ780" s="4"/>
      <c r="HA780" s="4"/>
      <c r="HB780" s="4"/>
      <c r="HC780" s="4"/>
      <c r="HD780" s="4"/>
      <c r="HE780" s="4"/>
      <c r="HF780" s="4"/>
      <c r="HG780" s="4"/>
      <c r="HH780" s="4"/>
      <c r="HI780" s="4"/>
      <c r="HJ780" s="4"/>
      <c r="HK780" s="4"/>
      <c r="HL780" s="4"/>
    </row>
    <row r="781" spans="1:220" ht="15" customHeight="1">
      <c r="A781" s="21">
        <v>8</v>
      </c>
      <c r="B781" s="157" t="str">
        <f>VLOOKUP(Ruimtestaat[[#This Row],[Code]],Locaties[[Code]:[Locatie]],2,FALSE)</f>
        <v>Dalton College</v>
      </c>
      <c r="C781" s="157" t="str">
        <f>VLOOKUP(Ruimtestaat[[#This Row],[Code]],Locaties[[#All],[Code]:[Adres]],4,FALSE)</f>
        <v>Loolaan 125</v>
      </c>
      <c r="D781" s="157" t="str">
        <f>VLOOKUP(Ruimtestaat[[#This Row],[Code]],Locaties[[#All],[Code]:[Postcode]],5,FALSE)</f>
        <v xml:space="preserve">2271 TM </v>
      </c>
      <c r="E781" s="157" t="str">
        <f>VLOOKUP(Ruimtestaat[[#This Row],[Code]],Locaties[#All],6,FALSE)</f>
        <v>Voorburg</v>
      </c>
      <c r="F781" s="62"/>
      <c r="G781" s="21" t="s">
        <v>1624</v>
      </c>
      <c r="H781" s="21" t="s">
        <v>1930</v>
      </c>
      <c r="I781" s="62" t="s">
        <v>2248</v>
      </c>
      <c r="J781" s="21">
        <v>6</v>
      </c>
      <c r="K781" s="62" t="str">
        <f>VLOOKUP(Ruimtestaat[[#This Row],[Ruimte code]],Ruimtegroepen[[#All],[Code]:[Ruimte omschrijving]],2,FALSE)</f>
        <v>Gangen/hallen</v>
      </c>
      <c r="L781" s="33" t="s">
        <v>102</v>
      </c>
      <c r="M781" s="367" t="s">
        <v>2509</v>
      </c>
      <c r="N781" s="140">
        <v>30</v>
      </c>
      <c r="O781" s="140"/>
      <c r="P781" s="125" t="str">
        <f>VLOOKUP(Ruimtestaat[[#This Row],[Ruimte code]],Ruimtegroepen[],4,FALSE)</f>
        <v>Ve</v>
      </c>
      <c r="R781" s="33">
        <v>40</v>
      </c>
      <c r="S781" s="33" t="s">
        <v>2</v>
      </c>
      <c r="T781" s="33">
        <f>IF(R781&gt;0,IF(RIGHT(Ruimtestaat[[#This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81" s="33">
        <f>IF(T781&gt;0,VLOOKUP($J781,Ruimtegroepen[],3,FALSE)*VLOOKUP($L781,Vloersoorten[],3,FALSE)*VLOOKUP($S781,Frequenties[],3,FALSE)*VLOOKUP($A781,Locaties[],3,FALSE),0)</f>
        <v>0</v>
      </c>
      <c r="V781" s="33">
        <f>Ruimtestaat[[#This Row],[Uitvoeringen werkdagen]]*Ruimtestaat[[#This Row],[Oppervlak (netto)]]</f>
        <v>6000</v>
      </c>
      <c r="W781" s="154">
        <f>IF(U781&gt;0,Ruimtestaat[[#This Row],[Prest. (m2 /jaar) werkdagen]]/Ruimtestaat[[#This Row],[Norm (m2/uur) werkdagen]],0)</f>
        <v>0</v>
      </c>
      <c r="X781" s="155">
        <f>Ruimtestaat[[#This Row],[uren / jaar werkdagen]]*Tariefsopbouw!$E$35</f>
        <v>0</v>
      </c>
      <c r="Y781" s="33"/>
      <c r="Z781" s="33">
        <f>IF(Ruimtestaat[[#This Row],[Frequentie weekend]]&gt;0,VALUE(LEFT(Y781,1))*R781,0)</f>
        <v>0</v>
      </c>
      <c r="AA781" s="97">
        <f>IF($Z781&gt;0,VLOOKUP($J781,Ruimtegroepen[],3,FALSE)*VLOOKUP($L781,Vloersoorten[],3,FALSE)*VLOOKUP($Y781,Frequenties[],3,FALSE)*VLOOKUP(Ruimtestaat[[#This Row],[Code]],Locaties[],3,FALSE),0)</f>
        <v>0</v>
      </c>
      <c r="AB781" s="97">
        <f>Ruimtestaat[[#This Row],[Uitvoeringen weekend]]*Ruimtestaat[[#This Row],[Oppervlak (netto)]]</f>
        <v>0</v>
      </c>
      <c r="AC781" s="97">
        <f>IF(AA781&gt;0,Ruimtestaat[[#This Row],[Prest. (m2 /jaar) weekend]]/Ruimtestaat[[#This Row],[Norm (m2/uur) weekend]],0)</f>
        <v>0</v>
      </c>
      <c r="AD781" s="155">
        <f>Ruimtestaat[[#This Row],[uren / jaar weekend]]*Tariefsopbouw!$D$40</f>
        <v>0</v>
      </c>
      <c r="AE781" s="154">
        <f>Ruimtestaat[[#This Row],[Prest. (m2 /jaar) weekend]]+Ruimtestaat[[#This Row],[Prest. (m2 /jaar) werkdagen]]</f>
        <v>6000</v>
      </c>
      <c r="AF781" s="154">
        <f>Ruimtestaat[[#This Row],[uren / jaar weekend]]+Ruimtestaat[[#This Row],[uren / jaar werkdagen]]</f>
        <v>0</v>
      </c>
      <c r="AG781" s="69">
        <f>Ruimtestaat[[#This Row],[kosten / jaar weekend]]+Ruimtestaat[[#This Row],[kosten / jaar werkdagen]]</f>
        <v>0</v>
      </c>
      <c r="AH781" s="69"/>
      <c r="AI781" s="256" t="str">
        <f>IF(Ruimtestaat[[#This Row],[Frequentie werkdagen]]="","",_xlfn.CONCAT(Ruimtestaat[[#This Row],[Ruimte code]],"-",Ruimtestaat[[#This Row],[Frequentie werkdagen]]," ",Ruimtestaat[[#This Row],[Vloer code]]))</f>
        <v>6-5w S</v>
      </c>
      <c r="AJ781" s="300" t="str">
        <f>_xlfn.IFNA(VLOOKUP($AI781,Programma!$F$3:$G$1107,2,0),"")</f>
        <v>_</v>
      </c>
      <c r="AK781" s="300" t="str">
        <f>_xlfn.IFNA(VLOOKUP($AI781,Programma!$F$3:$H$1107,3,0),"")</f>
        <v>_</v>
      </c>
      <c r="AL781" s="300" t="str">
        <f>_xlfn.IFNA(VLOOKUP($AI781,Programma!$F$3:$I$1107,4,0),"")</f>
        <v>5w</v>
      </c>
      <c r="AM781" s="300" t="str">
        <f>_xlfn.IFNA(VLOOKUP($AI781,Programma!$F$3:$J$1107,5,0),"")</f>
        <v>_</v>
      </c>
      <c r="AN781" s="300" t="str">
        <f>_xlfn.IFNA(VLOOKUP($AI781,Programma!$F$3:$K$1107,6,0),"")</f>
        <v>5w</v>
      </c>
      <c r="AO781" s="300" t="str">
        <f>_xlfn.IFNA(VLOOKUP($AI781,Programma!$F$3:$L$1107,7,0),"")</f>
        <v>_</v>
      </c>
      <c r="AP781" s="300" t="str">
        <f>_xlfn.IFNA(VLOOKUP($AI781,Programma!$F$3:$M$1107,8,0),"")</f>
        <v>_</v>
      </c>
      <c r="AQ781" s="300" t="str">
        <f>_xlfn.IFNA(VLOOKUP($AI781,Programma!$F$3:$N$1107,9,0),"")</f>
        <v>_</v>
      </c>
      <c r="AR781" s="300" t="str">
        <f>_xlfn.IFNA(VLOOKUP($AI781,Programma!$F$3:$O$1107,10,0),"")</f>
        <v>5w</v>
      </c>
      <c r="AS781" s="300" t="str">
        <f>_xlfn.IFNA(VLOOKUP($AI781,Programma!$F$3:$P$1107,11,0),"")</f>
        <v>5w</v>
      </c>
      <c r="AT781" s="300" t="str">
        <f>_xlfn.IFNA(VLOOKUP($AI781,Programma!$F$3:$Q$1107,12,0),"")</f>
        <v>1w</v>
      </c>
      <c r="AU781" s="300" t="str">
        <f>_xlfn.IFNA(VLOOKUP($AI781,Programma!$F$3:$R$1107,13,0),"")</f>
        <v>1w</v>
      </c>
      <c r="AV781" s="300" t="str">
        <f>_xlfn.IFNA(VLOOKUP($AI781,Programma!$F$3:$S$1107,14,0),"")</f>
        <v>1m</v>
      </c>
      <c r="AW781" s="300" t="str">
        <f>_xlfn.IFNA(VLOOKUP($AI781,Programma!$F$3:$T$1107,15,0),"")</f>
        <v>2j</v>
      </c>
      <c r="AX781" s="300" t="str">
        <f>_xlfn.IFNA(VLOOKUP($AI781,Programma!$F$3:$U$1107,16,0),"")</f>
        <v>1j</v>
      </c>
      <c r="AY781" s="300" t="str">
        <f>_xlfn.IFNA(VLOOKUP($AI781,Programma!$F$3:$V$1107,17,0),"")</f>
        <v>_</v>
      </c>
      <c r="AZ781" s="300" t="str">
        <f>_xlfn.IFNA(VLOOKUP($AI781,Programma!$F$3:$W$1107,18,0),"")</f>
        <v>_</v>
      </c>
      <c r="BA781" s="300" t="str">
        <f>_xlfn.IFNA(VLOOKUP($AI781,Programma!$F$3:$X$1107,19,0),"")</f>
        <v>_</v>
      </c>
      <c r="BB781" s="300" t="str">
        <f>_xlfn.IFNA(VLOOKUP($AI781,Programma!$F$3:$Y$1107,20,0),"")</f>
        <v>_</v>
      </c>
      <c r="BC781" s="257"/>
      <c r="BD781" s="256" t="str">
        <f>IF(Ruimtestaat[[#This Row],[Frequentie weekend]]="","",_xlfn.CONCAT(Ruimtestaat[[#This Row],[Ruimte code]],"-",Ruimtestaat[[#This Row],[Frequentie weekend]]," ",Ruimtestaat[[#This Row],[Vloer code]]))</f>
        <v/>
      </c>
      <c r="BE781" s="300" t="str">
        <f>_xlfn.IFNA(VLOOKUP($BD781,Programma!$F$3:$G$1107,2,0),"")</f>
        <v/>
      </c>
      <c r="BF781" s="300" t="str">
        <f>_xlfn.IFNA(VLOOKUP($BD781,Programma!$F$3:$H$1107,3,0),"")</f>
        <v/>
      </c>
      <c r="BG781" s="300" t="str">
        <f>_xlfn.IFNA(VLOOKUP($BD781,Programma!$F$3:$I$1107,4,0),"")</f>
        <v/>
      </c>
      <c r="BH781" s="300" t="str">
        <f>_xlfn.IFNA(VLOOKUP($BD781,Programma!$F$3:$J$1107,5,0),"")</f>
        <v/>
      </c>
      <c r="BI781" s="300" t="str">
        <f>_xlfn.IFNA(VLOOKUP($BD781,Programma!$F$3:$K$1107,6,0),"")</f>
        <v/>
      </c>
      <c r="BJ781" s="300" t="str">
        <f>_xlfn.IFNA(VLOOKUP($BD781,Programma!$F$3:$L$1107,7,0),"")</f>
        <v/>
      </c>
      <c r="BK781" s="300" t="str">
        <f>_xlfn.IFNA(VLOOKUP($BD781,Programma!$F$3:$M$1107,8,0),"")</f>
        <v/>
      </c>
      <c r="BL781" s="300" t="str">
        <f>_xlfn.IFNA(VLOOKUP($BD781,Programma!$F$3:$N$1107,9,0),"")</f>
        <v/>
      </c>
      <c r="BM781" s="300" t="str">
        <f>_xlfn.IFNA(VLOOKUP($BD781,Programma!$F$3:$O$1107,10,0),"")</f>
        <v/>
      </c>
      <c r="BN781" s="300" t="str">
        <f>_xlfn.IFNA(VLOOKUP($BD781,Programma!$F$3:$P$1107,11,0),"")</f>
        <v/>
      </c>
      <c r="BO781" s="300" t="str">
        <f>_xlfn.IFNA(VLOOKUP($BD781,Programma!$F$3:$Q$1107,12,0),"")</f>
        <v/>
      </c>
      <c r="BP781" s="300" t="str">
        <f>_xlfn.IFNA(VLOOKUP($BD781,Programma!$F$3:$R$1107,13,0),"")</f>
        <v/>
      </c>
      <c r="BQ781" s="300" t="str">
        <f>_xlfn.IFNA(VLOOKUP($BD781,Programma!$F$3:$S$1107,14,0),"")</f>
        <v/>
      </c>
      <c r="BR781" s="300" t="str">
        <f>_xlfn.IFNA(VLOOKUP($BD781,Programma!$F$3:$T$1107,15,0),"")</f>
        <v/>
      </c>
      <c r="BS781" s="300" t="str">
        <f>_xlfn.IFNA(VLOOKUP($BD781,Programma!$F$3:$U$1107,16,0),"")</f>
        <v/>
      </c>
      <c r="BT781" s="300" t="str">
        <f>_xlfn.IFNA(VLOOKUP($BD781,Programma!$F$3:$V$1107,17,0),"")</f>
        <v/>
      </c>
      <c r="BU781" s="300" t="str">
        <f>_xlfn.IFNA(VLOOKUP($BD781,Programma!$F$3:$W$1107,18,0),"")</f>
        <v/>
      </c>
      <c r="BV781" s="300" t="str">
        <f>_xlfn.IFNA(VLOOKUP($BD781,Programma!$F$3:$X$1107,19,0),"")</f>
        <v/>
      </c>
      <c r="BW781" s="300" t="str">
        <f>_xlfn.IFNA(VLOOKUP($BD781,Programma!$F$3:$Y$1107,20,0),"")</f>
        <v/>
      </c>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c r="GK781" s="4"/>
      <c r="GL781" s="4"/>
      <c r="GM781" s="4"/>
      <c r="GN781" s="4"/>
      <c r="GO781" s="4"/>
      <c r="GP781" s="4"/>
      <c r="GQ781" s="4"/>
      <c r="GR781" s="4"/>
      <c r="GS781" s="4"/>
      <c r="GT781" s="4"/>
      <c r="GU781" s="4"/>
      <c r="GV781" s="4"/>
      <c r="GW781" s="4"/>
      <c r="GX781" s="4"/>
      <c r="GY781" s="4"/>
      <c r="GZ781" s="4"/>
      <c r="HA781" s="4"/>
      <c r="HB781" s="4"/>
      <c r="HC781" s="4"/>
      <c r="HD781" s="4"/>
      <c r="HE781" s="4"/>
      <c r="HF781" s="4"/>
      <c r="HG781" s="4"/>
      <c r="HH781" s="4"/>
      <c r="HI781" s="4"/>
      <c r="HJ781" s="4"/>
      <c r="HK781" s="4"/>
      <c r="HL781" s="4"/>
    </row>
    <row r="782" spans="1:220" ht="15" customHeight="1">
      <c r="A782" s="21">
        <v>8</v>
      </c>
      <c r="B782" s="157" t="str">
        <f>VLOOKUP(Ruimtestaat[[#This Row],[Code]],Locaties[[Code]:[Locatie]],2,FALSE)</f>
        <v>Dalton College</v>
      </c>
      <c r="C782" s="157" t="str">
        <f>VLOOKUP(Ruimtestaat[[#This Row],[Code]],Locaties[[#All],[Code]:[Adres]],4,FALSE)</f>
        <v>Loolaan 125</v>
      </c>
      <c r="D782" s="157" t="str">
        <f>VLOOKUP(Ruimtestaat[[#This Row],[Code]],Locaties[[#All],[Code]:[Postcode]],5,FALSE)</f>
        <v xml:space="preserve">2271 TM </v>
      </c>
      <c r="E782" s="157" t="str">
        <f>VLOOKUP(Ruimtestaat[[#This Row],[Code]],Locaties[#All],6,FALSE)</f>
        <v>Voorburg</v>
      </c>
      <c r="F782" s="62"/>
      <c r="G782" s="21" t="s">
        <v>1624</v>
      </c>
      <c r="H782" s="21" t="s">
        <v>1932</v>
      </c>
      <c r="I782" s="62" t="s">
        <v>1631</v>
      </c>
      <c r="J782" s="21">
        <v>2</v>
      </c>
      <c r="K782" s="62" t="str">
        <f>VLOOKUP(Ruimtestaat[[#This Row],[Ruimte code]],Ruimtegroepen[[#All],[Code]:[Ruimte omschrijving]],2,FALSE)</f>
        <v>Kantoren</v>
      </c>
      <c r="L782" s="33" t="s">
        <v>101</v>
      </c>
      <c r="M782" s="367" t="s">
        <v>2495</v>
      </c>
      <c r="N782" s="140">
        <v>20</v>
      </c>
      <c r="O782" s="140"/>
      <c r="P782" s="125" t="str">
        <f>VLOOKUP(Ruimtestaat[[#This Row],[Ruimte code]],Ruimtegroepen[],4,FALSE)</f>
        <v>Bu</v>
      </c>
      <c r="Q782" s="125" t="s">
        <v>2550</v>
      </c>
      <c r="R782" s="33">
        <v>42</v>
      </c>
      <c r="S782" s="33" t="s">
        <v>18</v>
      </c>
      <c r="T782" s="33">
        <f>IF(R782&gt;0,IF(RIGHT(Ruimtestaat[[#This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82" s="33">
        <f>IF(T782&gt;0,VLOOKUP($J782,Ruimtegroepen[],3,FALSE)*VLOOKUP($L782,Vloersoorten[],3,FALSE)*VLOOKUP($S782,Frequenties[],3,FALSE)*VLOOKUP($A782,Locaties[],3,FALSE),0)</f>
        <v>0</v>
      </c>
      <c r="V782" s="33">
        <f>Ruimtestaat[[#This Row],[Uitvoeringen werkdagen]]*Ruimtestaat[[#This Row],[Oppervlak (netto)]]</f>
        <v>2520</v>
      </c>
      <c r="W782" s="154">
        <f>IF(U782&gt;0,Ruimtestaat[[#This Row],[Prest. (m2 /jaar) werkdagen]]/Ruimtestaat[[#This Row],[Norm (m2/uur) werkdagen]],0)</f>
        <v>0</v>
      </c>
      <c r="X782" s="155">
        <f>Ruimtestaat[[#This Row],[uren / jaar werkdagen]]*Tariefsopbouw!$E$35</f>
        <v>0</v>
      </c>
      <c r="Y782" s="33"/>
      <c r="Z782" s="33">
        <f>IF(Ruimtestaat[[#This Row],[Frequentie weekend]]&gt;0,VALUE(LEFT(Y782,1))*R782,0)</f>
        <v>0</v>
      </c>
      <c r="AA782" s="97">
        <f>IF($Z782&gt;0,VLOOKUP($J782,Ruimtegroepen[],3,FALSE)*VLOOKUP($L782,Vloersoorten[],3,FALSE)*VLOOKUP($Y782,Frequenties[],3,FALSE)*VLOOKUP(Ruimtestaat[[#This Row],[Code]],Locaties[],3,FALSE),0)</f>
        <v>0</v>
      </c>
      <c r="AB782" s="97">
        <f>Ruimtestaat[[#This Row],[Uitvoeringen weekend]]*Ruimtestaat[[#This Row],[Oppervlak (netto)]]</f>
        <v>0</v>
      </c>
      <c r="AC782" s="97">
        <f>IF(AA782&gt;0,Ruimtestaat[[#This Row],[Prest. (m2 /jaar) weekend]]/Ruimtestaat[[#This Row],[Norm (m2/uur) weekend]],0)</f>
        <v>0</v>
      </c>
      <c r="AD782" s="155">
        <f>Ruimtestaat[[#This Row],[uren / jaar weekend]]*Tariefsopbouw!$D$40</f>
        <v>0</v>
      </c>
      <c r="AE782" s="154">
        <f>Ruimtestaat[[#This Row],[Prest. (m2 /jaar) weekend]]+Ruimtestaat[[#This Row],[Prest. (m2 /jaar) werkdagen]]</f>
        <v>2520</v>
      </c>
      <c r="AF782" s="154">
        <f>Ruimtestaat[[#This Row],[uren / jaar weekend]]+Ruimtestaat[[#This Row],[uren / jaar werkdagen]]</f>
        <v>0</v>
      </c>
      <c r="AG782" s="69">
        <f>Ruimtestaat[[#This Row],[kosten / jaar weekend]]+Ruimtestaat[[#This Row],[kosten / jaar werkdagen]]</f>
        <v>0</v>
      </c>
      <c r="AH782" s="69"/>
      <c r="AI782" s="256" t="str">
        <f>IF(Ruimtestaat[[#This Row],[Frequentie werkdagen]]="","",_xlfn.CONCAT(Ruimtestaat[[#This Row],[Ruimte code]],"-",Ruimtestaat[[#This Row],[Frequentie werkdagen]]," ",Ruimtestaat[[#This Row],[Vloer code]]))</f>
        <v>2-3w L</v>
      </c>
      <c r="AJ782" s="300" t="str">
        <f>_xlfn.IFNA(VLOOKUP($AI782,Programma!$F$3:$G$1107,2,0),"")</f>
        <v>_</v>
      </c>
      <c r="AK782" s="300" t="str">
        <f>_xlfn.IFNA(VLOOKUP($AI782,Programma!$F$3:$H$1107,3,0),"")</f>
        <v>_</v>
      </c>
      <c r="AL782" s="300" t="str">
        <f>_xlfn.IFNA(VLOOKUP($AI782,Programma!$F$3:$I$1107,4,0),"")</f>
        <v>2w</v>
      </c>
      <c r="AM782" s="300" t="str">
        <f>_xlfn.IFNA(VLOOKUP($AI782,Programma!$F$3:$J$1107,5,0),"")</f>
        <v>1w</v>
      </c>
      <c r="AN782" s="300" t="str">
        <f>_xlfn.IFNA(VLOOKUP($AI782,Programma!$F$3:$K$1107,6,0),"")</f>
        <v>_</v>
      </c>
      <c r="AO782" s="300" t="str">
        <f>_xlfn.IFNA(VLOOKUP($AI782,Programma!$F$3:$L$1107,7,0),"")</f>
        <v>_</v>
      </c>
      <c r="AP782" s="300" t="str">
        <f>_xlfn.IFNA(VLOOKUP($AI782,Programma!$F$3:$M$1107,8,0),"")</f>
        <v>_</v>
      </c>
      <c r="AQ782" s="300" t="str">
        <f>_xlfn.IFNA(VLOOKUP($AI782,Programma!$F$3:$N$1107,9,0),"")</f>
        <v>_</v>
      </c>
      <c r="AR782" s="300" t="str">
        <f>_xlfn.IFNA(VLOOKUP($AI782,Programma!$F$3:$O$1107,10,0),"")</f>
        <v>3w</v>
      </c>
      <c r="AS782" s="300" t="str">
        <f>_xlfn.IFNA(VLOOKUP($AI782,Programma!$F$3:$P$1107,11,0),"")</f>
        <v>3w</v>
      </c>
      <c r="AT782" s="300" t="str">
        <f>_xlfn.IFNA(VLOOKUP($AI782,Programma!$F$3:$Q$1107,12,0),"")</f>
        <v>1w</v>
      </c>
      <c r="AU782" s="300" t="str">
        <f>_xlfn.IFNA(VLOOKUP($AI782,Programma!$F$3:$R$1107,13,0),"")</f>
        <v>1w</v>
      </c>
      <c r="AV782" s="300" t="str">
        <f>_xlfn.IFNA(VLOOKUP($AI782,Programma!$F$3:$S$1107,14,0),"")</f>
        <v>1m</v>
      </c>
      <c r="AW782" s="300" t="str">
        <f>_xlfn.IFNA(VLOOKUP($AI782,Programma!$F$3:$T$1107,15,0),"")</f>
        <v>2j</v>
      </c>
      <c r="AX782" s="300" t="str">
        <f>_xlfn.IFNA(VLOOKUP($AI782,Programma!$F$3:$U$1107,16,0),"")</f>
        <v>1j</v>
      </c>
      <c r="AY782" s="300" t="str">
        <f>_xlfn.IFNA(VLOOKUP($AI782,Programma!$F$3:$V$1107,17,0),"")</f>
        <v>_</v>
      </c>
      <c r="AZ782" s="300" t="str">
        <f>_xlfn.IFNA(VLOOKUP($AI782,Programma!$F$3:$W$1107,18,0),"")</f>
        <v>_</v>
      </c>
      <c r="BA782" s="300" t="str">
        <f>_xlfn.IFNA(VLOOKUP($AI782,Programma!$F$3:$X$1107,19,0),"")</f>
        <v>_</v>
      </c>
      <c r="BB782" s="300" t="str">
        <f>_xlfn.IFNA(VLOOKUP($AI782,Programma!$F$3:$Y$1107,20,0),"")</f>
        <v>_</v>
      </c>
      <c r="BC782" s="257"/>
      <c r="BD782" s="256" t="str">
        <f>IF(Ruimtestaat[[#This Row],[Frequentie weekend]]="","",_xlfn.CONCAT(Ruimtestaat[[#This Row],[Ruimte code]],"-",Ruimtestaat[[#This Row],[Frequentie weekend]]," ",Ruimtestaat[[#This Row],[Vloer code]]))</f>
        <v/>
      </c>
      <c r="BE782" s="300" t="str">
        <f>_xlfn.IFNA(VLOOKUP($BD782,Programma!$F$3:$G$1107,2,0),"")</f>
        <v/>
      </c>
      <c r="BF782" s="300" t="str">
        <f>_xlfn.IFNA(VLOOKUP($BD782,Programma!$F$3:$H$1107,3,0),"")</f>
        <v/>
      </c>
      <c r="BG782" s="300" t="str">
        <f>_xlfn.IFNA(VLOOKUP($BD782,Programma!$F$3:$I$1107,4,0),"")</f>
        <v/>
      </c>
      <c r="BH782" s="300" t="str">
        <f>_xlfn.IFNA(VLOOKUP($BD782,Programma!$F$3:$J$1107,5,0),"")</f>
        <v/>
      </c>
      <c r="BI782" s="300" t="str">
        <f>_xlfn.IFNA(VLOOKUP($BD782,Programma!$F$3:$K$1107,6,0),"")</f>
        <v/>
      </c>
      <c r="BJ782" s="300" t="str">
        <f>_xlfn.IFNA(VLOOKUP($BD782,Programma!$F$3:$L$1107,7,0),"")</f>
        <v/>
      </c>
      <c r="BK782" s="300" t="str">
        <f>_xlfn.IFNA(VLOOKUP($BD782,Programma!$F$3:$M$1107,8,0),"")</f>
        <v/>
      </c>
      <c r="BL782" s="300" t="str">
        <f>_xlfn.IFNA(VLOOKUP($BD782,Programma!$F$3:$N$1107,9,0),"")</f>
        <v/>
      </c>
      <c r="BM782" s="300" t="str">
        <f>_xlfn.IFNA(VLOOKUP($BD782,Programma!$F$3:$O$1107,10,0),"")</f>
        <v/>
      </c>
      <c r="BN782" s="300" t="str">
        <f>_xlfn.IFNA(VLOOKUP($BD782,Programma!$F$3:$P$1107,11,0),"")</f>
        <v/>
      </c>
      <c r="BO782" s="300" t="str">
        <f>_xlfn.IFNA(VLOOKUP($BD782,Programma!$F$3:$Q$1107,12,0),"")</f>
        <v/>
      </c>
      <c r="BP782" s="300" t="str">
        <f>_xlfn.IFNA(VLOOKUP($BD782,Programma!$F$3:$R$1107,13,0),"")</f>
        <v/>
      </c>
      <c r="BQ782" s="300" t="str">
        <f>_xlfn.IFNA(VLOOKUP($BD782,Programma!$F$3:$S$1107,14,0),"")</f>
        <v/>
      </c>
      <c r="BR782" s="300" t="str">
        <f>_xlfn.IFNA(VLOOKUP($BD782,Programma!$F$3:$T$1107,15,0),"")</f>
        <v/>
      </c>
      <c r="BS782" s="300" t="str">
        <f>_xlfn.IFNA(VLOOKUP($BD782,Programma!$F$3:$U$1107,16,0),"")</f>
        <v/>
      </c>
      <c r="BT782" s="300" t="str">
        <f>_xlfn.IFNA(VLOOKUP($BD782,Programma!$F$3:$V$1107,17,0),"")</f>
        <v/>
      </c>
      <c r="BU782" s="300" t="str">
        <f>_xlfn.IFNA(VLOOKUP($BD782,Programma!$F$3:$W$1107,18,0),"")</f>
        <v/>
      </c>
      <c r="BV782" s="300" t="str">
        <f>_xlfn.IFNA(VLOOKUP($BD782,Programma!$F$3:$X$1107,19,0),"")</f>
        <v/>
      </c>
      <c r="BW782" s="300" t="str">
        <f>_xlfn.IFNA(VLOOKUP($BD782,Programma!$F$3:$Y$1107,20,0),"")</f>
        <v/>
      </c>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c r="GK782" s="4"/>
      <c r="GL782" s="4"/>
      <c r="GM782" s="4"/>
      <c r="GN782" s="4"/>
      <c r="GO782" s="4"/>
      <c r="GP782" s="4"/>
      <c r="GQ782" s="4"/>
      <c r="GR782" s="4"/>
      <c r="GS782" s="4"/>
      <c r="GT782" s="4"/>
      <c r="GU782" s="4"/>
      <c r="GV782" s="4"/>
      <c r="GW782" s="4"/>
      <c r="GX782" s="4"/>
      <c r="GY782" s="4"/>
      <c r="GZ782" s="4"/>
      <c r="HA782" s="4"/>
      <c r="HB782" s="4"/>
      <c r="HC782" s="4"/>
      <c r="HD782" s="4"/>
      <c r="HE782" s="4"/>
      <c r="HF782" s="4"/>
      <c r="HG782" s="4"/>
      <c r="HH782" s="4"/>
      <c r="HI782" s="4"/>
      <c r="HJ782" s="4"/>
      <c r="HK782" s="4"/>
      <c r="HL782" s="4"/>
    </row>
    <row r="783" spans="1:220" ht="15" customHeight="1">
      <c r="A783" s="21">
        <v>8</v>
      </c>
      <c r="B783" s="157" t="str">
        <f>VLOOKUP(Ruimtestaat[[#This Row],[Code]],Locaties[[Code]:[Locatie]],2,FALSE)</f>
        <v>Dalton College</v>
      </c>
      <c r="C783" s="157" t="str">
        <f>VLOOKUP(Ruimtestaat[[#This Row],[Code]],Locaties[[#All],[Code]:[Adres]],4,FALSE)</f>
        <v>Loolaan 125</v>
      </c>
      <c r="D783" s="157" t="str">
        <f>VLOOKUP(Ruimtestaat[[#This Row],[Code]],Locaties[[#All],[Code]:[Postcode]],5,FALSE)</f>
        <v xml:space="preserve">2271 TM </v>
      </c>
      <c r="E783" s="157" t="str">
        <f>VLOOKUP(Ruimtestaat[[#This Row],[Code]],Locaties[#All],6,FALSE)</f>
        <v>Voorburg</v>
      </c>
      <c r="F783" s="62"/>
      <c r="G783" s="21" t="s">
        <v>1624</v>
      </c>
      <c r="H783" s="21" t="s">
        <v>1934</v>
      </c>
      <c r="I783" s="62" t="s">
        <v>2213</v>
      </c>
      <c r="J783" s="21">
        <v>6</v>
      </c>
      <c r="K783" s="62" t="str">
        <f>VLOOKUP(Ruimtestaat[[#This Row],[Ruimte code]],Ruimtegroepen[[#All],[Code]:[Ruimte omschrijving]],2,FALSE)</f>
        <v>Gangen/hallen</v>
      </c>
      <c r="L783" s="33" t="s">
        <v>102</v>
      </c>
      <c r="M783" s="367" t="s">
        <v>2509</v>
      </c>
      <c r="N783" s="140">
        <v>249</v>
      </c>
      <c r="O783" s="140"/>
      <c r="P783" s="125" t="str">
        <f>VLOOKUP(Ruimtestaat[[#This Row],[Ruimte code]],Ruimtegroepen[],4,FALSE)</f>
        <v>Ve</v>
      </c>
      <c r="R783" s="33">
        <v>40</v>
      </c>
      <c r="S783" s="33" t="s">
        <v>2</v>
      </c>
      <c r="T783" s="33">
        <f>IF(R783&gt;0,IF(RIGHT(Ruimtestaat[[#This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83" s="33">
        <f>IF(T783&gt;0,VLOOKUP($J783,Ruimtegroepen[],3,FALSE)*VLOOKUP($L783,Vloersoorten[],3,FALSE)*VLOOKUP($S783,Frequenties[],3,FALSE)*VLOOKUP($A783,Locaties[],3,FALSE),0)</f>
        <v>0</v>
      </c>
      <c r="V783" s="33">
        <f>Ruimtestaat[[#This Row],[Uitvoeringen werkdagen]]*Ruimtestaat[[#This Row],[Oppervlak (netto)]]</f>
        <v>49800</v>
      </c>
      <c r="W783" s="154">
        <f>IF(U783&gt;0,Ruimtestaat[[#This Row],[Prest. (m2 /jaar) werkdagen]]/Ruimtestaat[[#This Row],[Norm (m2/uur) werkdagen]],0)</f>
        <v>0</v>
      </c>
      <c r="X783" s="155">
        <f>Ruimtestaat[[#This Row],[uren / jaar werkdagen]]*Tariefsopbouw!$E$35</f>
        <v>0</v>
      </c>
      <c r="Y783" s="33"/>
      <c r="Z783" s="33">
        <f>IF(Ruimtestaat[[#This Row],[Frequentie weekend]]&gt;0,VALUE(LEFT(Y783,1))*R783,0)</f>
        <v>0</v>
      </c>
      <c r="AA783" s="97">
        <f>IF($Z783&gt;0,VLOOKUP($J783,Ruimtegroepen[],3,FALSE)*VLOOKUP($L783,Vloersoorten[],3,FALSE)*VLOOKUP($Y783,Frequenties[],3,FALSE)*VLOOKUP(Ruimtestaat[[#This Row],[Code]],Locaties[],3,FALSE),0)</f>
        <v>0</v>
      </c>
      <c r="AB783" s="97">
        <f>Ruimtestaat[[#This Row],[Uitvoeringen weekend]]*Ruimtestaat[[#This Row],[Oppervlak (netto)]]</f>
        <v>0</v>
      </c>
      <c r="AC783" s="97">
        <f>IF(AA783&gt;0,Ruimtestaat[[#This Row],[Prest. (m2 /jaar) weekend]]/Ruimtestaat[[#This Row],[Norm (m2/uur) weekend]],0)</f>
        <v>0</v>
      </c>
      <c r="AD783" s="155">
        <f>Ruimtestaat[[#This Row],[uren / jaar weekend]]*Tariefsopbouw!$D$40</f>
        <v>0</v>
      </c>
      <c r="AE783" s="154">
        <f>Ruimtestaat[[#This Row],[Prest. (m2 /jaar) weekend]]+Ruimtestaat[[#This Row],[Prest. (m2 /jaar) werkdagen]]</f>
        <v>49800</v>
      </c>
      <c r="AF783" s="154">
        <f>Ruimtestaat[[#This Row],[uren / jaar weekend]]+Ruimtestaat[[#This Row],[uren / jaar werkdagen]]</f>
        <v>0</v>
      </c>
      <c r="AG783" s="69">
        <f>Ruimtestaat[[#This Row],[kosten / jaar weekend]]+Ruimtestaat[[#This Row],[kosten / jaar werkdagen]]</f>
        <v>0</v>
      </c>
      <c r="AH783" s="69"/>
      <c r="AI783" s="256" t="str">
        <f>IF(Ruimtestaat[[#This Row],[Frequentie werkdagen]]="","",_xlfn.CONCAT(Ruimtestaat[[#This Row],[Ruimte code]],"-",Ruimtestaat[[#This Row],[Frequentie werkdagen]]," ",Ruimtestaat[[#This Row],[Vloer code]]))</f>
        <v>6-5w S</v>
      </c>
      <c r="AJ783" s="300" t="str">
        <f>_xlfn.IFNA(VLOOKUP($AI783,Programma!$F$3:$G$1107,2,0),"")</f>
        <v>_</v>
      </c>
      <c r="AK783" s="300" t="str">
        <f>_xlfn.IFNA(VLOOKUP($AI783,Programma!$F$3:$H$1107,3,0),"")</f>
        <v>_</v>
      </c>
      <c r="AL783" s="300" t="str">
        <f>_xlfn.IFNA(VLOOKUP($AI783,Programma!$F$3:$I$1107,4,0),"")</f>
        <v>5w</v>
      </c>
      <c r="AM783" s="300" t="str">
        <f>_xlfn.IFNA(VLOOKUP($AI783,Programma!$F$3:$J$1107,5,0),"")</f>
        <v>_</v>
      </c>
      <c r="AN783" s="300" t="str">
        <f>_xlfn.IFNA(VLOOKUP($AI783,Programma!$F$3:$K$1107,6,0),"")</f>
        <v>5w</v>
      </c>
      <c r="AO783" s="300" t="str">
        <f>_xlfn.IFNA(VLOOKUP($AI783,Programma!$F$3:$L$1107,7,0),"")</f>
        <v>_</v>
      </c>
      <c r="AP783" s="300" t="str">
        <f>_xlfn.IFNA(VLOOKUP($AI783,Programma!$F$3:$M$1107,8,0),"")</f>
        <v>_</v>
      </c>
      <c r="AQ783" s="300" t="str">
        <f>_xlfn.IFNA(VLOOKUP($AI783,Programma!$F$3:$N$1107,9,0),"")</f>
        <v>_</v>
      </c>
      <c r="AR783" s="300" t="str">
        <f>_xlfn.IFNA(VLOOKUP($AI783,Programma!$F$3:$O$1107,10,0),"")</f>
        <v>5w</v>
      </c>
      <c r="AS783" s="300" t="str">
        <f>_xlfn.IFNA(VLOOKUP($AI783,Programma!$F$3:$P$1107,11,0),"")</f>
        <v>5w</v>
      </c>
      <c r="AT783" s="300" t="str">
        <f>_xlfn.IFNA(VLOOKUP($AI783,Programma!$F$3:$Q$1107,12,0),"")</f>
        <v>1w</v>
      </c>
      <c r="AU783" s="300" t="str">
        <f>_xlfn.IFNA(VLOOKUP($AI783,Programma!$F$3:$R$1107,13,0),"")</f>
        <v>1w</v>
      </c>
      <c r="AV783" s="300" t="str">
        <f>_xlfn.IFNA(VLOOKUP($AI783,Programma!$F$3:$S$1107,14,0),"")</f>
        <v>1m</v>
      </c>
      <c r="AW783" s="300" t="str">
        <f>_xlfn.IFNA(VLOOKUP($AI783,Programma!$F$3:$T$1107,15,0),"")</f>
        <v>2j</v>
      </c>
      <c r="AX783" s="300" t="str">
        <f>_xlfn.IFNA(VLOOKUP($AI783,Programma!$F$3:$U$1107,16,0),"")</f>
        <v>1j</v>
      </c>
      <c r="AY783" s="300" t="str">
        <f>_xlfn.IFNA(VLOOKUP($AI783,Programma!$F$3:$V$1107,17,0),"")</f>
        <v>_</v>
      </c>
      <c r="AZ783" s="300" t="str">
        <f>_xlfn.IFNA(VLOOKUP($AI783,Programma!$F$3:$W$1107,18,0),"")</f>
        <v>_</v>
      </c>
      <c r="BA783" s="300" t="str">
        <f>_xlfn.IFNA(VLOOKUP($AI783,Programma!$F$3:$X$1107,19,0),"")</f>
        <v>_</v>
      </c>
      <c r="BB783" s="300" t="str">
        <f>_xlfn.IFNA(VLOOKUP($AI783,Programma!$F$3:$Y$1107,20,0),"")</f>
        <v>_</v>
      </c>
      <c r="BC783" s="257"/>
      <c r="BD783" s="256" t="str">
        <f>IF(Ruimtestaat[[#This Row],[Frequentie weekend]]="","",_xlfn.CONCAT(Ruimtestaat[[#This Row],[Ruimte code]],"-",Ruimtestaat[[#This Row],[Frequentie weekend]]," ",Ruimtestaat[[#This Row],[Vloer code]]))</f>
        <v/>
      </c>
      <c r="BE783" s="300" t="str">
        <f>_xlfn.IFNA(VLOOKUP($BD783,Programma!$F$3:$G$1107,2,0),"")</f>
        <v/>
      </c>
      <c r="BF783" s="300" t="str">
        <f>_xlfn.IFNA(VLOOKUP($BD783,Programma!$F$3:$H$1107,3,0),"")</f>
        <v/>
      </c>
      <c r="BG783" s="300" t="str">
        <f>_xlfn.IFNA(VLOOKUP($BD783,Programma!$F$3:$I$1107,4,0),"")</f>
        <v/>
      </c>
      <c r="BH783" s="300" t="str">
        <f>_xlfn.IFNA(VLOOKUP($BD783,Programma!$F$3:$J$1107,5,0),"")</f>
        <v/>
      </c>
      <c r="BI783" s="300" t="str">
        <f>_xlfn.IFNA(VLOOKUP($BD783,Programma!$F$3:$K$1107,6,0),"")</f>
        <v/>
      </c>
      <c r="BJ783" s="300" t="str">
        <f>_xlfn.IFNA(VLOOKUP($BD783,Programma!$F$3:$L$1107,7,0),"")</f>
        <v/>
      </c>
      <c r="BK783" s="300" t="str">
        <f>_xlfn.IFNA(VLOOKUP($BD783,Programma!$F$3:$M$1107,8,0),"")</f>
        <v/>
      </c>
      <c r="BL783" s="300" t="str">
        <f>_xlfn.IFNA(VLOOKUP($BD783,Programma!$F$3:$N$1107,9,0),"")</f>
        <v/>
      </c>
      <c r="BM783" s="300" t="str">
        <f>_xlfn.IFNA(VLOOKUP($BD783,Programma!$F$3:$O$1107,10,0),"")</f>
        <v/>
      </c>
      <c r="BN783" s="300" t="str">
        <f>_xlfn.IFNA(VLOOKUP($BD783,Programma!$F$3:$P$1107,11,0),"")</f>
        <v/>
      </c>
      <c r="BO783" s="300" t="str">
        <f>_xlfn.IFNA(VLOOKUP($BD783,Programma!$F$3:$Q$1107,12,0),"")</f>
        <v/>
      </c>
      <c r="BP783" s="300" t="str">
        <f>_xlfn.IFNA(VLOOKUP($BD783,Programma!$F$3:$R$1107,13,0),"")</f>
        <v/>
      </c>
      <c r="BQ783" s="300" t="str">
        <f>_xlfn.IFNA(VLOOKUP($BD783,Programma!$F$3:$S$1107,14,0),"")</f>
        <v/>
      </c>
      <c r="BR783" s="300" t="str">
        <f>_xlfn.IFNA(VLOOKUP($BD783,Programma!$F$3:$T$1107,15,0),"")</f>
        <v/>
      </c>
      <c r="BS783" s="300" t="str">
        <f>_xlfn.IFNA(VLOOKUP($BD783,Programma!$F$3:$U$1107,16,0),"")</f>
        <v/>
      </c>
      <c r="BT783" s="300" t="str">
        <f>_xlfn.IFNA(VLOOKUP($BD783,Programma!$F$3:$V$1107,17,0),"")</f>
        <v/>
      </c>
      <c r="BU783" s="300" t="str">
        <f>_xlfn.IFNA(VLOOKUP($BD783,Programma!$F$3:$W$1107,18,0),"")</f>
        <v/>
      </c>
      <c r="BV783" s="300" t="str">
        <f>_xlfn.IFNA(VLOOKUP($BD783,Programma!$F$3:$X$1107,19,0),"")</f>
        <v/>
      </c>
      <c r="BW783" s="300" t="str">
        <f>_xlfn.IFNA(VLOOKUP($BD783,Programma!$F$3:$Y$1107,20,0),"")</f>
        <v/>
      </c>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c r="GK783" s="4"/>
      <c r="GL783" s="4"/>
      <c r="GM783" s="4"/>
      <c r="GN783" s="4"/>
      <c r="GO783" s="4"/>
      <c r="GP783" s="4"/>
      <c r="GQ783" s="4"/>
      <c r="GR783" s="4"/>
      <c r="GS783" s="4"/>
      <c r="GT783" s="4"/>
      <c r="GU783" s="4"/>
      <c r="GV783" s="4"/>
      <c r="GW783" s="4"/>
      <c r="GX783" s="4"/>
      <c r="GY783" s="4"/>
      <c r="GZ783" s="4"/>
      <c r="HA783" s="4"/>
      <c r="HB783" s="4"/>
      <c r="HC783" s="4"/>
      <c r="HD783" s="4"/>
      <c r="HE783" s="4"/>
      <c r="HF783" s="4"/>
      <c r="HG783" s="4"/>
      <c r="HH783" s="4"/>
      <c r="HI783" s="4"/>
      <c r="HJ783" s="4"/>
      <c r="HK783" s="4"/>
      <c r="HL783" s="4"/>
    </row>
    <row r="784" spans="1:220" ht="15" customHeight="1">
      <c r="A784" s="21">
        <v>8</v>
      </c>
      <c r="B784" s="157" t="str">
        <f>VLOOKUP(Ruimtestaat[[#This Row],[Code]],Locaties[[Code]:[Locatie]],2,FALSE)</f>
        <v>Dalton College</v>
      </c>
      <c r="C784" s="157" t="str">
        <f>VLOOKUP(Ruimtestaat[[#This Row],[Code]],Locaties[[#All],[Code]:[Adres]],4,FALSE)</f>
        <v>Loolaan 125</v>
      </c>
      <c r="D784" s="157" t="str">
        <f>VLOOKUP(Ruimtestaat[[#This Row],[Code]],Locaties[[#All],[Code]:[Postcode]],5,FALSE)</f>
        <v xml:space="preserve">2271 TM </v>
      </c>
      <c r="E784" s="157" t="str">
        <f>VLOOKUP(Ruimtestaat[[#This Row],[Code]],Locaties[#All],6,FALSE)</f>
        <v>Voorburg</v>
      </c>
      <c r="F784" s="62"/>
      <c r="G784" s="21" t="s">
        <v>1624</v>
      </c>
      <c r="H784" s="21" t="s">
        <v>1936</v>
      </c>
      <c r="I784" s="62" t="s">
        <v>2249</v>
      </c>
      <c r="J784" s="21">
        <v>16</v>
      </c>
      <c r="K784" s="62" t="str">
        <f>VLOOKUP(Ruimtestaat[[#This Row],[Ruimte code]],Ruimtegroepen[[#All],[Code]:[Ruimte omschrijving]],2,FALSE)</f>
        <v>Leslokalen theorie</v>
      </c>
      <c r="L784" s="33" t="s">
        <v>101</v>
      </c>
      <c r="M784" s="367" t="s">
        <v>2495</v>
      </c>
      <c r="N784" s="140">
        <v>78</v>
      </c>
      <c r="O784" s="140"/>
      <c r="P784" s="125" t="str">
        <f>VLOOKUP(Ruimtestaat[[#This Row],[Ruimte code]],Ruimtegroepen[],4,FALSE)</f>
        <v>Le</v>
      </c>
      <c r="R784" s="33">
        <v>40</v>
      </c>
      <c r="S784" s="33" t="s">
        <v>2</v>
      </c>
      <c r="T784" s="33">
        <f>IF(R784&gt;0,IF(RIGHT(Ruimtestaat[[#This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84" s="33">
        <f>IF(T784&gt;0,VLOOKUP($J784,Ruimtegroepen[],3,FALSE)*VLOOKUP($L784,Vloersoorten[],3,FALSE)*VLOOKUP($S784,Frequenties[],3,FALSE)*VLOOKUP($A784,Locaties[],3,FALSE),0)</f>
        <v>0</v>
      </c>
      <c r="V784" s="33">
        <f>Ruimtestaat[[#This Row],[Uitvoeringen werkdagen]]*Ruimtestaat[[#This Row],[Oppervlak (netto)]]</f>
        <v>15600</v>
      </c>
      <c r="W784" s="154">
        <f>IF(U784&gt;0,Ruimtestaat[[#This Row],[Prest. (m2 /jaar) werkdagen]]/Ruimtestaat[[#This Row],[Norm (m2/uur) werkdagen]],0)</f>
        <v>0</v>
      </c>
      <c r="X784" s="155">
        <f>Ruimtestaat[[#This Row],[uren / jaar werkdagen]]*Tariefsopbouw!$E$35</f>
        <v>0</v>
      </c>
      <c r="Y784" s="33"/>
      <c r="Z784" s="33">
        <f>IF(Ruimtestaat[[#This Row],[Frequentie weekend]]&gt;0,VALUE(LEFT(Y784,1))*R784,0)</f>
        <v>0</v>
      </c>
      <c r="AA784" s="97">
        <f>IF($Z784&gt;0,VLOOKUP($J784,Ruimtegroepen[],3,FALSE)*VLOOKUP($L784,Vloersoorten[],3,FALSE)*VLOOKUP($Y784,Frequenties[],3,FALSE)*VLOOKUP(Ruimtestaat[[#This Row],[Code]],Locaties[],3,FALSE),0)</f>
        <v>0</v>
      </c>
      <c r="AB784" s="97">
        <f>Ruimtestaat[[#This Row],[Uitvoeringen weekend]]*Ruimtestaat[[#This Row],[Oppervlak (netto)]]</f>
        <v>0</v>
      </c>
      <c r="AC784" s="97">
        <f>IF(AA784&gt;0,Ruimtestaat[[#This Row],[Prest. (m2 /jaar) weekend]]/Ruimtestaat[[#This Row],[Norm (m2/uur) weekend]],0)</f>
        <v>0</v>
      </c>
      <c r="AD784" s="155">
        <f>Ruimtestaat[[#This Row],[uren / jaar weekend]]*Tariefsopbouw!$D$40</f>
        <v>0</v>
      </c>
      <c r="AE784" s="154">
        <f>Ruimtestaat[[#This Row],[Prest. (m2 /jaar) weekend]]+Ruimtestaat[[#This Row],[Prest. (m2 /jaar) werkdagen]]</f>
        <v>15600</v>
      </c>
      <c r="AF784" s="154">
        <f>Ruimtestaat[[#This Row],[uren / jaar weekend]]+Ruimtestaat[[#This Row],[uren / jaar werkdagen]]</f>
        <v>0</v>
      </c>
      <c r="AG784" s="69">
        <f>Ruimtestaat[[#This Row],[kosten / jaar weekend]]+Ruimtestaat[[#This Row],[kosten / jaar werkdagen]]</f>
        <v>0</v>
      </c>
      <c r="AH784" s="69"/>
      <c r="AI784" s="256" t="str">
        <f>IF(Ruimtestaat[[#This Row],[Frequentie werkdagen]]="","",_xlfn.CONCAT(Ruimtestaat[[#This Row],[Ruimte code]],"-",Ruimtestaat[[#This Row],[Frequentie werkdagen]]," ",Ruimtestaat[[#This Row],[Vloer code]]))</f>
        <v>16-5w L</v>
      </c>
      <c r="AJ784" s="300" t="str">
        <f>_xlfn.IFNA(VLOOKUP($AI784,Programma!$F$3:$G$1107,2,0),"")</f>
        <v>_</v>
      </c>
      <c r="AK784" s="300" t="str">
        <f>_xlfn.IFNA(VLOOKUP($AI784,Programma!$F$3:$H$1107,3,0),"")</f>
        <v>_</v>
      </c>
      <c r="AL784" s="300" t="str">
        <f>_xlfn.IFNA(VLOOKUP($AI784,Programma!$F$3:$I$1107,4,0),"")</f>
        <v>4w</v>
      </c>
      <c r="AM784" s="300" t="str">
        <f>_xlfn.IFNA(VLOOKUP($AI784,Programma!$F$3:$J$1107,5,0),"")</f>
        <v>1w</v>
      </c>
      <c r="AN784" s="300" t="str">
        <f>_xlfn.IFNA(VLOOKUP($AI784,Programma!$F$3:$K$1107,6,0),"")</f>
        <v>_</v>
      </c>
      <c r="AO784" s="300" t="str">
        <f>_xlfn.IFNA(VLOOKUP($AI784,Programma!$F$3:$L$1107,7,0),"")</f>
        <v>_</v>
      </c>
      <c r="AP784" s="300" t="str">
        <f>_xlfn.IFNA(VLOOKUP($AI784,Programma!$F$3:$M$1107,8,0),"")</f>
        <v>_</v>
      </c>
      <c r="AQ784" s="300" t="str">
        <f>_xlfn.IFNA(VLOOKUP($AI784,Programma!$F$3:$N$1107,9,0),"")</f>
        <v>_</v>
      </c>
      <c r="AR784" s="300" t="str">
        <f>_xlfn.IFNA(VLOOKUP($AI784,Programma!$F$3:$O$1107,10,0),"")</f>
        <v>5w</v>
      </c>
      <c r="AS784" s="300" t="str">
        <f>_xlfn.IFNA(VLOOKUP($AI784,Programma!$F$3:$P$1107,11,0),"")</f>
        <v>5w</v>
      </c>
      <c r="AT784" s="300" t="str">
        <f>_xlfn.IFNA(VLOOKUP($AI784,Programma!$F$3:$Q$1107,12,0),"")</f>
        <v>1w</v>
      </c>
      <c r="AU784" s="300" t="str">
        <f>_xlfn.IFNA(VLOOKUP($AI784,Programma!$F$3:$R$1107,13,0),"")</f>
        <v>1w</v>
      </c>
      <c r="AV784" s="300" t="str">
        <f>_xlfn.IFNA(VLOOKUP($AI784,Programma!$F$3:$S$1107,14,0),"")</f>
        <v>1m</v>
      </c>
      <c r="AW784" s="300" t="str">
        <f>_xlfn.IFNA(VLOOKUP($AI784,Programma!$F$3:$T$1107,15,0),"")</f>
        <v>2j</v>
      </c>
      <c r="AX784" s="300" t="str">
        <f>_xlfn.IFNA(VLOOKUP($AI784,Programma!$F$3:$U$1107,16,0),"")</f>
        <v>1j</v>
      </c>
      <c r="AY784" s="300" t="str">
        <f>_xlfn.IFNA(VLOOKUP($AI784,Programma!$F$3:$V$1107,17,0),"")</f>
        <v>_</v>
      </c>
      <c r="AZ784" s="300" t="str">
        <f>_xlfn.IFNA(VLOOKUP($AI784,Programma!$F$3:$W$1107,18,0),"")</f>
        <v>_</v>
      </c>
      <c r="BA784" s="300" t="str">
        <f>_xlfn.IFNA(VLOOKUP($AI784,Programma!$F$3:$X$1107,19,0),"")</f>
        <v>_</v>
      </c>
      <c r="BB784" s="300" t="str">
        <f>_xlfn.IFNA(VLOOKUP($AI784,Programma!$F$3:$Y$1107,20,0),"")</f>
        <v>_</v>
      </c>
      <c r="BC784" s="257"/>
      <c r="BD784" s="256" t="str">
        <f>IF(Ruimtestaat[[#This Row],[Frequentie weekend]]="","",_xlfn.CONCAT(Ruimtestaat[[#This Row],[Ruimte code]],"-",Ruimtestaat[[#This Row],[Frequentie weekend]]," ",Ruimtestaat[[#This Row],[Vloer code]]))</f>
        <v/>
      </c>
      <c r="BE784" s="300" t="str">
        <f>_xlfn.IFNA(VLOOKUP($BD784,Programma!$F$3:$G$1107,2,0),"")</f>
        <v/>
      </c>
      <c r="BF784" s="300" t="str">
        <f>_xlfn.IFNA(VLOOKUP($BD784,Programma!$F$3:$H$1107,3,0),"")</f>
        <v/>
      </c>
      <c r="BG784" s="300" t="str">
        <f>_xlfn.IFNA(VLOOKUP($BD784,Programma!$F$3:$I$1107,4,0),"")</f>
        <v/>
      </c>
      <c r="BH784" s="300" t="str">
        <f>_xlfn.IFNA(VLOOKUP($BD784,Programma!$F$3:$J$1107,5,0),"")</f>
        <v/>
      </c>
      <c r="BI784" s="300" t="str">
        <f>_xlfn.IFNA(VLOOKUP($BD784,Programma!$F$3:$K$1107,6,0),"")</f>
        <v/>
      </c>
      <c r="BJ784" s="300" t="str">
        <f>_xlfn.IFNA(VLOOKUP($BD784,Programma!$F$3:$L$1107,7,0),"")</f>
        <v/>
      </c>
      <c r="BK784" s="300" t="str">
        <f>_xlfn.IFNA(VLOOKUP($BD784,Programma!$F$3:$M$1107,8,0),"")</f>
        <v/>
      </c>
      <c r="BL784" s="300" t="str">
        <f>_xlfn.IFNA(VLOOKUP($BD784,Programma!$F$3:$N$1107,9,0),"")</f>
        <v/>
      </c>
      <c r="BM784" s="300" t="str">
        <f>_xlfn.IFNA(VLOOKUP($BD784,Programma!$F$3:$O$1107,10,0),"")</f>
        <v/>
      </c>
      <c r="BN784" s="300" t="str">
        <f>_xlfn.IFNA(VLOOKUP($BD784,Programma!$F$3:$P$1107,11,0),"")</f>
        <v/>
      </c>
      <c r="BO784" s="300" t="str">
        <f>_xlfn.IFNA(VLOOKUP($BD784,Programma!$F$3:$Q$1107,12,0),"")</f>
        <v/>
      </c>
      <c r="BP784" s="300" t="str">
        <f>_xlfn.IFNA(VLOOKUP($BD784,Programma!$F$3:$R$1107,13,0),"")</f>
        <v/>
      </c>
      <c r="BQ784" s="300" t="str">
        <f>_xlfn.IFNA(VLOOKUP($BD784,Programma!$F$3:$S$1107,14,0),"")</f>
        <v/>
      </c>
      <c r="BR784" s="300" t="str">
        <f>_xlfn.IFNA(VLOOKUP($BD784,Programma!$F$3:$T$1107,15,0),"")</f>
        <v/>
      </c>
      <c r="BS784" s="300" t="str">
        <f>_xlfn.IFNA(VLOOKUP($BD784,Programma!$F$3:$U$1107,16,0),"")</f>
        <v/>
      </c>
      <c r="BT784" s="300" t="str">
        <f>_xlfn.IFNA(VLOOKUP($BD784,Programma!$F$3:$V$1107,17,0),"")</f>
        <v/>
      </c>
      <c r="BU784" s="300" t="str">
        <f>_xlfn.IFNA(VLOOKUP($BD784,Programma!$F$3:$W$1107,18,0),"")</f>
        <v/>
      </c>
      <c r="BV784" s="300" t="str">
        <f>_xlfn.IFNA(VLOOKUP($BD784,Programma!$F$3:$X$1107,19,0),"")</f>
        <v/>
      </c>
      <c r="BW784" s="300" t="str">
        <f>_xlfn.IFNA(VLOOKUP($BD784,Programma!$F$3:$Y$1107,20,0),"")</f>
        <v/>
      </c>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c r="GK784" s="4"/>
      <c r="GL784" s="4"/>
      <c r="GM784" s="4"/>
      <c r="GN784" s="4"/>
      <c r="GO784" s="4"/>
      <c r="GP784" s="4"/>
      <c r="GQ784" s="4"/>
      <c r="GR784" s="4"/>
      <c r="GS784" s="4"/>
      <c r="GT784" s="4"/>
      <c r="GU784" s="4"/>
      <c r="GV784" s="4"/>
      <c r="GW784" s="4"/>
      <c r="GX784" s="4"/>
      <c r="GY784" s="4"/>
      <c r="GZ784" s="4"/>
      <c r="HA784" s="4"/>
      <c r="HB784" s="4"/>
      <c r="HC784" s="4"/>
      <c r="HD784" s="4"/>
      <c r="HE784" s="4"/>
      <c r="HF784" s="4"/>
      <c r="HG784" s="4"/>
      <c r="HH784" s="4"/>
      <c r="HI784" s="4"/>
      <c r="HJ784" s="4"/>
      <c r="HK784" s="4"/>
      <c r="HL784" s="4"/>
    </row>
    <row r="785" spans="1:220" ht="15" customHeight="1">
      <c r="A785" s="21">
        <v>8</v>
      </c>
      <c r="B785" s="157" t="str">
        <f>VLOOKUP(Ruimtestaat[[#This Row],[Code]],Locaties[[Code]:[Locatie]],2,FALSE)</f>
        <v>Dalton College</v>
      </c>
      <c r="C785" s="157" t="str">
        <f>VLOOKUP(Ruimtestaat[[#This Row],[Code]],Locaties[[#All],[Code]:[Adres]],4,FALSE)</f>
        <v>Loolaan 125</v>
      </c>
      <c r="D785" s="157" t="str">
        <f>VLOOKUP(Ruimtestaat[[#This Row],[Code]],Locaties[[#All],[Code]:[Postcode]],5,FALSE)</f>
        <v xml:space="preserve">2271 TM </v>
      </c>
      <c r="E785" s="157" t="str">
        <f>VLOOKUP(Ruimtestaat[[#This Row],[Code]],Locaties[#All],6,FALSE)</f>
        <v>Voorburg</v>
      </c>
      <c r="F785" s="62"/>
      <c r="G785" s="21" t="s">
        <v>1624</v>
      </c>
      <c r="H785" s="21" t="s">
        <v>1938</v>
      </c>
      <c r="I785" s="62" t="s">
        <v>2250</v>
      </c>
      <c r="J785" s="21">
        <v>16</v>
      </c>
      <c r="K785" s="62" t="str">
        <f>VLOOKUP(Ruimtestaat[[#This Row],[Ruimte code]],Ruimtegroepen[[#All],[Code]:[Ruimte omschrijving]],2,FALSE)</f>
        <v>Leslokalen theorie</v>
      </c>
      <c r="L785" s="33" t="s">
        <v>101</v>
      </c>
      <c r="M785" s="367" t="s">
        <v>2495</v>
      </c>
      <c r="N785" s="140">
        <v>47</v>
      </c>
      <c r="O785" s="140"/>
      <c r="P785" s="125" t="str">
        <f>VLOOKUP(Ruimtestaat[[#This Row],[Ruimte code]],Ruimtegroepen[],4,FALSE)</f>
        <v>Le</v>
      </c>
      <c r="R785" s="33">
        <v>40</v>
      </c>
      <c r="S785" s="33" t="s">
        <v>2</v>
      </c>
      <c r="T785" s="33">
        <f>IF(R785&gt;0,IF(RIGHT(Ruimtestaat[[#This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85" s="33">
        <f>IF(T785&gt;0,VLOOKUP($J785,Ruimtegroepen[],3,FALSE)*VLOOKUP($L785,Vloersoorten[],3,FALSE)*VLOOKUP($S785,Frequenties[],3,FALSE)*VLOOKUP($A785,Locaties[],3,FALSE),0)</f>
        <v>0</v>
      </c>
      <c r="V785" s="33">
        <f>Ruimtestaat[[#This Row],[Uitvoeringen werkdagen]]*Ruimtestaat[[#This Row],[Oppervlak (netto)]]</f>
        <v>9400</v>
      </c>
      <c r="W785" s="154">
        <f>IF(U785&gt;0,Ruimtestaat[[#This Row],[Prest. (m2 /jaar) werkdagen]]/Ruimtestaat[[#This Row],[Norm (m2/uur) werkdagen]],0)</f>
        <v>0</v>
      </c>
      <c r="X785" s="155">
        <f>Ruimtestaat[[#This Row],[uren / jaar werkdagen]]*Tariefsopbouw!$E$35</f>
        <v>0</v>
      </c>
      <c r="Y785" s="33"/>
      <c r="Z785" s="33">
        <f>IF(Ruimtestaat[[#This Row],[Frequentie weekend]]&gt;0,VALUE(LEFT(Y785,1))*R785,0)</f>
        <v>0</v>
      </c>
      <c r="AA785" s="97">
        <f>IF($Z785&gt;0,VLOOKUP($J785,Ruimtegroepen[],3,FALSE)*VLOOKUP($L785,Vloersoorten[],3,FALSE)*VLOOKUP($Y785,Frequenties[],3,FALSE)*VLOOKUP(Ruimtestaat[[#This Row],[Code]],Locaties[],3,FALSE),0)</f>
        <v>0</v>
      </c>
      <c r="AB785" s="97">
        <f>Ruimtestaat[[#This Row],[Uitvoeringen weekend]]*Ruimtestaat[[#This Row],[Oppervlak (netto)]]</f>
        <v>0</v>
      </c>
      <c r="AC785" s="97">
        <f>IF(AA785&gt;0,Ruimtestaat[[#This Row],[Prest. (m2 /jaar) weekend]]/Ruimtestaat[[#This Row],[Norm (m2/uur) weekend]],0)</f>
        <v>0</v>
      </c>
      <c r="AD785" s="155">
        <f>Ruimtestaat[[#This Row],[uren / jaar weekend]]*Tariefsopbouw!$D$40</f>
        <v>0</v>
      </c>
      <c r="AE785" s="154">
        <f>Ruimtestaat[[#This Row],[Prest. (m2 /jaar) weekend]]+Ruimtestaat[[#This Row],[Prest. (m2 /jaar) werkdagen]]</f>
        <v>9400</v>
      </c>
      <c r="AF785" s="154">
        <f>Ruimtestaat[[#This Row],[uren / jaar weekend]]+Ruimtestaat[[#This Row],[uren / jaar werkdagen]]</f>
        <v>0</v>
      </c>
      <c r="AG785" s="69">
        <f>Ruimtestaat[[#This Row],[kosten / jaar weekend]]+Ruimtestaat[[#This Row],[kosten / jaar werkdagen]]</f>
        <v>0</v>
      </c>
      <c r="AH785" s="69"/>
      <c r="AI785" s="256" t="str">
        <f>IF(Ruimtestaat[[#This Row],[Frequentie werkdagen]]="","",_xlfn.CONCAT(Ruimtestaat[[#This Row],[Ruimte code]],"-",Ruimtestaat[[#This Row],[Frequentie werkdagen]]," ",Ruimtestaat[[#This Row],[Vloer code]]))</f>
        <v>16-5w L</v>
      </c>
      <c r="AJ785" s="300" t="str">
        <f>_xlfn.IFNA(VLOOKUP($AI785,Programma!$F$3:$G$1107,2,0),"")</f>
        <v>_</v>
      </c>
      <c r="AK785" s="300" t="str">
        <f>_xlfn.IFNA(VLOOKUP($AI785,Programma!$F$3:$H$1107,3,0),"")</f>
        <v>_</v>
      </c>
      <c r="AL785" s="300" t="str">
        <f>_xlfn.IFNA(VLOOKUP($AI785,Programma!$F$3:$I$1107,4,0),"")</f>
        <v>4w</v>
      </c>
      <c r="AM785" s="300" t="str">
        <f>_xlfn.IFNA(VLOOKUP($AI785,Programma!$F$3:$J$1107,5,0),"")</f>
        <v>1w</v>
      </c>
      <c r="AN785" s="300" t="str">
        <f>_xlfn.IFNA(VLOOKUP($AI785,Programma!$F$3:$K$1107,6,0),"")</f>
        <v>_</v>
      </c>
      <c r="AO785" s="300" t="str">
        <f>_xlfn.IFNA(VLOOKUP($AI785,Programma!$F$3:$L$1107,7,0),"")</f>
        <v>_</v>
      </c>
      <c r="AP785" s="300" t="str">
        <f>_xlfn.IFNA(VLOOKUP($AI785,Programma!$F$3:$M$1107,8,0),"")</f>
        <v>_</v>
      </c>
      <c r="AQ785" s="300" t="str">
        <f>_xlfn.IFNA(VLOOKUP($AI785,Programma!$F$3:$N$1107,9,0),"")</f>
        <v>_</v>
      </c>
      <c r="AR785" s="300" t="str">
        <f>_xlfn.IFNA(VLOOKUP($AI785,Programma!$F$3:$O$1107,10,0),"")</f>
        <v>5w</v>
      </c>
      <c r="AS785" s="300" t="str">
        <f>_xlfn.IFNA(VLOOKUP($AI785,Programma!$F$3:$P$1107,11,0),"")</f>
        <v>5w</v>
      </c>
      <c r="AT785" s="300" t="str">
        <f>_xlfn.IFNA(VLOOKUP($AI785,Programma!$F$3:$Q$1107,12,0),"")</f>
        <v>1w</v>
      </c>
      <c r="AU785" s="300" t="str">
        <f>_xlfn.IFNA(VLOOKUP($AI785,Programma!$F$3:$R$1107,13,0),"")</f>
        <v>1w</v>
      </c>
      <c r="AV785" s="300" t="str">
        <f>_xlfn.IFNA(VLOOKUP($AI785,Programma!$F$3:$S$1107,14,0),"")</f>
        <v>1m</v>
      </c>
      <c r="AW785" s="300" t="str">
        <f>_xlfn.IFNA(VLOOKUP($AI785,Programma!$F$3:$T$1107,15,0),"")</f>
        <v>2j</v>
      </c>
      <c r="AX785" s="300" t="str">
        <f>_xlfn.IFNA(VLOOKUP($AI785,Programma!$F$3:$U$1107,16,0),"")</f>
        <v>1j</v>
      </c>
      <c r="AY785" s="300" t="str">
        <f>_xlfn.IFNA(VLOOKUP($AI785,Programma!$F$3:$V$1107,17,0),"")</f>
        <v>_</v>
      </c>
      <c r="AZ785" s="300" t="str">
        <f>_xlfn.IFNA(VLOOKUP($AI785,Programma!$F$3:$W$1107,18,0),"")</f>
        <v>_</v>
      </c>
      <c r="BA785" s="300" t="str">
        <f>_xlfn.IFNA(VLOOKUP($AI785,Programma!$F$3:$X$1107,19,0),"")</f>
        <v>_</v>
      </c>
      <c r="BB785" s="300" t="str">
        <f>_xlfn.IFNA(VLOOKUP($AI785,Programma!$F$3:$Y$1107,20,0),"")</f>
        <v>_</v>
      </c>
      <c r="BC785" s="257"/>
      <c r="BD785" s="256" t="str">
        <f>IF(Ruimtestaat[[#This Row],[Frequentie weekend]]="","",_xlfn.CONCAT(Ruimtestaat[[#This Row],[Ruimte code]],"-",Ruimtestaat[[#This Row],[Frequentie weekend]]," ",Ruimtestaat[[#This Row],[Vloer code]]))</f>
        <v/>
      </c>
      <c r="BE785" s="300" t="str">
        <f>_xlfn.IFNA(VLOOKUP($BD785,Programma!$F$3:$G$1107,2,0),"")</f>
        <v/>
      </c>
      <c r="BF785" s="300" t="str">
        <f>_xlfn.IFNA(VLOOKUP($BD785,Programma!$F$3:$H$1107,3,0),"")</f>
        <v/>
      </c>
      <c r="BG785" s="300" t="str">
        <f>_xlfn.IFNA(VLOOKUP($BD785,Programma!$F$3:$I$1107,4,0),"")</f>
        <v/>
      </c>
      <c r="BH785" s="300" t="str">
        <f>_xlfn.IFNA(VLOOKUP($BD785,Programma!$F$3:$J$1107,5,0),"")</f>
        <v/>
      </c>
      <c r="BI785" s="300" t="str">
        <f>_xlfn.IFNA(VLOOKUP($BD785,Programma!$F$3:$K$1107,6,0),"")</f>
        <v/>
      </c>
      <c r="BJ785" s="300" t="str">
        <f>_xlfn.IFNA(VLOOKUP($BD785,Programma!$F$3:$L$1107,7,0),"")</f>
        <v/>
      </c>
      <c r="BK785" s="300" t="str">
        <f>_xlfn.IFNA(VLOOKUP($BD785,Programma!$F$3:$M$1107,8,0),"")</f>
        <v/>
      </c>
      <c r="BL785" s="300" t="str">
        <f>_xlfn.IFNA(VLOOKUP($BD785,Programma!$F$3:$N$1107,9,0),"")</f>
        <v/>
      </c>
      <c r="BM785" s="300" t="str">
        <f>_xlfn.IFNA(VLOOKUP($BD785,Programma!$F$3:$O$1107,10,0),"")</f>
        <v/>
      </c>
      <c r="BN785" s="300" t="str">
        <f>_xlfn.IFNA(VLOOKUP($BD785,Programma!$F$3:$P$1107,11,0),"")</f>
        <v/>
      </c>
      <c r="BO785" s="300" t="str">
        <f>_xlfn.IFNA(VLOOKUP($BD785,Programma!$F$3:$Q$1107,12,0),"")</f>
        <v/>
      </c>
      <c r="BP785" s="300" t="str">
        <f>_xlfn.IFNA(VLOOKUP($BD785,Programma!$F$3:$R$1107,13,0),"")</f>
        <v/>
      </c>
      <c r="BQ785" s="300" t="str">
        <f>_xlfn.IFNA(VLOOKUP($BD785,Programma!$F$3:$S$1107,14,0),"")</f>
        <v/>
      </c>
      <c r="BR785" s="300" t="str">
        <f>_xlfn.IFNA(VLOOKUP($BD785,Programma!$F$3:$T$1107,15,0),"")</f>
        <v/>
      </c>
      <c r="BS785" s="300" t="str">
        <f>_xlfn.IFNA(VLOOKUP($BD785,Programma!$F$3:$U$1107,16,0),"")</f>
        <v/>
      </c>
      <c r="BT785" s="300" t="str">
        <f>_xlfn.IFNA(VLOOKUP($BD785,Programma!$F$3:$V$1107,17,0),"")</f>
        <v/>
      </c>
      <c r="BU785" s="300" t="str">
        <f>_xlfn.IFNA(VLOOKUP($BD785,Programma!$F$3:$W$1107,18,0),"")</f>
        <v/>
      </c>
      <c r="BV785" s="300" t="str">
        <f>_xlfn.IFNA(VLOOKUP($BD785,Programma!$F$3:$X$1107,19,0),"")</f>
        <v/>
      </c>
      <c r="BW785" s="300" t="str">
        <f>_xlfn.IFNA(VLOOKUP($BD785,Programma!$F$3:$Y$1107,20,0),"")</f>
        <v/>
      </c>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c r="GK785" s="4"/>
      <c r="GL785" s="4"/>
      <c r="GM785" s="4"/>
      <c r="GN785" s="4"/>
      <c r="GO785" s="4"/>
      <c r="GP785" s="4"/>
      <c r="GQ785" s="4"/>
      <c r="GR785" s="4"/>
      <c r="GS785" s="4"/>
      <c r="GT785" s="4"/>
      <c r="GU785" s="4"/>
      <c r="GV785" s="4"/>
      <c r="GW785" s="4"/>
      <c r="GX785" s="4"/>
      <c r="GY785" s="4"/>
      <c r="GZ785" s="4"/>
      <c r="HA785" s="4"/>
      <c r="HB785" s="4"/>
      <c r="HC785" s="4"/>
      <c r="HD785" s="4"/>
      <c r="HE785" s="4"/>
      <c r="HF785" s="4"/>
      <c r="HG785" s="4"/>
      <c r="HH785" s="4"/>
      <c r="HI785" s="4"/>
      <c r="HJ785" s="4"/>
      <c r="HK785" s="4"/>
      <c r="HL785" s="4"/>
    </row>
    <row r="786" spans="1:220" ht="15" customHeight="1">
      <c r="A786" s="21">
        <v>8</v>
      </c>
      <c r="B786" s="157" t="str">
        <f>VLOOKUP(Ruimtestaat[[#This Row],[Code]],Locaties[[Code]:[Locatie]],2,FALSE)</f>
        <v>Dalton College</v>
      </c>
      <c r="C786" s="157" t="str">
        <f>VLOOKUP(Ruimtestaat[[#This Row],[Code]],Locaties[[#All],[Code]:[Adres]],4,FALSE)</f>
        <v>Loolaan 125</v>
      </c>
      <c r="D786" s="157" t="str">
        <f>VLOOKUP(Ruimtestaat[[#This Row],[Code]],Locaties[[#All],[Code]:[Postcode]],5,FALSE)</f>
        <v xml:space="preserve">2271 TM </v>
      </c>
      <c r="E786" s="157" t="str">
        <f>VLOOKUP(Ruimtestaat[[#This Row],[Code]],Locaties[#All],6,FALSE)</f>
        <v>Voorburg</v>
      </c>
      <c r="F786" s="62"/>
      <c r="G786" s="21" t="s">
        <v>1624</v>
      </c>
      <c r="H786" s="21" t="s">
        <v>1940</v>
      </c>
      <c r="I786" s="62" t="s">
        <v>1625</v>
      </c>
      <c r="J786" s="21">
        <v>6</v>
      </c>
      <c r="K786" s="62" t="str">
        <f>VLOOKUP(Ruimtestaat[[#This Row],[Ruimte code]],Ruimtegroepen[[#All],[Code]:[Ruimte omschrijving]],2,FALSE)</f>
        <v>Gangen/hallen</v>
      </c>
      <c r="L786" s="33" t="s">
        <v>101</v>
      </c>
      <c r="M786" s="367" t="s">
        <v>2495</v>
      </c>
      <c r="N786" s="140">
        <v>41</v>
      </c>
      <c r="O786" s="140"/>
      <c r="P786" s="125" t="str">
        <f>VLOOKUP(Ruimtestaat[[#This Row],[Ruimte code]],Ruimtegroepen[],4,FALSE)</f>
        <v>Ve</v>
      </c>
      <c r="R786" s="33">
        <v>40</v>
      </c>
      <c r="S786" s="33" t="s">
        <v>2</v>
      </c>
      <c r="T786" s="33">
        <f>IF(R786&gt;0,IF(RIGHT(Ruimtestaat[[#This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86" s="33">
        <f>IF(T786&gt;0,VLOOKUP($J786,Ruimtegroepen[],3,FALSE)*VLOOKUP($L786,Vloersoorten[],3,FALSE)*VLOOKUP($S786,Frequenties[],3,FALSE)*VLOOKUP($A786,Locaties[],3,FALSE),0)</f>
        <v>0</v>
      </c>
      <c r="V786" s="33">
        <f>Ruimtestaat[[#This Row],[Uitvoeringen werkdagen]]*Ruimtestaat[[#This Row],[Oppervlak (netto)]]</f>
        <v>8200</v>
      </c>
      <c r="W786" s="154">
        <f>IF(U786&gt;0,Ruimtestaat[[#This Row],[Prest. (m2 /jaar) werkdagen]]/Ruimtestaat[[#This Row],[Norm (m2/uur) werkdagen]],0)</f>
        <v>0</v>
      </c>
      <c r="X786" s="155">
        <f>Ruimtestaat[[#This Row],[uren / jaar werkdagen]]*Tariefsopbouw!$E$35</f>
        <v>0</v>
      </c>
      <c r="Y786" s="33"/>
      <c r="Z786" s="33">
        <f>IF(Ruimtestaat[[#This Row],[Frequentie weekend]]&gt;0,VALUE(LEFT(Y786,1))*R786,0)</f>
        <v>0</v>
      </c>
      <c r="AA786" s="97">
        <f>IF($Z786&gt;0,VLOOKUP($J786,Ruimtegroepen[],3,FALSE)*VLOOKUP($L786,Vloersoorten[],3,FALSE)*VLOOKUP($Y786,Frequenties[],3,FALSE)*VLOOKUP(Ruimtestaat[[#This Row],[Code]],Locaties[],3,FALSE),0)</f>
        <v>0</v>
      </c>
      <c r="AB786" s="97">
        <f>Ruimtestaat[[#This Row],[Uitvoeringen weekend]]*Ruimtestaat[[#This Row],[Oppervlak (netto)]]</f>
        <v>0</v>
      </c>
      <c r="AC786" s="97">
        <f>IF(AA786&gt;0,Ruimtestaat[[#This Row],[Prest. (m2 /jaar) weekend]]/Ruimtestaat[[#This Row],[Norm (m2/uur) weekend]],0)</f>
        <v>0</v>
      </c>
      <c r="AD786" s="155">
        <f>Ruimtestaat[[#This Row],[uren / jaar weekend]]*Tariefsopbouw!$D$40</f>
        <v>0</v>
      </c>
      <c r="AE786" s="154">
        <f>Ruimtestaat[[#This Row],[Prest. (m2 /jaar) weekend]]+Ruimtestaat[[#This Row],[Prest. (m2 /jaar) werkdagen]]</f>
        <v>8200</v>
      </c>
      <c r="AF786" s="154">
        <f>Ruimtestaat[[#This Row],[uren / jaar weekend]]+Ruimtestaat[[#This Row],[uren / jaar werkdagen]]</f>
        <v>0</v>
      </c>
      <c r="AG786" s="69">
        <f>Ruimtestaat[[#This Row],[kosten / jaar weekend]]+Ruimtestaat[[#This Row],[kosten / jaar werkdagen]]</f>
        <v>0</v>
      </c>
      <c r="AH786" s="69"/>
      <c r="AI786" s="256" t="str">
        <f>IF(Ruimtestaat[[#This Row],[Frequentie werkdagen]]="","",_xlfn.CONCAT(Ruimtestaat[[#This Row],[Ruimte code]],"-",Ruimtestaat[[#This Row],[Frequentie werkdagen]]," ",Ruimtestaat[[#This Row],[Vloer code]]))</f>
        <v>6-5w L</v>
      </c>
      <c r="AJ786" s="300" t="str">
        <f>_xlfn.IFNA(VLOOKUP($AI786,Programma!$F$3:$G$1107,2,0),"")</f>
        <v>_</v>
      </c>
      <c r="AK786" s="300" t="str">
        <f>_xlfn.IFNA(VLOOKUP($AI786,Programma!$F$3:$H$1107,3,0),"")</f>
        <v>_</v>
      </c>
      <c r="AL786" s="300" t="str">
        <f>_xlfn.IFNA(VLOOKUP($AI786,Programma!$F$3:$I$1107,4,0),"")</f>
        <v>_</v>
      </c>
      <c r="AM786" s="300" t="str">
        <f>_xlfn.IFNA(VLOOKUP($AI786,Programma!$F$3:$J$1107,5,0),"")</f>
        <v>5w</v>
      </c>
      <c r="AN786" s="300" t="str">
        <f>_xlfn.IFNA(VLOOKUP($AI786,Programma!$F$3:$K$1107,6,0),"")</f>
        <v>_</v>
      </c>
      <c r="AO786" s="300" t="str">
        <f>_xlfn.IFNA(VLOOKUP($AI786,Programma!$F$3:$L$1107,7,0),"")</f>
        <v>_</v>
      </c>
      <c r="AP786" s="300" t="str">
        <f>_xlfn.IFNA(VLOOKUP($AI786,Programma!$F$3:$M$1107,8,0),"")</f>
        <v>_</v>
      </c>
      <c r="AQ786" s="300" t="str">
        <f>_xlfn.IFNA(VLOOKUP($AI786,Programma!$F$3:$N$1107,9,0),"")</f>
        <v>_</v>
      </c>
      <c r="AR786" s="300" t="str">
        <f>_xlfn.IFNA(VLOOKUP($AI786,Programma!$F$3:$O$1107,10,0),"")</f>
        <v>5w</v>
      </c>
      <c r="AS786" s="300" t="str">
        <f>_xlfn.IFNA(VLOOKUP($AI786,Programma!$F$3:$P$1107,11,0),"")</f>
        <v>5w</v>
      </c>
      <c r="AT786" s="300" t="str">
        <f>_xlfn.IFNA(VLOOKUP($AI786,Programma!$F$3:$Q$1107,12,0),"")</f>
        <v>1w</v>
      </c>
      <c r="AU786" s="300" t="str">
        <f>_xlfn.IFNA(VLOOKUP($AI786,Programma!$F$3:$R$1107,13,0),"")</f>
        <v>1w</v>
      </c>
      <c r="AV786" s="300" t="str">
        <f>_xlfn.IFNA(VLOOKUP($AI786,Programma!$F$3:$S$1107,14,0),"")</f>
        <v>1m</v>
      </c>
      <c r="AW786" s="300" t="str">
        <f>_xlfn.IFNA(VLOOKUP($AI786,Programma!$F$3:$T$1107,15,0),"")</f>
        <v>2j</v>
      </c>
      <c r="AX786" s="300" t="str">
        <f>_xlfn.IFNA(VLOOKUP($AI786,Programma!$F$3:$U$1107,16,0),"")</f>
        <v>1j</v>
      </c>
      <c r="AY786" s="300" t="str">
        <f>_xlfn.IFNA(VLOOKUP($AI786,Programma!$F$3:$V$1107,17,0),"")</f>
        <v>_</v>
      </c>
      <c r="AZ786" s="300" t="str">
        <f>_xlfn.IFNA(VLOOKUP($AI786,Programma!$F$3:$W$1107,18,0),"")</f>
        <v>_</v>
      </c>
      <c r="BA786" s="300" t="str">
        <f>_xlfn.IFNA(VLOOKUP($AI786,Programma!$F$3:$X$1107,19,0),"")</f>
        <v>_</v>
      </c>
      <c r="BB786" s="300" t="str">
        <f>_xlfn.IFNA(VLOOKUP($AI786,Programma!$F$3:$Y$1107,20,0),"")</f>
        <v>_</v>
      </c>
      <c r="BC786" s="257"/>
      <c r="BD786" s="256" t="str">
        <f>IF(Ruimtestaat[[#This Row],[Frequentie weekend]]="","",_xlfn.CONCAT(Ruimtestaat[[#This Row],[Ruimte code]],"-",Ruimtestaat[[#This Row],[Frequentie weekend]]," ",Ruimtestaat[[#This Row],[Vloer code]]))</f>
        <v/>
      </c>
      <c r="BE786" s="300" t="str">
        <f>_xlfn.IFNA(VLOOKUP($BD786,Programma!$F$3:$G$1107,2,0),"")</f>
        <v/>
      </c>
      <c r="BF786" s="300" t="str">
        <f>_xlfn.IFNA(VLOOKUP($BD786,Programma!$F$3:$H$1107,3,0),"")</f>
        <v/>
      </c>
      <c r="BG786" s="300" t="str">
        <f>_xlfn.IFNA(VLOOKUP($BD786,Programma!$F$3:$I$1107,4,0),"")</f>
        <v/>
      </c>
      <c r="BH786" s="300" t="str">
        <f>_xlfn.IFNA(VLOOKUP($BD786,Programma!$F$3:$J$1107,5,0),"")</f>
        <v/>
      </c>
      <c r="BI786" s="300" t="str">
        <f>_xlfn.IFNA(VLOOKUP($BD786,Programma!$F$3:$K$1107,6,0),"")</f>
        <v/>
      </c>
      <c r="BJ786" s="300" t="str">
        <f>_xlfn.IFNA(VLOOKUP($BD786,Programma!$F$3:$L$1107,7,0),"")</f>
        <v/>
      </c>
      <c r="BK786" s="300" t="str">
        <f>_xlfn.IFNA(VLOOKUP($BD786,Programma!$F$3:$M$1107,8,0),"")</f>
        <v/>
      </c>
      <c r="BL786" s="300" t="str">
        <f>_xlfn.IFNA(VLOOKUP($BD786,Programma!$F$3:$N$1107,9,0),"")</f>
        <v/>
      </c>
      <c r="BM786" s="300" t="str">
        <f>_xlfn.IFNA(VLOOKUP($BD786,Programma!$F$3:$O$1107,10,0),"")</f>
        <v/>
      </c>
      <c r="BN786" s="300" t="str">
        <f>_xlfn.IFNA(VLOOKUP($BD786,Programma!$F$3:$P$1107,11,0),"")</f>
        <v/>
      </c>
      <c r="BO786" s="300" t="str">
        <f>_xlfn.IFNA(VLOOKUP($BD786,Programma!$F$3:$Q$1107,12,0),"")</f>
        <v/>
      </c>
      <c r="BP786" s="300" t="str">
        <f>_xlfn.IFNA(VLOOKUP($BD786,Programma!$F$3:$R$1107,13,0),"")</f>
        <v/>
      </c>
      <c r="BQ786" s="300" t="str">
        <f>_xlfn.IFNA(VLOOKUP($BD786,Programma!$F$3:$S$1107,14,0),"")</f>
        <v/>
      </c>
      <c r="BR786" s="300" t="str">
        <f>_xlfn.IFNA(VLOOKUP($BD786,Programma!$F$3:$T$1107,15,0),"")</f>
        <v/>
      </c>
      <c r="BS786" s="300" t="str">
        <f>_xlfn.IFNA(VLOOKUP($BD786,Programma!$F$3:$U$1107,16,0),"")</f>
        <v/>
      </c>
      <c r="BT786" s="300" t="str">
        <f>_xlfn.IFNA(VLOOKUP($BD786,Programma!$F$3:$V$1107,17,0),"")</f>
        <v/>
      </c>
      <c r="BU786" s="300" t="str">
        <f>_xlfn.IFNA(VLOOKUP($BD786,Programma!$F$3:$W$1107,18,0),"")</f>
        <v/>
      </c>
      <c r="BV786" s="300" t="str">
        <f>_xlfn.IFNA(VLOOKUP($BD786,Programma!$F$3:$X$1107,19,0),"")</f>
        <v/>
      </c>
      <c r="BW786" s="300" t="str">
        <f>_xlfn.IFNA(VLOOKUP($BD786,Programma!$F$3:$Y$1107,20,0),"")</f>
        <v/>
      </c>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c r="GK786" s="4"/>
      <c r="GL786" s="4"/>
      <c r="GM786" s="4"/>
      <c r="GN786" s="4"/>
      <c r="GO786" s="4"/>
      <c r="GP786" s="4"/>
      <c r="GQ786" s="4"/>
      <c r="GR786" s="4"/>
      <c r="GS786" s="4"/>
      <c r="GT786" s="4"/>
      <c r="GU786" s="4"/>
      <c r="GV786" s="4"/>
      <c r="GW786" s="4"/>
      <c r="GX786" s="4"/>
      <c r="GY786" s="4"/>
      <c r="GZ786" s="4"/>
      <c r="HA786" s="4"/>
      <c r="HB786" s="4"/>
      <c r="HC786" s="4"/>
      <c r="HD786" s="4"/>
      <c r="HE786" s="4"/>
      <c r="HF786" s="4"/>
      <c r="HG786" s="4"/>
      <c r="HH786" s="4"/>
      <c r="HI786" s="4"/>
      <c r="HJ786" s="4"/>
      <c r="HK786" s="4"/>
      <c r="HL786" s="4"/>
    </row>
    <row r="787" spans="1:220" ht="15" customHeight="1">
      <c r="A787" s="21">
        <v>8</v>
      </c>
      <c r="B787" s="157" t="str">
        <f>VLOOKUP(Ruimtestaat[[#This Row],[Code]],Locaties[[Code]:[Locatie]],2,FALSE)</f>
        <v>Dalton College</v>
      </c>
      <c r="C787" s="157" t="str">
        <f>VLOOKUP(Ruimtestaat[[#This Row],[Code]],Locaties[[#All],[Code]:[Adres]],4,FALSE)</f>
        <v>Loolaan 125</v>
      </c>
      <c r="D787" s="157" t="str">
        <f>VLOOKUP(Ruimtestaat[[#This Row],[Code]],Locaties[[#All],[Code]:[Postcode]],5,FALSE)</f>
        <v xml:space="preserve">2271 TM </v>
      </c>
      <c r="E787" s="157" t="str">
        <f>VLOOKUP(Ruimtestaat[[#This Row],[Code]],Locaties[#All],6,FALSE)</f>
        <v>Voorburg</v>
      </c>
      <c r="F787" s="62"/>
      <c r="G787" s="21" t="s">
        <v>1624</v>
      </c>
      <c r="H787" s="21" t="s">
        <v>1942</v>
      </c>
      <c r="I787" s="62" t="s">
        <v>2251</v>
      </c>
      <c r="J787" s="21">
        <v>2</v>
      </c>
      <c r="K787" s="62" t="str">
        <f>VLOOKUP(Ruimtestaat[[#This Row],[Ruimte code]],Ruimtegroepen[[#All],[Code]:[Ruimte omschrijving]],2,FALSE)</f>
        <v>Kantoren</v>
      </c>
      <c r="L787" s="33" t="s">
        <v>101</v>
      </c>
      <c r="M787" s="367" t="s">
        <v>2495</v>
      </c>
      <c r="N787" s="140">
        <v>30</v>
      </c>
      <c r="O787" s="140"/>
      <c r="P787" s="125" t="str">
        <f>VLOOKUP(Ruimtestaat[[#This Row],[Ruimte code]],Ruimtegroepen[],4,FALSE)</f>
        <v>Bu</v>
      </c>
      <c r="R787" s="33">
        <v>42</v>
      </c>
      <c r="S787" s="33" t="s">
        <v>18</v>
      </c>
      <c r="T787" s="33">
        <f>IF(R787&gt;0,IF(RIGHT(Ruimtestaat[[#This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87" s="33">
        <f>IF(T787&gt;0,VLOOKUP($J787,Ruimtegroepen[],3,FALSE)*VLOOKUP($L787,Vloersoorten[],3,FALSE)*VLOOKUP($S787,Frequenties[],3,FALSE)*VLOOKUP($A787,Locaties[],3,FALSE),0)</f>
        <v>0</v>
      </c>
      <c r="V787" s="33">
        <f>Ruimtestaat[[#This Row],[Uitvoeringen werkdagen]]*Ruimtestaat[[#This Row],[Oppervlak (netto)]]</f>
        <v>3780</v>
      </c>
      <c r="W787" s="154">
        <f>IF(U787&gt;0,Ruimtestaat[[#This Row],[Prest. (m2 /jaar) werkdagen]]/Ruimtestaat[[#This Row],[Norm (m2/uur) werkdagen]],0)</f>
        <v>0</v>
      </c>
      <c r="X787" s="155">
        <f>Ruimtestaat[[#This Row],[uren / jaar werkdagen]]*Tariefsopbouw!$E$35</f>
        <v>0</v>
      </c>
      <c r="Y787" s="33"/>
      <c r="Z787" s="33">
        <f>IF(Ruimtestaat[[#This Row],[Frequentie weekend]]&gt;0,VALUE(LEFT(Y787,1))*R787,0)</f>
        <v>0</v>
      </c>
      <c r="AA787" s="97">
        <f>IF($Z787&gt;0,VLOOKUP($J787,Ruimtegroepen[],3,FALSE)*VLOOKUP($L787,Vloersoorten[],3,FALSE)*VLOOKUP($Y787,Frequenties[],3,FALSE)*VLOOKUP(Ruimtestaat[[#This Row],[Code]],Locaties[],3,FALSE),0)</f>
        <v>0</v>
      </c>
      <c r="AB787" s="97">
        <f>Ruimtestaat[[#This Row],[Uitvoeringen weekend]]*Ruimtestaat[[#This Row],[Oppervlak (netto)]]</f>
        <v>0</v>
      </c>
      <c r="AC787" s="97">
        <f>IF(AA787&gt;0,Ruimtestaat[[#This Row],[Prest. (m2 /jaar) weekend]]/Ruimtestaat[[#This Row],[Norm (m2/uur) weekend]],0)</f>
        <v>0</v>
      </c>
      <c r="AD787" s="155">
        <f>Ruimtestaat[[#This Row],[uren / jaar weekend]]*Tariefsopbouw!$D$40</f>
        <v>0</v>
      </c>
      <c r="AE787" s="154">
        <f>Ruimtestaat[[#This Row],[Prest. (m2 /jaar) weekend]]+Ruimtestaat[[#This Row],[Prest. (m2 /jaar) werkdagen]]</f>
        <v>3780</v>
      </c>
      <c r="AF787" s="154">
        <f>Ruimtestaat[[#This Row],[uren / jaar weekend]]+Ruimtestaat[[#This Row],[uren / jaar werkdagen]]</f>
        <v>0</v>
      </c>
      <c r="AG787" s="69">
        <f>Ruimtestaat[[#This Row],[kosten / jaar weekend]]+Ruimtestaat[[#This Row],[kosten / jaar werkdagen]]</f>
        <v>0</v>
      </c>
      <c r="AH787" s="69"/>
      <c r="AI787" s="256" t="str">
        <f>IF(Ruimtestaat[[#This Row],[Frequentie werkdagen]]="","",_xlfn.CONCAT(Ruimtestaat[[#This Row],[Ruimte code]],"-",Ruimtestaat[[#This Row],[Frequentie werkdagen]]," ",Ruimtestaat[[#This Row],[Vloer code]]))</f>
        <v>2-3w L</v>
      </c>
      <c r="AJ787" s="300" t="str">
        <f>_xlfn.IFNA(VLOOKUP($AI787,Programma!$F$3:$G$1107,2,0),"")</f>
        <v>_</v>
      </c>
      <c r="AK787" s="300" t="str">
        <f>_xlfn.IFNA(VLOOKUP($AI787,Programma!$F$3:$H$1107,3,0),"")</f>
        <v>_</v>
      </c>
      <c r="AL787" s="300" t="str">
        <f>_xlfn.IFNA(VLOOKUP($AI787,Programma!$F$3:$I$1107,4,0),"")</f>
        <v>2w</v>
      </c>
      <c r="AM787" s="300" t="str">
        <f>_xlfn.IFNA(VLOOKUP($AI787,Programma!$F$3:$J$1107,5,0),"")</f>
        <v>1w</v>
      </c>
      <c r="AN787" s="300" t="str">
        <f>_xlfn.IFNA(VLOOKUP($AI787,Programma!$F$3:$K$1107,6,0),"")</f>
        <v>_</v>
      </c>
      <c r="AO787" s="300" t="str">
        <f>_xlfn.IFNA(VLOOKUP($AI787,Programma!$F$3:$L$1107,7,0),"")</f>
        <v>_</v>
      </c>
      <c r="AP787" s="300" t="str">
        <f>_xlfn.IFNA(VLOOKUP($AI787,Programma!$F$3:$M$1107,8,0),"")</f>
        <v>_</v>
      </c>
      <c r="AQ787" s="300" t="str">
        <f>_xlfn.IFNA(VLOOKUP($AI787,Programma!$F$3:$N$1107,9,0),"")</f>
        <v>_</v>
      </c>
      <c r="AR787" s="300" t="str">
        <f>_xlfn.IFNA(VLOOKUP($AI787,Programma!$F$3:$O$1107,10,0),"")</f>
        <v>3w</v>
      </c>
      <c r="AS787" s="300" t="str">
        <f>_xlfn.IFNA(VLOOKUP($AI787,Programma!$F$3:$P$1107,11,0),"")</f>
        <v>3w</v>
      </c>
      <c r="AT787" s="300" t="str">
        <f>_xlfn.IFNA(VLOOKUP($AI787,Programma!$F$3:$Q$1107,12,0),"")</f>
        <v>1w</v>
      </c>
      <c r="AU787" s="300" t="str">
        <f>_xlfn.IFNA(VLOOKUP($AI787,Programma!$F$3:$R$1107,13,0),"")</f>
        <v>1w</v>
      </c>
      <c r="AV787" s="300" t="str">
        <f>_xlfn.IFNA(VLOOKUP($AI787,Programma!$F$3:$S$1107,14,0),"")</f>
        <v>1m</v>
      </c>
      <c r="AW787" s="300" t="str">
        <f>_xlfn.IFNA(VLOOKUP($AI787,Programma!$F$3:$T$1107,15,0),"")</f>
        <v>2j</v>
      </c>
      <c r="AX787" s="300" t="str">
        <f>_xlfn.IFNA(VLOOKUP($AI787,Programma!$F$3:$U$1107,16,0),"")</f>
        <v>1j</v>
      </c>
      <c r="AY787" s="300" t="str">
        <f>_xlfn.IFNA(VLOOKUP($AI787,Programma!$F$3:$V$1107,17,0),"")</f>
        <v>_</v>
      </c>
      <c r="AZ787" s="300" t="str">
        <f>_xlfn.IFNA(VLOOKUP($AI787,Programma!$F$3:$W$1107,18,0),"")</f>
        <v>_</v>
      </c>
      <c r="BA787" s="300" t="str">
        <f>_xlfn.IFNA(VLOOKUP($AI787,Programma!$F$3:$X$1107,19,0),"")</f>
        <v>_</v>
      </c>
      <c r="BB787" s="300" t="str">
        <f>_xlfn.IFNA(VLOOKUP($AI787,Programma!$F$3:$Y$1107,20,0),"")</f>
        <v>_</v>
      </c>
      <c r="BC787" s="257"/>
      <c r="BD787" s="256" t="str">
        <f>IF(Ruimtestaat[[#This Row],[Frequentie weekend]]="","",_xlfn.CONCAT(Ruimtestaat[[#This Row],[Ruimte code]],"-",Ruimtestaat[[#This Row],[Frequentie weekend]]," ",Ruimtestaat[[#This Row],[Vloer code]]))</f>
        <v/>
      </c>
      <c r="BE787" s="300" t="str">
        <f>_xlfn.IFNA(VLOOKUP($BD787,Programma!$F$3:$G$1107,2,0),"")</f>
        <v/>
      </c>
      <c r="BF787" s="300" t="str">
        <f>_xlfn.IFNA(VLOOKUP($BD787,Programma!$F$3:$H$1107,3,0),"")</f>
        <v/>
      </c>
      <c r="BG787" s="300" t="str">
        <f>_xlfn.IFNA(VLOOKUP($BD787,Programma!$F$3:$I$1107,4,0),"")</f>
        <v/>
      </c>
      <c r="BH787" s="300" t="str">
        <f>_xlfn.IFNA(VLOOKUP($BD787,Programma!$F$3:$J$1107,5,0),"")</f>
        <v/>
      </c>
      <c r="BI787" s="300" t="str">
        <f>_xlfn.IFNA(VLOOKUP($BD787,Programma!$F$3:$K$1107,6,0),"")</f>
        <v/>
      </c>
      <c r="BJ787" s="300" t="str">
        <f>_xlfn.IFNA(VLOOKUP($BD787,Programma!$F$3:$L$1107,7,0),"")</f>
        <v/>
      </c>
      <c r="BK787" s="300" t="str">
        <f>_xlfn.IFNA(VLOOKUP($BD787,Programma!$F$3:$M$1107,8,0),"")</f>
        <v/>
      </c>
      <c r="BL787" s="300" t="str">
        <f>_xlfn.IFNA(VLOOKUP($BD787,Programma!$F$3:$N$1107,9,0),"")</f>
        <v/>
      </c>
      <c r="BM787" s="300" t="str">
        <f>_xlfn.IFNA(VLOOKUP($BD787,Programma!$F$3:$O$1107,10,0),"")</f>
        <v/>
      </c>
      <c r="BN787" s="300" t="str">
        <f>_xlfn.IFNA(VLOOKUP($BD787,Programma!$F$3:$P$1107,11,0),"")</f>
        <v/>
      </c>
      <c r="BO787" s="300" t="str">
        <f>_xlfn.IFNA(VLOOKUP($BD787,Programma!$F$3:$Q$1107,12,0),"")</f>
        <v/>
      </c>
      <c r="BP787" s="300" t="str">
        <f>_xlfn.IFNA(VLOOKUP($BD787,Programma!$F$3:$R$1107,13,0),"")</f>
        <v/>
      </c>
      <c r="BQ787" s="300" t="str">
        <f>_xlfn.IFNA(VLOOKUP($BD787,Programma!$F$3:$S$1107,14,0),"")</f>
        <v/>
      </c>
      <c r="BR787" s="300" t="str">
        <f>_xlfn.IFNA(VLOOKUP($BD787,Programma!$F$3:$T$1107,15,0),"")</f>
        <v/>
      </c>
      <c r="BS787" s="300" t="str">
        <f>_xlfn.IFNA(VLOOKUP($BD787,Programma!$F$3:$U$1107,16,0),"")</f>
        <v/>
      </c>
      <c r="BT787" s="300" t="str">
        <f>_xlfn.IFNA(VLOOKUP($BD787,Programma!$F$3:$V$1107,17,0),"")</f>
        <v/>
      </c>
      <c r="BU787" s="300" t="str">
        <f>_xlfn.IFNA(VLOOKUP($BD787,Programma!$F$3:$W$1107,18,0),"")</f>
        <v/>
      </c>
      <c r="BV787" s="300" t="str">
        <f>_xlfn.IFNA(VLOOKUP($BD787,Programma!$F$3:$X$1107,19,0),"")</f>
        <v/>
      </c>
      <c r="BW787" s="300" t="str">
        <f>_xlfn.IFNA(VLOOKUP($BD787,Programma!$F$3:$Y$1107,20,0),"")</f>
        <v/>
      </c>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c r="GK787" s="4"/>
      <c r="GL787" s="4"/>
      <c r="GM787" s="4"/>
      <c r="GN787" s="4"/>
      <c r="GO787" s="4"/>
      <c r="GP787" s="4"/>
      <c r="GQ787" s="4"/>
      <c r="GR787" s="4"/>
      <c r="GS787" s="4"/>
      <c r="GT787" s="4"/>
      <c r="GU787" s="4"/>
      <c r="GV787" s="4"/>
      <c r="GW787" s="4"/>
      <c r="GX787" s="4"/>
      <c r="GY787" s="4"/>
      <c r="GZ787" s="4"/>
      <c r="HA787" s="4"/>
      <c r="HB787" s="4"/>
      <c r="HC787" s="4"/>
      <c r="HD787" s="4"/>
      <c r="HE787" s="4"/>
      <c r="HF787" s="4"/>
      <c r="HG787" s="4"/>
      <c r="HH787" s="4"/>
      <c r="HI787" s="4"/>
      <c r="HJ787" s="4"/>
      <c r="HK787" s="4"/>
      <c r="HL787" s="4"/>
    </row>
    <row r="788" spans="1:220" ht="15" customHeight="1">
      <c r="A788" s="21">
        <v>8</v>
      </c>
      <c r="B788" s="157" t="str">
        <f>VLOOKUP(Ruimtestaat[[#This Row],[Code]],Locaties[[Code]:[Locatie]],2,FALSE)</f>
        <v>Dalton College</v>
      </c>
      <c r="C788" s="157" t="str">
        <f>VLOOKUP(Ruimtestaat[[#This Row],[Code]],Locaties[[#All],[Code]:[Adres]],4,FALSE)</f>
        <v>Loolaan 125</v>
      </c>
      <c r="D788" s="157" t="str">
        <f>VLOOKUP(Ruimtestaat[[#This Row],[Code]],Locaties[[#All],[Code]:[Postcode]],5,FALSE)</f>
        <v xml:space="preserve">2271 TM </v>
      </c>
      <c r="E788" s="157" t="str">
        <f>VLOOKUP(Ruimtestaat[[#This Row],[Code]],Locaties[#All],6,FALSE)</f>
        <v>Voorburg</v>
      </c>
      <c r="F788" s="62"/>
      <c r="G788" s="21" t="s">
        <v>1624</v>
      </c>
      <c r="H788" s="21" t="s">
        <v>1944</v>
      </c>
      <c r="I788" s="62" t="s">
        <v>2252</v>
      </c>
      <c r="J788" s="21">
        <v>4</v>
      </c>
      <c r="K788" s="62" t="str">
        <f>VLOOKUP(Ruimtestaat[[#This Row],[Ruimte code]],Ruimtegroepen[[#All],[Code]:[Ruimte omschrijving]],2,FALSE)</f>
        <v>Vergader/spreekkamers</v>
      </c>
      <c r="L788" s="33" t="s">
        <v>101</v>
      </c>
      <c r="M788" s="367" t="s">
        <v>2495</v>
      </c>
      <c r="N788" s="140">
        <v>15</v>
      </c>
      <c r="O788" s="140"/>
      <c r="P788" s="125" t="str">
        <f>VLOOKUP(Ruimtestaat[[#This Row],[Ruimte code]],Ruimtegroepen[],4,FALSE)</f>
        <v>Bu</v>
      </c>
      <c r="R788" s="33">
        <v>40</v>
      </c>
      <c r="S788" s="33" t="s">
        <v>18</v>
      </c>
      <c r="T788" s="33">
        <f>IF(R788&gt;0,IF(RIGHT(Ruimtestaat[[#This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788" s="33">
        <f>IF(T788&gt;0,VLOOKUP($J788,Ruimtegroepen[],3,FALSE)*VLOOKUP($L788,Vloersoorten[],3,FALSE)*VLOOKUP($S788,Frequenties[],3,FALSE)*VLOOKUP($A788,Locaties[],3,FALSE),0)</f>
        <v>0</v>
      </c>
      <c r="V788" s="33">
        <f>Ruimtestaat[[#This Row],[Uitvoeringen werkdagen]]*Ruimtestaat[[#This Row],[Oppervlak (netto)]]</f>
        <v>1800</v>
      </c>
      <c r="W788" s="154">
        <f>IF(U788&gt;0,Ruimtestaat[[#This Row],[Prest. (m2 /jaar) werkdagen]]/Ruimtestaat[[#This Row],[Norm (m2/uur) werkdagen]],0)</f>
        <v>0</v>
      </c>
      <c r="X788" s="155">
        <f>Ruimtestaat[[#This Row],[uren / jaar werkdagen]]*Tariefsopbouw!$E$35</f>
        <v>0</v>
      </c>
      <c r="Y788" s="33"/>
      <c r="Z788" s="33">
        <f>IF(Ruimtestaat[[#This Row],[Frequentie weekend]]&gt;0,VALUE(LEFT(Y788,1))*R788,0)</f>
        <v>0</v>
      </c>
      <c r="AA788" s="97">
        <f>IF($Z788&gt;0,VLOOKUP($J788,Ruimtegroepen[],3,FALSE)*VLOOKUP($L788,Vloersoorten[],3,FALSE)*VLOOKUP($Y788,Frequenties[],3,FALSE)*VLOOKUP(Ruimtestaat[[#This Row],[Code]],Locaties[],3,FALSE),0)</f>
        <v>0</v>
      </c>
      <c r="AB788" s="97">
        <f>Ruimtestaat[[#This Row],[Uitvoeringen weekend]]*Ruimtestaat[[#This Row],[Oppervlak (netto)]]</f>
        <v>0</v>
      </c>
      <c r="AC788" s="97">
        <f>IF(AA788&gt;0,Ruimtestaat[[#This Row],[Prest. (m2 /jaar) weekend]]/Ruimtestaat[[#This Row],[Norm (m2/uur) weekend]],0)</f>
        <v>0</v>
      </c>
      <c r="AD788" s="155">
        <f>Ruimtestaat[[#This Row],[uren / jaar weekend]]*Tariefsopbouw!$D$40</f>
        <v>0</v>
      </c>
      <c r="AE788" s="154">
        <f>Ruimtestaat[[#This Row],[Prest. (m2 /jaar) weekend]]+Ruimtestaat[[#This Row],[Prest. (m2 /jaar) werkdagen]]</f>
        <v>1800</v>
      </c>
      <c r="AF788" s="154">
        <f>Ruimtestaat[[#This Row],[uren / jaar weekend]]+Ruimtestaat[[#This Row],[uren / jaar werkdagen]]</f>
        <v>0</v>
      </c>
      <c r="AG788" s="69">
        <f>Ruimtestaat[[#This Row],[kosten / jaar weekend]]+Ruimtestaat[[#This Row],[kosten / jaar werkdagen]]</f>
        <v>0</v>
      </c>
      <c r="AH788" s="69"/>
      <c r="AI788" s="256" t="str">
        <f>IF(Ruimtestaat[[#This Row],[Frequentie werkdagen]]="","",_xlfn.CONCAT(Ruimtestaat[[#This Row],[Ruimte code]],"-",Ruimtestaat[[#This Row],[Frequentie werkdagen]]," ",Ruimtestaat[[#This Row],[Vloer code]]))</f>
        <v>4-3w L</v>
      </c>
      <c r="AJ788" s="300" t="str">
        <f>_xlfn.IFNA(VLOOKUP($AI788,Programma!$F$3:$G$1107,2,0),"")</f>
        <v>_</v>
      </c>
      <c r="AK788" s="300" t="str">
        <f>_xlfn.IFNA(VLOOKUP($AI788,Programma!$F$3:$H$1107,3,0),"")</f>
        <v>_</v>
      </c>
      <c r="AL788" s="300" t="str">
        <f>_xlfn.IFNA(VLOOKUP($AI788,Programma!$F$3:$I$1107,4,0),"")</f>
        <v>2w</v>
      </c>
      <c r="AM788" s="300" t="str">
        <f>_xlfn.IFNA(VLOOKUP($AI788,Programma!$F$3:$J$1107,5,0),"")</f>
        <v>1w</v>
      </c>
      <c r="AN788" s="300" t="str">
        <f>_xlfn.IFNA(VLOOKUP($AI788,Programma!$F$3:$K$1107,6,0),"")</f>
        <v>_</v>
      </c>
      <c r="AO788" s="300" t="str">
        <f>_xlfn.IFNA(VLOOKUP($AI788,Programma!$F$3:$L$1107,7,0),"")</f>
        <v>_</v>
      </c>
      <c r="AP788" s="300" t="str">
        <f>_xlfn.IFNA(VLOOKUP($AI788,Programma!$F$3:$M$1107,8,0),"")</f>
        <v>_</v>
      </c>
      <c r="AQ788" s="300" t="str">
        <f>_xlfn.IFNA(VLOOKUP($AI788,Programma!$F$3:$N$1107,9,0),"")</f>
        <v>_</v>
      </c>
      <c r="AR788" s="300" t="str">
        <f>_xlfn.IFNA(VLOOKUP($AI788,Programma!$F$3:$O$1107,10,0),"")</f>
        <v>3w</v>
      </c>
      <c r="AS788" s="300" t="str">
        <f>_xlfn.IFNA(VLOOKUP($AI788,Programma!$F$3:$P$1107,11,0),"")</f>
        <v>3w</v>
      </c>
      <c r="AT788" s="300" t="str">
        <f>_xlfn.IFNA(VLOOKUP($AI788,Programma!$F$3:$Q$1107,12,0),"")</f>
        <v>1w</v>
      </c>
      <c r="AU788" s="300" t="str">
        <f>_xlfn.IFNA(VLOOKUP($AI788,Programma!$F$3:$R$1107,13,0),"")</f>
        <v>1w</v>
      </c>
      <c r="AV788" s="300" t="str">
        <f>_xlfn.IFNA(VLOOKUP($AI788,Programma!$F$3:$S$1107,14,0),"")</f>
        <v>1m</v>
      </c>
      <c r="AW788" s="300" t="str">
        <f>_xlfn.IFNA(VLOOKUP($AI788,Programma!$F$3:$T$1107,15,0),"")</f>
        <v>2j</v>
      </c>
      <c r="AX788" s="300" t="str">
        <f>_xlfn.IFNA(VLOOKUP($AI788,Programma!$F$3:$U$1107,16,0),"")</f>
        <v>1j</v>
      </c>
      <c r="AY788" s="300" t="str">
        <f>_xlfn.IFNA(VLOOKUP($AI788,Programma!$F$3:$V$1107,17,0),"")</f>
        <v>_</v>
      </c>
      <c r="AZ788" s="300" t="str">
        <f>_xlfn.IFNA(VLOOKUP($AI788,Programma!$F$3:$W$1107,18,0),"")</f>
        <v>_</v>
      </c>
      <c r="BA788" s="300" t="str">
        <f>_xlfn.IFNA(VLOOKUP($AI788,Programma!$F$3:$X$1107,19,0),"")</f>
        <v>_</v>
      </c>
      <c r="BB788" s="300" t="str">
        <f>_xlfn.IFNA(VLOOKUP($AI788,Programma!$F$3:$Y$1107,20,0),"")</f>
        <v>_</v>
      </c>
      <c r="BC788" s="257"/>
      <c r="BD788" s="256" t="str">
        <f>IF(Ruimtestaat[[#This Row],[Frequentie weekend]]="","",_xlfn.CONCAT(Ruimtestaat[[#This Row],[Ruimte code]],"-",Ruimtestaat[[#This Row],[Frequentie weekend]]," ",Ruimtestaat[[#This Row],[Vloer code]]))</f>
        <v/>
      </c>
      <c r="BE788" s="300" t="str">
        <f>_xlfn.IFNA(VLOOKUP($BD788,Programma!$F$3:$G$1107,2,0),"")</f>
        <v/>
      </c>
      <c r="BF788" s="300" t="str">
        <f>_xlfn.IFNA(VLOOKUP($BD788,Programma!$F$3:$H$1107,3,0),"")</f>
        <v/>
      </c>
      <c r="BG788" s="300" t="str">
        <f>_xlfn.IFNA(VLOOKUP($BD788,Programma!$F$3:$I$1107,4,0),"")</f>
        <v/>
      </c>
      <c r="BH788" s="300" t="str">
        <f>_xlfn.IFNA(VLOOKUP($BD788,Programma!$F$3:$J$1107,5,0),"")</f>
        <v/>
      </c>
      <c r="BI788" s="300" t="str">
        <f>_xlfn.IFNA(VLOOKUP($BD788,Programma!$F$3:$K$1107,6,0),"")</f>
        <v/>
      </c>
      <c r="BJ788" s="300" t="str">
        <f>_xlfn.IFNA(VLOOKUP($BD788,Programma!$F$3:$L$1107,7,0),"")</f>
        <v/>
      </c>
      <c r="BK788" s="300" t="str">
        <f>_xlfn.IFNA(VLOOKUP($BD788,Programma!$F$3:$M$1107,8,0),"")</f>
        <v/>
      </c>
      <c r="BL788" s="300" t="str">
        <f>_xlfn.IFNA(VLOOKUP($BD788,Programma!$F$3:$N$1107,9,0),"")</f>
        <v/>
      </c>
      <c r="BM788" s="300" t="str">
        <f>_xlfn.IFNA(VLOOKUP($BD788,Programma!$F$3:$O$1107,10,0),"")</f>
        <v/>
      </c>
      <c r="BN788" s="300" t="str">
        <f>_xlfn.IFNA(VLOOKUP($BD788,Programma!$F$3:$P$1107,11,0),"")</f>
        <v/>
      </c>
      <c r="BO788" s="300" t="str">
        <f>_xlfn.IFNA(VLOOKUP($BD788,Programma!$F$3:$Q$1107,12,0),"")</f>
        <v/>
      </c>
      <c r="BP788" s="300" t="str">
        <f>_xlfn.IFNA(VLOOKUP($BD788,Programma!$F$3:$R$1107,13,0),"")</f>
        <v/>
      </c>
      <c r="BQ788" s="300" t="str">
        <f>_xlfn.IFNA(VLOOKUP($BD788,Programma!$F$3:$S$1107,14,0),"")</f>
        <v/>
      </c>
      <c r="BR788" s="300" t="str">
        <f>_xlfn.IFNA(VLOOKUP($BD788,Programma!$F$3:$T$1107,15,0),"")</f>
        <v/>
      </c>
      <c r="BS788" s="300" t="str">
        <f>_xlfn.IFNA(VLOOKUP($BD788,Programma!$F$3:$U$1107,16,0),"")</f>
        <v/>
      </c>
      <c r="BT788" s="300" t="str">
        <f>_xlfn.IFNA(VLOOKUP($BD788,Programma!$F$3:$V$1107,17,0),"")</f>
        <v/>
      </c>
      <c r="BU788" s="300" t="str">
        <f>_xlfn.IFNA(VLOOKUP($BD788,Programma!$F$3:$W$1107,18,0),"")</f>
        <v/>
      </c>
      <c r="BV788" s="300" t="str">
        <f>_xlfn.IFNA(VLOOKUP($BD788,Programma!$F$3:$X$1107,19,0),"")</f>
        <v/>
      </c>
      <c r="BW788" s="300" t="str">
        <f>_xlfn.IFNA(VLOOKUP($BD788,Programma!$F$3:$Y$1107,20,0),"")</f>
        <v/>
      </c>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c r="GK788" s="4"/>
      <c r="GL788" s="4"/>
      <c r="GM788" s="4"/>
      <c r="GN788" s="4"/>
      <c r="GO788" s="4"/>
      <c r="GP788" s="4"/>
      <c r="GQ788" s="4"/>
      <c r="GR788" s="4"/>
      <c r="GS788" s="4"/>
      <c r="GT788" s="4"/>
      <c r="GU788" s="4"/>
      <c r="GV788" s="4"/>
      <c r="GW788" s="4"/>
      <c r="GX788" s="4"/>
      <c r="GY788" s="4"/>
      <c r="GZ788" s="4"/>
      <c r="HA788" s="4"/>
      <c r="HB788" s="4"/>
      <c r="HC788" s="4"/>
      <c r="HD788" s="4"/>
      <c r="HE788" s="4"/>
      <c r="HF788" s="4"/>
      <c r="HG788" s="4"/>
      <c r="HH788" s="4"/>
      <c r="HI788" s="4"/>
      <c r="HJ788" s="4"/>
      <c r="HK788" s="4"/>
      <c r="HL788" s="4"/>
    </row>
    <row r="789" spans="1:220" ht="15" customHeight="1">
      <c r="A789" s="21">
        <v>8</v>
      </c>
      <c r="B789" s="157" t="str">
        <f>VLOOKUP(Ruimtestaat[[#This Row],[Code]],Locaties[[Code]:[Locatie]],2,FALSE)</f>
        <v>Dalton College</v>
      </c>
      <c r="C789" s="157" t="str">
        <f>VLOOKUP(Ruimtestaat[[#This Row],[Code]],Locaties[[#All],[Code]:[Adres]],4,FALSE)</f>
        <v>Loolaan 125</v>
      </c>
      <c r="D789" s="157" t="str">
        <f>VLOOKUP(Ruimtestaat[[#This Row],[Code]],Locaties[[#All],[Code]:[Postcode]],5,FALSE)</f>
        <v xml:space="preserve">2271 TM </v>
      </c>
      <c r="E789" s="157" t="str">
        <f>VLOOKUP(Ruimtestaat[[#This Row],[Code]],Locaties[#All],6,FALSE)</f>
        <v>Voorburg</v>
      </c>
      <c r="F789" s="62"/>
      <c r="G789" s="21" t="s">
        <v>1624</v>
      </c>
      <c r="H789" s="21" t="s">
        <v>1946</v>
      </c>
      <c r="I789" s="62" t="s">
        <v>1639</v>
      </c>
      <c r="J789" s="21">
        <v>5</v>
      </c>
      <c r="K789" s="62" t="str">
        <f>VLOOKUP(Ruimtestaat[[#This Row],[Ruimte code]],Ruimtegroepen[[#All],[Code]:[Ruimte omschrijving]],2,FALSE)</f>
        <v>Sanitair</v>
      </c>
      <c r="L789" s="33" t="s">
        <v>102</v>
      </c>
      <c r="M789" s="367" t="s">
        <v>2496</v>
      </c>
      <c r="N789" s="140">
        <v>6</v>
      </c>
      <c r="O789" s="140"/>
      <c r="P789" s="125" t="str">
        <f>VLOOKUP(Ruimtestaat[[#This Row],[Ruimte code]],Ruimtegroepen[],4,FALSE)</f>
        <v>Sa</v>
      </c>
      <c r="R789" s="33">
        <v>40</v>
      </c>
      <c r="S789" s="33" t="s">
        <v>2</v>
      </c>
      <c r="T789" s="33">
        <f>IF(R789&gt;0,IF(RIGHT(Ruimtestaat[[#This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89" s="33">
        <f>IF(T789&gt;0,VLOOKUP($J789,Ruimtegroepen[],3,FALSE)*VLOOKUP($L789,Vloersoorten[],3,FALSE)*VLOOKUP($S789,Frequenties[],3,FALSE)*VLOOKUP($A789,Locaties[],3,FALSE),0)</f>
        <v>0</v>
      </c>
      <c r="V789" s="33">
        <f>Ruimtestaat[[#This Row],[Uitvoeringen werkdagen]]*Ruimtestaat[[#This Row],[Oppervlak (netto)]]</f>
        <v>1200</v>
      </c>
      <c r="W789" s="154">
        <f>IF(U789&gt;0,Ruimtestaat[[#This Row],[Prest. (m2 /jaar) werkdagen]]/Ruimtestaat[[#This Row],[Norm (m2/uur) werkdagen]],0)</f>
        <v>0</v>
      </c>
      <c r="X789" s="155">
        <f>Ruimtestaat[[#This Row],[uren / jaar werkdagen]]*Tariefsopbouw!$E$35</f>
        <v>0</v>
      </c>
      <c r="Y789" s="33"/>
      <c r="Z789" s="33">
        <f>IF(Ruimtestaat[[#This Row],[Frequentie weekend]]&gt;0,VALUE(LEFT(Y789,1))*R789,0)</f>
        <v>0</v>
      </c>
      <c r="AA789" s="97">
        <f>IF($Z789&gt;0,VLOOKUP($J789,Ruimtegroepen[],3,FALSE)*VLOOKUP($L789,Vloersoorten[],3,FALSE)*VLOOKUP($Y789,Frequenties[],3,FALSE)*VLOOKUP(Ruimtestaat[[#This Row],[Code]],Locaties[],3,FALSE),0)</f>
        <v>0</v>
      </c>
      <c r="AB789" s="97">
        <f>Ruimtestaat[[#This Row],[Uitvoeringen weekend]]*Ruimtestaat[[#This Row],[Oppervlak (netto)]]</f>
        <v>0</v>
      </c>
      <c r="AC789" s="97">
        <f>IF(AA789&gt;0,Ruimtestaat[[#This Row],[Prest. (m2 /jaar) weekend]]/Ruimtestaat[[#This Row],[Norm (m2/uur) weekend]],0)</f>
        <v>0</v>
      </c>
      <c r="AD789" s="155">
        <f>Ruimtestaat[[#This Row],[uren / jaar weekend]]*Tariefsopbouw!$D$40</f>
        <v>0</v>
      </c>
      <c r="AE789" s="154">
        <f>Ruimtestaat[[#This Row],[Prest. (m2 /jaar) weekend]]+Ruimtestaat[[#This Row],[Prest. (m2 /jaar) werkdagen]]</f>
        <v>1200</v>
      </c>
      <c r="AF789" s="154">
        <f>Ruimtestaat[[#This Row],[uren / jaar weekend]]+Ruimtestaat[[#This Row],[uren / jaar werkdagen]]</f>
        <v>0</v>
      </c>
      <c r="AG789" s="69">
        <f>Ruimtestaat[[#This Row],[kosten / jaar weekend]]+Ruimtestaat[[#This Row],[kosten / jaar werkdagen]]</f>
        <v>0</v>
      </c>
      <c r="AH789" s="69"/>
      <c r="AI789" s="256" t="str">
        <f>IF(Ruimtestaat[[#This Row],[Frequentie werkdagen]]="","",_xlfn.CONCAT(Ruimtestaat[[#This Row],[Ruimte code]],"-",Ruimtestaat[[#This Row],[Frequentie werkdagen]]," ",Ruimtestaat[[#This Row],[Vloer code]]))</f>
        <v>5-5w S</v>
      </c>
      <c r="AJ789" s="300" t="str">
        <f>_xlfn.IFNA(VLOOKUP($AI789,Programma!$F$3:$G$1107,2,0),"")</f>
        <v>_</v>
      </c>
      <c r="AK789" s="300" t="str">
        <f>_xlfn.IFNA(VLOOKUP($AI789,Programma!$F$3:$H$1107,3,0),"")</f>
        <v>_</v>
      </c>
      <c r="AL789" s="300" t="str">
        <f>_xlfn.IFNA(VLOOKUP($AI789,Programma!$F$3:$I$1107,4,0),"")</f>
        <v>_</v>
      </c>
      <c r="AM789" s="300" t="str">
        <f>_xlfn.IFNA(VLOOKUP($AI789,Programma!$F$3:$J$1107,5,0),"")</f>
        <v>4w</v>
      </c>
      <c r="AN789" s="300" t="str">
        <f>_xlfn.IFNA(VLOOKUP($AI789,Programma!$F$3:$K$1107,6,0),"")</f>
        <v>1w</v>
      </c>
      <c r="AO789" s="300" t="str">
        <f>_xlfn.IFNA(VLOOKUP($AI789,Programma!$F$3:$L$1107,7,0),"")</f>
        <v>_</v>
      </c>
      <c r="AP789" s="300" t="str">
        <f>_xlfn.IFNA(VLOOKUP($AI789,Programma!$F$3:$M$1107,8,0),"")</f>
        <v>_</v>
      </c>
      <c r="AQ789" s="300" t="str">
        <f>_xlfn.IFNA(VLOOKUP($AI789,Programma!$F$3:$N$1107,9,0),"")</f>
        <v>_</v>
      </c>
      <c r="AR789" s="300" t="str">
        <f>_xlfn.IFNA(VLOOKUP($AI789,Programma!$F$3:$O$1107,10,0),"")</f>
        <v>_</v>
      </c>
      <c r="AS789" s="300" t="str">
        <f>_xlfn.IFNA(VLOOKUP($AI789,Programma!$F$3:$P$1107,11,0),"")</f>
        <v>_</v>
      </c>
      <c r="AT789" s="300" t="str">
        <f>_xlfn.IFNA(VLOOKUP($AI789,Programma!$F$3:$Q$1107,12,0),"")</f>
        <v>_</v>
      </c>
      <c r="AU789" s="300" t="str">
        <f>_xlfn.IFNA(VLOOKUP($AI789,Programma!$F$3:$R$1107,13,0),"")</f>
        <v>_</v>
      </c>
      <c r="AV789" s="300" t="str">
        <f>_xlfn.IFNA(VLOOKUP($AI789,Programma!$F$3:$S$1107,14,0),"")</f>
        <v>_</v>
      </c>
      <c r="AW789" s="300" t="str">
        <f>_xlfn.IFNA(VLOOKUP($AI789,Programma!$F$3:$T$1107,15,0),"")</f>
        <v>_</v>
      </c>
      <c r="AX789" s="300" t="str">
        <f>_xlfn.IFNA(VLOOKUP($AI789,Programma!$F$3:$U$1107,16,0),"")</f>
        <v>_</v>
      </c>
      <c r="AY789" s="300" t="str">
        <f>_xlfn.IFNA(VLOOKUP($AI789,Programma!$F$3:$V$1107,17,0),"")</f>
        <v>_</v>
      </c>
      <c r="AZ789" s="300" t="str">
        <f>_xlfn.IFNA(VLOOKUP($AI789,Programma!$F$3:$W$1107,18,0),"")</f>
        <v>4w</v>
      </c>
      <c r="BA789" s="300" t="str">
        <f>_xlfn.IFNA(VLOOKUP($AI789,Programma!$F$3:$X$1107,19,0),"")</f>
        <v>1w</v>
      </c>
      <c r="BB789" s="300" t="str">
        <f>_xlfn.IFNA(VLOOKUP($AI789,Programma!$F$3:$Y$1107,20,0),"")</f>
        <v>_</v>
      </c>
      <c r="BC789" s="257"/>
      <c r="BD789" s="256" t="str">
        <f>IF(Ruimtestaat[[#This Row],[Frequentie weekend]]="","",_xlfn.CONCAT(Ruimtestaat[[#This Row],[Ruimte code]],"-",Ruimtestaat[[#This Row],[Frequentie weekend]]," ",Ruimtestaat[[#This Row],[Vloer code]]))</f>
        <v/>
      </c>
      <c r="BE789" s="300" t="str">
        <f>_xlfn.IFNA(VLOOKUP($BD789,Programma!$F$3:$G$1107,2,0),"")</f>
        <v/>
      </c>
      <c r="BF789" s="300" t="str">
        <f>_xlfn.IFNA(VLOOKUP($BD789,Programma!$F$3:$H$1107,3,0),"")</f>
        <v/>
      </c>
      <c r="BG789" s="300" t="str">
        <f>_xlfn.IFNA(VLOOKUP($BD789,Programma!$F$3:$I$1107,4,0),"")</f>
        <v/>
      </c>
      <c r="BH789" s="300" t="str">
        <f>_xlfn.IFNA(VLOOKUP($BD789,Programma!$F$3:$J$1107,5,0),"")</f>
        <v/>
      </c>
      <c r="BI789" s="300" t="str">
        <f>_xlfn.IFNA(VLOOKUP($BD789,Programma!$F$3:$K$1107,6,0),"")</f>
        <v/>
      </c>
      <c r="BJ789" s="300" t="str">
        <f>_xlfn.IFNA(VLOOKUP($BD789,Programma!$F$3:$L$1107,7,0),"")</f>
        <v/>
      </c>
      <c r="BK789" s="300" t="str">
        <f>_xlfn.IFNA(VLOOKUP($BD789,Programma!$F$3:$M$1107,8,0),"")</f>
        <v/>
      </c>
      <c r="BL789" s="300" t="str">
        <f>_xlfn.IFNA(VLOOKUP($BD789,Programma!$F$3:$N$1107,9,0),"")</f>
        <v/>
      </c>
      <c r="BM789" s="300" t="str">
        <f>_xlfn.IFNA(VLOOKUP($BD789,Programma!$F$3:$O$1107,10,0),"")</f>
        <v/>
      </c>
      <c r="BN789" s="300" t="str">
        <f>_xlfn.IFNA(VLOOKUP($BD789,Programma!$F$3:$P$1107,11,0),"")</f>
        <v/>
      </c>
      <c r="BO789" s="300" t="str">
        <f>_xlfn.IFNA(VLOOKUP($BD789,Programma!$F$3:$Q$1107,12,0),"")</f>
        <v/>
      </c>
      <c r="BP789" s="300" t="str">
        <f>_xlfn.IFNA(VLOOKUP($BD789,Programma!$F$3:$R$1107,13,0),"")</f>
        <v/>
      </c>
      <c r="BQ789" s="300" t="str">
        <f>_xlfn.IFNA(VLOOKUP($BD789,Programma!$F$3:$S$1107,14,0),"")</f>
        <v/>
      </c>
      <c r="BR789" s="300" t="str">
        <f>_xlfn.IFNA(VLOOKUP($BD789,Programma!$F$3:$T$1107,15,0),"")</f>
        <v/>
      </c>
      <c r="BS789" s="300" t="str">
        <f>_xlfn.IFNA(VLOOKUP($BD789,Programma!$F$3:$U$1107,16,0),"")</f>
        <v/>
      </c>
      <c r="BT789" s="300" t="str">
        <f>_xlfn.IFNA(VLOOKUP($BD789,Programma!$F$3:$V$1107,17,0),"")</f>
        <v/>
      </c>
      <c r="BU789" s="300" t="str">
        <f>_xlfn.IFNA(VLOOKUP($BD789,Programma!$F$3:$W$1107,18,0),"")</f>
        <v/>
      </c>
      <c r="BV789" s="300" t="str">
        <f>_xlfn.IFNA(VLOOKUP($BD789,Programma!$F$3:$X$1107,19,0),"")</f>
        <v/>
      </c>
      <c r="BW789" s="300" t="str">
        <f>_xlfn.IFNA(VLOOKUP($BD789,Programma!$F$3:$Y$1107,20,0),"")</f>
        <v/>
      </c>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c r="GK789" s="4"/>
      <c r="GL789" s="4"/>
      <c r="GM789" s="4"/>
      <c r="GN789" s="4"/>
      <c r="GO789" s="4"/>
      <c r="GP789" s="4"/>
      <c r="GQ789" s="4"/>
      <c r="GR789" s="4"/>
      <c r="GS789" s="4"/>
      <c r="GT789" s="4"/>
      <c r="GU789" s="4"/>
      <c r="GV789" s="4"/>
      <c r="GW789" s="4"/>
      <c r="GX789" s="4"/>
      <c r="GY789" s="4"/>
      <c r="GZ789" s="4"/>
      <c r="HA789" s="4"/>
      <c r="HB789" s="4"/>
      <c r="HC789" s="4"/>
      <c r="HD789" s="4"/>
      <c r="HE789" s="4"/>
      <c r="HF789" s="4"/>
      <c r="HG789" s="4"/>
      <c r="HH789" s="4"/>
      <c r="HI789" s="4"/>
      <c r="HJ789" s="4"/>
      <c r="HK789" s="4"/>
      <c r="HL789" s="4"/>
    </row>
    <row r="790" spans="1:220" ht="15" customHeight="1">
      <c r="A790" s="21">
        <v>8</v>
      </c>
      <c r="B790" s="157" t="str">
        <f>VLOOKUP(Ruimtestaat[[#This Row],[Code]],Locaties[[Code]:[Locatie]],2,FALSE)</f>
        <v>Dalton College</v>
      </c>
      <c r="C790" s="157" t="str">
        <f>VLOOKUP(Ruimtestaat[[#This Row],[Code]],Locaties[[#All],[Code]:[Adres]],4,FALSE)</f>
        <v>Loolaan 125</v>
      </c>
      <c r="D790" s="157" t="str">
        <f>VLOOKUP(Ruimtestaat[[#This Row],[Code]],Locaties[[#All],[Code]:[Postcode]],5,FALSE)</f>
        <v xml:space="preserve">2271 TM </v>
      </c>
      <c r="E790" s="157" t="str">
        <f>VLOOKUP(Ruimtestaat[[#This Row],[Code]],Locaties[#All],6,FALSE)</f>
        <v>Voorburg</v>
      </c>
      <c r="F790" s="62"/>
      <c r="G790" s="21" t="s">
        <v>1624</v>
      </c>
      <c r="H790" s="21" t="s">
        <v>1947</v>
      </c>
      <c r="I790" s="62" t="s">
        <v>1640</v>
      </c>
      <c r="J790" s="21">
        <v>5</v>
      </c>
      <c r="K790" s="62" t="str">
        <f>VLOOKUP(Ruimtestaat[[#This Row],[Ruimte code]],Ruimtegroepen[[#All],[Code]:[Ruimte omschrijving]],2,FALSE)</f>
        <v>Sanitair</v>
      </c>
      <c r="L790" s="33" t="s">
        <v>102</v>
      </c>
      <c r="M790" s="367" t="s">
        <v>2496</v>
      </c>
      <c r="N790" s="140">
        <v>6</v>
      </c>
      <c r="O790" s="140"/>
      <c r="P790" s="125" t="str">
        <f>VLOOKUP(Ruimtestaat[[#This Row],[Ruimte code]],Ruimtegroepen[],4,FALSE)</f>
        <v>Sa</v>
      </c>
      <c r="R790" s="33">
        <v>40</v>
      </c>
      <c r="S790" s="33" t="s">
        <v>2</v>
      </c>
      <c r="T790" s="33">
        <f>IF(R790&gt;0,IF(RIGHT(Ruimtestaat[[#This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0" s="33">
        <f>IF(T790&gt;0,VLOOKUP($J790,Ruimtegroepen[],3,FALSE)*VLOOKUP($L790,Vloersoorten[],3,FALSE)*VLOOKUP($S790,Frequenties[],3,FALSE)*VLOOKUP($A790,Locaties[],3,FALSE),0)</f>
        <v>0</v>
      </c>
      <c r="V790" s="33">
        <f>Ruimtestaat[[#This Row],[Uitvoeringen werkdagen]]*Ruimtestaat[[#This Row],[Oppervlak (netto)]]</f>
        <v>1200</v>
      </c>
      <c r="W790" s="154">
        <f>IF(U790&gt;0,Ruimtestaat[[#This Row],[Prest. (m2 /jaar) werkdagen]]/Ruimtestaat[[#This Row],[Norm (m2/uur) werkdagen]],0)</f>
        <v>0</v>
      </c>
      <c r="X790" s="155">
        <f>Ruimtestaat[[#This Row],[uren / jaar werkdagen]]*Tariefsopbouw!$E$35</f>
        <v>0</v>
      </c>
      <c r="Y790" s="33"/>
      <c r="Z790" s="33">
        <f>IF(Ruimtestaat[[#This Row],[Frequentie weekend]]&gt;0,VALUE(LEFT(Y790,1))*R790,0)</f>
        <v>0</v>
      </c>
      <c r="AA790" s="97">
        <f>IF($Z790&gt;0,VLOOKUP($J790,Ruimtegroepen[],3,FALSE)*VLOOKUP($L790,Vloersoorten[],3,FALSE)*VLOOKUP($Y790,Frequenties[],3,FALSE)*VLOOKUP(Ruimtestaat[[#This Row],[Code]],Locaties[],3,FALSE),0)</f>
        <v>0</v>
      </c>
      <c r="AB790" s="97">
        <f>Ruimtestaat[[#This Row],[Uitvoeringen weekend]]*Ruimtestaat[[#This Row],[Oppervlak (netto)]]</f>
        <v>0</v>
      </c>
      <c r="AC790" s="97">
        <f>IF(AA790&gt;0,Ruimtestaat[[#This Row],[Prest. (m2 /jaar) weekend]]/Ruimtestaat[[#This Row],[Norm (m2/uur) weekend]],0)</f>
        <v>0</v>
      </c>
      <c r="AD790" s="155">
        <f>Ruimtestaat[[#This Row],[uren / jaar weekend]]*Tariefsopbouw!$D$40</f>
        <v>0</v>
      </c>
      <c r="AE790" s="154">
        <f>Ruimtestaat[[#This Row],[Prest. (m2 /jaar) weekend]]+Ruimtestaat[[#This Row],[Prest. (m2 /jaar) werkdagen]]</f>
        <v>1200</v>
      </c>
      <c r="AF790" s="154">
        <f>Ruimtestaat[[#This Row],[uren / jaar weekend]]+Ruimtestaat[[#This Row],[uren / jaar werkdagen]]</f>
        <v>0</v>
      </c>
      <c r="AG790" s="69">
        <f>Ruimtestaat[[#This Row],[kosten / jaar weekend]]+Ruimtestaat[[#This Row],[kosten / jaar werkdagen]]</f>
        <v>0</v>
      </c>
      <c r="AH790" s="69"/>
      <c r="AI790" s="256" t="str">
        <f>IF(Ruimtestaat[[#This Row],[Frequentie werkdagen]]="","",_xlfn.CONCAT(Ruimtestaat[[#This Row],[Ruimte code]],"-",Ruimtestaat[[#This Row],[Frequentie werkdagen]]," ",Ruimtestaat[[#This Row],[Vloer code]]))</f>
        <v>5-5w S</v>
      </c>
      <c r="AJ790" s="300" t="str">
        <f>_xlfn.IFNA(VLOOKUP($AI790,Programma!$F$3:$G$1107,2,0),"")</f>
        <v>_</v>
      </c>
      <c r="AK790" s="300" t="str">
        <f>_xlfn.IFNA(VLOOKUP($AI790,Programma!$F$3:$H$1107,3,0),"")</f>
        <v>_</v>
      </c>
      <c r="AL790" s="300" t="str">
        <f>_xlfn.IFNA(VLOOKUP($AI790,Programma!$F$3:$I$1107,4,0),"")</f>
        <v>_</v>
      </c>
      <c r="AM790" s="300" t="str">
        <f>_xlfn.IFNA(VLOOKUP($AI790,Programma!$F$3:$J$1107,5,0),"")</f>
        <v>4w</v>
      </c>
      <c r="AN790" s="300" t="str">
        <f>_xlfn.IFNA(VLOOKUP($AI790,Programma!$F$3:$K$1107,6,0),"")</f>
        <v>1w</v>
      </c>
      <c r="AO790" s="300" t="str">
        <f>_xlfn.IFNA(VLOOKUP($AI790,Programma!$F$3:$L$1107,7,0),"")</f>
        <v>_</v>
      </c>
      <c r="AP790" s="300" t="str">
        <f>_xlfn.IFNA(VLOOKUP($AI790,Programma!$F$3:$M$1107,8,0),"")</f>
        <v>_</v>
      </c>
      <c r="AQ790" s="300" t="str">
        <f>_xlfn.IFNA(VLOOKUP($AI790,Programma!$F$3:$N$1107,9,0),"")</f>
        <v>_</v>
      </c>
      <c r="AR790" s="300" t="str">
        <f>_xlfn.IFNA(VLOOKUP($AI790,Programma!$F$3:$O$1107,10,0),"")</f>
        <v>_</v>
      </c>
      <c r="AS790" s="300" t="str">
        <f>_xlfn.IFNA(VLOOKUP($AI790,Programma!$F$3:$P$1107,11,0),"")</f>
        <v>_</v>
      </c>
      <c r="AT790" s="300" t="str">
        <f>_xlfn.IFNA(VLOOKUP($AI790,Programma!$F$3:$Q$1107,12,0),"")</f>
        <v>_</v>
      </c>
      <c r="AU790" s="300" t="str">
        <f>_xlfn.IFNA(VLOOKUP($AI790,Programma!$F$3:$R$1107,13,0),"")</f>
        <v>_</v>
      </c>
      <c r="AV790" s="300" t="str">
        <f>_xlfn.IFNA(VLOOKUP($AI790,Programma!$F$3:$S$1107,14,0),"")</f>
        <v>_</v>
      </c>
      <c r="AW790" s="300" t="str">
        <f>_xlfn.IFNA(VLOOKUP($AI790,Programma!$F$3:$T$1107,15,0),"")</f>
        <v>_</v>
      </c>
      <c r="AX790" s="300" t="str">
        <f>_xlfn.IFNA(VLOOKUP($AI790,Programma!$F$3:$U$1107,16,0),"")</f>
        <v>_</v>
      </c>
      <c r="AY790" s="300" t="str">
        <f>_xlfn.IFNA(VLOOKUP($AI790,Programma!$F$3:$V$1107,17,0),"")</f>
        <v>_</v>
      </c>
      <c r="AZ790" s="300" t="str">
        <f>_xlfn.IFNA(VLOOKUP($AI790,Programma!$F$3:$W$1107,18,0),"")</f>
        <v>4w</v>
      </c>
      <c r="BA790" s="300" t="str">
        <f>_xlfn.IFNA(VLOOKUP($AI790,Programma!$F$3:$X$1107,19,0),"")</f>
        <v>1w</v>
      </c>
      <c r="BB790" s="300" t="str">
        <f>_xlfn.IFNA(VLOOKUP($AI790,Programma!$F$3:$Y$1107,20,0),"")</f>
        <v>_</v>
      </c>
      <c r="BC790" s="257"/>
      <c r="BD790" s="256" t="str">
        <f>IF(Ruimtestaat[[#This Row],[Frequentie weekend]]="","",_xlfn.CONCAT(Ruimtestaat[[#This Row],[Ruimte code]],"-",Ruimtestaat[[#This Row],[Frequentie weekend]]," ",Ruimtestaat[[#This Row],[Vloer code]]))</f>
        <v/>
      </c>
      <c r="BE790" s="300" t="str">
        <f>_xlfn.IFNA(VLOOKUP($BD790,Programma!$F$3:$G$1107,2,0),"")</f>
        <v/>
      </c>
      <c r="BF790" s="300" t="str">
        <f>_xlfn.IFNA(VLOOKUP($BD790,Programma!$F$3:$H$1107,3,0),"")</f>
        <v/>
      </c>
      <c r="BG790" s="300" t="str">
        <f>_xlfn.IFNA(VLOOKUP($BD790,Programma!$F$3:$I$1107,4,0),"")</f>
        <v/>
      </c>
      <c r="BH790" s="300" t="str">
        <f>_xlfn.IFNA(VLOOKUP($BD790,Programma!$F$3:$J$1107,5,0),"")</f>
        <v/>
      </c>
      <c r="BI790" s="300" t="str">
        <f>_xlfn.IFNA(VLOOKUP($BD790,Programma!$F$3:$K$1107,6,0),"")</f>
        <v/>
      </c>
      <c r="BJ790" s="300" t="str">
        <f>_xlfn.IFNA(VLOOKUP($BD790,Programma!$F$3:$L$1107,7,0),"")</f>
        <v/>
      </c>
      <c r="BK790" s="300" t="str">
        <f>_xlfn.IFNA(VLOOKUP($BD790,Programma!$F$3:$M$1107,8,0),"")</f>
        <v/>
      </c>
      <c r="BL790" s="300" t="str">
        <f>_xlfn.IFNA(VLOOKUP($BD790,Programma!$F$3:$N$1107,9,0),"")</f>
        <v/>
      </c>
      <c r="BM790" s="300" t="str">
        <f>_xlfn.IFNA(VLOOKUP($BD790,Programma!$F$3:$O$1107,10,0),"")</f>
        <v/>
      </c>
      <c r="BN790" s="300" t="str">
        <f>_xlfn.IFNA(VLOOKUP($BD790,Programma!$F$3:$P$1107,11,0),"")</f>
        <v/>
      </c>
      <c r="BO790" s="300" t="str">
        <f>_xlfn.IFNA(VLOOKUP($BD790,Programma!$F$3:$Q$1107,12,0),"")</f>
        <v/>
      </c>
      <c r="BP790" s="300" t="str">
        <f>_xlfn.IFNA(VLOOKUP($BD790,Programma!$F$3:$R$1107,13,0),"")</f>
        <v/>
      </c>
      <c r="BQ790" s="300" t="str">
        <f>_xlfn.IFNA(VLOOKUP($BD790,Programma!$F$3:$S$1107,14,0),"")</f>
        <v/>
      </c>
      <c r="BR790" s="300" t="str">
        <f>_xlfn.IFNA(VLOOKUP($BD790,Programma!$F$3:$T$1107,15,0),"")</f>
        <v/>
      </c>
      <c r="BS790" s="300" t="str">
        <f>_xlfn.IFNA(VLOOKUP($BD790,Programma!$F$3:$U$1107,16,0),"")</f>
        <v/>
      </c>
      <c r="BT790" s="300" t="str">
        <f>_xlfn.IFNA(VLOOKUP($BD790,Programma!$F$3:$V$1107,17,0),"")</f>
        <v/>
      </c>
      <c r="BU790" s="300" t="str">
        <f>_xlfn.IFNA(VLOOKUP($BD790,Programma!$F$3:$W$1107,18,0),"")</f>
        <v/>
      </c>
      <c r="BV790" s="300" t="str">
        <f>_xlfn.IFNA(VLOOKUP($BD790,Programma!$F$3:$X$1107,19,0),"")</f>
        <v/>
      </c>
      <c r="BW790" s="300" t="str">
        <f>_xlfn.IFNA(VLOOKUP($BD790,Programma!$F$3:$Y$1107,20,0),"")</f>
        <v/>
      </c>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c r="GK790" s="4"/>
      <c r="GL790" s="4"/>
      <c r="GM790" s="4"/>
      <c r="GN790" s="4"/>
      <c r="GO790" s="4"/>
      <c r="GP790" s="4"/>
      <c r="GQ790" s="4"/>
      <c r="GR790" s="4"/>
      <c r="GS790" s="4"/>
      <c r="GT790" s="4"/>
      <c r="GU790" s="4"/>
      <c r="GV790" s="4"/>
      <c r="GW790" s="4"/>
      <c r="GX790" s="4"/>
      <c r="GY790" s="4"/>
      <c r="GZ790" s="4"/>
      <c r="HA790" s="4"/>
      <c r="HB790" s="4"/>
      <c r="HC790" s="4"/>
      <c r="HD790" s="4"/>
      <c r="HE790" s="4"/>
      <c r="HF790" s="4"/>
      <c r="HG790" s="4"/>
      <c r="HH790" s="4"/>
      <c r="HI790" s="4"/>
      <c r="HJ790" s="4"/>
      <c r="HK790" s="4"/>
      <c r="HL790" s="4"/>
    </row>
    <row r="791" spans="1:220" ht="15" customHeight="1">
      <c r="A791" s="21">
        <v>8</v>
      </c>
      <c r="B791" s="157" t="str">
        <f>VLOOKUP(Ruimtestaat[[#This Row],[Code]],Locaties[[Code]:[Locatie]],2,FALSE)</f>
        <v>Dalton College</v>
      </c>
      <c r="C791" s="157" t="str">
        <f>VLOOKUP(Ruimtestaat[[#This Row],[Code]],Locaties[[#All],[Code]:[Adres]],4,FALSE)</f>
        <v>Loolaan 125</v>
      </c>
      <c r="D791" s="157" t="str">
        <f>VLOOKUP(Ruimtestaat[[#This Row],[Code]],Locaties[[#All],[Code]:[Postcode]],5,FALSE)</f>
        <v xml:space="preserve">2271 TM </v>
      </c>
      <c r="E791" s="157" t="str">
        <f>VLOOKUP(Ruimtestaat[[#This Row],[Code]],Locaties[#All],6,FALSE)</f>
        <v>Voorburg</v>
      </c>
      <c r="F791" s="62"/>
      <c r="G791" s="21" t="s">
        <v>1624</v>
      </c>
      <c r="H791" s="21" t="s">
        <v>1949</v>
      </c>
      <c r="I791" s="62" t="s">
        <v>2253</v>
      </c>
      <c r="J791" s="21">
        <v>16</v>
      </c>
      <c r="K791" s="62" t="str">
        <f>VLOOKUP(Ruimtestaat[[#This Row],[Ruimte code]],Ruimtegroepen[[#All],[Code]:[Ruimte omschrijving]],2,FALSE)</f>
        <v>Leslokalen theorie</v>
      </c>
      <c r="L791" s="33" t="s">
        <v>101</v>
      </c>
      <c r="M791" s="367" t="s">
        <v>2495</v>
      </c>
      <c r="N791" s="140">
        <v>48</v>
      </c>
      <c r="O791" s="140"/>
      <c r="P791" s="125" t="str">
        <f>VLOOKUP(Ruimtestaat[[#This Row],[Ruimte code]],Ruimtegroepen[],4,FALSE)</f>
        <v>Le</v>
      </c>
      <c r="R791" s="33">
        <v>40</v>
      </c>
      <c r="S791" s="33" t="s">
        <v>2</v>
      </c>
      <c r="T791" s="33">
        <f>IF(R791&gt;0,IF(RIGHT(Ruimtestaat[[#This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1" s="33">
        <f>IF(T791&gt;0,VLOOKUP($J791,Ruimtegroepen[],3,FALSE)*VLOOKUP($L791,Vloersoorten[],3,FALSE)*VLOOKUP($S791,Frequenties[],3,FALSE)*VLOOKUP($A791,Locaties[],3,FALSE),0)</f>
        <v>0</v>
      </c>
      <c r="V791" s="33">
        <f>Ruimtestaat[[#This Row],[Uitvoeringen werkdagen]]*Ruimtestaat[[#This Row],[Oppervlak (netto)]]</f>
        <v>9600</v>
      </c>
      <c r="W791" s="154">
        <f>IF(U791&gt;0,Ruimtestaat[[#This Row],[Prest. (m2 /jaar) werkdagen]]/Ruimtestaat[[#This Row],[Norm (m2/uur) werkdagen]],0)</f>
        <v>0</v>
      </c>
      <c r="X791" s="155">
        <f>Ruimtestaat[[#This Row],[uren / jaar werkdagen]]*Tariefsopbouw!$E$35</f>
        <v>0</v>
      </c>
      <c r="Y791" s="33"/>
      <c r="Z791" s="33">
        <f>IF(Ruimtestaat[[#This Row],[Frequentie weekend]]&gt;0,VALUE(LEFT(Y791,1))*R791,0)</f>
        <v>0</v>
      </c>
      <c r="AA791" s="97">
        <f>IF($Z791&gt;0,VLOOKUP($J791,Ruimtegroepen[],3,FALSE)*VLOOKUP($L791,Vloersoorten[],3,FALSE)*VLOOKUP($Y791,Frequenties[],3,FALSE)*VLOOKUP(Ruimtestaat[[#This Row],[Code]],Locaties[],3,FALSE),0)</f>
        <v>0</v>
      </c>
      <c r="AB791" s="97">
        <f>Ruimtestaat[[#This Row],[Uitvoeringen weekend]]*Ruimtestaat[[#This Row],[Oppervlak (netto)]]</f>
        <v>0</v>
      </c>
      <c r="AC791" s="97">
        <f>IF(AA791&gt;0,Ruimtestaat[[#This Row],[Prest. (m2 /jaar) weekend]]/Ruimtestaat[[#This Row],[Norm (m2/uur) weekend]],0)</f>
        <v>0</v>
      </c>
      <c r="AD791" s="155">
        <f>Ruimtestaat[[#This Row],[uren / jaar weekend]]*Tariefsopbouw!$D$40</f>
        <v>0</v>
      </c>
      <c r="AE791" s="154">
        <f>Ruimtestaat[[#This Row],[Prest. (m2 /jaar) weekend]]+Ruimtestaat[[#This Row],[Prest. (m2 /jaar) werkdagen]]</f>
        <v>9600</v>
      </c>
      <c r="AF791" s="154">
        <f>Ruimtestaat[[#This Row],[uren / jaar weekend]]+Ruimtestaat[[#This Row],[uren / jaar werkdagen]]</f>
        <v>0</v>
      </c>
      <c r="AG791" s="69">
        <f>Ruimtestaat[[#This Row],[kosten / jaar weekend]]+Ruimtestaat[[#This Row],[kosten / jaar werkdagen]]</f>
        <v>0</v>
      </c>
      <c r="AH791" s="69"/>
      <c r="AI791" s="256" t="str">
        <f>IF(Ruimtestaat[[#This Row],[Frequentie werkdagen]]="","",_xlfn.CONCAT(Ruimtestaat[[#This Row],[Ruimte code]],"-",Ruimtestaat[[#This Row],[Frequentie werkdagen]]," ",Ruimtestaat[[#This Row],[Vloer code]]))</f>
        <v>16-5w L</v>
      </c>
      <c r="AJ791" s="300" t="str">
        <f>_xlfn.IFNA(VLOOKUP($AI791,Programma!$F$3:$G$1107,2,0),"")</f>
        <v>_</v>
      </c>
      <c r="AK791" s="300" t="str">
        <f>_xlfn.IFNA(VLOOKUP($AI791,Programma!$F$3:$H$1107,3,0),"")</f>
        <v>_</v>
      </c>
      <c r="AL791" s="300" t="str">
        <f>_xlfn.IFNA(VLOOKUP($AI791,Programma!$F$3:$I$1107,4,0),"")</f>
        <v>4w</v>
      </c>
      <c r="AM791" s="300" t="str">
        <f>_xlfn.IFNA(VLOOKUP($AI791,Programma!$F$3:$J$1107,5,0),"")</f>
        <v>1w</v>
      </c>
      <c r="AN791" s="300" t="str">
        <f>_xlfn.IFNA(VLOOKUP($AI791,Programma!$F$3:$K$1107,6,0),"")</f>
        <v>_</v>
      </c>
      <c r="AO791" s="300" t="str">
        <f>_xlfn.IFNA(VLOOKUP($AI791,Programma!$F$3:$L$1107,7,0),"")</f>
        <v>_</v>
      </c>
      <c r="AP791" s="300" t="str">
        <f>_xlfn.IFNA(VLOOKUP($AI791,Programma!$F$3:$M$1107,8,0),"")</f>
        <v>_</v>
      </c>
      <c r="AQ791" s="300" t="str">
        <f>_xlfn.IFNA(VLOOKUP($AI791,Programma!$F$3:$N$1107,9,0),"")</f>
        <v>_</v>
      </c>
      <c r="AR791" s="300" t="str">
        <f>_xlfn.IFNA(VLOOKUP($AI791,Programma!$F$3:$O$1107,10,0),"")</f>
        <v>5w</v>
      </c>
      <c r="AS791" s="300" t="str">
        <f>_xlfn.IFNA(VLOOKUP($AI791,Programma!$F$3:$P$1107,11,0),"")</f>
        <v>5w</v>
      </c>
      <c r="AT791" s="300" t="str">
        <f>_xlfn.IFNA(VLOOKUP($AI791,Programma!$F$3:$Q$1107,12,0),"")</f>
        <v>1w</v>
      </c>
      <c r="AU791" s="300" t="str">
        <f>_xlfn.IFNA(VLOOKUP($AI791,Programma!$F$3:$R$1107,13,0),"")</f>
        <v>1w</v>
      </c>
      <c r="AV791" s="300" t="str">
        <f>_xlfn.IFNA(VLOOKUP($AI791,Programma!$F$3:$S$1107,14,0),"")</f>
        <v>1m</v>
      </c>
      <c r="AW791" s="300" t="str">
        <f>_xlfn.IFNA(VLOOKUP($AI791,Programma!$F$3:$T$1107,15,0),"")</f>
        <v>2j</v>
      </c>
      <c r="AX791" s="300" t="str">
        <f>_xlfn.IFNA(VLOOKUP($AI791,Programma!$F$3:$U$1107,16,0),"")</f>
        <v>1j</v>
      </c>
      <c r="AY791" s="300" t="str">
        <f>_xlfn.IFNA(VLOOKUP($AI791,Programma!$F$3:$V$1107,17,0),"")</f>
        <v>_</v>
      </c>
      <c r="AZ791" s="300" t="str">
        <f>_xlfn.IFNA(VLOOKUP($AI791,Programma!$F$3:$W$1107,18,0),"")</f>
        <v>_</v>
      </c>
      <c r="BA791" s="300" t="str">
        <f>_xlfn.IFNA(VLOOKUP($AI791,Programma!$F$3:$X$1107,19,0),"")</f>
        <v>_</v>
      </c>
      <c r="BB791" s="300" t="str">
        <f>_xlfn.IFNA(VLOOKUP($AI791,Programma!$F$3:$Y$1107,20,0),"")</f>
        <v>_</v>
      </c>
      <c r="BC791" s="257"/>
      <c r="BD791" s="256" t="str">
        <f>IF(Ruimtestaat[[#This Row],[Frequentie weekend]]="","",_xlfn.CONCAT(Ruimtestaat[[#This Row],[Ruimte code]],"-",Ruimtestaat[[#This Row],[Frequentie weekend]]," ",Ruimtestaat[[#This Row],[Vloer code]]))</f>
        <v/>
      </c>
      <c r="BE791" s="300" t="str">
        <f>_xlfn.IFNA(VLOOKUP($BD791,Programma!$F$3:$G$1107,2,0),"")</f>
        <v/>
      </c>
      <c r="BF791" s="300" t="str">
        <f>_xlfn.IFNA(VLOOKUP($BD791,Programma!$F$3:$H$1107,3,0),"")</f>
        <v/>
      </c>
      <c r="BG791" s="300" t="str">
        <f>_xlfn.IFNA(VLOOKUP($BD791,Programma!$F$3:$I$1107,4,0),"")</f>
        <v/>
      </c>
      <c r="BH791" s="300" t="str">
        <f>_xlfn.IFNA(VLOOKUP($BD791,Programma!$F$3:$J$1107,5,0),"")</f>
        <v/>
      </c>
      <c r="BI791" s="300" t="str">
        <f>_xlfn.IFNA(VLOOKUP($BD791,Programma!$F$3:$K$1107,6,0),"")</f>
        <v/>
      </c>
      <c r="BJ791" s="300" t="str">
        <f>_xlfn.IFNA(VLOOKUP($BD791,Programma!$F$3:$L$1107,7,0),"")</f>
        <v/>
      </c>
      <c r="BK791" s="300" t="str">
        <f>_xlfn.IFNA(VLOOKUP($BD791,Programma!$F$3:$M$1107,8,0),"")</f>
        <v/>
      </c>
      <c r="BL791" s="300" t="str">
        <f>_xlfn.IFNA(VLOOKUP($BD791,Programma!$F$3:$N$1107,9,0),"")</f>
        <v/>
      </c>
      <c r="BM791" s="300" t="str">
        <f>_xlfn.IFNA(VLOOKUP($BD791,Programma!$F$3:$O$1107,10,0),"")</f>
        <v/>
      </c>
      <c r="BN791" s="300" t="str">
        <f>_xlfn.IFNA(VLOOKUP($BD791,Programma!$F$3:$P$1107,11,0),"")</f>
        <v/>
      </c>
      <c r="BO791" s="300" t="str">
        <f>_xlfn.IFNA(VLOOKUP($BD791,Programma!$F$3:$Q$1107,12,0),"")</f>
        <v/>
      </c>
      <c r="BP791" s="300" t="str">
        <f>_xlfn.IFNA(VLOOKUP($BD791,Programma!$F$3:$R$1107,13,0),"")</f>
        <v/>
      </c>
      <c r="BQ791" s="300" t="str">
        <f>_xlfn.IFNA(VLOOKUP($BD791,Programma!$F$3:$S$1107,14,0),"")</f>
        <v/>
      </c>
      <c r="BR791" s="300" t="str">
        <f>_xlfn.IFNA(VLOOKUP($BD791,Programma!$F$3:$T$1107,15,0),"")</f>
        <v/>
      </c>
      <c r="BS791" s="300" t="str">
        <f>_xlfn.IFNA(VLOOKUP($BD791,Programma!$F$3:$U$1107,16,0),"")</f>
        <v/>
      </c>
      <c r="BT791" s="300" t="str">
        <f>_xlfn.IFNA(VLOOKUP($BD791,Programma!$F$3:$V$1107,17,0),"")</f>
        <v/>
      </c>
      <c r="BU791" s="300" t="str">
        <f>_xlfn.IFNA(VLOOKUP($BD791,Programma!$F$3:$W$1107,18,0),"")</f>
        <v/>
      </c>
      <c r="BV791" s="300" t="str">
        <f>_xlfn.IFNA(VLOOKUP($BD791,Programma!$F$3:$X$1107,19,0),"")</f>
        <v/>
      </c>
      <c r="BW791" s="300" t="str">
        <f>_xlfn.IFNA(VLOOKUP($BD791,Programma!$F$3:$Y$1107,20,0),"")</f>
        <v/>
      </c>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c r="GK791" s="4"/>
      <c r="GL791" s="4"/>
      <c r="GM791" s="4"/>
      <c r="GN791" s="4"/>
      <c r="GO791" s="4"/>
      <c r="GP791" s="4"/>
      <c r="GQ791" s="4"/>
      <c r="GR791" s="4"/>
      <c r="GS791" s="4"/>
      <c r="GT791" s="4"/>
      <c r="GU791" s="4"/>
      <c r="GV791" s="4"/>
      <c r="GW791" s="4"/>
      <c r="GX791" s="4"/>
      <c r="GY791" s="4"/>
      <c r="GZ791" s="4"/>
      <c r="HA791" s="4"/>
      <c r="HB791" s="4"/>
      <c r="HC791" s="4"/>
      <c r="HD791" s="4"/>
      <c r="HE791" s="4"/>
      <c r="HF791" s="4"/>
      <c r="HG791" s="4"/>
      <c r="HH791" s="4"/>
      <c r="HI791" s="4"/>
      <c r="HJ791" s="4"/>
      <c r="HK791" s="4"/>
      <c r="HL791" s="4"/>
    </row>
    <row r="792" spans="1:220" ht="15" customHeight="1">
      <c r="A792" s="21">
        <v>8</v>
      </c>
      <c r="B792" s="157" t="str">
        <f>VLOOKUP(Ruimtestaat[[#This Row],[Code]],Locaties[[Code]:[Locatie]],2,FALSE)</f>
        <v>Dalton College</v>
      </c>
      <c r="C792" s="157" t="str">
        <f>VLOOKUP(Ruimtestaat[[#This Row],[Code]],Locaties[[#All],[Code]:[Adres]],4,FALSE)</f>
        <v>Loolaan 125</v>
      </c>
      <c r="D792" s="157" t="str">
        <f>VLOOKUP(Ruimtestaat[[#This Row],[Code]],Locaties[[#All],[Code]:[Postcode]],5,FALSE)</f>
        <v xml:space="preserve">2271 TM </v>
      </c>
      <c r="E792" s="157" t="str">
        <f>VLOOKUP(Ruimtestaat[[#This Row],[Code]],Locaties[#All],6,FALSE)</f>
        <v>Voorburg</v>
      </c>
      <c r="F792" s="62"/>
      <c r="G792" s="21" t="s">
        <v>1624</v>
      </c>
      <c r="H792" s="21" t="s">
        <v>1950</v>
      </c>
      <c r="I792" s="62" t="s">
        <v>2254</v>
      </c>
      <c r="J792" s="21">
        <v>16</v>
      </c>
      <c r="K792" s="62" t="str">
        <f>VLOOKUP(Ruimtestaat[[#This Row],[Ruimte code]],Ruimtegroepen[[#All],[Code]:[Ruimte omschrijving]],2,FALSE)</f>
        <v>Leslokalen theorie</v>
      </c>
      <c r="L792" s="33" t="s">
        <v>101</v>
      </c>
      <c r="M792" s="367" t="s">
        <v>2495</v>
      </c>
      <c r="N792" s="140">
        <v>47</v>
      </c>
      <c r="O792" s="140"/>
      <c r="P792" s="125" t="str">
        <f>VLOOKUP(Ruimtestaat[[#This Row],[Ruimte code]],Ruimtegroepen[],4,FALSE)</f>
        <v>Le</v>
      </c>
      <c r="R792" s="33">
        <v>40</v>
      </c>
      <c r="S792" s="33" t="s">
        <v>2</v>
      </c>
      <c r="T792" s="33">
        <f>IF(R792&gt;0,IF(RIGHT(Ruimtestaat[[#This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2" s="33">
        <f>IF(T792&gt;0,VLOOKUP($J792,Ruimtegroepen[],3,FALSE)*VLOOKUP($L792,Vloersoorten[],3,FALSE)*VLOOKUP($S792,Frequenties[],3,FALSE)*VLOOKUP($A792,Locaties[],3,FALSE),0)</f>
        <v>0</v>
      </c>
      <c r="V792" s="33">
        <f>Ruimtestaat[[#This Row],[Uitvoeringen werkdagen]]*Ruimtestaat[[#This Row],[Oppervlak (netto)]]</f>
        <v>9400</v>
      </c>
      <c r="W792" s="154">
        <f>IF(U792&gt;0,Ruimtestaat[[#This Row],[Prest. (m2 /jaar) werkdagen]]/Ruimtestaat[[#This Row],[Norm (m2/uur) werkdagen]],0)</f>
        <v>0</v>
      </c>
      <c r="X792" s="155">
        <f>Ruimtestaat[[#This Row],[uren / jaar werkdagen]]*Tariefsopbouw!$E$35</f>
        <v>0</v>
      </c>
      <c r="Y792" s="33"/>
      <c r="Z792" s="33">
        <f>IF(Ruimtestaat[[#This Row],[Frequentie weekend]]&gt;0,VALUE(LEFT(Y792,1))*R792,0)</f>
        <v>0</v>
      </c>
      <c r="AA792" s="97">
        <f>IF($Z792&gt;0,VLOOKUP($J792,Ruimtegroepen[],3,FALSE)*VLOOKUP($L792,Vloersoorten[],3,FALSE)*VLOOKUP($Y792,Frequenties[],3,FALSE)*VLOOKUP(Ruimtestaat[[#This Row],[Code]],Locaties[],3,FALSE),0)</f>
        <v>0</v>
      </c>
      <c r="AB792" s="97">
        <f>Ruimtestaat[[#This Row],[Uitvoeringen weekend]]*Ruimtestaat[[#This Row],[Oppervlak (netto)]]</f>
        <v>0</v>
      </c>
      <c r="AC792" s="97">
        <f>IF(AA792&gt;0,Ruimtestaat[[#This Row],[Prest. (m2 /jaar) weekend]]/Ruimtestaat[[#This Row],[Norm (m2/uur) weekend]],0)</f>
        <v>0</v>
      </c>
      <c r="AD792" s="155">
        <f>Ruimtestaat[[#This Row],[uren / jaar weekend]]*Tariefsopbouw!$D$40</f>
        <v>0</v>
      </c>
      <c r="AE792" s="154">
        <f>Ruimtestaat[[#This Row],[Prest. (m2 /jaar) weekend]]+Ruimtestaat[[#This Row],[Prest. (m2 /jaar) werkdagen]]</f>
        <v>9400</v>
      </c>
      <c r="AF792" s="154">
        <f>Ruimtestaat[[#This Row],[uren / jaar weekend]]+Ruimtestaat[[#This Row],[uren / jaar werkdagen]]</f>
        <v>0</v>
      </c>
      <c r="AG792" s="69">
        <f>Ruimtestaat[[#This Row],[kosten / jaar weekend]]+Ruimtestaat[[#This Row],[kosten / jaar werkdagen]]</f>
        <v>0</v>
      </c>
      <c r="AH792" s="69"/>
      <c r="AI792" s="256" t="str">
        <f>IF(Ruimtestaat[[#This Row],[Frequentie werkdagen]]="","",_xlfn.CONCAT(Ruimtestaat[[#This Row],[Ruimte code]],"-",Ruimtestaat[[#This Row],[Frequentie werkdagen]]," ",Ruimtestaat[[#This Row],[Vloer code]]))</f>
        <v>16-5w L</v>
      </c>
      <c r="AJ792" s="300" t="str">
        <f>_xlfn.IFNA(VLOOKUP($AI792,Programma!$F$3:$G$1107,2,0),"")</f>
        <v>_</v>
      </c>
      <c r="AK792" s="300" t="str">
        <f>_xlfn.IFNA(VLOOKUP($AI792,Programma!$F$3:$H$1107,3,0),"")</f>
        <v>_</v>
      </c>
      <c r="AL792" s="300" t="str">
        <f>_xlfn.IFNA(VLOOKUP($AI792,Programma!$F$3:$I$1107,4,0),"")</f>
        <v>4w</v>
      </c>
      <c r="AM792" s="300" t="str">
        <f>_xlfn.IFNA(VLOOKUP($AI792,Programma!$F$3:$J$1107,5,0),"")</f>
        <v>1w</v>
      </c>
      <c r="AN792" s="300" t="str">
        <f>_xlfn.IFNA(VLOOKUP($AI792,Programma!$F$3:$K$1107,6,0),"")</f>
        <v>_</v>
      </c>
      <c r="AO792" s="300" t="str">
        <f>_xlfn.IFNA(VLOOKUP($AI792,Programma!$F$3:$L$1107,7,0),"")</f>
        <v>_</v>
      </c>
      <c r="AP792" s="300" t="str">
        <f>_xlfn.IFNA(VLOOKUP($AI792,Programma!$F$3:$M$1107,8,0),"")</f>
        <v>_</v>
      </c>
      <c r="AQ792" s="300" t="str">
        <f>_xlfn.IFNA(VLOOKUP($AI792,Programma!$F$3:$N$1107,9,0),"")</f>
        <v>_</v>
      </c>
      <c r="AR792" s="300" t="str">
        <f>_xlfn.IFNA(VLOOKUP($AI792,Programma!$F$3:$O$1107,10,0),"")</f>
        <v>5w</v>
      </c>
      <c r="AS792" s="300" t="str">
        <f>_xlfn.IFNA(VLOOKUP($AI792,Programma!$F$3:$P$1107,11,0),"")</f>
        <v>5w</v>
      </c>
      <c r="AT792" s="300" t="str">
        <f>_xlfn.IFNA(VLOOKUP($AI792,Programma!$F$3:$Q$1107,12,0),"")</f>
        <v>1w</v>
      </c>
      <c r="AU792" s="300" t="str">
        <f>_xlfn.IFNA(VLOOKUP($AI792,Programma!$F$3:$R$1107,13,0),"")</f>
        <v>1w</v>
      </c>
      <c r="AV792" s="300" t="str">
        <f>_xlfn.IFNA(VLOOKUP($AI792,Programma!$F$3:$S$1107,14,0),"")</f>
        <v>1m</v>
      </c>
      <c r="AW792" s="300" t="str">
        <f>_xlfn.IFNA(VLOOKUP($AI792,Programma!$F$3:$T$1107,15,0),"")</f>
        <v>2j</v>
      </c>
      <c r="AX792" s="300" t="str">
        <f>_xlfn.IFNA(VLOOKUP($AI792,Programma!$F$3:$U$1107,16,0),"")</f>
        <v>1j</v>
      </c>
      <c r="AY792" s="300" t="str">
        <f>_xlfn.IFNA(VLOOKUP($AI792,Programma!$F$3:$V$1107,17,0),"")</f>
        <v>_</v>
      </c>
      <c r="AZ792" s="300" t="str">
        <f>_xlfn.IFNA(VLOOKUP($AI792,Programma!$F$3:$W$1107,18,0),"")</f>
        <v>_</v>
      </c>
      <c r="BA792" s="300" t="str">
        <f>_xlfn.IFNA(VLOOKUP($AI792,Programma!$F$3:$X$1107,19,0),"")</f>
        <v>_</v>
      </c>
      <c r="BB792" s="300" t="str">
        <f>_xlfn.IFNA(VLOOKUP($AI792,Programma!$F$3:$Y$1107,20,0),"")</f>
        <v>_</v>
      </c>
      <c r="BC792" s="257"/>
      <c r="BD792" s="256" t="str">
        <f>IF(Ruimtestaat[[#This Row],[Frequentie weekend]]="","",_xlfn.CONCAT(Ruimtestaat[[#This Row],[Ruimte code]],"-",Ruimtestaat[[#This Row],[Frequentie weekend]]," ",Ruimtestaat[[#This Row],[Vloer code]]))</f>
        <v/>
      </c>
      <c r="BE792" s="300" t="str">
        <f>_xlfn.IFNA(VLOOKUP($BD792,Programma!$F$3:$G$1107,2,0),"")</f>
        <v/>
      </c>
      <c r="BF792" s="300" t="str">
        <f>_xlfn.IFNA(VLOOKUP($BD792,Programma!$F$3:$H$1107,3,0),"")</f>
        <v/>
      </c>
      <c r="BG792" s="300" t="str">
        <f>_xlfn.IFNA(VLOOKUP($BD792,Programma!$F$3:$I$1107,4,0),"")</f>
        <v/>
      </c>
      <c r="BH792" s="300" t="str">
        <f>_xlfn.IFNA(VLOOKUP($BD792,Programma!$F$3:$J$1107,5,0),"")</f>
        <v/>
      </c>
      <c r="BI792" s="300" t="str">
        <f>_xlfn.IFNA(VLOOKUP($BD792,Programma!$F$3:$K$1107,6,0),"")</f>
        <v/>
      </c>
      <c r="BJ792" s="300" t="str">
        <f>_xlfn.IFNA(VLOOKUP($BD792,Programma!$F$3:$L$1107,7,0),"")</f>
        <v/>
      </c>
      <c r="BK792" s="300" t="str">
        <f>_xlfn.IFNA(VLOOKUP($BD792,Programma!$F$3:$M$1107,8,0),"")</f>
        <v/>
      </c>
      <c r="BL792" s="300" t="str">
        <f>_xlfn.IFNA(VLOOKUP($BD792,Programma!$F$3:$N$1107,9,0),"")</f>
        <v/>
      </c>
      <c r="BM792" s="300" t="str">
        <f>_xlfn.IFNA(VLOOKUP($BD792,Programma!$F$3:$O$1107,10,0),"")</f>
        <v/>
      </c>
      <c r="BN792" s="300" t="str">
        <f>_xlfn.IFNA(VLOOKUP($BD792,Programma!$F$3:$P$1107,11,0),"")</f>
        <v/>
      </c>
      <c r="BO792" s="300" t="str">
        <f>_xlfn.IFNA(VLOOKUP($BD792,Programma!$F$3:$Q$1107,12,0),"")</f>
        <v/>
      </c>
      <c r="BP792" s="300" t="str">
        <f>_xlfn.IFNA(VLOOKUP($BD792,Programma!$F$3:$R$1107,13,0),"")</f>
        <v/>
      </c>
      <c r="BQ792" s="300" t="str">
        <f>_xlfn.IFNA(VLOOKUP($BD792,Programma!$F$3:$S$1107,14,0),"")</f>
        <v/>
      </c>
      <c r="BR792" s="300" t="str">
        <f>_xlfn.IFNA(VLOOKUP($BD792,Programma!$F$3:$T$1107,15,0),"")</f>
        <v/>
      </c>
      <c r="BS792" s="300" t="str">
        <f>_xlfn.IFNA(VLOOKUP($BD792,Programma!$F$3:$U$1107,16,0),"")</f>
        <v/>
      </c>
      <c r="BT792" s="300" t="str">
        <f>_xlfn.IFNA(VLOOKUP($BD792,Programma!$F$3:$V$1107,17,0),"")</f>
        <v/>
      </c>
      <c r="BU792" s="300" t="str">
        <f>_xlfn.IFNA(VLOOKUP($BD792,Programma!$F$3:$W$1107,18,0),"")</f>
        <v/>
      </c>
      <c r="BV792" s="300" t="str">
        <f>_xlfn.IFNA(VLOOKUP($BD792,Programma!$F$3:$X$1107,19,0),"")</f>
        <v/>
      </c>
      <c r="BW792" s="300" t="str">
        <f>_xlfn.IFNA(VLOOKUP($BD792,Programma!$F$3:$Y$1107,20,0),"")</f>
        <v/>
      </c>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c r="GK792" s="4"/>
      <c r="GL792" s="4"/>
      <c r="GM792" s="4"/>
      <c r="GN792" s="4"/>
      <c r="GO792" s="4"/>
      <c r="GP792" s="4"/>
      <c r="GQ792" s="4"/>
      <c r="GR792" s="4"/>
      <c r="GS792" s="4"/>
      <c r="GT792" s="4"/>
      <c r="GU792" s="4"/>
      <c r="GV792" s="4"/>
      <c r="GW792" s="4"/>
      <c r="GX792" s="4"/>
      <c r="GY792" s="4"/>
      <c r="GZ792" s="4"/>
      <c r="HA792" s="4"/>
      <c r="HB792" s="4"/>
      <c r="HC792" s="4"/>
      <c r="HD792" s="4"/>
      <c r="HE792" s="4"/>
      <c r="HF792" s="4"/>
      <c r="HG792" s="4"/>
      <c r="HH792" s="4"/>
      <c r="HI792" s="4"/>
      <c r="HJ792" s="4"/>
      <c r="HK792" s="4"/>
      <c r="HL792" s="4"/>
    </row>
    <row r="793" spans="1:220" ht="15" customHeight="1">
      <c r="A793" s="21">
        <v>8</v>
      </c>
      <c r="B793" s="157" t="str">
        <f>VLOOKUP(Ruimtestaat[[#This Row],[Code]],Locaties[[Code]:[Locatie]],2,FALSE)</f>
        <v>Dalton College</v>
      </c>
      <c r="C793" s="157" t="str">
        <f>VLOOKUP(Ruimtestaat[[#This Row],[Code]],Locaties[[#All],[Code]:[Adres]],4,FALSE)</f>
        <v>Loolaan 125</v>
      </c>
      <c r="D793" s="157" t="str">
        <f>VLOOKUP(Ruimtestaat[[#This Row],[Code]],Locaties[[#All],[Code]:[Postcode]],5,FALSE)</f>
        <v xml:space="preserve">2271 TM </v>
      </c>
      <c r="E793" s="157" t="str">
        <f>VLOOKUP(Ruimtestaat[[#This Row],[Code]],Locaties[#All],6,FALSE)</f>
        <v>Voorburg</v>
      </c>
      <c r="F793" s="62"/>
      <c r="G793" s="21" t="s">
        <v>1624</v>
      </c>
      <c r="H793" s="21" t="s">
        <v>1951</v>
      </c>
      <c r="I793" s="62" t="s">
        <v>2255</v>
      </c>
      <c r="J793" s="21">
        <v>16</v>
      </c>
      <c r="K793" s="62" t="str">
        <f>VLOOKUP(Ruimtestaat[[#This Row],[Ruimte code]],Ruimtegroepen[[#All],[Code]:[Ruimte omschrijving]],2,FALSE)</f>
        <v>Leslokalen theorie</v>
      </c>
      <c r="L793" s="33" t="s">
        <v>101</v>
      </c>
      <c r="M793" s="367" t="s">
        <v>2495</v>
      </c>
      <c r="N793" s="140">
        <v>48</v>
      </c>
      <c r="O793" s="140"/>
      <c r="P793" s="125" t="str">
        <f>VLOOKUP(Ruimtestaat[[#This Row],[Ruimte code]],Ruimtegroepen[],4,FALSE)</f>
        <v>Le</v>
      </c>
      <c r="R793" s="33">
        <v>40</v>
      </c>
      <c r="S793" s="33" t="s">
        <v>2</v>
      </c>
      <c r="T793" s="33">
        <f>IF(R793&gt;0,IF(RIGHT(Ruimtestaat[[#This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3" s="33">
        <f>IF(T793&gt;0,VLOOKUP($J793,Ruimtegroepen[],3,FALSE)*VLOOKUP($L793,Vloersoorten[],3,FALSE)*VLOOKUP($S793,Frequenties[],3,FALSE)*VLOOKUP($A793,Locaties[],3,FALSE),0)</f>
        <v>0</v>
      </c>
      <c r="V793" s="33">
        <f>Ruimtestaat[[#This Row],[Uitvoeringen werkdagen]]*Ruimtestaat[[#This Row],[Oppervlak (netto)]]</f>
        <v>9600</v>
      </c>
      <c r="W793" s="154">
        <f>IF(U793&gt;0,Ruimtestaat[[#This Row],[Prest. (m2 /jaar) werkdagen]]/Ruimtestaat[[#This Row],[Norm (m2/uur) werkdagen]],0)</f>
        <v>0</v>
      </c>
      <c r="X793" s="155">
        <f>Ruimtestaat[[#This Row],[uren / jaar werkdagen]]*Tariefsopbouw!$E$35</f>
        <v>0</v>
      </c>
      <c r="Y793" s="33"/>
      <c r="Z793" s="33">
        <f>IF(Ruimtestaat[[#This Row],[Frequentie weekend]]&gt;0,VALUE(LEFT(Y793,1))*R793,0)</f>
        <v>0</v>
      </c>
      <c r="AA793" s="97">
        <f>IF($Z793&gt;0,VLOOKUP($J793,Ruimtegroepen[],3,FALSE)*VLOOKUP($L793,Vloersoorten[],3,FALSE)*VLOOKUP($Y793,Frequenties[],3,FALSE)*VLOOKUP(Ruimtestaat[[#This Row],[Code]],Locaties[],3,FALSE),0)</f>
        <v>0</v>
      </c>
      <c r="AB793" s="97">
        <f>Ruimtestaat[[#This Row],[Uitvoeringen weekend]]*Ruimtestaat[[#This Row],[Oppervlak (netto)]]</f>
        <v>0</v>
      </c>
      <c r="AC793" s="97">
        <f>IF(AA793&gt;0,Ruimtestaat[[#This Row],[Prest. (m2 /jaar) weekend]]/Ruimtestaat[[#This Row],[Norm (m2/uur) weekend]],0)</f>
        <v>0</v>
      </c>
      <c r="AD793" s="155">
        <f>Ruimtestaat[[#This Row],[uren / jaar weekend]]*Tariefsopbouw!$D$40</f>
        <v>0</v>
      </c>
      <c r="AE793" s="154">
        <f>Ruimtestaat[[#This Row],[Prest. (m2 /jaar) weekend]]+Ruimtestaat[[#This Row],[Prest. (m2 /jaar) werkdagen]]</f>
        <v>9600</v>
      </c>
      <c r="AF793" s="154">
        <f>Ruimtestaat[[#This Row],[uren / jaar weekend]]+Ruimtestaat[[#This Row],[uren / jaar werkdagen]]</f>
        <v>0</v>
      </c>
      <c r="AG793" s="69">
        <f>Ruimtestaat[[#This Row],[kosten / jaar weekend]]+Ruimtestaat[[#This Row],[kosten / jaar werkdagen]]</f>
        <v>0</v>
      </c>
      <c r="AH793" s="69"/>
      <c r="AI793" s="256" t="str">
        <f>IF(Ruimtestaat[[#This Row],[Frequentie werkdagen]]="","",_xlfn.CONCAT(Ruimtestaat[[#This Row],[Ruimte code]],"-",Ruimtestaat[[#This Row],[Frequentie werkdagen]]," ",Ruimtestaat[[#This Row],[Vloer code]]))</f>
        <v>16-5w L</v>
      </c>
      <c r="AJ793" s="300" t="str">
        <f>_xlfn.IFNA(VLOOKUP($AI793,Programma!$F$3:$G$1107,2,0),"")</f>
        <v>_</v>
      </c>
      <c r="AK793" s="300" t="str">
        <f>_xlfn.IFNA(VLOOKUP($AI793,Programma!$F$3:$H$1107,3,0),"")</f>
        <v>_</v>
      </c>
      <c r="AL793" s="300" t="str">
        <f>_xlfn.IFNA(VLOOKUP($AI793,Programma!$F$3:$I$1107,4,0),"")</f>
        <v>4w</v>
      </c>
      <c r="AM793" s="300" t="str">
        <f>_xlfn.IFNA(VLOOKUP($AI793,Programma!$F$3:$J$1107,5,0),"")</f>
        <v>1w</v>
      </c>
      <c r="AN793" s="300" t="str">
        <f>_xlfn.IFNA(VLOOKUP($AI793,Programma!$F$3:$K$1107,6,0),"")</f>
        <v>_</v>
      </c>
      <c r="AO793" s="300" t="str">
        <f>_xlfn.IFNA(VLOOKUP($AI793,Programma!$F$3:$L$1107,7,0),"")</f>
        <v>_</v>
      </c>
      <c r="AP793" s="300" t="str">
        <f>_xlfn.IFNA(VLOOKUP($AI793,Programma!$F$3:$M$1107,8,0),"")</f>
        <v>_</v>
      </c>
      <c r="AQ793" s="300" t="str">
        <f>_xlfn.IFNA(VLOOKUP($AI793,Programma!$F$3:$N$1107,9,0),"")</f>
        <v>_</v>
      </c>
      <c r="AR793" s="300" t="str">
        <f>_xlfn.IFNA(VLOOKUP($AI793,Programma!$F$3:$O$1107,10,0),"")</f>
        <v>5w</v>
      </c>
      <c r="AS793" s="300" t="str">
        <f>_xlfn.IFNA(VLOOKUP($AI793,Programma!$F$3:$P$1107,11,0),"")</f>
        <v>5w</v>
      </c>
      <c r="AT793" s="300" t="str">
        <f>_xlfn.IFNA(VLOOKUP($AI793,Programma!$F$3:$Q$1107,12,0),"")</f>
        <v>1w</v>
      </c>
      <c r="AU793" s="300" t="str">
        <f>_xlfn.IFNA(VLOOKUP($AI793,Programma!$F$3:$R$1107,13,0),"")</f>
        <v>1w</v>
      </c>
      <c r="AV793" s="300" t="str">
        <f>_xlfn.IFNA(VLOOKUP($AI793,Programma!$F$3:$S$1107,14,0),"")</f>
        <v>1m</v>
      </c>
      <c r="AW793" s="300" t="str">
        <f>_xlfn.IFNA(VLOOKUP($AI793,Programma!$F$3:$T$1107,15,0),"")</f>
        <v>2j</v>
      </c>
      <c r="AX793" s="300" t="str">
        <f>_xlfn.IFNA(VLOOKUP($AI793,Programma!$F$3:$U$1107,16,0),"")</f>
        <v>1j</v>
      </c>
      <c r="AY793" s="300" t="str">
        <f>_xlfn.IFNA(VLOOKUP($AI793,Programma!$F$3:$V$1107,17,0),"")</f>
        <v>_</v>
      </c>
      <c r="AZ793" s="300" t="str">
        <f>_xlfn.IFNA(VLOOKUP($AI793,Programma!$F$3:$W$1107,18,0),"")</f>
        <v>_</v>
      </c>
      <c r="BA793" s="300" t="str">
        <f>_xlfn.IFNA(VLOOKUP($AI793,Programma!$F$3:$X$1107,19,0),"")</f>
        <v>_</v>
      </c>
      <c r="BB793" s="300" t="str">
        <f>_xlfn.IFNA(VLOOKUP($AI793,Programma!$F$3:$Y$1107,20,0),"")</f>
        <v>_</v>
      </c>
      <c r="BC793" s="257"/>
      <c r="BD793" s="256" t="str">
        <f>IF(Ruimtestaat[[#This Row],[Frequentie weekend]]="","",_xlfn.CONCAT(Ruimtestaat[[#This Row],[Ruimte code]],"-",Ruimtestaat[[#This Row],[Frequentie weekend]]," ",Ruimtestaat[[#This Row],[Vloer code]]))</f>
        <v/>
      </c>
      <c r="BE793" s="300" t="str">
        <f>_xlfn.IFNA(VLOOKUP($BD793,Programma!$F$3:$G$1107,2,0),"")</f>
        <v/>
      </c>
      <c r="BF793" s="300" t="str">
        <f>_xlfn.IFNA(VLOOKUP($BD793,Programma!$F$3:$H$1107,3,0),"")</f>
        <v/>
      </c>
      <c r="BG793" s="300" t="str">
        <f>_xlfn.IFNA(VLOOKUP($BD793,Programma!$F$3:$I$1107,4,0),"")</f>
        <v/>
      </c>
      <c r="BH793" s="300" t="str">
        <f>_xlfn.IFNA(VLOOKUP($BD793,Programma!$F$3:$J$1107,5,0),"")</f>
        <v/>
      </c>
      <c r="BI793" s="300" t="str">
        <f>_xlfn.IFNA(VLOOKUP($BD793,Programma!$F$3:$K$1107,6,0),"")</f>
        <v/>
      </c>
      <c r="BJ793" s="300" t="str">
        <f>_xlfn.IFNA(VLOOKUP($BD793,Programma!$F$3:$L$1107,7,0),"")</f>
        <v/>
      </c>
      <c r="BK793" s="300" t="str">
        <f>_xlfn.IFNA(VLOOKUP($BD793,Programma!$F$3:$M$1107,8,0),"")</f>
        <v/>
      </c>
      <c r="BL793" s="300" t="str">
        <f>_xlfn.IFNA(VLOOKUP($BD793,Programma!$F$3:$N$1107,9,0),"")</f>
        <v/>
      </c>
      <c r="BM793" s="300" t="str">
        <f>_xlfn.IFNA(VLOOKUP($BD793,Programma!$F$3:$O$1107,10,0),"")</f>
        <v/>
      </c>
      <c r="BN793" s="300" t="str">
        <f>_xlfn.IFNA(VLOOKUP($BD793,Programma!$F$3:$P$1107,11,0),"")</f>
        <v/>
      </c>
      <c r="BO793" s="300" t="str">
        <f>_xlfn.IFNA(VLOOKUP($BD793,Programma!$F$3:$Q$1107,12,0),"")</f>
        <v/>
      </c>
      <c r="BP793" s="300" t="str">
        <f>_xlfn.IFNA(VLOOKUP($BD793,Programma!$F$3:$R$1107,13,0),"")</f>
        <v/>
      </c>
      <c r="BQ793" s="300" t="str">
        <f>_xlfn.IFNA(VLOOKUP($BD793,Programma!$F$3:$S$1107,14,0),"")</f>
        <v/>
      </c>
      <c r="BR793" s="300" t="str">
        <f>_xlfn.IFNA(VLOOKUP($BD793,Programma!$F$3:$T$1107,15,0),"")</f>
        <v/>
      </c>
      <c r="BS793" s="300" t="str">
        <f>_xlfn.IFNA(VLOOKUP($BD793,Programma!$F$3:$U$1107,16,0),"")</f>
        <v/>
      </c>
      <c r="BT793" s="300" t="str">
        <f>_xlfn.IFNA(VLOOKUP($BD793,Programma!$F$3:$V$1107,17,0),"")</f>
        <v/>
      </c>
      <c r="BU793" s="300" t="str">
        <f>_xlfn.IFNA(VLOOKUP($BD793,Programma!$F$3:$W$1107,18,0),"")</f>
        <v/>
      </c>
      <c r="BV793" s="300" t="str">
        <f>_xlfn.IFNA(VLOOKUP($BD793,Programma!$F$3:$X$1107,19,0),"")</f>
        <v/>
      </c>
      <c r="BW793" s="300" t="str">
        <f>_xlfn.IFNA(VLOOKUP($BD793,Programma!$F$3:$Y$1107,20,0),"")</f>
        <v/>
      </c>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c r="GK793" s="4"/>
      <c r="GL793" s="4"/>
      <c r="GM793" s="4"/>
      <c r="GN793" s="4"/>
      <c r="GO793" s="4"/>
      <c r="GP793" s="4"/>
      <c r="GQ793" s="4"/>
      <c r="GR793" s="4"/>
      <c r="GS793" s="4"/>
      <c r="GT793" s="4"/>
      <c r="GU793" s="4"/>
      <c r="GV793" s="4"/>
      <c r="GW793" s="4"/>
      <c r="GX793" s="4"/>
      <c r="GY793" s="4"/>
      <c r="GZ793" s="4"/>
      <c r="HA793" s="4"/>
      <c r="HB793" s="4"/>
      <c r="HC793" s="4"/>
      <c r="HD793" s="4"/>
      <c r="HE793" s="4"/>
      <c r="HF793" s="4"/>
      <c r="HG793" s="4"/>
      <c r="HH793" s="4"/>
      <c r="HI793" s="4"/>
      <c r="HJ793" s="4"/>
      <c r="HK793" s="4"/>
      <c r="HL793" s="4"/>
    </row>
    <row r="794" spans="1:220" ht="15" customHeight="1">
      <c r="A794" s="21">
        <v>8</v>
      </c>
      <c r="B794" s="157" t="str">
        <f>VLOOKUP(Ruimtestaat[[#This Row],[Code]],Locaties[[Code]:[Locatie]],2,FALSE)</f>
        <v>Dalton College</v>
      </c>
      <c r="C794" s="157" t="str">
        <f>VLOOKUP(Ruimtestaat[[#This Row],[Code]],Locaties[[#All],[Code]:[Adres]],4,FALSE)</f>
        <v>Loolaan 125</v>
      </c>
      <c r="D794" s="157" t="str">
        <f>VLOOKUP(Ruimtestaat[[#This Row],[Code]],Locaties[[#All],[Code]:[Postcode]],5,FALSE)</f>
        <v xml:space="preserve">2271 TM </v>
      </c>
      <c r="E794" s="157" t="str">
        <f>VLOOKUP(Ruimtestaat[[#This Row],[Code]],Locaties[#All],6,FALSE)</f>
        <v>Voorburg</v>
      </c>
      <c r="F794" s="62"/>
      <c r="G794" s="21" t="s">
        <v>1624</v>
      </c>
      <c r="H794" s="21" t="s">
        <v>2256</v>
      </c>
      <c r="I794" s="62" t="s">
        <v>2223</v>
      </c>
      <c r="J794" s="21">
        <v>10</v>
      </c>
      <c r="K794" s="62" t="str">
        <f>VLOOKUP(Ruimtestaat[[#This Row],[Ruimte code]],Ruimtegroepen[[#All],[Code]:[Ruimte omschrijving]],2,FALSE)</f>
        <v>Trappenhuizen/lift</v>
      </c>
      <c r="L794" s="33" t="s">
        <v>102</v>
      </c>
      <c r="M794" s="367" t="s">
        <v>2509</v>
      </c>
      <c r="N794" s="140">
        <v>8</v>
      </c>
      <c r="O794" s="140"/>
      <c r="P794" s="125" t="str">
        <f>VLOOKUP(Ruimtestaat[[#This Row],[Ruimte code]],Ruimtegroepen[],4,FALSE)</f>
        <v>Ve</v>
      </c>
      <c r="R794" s="33">
        <v>40</v>
      </c>
      <c r="S794" s="33" t="s">
        <v>2</v>
      </c>
      <c r="T794" s="33">
        <f>IF(R794&gt;0,IF(RIGHT(Ruimtestaat[[#This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4" s="33">
        <f>IF(T794&gt;0,VLOOKUP($J794,Ruimtegroepen[],3,FALSE)*VLOOKUP($L794,Vloersoorten[],3,FALSE)*VLOOKUP($S794,Frequenties[],3,FALSE)*VLOOKUP($A794,Locaties[],3,FALSE),0)</f>
        <v>0</v>
      </c>
      <c r="V794" s="33">
        <f>Ruimtestaat[[#This Row],[Uitvoeringen werkdagen]]*Ruimtestaat[[#This Row],[Oppervlak (netto)]]</f>
        <v>1600</v>
      </c>
      <c r="W794" s="154">
        <f>IF(U794&gt;0,Ruimtestaat[[#This Row],[Prest. (m2 /jaar) werkdagen]]/Ruimtestaat[[#This Row],[Norm (m2/uur) werkdagen]],0)</f>
        <v>0</v>
      </c>
      <c r="X794" s="155">
        <f>Ruimtestaat[[#This Row],[uren / jaar werkdagen]]*Tariefsopbouw!$E$35</f>
        <v>0</v>
      </c>
      <c r="Y794" s="33"/>
      <c r="Z794" s="33">
        <f>IF(Ruimtestaat[[#This Row],[Frequentie weekend]]&gt;0,VALUE(LEFT(Y794,1))*R794,0)</f>
        <v>0</v>
      </c>
      <c r="AA794" s="97">
        <f>IF($Z794&gt;0,VLOOKUP($J794,Ruimtegroepen[],3,FALSE)*VLOOKUP($L794,Vloersoorten[],3,FALSE)*VLOOKUP($Y794,Frequenties[],3,FALSE)*VLOOKUP(Ruimtestaat[[#This Row],[Code]],Locaties[],3,FALSE),0)</f>
        <v>0</v>
      </c>
      <c r="AB794" s="97">
        <f>Ruimtestaat[[#This Row],[Uitvoeringen weekend]]*Ruimtestaat[[#This Row],[Oppervlak (netto)]]</f>
        <v>0</v>
      </c>
      <c r="AC794" s="97">
        <f>IF(AA794&gt;0,Ruimtestaat[[#This Row],[Prest. (m2 /jaar) weekend]]/Ruimtestaat[[#This Row],[Norm (m2/uur) weekend]],0)</f>
        <v>0</v>
      </c>
      <c r="AD794" s="155">
        <f>Ruimtestaat[[#This Row],[uren / jaar weekend]]*Tariefsopbouw!$D$40</f>
        <v>0</v>
      </c>
      <c r="AE794" s="154">
        <f>Ruimtestaat[[#This Row],[Prest. (m2 /jaar) weekend]]+Ruimtestaat[[#This Row],[Prest. (m2 /jaar) werkdagen]]</f>
        <v>1600</v>
      </c>
      <c r="AF794" s="154">
        <f>Ruimtestaat[[#This Row],[uren / jaar weekend]]+Ruimtestaat[[#This Row],[uren / jaar werkdagen]]</f>
        <v>0</v>
      </c>
      <c r="AG794" s="69">
        <f>Ruimtestaat[[#This Row],[kosten / jaar weekend]]+Ruimtestaat[[#This Row],[kosten / jaar werkdagen]]</f>
        <v>0</v>
      </c>
      <c r="AH794" s="69"/>
      <c r="AI794" s="256" t="str">
        <f>IF(Ruimtestaat[[#This Row],[Frequentie werkdagen]]="","",_xlfn.CONCAT(Ruimtestaat[[#This Row],[Ruimte code]],"-",Ruimtestaat[[#This Row],[Frequentie werkdagen]]," ",Ruimtestaat[[#This Row],[Vloer code]]))</f>
        <v>10-5w S</v>
      </c>
      <c r="AJ794" s="300" t="str">
        <f>_xlfn.IFNA(VLOOKUP($AI794,Programma!$F$3:$G$1107,2,0),"")</f>
        <v>_</v>
      </c>
      <c r="AK794" s="300" t="str">
        <f>_xlfn.IFNA(VLOOKUP($AI794,Programma!$F$3:$H$1107,3,0),"")</f>
        <v>_</v>
      </c>
      <c r="AL794" s="300" t="str">
        <f>_xlfn.IFNA(VLOOKUP($AI794,Programma!$F$3:$I$1107,4,0),"")</f>
        <v>4w</v>
      </c>
      <c r="AM794" s="300" t="str">
        <f>_xlfn.IFNA(VLOOKUP($AI794,Programma!$F$3:$J$1107,5,0),"")</f>
        <v>1w</v>
      </c>
      <c r="AN794" s="300" t="str">
        <f>_xlfn.IFNA(VLOOKUP($AI794,Programma!$F$3:$K$1107,6,0),"")</f>
        <v>4j</v>
      </c>
      <c r="AO794" s="300" t="str">
        <f>_xlfn.IFNA(VLOOKUP($AI794,Programma!$F$3:$L$1107,7,0),"")</f>
        <v>_</v>
      </c>
      <c r="AP794" s="300" t="str">
        <f>_xlfn.IFNA(VLOOKUP($AI794,Programma!$F$3:$M$1107,8,0),"")</f>
        <v>_</v>
      </c>
      <c r="AQ794" s="300" t="str">
        <f>_xlfn.IFNA(VLOOKUP($AI794,Programma!$F$3:$N$1107,9,0),"")</f>
        <v>_</v>
      </c>
      <c r="AR794" s="300" t="str">
        <f>_xlfn.IFNA(VLOOKUP($AI794,Programma!$F$3:$O$1107,10,0),"")</f>
        <v>5w</v>
      </c>
      <c r="AS794" s="300" t="str">
        <f>_xlfn.IFNA(VLOOKUP($AI794,Programma!$F$3:$P$1107,11,0),"")</f>
        <v>5w</v>
      </c>
      <c r="AT794" s="300" t="str">
        <f>_xlfn.IFNA(VLOOKUP($AI794,Programma!$F$3:$Q$1107,12,0),"")</f>
        <v>1w</v>
      </c>
      <c r="AU794" s="300" t="str">
        <f>_xlfn.IFNA(VLOOKUP($AI794,Programma!$F$3:$R$1107,13,0),"")</f>
        <v>1w</v>
      </c>
      <c r="AV794" s="300" t="str">
        <f>_xlfn.IFNA(VLOOKUP($AI794,Programma!$F$3:$S$1107,14,0),"")</f>
        <v>1m</v>
      </c>
      <c r="AW794" s="300" t="str">
        <f>_xlfn.IFNA(VLOOKUP($AI794,Programma!$F$3:$T$1107,15,0),"")</f>
        <v>2j</v>
      </c>
      <c r="AX794" s="300" t="str">
        <f>_xlfn.IFNA(VLOOKUP($AI794,Programma!$F$3:$U$1107,16,0),"")</f>
        <v>1j</v>
      </c>
      <c r="AY794" s="300" t="str">
        <f>_xlfn.IFNA(VLOOKUP($AI794,Programma!$F$3:$V$1107,17,0),"")</f>
        <v>_</v>
      </c>
      <c r="AZ794" s="300" t="str">
        <f>_xlfn.IFNA(VLOOKUP($AI794,Programma!$F$3:$W$1107,18,0),"")</f>
        <v>_</v>
      </c>
      <c r="BA794" s="300" t="str">
        <f>_xlfn.IFNA(VLOOKUP($AI794,Programma!$F$3:$X$1107,19,0),"")</f>
        <v>_</v>
      </c>
      <c r="BB794" s="300" t="str">
        <f>_xlfn.IFNA(VLOOKUP($AI794,Programma!$F$3:$Y$1107,20,0),"")</f>
        <v>_</v>
      </c>
      <c r="BC794" s="257"/>
      <c r="BD794" s="256" t="str">
        <f>IF(Ruimtestaat[[#This Row],[Frequentie weekend]]="","",_xlfn.CONCAT(Ruimtestaat[[#This Row],[Ruimte code]],"-",Ruimtestaat[[#This Row],[Frequentie weekend]]," ",Ruimtestaat[[#This Row],[Vloer code]]))</f>
        <v/>
      </c>
      <c r="BE794" s="300" t="str">
        <f>_xlfn.IFNA(VLOOKUP($BD794,Programma!$F$3:$G$1107,2,0),"")</f>
        <v/>
      </c>
      <c r="BF794" s="300" t="str">
        <f>_xlfn.IFNA(VLOOKUP($BD794,Programma!$F$3:$H$1107,3,0),"")</f>
        <v/>
      </c>
      <c r="BG794" s="300" t="str">
        <f>_xlfn.IFNA(VLOOKUP($BD794,Programma!$F$3:$I$1107,4,0),"")</f>
        <v/>
      </c>
      <c r="BH794" s="300" t="str">
        <f>_xlfn.IFNA(VLOOKUP($BD794,Programma!$F$3:$J$1107,5,0),"")</f>
        <v/>
      </c>
      <c r="BI794" s="300" t="str">
        <f>_xlfn.IFNA(VLOOKUP($BD794,Programma!$F$3:$K$1107,6,0),"")</f>
        <v/>
      </c>
      <c r="BJ794" s="300" t="str">
        <f>_xlfn.IFNA(VLOOKUP($BD794,Programma!$F$3:$L$1107,7,0),"")</f>
        <v/>
      </c>
      <c r="BK794" s="300" t="str">
        <f>_xlfn.IFNA(VLOOKUP($BD794,Programma!$F$3:$M$1107,8,0),"")</f>
        <v/>
      </c>
      <c r="BL794" s="300" t="str">
        <f>_xlfn.IFNA(VLOOKUP($BD794,Programma!$F$3:$N$1107,9,0),"")</f>
        <v/>
      </c>
      <c r="BM794" s="300" t="str">
        <f>_xlfn.IFNA(VLOOKUP($BD794,Programma!$F$3:$O$1107,10,0),"")</f>
        <v/>
      </c>
      <c r="BN794" s="300" t="str">
        <f>_xlfn.IFNA(VLOOKUP($BD794,Programma!$F$3:$P$1107,11,0),"")</f>
        <v/>
      </c>
      <c r="BO794" s="300" t="str">
        <f>_xlfn.IFNA(VLOOKUP($BD794,Programma!$F$3:$Q$1107,12,0),"")</f>
        <v/>
      </c>
      <c r="BP794" s="300" t="str">
        <f>_xlfn.IFNA(VLOOKUP($BD794,Programma!$F$3:$R$1107,13,0),"")</f>
        <v/>
      </c>
      <c r="BQ794" s="300" t="str">
        <f>_xlfn.IFNA(VLOOKUP($BD794,Programma!$F$3:$S$1107,14,0),"")</f>
        <v/>
      </c>
      <c r="BR794" s="300" t="str">
        <f>_xlfn.IFNA(VLOOKUP($BD794,Programma!$F$3:$T$1107,15,0),"")</f>
        <v/>
      </c>
      <c r="BS794" s="300" t="str">
        <f>_xlfn.IFNA(VLOOKUP($BD794,Programma!$F$3:$U$1107,16,0),"")</f>
        <v/>
      </c>
      <c r="BT794" s="300" t="str">
        <f>_xlfn.IFNA(VLOOKUP($BD794,Programma!$F$3:$V$1107,17,0),"")</f>
        <v/>
      </c>
      <c r="BU794" s="300" t="str">
        <f>_xlfn.IFNA(VLOOKUP($BD794,Programma!$F$3:$W$1107,18,0),"")</f>
        <v/>
      </c>
      <c r="BV794" s="300" t="str">
        <f>_xlfn.IFNA(VLOOKUP($BD794,Programma!$F$3:$X$1107,19,0),"")</f>
        <v/>
      </c>
      <c r="BW794" s="300" t="str">
        <f>_xlfn.IFNA(VLOOKUP($BD794,Programma!$F$3:$Y$1107,20,0),"")</f>
        <v/>
      </c>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c r="GK794" s="4"/>
      <c r="GL794" s="4"/>
      <c r="GM794" s="4"/>
      <c r="GN794" s="4"/>
      <c r="GO794" s="4"/>
      <c r="GP794" s="4"/>
      <c r="GQ794" s="4"/>
      <c r="GR794" s="4"/>
      <c r="GS794" s="4"/>
      <c r="GT794" s="4"/>
      <c r="GU794" s="4"/>
      <c r="GV794" s="4"/>
      <c r="GW794" s="4"/>
      <c r="GX794" s="4"/>
      <c r="GY794" s="4"/>
      <c r="GZ794" s="4"/>
      <c r="HA794" s="4"/>
      <c r="HB794" s="4"/>
      <c r="HC794" s="4"/>
      <c r="HD794" s="4"/>
      <c r="HE794" s="4"/>
      <c r="HF794" s="4"/>
      <c r="HG794" s="4"/>
      <c r="HH794" s="4"/>
      <c r="HI794" s="4"/>
      <c r="HJ794" s="4"/>
      <c r="HK794" s="4"/>
      <c r="HL794" s="4"/>
    </row>
    <row r="795" spans="1:220" ht="15" customHeight="1">
      <c r="A795" s="21">
        <v>8</v>
      </c>
      <c r="B795" s="157" t="str">
        <f>VLOOKUP(Ruimtestaat[[#This Row],[Code]],Locaties[[Code]:[Locatie]],2,FALSE)</f>
        <v>Dalton College</v>
      </c>
      <c r="C795" s="157" t="str">
        <f>VLOOKUP(Ruimtestaat[[#This Row],[Code]],Locaties[[#All],[Code]:[Adres]],4,FALSE)</f>
        <v>Loolaan 125</v>
      </c>
      <c r="D795" s="157" t="str">
        <f>VLOOKUP(Ruimtestaat[[#This Row],[Code]],Locaties[[#All],[Code]:[Postcode]],5,FALSE)</f>
        <v xml:space="preserve">2271 TM </v>
      </c>
      <c r="E795" s="157" t="str">
        <f>VLOOKUP(Ruimtestaat[[#This Row],[Code]],Locaties[#All],6,FALSE)</f>
        <v>Voorburg</v>
      </c>
      <c r="F795" s="62"/>
      <c r="G795" s="21" t="s">
        <v>1624</v>
      </c>
      <c r="H795" s="21" t="s">
        <v>2257</v>
      </c>
      <c r="I795" s="62" t="s">
        <v>1625</v>
      </c>
      <c r="J795" s="21">
        <v>6</v>
      </c>
      <c r="K795" s="62" t="str">
        <f>VLOOKUP(Ruimtestaat[[#This Row],[Ruimte code]],Ruimtegroepen[[#All],[Code]:[Ruimte omschrijving]],2,FALSE)</f>
        <v>Gangen/hallen</v>
      </c>
      <c r="L795" s="33" t="s">
        <v>101</v>
      </c>
      <c r="M795" s="367" t="s">
        <v>2495</v>
      </c>
      <c r="N795" s="140">
        <v>42</v>
      </c>
      <c r="O795" s="140"/>
      <c r="P795" s="125" t="str">
        <f>VLOOKUP(Ruimtestaat[[#This Row],[Ruimte code]],Ruimtegroepen[],4,FALSE)</f>
        <v>Ve</v>
      </c>
      <c r="R795" s="33">
        <v>40</v>
      </c>
      <c r="S795" s="33" t="s">
        <v>2</v>
      </c>
      <c r="T795" s="33">
        <f>IF(R795&gt;0,IF(RIGHT(Ruimtestaat[[#This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5" s="33">
        <f>IF(T795&gt;0,VLOOKUP($J795,Ruimtegroepen[],3,FALSE)*VLOOKUP($L795,Vloersoorten[],3,FALSE)*VLOOKUP($S795,Frequenties[],3,FALSE)*VLOOKUP($A795,Locaties[],3,FALSE),0)</f>
        <v>0</v>
      </c>
      <c r="V795" s="33">
        <f>Ruimtestaat[[#This Row],[Uitvoeringen werkdagen]]*Ruimtestaat[[#This Row],[Oppervlak (netto)]]</f>
        <v>8400</v>
      </c>
      <c r="W795" s="154">
        <f>IF(U795&gt;0,Ruimtestaat[[#This Row],[Prest. (m2 /jaar) werkdagen]]/Ruimtestaat[[#This Row],[Norm (m2/uur) werkdagen]],0)</f>
        <v>0</v>
      </c>
      <c r="X795" s="155">
        <f>Ruimtestaat[[#This Row],[uren / jaar werkdagen]]*Tariefsopbouw!$E$35</f>
        <v>0</v>
      </c>
      <c r="Y795" s="33"/>
      <c r="Z795" s="33">
        <f>IF(Ruimtestaat[[#This Row],[Frequentie weekend]]&gt;0,VALUE(LEFT(Y795,1))*R795,0)</f>
        <v>0</v>
      </c>
      <c r="AA795" s="97">
        <f>IF($Z795&gt;0,VLOOKUP($J795,Ruimtegroepen[],3,FALSE)*VLOOKUP($L795,Vloersoorten[],3,FALSE)*VLOOKUP($Y795,Frequenties[],3,FALSE)*VLOOKUP(Ruimtestaat[[#This Row],[Code]],Locaties[],3,FALSE),0)</f>
        <v>0</v>
      </c>
      <c r="AB795" s="97">
        <f>Ruimtestaat[[#This Row],[Uitvoeringen weekend]]*Ruimtestaat[[#This Row],[Oppervlak (netto)]]</f>
        <v>0</v>
      </c>
      <c r="AC795" s="97">
        <f>IF(AA795&gt;0,Ruimtestaat[[#This Row],[Prest. (m2 /jaar) weekend]]/Ruimtestaat[[#This Row],[Norm (m2/uur) weekend]],0)</f>
        <v>0</v>
      </c>
      <c r="AD795" s="155">
        <f>Ruimtestaat[[#This Row],[uren / jaar weekend]]*Tariefsopbouw!$D$40</f>
        <v>0</v>
      </c>
      <c r="AE795" s="154">
        <f>Ruimtestaat[[#This Row],[Prest. (m2 /jaar) weekend]]+Ruimtestaat[[#This Row],[Prest. (m2 /jaar) werkdagen]]</f>
        <v>8400</v>
      </c>
      <c r="AF795" s="154">
        <f>Ruimtestaat[[#This Row],[uren / jaar weekend]]+Ruimtestaat[[#This Row],[uren / jaar werkdagen]]</f>
        <v>0</v>
      </c>
      <c r="AG795" s="69">
        <f>Ruimtestaat[[#This Row],[kosten / jaar weekend]]+Ruimtestaat[[#This Row],[kosten / jaar werkdagen]]</f>
        <v>0</v>
      </c>
      <c r="AH795" s="69"/>
      <c r="AI795" s="256" t="str">
        <f>IF(Ruimtestaat[[#This Row],[Frequentie werkdagen]]="","",_xlfn.CONCAT(Ruimtestaat[[#This Row],[Ruimte code]],"-",Ruimtestaat[[#This Row],[Frequentie werkdagen]]," ",Ruimtestaat[[#This Row],[Vloer code]]))</f>
        <v>6-5w L</v>
      </c>
      <c r="AJ795" s="300" t="str">
        <f>_xlfn.IFNA(VLOOKUP($AI795,Programma!$F$3:$G$1107,2,0),"")</f>
        <v>_</v>
      </c>
      <c r="AK795" s="300" t="str">
        <f>_xlfn.IFNA(VLOOKUP($AI795,Programma!$F$3:$H$1107,3,0),"")</f>
        <v>_</v>
      </c>
      <c r="AL795" s="300" t="str">
        <f>_xlfn.IFNA(VLOOKUP($AI795,Programma!$F$3:$I$1107,4,0),"")</f>
        <v>_</v>
      </c>
      <c r="AM795" s="300" t="str">
        <f>_xlfn.IFNA(VLOOKUP($AI795,Programma!$F$3:$J$1107,5,0),"")</f>
        <v>5w</v>
      </c>
      <c r="AN795" s="300" t="str">
        <f>_xlfn.IFNA(VLOOKUP($AI795,Programma!$F$3:$K$1107,6,0),"")</f>
        <v>_</v>
      </c>
      <c r="AO795" s="300" t="str">
        <f>_xlfn.IFNA(VLOOKUP($AI795,Programma!$F$3:$L$1107,7,0),"")</f>
        <v>_</v>
      </c>
      <c r="AP795" s="300" t="str">
        <f>_xlfn.IFNA(VLOOKUP($AI795,Programma!$F$3:$M$1107,8,0),"")</f>
        <v>_</v>
      </c>
      <c r="AQ795" s="300" t="str">
        <f>_xlfn.IFNA(VLOOKUP($AI795,Programma!$F$3:$N$1107,9,0),"")</f>
        <v>_</v>
      </c>
      <c r="AR795" s="300" t="str">
        <f>_xlfn.IFNA(VLOOKUP($AI795,Programma!$F$3:$O$1107,10,0),"")</f>
        <v>5w</v>
      </c>
      <c r="AS795" s="300" t="str">
        <f>_xlfn.IFNA(VLOOKUP($AI795,Programma!$F$3:$P$1107,11,0),"")</f>
        <v>5w</v>
      </c>
      <c r="AT795" s="300" t="str">
        <f>_xlfn.IFNA(VLOOKUP($AI795,Programma!$F$3:$Q$1107,12,0),"")</f>
        <v>1w</v>
      </c>
      <c r="AU795" s="300" t="str">
        <f>_xlfn.IFNA(VLOOKUP($AI795,Programma!$F$3:$R$1107,13,0),"")</f>
        <v>1w</v>
      </c>
      <c r="AV795" s="300" t="str">
        <f>_xlfn.IFNA(VLOOKUP($AI795,Programma!$F$3:$S$1107,14,0),"")</f>
        <v>1m</v>
      </c>
      <c r="AW795" s="300" t="str">
        <f>_xlfn.IFNA(VLOOKUP($AI795,Programma!$F$3:$T$1107,15,0),"")</f>
        <v>2j</v>
      </c>
      <c r="AX795" s="300" t="str">
        <f>_xlfn.IFNA(VLOOKUP($AI795,Programma!$F$3:$U$1107,16,0),"")</f>
        <v>1j</v>
      </c>
      <c r="AY795" s="300" t="str">
        <f>_xlfn.IFNA(VLOOKUP($AI795,Programma!$F$3:$V$1107,17,0),"")</f>
        <v>_</v>
      </c>
      <c r="AZ795" s="300" t="str">
        <f>_xlfn.IFNA(VLOOKUP($AI795,Programma!$F$3:$W$1107,18,0),"")</f>
        <v>_</v>
      </c>
      <c r="BA795" s="300" t="str">
        <f>_xlfn.IFNA(VLOOKUP($AI795,Programma!$F$3:$X$1107,19,0),"")</f>
        <v>_</v>
      </c>
      <c r="BB795" s="300" t="str">
        <f>_xlfn.IFNA(VLOOKUP($AI795,Programma!$F$3:$Y$1107,20,0),"")</f>
        <v>_</v>
      </c>
      <c r="BC795" s="257"/>
      <c r="BD795" s="256" t="str">
        <f>IF(Ruimtestaat[[#This Row],[Frequentie weekend]]="","",_xlfn.CONCAT(Ruimtestaat[[#This Row],[Ruimte code]],"-",Ruimtestaat[[#This Row],[Frequentie weekend]]," ",Ruimtestaat[[#This Row],[Vloer code]]))</f>
        <v/>
      </c>
      <c r="BE795" s="300" t="str">
        <f>_xlfn.IFNA(VLOOKUP($BD795,Programma!$F$3:$G$1107,2,0),"")</f>
        <v/>
      </c>
      <c r="BF795" s="300" t="str">
        <f>_xlfn.IFNA(VLOOKUP($BD795,Programma!$F$3:$H$1107,3,0),"")</f>
        <v/>
      </c>
      <c r="BG795" s="300" t="str">
        <f>_xlfn.IFNA(VLOOKUP($BD795,Programma!$F$3:$I$1107,4,0),"")</f>
        <v/>
      </c>
      <c r="BH795" s="300" t="str">
        <f>_xlfn.IFNA(VLOOKUP($BD795,Programma!$F$3:$J$1107,5,0),"")</f>
        <v/>
      </c>
      <c r="BI795" s="300" t="str">
        <f>_xlfn.IFNA(VLOOKUP($BD795,Programma!$F$3:$K$1107,6,0),"")</f>
        <v/>
      </c>
      <c r="BJ795" s="300" t="str">
        <f>_xlfn.IFNA(VLOOKUP($BD795,Programma!$F$3:$L$1107,7,0),"")</f>
        <v/>
      </c>
      <c r="BK795" s="300" t="str">
        <f>_xlfn.IFNA(VLOOKUP($BD795,Programma!$F$3:$M$1107,8,0),"")</f>
        <v/>
      </c>
      <c r="BL795" s="300" t="str">
        <f>_xlfn.IFNA(VLOOKUP($BD795,Programma!$F$3:$N$1107,9,0),"")</f>
        <v/>
      </c>
      <c r="BM795" s="300" t="str">
        <f>_xlfn.IFNA(VLOOKUP($BD795,Programma!$F$3:$O$1107,10,0),"")</f>
        <v/>
      </c>
      <c r="BN795" s="300" t="str">
        <f>_xlfn.IFNA(VLOOKUP($BD795,Programma!$F$3:$P$1107,11,0),"")</f>
        <v/>
      </c>
      <c r="BO795" s="300" t="str">
        <f>_xlfn.IFNA(VLOOKUP($BD795,Programma!$F$3:$Q$1107,12,0),"")</f>
        <v/>
      </c>
      <c r="BP795" s="300" t="str">
        <f>_xlfn.IFNA(VLOOKUP($BD795,Programma!$F$3:$R$1107,13,0),"")</f>
        <v/>
      </c>
      <c r="BQ795" s="300" t="str">
        <f>_xlfn.IFNA(VLOOKUP($BD795,Programma!$F$3:$S$1107,14,0),"")</f>
        <v/>
      </c>
      <c r="BR795" s="300" t="str">
        <f>_xlfn.IFNA(VLOOKUP($BD795,Programma!$F$3:$T$1107,15,0),"")</f>
        <v/>
      </c>
      <c r="BS795" s="300" t="str">
        <f>_xlfn.IFNA(VLOOKUP($BD795,Programma!$F$3:$U$1107,16,0),"")</f>
        <v/>
      </c>
      <c r="BT795" s="300" t="str">
        <f>_xlfn.IFNA(VLOOKUP($BD795,Programma!$F$3:$V$1107,17,0),"")</f>
        <v/>
      </c>
      <c r="BU795" s="300" t="str">
        <f>_xlfn.IFNA(VLOOKUP($BD795,Programma!$F$3:$W$1107,18,0),"")</f>
        <v/>
      </c>
      <c r="BV795" s="300" t="str">
        <f>_xlfn.IFNA(VLOOKUP($BD795,Programma!$F$3:$X$1107,19,0),"")</f>
        <v/>
      </c>
      <c r="BW795" s="300" t="str">
        <f>_xlfn.IFNA(VLOOKUP($BD795,Programma!$F$3:$Y$1107,20,0),"")</f>
        <v/>
      </c>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c r="GK795" s="4"/>
      <c r="GL795" s="4"/>
      <c r="GM795" s="4"/>
      <c r="GN795" s="4"/>
      <c r="GO795" s="4"/>
      <c r="GP795" s="4"/>
      <c r="GQ795" s="4"/>
      <c r="GR795" s="4"/>
      <c r="GS795" s="4"/>
      <c r="GT795" s="4"/>
      <c r="GU795" s="4"/>
      <c r="GV795" s="4"/>
      <c r="GW795" s="4"/>
      <c r="GX795" s="4"/>
      <c r="GY795" s="4"/>
      <c r="GZ795" s="4"/>
      <c r="HA795" s="4"/>
      <c r="HB795" s="4"/>
      <c r="HC795" s="4"/>
      <c r="HD795" s="4"/>
      <c r="HE795" s="4"/>
      <c r="HF795" s="4"/>
      <c r="HG795" s="4"/>
      <c r="HH795" s="4"/>
      <c r="HI795" s="4"/>
      <c r="HJ795" s="4"/>
      <c r="HK795" s="4"/>
      <c r="HL795" s="4"/>
    </row>
    <row r="796" spans="1:220" ht="15" customHeight="1">
      <c r="A796" s="21">
        <v>8</v>
      </c>
      <c r="B796" s="157" t="str">
        <f>VLOOKUP(Ruimtestaat[[#This Row],[Code]],Locaties[[Code]:[Locatie]],2,FALSE)</f>
        <v>Dalton College</v>
      </c>
      <c r="C796" s="157" t="str">
        <f>VLOOKUP(Ruimtestaat[[#This Row],[Code]],Locaties[[#All],[Code]:[Adres]],4,FALSE)</f>
        <v>Loolaan 125</v>
      </c>
      <c r="D796" s="157" t="str">
        <f>VLOOKUP(Ruimtestaat[[#This Row],[Code]],Locaties[[#All],[Code]:[Postcode]],5,FALSE)</f>
        <v xml:space="preserve">2271 TM </v>
      </c>
      <c r="E796" s="157" t="str">
        <f>VLOOKUP(Ruimtestaat[[#This Row],[Code]],Locaties[#All],6,FALSE)</f>
        <v>Voorburg</v>
      </c>
      <c r="F796" s="62"/>
      <c r="G796" s="21" t="s">
        <v>1624</v>
      </c>
      <c r="H796" s="21" t="s">
        <v>2258</v>
      </c>
      <c r="I796" s="62" t="s">
        <v>1657</v>
      </c>
      <c r="J796" s="21">
        <v>10</v>
      </c>
      <c r="K796" s="62" t="str">
        <f>VLOOKUP(Ruimtestaat[[#This Row],[Ruimte code]],Ruimtegroepen[[#All],[Code]:[Ruimte omschrijving]],2,FALSE)</f>
        <v>Trappenhuizen/lift</v>
      </c>
      <c r="L796" s="33" t="s">
        <v>102</v>
      </c>
      <c r="M796" s="367" t="s">
        <v>2509</v>
      </c>
      <c r="N796" s="140">
        <v>29</v>
      </c>
      <c r="O796" s="140"/>
      <c r="P796" s="125" t="str">
        <f>VLOOKUP(Ruimtestaat[[#This Row],[Ruimte code]],Ruimtegroepen[],4,FALSE)</f>
        <v>Ve</v>
      </c>
      <c r="R796" s="33">
        <v>40</v>
      </c>
      <c r="S796" s="33" t="s">
        <v>2</v>
      </c>
      <c r="T796" s="33">
        <f>IF(R796&gt;0,IF(RIGHT(Ruimtestaat[[#This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6" s="33">
        <f>IF(T796&gt;0,VLOOKUP($J796,Ruimtegroepen[],3,FALSE)*VLOOKUP($L796,Vloersoorten[],3,FALSE)*VLOOKUP($S796,Frequenties[],3,FALSE)*VLOOKUP($A796,Locaties[],3,FALSE),0)</f>
        <v>0</v>
      </c>
      <c r="V796" s="33">
        <f>Ruimtestaat[[#This Row],[Uitvoeringen werkdagen]]*Ruimtestaat[[#This Row],[Oppervlak (netto)]]</f>
        <v>5800</v>
      </c>
      <c r="W796" s="154">
        <f>IF(U796&gt;0,Ruimtestaat[[#This Row],[Prest. (m2 /jaar) werkdagen]]/Ruimtestaat[[#This Row],[Norm (m2/uur) werkdagen]],0)</f>
        <v>0</v>
      </c>
      <c r="X796" s="155">
        <f>Ruimtestaat[[#This Row],[uren / jaar werkdagen]]*Tariefsopbouw!$E$35</f>
        <v>0</v>
      </c>
      <c r="Y796" s="33"/>
      <c r="Z796" s="33">
        <f>IF(Ruimtestaat[[#This Row],[Frequentie weekend]]&gt;0,VALUE(LEFT(Y796,1))*R796,0)</f>
        <v>0</v>
      </c>
      <c r="AA796" s="97">
        <f>IF($Z796&gt;0,VLOOKUP($J796,Ruimtegroepen[],3,FALSE)*VLOOKUP($L796,Vloersoorten[],3,FALSE)*VLOOKUP($Y796,Frequenties[],3,FALSE)*VLOOKUP(Ruimtestaat[[#This Row],[Code]],Locaties[],3,FALSE),0)</f>
        <v>0</v>
      </c>
      <c r="AB796" s="97">
        <f>Ruimtestaat[[#This Row],[Uitvoeringen weekend]]*Ruimtestaat[[#This Row],[Oppervlak (netto)]]</f>
        <v>0</v>
      </c>
      <c r="AC796" s="97">
        <f>IF(AA796&gt;0,Ruimtestaat[[#This Row],[Prest. (m2 /jaar) weekend]]/Ruimtestaat[[#This Row],[Norm (m2/uur) weekend]],0)</f>
        <v>0</v>
      </c>
      <c r="AD796" s="155">
        <f>Ruimtestaat[[#This Row],[uren / jaar weekend]]*Tariefsopbouw!$D$40</f>
        <v>0</v>
      </c>
      <c r="AE796" s="154">
        <f>Ruimtestaat[[#This Row],[Prest. (m2 /jaar) weekend]]+Ruimtestaat[[#This Row],[Prest. (m2 /jaar) werkdagen]]</f>
        <v>5800</v>
      </c>
      <c r="AF796" s="154">
        <f>Ruimtestaat[[#This Row],[uren / jaar weekend]]+Ruimtestaat[[#This Row],[uren / jaar werkdagen]]</f>
        <v>0</v>
      </c>
      <c r="AG796" s="69">
        <f>Ruimtestaat[[#This Row],[kosten / jaar weekend]]+Ruimtestaat[[#This Row],[kosten / jaar werkdagen]]</f>
        <v>0</v>
      </c>
      <c r="AH796" s="69"/>
      <c r="AI796" s="256" t="str">
        <f>IF(Ruimtestaat[[#This Row],[Frequentie werkdagen]]="","",_xlfn.CONCAT(Ruimtestaat[[#This Row],[Ruimte code]],"-",Ruimtestaat[[#This Row],[Frequentie werkdagen]]," ",Ruimtestaat[[#This Row],[Vloer code]]))</f>
        <v>10-5w S</v>
      </c>
      <c r="AJ796" s="300" t="str">
        <f>_xlfn.IFNA(VLOOKUP($AI796,Programma!$F$3:$G$1107,2,0),"")</f>
        <v>_</v>
      </c>
      <c r="AK796" s="300" t="str">
        <f>_xlfn.IFNA(VLOOKUP($AI796,Programma!$F$3:$H$1107,3,0),"")</f>
        <v>_</v>
      </c>
      <c r="AL796" s="300" t="str">
        <f>_xlfn.IFNA(VLOOKUP($AI796,Programma!$F$3:$I$1107,4,0),"")</f>
        <v>4w</v>
      </c>
      <c r="AM796" s="300" t="str">
        <f>_xlfn.IFNA(VLOOKUP($AI796,Programma!$F$3:$J$1107,5,0),"")</f>
        <v>1w</v>
      </c>
      <c r="AN796" s="300" t="str">
        <f>_xlfn.IFNA(VLOOKUP($AI796,Programma!$F$3:$K$1107,6,0),"")</f>
        <v>4j</v>
      </c>
      <c r="AO796" s="300" t="str">
        <f>_xlfn.IFNA(VLOOKUP($AI796,Programma!$F$3:$L$1107,7,0),"")</f>
        <v>_</v>
      </c>
      <c r="AP796" s="300" t="str">
        <f>_xlfn.IFNA(VLOOKUP($AI796,Programma!$F$3:$M$1107,8,0),"")</f>
        <v>_</v>
      </c>
      <c r="AQ796" s="300" t="str">
        <f>_xlfn.IFNA(VLOOKUP($AI796,Programma!$F$3:$N$1107,9,0),"")</f>
        <v>_</v>
      </c>
      <c r="AR796" s="300" t="str">
        <f>_xlfn.IFNA(VLOOKUP($AI796,Programma!$F$3:$O$1107,10,0),"")</f>
        <v>5w</v>
      </c>
      <c r="AS796" s="300" t="str">
        <f>_xlfn.IFNA(VLOOKUP($AI796,Programma!$F$3:$P$1107,11,0),"")</f>
        <v>5w</v>
      </c>
      <c r="AT796" s="300" t="str">
        <f>_xlfn.IFNA(VLOOKUP($AI796,Programma!$F$3:$Q$1107,12,0),"")</f>
        <v>1w</v>
      </c>
      <c r="AU796" s="300" t="str">
        <f>_xlfn.IFNA(VLOOKUP($AI796,Programma!$F$3:$R$1107,13,0),"")</f>
        <v>1w</v>
      </c>
      <c r="AV796" s="300" t="str">
        <f>_xlfn.IFNA(VLOOKUP($AI796,Programma!$F$3:$S$1107,14,0),"")</f>
        <v>1m</v>
      </c>
      <c r="AW796" s="300" t="str">
        <f>_xlfn.IFNA(VLOOKUP($AI796,Programma!$F$3:$T$1107,15,0),"")</f>
        <v>2j</v>
      </c>
      <c r="AX796" s="300" t="str">
        <f>_xlfn.IFNA(VLOOKUP($AI796,Programma!$F$3:$U$1107,16,0),"")</f>
        <v>1j</v>
      </c>
      <c r="AY796" s="300" t="str">
        <f>_xlfn.IFNA(VLOOKUP($AI796,Programma!$F$3:$V$1107,17,0),"")</f>
        <v>_</v>
      </c>
      <c r="AZ796" s="300" t="str">
        <f>_xlfn.IFNA(VLOOKUP($AI796,Programma!$F$3:$W$1107,18,0),"")</f>
        <v>_</v>
      </c>
      <c r="BA796" s="300" t="str">
        <f>_xlfn.IFNA(VLOOKUP($AI796,Programma!$F$3:$X$1107,19,0),"")</f>
        <v>_</v>
      </c>
      <c r="BB796" s="300" t="str">
        <f>_xlfn.IFNA(VLOOKUP($AI796,Programma!$F$3:$Y$1107,20,0),"")</f>
        <v>_</v>
      </c>
      <c r="BC796" s="257"/>
      <c r="BD796" s="256" t="str">
        <f>IF(Ruimtestaat[[#This Row],[Frequentie weekend]]="","",_xlfn.CONCAT(Ruimtestaat[[#This Row],[Ruimte code]],"-",Ruimtestaat[[#This Row],[Frequentie weekend]]," ",Ruimtestaat[[#This Row],[Vloer code]]))</f>
        <v/>
      </c>
      <c r="BE796" s="300" t="str">
        <f>_xlfn.IFNA(VLOOKUP($BD796,Programma!$F$3:$G$1107,2,0),"")</f>
        <v/>
      </c>
      <c r="BF796" s="300" t="str">
        <f>_xlfn.IFNA(VLOOKUP($BD796,Programma!$F$3:$H$1107,3,0),"")</f>
        <v/>
      </c>
      <c r="BG796" s="300" t="str">
        <f>_xlfn.IFNA(VLOOKUP($BD796,Programma!$F$3:$I$1107,4,0),"")</f>
        <v/>
      </c>
      <c r="BH796" s="300" t="str">
        <f>_xlfn.IFNA(VLOOKUP($BD796,Programma!$F$3:$J$1107,5,0),"")</f>
        <v/>
      </c>
      <c r="BI796" s="300" t="str">
        <f>_xlfn.IFNA(VLOOKUP($BD796,Programma!$F$3:$K$1107,6,0),"")</f>
        <v/>
      </c>
      <c r="BJ796" s="300" t="str">
        <f>_xlfn.IFNA(VLOOKUP($BD796,Programma!$F$3:$L$1107,7,0),"")</f>
        <v/>
      </c>
      <c r="BK796" s="300" t="str">
        <f>_xlfn.IFNA(VLOOKUP($BD796,Programma!$F$3:$M$1107,8,0),"")</f>
        <v/>
      </c>
      <c r="BL796" s="300" t="str">
        <f>_xlfn.IFNA(VLOOKUP($BD796,Programma!$F$3:$N$1107,9,0),"")</f>
        <v/>
      </c>
      <c r="BM796" s="300" t="str">
        <f>_xlfn.IFNA(VLOOKUP($BD796,Programma!$F$3:$O$1107,10,0),"")</f>
        <v/>
      </c>
      <c r="BN796" s="300" t="str">
        <f>_xlfn.IFNA(VLOOKUP($BD796,Programma!$F$3:$P$1107,11,0),"")</f>
        <v/>
      </c>
      <c r="BO796" s="300" t="str">
        <f>_xlfn.IFNA(VLOOKUP($BD796,Programma!$F$3:$Q$1107,12,0),"")</f>
        <v/>
      </c>
      <c r="BP796" s="300" t="str">
        <f>_xlfn.IFNA(VLOOKUP($BD796,Programma!$F$3:$R$1107,13,0),"")</f>
        <v/>
      </c>
      <c r="BQ796" s="300" t="str">
        <f>_xlfn.IFNA(VLOOKUP($BD796,Programma!$F$3:$S$1107,14,0),"")</f>
        <v/>
      </c>
      <c r="BR796" s="300" t="str">
        <f>_xlfn.IFNA(VLOOKUP($BD796,Programma!$F$3:$T$1107,15,0),"")</f>
        <v/>
      </c>
      <c r="BS796" s="300" t="str">
        <f>_xlfn.IFNA(VLOOKUP($BD796,Programma!$F$3:$U$1107,16,0),"")</f>
        <v/>
      </c>
      <c r="BT796" s="300" t="str">
        <f>_xlfn.IFNA(VLOOKUP($BD796,Programma!$F$3:$V$1107,17,0),"")</f>
        <v/>
      </c>
      <c r="BU796" s="300" t="str">
        <f>_xlfn.IFNA(VLOOKUP($BD796,Programma!$F$3:$W$1107,18,0),"")</f>
        <v/>
      </c>
      <c r="BV796" s="300" t="str">
        <f>_xlfn.IFNA(VLOOKUP($BD796,Programma!$F$3:$X$1107,19,0),"")</f>
        <v/>
      </c>
      <c r="BW796" s="300" t="str">
        <f>_xlfn.IFNA(VLOOKUP($BD796,Programma!$F$3:$Y$1107,20,0),"")</f>
        <v/>
      </c>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c r="GK796" s="4"/>
      <c r="GL796" s="4"/>
      <c r="GM796" s="4"/>
      <c r="GN796" s="4"/>
      <c r="GO796" s="4"/>
      <c r="GP796" s="4"/>
      <c r="GQ796" s="4"/>
      <c r="GR796" s="4"/>
      <c r="GS796" s="4"/>
      <c r="GT796" s="4"/>
      <c r="GU796" s="4"/>
      <c r="GV796" s="4"/>
      <c r="GW796" s="4"/>
      <c r="GX796" s="4"/>
      <c r="GY796" s="4"/>
      <c r="GZ796" s="4"/>
      <c r="HA796" s="4"/>
      <c r="HB796" s="4"/>
      <c r="HC796" s="4"/>
      <c r="HD796" s="4"/>
      <c r="HE796" s="4"/>
      <c r="HF796" s="4"/>
      <c r="HG796" s="4"/>
      <c r="HH796" s="4"/>
      <c r="HI796" s="4"/>
      <c r="HJ796" s="4"/>
      <c r="HK796" s="4"/>
      <c r="HL796" s="4"/>
    </row>
    <row r="797" spans="1:220" ht="15" customHeight="1">
      <c r="A797" s="21">
        <v>8</v>
      </c>
      <c r="B797" s="157" t="str">
        <f>VLOOKUP(Ruimtestaat[[#This Row],[Code]],Locaties[[Code]:[Locatie]],2,FALSE)</f>
        <v>Dalton College</v>
      </c>
      <c r="C797" s="157" t="str">
        <f>VLOOKUP(Ruimtestaat[[#This Row],[Code]],Locaties[[#All],[Code]:[Adres]],4,FALSE)</f>
        <v>Loolaan 125</v>
      </c>
      <c r="D797" s="157" t="str">
        <f>VLOOKUP(Ruimtestaat[[#This Row],[Code]],Locaties[[#All],[Code]:[Postcode]],5,FALSE)</f>
        <v xml:space="preserve">2271 TM </v>
      </c>
      <c r="E797" s="157" t="str">
        <f>VLOOKUP(Ruimtestaat[[#This Row],[Code]],Locaties[#All],6,FALSE)</f>
        <v>Voorburg</v>
      </c>
      <c r="F797" s="62"/>
      <c r="G797" s="21" t="s">
        <v>1624</v>
      </c>
      <c r="H797" s="21" t="s">
        <v>2259</v>
      </c>
      <c r="I797" s="62" t="s">
        <v>2260</v>
      </c>
      <c r="J797" s="21">
        <v>16</v>
      </c>
      <c r="K797" s="62" t="str">
        <f>VLOOKUP(Ruimtestaat[[#This Row],[Ruimte code]],Ruimtegroepen[[#All],[Code]:[Ruimte omschrijving]],2,FALSE)</f>
        <v>Leslokalen theorie</v>
      </c>
      <c r="L797" s="33" t="s">
        <v>101</v>
      </c>
      <c r="M797" s="367" t="s">
        <v>2495</v>
      </c>
      <c r="N797" s="140">
        <v>48</v>
      </c>
      <c r="O797" s="140"/>
      <c r="P797" s="125" t="str">
        <f>VLOOKUP(Ruimtestaat[[#This Row],[Ruimte code]],Ruimtegroepen[],4,FALSE)</f>
        <v>Le</v>
      </c>
      <c r="R797" s="33">
        <v>40</v>
      </c>
      <c r="S797" s="33" t="s">
        <v>2</v>
      </c>
      <c r="T797" s="33">
        <f>IF(R797&gt;0,IF(RIGHT(Ruimtestaat[[#This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7" s="33">
        <f>IF(T797&gt;0,VLOOKUP($J797,Ruimtegroepen[],3,FALSE)*VLOOKUP($L797,Vloersoorten[],3,FALSE)*VLOOKUP($S797,Frequenties[],3,FALSE)*VLOOKUP($A797,Locaties[],3,FALSE),0)</f>
        <v>0</v>
      </c>
      <c r="V797" s="33">
        <f>Ruimtestaat[[#This Row],[Uitvoeringen werkdagen]]*Ruimtestaat[[#This Row],[Oppervlak (netto)]]</f>
        <v>9600</v>
      </c>
      <c r="W797" s="154">
        <f>IF(U797&gt;0,Ruimtestaat[[#This Row],[Prest. (m2 /jaar) werkdagen]]/Ruimtestaat[[#This Row],[Norm (m2/uur) werkdagen]],0)</f>
        <v>0</v>
      </c>
      <c r="X797" s="155">
        <f>Ruimtestaat[[#This Row],[uren / jaar werkdagen]]*Tariefsopbouw!$E$35</f>
        <v>0</v>
      </c>
      <c r="Y797" s="33"/>
      <c r="Z797" s="33">
        <f>IF(Ruimtestaat[[#This Row],[Frequentie weekend]]&gt;0,VALUE(LEFT(Y797,1))*R797,0)</f>
        <v>0</v>
      </c>
      <c r="AA797" s="97">
        <f>IF($Z797&gt;0,VLOOKUP($J797,Ruimtegroepen[],3,FALSE)*VLOOKUP($L797,Vloersoorten[],3,FALSE)*VLOOKUP($Y797,Frequenties[],3,FALSE)*VLOOKUP(Ruimtestaat[[#This Row],[Code]],Locaties[],3,FALSE),0)</f>
        <v>0</v>
      </c>
      <c r="AB797" s="97">
        <f>Ruimtestaat[[#This Row],[Uitvoeringen weekend]]*Ruimtestaat[[#This Row],[Oppervlak (netto)]]</f>
        <v>0</v>
      </c>
      <c r="AC797" s="97">
        <f>IF(AA797&gt;0,Ruimtestaat[[#This Row],[Prest. (m2 /jaar) weekend]]/Ruimtestaat[[#This Row],[Norm (m2/uur) weekend]],0)</f>
        <v>0</v>
      </c>
      <c r="AD797" s="155">
        <f>Ruimtestaat[[#This Row],[uren / jaar weekend]]*Tariefsopbouw!$D$40</f>
        <v>0</v>
      </c>
      <c r="AE797" s="154">
        <f>Ruimtestaat[[#This Row],[Prest. (m2 /jaar) weekend]]+Ruimtestaat[[#This Row],[Prest. (m2 /jaar) werkdagen]]</f>
        <v>9600</v>
      </c>
      <c r="AF797" s="154">
        <f>Ruimtestaat[[#This Row],[uren / jaar weekend]]+Ruimtestaat[[#This Row],[uren / jaar werkdagen]]</f>
        <v>0</v>
      </c>
      <c r="AG797" s="69">
        <f>Ruimtestaat[[#This Row],[kosten / jaar weekend]]+Ruimtestaat[[#This Row],[kosten / jaar werkdagen]]</f>
        <v>0</v>
      </c>
      <c r="AH797" s="69"/>
      <c r="AI797" s="256" t="str">
        <f>IF(Ruimtestaat[[#This Row],[Frequentie werkdagen]]="","",_xlfn.CONCAT(Ruimtestaat[[#This Row],[Ruimte code]],"-",Ruimtestaat[[#This Row],[Frequentie werkdagen]]," ",Ruimtestaat[[#This Row],[Vloer code]]))</f>
        <v>16-5w L</v>
      </c>
      <c r="AJ797" s="300" t="str">
        <f>_xlfn.IFNA(VLOOKUP($AI797,Programma!$F$3:$G$1107,2,0),"")</f>
        <v>_</v>
      </c>
      <c r="AK797" s="300" t="str">
        <f>_xlfn.IFNA(VLOOKUP($AI797,Programma!$F$3:$H$1107,3,0),"")</f>
        <v>_</v>
      </c>
      <c r="AL797" s="300" t="str">
        <f>_xlfn.IFNA(VLOOKUP($AI797,Programma!$F$3:$I$1107,4,0),"")</f>
        <v>4w</v>
      </c>
      <c r="AM797" s="300" t="str">
        <f>_xlfn.IFNA(VLOOKUP($AI797,Programma!$F$3:$J$1107,5,0),"")</f>
        <v>1w</v>
      </c>
      <c r="AN797" s="300" t="str">
        <f>_xlfn.IFNA(VLOOKUP($AI797,Programma!$F$3:$K$1107,6,0),"")</f>
        <v>_</v>
      </c>
      <c r="AO797" s="300" t="str">
        <f>_xlfn.IFNA(VLOOKUP($AI797,Programma!$F$3:$L$1107,7,0),"")</f>
        <v>_</v>
      </c>
      <c r="AP797" s="300" t="str">
        <f>_xlfn.IFNA(VLOOKUP($AI797,Programma!$F$3:$M$1107,8,0),"")</f>
        <v>_</v>
      </c>
      <c r="AQ797" s="300" t="str">
        <f>_xlfn.IFNA(VLOOKUP($AI797,Programma!$F$3:$N$1107,9,0),"")</f>
        <v>_</v>
      </c>
      <c r="AR797" s="300" t="str">
        <f>_xlfn.IFNA(VLOOKUP($AI797,Programma!$F$3:$O$1107,10,0),"")</f>
        <v>5w</v>
      </c>
      <c r="AS797" s="300" t="str">
        <f>_xlfn.IFNA(VLOOKUP($AI797,Programma!$F$3:$P$1107,11,0),"")</f>
        <v>5w</v>
      </c>
      <c r="AT797" s="300" t="str">
        <f>_xlfn.IFNA(VLOOKUP($AI797,Programma!$F$3:$Q$1107,12,0),"")</f>
        <v>1w</v>
      </c>
      <c r="AU797" s="300" t="str">
        <f>_xlfn.IFNA(VLOOKUP($AI797,Programma!$F$3:$R$1107,13,0),"")</f>
        <v>1w</v>
      </c>
      <c r="AV797" s="300" t="str">
        <f>_xlfn.IFNA(VLOOKUP($AI797,Programma!$F$3:$S$1107,14,0),"")</f>
        <v>1m</v>
      </c>
      <c r="AW797" s="300" t="str">
        <f>_xlfn.IFNA(VLOOKUP($AI797,Programma!$F$3:$T$1107,15,0),"")</f>
        <v>2j</v>
      </c>
      <c r="AX797" s="300" t="str">
        <f>_xlfn.IFNA(VLOOKUP($AI797,Programma!$F$3:$U$1107,16,0),"")</f>
        <v>1j</v>
      </c>
      <c r="AY797" s="300" t="str">
        <f>_xlfn.IFNA(VLOOKUP($AI797,Programma!$F$3:$V$1107,17,0),"")</f>
        <v>_</v>
      </c>
      <c r="AZ797" s="300" t="str">
        <f>_xlfn.IFNA(VLOOKUP($AI797,Programma!$F$3:$W$1107,18,0),"")</f>
        <v>_</v>
      </c>
      <c r="BA797" s="300" t="str">
        <f>_xlfn.IFNA(VLOOKUP($AI797,Programma!$F$3:$X$1107,19,0),"")</f>
        <v>_</v>
      </c>
      <c r="BB797" s="300" t="str">
        <f>_xlfn.IFNA(VLOOKUP($AI797,Programma!$F$3:$Y$1107,20,0),"")</f>
        <v>_</v>
      </c>
      <c r="BC797" s="257"/>
      <c r="BD797" s="256" t="str">
        <f>IF(Ruimtestaat[[#This Row],[Frequentie weekend]]="","",_xlfn.CONCAT(Ruimtestaat[[#This Row],[Ruimte code]],"-",Ruimtestaat[[#This Row],[Frequentie weekend]]," ",Ruimtestaat[[#This Row],[Vloer code]]))</f>
        <v/>
      </c>
      <c r="BE797" s="300" t="str">
        <f>_xlfn.IFNA(VLOOKUP($BD797,Programma!$F$3:$G$1107,2,0),"")</f>
        <v/>
      </c>
      <c r="BF797" s="300" t="str">
        <f>_xlfn.IFNA(VLOOKUP($BD797,Programma!$F$3:$H$1107,3,0),"")</f>
        <v/>
      </c>
      <c r="BG797" s="300" t="str">
        <f>_xlfn.IFNA(VLOOKUP($BD797,Programma!$F$3:$I$1107,4,0),"")</f>
        <v/>
      </c>
      <c r="BH797" s="300" t="str">
        <f>_xlfn.IFNA(VLOOKUP($BD797,Programma!$F$3:$J$1107,5,0),"")</f>
        <v/>
      </c>
      <c r="BI797" s="300" t="str">
        <f>_xlfn.IFNA(VLOOKUP($BD797,Programma!$F$3:$K$1107,6,0),"")</f>
        <v/>
      </c>
      <c r="BJ797" s="300" t="str">
        <f>_xlfn.IFNA(VLOOKUP($BD797,Programma!$F$3:$L$1107,7,0),"")</f>
        <v/>
      </c>
      <c r="BK797" s="300" t="str">
        <f>_xlfn.IFNA(VLOOKUP($BD797,Programma!$F$3:$M$1107,8,0),"")</f>
        <v/>
      </c>
      <c r="BL797" s="300" t="str">
        <f>_xlfn.IFNA(VLOOKUP($BD797,Programma!$F$3:$N$1107,9,0),"")</f>
        <v/>
      </c>
      <c r="BM797" s="300" t="str">
        <f>_xlfn.IFNA(VLOOKUP($BD797,Programma!$F$3:$O$1107,10,0),"")</f>
        <v/>
      </c>
      <c r="BN797" s="300" t="str">
        <f>_xlfn.IFNA(VLOOKUP($BD797,Programma!$F$3:$P$1107,11,0),"")</f>
        <v/>
      </c>
      <c r="BO797" s="300" t="str">
        <f>_xlfn.IFNA(VLOOKUP($BD797,Programma!$F$3:$Q$1107,12,0),"")</f>
        <v/>
      </c>
      <c r="BP797" s="300" t="str">
        <f>_xlfn.IFNA(VLOOKUP($BD797,Programma!$F$3:$R$1107,13,0),"")</f>
        <v/>
      </c>
      <c r="BQ797" s="300" t="str">
        <f>_xlfn.IFNA(VLOOKUP($BD797,Programma!$F$3:$S$1107,14,0),"")</f>
        <v/>
      </c>
      <c r="BR797" s="300" t="str">
        <f>_xlfn.IFNA(VLOOKUP($BD797,Programma!$F$3:$T$1107,15,0),"")</f>
        <v/>
      </c>
      <c r="BS797" s="300" t="str">
        <f>_xlfn.IFNA(VLOOKUP($BD797,Programma!$F$3:$U$1107,16,0),"")</f>
        <v/>
      </c>
      <c r="BT797" s="300" t="str">
        <f>_xlfn.IFNA(VLOOKUP($BD797,Programma!$F$3:$V$1107,17,0),"")</f>
        <v/>
      </c>
      <c r="BU797" s="300" t="str">
        <f>_xlfn.IFNA(VLOOKUP($BD797,Programma!$F$3:$W$1107,18,0),"")</f>
        <v/>
      </c>
      <c r="BV797" s="300" t="str">
        <f>_xlfn.IFNA(VLOOKUP($BD797,Programma!$F$3:$X$1107,19,0),"")</f>
        <v/>
      </c>
      <c r="BW797" s="300" t="str">
        <f>_xlfn.IFNA(VLOOKUP($BD797,Programma!$F$3:$Y$1107,20,0),"")</f>
        <v/>
      </c>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c r="GK797" s="4"/>
      <c r="GL797" s="4"/>
      <c r="GM797" s="4"/>
      <c r="GN797" s="4"/>
      <c r="GO797" s="4"/>
      <c r="GP797" s="4"/>
      <c r="GQ797" s="4"/>
      <c r="GR797" s="4"/>
      <c r="GS797" s="4"/>
      <c r="GT797" s="4"/>
      <c r="GU797" s="4"/>
      <c r="GV797" s="4"/>
      <c r="GW797" s="4"/>
      <c r="GX797" s="4"/>
      <c r="GY797" s="4"/>
      <c r="GZ797" s="4"/>
      <c r="HA797" s="4"/>
      <c r="HB797" s="4"/>
      <c r="HC797" s="4"/>
      <c r="HD797" s="4"/>
      <c r="HE797" s="4"/>
      <c r="HF797" s="4"/>
      <c r="HG797" s="4"/>
      <c r="HH797" s="4"/>
      <c r="HI797" s="4"/>
      <c r="HJ797" s="4"/>
      <c r="HK797" s="4"/>
      <c r="HL797" s="4"/>
    </row>
    <row r="798" spans="1:220" ht="15" customHeight="1">
      <c r="A798" s="21">
        <v>8</v>
      </c>
      <c r="B798" s="157" t="str">
        <f>VLOOKUP(Ruimtestaat[[#This Row],[Code]],Locaties[[Code]:[Locatie]],2,FALSE)</f>
        <v>Dalton College</v>
      </c>
      <c r="C798" s="157" t="str">
        <f>VLOOKUP(Ruimtestaat[[#This Row],[Code]],Locaties[[#All],[Code]:[Adres]],4,FALSE)</f>
        <v>Loolaan 125</v>
      </c>
      <c r="D798" s="157" t="str">
        <f>VLOOKUP(Ruimtestaat[[#This Row],[Code]],Locaties[[#All],[Code]:[Postcode]],5,FALSE)</f>
        <v xml:space="preserve">2271 TM </v>
      </c>
      <c r="E798" s="157" t="str">
        <f>VLOOKUP(Ruimtestaat[[#This Row],[Code]],Locaties[#All],6,FALSE)</f>
        <v>Voorburg</v>
      </c>
      <c r="F798" s="62"/>
      <c r="G798" s="21" t="s">
        <v>1624</v>
      </c>
      <c r="H798" s="21" t="s">
        <v>2261</v>
      </c>
      <c r="I798" s="62" t="s">
        <v>2262</v>
      </c>
      <c r="J798" s="21">
        <v>16</v>
      </c>
      <c r="K798" s="62" t="str">
        <f>VLOOKUP(Ruimtestaat[[#This Row],[Ruimte code]],Ruimtegroepen[[#All],[Code]:[Ruimte omschrijving]],2,FALSE)</f>
        <v>Leslokalen theorie</v>
      </c>
      <c r="L798" s="33" t="s">
        <v>101</v>
      </c>
      <c r="M798" s="367" t="s">
        <v>2495</v>
      </c>
      <c r="N798" s="140">
        <v>47</v>
      </c>
      <c r="O798" s="140"/>
      <c r="P798" s="125" t="str">
        <f>VLOOKUP(Ruimtestaat[[#This Row],[Ruimte code]],Ruimtegroepen[],4,FALSE)</f>
        <v>Le</v>
      </c>
      <c r="R798" s="33">
        <v>40</v>
      </c>
      <c r="S798" s="33" t="s">
        <v>2</v>
      </c>
      <c r="T798" s="33">
        <f>IF(R798&gt;0,IF(RIGHT(Ruimtestaat[[#This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8" s="33">
        <f>IF(T798&gt;0,VLOOKUP($J798,Ruimtegroepen[],3,FALSE)*VLOOKUP($L798,Vloersoorten[],3,FALSE)*VLOOKUP($S798,Frequenties[],3,FALSE)*VLOOKUP($A798,Locaties[],3,FALSE),0)</f>
        <v>0</v>
      </c>
      <c r="V798" s="33">
        <f>Ruimtestaat[[#This Row],[Uitvoeringen werkdagen]]*Ruimtestaat[[#This Row],[Oppervlak (netto)]]</f>
        <v>9400</v>
      </c>
      <c r="W798" s="154">
        <f>IF(U798&gt;0,Ruimtestaat[[#This Row],[Prest. (m2 /jaar) werkdagen]]/Ruimtestaat[[#This Row],[Norm (m2/uur) werkdagen]],0)</f>
        <v>0</v>
      </c>
      <c r="X798" s="155">
        <f>Ruimtestaat[[#This Row],[uren / jaar werkdagen]]*Tariefsopbouw!$E$35</f>
        <v>0</v>
      </c>
      <c r="Y798" s="33"/>
      <c r="Z798" s="33">
        <f>IF(Ruimtestaat[[#This Row],[Frequentie weekend]]&gt;0,VALUE(LEFT(Y798,1))*R798,0)</f>
        <v>0</v>
      </c>
      <c r="AA798" s="97">
        <f>IF($Z798&gt;0,VLOOKUP($J798,Ruimtegroepen[],3,FALSE)*VLOOKUP($L798,Vloersoorten[],3,FALSE)*VLOOKUP($Y798,Frequenties[],3,FALSE)*VLOOKUP(Ruimtestaat[[#This Row],[Code]],Locaties[],3,FALSE),0)</f>
        <v>0</v>
      </c>
      <c r="AB798" s="97">
        <f>Ruimtestaat[[#This Row],[Uitvoeringen weekend]]*Ruimtestaat[[#This Row],[Oppervlak (netto)]]</f>
        <v>0</v>
      </c>
      <c r="AC798" s="97">
        <f>IF(AA798&gt;0,Ruimtestaat[[#This Row],[Prest. (m2 /jaar) weekend]]/Ruimtestaat[[#This Row],[Norm (m2/uur) weekend]],0)</f>
        <v>0</v>
      </c>
      <c r="AD798" s="155">
        <f>Ruimtestaat[[#This Row],[uren / jaar weekend]]*Tariefsopbouw!$D$40</f>
        <v>0</v>
      </c>
      <c r="AE798" s="154">
        <f>Ruimtestaat[[#This Row],[Prest. (m2 /jaar) weekend]]+Ruimtestaat[[#This Row],[Prest. (m2 /jaar) werkdagen]]</f>
        <v>9400</v>
      </c>
      <c r="AF798" s="154">
        <f>Ruimtestaat[[#This Row],[uren / jaar weekend]]+Ruimtestaat[[#This Row],[uren / jaar werkdagen]]</f>
        <v>0</v>
      </c>
      <c r="AG798" s="69">
        <f>Ruimtestaat[[#This Row],[kosten / jaar weekend]]+Ruimtestaat[[#This Row],[kosten / jaar werkdagen]]</f>
        <v>0</v>
      </c>
      <c r="AH798" s="69"/>
      <c r="AI798" s="256" t="str">
        <f>IF(Ruimtestaat[[#This Row],[Frequentie werkdagen]]="","",_xlfn.CONCAT(Ruimtestaat[[#This Row],[Ruimte code]],"-",Ruimtestaat[[#This Row],[Frequentie werkdagen]]," ",Ruimtestaat[[#This Row],[Vloer code]]))</f>
        <v>16-5w L</v>
      </c>
      <c r="AJ798" s="300" t="str">
        <f>_xlfn.IFNA(VLOOKUP($AI798,Programma!$F$3:$G$1107,2,0),"")</f>
        <v>_</v>
      </c>
      <c r="AK798" s="300" t="str">
        <f>_xlfn.IFNA(VLOOKUP($AI798,Programma!$F$3:$H$1107,3,0),"")</f>
        <v>_</v>
      </c>
      <c r="AL798" s="300" t="str">
        <f>_xlfn.IFNA(VLOOKUP($AI798,Programma!$F$3:$I$1107,4,0),"")</f>
        <v>4w</v>
      </c>
      <c r="AM798" s="300" t="str">
        <f>_xlfn.IFNA(VLOOKUP($AI798,Programma!$F$3:$J$1107,5,0),"")</f>
        <v>1w</v>
      </c>
      <c r="AN798" s="300" t="str">
        <f>_xlfn.IFNA(VLOOKUP($AI798,Programma!$F$3:$K$1107,6,0),"")</f>
        <v>_</v>
      </c>
      <c r="AO798" s="300" t="str">
        <f>_xlfn.IFNA(VLOOKUP($AI798,Programma!$F$3:$L$1107,7,0),"")</f>
        <v>_</v>
      </c>
      <c r="AP798" s="300" t="str">
        <f>_xlfn.IFNA(VLOOKUP($AI798,Programma!$F$3:$M$1107,8,0),"")</f>
        <v>_</v>
      </c>
      <c r="AQ798" s="300" t="str">
        <f>_xlfn.IFNA(VLOOKUP($AI798,Programma!$F$3:$N$1107,9,0),"")</f>
        <v>_</v>
      </c>
      <c r="AR798" s="300" t="str">
        <f>_xlfn.IFNA(VLOOKUP($AI798,Programma!$F$3:$O$1107,10,0),"")</f>
        <v>5w</v>
      </c>
      <c r="AS798" s="300" t="str">
        <f>_xlfn.IFNA(VLOOKUP($AI798,Programma!$F$3:$P$1107,11,0),"")</f>
        <v>5w</v>
      </c>
      <c r="AT798" s="300" t="str">
        <f>_xlfn.IFNA(VLOOKUP($AI798,Programma!$F$3:$Q$1107,12,0),"")</f>
        <v>1w</v>
      </c>
      <c r="AU798" s="300" t="str">
        <f>_xlfn.IFNA(VLOOKUP($AI798,Programma!$F$3:$R$1107,13,0),"")</f>
        <v>1w</v>
      </c>
      <c r="AV798" s="300" t="str">
        <f>_xlfn.IFNA(VLOOKUP($AI798,Programma!$F$3:$S$1107,14,0),"")</f>
        <v>1m</v>
      </c>
      <c r="AW798" s="300" t="str">
        <f>_xlfn.IFNA(VLOOKUP($AI798,Programma!$F$3:$T$1107,15,0),"")</f>
        <v>2j</v>
      </c>
      <c r="AX798" s="300" t="str">
        <f>_xlfn.IFNA(VLOOKUP($AI798,Programma!$F$3:$U$1107,16,0),"")</f>
        <v>1j</v>
      </c>
      <c r="AY798" s="300" t="str">
        <f>_xlfn.IFNA(VLOOKUP($AI798,Programma!$F$3:$V$1107,17,0),"")</f>
        <v>_</v>
      </c>
      <c r="AZ798" s="300" t="str">
        <f>_xlfn.IFNA(VLOOKUP($AI798,Programma!$F$3:$W$1107,18,0),"")</f>
        <v>_</v>
      </c>
      <c r="BA798" s="300" t="str">
        <f>_xlfn.IFNA(VLOOKUP($AI798,Programma!$F$3:$X$1107,19,0),"")</f>
        <v>_</v>
      </c>
      <c r="BB798" s="300" t="str">
        <f>_xlfn.IFNA(VLOOKUP($AI798,Programma!$F$3:$Y$1107,20,0),"")</f>
        <v>_</v>
      </c>
      <c r="BC798" s="257"/>
      <c r="BD798" s="256" t="str">
        <f>IF(Ruimtestaat[[#This Row],[Frequentie weekend]]="","",_xlfn.CONCAT(Ruimtestaat[[#This Row],[Ruimte code]],"-",Ruimtestaat[[#This Row],[Frequentie weekend]]," ",Ruimtestaat[[#This Row],[Vloer code]]))</f>
        <v/>
      </c>
      <c r="BE798" s="300" t="str">
        <f>_xlfn.IFNA(VLOOKUP($BD798,Programma!$F$3:$G$1107,2,0),"")</f>
        <v/>
      </c>
      <c r="BF798" s="300" t="str">
        <f>_xlfn.IFNA(VLOOKUP($BD798,Programma!$F$3:$H$1107,3,0),"")</f>
        <v/>
      </c>
      <c r="BG798" s="300" t="str">
        <f>_xlfn.IFNA(VLOOKUP($BD798,Programma!$F$3:$I$1107,4,0),"")</f>
        <v/>
      </c>
      <c r="BH798" s="300" t="str">
        <f>_xlfn.IFNA(VLOOKUP($BD798,Programma!$F$3:$J$1107,5,0),"")</f>
        <v/>
      </c>
      <c r="BI798" s="300" t="str">
        <f>_xlfn.IFNA(VLOOKUP($BD798,Programma!$F$3:$K$1107,6,0),"")</f>
        <v/>
      </c>
      <c r="BJ798" s="300" t="str">
        <f>_xlfn.IFNA(VLOOKUP($BD798,Programma!$F$3:$L$1107,7,0),"")</f>
        <v/>
      </c>
      <c r="BK798" s="300" t="str">
        <f>_xlfn.IFNA(VLOOKUP($BD798,Programma!$F$3:$M$1107,8,0),"")</f>
        <v/>
      </c>
      <c r="BL798" s="300" t="str">
        <f>_xlfn.IFNA(VLOOKUP($BD798,Programma!$F$3:$N$1107,9,0),"")</f>
        <v/>
      </c>
      <c r="BM798" s="300" t="str">
        <f>_xlfn.IFNA(VLOOKUP($BD798,Programma!$F$3:$O$1107,10,0),"")</f>
        <v/>
      </c>
      <c r="BN798" s="300" t="str">
        <f>_xlfn.IFNA(VLOOKUP($BD798,Programma!$F$3:$P$1107,11,0),"")</f>
        <v/>
      </c>
      <c r="BO798" s="300" t="str">
        <f>_xlfn.IFNA(VLOOKUP($BD798,Programma!$F$3:$Q$1107,12,0),"")</f>
        <v/>
      </c>
      <c r="BP798" s="300" t="str">
        <f>_xlfn.IFNA(VLOOKUP($BD798,Programma!$F$3:$R$1107,13,0),"")</f>
        <v/>
      </c>
      <c r="BQ798" s="300" t="str">
        <f>_xlfn.IFNA(VLOOKUP($BD798,Programma!$F$3:$S$1107,14,0),"")</f>
        <v/>
      </c>
      <c r="BR798" s="300" t="str">
        <f>_xlfn.IFNA(VLOOKUP($BD798,Programma!$F$3:$T$1107,15,0),"")</f>
        <v/>
      </c>
      <c r="BS798" s="300" t="str">
        <f>_xlfn.IFNA(VLOOKUP($BD798,Programma!$F$3:$U$1107,16,0),"")</f>
        <v/>
      </c>
      <c r="BT798" s="300" t="str">
        <f>_xlfn.IFNA(VLOOKUP($BD798,Programma!$F$3:$V$1107,17,0),"")</f>
        <v/>
      </c>
      <c r="BU798" s="300" t="str">
        <f>_xlfn.IFNA(VLOOKUP($BD798,Programma!$F$3:$W$1107,18,0),"")</f>
        <v/>
      </c>
      <c r="BV798" s="300" t="str">
        <f>_xlfn.IFNA(VLOOKUP($BD798,Programma!$F$3:$X$1107,19,0),"")</f>
        <v/>
      </c>
      <c r="BW798" s="300" t="str">
        <f>_xlfn.IFNA(VLOOKUP($BD798,Programma!$F$3:$Y$1107,20,0),"")</f>
        <v/>
      </c>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c r="GK798" s="4"/>
      <c r="GL798" s="4"/>
      <c r="GM798" s="4"/>
      <c r="GN798" s="4"/>
      <c r="GO798" s="4"/>
      <c r="GP798" s="4"/>
      <c r="GQ798" s="4"/>
      <c r="GR798" s="4"/>
      <c r="GS798" s="4"/>
      <c r="GT798" s="4"/>
      <c r="GU798" s="4"/>
      <c r="GV798" s="4"/>
      <c r="GW798" s="4"/>
      <c r="GX798" s="4"/>
      <c r="GY798" s="4"/>
      <c r="GZ798" s="4"/>
      <c r="HA798" s="4"/>
      <c r="HB798" s="4"/>
      <c r="HC798" s="4"/>
      <c r="HD798" s="4"/>
      <c r="HE798" s="4"/>
      <c r="HF798" s="4"/>
      <c r="HG798" s="4"/>
      <c r="HH798" s="4"/>
      <c r="HI798" s="4"/>
      <c r="HJ798" s="4"/>
      <c r="HK798" s="4"/>
      <c r="HL798" s="4"/>
    </row>
    <row r="799" spans="1:220" ht="15" customHeight="1">
      <c r="A799" s="21">
        <v>8</v>
      </c>
      <c r="B799" s="157" t="str">
        <f>VLOOKUP(Ruimtestaat[[#This Row],[Code]],Locaties[[Code]:[Locatie]],2,FALSE)</f>
        <v>Dalton College</v>
      </c>
      <c r="C799" s="157" t="str">
        <f>VLOOKUP(Ruimtestaat[[#This Row],[Code]],Locaties[[#All],[Code]:[Adres]],4,FALSE)</f>
        <v>Loolaan 125</v>
      </c>
      <c r="D799" s="157" t="str">
        <f>VLOOKUP(Ruimtestaat[[#This Row],[Code]],Locaties[[#All],[Code]:[Postcode]],5,FALSE)</f>
        <v xml:space="preserve">2271 TM </v>
      </c>
      <c r="E799" s="157" t="str">
        <f>VLOOKUP(Ruimtestaat[[#This Row],[Code]],Locaties[#All],6,FALSE)</f>
        <v>Voorburg</v>
      </c>
      <c r="F799" s="62"/>
      <c r="G799" s="21" t="s">
        <v>1624</v>
      </c>
      <c r="H799" s="21" t="s">
        <v>2263</v>
      </c>
      <c r="I799" s="62" t="s">
        <v>1625</v>
      </c>
      <c r="J799" s="21">
        <v>6</v>
      </c>
      <c r="K799" s="62" t="str">
        <f>VLOOKUP(Ruimtestaat[[#This Row],[Ruimte code]],Ruimtegroepen[[#All],[Code]:[Ruimte omschrijving]],2,FALSE)</f>
        <v>Gangen/hallen</v>
      </c>
      <c r="L799" s="33" t="s">
        <v>101</v>
      </c>
      <c r="M799" s="367" t="s">
        <v>2495</v>
      </c>
      <c r="N799" s="140">
        <v>40</v>
      </c>
      <c r="O799" s="140"/>
      <c r="P799" s="125" t="str">
        <f>VLOOKUP(Ruimtestaat[[#This Row],[Ruimte code]],Ruimtegroepen[],4,FALSE)</f>
        <v>Ve</v>
      </c>
      <c r="R799" s="33">
        <v>40</v>
      </c>
      <c r="S799" s="33" t="s">
        <v>2</v>
      </c>
      <c r="T799" s="33">
        <f>IF(R799&gt;0,IF(RIGHT(Ruimtestaat[[#This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9" s="33">
        <f>IF(T799&gt;0,VLOOKUP($J799,Ruimtegroepen[],3,FALSE)*VLOOKUP($L799,Vloersoorten[],3,FALSE)*VLOOKUP($S799,Frequenties[],3,FALSE)*VLOOKUP($A799,Locaties[],3,FALSE),0)</f>
        <v>0</v>
      </c>
      <c r="V799" s="33">
        <f>Ruimtestaat[[#This Row],[Uitvoeringen werkdagen]]*Ruimtestaat[[#This Row],[Oppervlak (netto)]]</f>
        <v>8000</v>
      </c>
      <c r="W799" s="154">
        <f>IF(U799&gt;0,Ruimtestaat[[#This Row],[Prest. (m2 /jaar) werkdagen]]/Ruimtestaat[[#This Row],[Norm (m2/uur) werkdagen]],0)</f>
        <v>0</v>
      </c>
      <c r="X799" s="155">
        <f>Ruimtestaat[[#This Row],[uren / jaar werkdagen]]*Tariefsopbouw!$E$35</f>
        <v>0</v>
      </c>
      <c r="Y799" s="33"/>
      <c r="Z799" s="33">
        <f>IF(Ruimtestaat[[#This Row],[Frequentie weekend]]&gt;0,VALUE(LEFT(Y799,1))*R799,0)</f>
        <v>0</v>
      </c>
      <c r="AA799" s="97">
        <f>IF($Z799&gt;0,VLOOKUP($J799,Ruimtegroepen[],3,FALSE)*VLOOKUP($L799,Vloersoorten[],3,FALSE)*VLOOKUP($Y799,Frequenties[],3,FALSE)*VLOOKUP(Ruimtestaat[[#This Row],[Code]],Locaties[],3,FALSE),0)</f>
        <v>0</v>
      </c>
      <c r="AB799" s="97">
        <f>Ruimtestaat[[#This Row],[Uitvoeringen weekend]]*Ruimtestaat[[#This Row],[Oppervlak (netto)]]</f>
        <v>0</v>
      </c>
      <c r="AC799" s="97">
        <f>IF(AA799&gt;0,Ruimtestaat[[#This Row],[Prest. (m2 /jaar) weekend]]/Ruimtestaat[[#This Row],[Norm (m2/uur) weekend]],0)</f>
        <v>0</v>
      </c>
      <c r="AD799" s="155">
        <f>Ruimtestaat[[#This Row],[uren / jaar weekend]]*Tariefsopbouw!$D$40</f>
        <v>0</v>
      </c>
      <c r="AE799" s="154">
        <f>Ruimtestaat[[#This Row],[Prest. (m2 /jaar) weekend]]+Ruimtestaat[[#This Row],[Prest. (m2 /jaar) werkdagen]]</f>
        <v>8000</v>
      </c>
      <c r="AF799" s="154">
        <f>Ruimtestaat[[#This Row],[uren / jaar weekend]]+Ruimtestaat[[#This Row],[uren / jaar werkdagen]]</f>
        <v>0</v>
      </c>
      <c r="AG799" s="69">
        <f>Ruimtestaat[[#This Row],[kosten / jaar weekend]]+Ruimtestaat[[#This Row],[kosten / jaar werkdagen]]</f>
        <v>0</v>
      </c>
      <c r="AH799" s="69"/>
      <c r="AI799" s="256" t="str">
        <f>IF(Ruimtestaat[[#This Row],[Frequentie werkdagen]]="","",_xlfn.CONCAT(Ruimtestaat[[#This Row],[Ruimte code]],"-",Ruimtestaat[[#This Row],[Frequentie werkdagen]]," ",Ruimtestaat[[#This Row],[Vloer code]]))</f>
        <v>6-5w L</v>
      </c>
      <c r="AJ799" s="300" t="str">
        <f>_xlfn.IFNA(VLOOKUP($AI799,Programma!$F$3:$G$1107,2,0),"")</f>
        <v>_</v>
      </c>
      <c r="AK799" s="300" t="str">
        <f>_xlfn.IFNA(VLOOKUP($AI799,Programma!$F$3:$H$1107,3,0),"")</f>
        <v>_</v>
      </c>
      <c r="AL799" s="300" t="str">
        <f>_xlfn.IFNA(VLOOKUP($AI799,Programma!$F$3:$I$1107,4,0),"")</f>
        <v>_</v>
      </c>
      <c r="AM799" s="300" t="str">
        <f>_xlfn.IFNA(VLOOKUP($AI799,Programma!$F$3:$J$1107,5,0),"")</f>
        <v>5w</v>
      </c>
      <c r="AN799" s="300" t="str">
        <f>_xlfn.IFNA(VLOOKUP($AI799,Programma!$F$3:$K$1107,6,0),"")</f>
        <v>_</v>
      </c>
      <c r="AO799" s="300" t="str">
        <f>_xlfn.IFNA(VLOOKUP($AI799,Programma!$F$3:$L$1107,7,0),"")</f>
        <v>_</v>
      </c>
      <c r="AP799" s="300" t="str">
        <f>_xlfn.IFNA(VLOOKUP($AI799,Programma!$F$3:$M$1107,8,0),"")</f>
        <v>_</v>
      </c>
      <c r="AQ799" s="300" t="str">
        <f>_xlfn.IFNA(VLOOKUP($AI799,Programma!$F$3:$N$1107,9,0),"")</f>
        <v>_</v>
      </c>
      <c r="AR799" s="300" t="str">
        <f>_xlfn.IFNA(VLOOKUP($AI799,Programma!$F$3:$O$1107,10,0),"")</f>
        <v>5w</v>
      </c>
      <c r="AS799" s="300" t="str">
        <f>_xlfn.IFNA(VLOOKUP($AI799,Programma!$F$3:$P$1107,11,0),"")</f>
        <v>5w</v>
      </c>
      <c r="AT799" s="300" t="str">
        <f>_xlfn.IFNA(VLOOKUP($AI799,Programma!$F$3:$Q$1107,12,0),"")</f>
        <v>1w</v>
      </c>
      <c r="AU799" s="300" t="str">
        <f>_xlfn.IFNA(VLOOKUP($AI799,Programma!$F$3:$R$1107,13,0),"")</f>
        <v>1w</v>
      </c>
      <c r="AV799" s="300" t="str">
        <f>_xlfn.IFNA(VLOOKUP($AI799,Programma!$F$3:$S$1107,14,0),"")</f>
        <v>1m</v>
      </c>
      <c r="AW799" s="300" t="str">
        <f>_xlfn.IFNA(VLOOKUP($AI799,Programma!$F$3:$T$1107,15,0),"")</f>
        <v>2j</v>
      </c>
      <c r="AX799" s="300" t="str">
        <f>_xlfn.IFNA(VLOOKUP($AI799,Programma!$F$3:$U$1107,16,0),"")</f>
        <v>1j</v>
      </c>
      <c r="AY799" s="300" t="str">
        <f>_xlfn.IFNA(VLOOKUP($AI799,Programma!$F$3:$V$1107,17,0),"")</f>
        <v>_</v>
      </c>
      <c r="AZ799" s="300" t="str">
        <f>_xlfn.IFNA(VLOOKUP($AI799,Programma!$F$3:$W$1107,18,0),"")</f>
        <v>_</v>
      </c>
      <c r="BA799" s="300" t="str">
        <f>_xlfn.IFNA(VLOOKUP($AI799,Programma!$F$3:$X$1107,19,0),"")</f>
        <v>_</v>
      </c>
      <c r="BB799" s="300" t="str">
        <f>_xlfn.IFNA(VLOOKUP($AI799,Programma!$F$3:$Y$1107,20,0),"")</f>
        <v>_</v>
      </c>
      <c r="BC799" s="257"/>
      <c r="BD799" s="256" t="str">
        <f>IF(Ruimtestaat[[#This Row],[Frequentie weekend]]="","",_xlfn.CONCAT(Ruimtestaat[[#This Row],[Ruimte code]],"-",Ruimtestaat[[#This Row],[Frequentie weekend]]," ",Ruimtestaat[[#This Row],[Vloer code]]))</f>
        <v/>
      </c>
      <c r="BE799" s="300" t="str">
        <f>_xlfn.IFNA(VLOOKUP($BD799,Programma!$F$3:$G$1107,2,0),"")</f>
        <v/>
      </c>
      <c r="BF799" s="300" t="str">
        <f>_xlfn.IFNA(VLOOKUP($BD799,Programma!$F$3:$H$1107,3,0),"")</f>
        <v/>
      </c>
      <c r="BG799" s="300" t="str">
        <f>_xlfn.IFNA(VLOOKUP($BD799,Programma!$F$3:$I$1107,4,0),"")</f>
        <v/>
      </c>
      <c r="BH799" s="300" t="str">
        <f>_xlfn.IFNA(VLOOKUP($BD799,Programma!$F$3:$J$1107,5,0),"")</f>
        <v/>
      </c>
      <c r="BI799" s="300" t="str">
        <f>_xlfn.IFNA(VLOOKUP($BD799,Programma!$F$3:$K$1107,6,0),"")</f>
        <v/>
      </c>
      <c r="BJ799" s="300" t="str">
        <f>_xlfn.IFNA(VLOOKUP($BD799,Programma!$F$3:$L$1107,7,0),"")</f>
        <v/>
      </c>
      <c r="BK799" s="300" t="str">
        <f>_xlfn.IFNA(VLOOKUP($BD799,Programma!$F$3:$M$1107,8,0),"")</f>
        <v/>
      </c>
      <c r="BL799" s="300" t="str">
        <f>_xlfn.IFNA(VLOOKUP($BD799,Programma!$F$3:$N$1107,9,0),"")</f>
        <v/>
      </c>
      <c r="BM799" s="300" t="str">
        <f>_xlfn.IFNA(VLOOKUP($BD799,Programma!$F$3:$O$1107,10,0),"")</f>
        <v/>
      </c>
      <c r="BN799" s="300" t="str">
        <f>_xlfn.IFNA(VLOOKUP($BD799,Programma!$F$3:$P$1107,11,0),"")</f>
        <v/>
      </c>
      <c r="BO799" s="300" t="str">
        <f>_xlfn.IFNA(VLOOKUP($BD799,Programma!$F$3:$Q$1107,12,0),"")</f>
        <v/>
      </c>
      <c r="BP799" s="300" t="str">
        <f>_xlfn.IFNA(VLOOKUP($BD799,Programma!$F$3:$R$1107,13,0),"")</f>
        <v/>
      </c>
      <c r="BQ799" s="300" t="str">
        <f>_xlfn.IFNA(VLOOKUP($BD799,Programma!$F$3:$S$1107,14,0),"")</f>
        <v/>
      </c>
      <c r="BR799" s="300" t="str">
        <f>_xlfn.IFNA(VLOOKUP($BD799,Programma!$F$3:$T$1107,15,0),"")</f>
        <v/>
      </c>
      <c r="BS799" s="300" t="str">
        <f>_xlfn.IFNA(VLOOKUP($BD799,Programma!$F$3:$U$1107,16,0),"")</f>
        <v/>
      </c>
      <c r="BT799" s="300" t="str">
        <f>_xlfn.IFNA(VLOOKUP($BD799,Programma!$F$3:$V$1107,17,0),"")</f>
        <v/>
      </c>
      <c r="BU799" s="300" t="str">
        <f>_xlfn.IFNA(VLOOKUP($BD799,Programma!$F$3:$W$1107,18,0),"")</f>
        <v/>
      </c>
      <c r="BV799" s="300" t="str">
        <f>_xlfn.IFNA(VLOOKUP($BD799,Programma!$F$3:$X$1107,19,0),"")</f>
        <v/>
      </c>
      <c r="BW799" s="300" t="str">
        <f>_xlfn.IFNA(VLOOKUP($BD799,Programma!$F$3:$Y$1107,20,0),"")</f>
        <v/>
      </c>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c r="GK799" s="4"/>
      <c r="GL799" s="4"/>
      <c r="GM799" s="4"/>
      <c r="GN799" s="4"/>
      <c r="GO799" s="4"/>
      <c r="GP799" s="4"/>
      <c r="GQ799" s="4"/>
      <c r="GR799" s="4"/>
      <c r="GS799" s="4"/>
      <c r="GT799" s="4"/>
      <c r="GU799" s="4"/>
      <c r="GV799" s="4"/>
      <c r="GW799" s="4"/>
      <c r="GX799" s="4"/>
      <c r="GY799" s="4"/>
      <c r="GZ799" s="4"/>
      <c r="HA799" s="4"/>
      <c r="HB799" s="4"/>
      <c r="HC799" s="4"/>
      <c r="HD799" s="4"/>
      <c r="HE799" s="4"/>
      <c r="HF799" s="4"/>
      <c r="HG799" s="4"/>
      <c r="HH799" s="4"/>
      <c r="HI799" s="4"/>
      <c r="HJ799" s="4"/>
      <c r="HK799" s="4"/>
      <c r="HL799" s="4"/>
    </row>
    <row r="800" spans="1:220" ht="15" customHeight="1">
      <c r="A800" s="21">
        <v>8</v>
      </c>
      <c r="B800" s="157" t="str">
        <f>VLOOKUP(Ruimtestaat[[#This Row],[Code]],Locaties[[Code]:[Locatie]],2,FALSE)</f>
        <v>Dalton College</v>
      </c>
      <c r="C800" s="157" t="str">
        <f>VLOOKUP(Ruimtestaat[[#This Row],[Code]],Locaties[[#All],[Code]:[Adres]],4,FALSE)</f>
        <v>Loolaan 125</v>
      </c>
      <c r="D800" s="157" t="str">
        <f>VLOOKUP(Ruimtestaat[[#This Row],[Code]],Locaties[[#All],[Code]:[Postcode]],5,FALSE)</f>
        <v xml:space="preserve">2271 TM </v>
      </c>
      <c r="E800" s="157" t="str">
        <f>VLOOKUP(Ruimtestaat[[#This Row],[Code]],Locaties[#All],6,FALSE)</f>
        <v>Voorburg</v>
      </c>
      <c r="F800" s="62"/>
      <c r="G800" s="21" t="s">
        <v>1624</v>
      </c>
      <c r="H800" s="21" t="s">
        <v>2264</v>
      </c>
      <c r="I800" s="62" t="s">
        <v>1631</v>
      </c>
      <c r="J800" s="21">
        <v>2</v>
      </c>
      <c r="K800" s="62" t="str">
        <f>VLOOKUP(Ruimtestaat[[#This Row],[Ruimte code]],Ruimtegroepen[[#All],[Code]:[Ruimte omschrijving]],2,FALSE)</f>
        <v>Kantoren</v>
      </c>
      <c r="L800" s="33" t="s">
        <v>101</v>
      </c>
      <c r="M800" s="367" t="s">
        <v>2495</v>
      </c>
      <c r="N800" s="140">
        <v>15</v>
      </c>
      <c r="O800" s="140"/>
      <c r="P800" s="125" t="str">
        <f>VLOOKUP(Ruimtestaat[[#This Row],[Ruimte code]],Ruimtegroepen[],4,FALSE)</f>
        <v>Bu</v>
      </c>
      <c r="R800" s="33">
        <v>42</v>
      </c>
      <c r="S800" s="33" t="s">
        <v>18</v>
      </c>
      <c r="T800" s="33">
        <f>IF(R800&gt;0,IF(RIGHT(Ruimtestaat[[#This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00" s="33">
        <f>IF(T800&gt;0,VLOOKUP($J800,Ruimtegroepen[],3,FALSE)*VLOOKUP($L800,Vloersoorten[],3,FALSE)*VLOOKUP($S800,Frequenties[],3,FALSE)*VLOOKUP($A800,Locaties[],3,FALSE),0)</f>
        <v>0</v>
      </c>
      <c r="V800" s="33">
        <f>Ruimtestaat[[#This Row],[Uitvoeringen werkdagen]]*Ruimtestaat[[#This Row],[Oppervlak (netto)]]</f>
        <v>1890</v>
      </c>
      <c r="W800" s="154">
        <f>IF(U800&gt;0,Ruimtestaat[[#This Row],[Prest. (m2 /jaar) werkdagen]]/Ruimtestaat[[#This Row],[Norm (m2/uur) werkdagen]],0)</f>
        <v>0</v>
      </c>
      <c r="X800" s="155">
        <f>Ruimtestaat[[#This Row],[uren / jaar werkdagen]]*Tariefsopbouw!$E$35</f>
        <v>0</v>
      </c>
      <c r="Y800" s="33"/>
      <c r="Z800" s="33">
        <f>IF(Ruimtestaat[[#This Row],[Frequentie weekend]]&gt;0,VALUE(LEFT(Y800,1))*R800,0)</f>
        <v>0</v>
      </c>
      <c r="AA800" s="97">
        <f>IF($Z800&gt;0,VLOOKUP($J800,Ruimtegroepen[],3,FALSE)*VLOOKUP($L800,Vloersoorten[],3,FALSE)*VLOOKUP($Y800,Frequenties[],3,FALSE)*VLOOKUP(Ruimtestaat[[#This Row],[Code]],Locaties[],3,FALSE),0)</f>
        <v>0</v>
      </c>
      <c r="AB800" s="97">
        <f>Ruimtestaat[[#This Row],[Uitvoeringen weekend]]*Ruimtestaat[[#This Row],[Oppervlak (netto)]]</f>
        <v>0</v>
      </c>
      <c r="AC800" s="97">
        <f>IF(AA800&gt;0,Ruimtestaat[[#This Row],[Prest. (m2 /jaar) weekend]]/Ruimtestaat[[#This Row],[Norm (m2/uur) weekend]],0)</f>
        <v>0</v>
      </c>
      <c r="AD800" s="155">
        <f>Ruimtestaat[[#This Row],[uren / jaar weekend]]*Tariefsopbouw!$D$40</f>
        <v>0</v>
      </c>
      <c r="AE800" s="154">
        <f>Ruimtestaat[[#This Row],[Prest. (m2 /jaar) weekend]]+Ruimtestaat[[#This Row],[Prest. (m2 /jaar) werkdagen]]</f>
        <v>1890</v>
      </c>
      <c r="AF800" s="154">
        <f>Ruimtestaat[[#This Row],[uren / jaar weekend]]+Ruimtestaat[[#This Row],[uren / jaar werkdagen]]</f>
        <v>0</v>
      </c>
      <c r="AG800" s="69">
        <f>Ruimtestaat[[#This Row],[kosten / jaar weekend]]+Ruimtestaat[[#This Row],[kosten / jaar werkdagen]]</f>
        <v>0</v>
      </c>
      <c r="AH800" s="69"/>
      <c r="AI800" s="256" t="str">
        <f>IF(Ruimtestaat[[#This Row],[Frequentie werkdagen]]="","",_xlfn.CONCAT(Ruimtestaat[[#This Row],[Ruimte code]],"-",Ruimtestaat[[#This Row],[Frequentie werkdagen]]," ",Ruimtestaat[[#This Row],[Vloer code]]))</f>
        <v>2-3w L</v>
      </c>
      <c r="AJ800" s="300" t="str">
        <f>_xlfn.IFNA(VLOOKUP($AI800,Programma!$F$3:$G$1107,2,0),"")</f>
        <v>_</v>
      </c>
      <c r="AK800" s="300" t="str">
        <f>_xlfn.IFNA(VLOOKUP($AI800,Programma!$F$3:$H$1107,3,0),"")</f>
        <v>_</v>
      </c>
      <c r="AL800" s="300" t="str">
        <f>_xlfn.IFNA(VLOOKUP($AI800,Programma!$F$3:$I$1107,4,0),"")</f>
        <v>2w</v>
      </c>
      <c r="AM800" s="300" t="str">
        <f>_xlfn.IFNA(VLOOKUP($AI800,Programma!$F$3:$J$1107,5,0),"")</f>
        <v>1w</v>
      </c>
      <c r="AN800" s="300" t="str">
        <f>_xlfn.IFNA(VLOOKUP($AI800,Programma!$F$3:$K$1107,6,0),"")</f>
        <v>_</v>
      </c>
      <c r="AO800" s="300" t="str">
        <f>_xlfn.IFNA(VLOOKUP($AI800,Programma!$F$3:$L$1107,7,0),"")</f>
        <v>_</v>
      </c>
      <c r="AP800" s="300" t="str">
        <f>_xlfn.IFNA(VLOOKUP($AI800,Programma!$F$3:$M$1107,8,0),"")</f>
        <v>_</v>
      </c>
      <c r="AQ800" s="300" t="str">
        <f>_xlfn.IFNA(VLOOKUP($AI800,Programma!$F$3:$N$1107,9,0),"")</f>
        <v>_</v>
      </c>
      <c r="AR800" s="300" t="str">
        <f>_xlfn.IFNA(VLOOKUP($AI800,Programma!$F$3:$O$1107,10,0),"")</f>
        <v>3w</v>
      </c>
      <c r="AS800" s="300" t="str">
        <f>_xlfn.IFNA(VLOOKUP($AI800,Programma!$F$3:$P$1107,11,0),"")</f>
        <v>3w</v>
      </c>
      <c r="AT800" s="300" t="str">
        <f>_xlfn.IFNA(VLOOKUP($AI800,Programma!$F$3:$Q$1107,12,0),"")</f>
        <v>1w</v>
      </c>
      <c r="AU800" s="300" t="str">
        <f>_xlfn.IFNA(VLOOKUP($AI800,Programma!$F$3:$R$1107,13,0),"")</f>
        <v>1w</v>
      </c>
      <c r="AV800" s="300" t="str">
        <f>_xlfn.IFNA(VLOOKUP($AI800,Programma!$F$3:$S$1107,14,0),"")</f>
        <v>1m</v>
      </c>
      <c r="AW800" s="300" t="str">
        <f>_xlfn.IFNA(VLOOKUP($AI800,Programma!$F$3:$T$1107,15,0),"")</f>
        <v>2j</v>
      </c>
      <c r="AX800" s="300" t="str">
        <f>_xlfn.IFNA(VLOOKUP($AI800,Programma!$F$3:$U$1107,16,0),"")</f>
        <v>1j</v>
      </c>
      <c r="AY800" s="300" t="str">
        <f>_xlfn.IFNA(VLOOKUP($AI800,Programma!$F$3:$V$1107,17,0),"")</f>
        <v>_</v>
      </c>
      <c r="AZ800" s="300" t="str">
        <f>_xlfn.IFNA(VLOOKUP($AI800,Programma!$F$3:$W$1107,18,0),"")</f>
        <v>_</v>
      </c>
      <c r="BA800" s="300" t="str">
        <f>_xlfn.IFNA(VLOOKUP($AI800,Programma!$F$3:$X$1107,19,0),"")</f>
        <v>_</v>
      </c>
      <c r="BB800" s="300" t="str">
        <f>_xlfn.IFNA(VLOOKUP($AI800,Programma!$F$3:$Y$1107,20,0),"")</f>
        <v>_</v>
      </c>
      <c r="BC800" s="257"/>
      <c r="BD800" s="256" t="str">
        <f>IF(Ruimtestaat[[#This Row],[Frequentie weekend]]="","",_xlfn.CONCAT(Ruimtestaat[[#This Row],[Ruimte code]],"-",Ruimtestaat[[#This Row],[Frequentie weekend]]," ",Ruimtestaat[[#This Row],[Vloer code]]))</f>
        <v/>
      </c>
      <c r="BE800" s="300" t="str">
        <f>_xlfn.IFNA(VLOOKUP($BD800,Programma!$F$3:$G$1107,2,0),"")</f>
        <v/>
      </c>
      <c r="BF800" s="300" t="str">
        <f>_xlfn.IFNA(VLOOKUP($BD800,Programma!$F$3:$H$1107,3,0),"")</f>
        <v/>
      </c>
      <c r="BG800" s="300" t="str">
        <f>_xlfn.IFNA(VLOOKUP($BD800,Programma!$F$3:$I$1107,4,0),"")</f>
        <v/>
      </c>
      <c r="BH800" s="300" t="str">
        <f>_xlfn.IFNA(VLOOKUP($BD800,Programma!$F$3:$J$1107,5,0),"")</f>
        <v/>
      </c>
      <c r="BI800" s="300" t="str">
        <f>_xlfn.IFNA(VLOOKUP($BD800,Programma!$F$3:$K$1107,6,0),"")</f>
        <v/>
      </c>
      <c r="BJ800" s="300" t="str">
        <f>_xlfn.IFNA(VLOOKUP($BD800,Programma!$F$3:$L$1107,7,0),"")</f>
        <v/>
      </c>
      <c r="BK800" s="300" t="str">
        <f>_xlfn.IFNA(VLOOKUP($BD800,Programma!$F$3:$M$1107,8,0),"")</f>
        <v/>
      </c>
      <c r="BL800" s="300" t="str">
        <f>_xlfn.IFNA(VLOOKUP($BD800,Programma!$F$3:$N$1107,9,0),"")</f>
        <v/>
      </c>
      <c r="BM800" s="300" t="str">
        <f>_xlfn.IFNA(VLOOKUP($BD800,Programma!$F$3:$O$1107,10,0),"")</f>
        <v/>
      </c>
      <c r="BN800" s="300" t="str">
        <f>_xlfn.IFNA(VLOOKUP($BD800,Programma!$F$3:$P$1107,11,0),"")</f>
        <v/>
      </c>
      <c r="BO800" s="300" t="str">
        <f>_xlfn.IFNA(VLOOKUP($BD800,Programma!$F$3:$Q$1107,12,0),"")</f>
        <v/>
      </c>
      <c r="BP800" s="300" t="str">
        <f>_xlfn.IFNA(VLOOKUP($BD800,Programma!$F$3:$R$1107,13,0),"")</f>
        <v/>
      </c>
      <c r="BQ800" s="300" t="str">
        <f>_xlfn.IFNA(VLOOKUP($BD800,Programma!$F$3:$S$1107,14,0),"")</f>
        <v/>
      </c>
      <c r="BR800" s="300" t="str">
        <f>_xlfn.IFNA(VLOOKUP($BD800,Programma!$F$3:$T$1107,15,0),"")</f>
        <v/>
      </c>
      <c r="BS800" s="300" t="str">
        <f>_xlfn.IFNA(VLOOKUP($BD800,Programma!$F$3:$U$1107,16,0),"")</f>
        <v/>
      </c>
      <c r="BT800" s="300" t="str">
        <f>_xlfn.IFNA(VLOOKUP($BD800,Programma!$F$3:$V$1107,17,0),"")</f>
        <v/>
      </c>
      <c r="BU800" s="300" t="str">
        <f>_xlfn.IFNA(VLOOKUP($BD800,Programma!$F$3:$W$1107,18,0),"")</f>
        <v/>
      </c>
      <c r="BV800" s="300" t="str">
        <f>_xlfn.IFNA(VLOOKUP($BD800,Programma!$F$3:$X$1107,19,0),"")</f>
        <v/>
      </c>
      <c r="BW800" s="300" t="str">
        <f>_xlfn.IFNA(VLOOKUP($BD800,Programma!$F$3:$Y$1107,20,0),"")</f>
        <v/>
      </c>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c r="GK800" s="4"/>
      <c r="GL800" s="4"/>
      <c r="GM800" s="4"/>
      <c r="GN800" s="4"/>
      <c r="GO800" s="4"/>
      <c r="GP800" s="4"/>
      <c r="GQ800" s="4"/>
      <c r="GR800" s="4"/>
      <c r="GS800" s="4"/>
      <c r="GT800" s="4"/>
      <c r="GU800" s="4"/>
      <c r="GV800" s="4"/>
      <c r="GW800" s="4"/>
      <c r="GX800" s="4"/>
      <c r="GY800" s="4"/>
      <c r="GZ800" s="4"/>
      <c r="HA800" s="4"/>
      <c r="HB800" s="4"/>
      <c r="HC800" s="4"/>
      <c r="HD800" s="4"/>
      <c r="HE800" s="4"/>
      <c r="HF800" s="4"/>
      <c r="HG800" s="4"/>
      <c r="HH800" s="4"/>
      <c r="HI800" s="4"/>
      <c r="HJ800" s="4"/>
      <c r="HK800" s="4"/>
      <c r="HL800" s="4"/>
    </row>
    <row r="801" spans="1:220" ht="15" customHeight="1">
      <c r="A801" s="21">
        <v>8</v>
      </c>
      <c r="B801" s="157" t="str">
        <f>VLOOKUP(Ruimtestaat[[#This Row],[Code]],Locaties[[Code]:[Locatie]],2,FALSE)</f>
        <v>Dalton College</v>
      </c>
      <c r="C801" s="157" t="str">
        <f>VLOOKUP(Ruimtestaat[[#This Row],[Code]],Locaties[[#All],[Code]:[Adres]],4,FALSE)</f>
        <v>Loolaan 125</v>
      </c>
      <c r="D801" s="157" t="str">
        <f>VLOOKUP(Ruimtestaat[[#This Row],[Code]],Locaties[[#All],[Code]:[Postcode]],5,FALSE)</f>
        <v xml:space="preserve">2271 TM </v>
      </c>
      <c r="E801" s="157" t="str">
        <f>VLOOKUP(Ruimtestaat[[#This Row],[Code]],Locaties[#All],6,FALSE)</f>
        <v>Voorburg</v>
      </c>
      <c r="F801" s="62"/>
      <c r="G801" s="21" t="s">
        <v>1624</v>
      </c>
      <c r="H801" s="21" t="s">
        <v>2265</v>
      </c>
      <c r="I801" s="62" t="s">
        <v>2266</v>
      </c>
      <c r="J801" s="21">
        <v>16</v>
      </c>
      <c r="K801" s="62" t="str">
        <f>VLOOKUP(Ruimtestaat[[#This Row],[Ruimte code]],Ruimtegroepen[[#All],[Code]:[Ruimte omschrijving]],2,FALSE)</f>
        <v>Leslokalen theorie</v>
      </c>
      <c r="L801" s="33" t="s">
        <v>101</v>
      </c>
      <c r="M801" s="367" t="s">
        <v>2495</v>
      </c>
      <c r="N801" s="140">
        <v>15</v>
      </c>
      <c r="O801" s="140"/>
      <c r="P801" s="125" t="str">
        <f>VLOOKUP(Ruimtestaat[[#This Row],[Ruimte code]],Ruimtegroepen[],4,FALSE)</f>
        <v>Le</v>
      </c>
      <c r="R801" s="33">
        <v>40</v>
      </c>
      <c r="S801" s="33" t="s">
        <v>2</v>
      </c>
      <c r="T801" s="33">
        <f>IF(R801&gt;0,IF(RIGHT(Ruimtestaat[[#This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1" s="33">
        <f>IF(T801&gt;0,VLOOKUP($J801,Ruimtegroepen[],3,FALSE)*VLOOKUP($L801,Vloersoorten[],3,FALSE)*VLOOKUP($S801,Frequenties[],3,FALSE)*VLOOKUP($A801,Locaties[],3,FALSE),0)</f>
        <v>0</v>
      </c>
      <c r="V801" s="33">
        <f>Ruimtestaat[[#This Row],[Uitvoeringen werkdagen]]*Ruimtestaat[[#This Row],[Oppervlak (netto)]]</f>
        <v>3000</v>
      </c>
      <c r="W801" s="154">
        <f>IF(U801&gt;0,Ruimtestaat[[#This Row],[Prest. (m2 /jaar) werkdagen]]/Ruimtestaat[[#This Row],[Norm (m2/uur) werkdagen]],0)</f>
        <v>0</v>
      </c>
      <c r="X801" s="155">
        <f>Ruimtestaat[[#This Row],[uren / jaar werkdagen]]*Tariefsopbouw!$E$35</f>
        <v>0</v>
      </c>
      <c r="Y801" s="33"/>
      <c r="Z801" s="33">
        <f>IF(Ruimtestaat[[#This Row],[Frequentie weekend]]&gt;0,VALUE(LEFT(Y801,1))*R801,0)</f>
        <v>0</v>
      </c>
      <c r="AA801" s="97">
        <f>IF($Z801&gt;0,VLOOKUP($J801,Ruimtegroepen[],3,FALSE)*VLOOKUP($L801,Vloersoorten[],3,FALSE)*VLOOKUP($Y801,Frequenties[],3,FALSE)*VLOOKUP(Ruimtestaat[[#This Row],[Code]],Locaties[],3,FALSE),0)</f>
        <v>0</v>
      </c>
      <c r="AB801" s="97">
        <f>Ruimtestaat[[#This Row],[Uitvoeringen weekend]]*Ruimtestaat[[#This Row],[Oppervlak (netto)]]</f>
        <v>0</v>
      </c>
      <c r="AC801" s="97">
        <f>IF(AA801&gt;0,Ruimtestaat[[#This Row],[Prest. (m2 /jaar) weekend]]/Ruimtestaat[[#This Row],[Norm (m2/uur) weekend]],0)</f>
        <v>0</v>
      </c>
      <c r="AD801" s="155">
        <f>Ruimtestaat[[#This Row],[uren / jaar weekend]]*Tariefsopbouw!$D$40</f>
        <v>0</v>
      </c>
      <c r="AE801" s="154">
        <f>Ruimtestaat[[#This Row],[Prest. (m2 /jaar) weekend]]+Ruimtestaat[[#This Row],[Prest. (m2 /jaar) werkdagen]]</f>
        <v>3000</v>
      </c>
      <c r="AF801" s="154">
        <f>Ruimtestaat[[#This Row],[uren / jaar weekend]]+Ruimtestaat[[#This Row],[uren / jaar werkdagen]]</f>
        <v>0</v>
      </c>
      <c r="AG801" s="69">
        <f>Ruimtestaat[[#This Row],[kosten / jaar weekend]]+Ruimtestaat[[#This Row],[kosten / jaar werkdagen]]</f>
        <v>0</v>
      </c>
      <c r="AH801" s="69"/>
      <c r="AI801" s="256" t="str">
        <f>IF(Ruimtestaat[[#This Row],[Frequentie werkdagen]]="","",_xlfn.CONCAT(Ruimtestaat[[#This Row],[Ruimte code]],"-",Ruimtestaat[[#This Row],[Frequentie werkdagen]]," ",Ruimtestaat[[#This Row],[Vloer code]]))</f>
        <v>16-5w L</v>
      </c>
      <c r="AJ801" s="300" t="str">
        <f>_xlfn.IFNA(VLOOKUP($AI801,Programma!$F$3:$G$1107,2,0),"")</f>
        <v>_</v>
      </c>
      <c r="AK801" s="300" t="str">
        <f>_xlfn.IFNA(VLOOKUP($AI801,Programma!$F$3:$H$1107,3,0),"")</f>
        <v>_</v>
      </c>
      <c r="AL801" s="300" t="str">
        <f>_xlfn.IFNA(VLOOKUP($AI801,Programma!$F$3:$I$1107,4,0),"")</f>
        <v>4w</v>
      </c>
      <c r="AM801" s="300" t="str">
        <f>_xlfn.IFNA(VLOOKUP($AI801,Programma!$F$3:$J$1107,5,0),"")</f>
        <v>1w</v>
      </c>
      <c r="AN801" s="300" t="str">
        <f>_xlfn.IFNA(VLOOKUP($AI801,Programma!$F$3:$K$1107,6,0),"")</f>
        <v>_</v>
      </c>
      <c r="AO801" s="300" t="str">
        <f>_xlfn.IFNA(VLOOKUP($AI801,Programma!$F$3:$L$1107,7,0),"")</f>
        <v>_</v>
      </c>
      <c r="AP801" s="300" t="str">
        <f>_xlfn.IFNA(VLOOKUP($AI801,Programma!$F$3:$M$1107,8,0),"")</f>
        <v>_</v>
      </c>
      <c r="AQ801" s="300" t="str">
        <f>_xlfn.IFNA(VLOOKUP($AI801,Programma!$F$3:$N$1107,9,0),"")</f>
        <v>_</v>
      </c>
      <c r="AR801" s="300" t="str">
        <f>_xlfn.IFNA(VLOOKUP($AI801,Programma!$F$3:$O$1107,10,0),"")</f>
        <v>5w</v>
      </c>
      <c r="AS801" s="300" t="str">
        <f>_xlfn.IFNA(VLOOKUP($AI801,Programma!$F$3:$P$1107,11,0),"")</f>
        <v>5w</v>
      </c>
      <c r="AT801" s="300" t="str">
        <f>_xlfn.IFNA(VLOOKUP($AI801,Programma!$F$3:$Q$1107,12,0),"")</f>
        <v>1w</v>
      </c>
      <c r="AU801" s="300" t="str">
        <f>_xlfn.IFNA(VLOOKUP($AI801,Programma!$F$3:$R$1107,13,0),"")</f>
        <v>1w</v>
      </c>
      <c r="AV801" s="300" t="str">
        <f>_xlfn.IFNA(VLOOKUP($AI801,Programma!$F$3:$S$1107,14,0),"")</f>
        <v>1m</v>
      </c>
      <c r="AW801" s="300" t="str">
        <f>_xlfn.IFNA(VLOOKUP($AI801,Programma!$F$3:$T$1107,15,0),"")</f>
        <v>2j</v>
      </c>
      <c r="AX801" s="300" t="str">
        <f>_xlfn.IFNA(VLOOKUP($AI801,Programma!$F$3:$U$1107,16,0),"")</f>
        <v>1j</v>
      </c>
      <c r="AY801" s="300" t="str">
        <f>_xlfn.IFNA(VLOOKUP($AI801,Programma!$F$3:$V$1107,17,0),"")</f>
        <v>_</v>
      </c>
      <c r="AZ801" s="300" t="str">
        <f>_xlfn.IFNA(VLOOKUP($AI801,Programma!$F$3:$W$1107,18,0),"")</f>
        <v>_</v>
      </c>
      <c r="BA801" s="300" t="str">
        <f>_xlfn.IFNA(VLOOKUP($AI801,Programma!$F$3:$X$1107,19,0),"")</f>
        <v>_</v>
      </c>
      <c r="BB801" s="300" t="str">
        <f>_xlfn.IFNA(VLOOKUP($AI801,Programma!$F$3:$Y$1107,20,0),"")</f>
        <v>_</v>
      </c>
      <c r="BC801" s="257"/>
      <c r="BD801" s="256" t="str">
        <f>IF(Ruimtestaat[[#This Row],[Frequentie weekend]]="","",_xlfn.CONCAT(Ruimtestaat[[#This Row],[Ruimte code]],"-",Ruimtestaat[[#This Row],[Frequentie weekend]]," ",Ruimtestaat[[#This Row],[Vloer code]]))</f>
        <v/>
      </c>
      <c r="BE801" s="300" t="str">
        <f>_xlfn.IFNA(VLOOKUP($BD801,Programma!$F$3:$G$1107,2,0),"")</f>
        <v/>
      </c>
      <c r="BF801" s="300" t="str">
        <f>_xlfn.IFNA(VLOOKUP($BD801,Programma!$F$3:$H$1107,3,0),"")</f>
        <v/>
      </c>
      <c r="BG801" s="300" t="str">
        <f>_xlfn.IFNA(VLOOKUP($BD801,Programma!$F$3:$I$1107,4,0),"")</f>
        <v/>
      </c>
      <c r="BH801" s="300" t="str">
        <f>_xlfn.IFNA(VLOOKUP($BD801,Programma!$F$3:$J$1107,5,0),"")</f>
        <v/>
      </c>
      <c r="BI801" s="300" t="str">
        <f>_xlfn.IFNA(VLOOKUP($BD801,Programma!$F$3:$K$1107,6,0),"")</f>
        <v/>
      </c>
      <c r="BJ801" s="300" t="str">
        <f>_xlfn.IFNA(VLOOKUP($BD801,Programma!$F$3:$L$1107,7,0),"")</f>
        <v/>
      </c>
      <c r="BK801" s="300" t="str">
        <f>_xlfn.IFNA(VLOOKUP($BD801,Programma!$F$3:$M$1107,8,0),"")</f>
        <v/>
      </c>
      <c r="BL801" s="300" t="str">
        <f>_xlfn.IFNA(VLOOKUP($BD801,Programma!$F$3:$N$1107,9,0),"")</f>
        <v/>
      </c>
      <c r="BM801" s="300" t="str">
        <f>_xlfn.IFNA(VLOOKUP($BD801,Programma!$F$3:$O$1107,10,0),"")</f>
        <v/>
      </c>
      <c r="BN801" s="300" t="str">
        <f>_xlfn.IFNA(VLOOKUP($BD801,Programma!$F$3:$P$1107,11,0),"")</f>
        <v/>
      </c>
      <c r="BO801" s="300" t="str">
        <f>_xlfn.IFNA(VLOOKUP($BD801,Programma!$F$3:$Q$1107,12,0),"")</f>
        <v/>
      </c>
      <c r="BP801" s="300" t="str">
        <f>_xlfn.IFNA(VLOOKUP($BD801,Programma!$F$3:$R$1107,13,0),"")</f>
        <v/>
      </c>
      <c r="BQ801" s="300" t="str">
        <f>_xlfn.IFNA(VLOOKUP($BD801,Programma!$F$3:$S$1107,14,0),"")</f>
        <v/>
      </c>
      <c r="BR801" s="300" t="str">
        <f>_xlfn.IFNA(VLOOKUP($BD801,Programma!$F$3:$T$1107,15,0),"")</f>
        <v/>
      </c>
      <c r="BS801" s="300" t="str">
        <f>_xlfn.IFNA(VLOOKUP($BD801,Programma!$F$3:$U$1107,16,0),"")</f>
        <v/>
      </c>
      <c r="BT801" s="300" t="str">
        <f>_xlfn.IFNA(VLOOKUP($BD801,Programma!$F$3:$V$1107,17,0),"")</f>
        <v/>
      </c>
      <c r="BU801" s="300" t="str">
        <f>_xlfn.IFNA(VLOOKUP($BD801,Programma!$F$3:$W$1107,18,0),"")</f>
        <v/>
      </c>
      <c r="BV801" s="300" t="str">
        <f>_xlfn.IFNA(VLOOKUP($BD801,Programma!$F$3:$X$1107,19,0),"")</f>
        <v/>
      </c>
      <c r="BW801" s="300" t="str">
        <f>_xlfn.IFNA(VLOOKUP($BD801,Programma!$F$3:$Y$1107,20,0),"")</f>
        <v/>
      </c>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c r="GK801" s="4"/>
      <c r="GL801" s="4"/>
      <c r="GM801" s="4"/>
      <c r="GN801" s="4"/>
      <c r="GO801" s="4"/>
      <c r="GP801" s="4"/>
      <c r="GQ801" s="4"/>
      <c r="GR801" s="4"/>
      <c r="GS801" s="4"/>
      <c r="GT801" s="4"/>
      <c r="GU801" s="4"/>
      <c r="GV801" s="4"/>
      <c r="GW801" s="4"/>
      <c r="GX801" s="4"/>
      <c r="GY801" s="4"/>
      <c r="GZ801" s="4"/>
      <c r="HA801" s="4"/>
      <c r="HB801" s="4"/>
      <c r="HC801" s="4"/>
      <c r="HD801" s="4"/>
      <c r="HE801" s="4"/>
      <c r="HF801" s="4"/>
      <c r="HG801" s="4"/>
      <c r="HH801" s="4"/>
      <c r="HI801" s="4"/>
      <c r="HJ801" s="4"/>
      <c r="HK801" s="4"/>
      <c r="HL801" s="4"/>
    </row>
    <row r="802" spans="1:220" ht="15" customHeight="1">
      <c r="A802" s="21">
        <v>8</v>
      </c>
      <c r="B802" s="157" t="str">
        <f>VLOOKUP(Ruimtestaat[[#This Row],[Code]],Locaties[[Code]:[Locatie]],2,FALSE)</f>
        <v>Dalton College</v>
      </c>
      <c r="C802" s="157" t="str">
        <f>VLOOKUP(Ruimtestaat[[#This Row],[Code]],Locaties[[#All],[Code]:[Adres]],4,FALSE)</f>
        <v>Loolaan 125</v>
      </c>
      <c r="D802" s="157" t="str">
        <f>VLOOKUP(Ruimtestaat[[#This Row],[Code]],Locaties[[#All],[Code]:[Postcode]],5,FALSE)</f>
        <v xml:space="preserve">2271 TM </v>
      </c>
      <c r="E802" s="157" t="str">
        <f>VLOOKUP(Ruimtestaat[[#This Row],[Code]],Locaties[#All],6,FALSE)</f>
        <v>Voorburg</v>
      </c>
      <c r="F802" s="62"/>
      <c r="G802" s="21" t="s">
        <v>1624</v>
      </c>
      <c r="H802" s="21" t="s">
        <v>2267</v>
      </c>
      <c r="I802" s="62" t="s">
        <v>2268</v>
      </c>
      <c r="J802" s="21">
        <v>16</v>
      </c>
      <c r="K802" s="62" t="str">
        <f>VLOOKUP(Ruimtestaat[[#This Row],[Ruimte code]],Ruimtegroepen[[#All],[Code]:[Ruimte omschrijving]],2,FALSE)</f>
        <v>Leslokalen theorie</v>
      </c>
      <c r="L802" s="33" t="s">
        <v>101</v>
      </c>
      <c r="M802" s="367" t="s">
        <v>2495</v>
      </c>
      <c r="N802" s="140">
        <v>15</v>
      </c>
      <c r="O802" s="140"/>
      <c r="P802" s="125" t="str">
        <f>VLOOKUP(Ruimtestaat[[#This Row],[Ruimte code]],Ruimtegroepen[],4,FALSE)</f>
        <v>Le</v>
      </c>
      <c r="R802" s="33">
        <v>40</v>
      </c>
      <c r="S802" s="33" t="s">
        <v>2</v>
      </c>
      <c r="T802" s="33">
        <f>IF(R802&gt;0,IF(RIGHT(Ruimtestaat[[#This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2" s="33">
        <f>IF(T802&gt;0,VLOOKUP($J802,Ruimtegroepen[],3,FALSE)*VLOOKUP($L802,Vloersoorten[],3,FALSE)*VLOOKUP($S802,Frequenties[],3,FALSE)*VLOOKUP($A802,Locaties[],3,FALSE),0)</f>
        <v>0</v>
      </c>
      <c r="V802" s="33">
        <f>Ruimtestaat[[#This Row],[Uitvoeringen werkdagen]]*Ruimtestaat[[#This Row],[Oppervlak (netto)]]</f>
        <v>3000</v>
      </c>
      <c r="W802" s="154">
        <f>IF(U802&gt;0,Ruimtestaat[[#This Row],[Prest. (m2 /jaar) werkdagen]]/Ruimtestaat[[#This Row],[Norm (m2/uur) werkdagen]],0)</f>
        <v>0</v>
      </c>
      <c r="X802" s="155">
        <f>Ruimtestaat[[#This Row],[uren / jaar werkdagen]]*Tariefsopbouw!$E$35</f>
        <v>0</v>
      </c>
      <c r="Y802" s="33"/>
      <c r="Z802" s="33">
        <f>IF(Ruimtestaat[[#This Row],[Frequentie weekend]]&gt;0,VALUE(LEFT(Y802,1))*R802,0)</f>
        <v>0</v>
      </c>
      <c r="AA802" s="97">
        <f>IF($Z802&gt;0,VLOOKUP($J802,Ruimtegroepen[],3,FALSE)*VLOOKUP($L802,Vloersoorten[],3,FALSE)*VLOOKUP($Y802,Frequenties[],3,FALSE)*VLOOKUP(Ruimtestaat[[#This Row],[Code]],Locaties[],3,FALSE),0)</f>
        <v>0</v>
      </c>
      <c r="AB802" s="97">
        <f>Ruimtestaat[[#This Row],[Uitvoeringen weekend]]*Ruimtestaat[[#This Row],[Oppervlak (netto)]]</f>
        <v>0</v>
      </c>
      <c r="AC802" s="97">
        <f>IF(AA802&gt;0,Ruimtestaat[[#This Row],[Prest. (m2 /jaar) weekend]]/Ruimtestaat[[#This Row],[Norm (m2/uur) weekend]],0)</f>
        <v>0</v>
      </c>
      <c r="AD802" s="155">
        <f>Ruimtestaat[[#This Row],[uren / jaar weekend]]*Tariefsopbouw!$D$40</f>
        <v>0</v>
      </c>
      <c r="AE802" s="154">
        <f>Ruimtestaat[[#This Row],[Prest. (m2 /jaar) weekend]]+Ruimtestaat[[#This Row],[Prest. (m2 /jaar) werkdagen]]</f>
        <v>3000</v>
      </c>
      <c r="AF802" s="154">
        <f>Ruimtestaat[[#This Row],[uren / jaar weekend]]+Ruimtestaat[[#This Row],[uren / jaar werkdagen]]</f>
        <v>0</v>
      </c>
      <c r="AG802" s="69">
        <f>Ruimtestaat[[#This Row],[kosten / jaar weekend]]+Ruimtestaat[[#This Row],[kosten / jaar werkdagen]]</f>
        <v>0</v>
      </c>
      <c r="AH802" s="69"/>
      <c r="AI802" s="256" t="str">
        <f>IF(Ruimtestaat[[#This Row],[Frequentie werkdagen]]="","",_xlfn.CONCAT(Ruimtestaat[[#This Row],[Ruimte code]],"-",Ruimtestaat[[#This Row],[Frequentie werkdagen]]," ",Ruimtestaat[[#This Row],[Vloer code]]))</f>
        <v>16-5w L</v>
      </c>
      <c r="AJ802" s="300" t="str">
        <f>_xlfn.IFNA(VLOOKUP($AI802,Programma!$F$3:$G$1107,2,0),"")</f>
        <v>_</v>
      </c>
      <c r="AK802" s="300" t="str">
        <f>_xlfn.IFNA(VLOOKUP($AI802,Programma!$F$3:$H$1107,3,0),"")</f>
        <v>_</v>
      </c>
      <c r="AL802" s="300" t="str">
        <f>_xlfn.IFNA(VLOOKUP($AI802,Programma!$F$3:$I$1107,4,0),"")</f>
        <v>4w</v>
      </c>
      <c r="AM802" s="300" t="str">
        <f>_xlfn.IFNA(VLOOKUP($AI802,Programma!$F$3:$J$1107,5,0),"")</f>
        <v>1w</v>
      </c>
      <c r="AN802" s="300" t="str">
        <f>_xlfn.IFNA(VLOOKUP($AI802,Programma!$F$3:$K$1107,6,0),"")</f>
        <v>_</v>
      </c>
      <c r="AO802" s="300" t="str">
        <f>_xlfn.IFNA(VLOOKUP($AI802,Programma!$F$3:$L$1107,7,0),"")</f>
        <v>_</v>
      </c>
      <c r="AP802" s="300" t="str">
        <f>_xlfn.IFNA(VLOOKUP($AI802,Programma!$F$3:$M$1107,8,0),"")</f>
        <v>_</v>
      </c>
      <c r="AQ802" s="300" t="str">
        <f>_xlfn.IFNA(VLOOKUP($AI802,Programma!$F$3:$N$1107,9,0),"")</f>
        <v>_</v>
      </c>
      <c r="AR802" s="300" t="str">
        <f>_xlfn.IFNA(VLOOKUP($AI802,Programma!$F$3:$O$1107,10,0),"")</f>
        <v>5w</v>
      </c>
      <c r="AS802" s="300" t="str">
        <f>_xlfn.IFNA(VLOOKUP($AI802,Programma!$F$3:$P$1107,11,0),"")</f>
        <v>5w</v>
      </c>
      <c r="AT802" s="300" t="str">
        <f>_xlfn.IFNA(VLOOKUP($AI802,Programma!$F$3:$Q$1107,12,0),"")</f>
        <v>1w</v>
      </c>
      <c r="AU802" s="300" t="str">
        <f>_xlfn.IFNA(VLOOKUP($AI802,Programma!$F$3:$R$1107,13,0),"")</f>
        <v>1w</v>
      </c>
      <c r="AV802" s="300" t="str">
        <f>_xlfn.IFNA(VLOOKUP($AI802,Programma!$F$3:$S$1107,14,0),"")</f>
        <v>1m</v>
      </c>
      <c r="AW802" s="300" t="str">
        <f>_xlfn.IFNA(VLOOKUP($AI802,Programma!$F$3:$T$1107,15,0),"")</f>
        <v>2j</v>
      </c>
      <c r="AX802" s="300" t="str">
        <f>_xlfn.IFNA(VLOOKUP($AI802,Programma!$F$3:$U$1107,16,0),"")</f>
        <v>1j</v>
      </c>
      <c r="AY802" s="300" t="str">
        <f>_xlfn.IFNA(VLOOKUP($AI802,Programma!$F$3:$V$1107,17,0),"")</f>
        <v>_</v>
      </c>
      <c r="AZ802" s="300" t="str">
        <f>_xlfn.IFNA(VLOOKUP($AI802,Programma!$F$3:$W$1107,18,0),"")</f>
        <v>_</v>
      </c>
      <c r="BA802" s="300" t="str">
        <f>_xlfn.IFNA(VLOOKUP($AI802,Programma!$F$3:$X$1107,19,0),"")</f>
        <v>_</v>
      </c>
      <c r="BB802" s="300" t="str">
        <f>_xlfn.IFNA(VLOOKUP($AI802,Programma!$F$3:$Y$1107,20,0),"")</f>
        <v>_</v>
      </c>
      <c r="BC802" s="257"/>
      <c r="BD802" s="256" t="str">
        <f>IF(Ruimtestaat[[#This Row],[Frequentie weekend]]="","",_xlfn.CONCAT(Ruimtestaat[[#This Row],[Ruimte code]],"-",Ruimtestaat[[#This Row],[Frequentie weekend]]," ",Ruimtestaat[[#This Row],[Vloer code]]))</f>
        <v/>
      </c>
      <c r="BE802" s="300" t="str">
        <f>_xlfn.IFNA(VLOOKUP($BD802,Programma!$F$3:$G$1107,2,0),"")</f>
        <v/>
      </c>
      <c r="BF802" s="300" t="str">
        <f>_xlfn.IFNA(VLOOKUP($BD802,Programma!$F$3:$H$1107,3,0),"")</f>
        <v/>
      </c>
      <c r="BG802" s="300" t="str">
        <f>_xlfn.IFNA(VLOOKUP($BD802,Programma!$F$3:$I$1107,4,0),"")</f>
        <v/>
      </c>
      <c r="BH802" s="300" t="str">
        <f>_xlfn.IFNA(VLOOKUP($BD802,Programma!$F$3:$J$1107,5,0),"")</f>
        <v/>
      </c>
      <c r="BI802" s="300" t="str">
        <f>_xlfn.IFNA(VLOOKUP($BD802,Programma!$F$3:$K$1107,6,0),"")</f>
        <v/>
      </c>
      <c r="BJ802" s="300" t="str">
        <f>_xlfn.IFNA(VLOOKUP($BD802,Programma!$F$3:$L$1107,7,0),"")</f>
        <v/>
      </c>
      <c r="BK802" s="300" t="str">
        <f>_xlfn.IFNA(VLOOKUP($BD802,Programma!$F$3:$M$1107,8,0),"")</f>
        <v/>
      </c>
      <c r="BL802" s="300" t="str">
        <f>_xlfn.IFNA(VLOOKUP($BD802,Programma!$F$3:$N$1107,9,0),"")</f>
        <v/>
      </c>
      <c r="BM802" s="300" t="str">
        <f>_xlfn.IFNA(VLOOKUP($BD802,Programma!$F$3:$O$1107,10,0),"")</f>
        <v/>
      </c>
      <c r="BN802" s="300" t="str">
        <f>_xlfn.IFNA(VLOOKUP($BD802,Programma!$F$3:$P$1107,11,0),"")</f>
        <v/>
      </c>
      <c r="BO802" s="300" t="str">
        <f>_xlfn.IFNA(VLOOKUP($BD802,Programma!$F$3:$Q$1107,12,0),"")</f>
        <v/>
      </c>
      <c r="BP802" s="300" t="str">
        <f>_xlfn.IFNA(VLOOKUP($BD802,Programma!$F$3:$R$1107,13,0),"")</f>
        <v/>
      </c>
      <c r="BQ802" s="300" t="str">
        <f>_xlfn.IFNA(VLOOKUP($BD802,Programma!$F$3:$S$1107,14,0),"")</f>
        <v/>
      </c>
      <c r="BR802" s="300" t="str">
        <f>_xlfn.IFNA(VLOOKUP($BD802,Programma!$F$3:$T$1107,15,0),"")</f>
        <v/>
      </c>
      <c r="BS802" s="300" t="str">
        <f>_xlfn.IFNA(VLOOKUP($BD802,Programma!$F$3:$U$1107,16,0),"")</f>
        <v/>
      </c>
      <c r="BT802" s="300" t="str">
        <f>_xlfn.IFNA(VLOOKUP($BD802,Programma!$F$3:$V$1107,17,0),"")</f>
        <v/>
      </c>
      <c r="BU802" s="300" t="str">
        <f>_xlfn.IFNA(VLOOKUP($BD802,Programma!$F$3:$W$1107,18,0),"")</f>
        <v/>
      </c>
      <c r="BV802" s="300" t="str">
        <f>_xlfn.IFNA(VLOOKUP($BD802,Programma!$F$3:$X$1107,19,0),"")</f>
        <v/>
      </c>
      <c r="BW802" s="300" t="str">
        <f>_xlfn.IFNA(VLOOKUP($BD802,Programma!$F$3:$Y$1107,20,0),"")</f>
        <v/>
      </c>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c r="GK802" s="4"/>
      <c r="GL802" s="4"/>
      <c r="GM802" s="4"/>
      <c r="GN802" s="4"/>
      <c r="GO802" s="4"/>
      <c r="GP802" s="4"/>
      <c r="GQ802" s="4"/>
      <c r="GR802" s="4"/>
      <c r="GS802" s="4"/>
      <c r="GT802" s="4"/>
      <c r="GU802" s="4"/>
      <c r="GV802" s="4"/>
      <c r="GW802" s="4"/>
      <c r="GX802" s="4"/>
      <c r="GY802" s="4"/>
      <c r="GZ802" s="4"/>
      <c r="HA802" s="4"/>
      <c r="HB802" s="4"/>
      <c r="HC802" s="4"/>
      <c r="HD802" s="4"/>
      <c r="HE802" s="4"/>
      <c r="HF802" s="4"/>
      <c r="HG802" s="4"/>
      <c r="HH802" s="4"/>
      <c r="HI802" s="4"/>
      <c r="HJ802" s="4"/>
      <c r="HK802" s="4"/>
      <c r="HL802" s="4"/>
    </row>
    <row r="803" spans="1:220" ht="15" customHeight="1">
      <c r="A803" s="21">
        <v>8</v>
      </c>
      <c r="B803" s="157" t="str">
        <f>VLOOKUP(Ruimtestaat[[#This Row],[Code]],Locaties[[Code]:[Locatie]],2,FALSE)</f>
        <v>Dalton College</v>
      </c>
      <c r="C803" s="157" t="str">
        <f>VLOOKUP(Ruimtestaat[[#This Row],[Code]],Locaties[[#All],[Code]:[Adres]],4,FALSE)</f>
        <v>Loolaan 125</v>
      </c>
      <c r="D803" s="157" t="str">
        <f>VLOOKUP(Ruimtestaat[[#This Row],[Code]],Locaties[[#All],[Code]:[Postcode]],5,FALSE)</f>
        <v xml:space="preserve">2271 TM </v>
      </c>
      <c r="E803" s="157" t="str">
        <f>VLOOKUP(Ruimtestaat[[#This Row],[Code]],Locaties[#All],6,FALSE)</f>
        <v>Voorburg</v>
      </c>
      <c r="F803" s="62"/>
      <c r="G803" s="21" t="s">
        <v>1624</v>
      </c>
      <c r="H803" s="21" t="s">
        <v>2269</v>
      </c>
      <c r="I803" s="62" t="s">
        <v>1639</v>
      </c>
      <c r="J803" s="21">
        <v>5</v>
      </c>
      <c r="K803" s="62" t="str">
        <f>VLOOKUP(Ruimtestaat[[#This Row],[Ruimte code]],Ruimtegroepen[[#All],[Code]:[Ruimte omschrijving]],2,FALSE)</f>
        <v>Sanitair</v>
      </c>
      <c r="L803" s="33" t="s">
        <v>102</v>
      </c>
      <c r="M803" s="367" t="s">
        <v>2496</v>
      </c>
      <c r="N803" s="140">
        <v>6</v>
      </c>
      <c r="O803" s="140"/>
      <c r="P803" s="125" t="str">
        <f>VLOOKUP(Ruimtestaat[[#This Row],[Ruimte code]],Ruimtegroepen[],4,FALSE)</f>
        <v>Sa</v>
      </c>
      <c r="R803" s="33">
        <v>40</v>
      </c>
      <c r="S803" s="33" t="s">
        <v>2</v>
      </c>
      <c r="T803" s="33">
        <f>IF(R803&gt;0,IF(RIGHT(Ruimtestaat[[#This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3" s="33">
        <f>IF(T803&gt;0,VLOOKUP($J803,Ruimtegroepen[],3,FALSE)*VLOOKUP($L803,Vloersoorten[],3,FALSE)*VLOOKUP($S803,Frequenties[],3,FALSE)*VLOOKUP($A803,Locaties[],3,FALSE),0)</f>
        <v>0</v>
      </c>
      <c r="V803" s="33">
        <f>Ruimtestaat[[#This Row],[Uitvoeringen werkdagen]]*Ruimtestaat[[#This Row],[Oppervlak (netto)]]</f>
        <v>1200</v>
      </c>
      <c r="W803" s="154">
        <f>IF(U803&gt;0,Ruimtestaat[[#This Row],[Prest. (m2 /jaar) werkdagen]]/Ruimtestaat[[#This Row],[Norm (m2/uur) werkdagen]],0)</f>
        <v>0</v>
      </c>
      <c r="X803" s="155">
        <f>Ruimtestaat[[#This Row],[uren / jaar werkdagen]]*Tariefsopbouw!$E$35</f>
        <v>0</v>
      </c>
      <c r="Y803" s="33"/>
      <c r="Z803" s="33">
        <f>IF(Ruimtestaat[[#This Row],[Frequentie weekend]]&gt;0,VALUE(LEFT(Y803,1))*R803,0)</f>
        <v>0</v>
      </c>
      <c r="AA803" s="97">
        <f>IF($Z803&gt;0,VLOOKUP($J803,Ruimtegroepen[],3,FALSE)*VLOOKUP($L803,Vloersoorten[],3,FALSE)*VLOOKUP($Y803,Frequenties[],3,FALSE)*VLOOKUP(Ruimtestaat[[#This Row],[Code]],Locaties[],3,FALSE),0)</f>
        <v>0</v>
      </c>
      <c r="AB803" s="97">
        <f>Ruimtestaat[[#This Row],[Uitvoeringen weekend]]*Ruimtestaat[[#This Row],[Oppervlak (netto)]]</f>
        <v>0</v>
      </c>
      <c r="AC803" s="97">
        <f>IF(AA803&gt;0,Ruimtestaat[[#This Row],[Prest. (m2 /jaar) weekend]]/Ruimtestaat[[#This Row],[Norm (m2/uur) weekend]],0)</f>
        <v>0</v>
      </c>
      <c r="AD803" s="155">
        <f>Ruimtestaat[[#This Row],[uren / jaar weekend]]*Tariefsopbouw!$D$40</f>
        <v>0</v>
      </c>
      <c r="AE803" s="154">
        <f>Ruimtestaat[[#This Row],[Prest. (m2 /jaar) weekend]]+Ruimtestaat[[#This Row],[Prest. (m2 /jaar) werkdagen]]</f>
        <v>1200</v>
      </c>
      <c r="AF803" s="154">
        <f>Ruimtestaat[[#This Row],[uren / jaar weekend]]+Ruimtestaat[[#This Row],[uren / jaar werkdagen]]</f>
        <v>0</v>
      </c>
      <c r="AG803" s="69">
        <f>Ruimtestaat[[#This Row],[kosten / jaar weekend]]+Ruimtestaat[[#This Row],[kosten / jaar werkdagen]]</f>
        <v>0</v>
      </c>
      <c r="AH803" s="69"/>
      <c r="AI803" s="256" t="str">
        <f>IF(Ruimtestaat[[#This Row],[Frequentie werkdagen]]="","",_xlfn.CONCAT(Ruimtestaat[[#This Row],[Ruimte code]],"-",Ruimtestaat[[#This Row],[Frequentie werkdagen]]," ",Ruimtestaat[[#This Row],[Vloer code]]))</f>
        <v>5-5w S</v>
      </c>
      <c r="AJ803" s="300" t="str">
        <f>_xlfn.IFNA(VLOOKUP($AI803,Programma!$F$3:$G$1107,2,0),"")</f>
        <v>_</v>
      </c>
      <c r="AK803" s="300" t="str">
        <f>_xlfn.IFNA(VLOOKUP($AI803,Programma!$F$3:$H$1107,3,0),"")</f>
        <v>_</v>
      </c>
      <c r="AL803" s="300" t="str">
        <f>_xlfn.IFNA(VLOOKUP($AI803,Programma!$F$3:$I$1107,4,0),"")</f>
        <v>_</v>
      </c>
      <c r="AM803" s="300" t="str">
        <f>_xlfn.IFNA(VLOOKUP($AI803,Programma!$F$3:$J$1107,5,0),"")</f>
        <v>4w</v>
      </c>
      <c r="AN803" s="300" t="str">
        <f>_xlfn.IFNA(VLOOKUP($AI803,Programma!$F$3:$K$1107,6,0),"")</f>
        <v>1w</v>
      </c>
      <c r="AO803" s="300" t="str">
        <f>_xlfn.IFNA(VLOOKUP($AI803,Programma!$F$3:$L$1107,7,0),"")</f>
        <v>_</v>
      </c>
      <c r="AP803" s="300" t="str">
        <f>_xlfn.IFNA(VLOOKUP($AI803,Programma!$F$3:$M$1107,8,0),"")</f>
        <v>_</v>
      </c>
      <c r="AQ803" s="300" t="str">
        <f>_xlfn.IFNA(VLOOKUP($AI803,Programma!$F$3:$N$1107,9,0),"")</f>
        <v>_</v>
      </c>
      <c r="AR803" s="300" t="str">
        <f>_xlfn.IFNA(VLOOKUP($AI803,Programma!$F$3:$O$1107,10,0),"")</f>
        <v>_</v>
      </c>
      <c r="AS803" s="300" t="str">
        <f>_xlfn.IFNA(VLOOKUP($AI803,Programma!$F$3:$P$1107,11,0),"")</f>
        <v>_</v>
      </c>
      <c r="AT803" s="300" t="str">
        <f>_xlfn.IFNA(VLOOKUP($AI803,Programma!$F$3:$Q$1107,12,0),"")</f>
        <v>_</v>
      </c>
      <c r="AU803" s="300" t="str">
        <f>_xlfn.IFNA(VLOOKUP($AI803,Programma!$F$3:$R$1107,13,0),"")</f>
        <v>_</v>
      </c>
      <c r="AV803" s="300" t="str">
        <f>_xlfn.IFNA(VLOOKUP($AI803,Programma!$F$3:$S$1107,14,0),"")</f>
        <v>_</v>
      </c>
      <c r="AW803" s="300" t="str">
        <f>_xlfn.IFNA(VLOOKUP($AI803,Programma!$F$3:$T$1107,15,0),"")</f>
        <v>_</v>
      </c>
      <c r="AX803" s="300" t="str">
        <f>_xlfn.IFNA(VLOOKUP($AI803,Programma!$F$3:$U$1107,16,0),"")</f>
        <v>_</v>
      </c>
      <c r="AY803" s="300" t="str">
        <f>_xlfn.IFNA(VLOOKUP($AI803,Programma!$F$3:$V$1107,17,0),"")</f>
        <v>_</v>
      </c>
      <c r="AZ803" s="300" t="str">
        <f>_xlfn.IFNA(VLOOKUP($AI803,Programma!$F$3:$W$1107,18,0),"")</f>
        <v>4w</v>
      </c>
      <c r="BA803" s="300" t="str">
        <f>_xlfn.IFNA(VLOOKUP($AI803,Programma!$F$3:$X$1107,19,0),"")</f>
        <v>1w</v>
      </c>
      <c r="BB803" s="300" t="str">
        <f>_xlfn.IFNA(VLOOKUP($AI803,Programma!$F$3:$Y$1107,20,0),"")</f>
        <v>_</v>
      </c>
      <c r="BC803" s="257"/>
      <c r="BD803" s="256" t="str">
        <f>IF(Ruimtestaat[[#This Row],[Frequentie weekend]]="","",_xlfn.CONCAT(Ruimtestaat[[#This Row],[Ruimte code]],"-",Ruimtestaat[[#This Row],[Frequentie weekend]]," ",Ruimtestaat[[#This Row],[Vloer code]]))</f>
        <v/>
      </c>
      <c r="BE803" s="300" t="str">
        <f>_xlfn.IFNA(VLOOKUP($BD803,Programma!$F$3:$G$1107,2,0),"")</f>
        <v/>
      </c>
      <c r="BF803" s="300" t="str">
        <f>_xlfn.IFNA(VLOOKUP($BD803,Programma!$F$3:$H$1107,3,0),"")</f>
        <v/>
      </c>
      <c r="BG803" s="300" t="str">
        <f>_xlfn.IFNA(VLOOKUP($BD803,Programma!$F$3:$I$1107,4,0),"")</f>
        <v/>
      </c>
      <c r="BH803" s="300" t="str">
        <f>_xlfn.IFNA(VLOOKUP($BD803,Programma!$F$3:$J$1107,5,0),"")</f>
        <v/>
      </c>
      <c r="BI803" s="300" t="str">
        <f>_xlfn.IFNA(VLOOKUP($BD803,Programma!$F$3:$K$1107,6,0),"")</f>
        <v/>
      </c>
      <c r="BJ803" s="300" t="str">
        <f>_xlfn.IFNA(VLOOKUP($BD803,Programma!$F$3:$L$1107,7,0),"")</f>
        <v/>
      </c>
      <c r="BK803" s="300" t="str">
        <f>_xlfn.IFNA(VLOOKUP($BD803,Programma!$F$3:$M$1107,8,0),"")</f>
        <v/>
      </c>
      <c r="BL803" s="300" t="str">
        <f>_xlfn.IFNA(VLOOKUP($BD803,Programma!$F$3:$N$1107,9,0),"")</f>
        <v/>
      </c>
      <c r="BM803" s="300" t="str">
        <f>_xlfn.IFNA(VLOOKUP($BD803,Programma!$F$3:$O$1107,10,0),"")</f>
        <v/>
      </c>
      <c r="BN803" s="300" t="str">
        <f>_xlfn.IFNA(VLOOKUP($BD803,Programma!$F$3:$P$1107,11,0),"")</f>
        <v/>
      </c>
      <c r="BO803" s="300" t="str">
        <f>_xlfn.IFNA(VLOOKUP($BD803,Programma!$F$3:$Q$1107,12,0),"")</f>
        <v/>
      </c>
      <c r="BP803" s="300" t="str">
        <f>_xlfn.IFNA(VLOOKUP($BD803,Programma!$F$3:$R$1107,13,0),"")</f>
        <v/>
      </c>
      <c r="BQ803" s="300" t="str">
        <f>_xlfn.IFNA(VLOOKUP($BD803,Programma!$F$3:$S$1107,14,0),"")</f>
        <v/>
      </c>
      <c r="BR803" s="300" t="str">
        <f>_xlfn.IFNA(VLOOKUP($BD803,Programma!$F$3:$T$1107,15,0),"")</f>
        <v/>
      </c>
      <c r="BS803" s="300" t="str">
        <f>_xlfn.IFNA(VLOOKUP($BD803,Programma!$F$3:$U$1107,16,0),"")</f>
        <v/>
      </c>
      <c r="BT803" s="300" t="str">
        <f>_xlfn.IFNA(VLOOKUP($BD803,Programma!$F$3:$V$1107,17,0),"")</f>
        <v/>
      </c>
      <c r="BU803" s="300" t="str">
        <f>_xlfn.IFNA(VLOOKUP($BD803,Programma!$F$3:$W$1107,18,0),"")</f>
        <v/>
      </c>
      <c r="BV803" s="300" t="str">
        <f>_xlfn.IFNA(VLOOKUP($BD803,Programma!$F$3:$X$1107,19,0),"")</f>
        <v/>
      </c>
      <c r="BW803" s="300" t="str">
        <f>_xlfn.IFNA(VLOOKUP($BD803,Programma!$F$3:$Y$1107,20,0),"")</f>
        <v/>
      </c>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c r="GK803" s="4"/>
      <c r="GL803" s="4"/>
      <c r="GM803" s="4"/>
      <c r="GN803" s="4"/>
      <c r="GO803" s="4"/>
      <c r="GP803" s="4"/>
      <c r="GQ803" s="4"/>
      <c r="GR803" s="4"/>
      <c r="GS803" s="4"/>
      <c r="GT803" s="4"/>
      <c r="GU803" s="4"/>
      <c r="GV803" s="4"/>
      <c r="GW803" s="4"/>
      <c r="GX803" s="4"/>
      <c r="GY803" s="4"/>
      <c r="GZ803" s="4"/>
      <c r="HA803" s="4"/>
      <c r="HB803" s="4"/>
      <c r="HC803" s="4"/>
      <c r="HD803" s="4"/>
      <c r="HE803" s="4"/>
      <c r="HF803" s="4"/>
      <c r="HG803" s="4"/>
      <c r="HH803" s="4"/>
      <c r="HI803" s="4"/>
      <c r="HJ803" s="4"/>
      <c r="HK803" s="4"/>
      <c r="HL803" s="4"/>
    </row>
    <row r="804" spans="1:220" ht="15" customHeight="1">
      <c r="A804" s="21">
        <v>8</v>
      </c>
      <c r="B804" s="157" t="str">
        <f>VLOOKUP(Ruimtestaat[[#This Row],[Code]],Locaties[[Code]:[Locatie]],2,FALSE)</f>
        <v>Dalton College</v>
      </c>
      <c r="C804" s="157" t="str">
        <f>VLOOKUP(Ruimtestaat[[#This Row],[Code]],Locaties[[#All],[Code]:[Adres]],4,FALSE)</f>
        <v>Loolaan 125</v>
      </c>
      <c r="D804" s="157" t="str">
        <f>VLOOKUP(Ruimtestaat[[#This Row],[Code]],Locaties[[#All],[Code]:[Postcode]],5,FALSE)</f>
        <v xml:space="preserve">2271 TM </v>
      </c>
      <c r="E804" s="157" t="str">
        <f>VLOOKUP(Ruimtestaat[[#This Row],[Code]],Locaties[#All],6,FALSE)</f>
        <v>Voorburg</v>
      </c>
      <c r="F804" s="62"/>
      <c r="G804" s="21" t="s">
        <v>1624</v>
      </c>
      <c r="H804" s="21" t="s">
        <v>2270</v>
      </c>
      <c r="I804" s="62" t="s">
        <v>1640</v>
      </c>
      <c r="J804" s="21">
        <v>5</v>
      </c>
      <c r="K804" s="62" t="str">
        <f>VLOOKUP(Ruimtestaat[[#This Row],[Ruimte code]],Ruimtegroepen[[#All],[Code]:[Ruimte omschrijving]],2,FALSE)</f>
        <v>Sanitair</v>
      </c>
      <c r="L804" s="33" t="s">
        <v>102</v>
      </c>
      <c r="M804" s="367" t="s">
        <v>2496</v>
      </c>
      <c r="N804" s="140">
        <v>6</v>
      </c>
      <c r="O804" s="140"/>
      <c r="P804" s="125" t="str">
        <f>VLOOKUP(Ruimtestaat[[#This Row],[Ruimte code]],Ruimtegroepen[],4,FALSE)</f>
        <v>Sa</v>
      </c>
      <c r="R804" s="33">
        <v>40</v>
      </c>
      <c r="S804" s="33" t="s">
        <v>2</v>
      </c>
      <c r="T804" s="33">
        <f>IF(R804&gt;0,IF(RIGHT(Ruimtestaat[[#This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4" s="33">
        <f>IF(T804&gt;0,VLOOKUP($J804,Ruimtegroepen[],3,FALSE)*VLOOKUP($L804,Vloersoorten[],3,FALSE)*VLOOKUP($S804,Frequenties[],3,FALSE)*VLOOKUP($A804,Locaties[],3,FALSE),0)</f>
        <v>0</v>
      </c>
      <c r="V804" s="33">
        <f>Ruimtestaat[[#This Row],[Uitvoeringen werkdagen]]*Ruimtestaat[[#This Row],[Oppervlak (netto)]]</f>
        <v>1200</v>
      </c>
      <c r="W804" s="154">
        <f>IF(U804&gt;0,Ruimtestaat[[#This Row],[Prest. (m2 /jaar) werkdagen]]/Ruimtestaat[[#This Row],[Norm (m2/uur) werkdagen]],0)</f>
        <v>0</v>
      </c>
      <c r="X804" s="155">
        <f>Ruimtestaat[[#This Row],[uren / jaar werkdagen]]*Tariefsopbouw!$E$35</f>
        <v>0</v>
      </c>
      <c r="Y804" s="33"/>
      <c r="Z804" s="33">
        <f>IF(Ruimtestaat[[#This Row],[Frequentie weekend]]&gt;0,VALUE(LEFT(Y804,1))*R804,0)</f>
        <v>0</v>
      </c>
      <c r="AA804" s="97">
        <f>IF($Z804&gt;0,VLOOKUP($J804,Ruimtegroepen[],3,FALSE)*VLOOKUP($L804,Vloersoorten[],3,FALSE)*VLOOKUP($Y804,Frequenties[],3,FALSE)*VLOOKUP(Ruimtestaat[[#This Row],[Code]],Locaties[],3,FALSE),0)</f>
        <v>0</v>
      </c>
      <c r="AB804" s="97">
        <f>Ruimtestaat[[#This Row],[Uitvoeringen weekend]]*Ruimtestaat[[#This Row],[Oppervlak (netto)]]</f>
        <v>0</v>
      </c>
      <c r="AC804" s="97">
        <f>IF(AA804&gt;0,Ruimtestaat[[#This Row],[Prest. (m2 /jaar) weekend]]/Ruimtestaat[[#This Row],[Norm (m2/uur) weekend]],0)</f>
        <v>0</v>
      </c>
      <c r="AD804" s="155">
        <f>Ruimtestaat[[#This Row],[uren / jaar weekend]]*Tariefsopbouw!$D$40</f>
        <v>0</v>
      </c>
      <c r="AE804" s="154">
        <f>Ruimtestaat[[#This Row],[Prest. (m2 /jaar) weekend]]+Ruimtestaat[[#This Row],[Prest. (m2 /jaar) werkdagen]]</f>
        <v>1200</v>
      </c>
      <c r="AF804" s="154">
        <f>Ruimtestaat[[#This Row],[uren / jaar weekend]]+Ruimtestaat[[#This Row],[uren / jaar werkdagen]]</f>
        <v>0</v>
      </c>
      <c r="AG804" s="69">
        <f>Ruimtestaat[[#This Row],[kosten / jaar weekend]]+Ruimtestaat[[#This Row],[kosten / jaar werkdagen]]</f>
        <v>0</v>
      </c>
      <c r="AH804" s="69"/>
      <c r="AI804" s="256" t="str">
        <f>IF(Ruimtestaat[[#This Row],[Frequentie werkdagen]]="","",_xlfn.CONCAT(Ruimtestaat[[#This Row],[Ruimte code]],"-",Ruimtestaat[[#This Row],[Frequentie werkdagen]]," ",Ruimtestaat[[#This Row],[Vloer code]]))</f>
        <v>5-5w S</v>
      </c>
      <c r="AJ804" s="300" t="str">
        <f>_xlfn.IFNA(VLOOKUP($AI804,Programma!$F$3:$G$1107,2,0),"")</f>
        <v>_</v>
      </c>
      <c r="AK804" s="300" t="str">
        <f>_xlfn.IFNA(VLOOKUP($AI804,Programma!$F$3:$H$1107,3,0),"")</f>
        <v>_</v>
      </c>
      <c r="AL804" s="300" t="str">
        <f>_xlfn.IFNA(VLOOKUP($AI804,Programma!$F$3:$I$1107,4,0),"")</f>
        <v>_</v>
      </c>
      <c r="AM804" s="300" t="str">
        <f>_xlfn.IFNA(VLOOKUP($AI804,Programma!$F$3:$J$1107,5,0),"")</f>
        <v>4w</v>
      </c>
      <c r="AN804" s="300" t="str">
        <f>_xlfn.IFNA(VLOOKUP($AI804,Programma!$F$3:$K$1107,6,0),"")</f>
        <v>1w</v>
      </c>
      <c r="AO804" s="300" t="str">
        <f>_xlfn.IFNA(VLOOKUP($AI804,Programma!$F$3:$L$1107,7,0),"")</f>
        <v>_</v>
      </c>
      <c r="AP804" s="300" t="str">
        <f>_xlfn.IFNA(VLOOKUP($AI804,Programma!$F$3:$M$1107,8,0),"")</f>
        <v>_</v>
      </c>
      <c r="AQ804" s="300" t="str">
        <f>_xlfn.IFNA(VLOOKUP($AI804,Programma!$F$3:$N$1107,9,0),"")</f>
        <v>_</v>
      </c>
      <c r="AR804" s="300" t="str">
        <f>_xlfn.IFNA(VLOOKUP($AI804,Programma!$F$3:$O$1107,10,0),"")</f>
        <v>_</v>
      </c>
      <c r="AS804" s="300" t="str">
        <f>_xlfn.IFNA(VLOOKUP($AI804,Programma!$F$3:$P$1107,11,0),"")</f>
        <v>_</v>
      </c>
      <c r="AT804" s="300" t="str">
        <f>_xlfn.IFNA(VLOOKUP($AI804,Programma!$F$3:$Q$1107,12,0),"")</f>
        <v>_</v>
      </c>
      <c r="AU804" s="300" t="str">
        <f>_xlfn.IFNA(VLOOKUP($AI804,Programma!$F$3:$R$1107,13,0),"")</f>
        <v>_</v>
      </c>
      <c r="AV804" s="300" t="str">
        <f>_xlfn.IFNA(VLOOKUP($AI804,Programma!$F$3:$S$1107,14,0),"")</f>
        <v>_</v>
      </c>
      <c r="AW804" s="300" t="str">
        <f>_xlfn.IFNA(VLOOKUP($AI804,Programma!$F$3:$T$1107,15,0),"")</f>
        <v>_</v>
      </c>
      <c r="AX804" s="300" t="str">
        <f>_xlfn.IFNA(VLOOKUP($AI804,Programma!$F$3:$U$1107,16,0),"")</f>
        <v>_</v>
      </c>
      <c r="AY804" s="300" t="str">
        <f>_xlfn.IFNA(VLOOKUP($AI804,Programma!$F$3:$V$1107,17,0),"")</f>
        <v>_</v>
      </c>
      <c r="AZ804" s="300" t="str">
        <f>_xlfn.IFNA(VLOOKUP($AI804,Programma!$F$3:$W$1107,18,0),"")</f>
        <v>4w</v>
      </c>
      <c r="BA804" s="300" t="str">
        <f>_xlfn.IFNA(VLOOKUP($AI804,Programma!$F$3:$X$1107,19,0),"")</f>
        <v>1w</v>
      </c>
      <c r="BB804" s="300" t="str">
        <f>_xlfn.IFNA(VLOOKUP($AI804,Programma!$F$3:$Y$1107,20,0),"")</f>
        <v>_</v>
      </c>
      <c r="BC804" s="257"/>
      <c r="BD804" s="256" t="str">
        <f>IF(Ruimtestaat[[#This Row],[Frequentie weekend]]="","",_xlfn.CONCAT(Ruimtestaat[[#This Row],[Ruimte code]],"-",Ruimtestaat[[#This Row],[Frequentie weekend]]," ",Ruimtestaat[[#This Row],[Vloer code]]))</f>
        <v/>
      </c>
      <c r="BE804" s="300" t="str">
        <f>_xlfn.IFNA(VLOOKUP($BD804,Programma!$F$3:$G$1107,2,0),"")</f>
        <v/>
      </c>
      <c r="BF804" s="300" t="str">
        <f>_xlfn.IFNA(VLOOKUP($BD804,Programma!$F$3:$H$1107,3,0),"")</f>
        <v/>
      </c>
      <c r="BG804" s="300" t="str">
        <f>_xlfn.IFNA(VLOOKUP($BD804,Programma!$F$3:$I$1107,4,0),"")</f>
        <v/>
      </c>
      <c r="BH804" s="300" t="str">
        <f>_xlfn.IFNA(VLOOKUP($BD804,Programma!$F$3:$J$1107,5,0),"")</f>
        <v/>
      </c>
      <c r="BI804" s="300" t="str">
        <f>_xlfn.IFNA(VLOOKUP($BD804,Programma!$F$3:$K$1107,6,0),"")</f>
        <v/>
      </c>
      <c r="BJ804" s="300" t="str">
        <f>_xlfn.IFNA(VLOOKUP($BD804,Programma!$F$3:$L$1107,7,0),"")</f>
        <v/>
      </c>
      <c r="BK804" s="300" t="str">
        <f>_xlfn.IFNA(VLOOKUP($BD804,Programma!$F$3:$M$1107,8,0),"")</f>
        <v/>
      </c>
      <c r="BL804" s="300" t="str">
        <f>_xlfn.IFNA(VLOOKUP($BD804,Programma!$F$3:$N$1107,9,0),"")</f>
        <v/>
      </c>
      <c r="BM804" s="300" t="str">
        <f>_xlfn.IFNA(VLOOKUP($BD804,Programma!$F$3:$O$1107,10,0),"")</f>
        <v/>
      </c>
      <c r="BN804" s="300" t="str">
        <f>_xlfn.IFNA(VLOOKUP($BD804,Programma!$F$3:$P$1107,11,0),"")</f>
        <v/>
      </c>
      <c r="BO804" s="300" t="str">
        <f>_xlfn.IFNA(VLOOKUP($BD804,Programma!$F$3:$Q$1107,12,0),"")</f>
        <v/>
      </c>
      <c r="BP804" s="300" t="str">
        <f>_xlfn.IFNA(VLOOKUP($BD804,Programma!$F$3:$R$1107,13,0),"")</f>
        <v/>
      </c>
      <c r="BQ804" s="300" t="str">
        <f>_xlfn.IFNA(VLOOKUP($BD804,Programma!$F$3:$S$1107,14,0),"")</f>
        <v/>
      </c>
      <c r="BR804" s="300" t="str">
        <f>_xlfn.IFNA(VLOOKUP($BD804,Programma!$F$3:$T$1107,15,0),"")</f>
        <v/>
      </c>
      <c r="BS804" s="300" t="str">
        <f>_xlfn.IFNA(VLOOKUP($BD804,Programma!$F$3:$U$1107,16,0),"")</f>
        <v/>
      </c>
      <c r="BT804" s="300" t="str">
        <f>_xlfn.IFNA(VLOOKUP($BD804,Programma!$F$3:$V$1107,17,0),"")</f>
        <v/>
      </c>
      <c r="BU804" s="300" t="str">
        <f>_xlfn.IFNA(VLOOKUP($BD804,Programma!$F$3:$W$1107,18,0),"")</f>
        <v/>
      </c>
      <c r="BV804" s="300" t="str">
        <f>_xlfn.IFNA(VLOOKUP($BD804,Programma!$F$3:$X$1107,19,0),"")</f>
        <v/>
      </c>
      <c r="BW804" s="300" t="str">
        <f>_xlfn.IFNA(VLOOKUP($BD804,Programma!$F$3:$Y$1107,20,0),"")</f>
        <v/>
      </c>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c r="GK804" s="4"/>
      <c r="GL804" s="4"/>
      <c r="GM804" s="4"/>
      <c r="GN804" s="4"/>
      <c r="GO804" s="4"/>
      <c r="GP804" s="4"/>
      <c r="GQ804" s="4"/>
      <c r="GR804" s="4"/>
      <c r="GS804" s="4"/>
      <c r="GT804" s="4"/>
      <c r="GU804" s="4"/>
      <c r="GV804" s="4"/>
      <c r="GW804" s="4"/>
      <c r="GX804" s="4"/>
      <c r="GY804" s="4"/>
      <c r="GZ804" s="4"/>
      <c r="HA804" s="4"/>
      <c r="HB804" s="4"/>
      <c r="HC804" s="4"/>
      <c r="HD804" s="4"/>
      <c r="HE804" s="4"/>
      <c r="HF804" s="4"/>
      <c r="HG804" s="4"/>
      <c r="HH804" s="4"/>
      <c r="HI804" s="4"/>
      <c r="HJ804" s="4"/>
      <c r="HK804" s="4"/>
      <c r="HL804" s="4"/>
    </row>
    <row r="805" spans="1:220" ht="15" customHeight="1">
      <c r="A805" s="21">
        <v>8</v>
      </c>
      <c r="B805" s="157" t="str">
        <f>VLOOKUP(Ruimtestaat[[#This Row],[Code]],Locaties[[Code]:[Locatie]],2,FALSE)</f>
        <v>Dalton College</v>
      </c>
      <c r="C805" s="157" t="str">
        <f>VLOOKUP(Ruimtestaat[[#This Row],[Code]],Locaties[[#All],[Code]:[Adres]],4,FALSE)</f>
        <v>Loolaan 125</v>
      </c>
      <c r="D805" s="157" t="str">
        <f>VLOOKUP(Ruimtestaat[[#This Row],[Code]],Locaties[[#All],[Code]:[Postcode]],5,FALSE)</f>
        <v xml:space="preserve">2271 TM </v>
      </c>
      <c r="E805" s="157" t="str">
        <f>VLOOKUP(Ruimtestaat[[#This Row],[Code]],Locaties[#All],6,FALSE)</f>
        <v>Voorburg</v>
      </c>
      <c r="F805" s="62"/>
      <c r="G805" s="21" t="s">
        <v>1624</v>
      </c>
      <c r="H805" s="21" t="s">
        <v>2271</v>
      </c>
      <c r="I805" s="62" t="s">
        <v>2272</v>
      </c>
      <c r="J805" s="21">
        <v>16</v>
      </c>
      <c r="K805" s="62" t="str">
        <f>VLOOKUP(Ruimtestaat[[#This Row],[Ruimte code]],Ruimtegroepen[[#All],[Code]:[Ruimte omschrijving]],2,FALSE)</f>
        <v>Leslokalen theorie</v>
      </c>
      <c r="L805" s="33" t="s">
        <v>101</v>
      </c>
      <c r="M805" s="367" t="s">
        <v>2495</v>
      </c>
      <c r="N805" s="140">
        <v>45</v>
      </c>
      <c r="O805" s="140"/>
      <c r="P805" s="125" t="str">
        <f>VLOOKUP(Ruimtestaat[[#This Row],[Ruimte code]],Ruimtegroepen[],4,FALSE)</f>
        <v>Le</v>
      </c>
      <c r="R805" s="33">
        <v>40</v>
      </c>
      <c r="S805" s="33" t="s">
        <v>2</v>
      </c>
      <c r="T805" s="33">
        <f>IF(R805&gt;0,IF(RIGHT(Ruimtestaat[[#This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5" s="33">
        <f>IF(T805&gt;0,VLOOKUP($J805,Ruimtegroepen[],3,FALSE)*VLOOKUP($L805,Vloersoorten[],3,FALSE)*VLOOKUP($S805,Frequenties[],3,FALSE)*VLOOKUP($A805,Locaties[],3,FALSE),0)</f>
        <v>0</v>
      </c>
      <c r="V805" s="33">
        <f>Ruimtestaat[[#This Row],[Uitvoeringen werkdagen]]*Ruimtestaat[[#This Row],[Oppervlak (netto)]]</f>
        <v>9000</v>
      </c>
      <c r="W805" s="154">
        <f>IF(U805&gt;0,Ruimtestaat[[#This Row],[Prest. (m2 /jaar) werkdagen]]/Ruimtestaat[[#This Row],[Norm (m2/uur) werkdagen]],0)</f>
        <v>0</v>
      </c>
      <c r="X805" s="155">
        <f>Ruimtestaat[[#This Row],[uren / jaar werkdagen]]*Tariefsopbouw!$E$35</f>
        <v>0</v>
      </c>
      <c r="Y805" s="33"/>
      <c r="Z805" s="33">
        <f>IF(Ruimtestaat[[#This Row],[Frequentie weekend]]&gt;0,VALUE(LEFT(Y805,1))*R805,0)</f>
        <v>0</v>
      </c>
      <c r="AA805" s="97">
        <f>IF($Z805&gt;0,VLOOKUP($J805,Ruimtegroepen[],3,FALSE)*VLOOKUP($L805,Vloersoorten[],3,FALSE)*VLOOKUP($Y805,Frequenties[],3,FALSE)*VLOOKUP(Ruimtestaat[[#This Row],[Code]],Locaties[],3,FALSE),0)</f>
        <v>0</v>
      </c>
      <c r="AB805" s="97">
        <f>Ruimtestaat[[#This Row],[Uitvoeringen weekend]]*Ruimtestaat[[#This Row],[Oppervlak (netto)]]</f>
        <v>0</v>
      </c>
      <c r="AC805" s="97">
        <f>IF(AA805&gt;0,Ruimtestaat[[#This Row],[Prest. (m2 /jaar) weekend]]/Ruimtestaat[[#This Row],[Norm (m2/uur) weekend]],0)</f>
        <v>0</v>
      </c>
      <c r="AD805" s="155">
        <f>Ruimtestaat[[#This Row],[uren / jaar weekend]]*Tariefsopbouw!$D$40</f>
        <v>0</v>
      </c>
      <c r="AE805" s="154">
        <f>Ruimtestaat[[#This Row],[Prest. (m2 /jaar) weekend]]+Ruimtestaat[[#This Row],[Prest. (m2 /jaar) werkdagen]]</f>
        <v>9000</v>
      </c>
      <c r="AF805" s="154">
        <f>Ruimtestaat[[#This Row],[uren / jaar weekend]]+Ruimtestaat[[#This Row],[uren / jaar werkdagen]]</f>
        <v>0</v>
      </c>
      <c r="AG805" s="69">
        <f>Ruimtestaat[[#This Row],[kosten / jaar weekend]]+Ruimtestaat[[#This Row],[kosten / jaar werkdagen]]</f>
        <v>0</v>
      </c>
      <c r="AH805" s="69"/>
      <c r="AI805" s="256" t="str">
        <f>IF(Ruimtestaat[[#This Row],[Frequentie werkdagen]]="","",_xlfn.CONCAT(Ruimtestaat[[#This Row],[Ruimte code]],"-",Ruimtestaat[[#This Row],[Frequentie werkdagen]]," ",Ruimtestaat[[#This Row],[Vloer code]]))</f>
        <v>16-5w L</v>
      </c>
      <c r="AJ805" s="300" t="str">
        <f>_xlfn.IFNA(VLOOKUP($AI805,Programma!$F$3:$G$1107,2,0),"")</f>
        <v>_</v>
      </c>
      <c r="AK805" s="300" t="str">
        <f>_xlfn.IFNA(VLOOKUP($AI805,Programma!$F$3:$H$1107,3,0),"")</f>
        <v>_</v>
      </c>
      <c r="AL805" s="300" t="str">
        <f>_xlfn.IFNA(VLOOKUP($AI805,Programma!$F$3:$I$1107,4,0),"")</f>
        <v>4w</v>
      </c>
      <c r="AM805" s="300" t="str">
        <f>_xlfn.IFNA(VLOOKUP($AI805,Programma!$F$3:$J$1107,5,0),"")</f>
        <v>1w</v>
      </c>
      <c r="AN805" s="300" t="str">
        <f>_xlfn.IFNA(VLOOKUP($AI805,Programma!$F$3:$K$1107,6,0),"")</f>
        <v>_</v>
      </c>
      <c r="AO805" s="300" t="str">
        <f>_xlfn.IFNA(VLOOKUP($AI805,Programma!$F$3:$L$1107,7,0),"")</f>
        <v>_</v>
      </c>
      <c r="AP805" s="300" t="str">
        <f>_xlfn.IFNA(VLOOKUP($AI805,Programma!$F$3:$M$1107,8,0),"")</f>
        <v>_</v>
      </c>
      <c r="AQ805" s="300" t="str">
        <f>_xlfn.IFNA(VLOOKUP($AI805,Programma!$F$3:$N$1107,9,0),"")</f>
        <v>_</v>
      </c>
      <c r="AR805" s="300" t="str">
        <f>_xlfn.IFNA(VLOOKUP($AI805,Programma!$F$3:$O$1107,10,0),"")</f>
        <v>5w</v>
      </c>
      <c r="AS805" s="300" t="str">
        <f>_xlfn.IFNA(VLOOKUP($AI805,Programma!$F$3:$P$1107,11,0),"")</f>
        <v>5w</v>
      </c>
      <c r="AT805" s="300" t="str">
        <f>_xlfn.IFNA(VLOOKUP($AI805,Programma!$F$3:$Q$1107,12,0),"")</f>
        <v>1w</v>
      </c>
      <c r="AU805" s="300" t="str">
        <f>_xlfn.IFNA(VLOOKUP($AI805,Programma!$F$3:$R$1107,13,0),"")</f>
        <v>1w</v>
      </c>
      <c r="AV805" s="300" t="str">
        <f>_xlfn.IFNA(VLOOKUP($AI805,Programma!$F$3:$S$1107,14,0),"")</f>
        <v>1m</v>
      </c>
      <c r="AW805" s="300" t="str">
        <f>_xlfn.IFNA(VLOOKUP($AI805,Programma!$F$3:$T$1107,15,0),"")</f>
        <v>2j</v>
      </c>
      <c r="AX805" s="300" t="str">
        <f>_xlfn.IFNA(VLOOKUP($AI805,Programma!$F$3:$U$1107,16,0),"")</f>
        <v>1j</v>
      </c>
      <c r="AY805" s="300" t="str">
        <f>_xlfn.IFNA(VLOOKUP($AI805,Programma!$F$3:$V$1107,17,0),"")</f>
        <v>_</v>
      </c>
      <c r="AZ805" s="300" t="str">
        <f>_xlfn.IFNA(VLOOKUP($AI805,Programma!$F$3:$W$1107,18,0),"")</f>
        <v>_</v>
      </c>
      <c r="BA805" s="300" t="str">
        <f>_xlfn.IFNA(VLOOKUP($AI805,Programma!$F$3:$X$1107,19,0),"")</f>
        <v>_</v>
      </c>
      <c r="BB805" s="300" t="str">
        <f>_xlfn.IFNA(VLOOKUP($AI805,Programma!$F$3:$Y$1107,20,0),"")</f>
        <v>_</v>
      </c>
      <c r="BC805" s="257"/>
      <c r="BD805" s="256" t="str">
        <f>IF(Ruimtestaat[[#This Row],[Frequentie weekend]]="","",_xlfn.CONCAT(Ruimtestaat[[#This Row],[Ruimte code]],"-",Ruimtestaat[[#This Row],[Frequentie weekend]]," ",Ruimtestaat[[#This Row],[Vloer code]]))</f>
        <v/>
      </c>
      <c r="BE805" s="300" t="str">
        <f>_xlfn.IFNA(VLOOKUP($BD805,Programma!$F$3:$G$1107,2,0),"")</f>
        <v/>
      </c>
      <c r="BF805" s="300" t="str">
        <f>_xlfn.IFNA(VLOOKUP($BD805,Programma!$F$3:$H$1107,3,0),"")</f>
        <v/>
      </c>
      <c r="BG805" s="300" t="str">
        <f>_xlfn.IFNA(VLOOKUP($BD805,Programma!$F$3:$I$1107,4,0),"")</f>
        <v/>
      </c>
      <c r="BH805" s="300" t="str">
        <f>_xlfn.IFNA(VLOOKUP($BD805,Programma!$F$3:$J$1107,5,0),"")</f>
        <v/>
      </c>
      <c r="BI805" s="300" t="str">
        <f>_xlfn.IFNA(VLOOKUP($BD805,Programma!$F$3:$K$1107,6,0),"")</f>
        <v/>
      </c>
      <c r="BJ805" s="300" t="str">
        <f>_xlfn.IFNA(VLOOKUP($BD805,Programma!$F$3:$L$1107,7,0),"")</f>
        <v/>
      </c>
      <c r="BK805" s="300" t="str">
        <f>_xlfn.IFNA(VLOOKUP($BD805,Programma!$F$3:$M$1107,8,0),"")</f>
        <v/>
      </c>
      <c r="BL805" s="300" t="str">
        <f>_xlfn.IFNA(VLOOKUP($BD805,Programma!$F$3:$N$1107,9,0),"")</f>
        <v/>
      </c>
      <c r="BM805" s="300" t="str">
        <f>_xlfn.IFNA(VLOOKUP($BD805,Programma!$F$3:$O$1107,10,0),"")</f>
        <v/>
      </c>
      <c r="BN805" s="300" t="str">
        <f>_xlfn.IFNA(VLOOKUP($BD805,Programma!$F$3:$P$1107,11,0),"")</f>
        <v/>
      </c>
      <c r="BO805" s="300" t="str">
        <f>_xlfn.IFNA(VLOOKUP($BD805,Programma!$F$3:$Q$1107,12,0),"")</f>
        <v/>
      </c>
      <c r="BP805" s="300" t="str">
        <f>_xlfn.IFNA(VLOOKUP($BD805,Programma!$F$3:$R$1107,13,0),"")</f>
        <v/>
      </c>
      <c r="BQ805" s="300" t="str">
        <f>_xlfn.IFNA(VLOOKUP($BD805,Programma!$F$3:$S$1107,14,0),"")</f>
        <v/>
      </c>
      <c r="BR805" s="300" t="str">
        <f>_xlfn.IFNA(VLOOKUP($BD805,Programma!$F$3:$T$1107,15,0),"")</f>
        <v/>
      </c>
      <c r="BS805" s="300" t="str">
        <f>_xlfn.IFNA(VLOOKUP($BD805,Programma!$F$3:$U$1107,16,0),"")</f>
        <v/>
      </c>
      <c r="BT805" s="300" t="str">
        <f>_xlfn.IFNA(VLOOKUP($BD805,Programma!$F$3:$V$1107,17,0),"")</f>
        <v/>
      </c>
      <c r="BU805" s="300" t="str">
        <f>_xlfn.IFNA(VLOOKUP($BD805,Programma!$F$3:$W$1107,18,0),"")</f>
        <v/>
      </c>
      <c r="BV805" s="300" t="str">
        <f>_xlfn.IFNA(VLOOKUP($BD805,Programma!$F$3:$X$1107,19,0),"")</f>
        <v/>
      </c>
      <c r="BW805" s="300" t="str">
        <f>_xlfn.IFNA(VLOOKUP($BD805,Programma!$F$3:$Y$1107,20,0),"")</f>
        <v/>
      </c>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c r="GK805" s="4"/>
      <c r="GL805" s="4"/>
      <c r="GM805" s="4"/>
      <c r="GN805" s="4"/>
      <c r="GO805" s="4"/>
      <c r="GP805" s="4"/>
      <c r="GQ805" s="4"/>
      <c r="GR805" s="4"/>
      <c r="GS805" s="4"/>
      <c r="GT805" s="4"/>
      <c r="GU805" s="4"/>
      <c r="GV805" s="4"/>
      <c r="GW805" s="4"/>
      <c r="GX805" s="4"/>
      <c r="GY805" s="4"/>
      <c r="GZ805" s="4"/>
      <c r="HA805" s="4"/>
      <c r="HB805" s="4"/>
      <c r="HC805" s="4"/>
      <c r="HD805" s="4"/>
      <c r="HE805" s="4"/>
      <c r="HF805" s="4"/>
      <c r="HG805" s="4"/>
      <c r="HH805" s="4"/>
      <c r="HI805" s="4"/>
      <c r="HJ805" s="4"/>
      <c r="HK805" s="4"/>
      <c r="HL805" s="4"/>
    </row>
    <row r="806" spans="1:220" ht="15" customHeight="1">
      <c r="A806" s="21">
        <v>8</v>
      </c>
      <c r="B806" s="157" t="str">
        <f>VLOOKUP(Ruimtestaat[[#This Row],[Code]],Locaties[[Code]:[Locatie]],2,FALSE)</f>
        <v>Dalton College</v>
      </c>
      <c r="C806" s="157" t="str">
        <f>VLOOKUP(Ruimtestaat[[#This Row],[Code]],Locaties[[#All],[Code]:[Adres]],4,FALSE)</f>
        <v>Loolaan 125</v>
      </c>
      <c r="D806" s="157" t="str">
        <f>VLOOKUP(Ruimtestaat[[#This Row],[Code]],Locaties[[#All],[Code]:[Postcode]],5,FALSE)</f>
        <v xml:space="preserve">2271 TM </v>
      </c>
      <c r="E806" s="157" t="str">
        <f>VLOOKUP(Ruimtestaat[[#This Row],[Code]],Locaties[#All],6,FALSE)</f>
        <v>Voorburg</v>
      </c>
      <c r="F806" s="62"/>
      <c r="G806" s="21" t="s">
        <v>1624</v>
      </c>
      <c r="H806" s="21" t="s">
        <v>2273</v>
      </c>
      <c r="I806" s="62" t="s">
        <v>2274</v>
      </c>
      <c r="J806" s="21">
        <v>16</v>
      </c>
      <c r="K806" s="62" t="str">
        <f>VLOOKUP(Ruimtestaat[[#This Row],[Ruimte code]],Ruimtegroepen[[#All],[Code]:[Ruimte omschrijving]],2,FALSE)</f>
        <v>Leslokalen theorie</v>
      </c>
      <c r="L806" s="33" t="s">
        <v>101</v>
      </c>
      <c r="M806" s="367" t="s">
        <v>2495</v>
      </c>
      <c r="N806" s="140">
        <v>48</v>
      </c>
      <c r="O806" s="140"/>
      <c r="P806" s="125" t="str">
        <f>VLOOKUP(Ruimtestaat[[#This Row],[Ruimte code]],Ruimtegroepen[],4,FALSE)</f>
        <v>Le</v>
      </c>
      <c r="R806" s="33">
        <v>40</v>
      </c>
      <c r="S806" s="33" t="s">
        <v>2</v>
      </c>
      <c r="T806" s="33">
        <f>IF(R806&gt;0,IF(RIGHT(Ruimtestaat[[#This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6" s="33">
        <f>IF(T806&gt;0,VLOOKUP($J806,Ruimtegroepen[],3,FALSE)*VLOOKUP($L806,Vloersoorten[],3,FALSE)*VLOOKUP($S806,Frequenties[],3,FALSE)*VLOOKUP($A806,Locaties[],3,FALSE),0)</f>
        <v>0</v>
      </c>
      <c r="V806" s="33">
        <f>Ruimtestaat[[#This Row],[Uitvoeringen werkdagen]]*Ruimtestaat[[#This Row],[Oppervlak (netto)]]</f>
        <v>9600</v>
      </c>
      <c r="W806" s="154">
        <f>IF(U806&gt;0,Ruimtestaat[[#This Row],[Prest. (m2 /jaar) werkdagen]]/Ruimtestaat[[#This Row],[Norm (m2/uur) werkdagen]],0)</f>
        <v>0</v>
      </c>
      <c r="X806" s="155">
        <f>Ruimtestaat[[#This Row],[uren / jaar werkdagen]]*Tariefsopbouw!$E$35</f>
        <v>0</v>
      </c>
      <c r="Y806" s="33"/>
      <c r="Z806" s="33">
        <f>IF(Ruimtestaat[[#This Row],[Frequentie weekend]]&gt;0,VALUE(LEFT(Y806,1))*R806,0)</f>
        <v>0</v>
      </c>
      <c r="AA806" s="97">
        <f>IF($Z806&gt;0,VLOOKUP($J806,Ruimtegroepen[],3,FALSE)*VLOOKUP($L806,Vloersoorten[],3,FALSE)*VLOOKUP($Y806,Frequenties[],3,FALSE)*VLOOKUP(Ruimtestaat[[#This Row],[Code]],Locaties[],3,FALSE),0)</f>
        <v>0</v>
      </c>
      <c r="AB806" s="97">
        <f>Ruimtestaat[[#This Row],[Uitvoeringen weekend]]*Ruimtestaat[[#This Row],[Oppervlak (netto)]]</f>
        <v>0</v>
      </c>
      <c r="AC806" s="97">
        <f>IF(AA806&gt;0,Ruimtestaat[[#This Row],[Prest. (m2 /jaar) weekend]]/Ruimtestaat[[#This Row],[Norm (m2/uur) weekend]],0)</f>
        <v>0</v>
      </c>
      <c r="AD806" s="155">
        <f>Ruimtestaat[[#This Row],[uren / jaar weekend]]*Tariefsopbouw!$D$40</f>
        <v>0</v>
      </c>
      <c r="AE806" s="154">
        <f>Ruimtestaat[[#This Row],[Prest. (m2 /jaar) weekend]]+Ruimtestaat[[#This Row],[Prest. (m2 /jaar) werkdagen]]</f>
        <v>9600</v>
      </c>
      <c r="AF806" s="154">
        <f>Ruimtestaat[[#This Row],[uren / jaar weekend]]+Ruimtestaat[[#This Row],[uren / jaar werkdagen]]</f>
        <v>0</v>
      </c>
      <c r="AG806" s="69">
        <f>Ruimtestaat[[#This Row],[kosten / jaar weekend]]+Ruimtestaat[[#This Row],[kosten / jaar werkdagen]]</f>
        <v>0</v>
      </c>
      <c r="AH806" s="69"/>
      <c r="AI806" s="256" t="str">
        <f>IF(Ruimtestaat[[#This Row],[Frequentie werkdagen]]="","",_xlfn.CONCAT(Ruimtestaat[[#This Row],[Ruimte code]],"-",Ruimtestaat[[#This Row],[Frequentie werkdagen]]," ",Ruimtestaat[[#This Row],[Vloer code]]))</f>
        <v>16-5w L</v>
      </c>
      <c r="AJ806" s="300" t="str">
        <f>_xlfn.IFNA(VLOOKUP($AI806,Programma!$F$3:$G$1107,2,0),"")</f>
        <v>_</v>
      </c>
      <c r="AK806" s="300" t="str">
        <f>_xlfn.IFNA(VLOOKUP($AI806,Programma!$F$3:$H$1107,3,0),"")</f>
        <v>_</v>
      </c>
      <c r="AL806" s="300" t="str">
        <f>_xlfn.IFNA(VLOOKUP($AI806,Programma!$F$3:$I$1107,4,0),"")</f>
        <v>4w</v>
      </c>
      <c r="AM806" s="300" t="str">
        <f>_xlfn.IFNA(VLOOKUP($AI806,Programma!$F$3:$J$1107,5,0),"")</f>
        <v>1w</v>
      </c>
      <c r="AN806" s="300" t="str">
        <f>_xlfn.IFNA(VLOOKUP($AI806,Programma!$F$3:$K$1107,6,0),"")</f>
        <v>_</v>
      </c>
      <c r="AO806" s="300" t="str">
        <f>_xlfn.IFNA(VLOOKUP($AI806,Programma!$F$3:$L$1107,7,0),"")</f>
        <v>_</v>
      </c>
      <c r="AP806" s="300" t="str">
        <f>_xlfn.IFNA(VLOOKUP($AI806,Programma!$F$3:$M$1107,8,0),"")</f>
        <v>_</v>
      </c>
      <c r="AQ806" s="300" t="str">
        <f>_xlfn.IFNA(VLOOKUP($AI806,Programma!$F$3:$N$1107,9,0),"")</f>
        <v>_</v>
      </c>
      <c r="AR806" s="300" t="str">
        <f>_xlfn.IFNA(VLOOKUP($AI806,Programma!$F$3:$O$1107,10,0),"")</f>
        <v>5w</v>
      </c>
      <c r="AS806" s="300" t="str">
        <f>_xlfn.IFNA(VLOOKUP($AI806,Programma!$F$3:$P$1107,11,0),"")</f>
        <v>5w</v>
      </c>
      <c r="AT806" s="300" t="str">
        <f>_xlfn.IFNA(VLOOKUP($AI806,Programma!$F$3:$Q$1107,12,0),"")</f>
        <v>1w</v>
      </c>
      <c r="AU806" s="300" t="str">
        <f>_xlfn.IFNA(VLOOKUP($AI806,Programma!$F$3:$R$1107,13,0),"")</f>
        <v>1w</v>
      </c>
      <c r="AV806" s="300" t="str">
        <f>_xlfn.IFNA(VLOOKUP($AI806,Programma!$F$3:$S$1107,14,0),"")</f>
        <v>1m</v>
      </c>
      <c r="AW806" s="300" t="str">
        <f>_xlfn.IFNA(VLOOKUP($AI806,Programma!$F$3:$T$1107,15,0),"")</f>
        <v>2j</v>
      </c>
      <c r="AX806" s="300" t="str">
        <f>_xlfn.IFNA(VLOOKUP($AI806,Programma!$F$3:$U$1107,16,0),"")</f>
        <v>1j</v>
      </c>
      <c r="AY806" s="300" t="str">
        <f>_xlfn.IFNA(VLOOKUP($AI806,Programma!$F$3:$V$1107,17,0),"")</f>
        <v>_</v>
      </c>
      <c r="AZ806" s="300" t="str">
        <f>_xlfn.IFNA(VLOOKUP($AI806,Programma!$F$3:$W$1107,18,0),"")</f>
        <v>_</v>
      </c>
      <c r="BA806" s="300" t="str">
        <f>_xlfn.IFNA(VLOOKUP($AI806,Programma!$F$3:$X$1107,19,0),"")</f>
        <v>_</v>
      </c>
      <c r="BB806" s="300" t="str">
        <f>_xlfn.IFNA(VLOOKUP($AI806,Programma!$F$3:$Y$1107,20,0),"")</f>
        <v>_</v>
      </c>
      <c r="BC806" s="257"/>
      <c r="BD806" s="256" t="str">
        <f>IF(Ruimtestaat[[#This Row],[Frequentie weekend]]="","",_xlfn.CONCAT(Ruimtestaat[[#This Row],[Ruimte code]],"-",Ruimtestaat[[#This Row],[Frequentie weekend]]," ",Ruimtestaat[[#This Row],[Vloer code]]))</f>
        <v/>
      </c>
      <c r="BE806" s="300" t="str">
        <f>_xlfn.IFNA(VLOOKUP($BD806,Programma!$F$3:$G$1107,2,0),"")</f>
        <v/>
      </c>
      <c r="BF806" s="300" t="str">
        <f>_xlfn.IFNA(VLOOKUP($BD806,Programma!$F$3:$H$1107,3,0),"")</f>
        <v/>
      </c>
      <c r="BG806" s="300" t="str">
        <f>_xlfn.IFNA(VLOOKUP($BD806,Programma!$F$3:$I$1107,4,0),"")</f>
        <v/>
      </c>
      <c r="BH806" s="300" t="str">
        <f>_xlfn.IFNA(VLOOKUP($BD806,Programma!$F$3:$J$1107,5,0),"")</f>
        <v/>
      </c>
      <c r="BI806" s="300" t="str">
        <f>_xlfn.IFNA(VLOOKUP($BD806,Programma!$F$3:$K$1107,6,0),"")</f>
        <v/>
      </c>
      <c r="BJ806" s="300" t="str">
        <f>_xlfn.IFNA(VLOOKUP($BD806,Programma!$F$3:$L$1107,7,0),"")</f>
        <v/>
      </c>
      <c r="BK806" s="300" t="str">
        <f>_xlfn.IFNA(VLOOKUP($BD806,Programma!$F$3:$M$1107,8,0),"")</f>
        <v/>
      </c>
      <c r="BL806" s="300" t="str">
        <f>_xlfn.IFNA(VLOOKUP($BD806,Programma!$F$3:$N$1107,9,0),"")</f>
        <v/>
      </c>
      <c r="BM806" s="300" t="str">
        <f>_xlfn.IFNA(VLOOKUP($BD806,Programma!$F$3:$O$1107,10,0),"")</f>
        <v/>
      </c>
      <c r="BN806" s="300" t="str">
        <f>_xlfn.IFNA(VLOOKUP($BD806,Programma!$F$3:$P$1107,11,0),"")</f>
        <v/>
      </c>
      <c r="BO806" s="300" t="str">
        <f>_xlfn.IFNA(VLOOKUP($BD806,Programma!$F$3:$Q$1107,12,0),"")</f>
        <v/>
      </c>
      <c r="BP806" s="300" t="str">
        <f>_xlfn.IFNA(VLOOKUP($BD806,Programma!$F$3:$R$1107,13,0),"")</f>
        <v/>
      </c>
      <c r="BQ806" s="300" t="str">
        <f>_xlfn.IFNA(VLOOKUP($BD806,Programma!$F$3:$S$1107,14,0),"")</f>
        <v/>
      </c>
      <c r="BR806" s="300" t="str">
        <f>_xlfn.IFNA(VLOOKUP($BD806,Programma!$F$3:$T$1107,15,0),"")</f>
        <v/>
      </c>
      <c r="BS806" s="300" t="str">
        <f>_xlfn.IFNA(VLOOKUP($BD806,Programma!$F$3:$U$1107,16,0),"")</f>
        <v/>
      </c>
      <c r="BT806" s="300" t="str">
        <f>_xlfn.IFNA(VLOOKUP($BD806,Programma!$F$3:$V$1107,17,0),"")</f>
        <v/>
      </c>
      <c r="BU806" s="300" t="str">
        <f>_xlfn.IFNA(VLOOKUP($BD806,Programma!$F$3:$W$1107,18,0),"")</f>
        <v/>
      </c>
      <c r="BV806" s="300" t="str">
        <f>_xlfn.IFNA(VLOOKUP($BD806,Programma!$F$3:$X$1107,19,0),"")</f>
        <v/>
      </c>
      <c r="BW806" s="300" t="str">
        <f>_xlfn.IFNA(VLOOKUP($BD806,Programma!$F$3:$Y$1107,20,0),"")</f>
        <v/>
      </c>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c r="GK806" s="4"/>
      <c r="GL806" s="4"/>
      <c r="GM806" s="4"/>
      <c r="GN806" s="4"/>
      <c r="GO806" s="4"/>
      <c r="GP806" s="4"/>
      <c r="GQ806" s="4"/>
      <c r="GR806" s="4"/>
      <c r="GS806" s="4"/>
      <c r="GT806" s="4"/>
      <c r="GU806" s="4"/>
      <c r="GV806" s="4"/>
      <c r="GW806" s="4"/>
      <c r="GX806" s="4"/>
      <c r="GY806" s="4"/>
      <c r="GZ806" s="4"/>
      <c r="HA806" s="4"/>
      <c r="HB806" s="4"/>
      <c r="HC806" s="4"/>
      <c r="HD806" s="4"/>
      <c r="HE806" s="4"/>
      <c r="HF806" s="4"/>
      <c r="HG806" s="4"/>
      <c r="HH806" s="4"/>
      <c r="HI806" s="4"/>
      <c r="HJ806" s="4"/>
      <c r="HK806" s="4"/>
      <c r="HL806" s="4"/>
    </row>
    <row r="807" spans="1:220" ht="15" customHeight="1">
      <c r="A807" s="21">
        <v>8</v>
      </c>
      <c r="B807" s="157" t="str">
        <f>VLOOKUP(Ruimtestaat[[#This Row],[Code]],Locaties[[Code]:[Locatie]],2,FALSE)</f>
        <v>Dalton College</v>
      </c>
      <c r="C807" s="157" t="str">
        <f>VLOOKUP(Ruimtestaat[[#This Row],[Code]],Locaties[[#All],[Code]:[Adres]],4,FALSE)</f>
        <v>Loolaan 125</v>
      </c>
      <c r="D807" s="157" t="str">
        <f>VLOOKUP(Ruimtestaat[[#This Row],[Code]],Locaties[[#All],[Code]:[Postcode]],5,FALSE)</f>
        <v xml:space="preserve">2271 TM </v>
      </c>
      <c r="E807" s="157" t="str">
        <f>VLOOKUP(Ruimtestaat[[#This Row],[Code]],Locaties[#All],6,FALSE)</f>
        <v>Voorburg</v>
      </c>
      <c r="F807" s="62"/>
      <c r="G807" s="21" t="s">
        <v>1624</v>
      </c>
      <c r="H807" s="21" t="s">
        <v>2275</v>
      </c>
      <c r="I807" s="62" t="s">
        <v>2276</v>
      </c>
      <c r="J807" s="21">
        <v>16</v>
      </c>
      <c r="K807" s="62" t="str">
        <f>VLOOKUP(Ruimtestaat[[#This Row],[Ruimte code]],Ruimtegroepen[[#All],[Code]:[Ruimte omschrijving]],2,FALSE)</f>
        <v>Leslokalen theorie</v>
      </c>
      <c r="L807" s="33" t="s">
        <v>101</v>
      </c>
      <c r="M807" s="367" t="s">
        <v>2495</v>
      </c>
      <c r="N807" s="140">
        <v>47</v>
      </c>
      <c r="O807" s="140"/>
      <c r="P807" s="125" t="str">
        <f>VLOOKUP(Ruimtestaat[[#This Row],[Ruimte code]],Ruimtegroepen[],4,FALSE)</f>
        <v>Le</v>
      </c>
      <c r="R807" s="33">
        <v>40</v>
      </c>
      <c r="S807" s="33" t="s">
        <v>2</v>
      </c>
      <c r="T807" s="33">
        <f>IF(R807&gt;0,IF(RIGHT(Ruimtestaat[[#This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7" s="33">
        <f>IF(T807&gt;0,VLOOKUP($J807,Ruimtegroepen[],3,FALSE)*VLOOKUP($L807,Vloersoorten[],3,FALSE)*VLOOKUP($S807,Frequenties[],3,FALSE)*VLOOKUP($A807,Locaties[],3,FALSE),0)</f>
        <v>0</v>
      </c>
      <c r="V807" s="33">
        <f>Ruimtestaat[[#This Row],[Uitvoeringen werkdagen]]*Ruimtestaat[[#This Row],[Oppervlak (netto)]]</f>
        <v>9400</v>
      </c>
      <c r="W807" s="154">
        <f>IF(U807&gt;0,Ruimtestaat[[#This Row],[Prest. (m2 /jaar) werkdagen]]/Ruimtestaat[[#This Row],[Norm (m2/uur) werkdagen]],0)</f>
        <v>0</v>
      </c>
      <c r="X807" s="155">
        <f>Ruimtestaat[[#This Row],[uren / jaar werkdagen]]*Tariefsopbouw!$E$35</f>
        <v>0</v>
      </c>
      <c r="Y807" s="33"/>
      <c r="Z807" s="33">
        <f>IF(Ruimtestaat[[#This Row],[Frequentie weekend]]&gt;0,VALUE(LEFT(Y807,1))*R807,0)</f>
        <v>0</v>
      </c>
      <c r="AA807" s="97">
        <f>IF($Z807&gt;0,VLOOKUP($J807,Ruimtegroepen[],3,FALSE)*VLOOKUP($L807,Vloersoorten[],3,FALSE)*VLOOKUP($Y807,Frequenties[],3,FALSE)*VLOOKUP(Ruimtestaat[[#This Row],[Code]],Locaties[],3,FALSE),0)</f>
        <v>0</v>
      </c>
      <c r="AB807" s="97">
        <f>Ruimtestaat[[#This Row],[Uitvoeringen weekend]]*Ruimtestaat[[#This Row],[Oppervlak (netto)]]</f>
        <v>0</v>
      </c>
      <c r="AC807" s="97">
        <f>IF(AA807&gt;0,Ruimtestaat[[#This Row],[Prest. (m2 /jaar) weekend]]/Ruimtestaat[[#This Row],[Norm (m2/uur) weekend]],0)</f>
        <v>0</v>
      </c>
      <c r="AD807" s="155">
        <f>Ruimtestaat[[#This Row],[uren / jaar weekend]]*Tariefsopbouw!$D$40</f>
        <v>0</v>
      </c>
      <c r="AE807" s="154">
        <f>Ruimtestaat[[#This Row],[Prest. (m2 /jaar) weekend]]+Ruimtestaat[[#This Row],[Prest. (m2 /jaar) werkdagen]]</f>
        <v>9400</v>
      </c>
      <c r="AF807" s="154">
        <f>Ruimtestaat[[#This Row],[uren / jaar weekend]]+Ruimtestaat[[#This Row],[uren / jaar werkdagen]]</f>
        <v>0</v>
      </c>
      <c r="AG807" s="69">
        <f>Ruimtestaat[[#This Row],[kosten / jaar weekend]]+Ruimtestaat[[#This Row],[kosten / jaar werkdagen]]</f>
        <v>0</v>
      </c>
      <c r="AH807" s="69"/>
      <c r="AI807" s="256" t="str">
        <f>IF(Ruimtestaat[[#This Row],[Frequentie werkdagen]]="","",_xlfn.CONCAT(Ruimtestaat[[#This Row],[Ruimte code]],"-",Ruimtestaat[[#This Row],[Frequentie werkdagen]]," ",Ruimtestaat[[#This Row],[Vloer code]]))</f>
        <v>16-5w L</v>
      </c>
      <c r="AJ807" s="300" t="str">
        <f>_xlfn.IFNA(VLOOKUP($AI807,Programma!$F$3:$G$1107,2,0),"")</f>
        <v>_</v>
      </c>
      <c r="AK807" s="300" t="str">
        <f>_xlfn.IFNA(VLOOKUP($AI807,Programma!$F$3:$H$1107,3,0),"")</f>
        <v>_</v>
      </c>
      <c r="AL807" s="300" t="str">
        <f>_xlfn.IFNA(VLOOKUP($AI807,Programma!$F$3:$I$1107,4,0),"")</f>
        <v>4w</v>
      </c>
      <c r="AM807" s="300" t="str">
        <f>_xlfn.IFNA(VLOOKUP($AI807,Programma!$F$3:$J$1107,5,0),"")</f>
        <v>1w</v>
      </c>
      <c r="AN807" s="300" t="str">
        <f>_xlfn.IFNA(VLOOKUP($AI807,Programma!$F$3:$K$1107,6,0),"")</f>
        <v>_</v>
      </c>
      <c r="AO807" s="300" t="str">
        <f>_xlfn.IFNA(VLOOKUP($AI807,Programma!$F$3:$L$1107,7,0),"")</f>
        <v>_</v>
      </c>
      <c r="AP807" s="300" t="str">
        <f>_xlfn.IFNA(VLOOKUP($AI807,Programma!$F$3:$M$1107,8,0),"")</f>
        <v>_</v>
      </c>
      <c r="AQ807" s="300" t="str">
        <f>_xlfn.IFNA(VLOOKUP($AI807,Programma!$F$3:$N$1107,9,0),"")</f>
        <v>_</v>
      </c>
      <c r="AR807" s="300" t="str">
        <f>_xlfn.IFNA(VLOOKUP($AI807,Programma!$F$3:$O$1107,10,0),"")</f>
        <v>5w</v>
      </c>
      <c r="AS807" s="300" t="str">
        <f>_xlfn.IFNA(VLOOKUP($AI807,Programma!$F$3:$P$1107,11,0),"")</f>
        <v>5w</v>
      </c>
      <c r="AT807" s="300" t="str">
        <f>_xlfn.IFNA(VLOOKUP($AI807,Programma!$F$3:$Q$1107,12,0),"")</f>
        <v>1w</v>
      </c>
      <c r="AU807" s="300" t="str">
        <f>_xlfn.IFNA(VLOOKUP($AI807,Programma!$F$3:$R$1107,13,0),"")</f>
        <v>1w</v>
      </c>
      <c r="AV807" s="300" t="str">
        <f>_xlfn.IFNA(VLOOKUP($AI807,Programma!$F$3:$S$1107,14,0),"")</f>
        <v>1m</v>
      </c>
      <c r="AW807" s="300" t="str">
        <f>_xlfn.IFNA(VLOOKUP($AI807,Programma!$F$3:$T$1107,15,0),"")</f>
        <v>2j</v>
      </c>
      <c r="AX807" s="300" t="str">
        <f>_xlfn.IFNA(VLOOKUP($AI807,Programma!$F$3:$U$1107,16,0),"")</f>
        <v>1j</v>
      </c>
      <c r="AY807" s="300" t="str">
        <f>_xlfn.IFNA(VLOOKUP($AI807,Programma!$F$3:$V$1107,17,0),"")</f>
        <v>_</v>
      </c>
      <c r="AZ807" s="300" t="str">
        <f>_xlfn.IFNA(VLOOKUP($AI807,Programma!$F$3:$W$1107,18,0),"")</f>
        <v>_</v>
      </c>
      <c r="BA807" s="300" t="str">
        <f>_xlfn.IFNA(VLOOKUP($AI807,Programma!$F$3:$X$1107,19,0),"")</f>
        <v>_</v>
      </c>
      <c r="BB807" s="300" t="str">
        <f>_xlfn.IFNA(VLOOKUP($AI807,Programma!$F$3:$Y$1107,20,0),"")</f>
        <v>_</v>
      </c>
      <c r="BC807" s="257"/>
      <c r="BD807" s="256" t="str">
        <f>IF(Ruimtestaat[[#This Row],[Frequentie weekend]]="","",_xlfn.CONCAT(Ruimtestaat[[#This Row],[Ruimte code]],"-",Ruimtestaat[[#This Row],[Frequentie weekend]]," ",Ruimtestaat[[#This Row],[Vloer code]]))</f>
        <v/>
      </c>
      <c r="BE807" s="300" t="str">
        <f>_xlfn.IFNA(VLOOKUP($BD807,Programma!$F$3:$G$1107,2,0),"")</f>
        <v/>
      </c>
      <c r="BF807" s="300" t="str">
        <f>_xlfn.IFNA(VLOOKUP($BD807,Programma!$F$3:$H$1107,3,0),"")</f>
        <v/>
      </c>
      <c r="BG807" s="300" t="str">
        <f>_xlfn.IFNA(VLOOKUP($BD807,Programma!$F$3:$I$1107,4,0),"")</f>
        <v/>
      </c>
      <c r="BH807" s="300" t="str">
        <f>_xlfn.IFNA(VLOOKUP($BD807,Programma!$F$3:$J$1107,5,0),"")</f>
        <v/>
      </c>
      <c r="BI807" s="300" t="str">
        <f>_xlfn.IFNA(VLOOKUP($BD807,Programma!$F$3:$K$1107,6,0),"")</f>
        <v/>
      </c>
      <c r="BJ807" s="300" t="str">
        <f>_xlfn.IFNA(VLOOKUP($BD807,Programma!$F$3:$L$1107,7,0),"")</f>
        <v/>
      </c>
      <c r="BK807" s="300" t="str">
        <f>_xlfn.IFNA(VLOOKUP($BD807,Programma!$F$3:$M$1107,8,0),"")</f>
        <v/>
      </c>
      <c r="BL807" s="300" t="str">
        <f>_xlfn.IFNA(VLOOKUP($BD807,Programma!$F$3:$N$1107,9,0),"")</f>
        <v/>
      </c>
      <c r="BM807" s="300" t="str">
        <f>_xlfn.IFNA(VLOOKUP($BD807,Programma!$F$3:$O$1107,10,0),"")</f>
        <v/>
      </c>
      <c r="BN807" s="300" t="str">
        <f>_xlfn.IFNA(VLOOKUP($BD807,Programma!$F$3:$P$1107,11,0),"")</f>
        <v/>
      </c>
      <c r="BO807" s="300" t="str">
        <f>_xlfn.IFNA(VLOOKUP($BD807,Programma!$F$3:$Q$1107,12,0),"")</f>
        <v/>
      </c>
      <c r="BP807" s="300" t="str">
        <f>_xlfn.IFNA(VLOOKUP($BD807,Programma!$F$3:$R$1107,13,0),"")</f>
        <v/>
      </c>
      <c r="BQ807" s="300" t="str">
        <f>_xlfn.IFNA(VLOOKUP($BD807,Programma!$F$3:$S$1107,14,0),"")</f>
        <v/>
      </c>
      <c r="BR807" s="300" t="str">
        <f>_xlfn.IFNA(VLOOKUP($BD807,Programma!$F$3:$T$1107,15,0),"")</f>
        <v/>
      </c>
      <c r="BS807" s="300" t="str">
        <f>_xlfn.IFNA(VLOOKUP($BD807,Programma!$F$3:$U$1107,16,0),"")</f>
        <v/>
      </c>
      <c r="BT807" s="300" t="str">
        <f>_xlfn.IFNA(VLOOKUP($BD807,Programma!$F$3:$V$1107,17,0),"")</f>
        <v/>
      </c>
      <c r="BU807" s="300" t="str">
        <f>_xlfn.IFNA(VLOOKUP($BD807,Programma!$F$3:$W$1107,18,0),"")</f>
        <v/>
      </c>
      <c r="BV807" s="300" t="str">
        <f>_xlfn.IFNA(VLOOKUP($BD807,Programma!$F$3:$X$1107,19,0),"")</f>
        <v/>
      </c>
      <c r="BW807" s="300" t="str">
        <f>_xlfn.IFNA(VLOOKUP($BD807,Programma!$F$3:$Y$1107,20,0),"")</f>
        <v/>
      </c>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c r="GK807" s="4"/>
      <c r="GL807" s="4"/>
      <c r="GM807" s="4"/>
      <c r="GN807" s="4"/>
      <c r="GO807" s="4"/>
      <c r="GP807" s="4"/>
      <c r="GQ807" s="4"/>
      <c r="GR807" s="4"/>
      <c r="GS807" s="4"/>
      <c r="GT807" s="4"/>
      <c r="GU807" s="4"/>
      <c r="GV807" s="4"/>
      <c r="GW807" s="4"/>
      <c r="GX807" s="4"/>
      <c r="GY807" s="4"/>
      <c r="GZ807" s="4"/>
      <c r="HA807" s="4"/>
      <c r="HB807" s="4"/>
      <c r="HC807" s="4"/>
      <c r="HD807" s="4"/>
      <c r="HE807" s="4"/>
      <c r="HF807" s="4"/>
      <c r="HG807" s="4"/>
      <c r="HH807" s="4"/>
      <c r="HI807" s="4"/>
      <c r="HJ807" s="4"/>
      <c r="HK807" s="4"/>
      <c r="HL807" s="4"/>
    </row>
    <row r="808" spans="1:220" ht="15" customHeight="1">
      <c r="A808" s="21">
        <v>8</v>
      </c>
      <c r="B808" s="157" t="str">
        <f>VLOOKUP(Ruimtestaat[[#This Row],[Code]],Locaties[[Code]:[Locatie]],2,FALSE)</f>
        <v>Dalton College</v>
      </c>
      <c r="C808" s="157" t="str">
        <f>VLOOKUP(Ruimtestaat[[#This Row],[Code]],Locaties[[#All],[Code]:[Adres]],4,FALSE)</f>
        <v>Loolaan 125</v>
      </c>
      <c r="D808" s="157" t="str">
        <f>VLOOKUP(Ruimtestaat[[#This Row],[Code]],Locaties[[#All],[Code]:[Postcode]],5,FALSE)</f>
        <v xml:space="preserve">2271 TM </v>
      </c>
      <c r="E808" s="157" t="str">
        <f>VLOOKUP(Ruimtestaat[[#This Row],[Code]],Locaties[#All],6,FALSE)</f>
        <v>Voorburg</v>
      </c>
      <c r="F808" s="62"/>
      <c r="G808" s="21" t="s">
        <v>1624</v>
      </c>
      <c r="H808" s="21" t="s">
        <v>2277</v>
      </c>
      <c r="I808" s="62" t="s">
        <v>2223</v>
      </c>
      <c r="J808" s="21">
        <v>10</v>
      </c>
      <c r="K808" s="62" t="str">
        <f>VLOOKUP(Ruimtestaat[[#This Row],[Ruimte code]],Ruimtegroepen[[#All],[Code]:[Ruimte omschrijving]],2,FALSE)</f>
        <v>Trappenhuizen/lift</v>
      </c>
      <c r="L808" s="33" t="s">
        <v>102</v>
      </c>
      <c r="M808" s="367" t="s">
        <v>2509</v>
      </c>
      <c r="N808" s="140">
        <v>8</v>
      </c>
      <c r="O808" s="140"/>
      <c r="P808" s="125" t="str">
        <f>VLOOKUP(Ruimtestaat[[#This Row],[Ruimte code]],Ruimtegroepen[],4,FALSE)</f>
        <v>Ve</v>
      </c>
      <c r="R808" s="33">
        <v>40</v>
      </c>
      <c r="S808" s="33" t="s">
        <v>2</v>
      </c>
      <c r="T808" s="33">
        <f>IF(R808&gt;0,IF(RIGHT(Ruimtestaat[[#This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8" s="33">
        <f>IF(T808&gt;0,VLOOKUP($J808,Ruimtegroepen[],3,FALSE)*VLOOKUP($L808,Vloersoorten[],3,FALSE)*VLOOKUP($S808,Frequenties[],3,FALSE)*VLOOKUP($A808,Locaties[],3,FALSE),0)</f>
        <v>0</v>
      </c>
      <c r="V808" s="33">
        <f>Ruimtestaat[[#This Row],[Uitvoeringen werkdagen]]*Ruimtestaat[[#This Row],[Oppervlak (netto)]]</f>
        <v>1600</v>
      </c>
      <c r="W808" s="154">
        <f>IF(U808&gt;0,Ruimtestaat[[#This Row],[Prest. (m2 /jaar) werkdagen]]/Ruimtestaat[[#This Row],[Norm (m2/uur) werkdagen]],0)</f>
        <v>0</v>
      </c>
      <c r="X808" s="155">
        <f>Ruimtestaat[[#This Row],[uren / jaar werkdagen]]*Tariefsopbouw!$E$35</f>
        <v>0</v>
      </c>
      <c r="Y808" s="33"/>
      <c r="Z808" s="33">
        <f>IF(Ruimtestaat[[#This Row],[Frequentie weekend]]&gt;0,VALUE(LEFT(Y808,1))*R808,0)</f>
        <v>0</v>
      </c>
      <c r="AA808" s="97">
        <f>IF($Z808&gt;0,VLOOKUP($J808,Ruimtegroepen[],3,FALSE)*VLOOKUP($L808,Vloersoorten[],3,FALSE)*VLOOKUP($Y808,Frequenties[],3,FALSE)*VLOOKUP(Ruimtestaat[[#This Row],[Code]],Locaties[],3,FALSE),0)</f>
        <v>0</v>
      </c>
      <c r="AB808" s="97">
        <f>Ruimtestaat[[#This Row],[Uitvoeringen weekend]]*Ruimtestaat[[#This Row],[Oppervlak (netto)]]</f>
        <v>0</v>
      </c>
      <c r="AC808" s="97">
        <f>IF(AA808&gt;0,Ruimtestaat[[#This Row],[Prest. (m2 /jaar) weekend]]/Ruimtestaat[[#This Row],[Norm (m2/uur) weekend]],0)</f>
        <v>0</v>
      </c>
      <c r="AD808" s="155">
        <f>Ruimtestaat[[#This Row],[uren / jaar weekend]]*Tariefsopbouw!$D$40</f>
        <v>0</v>
      </c>
      <c r="AE808" s="154">
        <f>Ruimtestaat[[#This Row],[Prest. (m2 /jaar) weekend]]+Ruimtestaat[[#This Row],[Prest. (m2 /jaar) werkdagen]]</f>
        <v>1600</v>
      </c>
      <c r="AF808" s="154">
        <f>Ruimtestaat[[#This Row],[uren / jaar weekend]]+Ruimtestaat[[#This Row],[uren / jaar werkdagen]]</f>
        <v>0</v>
      </c>
      <c r="AG808" s="69">
        <f>Ruimtestaat[[#This Row],[kosten / jaar weekend]]+Ruimtestaat[[#This Row],[kosten / jaar werkdagen]]</f>
        <v>0</v>
      </c>
      <c r="AH808" s="69"/>
      <c r="AI808" s="256" t="str">
        <f>IF(Ruimtestaat[[#This Row],[Frequentie werkdagen]]="","",_xlfn.CONCAT(Ruimtestaat[[#This Row],[Ruimte code]],"-",Ruimtestaat[[#This Row],[Frequentie werkdagen]]," ",Ruimtestaat[[#This Row],[Vloer code]]))</f>
        <v>10-5w S</v>
      </c>
      <c r="AJ808" s="300" t="str">
        <f>_xlfn.IFNA(VLOOKUP($AI808,Programma!$F$3:$G$1107,2,0),"")</f>
        <v>_</v>
      </c>
      <c r="AK808" s="300" t="str">
        <f>_xlfn.IFNA(VLOOKUP($AI808,Programma!$F$3:$H$1107,3,0),"")</f>
        <v>_</v>
      </c>
      <c r="AL808" s="300" t="str">
        <f>_xlfn.IFNA(VLOOKUP($AI808,Programma!$F$3:$I$1107,4,0),"")</f>
        <v>4w</v>
      </c>
      <c r="AM808" s="300" t="str">
        <f>_xlfn.IFNA(VLOOKUP($AI808,Programma!$F$3:$J$1107,5,0),"")</f>
        <v>1w</v>
      </c>
      <c r="AN808" s="300" t="str">
        <f>_xlfn.IFNA(VLOOKUP($AI808,Programma!$F$3:$K$1107,6,0),"")</f>
        <v>4j</v>
      </c>
      <c r="AO808" s="300" t="str">
        <f>_xlfn.IFNA(VLOOKUP($AI808,Programma!$F$3:$L$1107,7,0),"")</f>
        <v>_</v>
      </c>
      <c r="AP808" s="300" t="str">
        <f>_xlfn.IFNA(VLOOKUP($AI808,Programma!$F$3:$M$1107,8,0),"")</f>
        <v>_</v>
      </c>
      <c r="AQ808" s="300" t="str">
        <f>_xlfn.IFNA(VLOOKUP($AI808,Programma!$F$3:$N$1107,9,0),"")</f>
        <v>_</v>
      </c>
      <c r="AR808" s="300" t="str">
        <f>_xlfn.IFNA(VLOOKUP($AI808,Programma!$F$3:$O$1107,10,0),"")</f>
        <v>5w</v>
      </c>
      <c r="AS808" s="300" t="str">
        <f>_xlfn.IFNA(VLOOKUP($AI808,Programma!$F$3:$P$1107,11,0),"")</f>
        <v>5w</v>
      </c>
      <c r="AT808" s="300" t="str">
        <f>_xlfn.IFNA(VLOOKUP($AI808,Programma!$F$3:$Q$1107,12,0),"")</f>
        <v>1w</v>
      </c>
      <c r="AU808" s="300" t="str">
        <f>_xlfn.IFNA(VLOOKUP($AI808,Programma!$F$3:$R$1107,13,0),"")</f>
        <v>1w</v>
      </c>
      <c r="AV808" s="300" t="str">
        <f>_xlfn.IFNA(VLOOKUP($AI808,Programma!$F$3:$S$1107,14,0),"")</f>
        <v>1m</v>
      </c>
      <c r="AW808" s="300" t="str">
        <f>_xlfn.IFNA(VLOOKUP($AI808,Programma!$F$3:$T$1107,15,0),"")</f>
        <v>2j</v>
      </c>
      <c r="AX808" s="300" t="str">
        <f>_xlfn.IFNA(VLOOKUP($AI808,Programma!$F$3:$U$1107,16,0),"")</f>
        <v>1j</v>
      </c>
      <c r="AY808" s="300" t="str">
        <f>_xlfn.IFNA(VLOOKUP($AI808,Programma!$F$3:$V$1107,17,0),"")</f>
        <v>_</v>
      </c>
      <c r="AZ808" s="300" t="str">
        <f>_xlfn.IFNA(VLOOKUP($AI808,Programma!$F$3:$W$1107,18,0),"")</f>
        <v>_</v>
      </c>
      <c r="BA808" s="300" t="str">
        <f>_xlfn.IFNA(VLOOKUP($AI808,Programma!$F$3:$X$1107,19,0),"")</f>
        <v>_</v>
      </c>
      <c r="BB808" s="300" t="str">
        <f>_xlfn.IFNA(VLOOKUP($AI808,Programma!$F$3:$Y$1107,20,0),"")</f>
        <v>_</v>
      </c>
      <c r="BC808" s="257"/>
      <c r="BD808" s="256" t="str">
        <f>IF(Ruimtestaat[[#This Row],[Frequentie weekend]]="","",_xlfn.CONCAT(Ruimtestaat[[#This Row],[Ruimte code]],"-",Ruimtestaat[[#This Row],[Frequentie weekend]]," ",Ruimtestaat[[#This Row],[Vloer code]]))</f>
        <v/>
      </c>
      <c r="BE808" s="300" t="str">
        <f>_xlfn.IFNA(VLOOKUP($BD808,Programma!$F$3:$G$1107,2,0),"")</f>
        <v/>
      </c>
      <c r="BF808" s="300" t="str">
        <f>_xlfn.IFNA(VLOOKUP($BD808,Programma!$F$3:$H$1107,3,0),"")</f>
        <v/>
      </c>
      <c r="BG808" s="300" t="str">
        <f>_xlfn.IFNA(VLOOKUP($BD808,Programma!$F$3:$I$1107,4,0),"")</f>
        <v/>
      </c>
      <c r="BH808" s="300" t="str">
        <f>_xlfn.IFNA(VLOOKUP($BD808,Programma!$F$3:$J$1107,5,0),"")</f>
        <v/>
      </c>
      <c r="BI808" s="300" t="str">
        <f>_xlfn.IFNA(VLOOKUP($BD808,Programma!$F$3:$K$1107,6,0),"")</f>
        <v/>
      </c>
      <c r="BJ808" s="300" t="str">
        <f>_xlfn.IFNA(VLOOKUP($BD808,Programma!$F$3:$L$1107,7,0),"")</f>
        <v/>
      </c>
      <c r="BK808" s="300" t="str">
        <f>_xlfn.IFNA(VLOOKUP($BD808,Programma!$F$3:$M$1107,8,0),"")</f>
        <v/>
      </c>
      <c r="BL808" s="300" t="str">
        <f>_xlfn.IFNA(VLOOKUP($BD808,Programma!$F$3:$N$1107,9,0),"")</f>
        <v/>
      </c>
      <c r="BM808" s="300" t="str">
        <f>_xlfn.IFNA(VLOOKUP($BD808,Programma!$F$3:$O$1107,10,0),"")</f>
        <v/>
      </c>
      <c r="BN808" s="300" t="str">
        <f>_xlfn.IFNA(VLOOKUP($BD808,Programma!$F$3:$P$1107,11,0),"")</f>
        <v/>
      </c>
      <c r="BO808" s="300" t="str">
        <f>_xlfn.IFNA(VLOOKUP($BD808,Programma!$F$3:$Q$1107,12,0),"")</f>
        <v/>
      </c>
      <c r="BP808" s="300" t="str">
        <f>_xlfn.IFNA(VLOOKUP($BD808,Programma!$F$3:$R$1107,13,0),"")</f>
        <v/>
      </c>
      <c r="BQ808" s="300" t="str">
        <f>_xlfn.IFNA(VLOOKUP($BD808,Programma!$F$3:$S$1107,14,0),"")</f>
        <v/>
      </c>
      <c r="BR808" s="300" t="str">
        <f>_xlfn.IFNA(VLOOKUP($BD808,Programma!$F$3:$T$1107,15,0),"")</f>
        <v/>
      </c>
      <c r="BS808" s="300" t="str">
        <f>_xlfn.IFNA(VLOOKUP($BD808,Programma!$F$3:$U$1107,16,0),"")</f>
        <v/>
      </c>
      <c r="BT808" s="300" t="str">
        <f>_xlfn.IFNA(VLOOKUP($BD808,Programma!$F$3:$V$1107,17,0),"")</f>
        <v/>
      </c>
      <c r="BU808" s="300" t="str">
        <f>_xlfn.IFNA(VLOOKUP($BD808,Programma!$F$3:$W$1107,18,0),"")</f>
        <v/>
      </c>
      <c r="BV808" s="300" t="str">
        <f>_xlfn.IFNA(VLOOKUP($BD808,Programma!$F$3:$X$1107,19,0),"")</f>
        <v/>
      </c>
      <c r="BW808" s="300" t="str">
        <f>_xlfn.IFNA(VLOOKUP($BD808,Programma!$F$3:$Y$1107,20,0),"")</f>
        <v/>
      </c>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c r="GK808" s="4"/>
      <c r="GL808" s="4"/>
      <c r="GM808" s="4"/>
      <c r="GN808" s="4"/>
      <c r="GO808" s="4"/>
      <c r="GP808" s="4"/>
      <c r="GQ808" s="4"/>
      <c r="GR808" s="4"/>
      <c r="GS808" s="4"/>
      <c r="GT808" s="4"/>
      <c r="GU808" s="4"/>
      <c r="GV808" s="4"/>
      <c r="GW808" s="4"/>
      <c r="GX808" s="4"/>
      <c r="GY808" s="4"/>
      <c r="GZ808" s="4"/>
      <c r="HA808" s="4"/>
      <c r="HB808" s="4"/>
      <c r="HC808" s="4"/>
      <c r="HD808" s="4"/>
      <c r="HE808" s="4"/>
      <c r="HF808" s="4"/>
      <c r="HG808" s="4"/>
      <c r="HH808" s="4"/>
      <c r="HI808" s="4"/>
      <c r="HJ808" s="4"/>
      <c r="HK808" s="4"/>
      <c r="HL808" s="4"/>
    </row>
    <row r="809" spans="1:220" ht="15" customHeight="1">
      <c r="A809" s="21">
        <v>8</v>
      </c>
      <c r="B809" s="157" t="str">
        <f>VLOOKUP(Ruimtestaat[[#This Row],[Code]],Locaties[[Code]:[Locatie]],2,FALSE)</f>
        <v>Dalton College</v>
      </c>
      <c r="C809" s="157" t="str">
        <f>VLOOKUP(Ruimtestaat[[#This Row],[Code]],Locaties[[#All],[Code]:[Adres]],4,FALSE)</f>
        <v>Loolaan 125</v>
      </c>
      <c r="D809" s="157" t="str">
        <f>VLOOKUP(Ruimtestaat[[#This Row],[Code]],Locaties[[#All],[Code]:[Postcode]],5,FALSE)</f>
        <v xml:space="preserve">2271 TM </v>
      </c>
      <c r="E809" s="157" t="str">
        <f>VLOOKUP(Ruimtestaat[[#This Row],[Code]],Locaties[#All],6,FALSE)</f>
        <v>Voorburg</v>
      </c>
      <c r="F809" s="62"/>
      <c r="G809" s="21" t="s">
        <v>1624</v>
      </c>
      <c r="H809" s="21" t="s">
        <v>2278</v>
      </c>
      <c r="I809" s="62" t="s">
        <v>1625</v>
      </c>
      <c r="J809" s="21">
        <v>6</v>
      </c>
      <c r="K809" s="62" t="str">
        <f>VLOOKUP(Ruimtestaat[[#This Row],[Ruimte code]],Ruimtegroepen[[#All],[Code]:[Ruimte omschrijving]],2,FALSE)</f>
        <v>Gangen/hallen</v>
      </c>
      <c r="L809" s="33" t="s">
        <v>101</v>
      </c>
      <c r="M809" s="367" t="s">
        <v>2495</v>
      </c>
      <c r="N809" s="140">
        <v>41</v>
      </c>
      <c r="O809" s="140"/>
      <c r="P809" s="125" t="str">
        <f>VLOOKUP(Ruimtestaat[[#This Row],[Ruimte code]],Ruimtegroepen[],4,FALSE)</f>
        <v>Ve</v>
      </c>
      <c r="R809" s="33">
        <v>40</v>
      </c>
      <c r="S809" s="33" t="s">
        <v>2</v>
      </c>
      <c r="T809" s="33">
        <f>IF(R809&gt;0,IF(RIGHT(Ruimtestaat[[#This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9" s="33">
        <f>IF(T809&gt;0,VLOOKUP($J809,Ruimtegroepen[],3,FALSE)*VLOOKUP($L809,Vloersoorten[],3,FALSE)*VLOOKUP($S809,Frequenties[],3,FALSE)*VLOOKUP($A809,Locaties[],3,FALSE),0)</f>
        <v>0</v>
      </c>
      <c r="V809" s="33">
        <f>Ruimtestaat[[#This Row],[Uitvoeringen werkdagen]]*Ruimtestaat[[#This Row],[Oppervlak (netto)]]</f>
        <v>8200</v>
      </c>
      <c r="W809" s="154">
        <f>IF(U809&gt;0,Ruimtestaat[[#This Row],[Prest. (m2 /jaar) werkdagen]]/Ruimtestaat[[#This Row],[Norm (m2/uur) werkdagen]],0)</f>
        <v>0</v>
      </c>
      <c r="X809" s="155">
        <f>Ruimtestaat[[#This Row],[uren / jaar werkdagen]]*Tariefsopbouw!$E$35</f>
        <v>0</v>
      </c>
      <c r="Y809" s="33"/>
      <c r="Z809" s="33">
        <f>IF(Ruimtestaat[[#This Row],[Frequentie weekend]]&gt;0,VALUE(LEFT(Y809,1))*R809,0)</f>
        <v>0</v>
      </c>
      <c r="AA809" s="97">
        <f>IF($Z809&gt;0,VLOOKUP($J809,Ruimtegroepen[],3,FALSE)*VLOOKUP($L809,Vloersoorten[],3,FALSE)*VLOOKUP($Y809,Frequenties[],3,FALSE)*VLOOKUP(Ruimtestaat[[#This Row],[Code]],Locaties[],3,FALSE),0)</f>
        <v>0</v>
      </c>
      <c r="AB809" s="97">
        <f>Ruimtestaat[[#This Row],[Uitvoeringen weekend]]*Ruimtestaat[[#This Row],[Oppervlak (netto)]]</f>
        <v>0</v>
      </c>
      <c r="AC809" s="97">
        <f>IF(AA809&gt;0,Ruimtestaat[[#This Row],[Prest. (m2 /jaar) weekend]]/Ruimtestaat[[#This Row],[Norm (m2/uur) weekend]],0)</f>
        <v>0</v>
      </c>
      <c r="AD809" s="155">
        <f>Ruimtestaat[[#This Row],[uren / jaar weekend]]*Tariefsopbouw!$D$40</f>
        <v>0</v>
      </c>
      <c r="AE809" s="154">
        <f>Ruimtestaat[[#This Row],[Prest. (m2 /jaar) weekend]]+Ruimtestaat[[#This Row],[Prest. (m2 /jaar) werkdagen]]</f>
        <v>8200</v>
      </c>
      <c r="AF809" s="154">
        <f>Ruimtestaat[[#This Row],[uren / jaar weekend]]+Ruimtestaat[[#This Row],[uren / jaar werkdagen]]</f>
        <v>0</v>
      </c>
      <c r="AG809" s="69">
        <f>Ruimtestaat[[#This Row],[kosten / jaar weekend]]+Ruimtestaat[[#This Row],[kosten / jaar werkdagen]]</f>
        <v>0</v>
      </c>
      <c r="AH809" s="69"/>
      <c r="AI809" s="256" t="str">
        <f>IF(Ruimtestaat[[#This Row],[Frequentie werkdagen]]="","",_xlfn.CONCAT(Ruimtestaat[[#This Row],[Ruimte code]],"-",Ruimtestaat[[#This Row],[Frequentie werkdagen]]," ",Ruimtestaat[[#This Row],[Vloer code]]))</f>
        <v>6-5w L</v>
      </c>
      <c r="AJ809" s="300" t="str">
        <f>_xlfn.IFNA(VLOOKUP($AI809,Programma!$F$3:$G$1107,2,0),"")</f>
        <v>_</v>
      </c>
      <c r="AK809" s="300" t="str">
        <f>_xlfn.IFNA(VLOOKUP($AI809,Programma!$F$3:$H$1107,3,0),"")</f>
        <v>_</v>
      </c>
      <c r="AL809" s="300" t="str">
        <f>_xlfn.IFNA(VLOOKUP($AI809,Programma!$F$3:$I$1107,4,0),"")</f>
        <v>_</v>
      </c>
      <c r="AM809" s="300" t="str">
        <f>_xlfn.IFNA(VLOOKUP($AI809,Programma!$F$3:$J$1107,5,0),"")</f>
        <v>5w</v>
      </c>
      <c r="AN809" s="300" t="str">
        <f>_xlfn.IFNA(VLOOKUP($AI809,Programma!$F$3:$K$1107,6,0),"")</f>
        <v>_</v>
      </c>
      <c r="AO809" s="300" t="str">
        <f>_xlfn.IFNA(VLOOKUP($AI809,Programma!$F$3:$L$1107,7,0),"")</f>
        <v>_</v>
      </c>
      <c r="AP809" s="300" t="str">
        <f>_xlfn.IFNA(VLOOKUP($AI809,Programma!$F$3:$M$1107,8,0),"")</f>
        <v>_</v>
      </c>
      <c r="AQ809" s="300" t="str">
        <f>_xlfn.IFNA(VLOOKUP($AI809,Programma!$F$3:$N$1107,9,0),"")</f>
        <v>_</v>
      </c>
      <c r="AR809" s="300" t="str">
        <f>_xlfn.IFNA(VLOOKUP($AI809,Programma!$F$3:$O$1107,10,0),"")</f>
        <v>5w</v>
      </c>
      <c r="AS809" s="300" t="str">
        <f>_xlfn.IFNA(VLOOKUP($AI809,Programma!$F$3:$P$1107,11,0),"")</f>
        <v>5w</v>
      </c>
      <c r="AT809" s="300" t="str">
        <f>_xlfn.IFNA(VLOOKUP($AI809,Programma!$F$3:$Q$1107,12,0),"")</f>
        <v>1w</v>
      </c>
      <c r="AU809" s="300" t="str">
        <f>_xlfn.IFNA(VLOOKUP($AI809,Programma!$F$3:$R$1107,13,0),"")</f>
        <v>1w</v>
      </c>
      <c r="AV809" s="300" t="str">
        <f>_xlfn.IFNA(VLOOKUP($AI809,Programma!$F$3:$S$1107,14,0),"")</f>
        <v>1m</v>
      </c>
      <c r="AW809" s="300" t="str">
        <f>_xlfn.IFNA(VLOOKUP($AI809,Programma!$F$3:$T$1107,15,0),"")</f>
        <v>2j</v>
      </c>
      <c r="AX809" s="300" t="str">
        <f>_xlfn.IFNA(VLOOKUP($AI809,Programma!$F$3:$U$1107,16,0),"")</f>
        <v>1j</v>
      </c>
      <c r="AY809" s="300" t="str">
        <f>_xlfn.IFNA(VLOOKUP($AI809,Programma!$F$3:$V$1107,17,0),"")</f>
        <v>_</v>
      </c>
      <c r="AZ809" s="300" t="str">
        <f>_xlfn.IFNA(VLOOKUP($AI809,Programma!$F$3:$W$1107,18,0),"")</f>
        <v>_</v>
      </c>
      <c r="BA809" s="300" t="str">
        <f>_xlfn.IFNA(VLOOKUP($AI809,Programma!$F$3:$X$1107,19,0),"")</f>
        <v>_</v>
      </c>
      <c r="BB809" s="300" t="str">
        <f>_xlfn.IFNA(VLOOKUP($AI809,Programma!$F$3:$Y$1107,20,0),"")</f>
        <v>_</v>
      </c>
      <c r="BC809" s="257"/>
      <c r="BD809" s="256" t="str">
        <f>IF(Ruimtestaat[[#This Row],[Frequentie weekend]]="","",_xlfn.CONCAT(Ruimtestaat[[#This Row],[Ruimte code]],"-",Ruimtestaat[[#This Row],[Frequentie weekend]]," ",Ruimtestaat[[#This Row],[Vloer code]]))</f>
        <v/>
      </c>
      <c r="BE809" s="300" t="str">
        <f>_xlfn.IFNA(VLOOKUP($BD809,Programma!$F$3:$G$1107,2,0),"")</f>
        <v/>
      </c>
      <c r="BF809" s="300" t="str">
        <f>_xlfn.IFNA(VLOOKUP($BD809,Programma!$F$3:$H$1107,3,0),"")</f>
        <v/>
      </c>
      <c r="BG809" s="300" t="str">
        <f>_xlfn.IFNA(VLOOKUP($BD809,Programma!$F$3:$I$1107,4,0),"")</f>
        <v/>
      </c>
      <c r="BH809" s="300" t="str">
        <f>_xlfn.IFNA(VLOOKUP($BD809,Programma!$F$3:$J$1107,5,0),"")</f>
        <v/>
      </c>
      <c r="BI809" s="300" t="str">
        <f>_xlfn.IFNA(VLOOKUP($BD809,Programma!$F$3:$K$1107,6,0),"")</f>
        <v/>
      </c>
      <c r="BJ809" s="300" t="str">
        <f>_xlfn.IFNA(VLOOKUP($BD809,Programma!$F$3:$L$1107,7,0),"")</f>
        <v/>
      </c>
      <c r="BK809" s="300" t="str">
        <f>_xlfn.IFNA(VLOOKUP($BD809,Programma!$F$3:$M$1107,8,0),"")</f>
        <v/>
      </c>
      <c r="BL809" s="300" t="str">
        <f>_xlfn.IFNA(VLOOKUP($BD809,Programma!$F$3:$N$1107,9,0),"")</f>
        <v/>
      </c>
      <c r="BM809" s="300" t="str">
        <f>_xlfn.IFNA(VLOOKUP($BD809,Programma!$F$3:$O$1107,10,0),"")</f>
        <v/>
      </c>
      <c r="BN809" s="300" t="str">
        <f>_xlfn.IFNA(VLOOKUP($BD809,Programma!$F$3:$P$1107,11,0),"")</f>
        <v/>
      </c>
      <c r="BO809" s="300" t="str">
        <f>_xlfn.IFNA(VLOOKUP($BD809,Programma!$F$3:$Q$1107,12,0),"")</f>
        <v/>
      </c>
      <c r="BP809" s="300" t="str">
        <f>_xlfn.IFNA(VLOOKUP($BD809,Programma!$F$3:$R$1107,13,0),"")</f>
        <v/>
      </c>
      <c r="BQ809" s="300" t="str">
        <f>_xlfn.IFNA(VLOOKUP($BD809,Programma!$F$3:$S$1107,14,0),"")</f>
        <v/>
      </c>
      <c r="BR809" s="300" t="str">
        <f>_xlfn.IFNA(VLOOKUP($BD809,Programma!$F$3:$T$1107,15,0),"")</f>
        <v/>
      </c>
      <c r="BS809" s="300" t="str">
        <f>_xlfn.IFNA(VLOOKUP($BD809,Programma!$F$3:$U$1107,16,0),"")</f>
        <v/>
      </c>
      <c r="BT809" s="300" t="str">
        <f>_xlfn.IFNA(VLOOKUP($BD809,Programma!$F$3:$V$1107,17,0),"")</f>
        <v/>
      </c>
      <c r="BU809" s="300" t="str">
        <f>_xlfn.IFNA(VLOOKUP($BD809,Programma!$F$3:$W$1107,18,0),"")</f>
        <v/>
      </c>
      <c r="BV809" s="300" t="str">
        <f>_xlfn.IFNA(VLOOKUP($BD809,Programma!$F$3:$X$1107,19,0),"")</f>
        <v/>
      </c>
      <c r="BW809" s="300" t="str">
        <f>_xlfn.IFNA(VLOOKUP($BD809,Programma!$F$3:$Y$1107,20,0),"")</f>
        <v/>
      </c>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c r="GK809" s="4"/>
      <c r="GL809" s="4"/>
      <c r="GM809" s="4"/>
      <c r="GN809" s="4"/>
      <c r="GO809" s="4"/>
      <c r="GP809" s="4"/>
      <c r="GQ809" s="4"/>
      <c r="GR809" s="4"/>
      <c r="GS809" s="4"/>
      <c r="GT809" s="4"/>
      <c r="GU809" s="4"/>
      <c r="GV809" s="4"/>
      <c r="GW809" s="4"/>
      <c r="GX809" s="4"/>
      <c r="GY809" s="4"/>
      <c r="GZ809" s="4"/>
      <c r="HA809" s="4"/>
      <c r="HB809" s="4"/>
      <c r="HC809" s="4"/>
      <c r="HD809" s="4"/>
      <c r="HE809" s="4"/>
      <c r="HF809" s="4"/>
      <c r="HG809" s="4"/>
      <c r="HH809" s="4"/>
      <c r="HI809" s="4"/>
      <c r="HJ809" s="4"/>
      <c r="HK809" s="4"/>
      <c r="HL809" s="4"/>
    </row>
    <row r="810" spans="1:220" ht="15" customHeight="1">
      <c r="A810" s="21">
        <v>8</v>
      </c>
      <c r="B810" s="157" t="str">
        <f>VLOOKUP(Ruimtestaat[[#This Row],[Code]],Locaties[[Code]:[Locatie]],2,FALSE)</f>
        <v>Dalton College</v>
      </c>
      <c r="C810" s="157" t="str">
        <f>VLOOKUP(Ruimtestaat[[#This Row],[Code]],Locaties[[#All],[Code]:[Adres]],4,FALSE)</f>
        <v>Loolaan 125</v>
      </c>
      <c r="D810" s="157" t="str">
        <f>VLOOKUP(Ruimtestaat[[#This Row],[Code]],Locaties[[#All],[Code]:[Postcode]],5,FALSE)</f>
        <v xml:space="preserve">2271 TM </v>
      </c>
      <c r="E810" s="157" t="str">
        <f>VLOOKUP(Ruimtestaat[[#This Row],[Code]],Locaties[#All],6,FALSE)</f>
        <v>Voorburg</v>
      </c>
      <c r="F810" s="62"/>
      <c r="G810" s="21" t="s">
        <v>1624</v>
      </c>
      <c r="H810" s="21" t="s">
        <v>2279</v>
      </c>
      <c r="I810" s="62" t="s">
        <v>2280</v>
      </c>
      <c r="J810" s="21">
        <v>13</v>
      </c>
      <c r="K810" s="62" t="str">
        <f>VLOOKUP(Ruimtestaat[[#This Row],[Ruimte code]],Ruimtegroepen[[#All],[Code]:[Ruimte omschrijving]],2,FALSE)</f>
        <v>HV/Technieklokaal</v>
      </c>
      <c r="L810" s="33" t="s">
        <v>101</v>
      </c>
      <c r="M810" s="367" t="s">
        <v>2495</v>
      </c>
      <c r="N810" s="140">
        <v>83</v>
      </c>
      <c r="O810" s="140"/>
      <c r="P810" s="125" t="str">
        <f>VLOOKUP(Ruimtestaat[[#This Row],[Ruimte code]],Ruimtegroepen[],4,FALSE)</f>
        <v>Le</v>
      </c>
      <c r="R810" s="33">
        <v>40</v>
      </c>
      <c r="S810" s="33" t="s">
        <v>2</v>
      </c>
      <c r="T810" s="33">
        <f>IF(R810&gt;0,IF(RIGHT(Ruimtestaat[[#This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0" s="33">
        <f>IF(T810&gt;0,VLOOKUP($J810,Ruimtegroepen[],3,FALSE)*VLOOKUP($L810,Vloersoorten[],3,FALSE)*VLOOKUP($S810,Frequenties[],3,FALSE)*VLOOKUP($A810,Locaties[],3,FALSE),0)</f>
        <v>0</v>
      </c>
      <c r="V810" s="33">
        <f>Ruimtestaat[[#This Row],[Uitvoeringen werkdagen]]*Ruimtestaat[[#This Row],[Oppervlak (netto)]]</f>
        <v>16600</v>
      </c>
      <c r="W810" s="154">
        <f>IF(U810&gt;0,Ruimtestaat[[#This Row],[Prest. (m2 /jaar) werkdagen]]/Ruimtestaat[[#This Row],[Norm (m2/uur) werkdagen]],0)</f>
        <v>0</v>
      </c>
      <c r="X810" s="155">
        <f>Ruimtestaat[[#This Row],[uren / jaar werkdagen]]*Tariefsopbouw!$E$35</f>
        <v>0</v>
      </c>
      <c r="Y810" s="33"/>
      <c r="Z810" s="33">
        <f>IF(Ruimtestaat[[#This Row],[Frequentie weekend]]&gt;0,VALUE(LEFT(Y810,1))*R810,0)</f>
        <v>0</v>
      </c>
      <c r="AA810" s="97">
        <f>IF($Z810&gt;0,VLOOKUP($J810,Ruimtegroepen[],3,FALSE)*VLOOKUP($L810,Vloersoorten[],3,FALSE)*VLOOKUP($Y810,Frequenties[],3,FALSE)*VLOOKUP(Ruimtestaat[[#This Row],[Code]],Locaties[],3,FALSE),0)</f>
        <v>0</v>
      </c>
      <c r="AB810" s="97">
        <f>Ruimtestaat[[#This Row],[Uitvoeringen weekend]]*Ruimtestaat[[#This Row],[Oppervlak (netto)]]</f>
        <v>0</v>
      </c>
      <c r="AC810" s="97">
        <f>IF(AA810&gt;0,Ruimtestaat[[#This Row],[Prest. (m2 /jaar) weekend]]/Ruimtestaat[[#This Row],[Norm (m2/uur) weekend]],0)</f>
        <v>0</v>
      </c>
      <c r="AD810" s="155">
        <f>Ruimtestaat[[#This Row],[uren / jaar weekend]]*Tariefsopbouw!$D$40</f>
        <v>0</v>
      </c>
      <c r="AE810" s="154">
        <f>Ruimtestaat[[#This Row],[Prest. (m2 /jaar) weekend]]+Ruimtestaat[[#This Row],[Prest. (m2 /jaar) werkdagen]]</f>
        <v>16600</v>
      </c>
      <c r="AF810" s="154">
        <f>Ruimtestaat[[#This Row],[uren / jaar weekend]]+Ruimtestaat[[#This Row],[uren / jaar werkdagen]]</f>
        <v>0</v>
      </c>
      <c r="AG810" s="69">
        <f>Ruimtestaat[[#This Row],[kosten / jaar weekend]]+Ruimtestaat[[#This Row],[kosten / jaar werkdagen]]</f>
        <v>0</v>
      </c>
      <c r="AH810" s="69"/>
      <c r="AI810" s="256" t="str">
        <f>IF(Ruimtestaat[[#This Row],[Frequentie werkdagen]]="","",_xlfn.CONCAT(Ruimtestaat[[#This Row],[Ruimte code]],"-",Ruimtestaat[[#This Row],[Frequentie werkdagen]]," ",Ruimtestaat[[#This Row],[Vloer code]]))</f>
        <v>13-5w L</v>
      </c>
      <c r="AJ810" s="300" t="str">
        <f>_xlfn.IFNA(VLOOKUP($AI810,Programma!$F$3:$G$1107,2,0),"")</f>
        <v>_</v>
      </c>
      <c r="AK810" s="300" t="str">
        <f>_xlfn.IFNA(VLOOKUP($AI810,Programma!$F$3:$H$1107,3,0),"")</f>
        <v>_</v>
      </c>
      <c r="AL810" s="300" t="str">
        <f>_xlfn.IFNA(VLOOKUP($AI810,Programma!$F$3:$I$1107,4,0),"")</f>
        <v>4w</v>
      </c>
      <c r="AM810" s="300" t="str">
        <f>_xlfn.IFNA(VLOOKUP($AI810,Programma!$F$3:$J$1107,5,0),"")</f>
        <v>1w</v>
      </c>
      <c r="AN810" s="300" t="str">
        <f>_xlfn.IFNA(VLOOKUP($AI810,Programma!$F$3:$K$1107,6,0),"")</f>
        <v>_</v>
      </c>
      <c r="AO810" s="300" t="str">
        <f>_xlfn.IFNA(VLOOKUP($AI810,Programma!$F$3:$L$1107,7,0),"")</f>
        <v>_</v>
      </c>
      <c r="AP810" s="300" t="str">
        <f>_xlfn.IFNA(VLOOKUP($AI810,Programma!$F$3:$M$1107,8,0),"")</f>
        <v>_</v>
      </c>
      <c r="AQ810" s="300" t="str">
        <f>_xlfn.IFNA(VLOOKUP($AI810,Programma!$F$3:$N$1107,9,0),"")</f>
        <v>_</v>
      </c>
      <c r="AR810" s="300" t="str">
        <f>_xlfn.IFNA(VLOOKUP($AI810,Programma!$F$3:$O$1107,10,0),"")</f>
        <v>5w</v>
      </c>
      <c r="AS810" s="300" t="str">
        <f>_xlfn.IFNA(VLOOKUP($AI810,Programma!$F$3:$P$1107,11,0),"")</f>
        <v>5w</v>
      </c>
      <c r="AT810" s="300" t="str">
        <f>_xlfn.IFNA(VLOOKUP($AI810,Programma!$F$3:$Q$1107,12,0),"")</f>
        <v>1w</v>
      </c>
      <c r="AU810" s="300" t="str">
        <f>_xlfn.IFNA(VLOOKUP($AI810,Programma!$F$3:$R$1107,13,0),"")</f>
        <v>1w</v>
      </c>
      <c r="AV810" s="300" t="str">
        <f>_xlfn.IFNA(VLOOKUP($AI810,Programma!$F$3:$S$1107,14,0),"")</f>
        <v>1m</v>
      </c>
      <c r="AW810" s="300" t="str">
        <f>_xlfn.IFNA(VLOOKUP($AI810,Programma!$F$3:$T$1107,15,0),"")</f>
        <v>2j</v>
      </c>
      <c r="AX810" s="300" t="str">
        <f>_xlfn.IFNA(VLOOKUP($AI810,Programma!$F$3:$U$1107,16,0),"")</f>
        <v>1j</v>
      </c>
      <c r="AY810" s="300" t="str">
        <f>_xlfn.IFNA(VLOOKUP($AI810,Programma!$F$3:$V$1107,17,0),"")</f>
        <v>_</v>
      </c>
      <c r="AZ810" s="300" t="str">
        <f>_xlfn.IFNA(VLOOKUP($AI810,Programma!$F$3:$W$1107,18,0),"")</f>
        <v>_</v>
      </c>
      <c r="BA810" s="300" t="str">
        <f>_xlfn.IFNA(VLOOKUP($AI810,Programma!$F$3:$X$1107,19,0),"")</f>
        <v>_</v>
      </c>
      <c r="BB810" s="300" t="str">
        <f>_xlfn.IFNA(VLOOKUP($AI810,Programma!$F$3:$Y$1107,20,0),"")</f>
        <v>_</v>
      </c>
      <c r="BC810" s="257"/>
      <c r="BD810" s="256" t="str">
        <f>IF(Ruimtestaat[[#This Row],[Frequentie weekend]]="","",_xlfn.CONCAT(Ruimtestaat[[#This Row],[Ruimte code]],"-",Ruimtestaat[[#This Row],[Frequentie weekend]]," ",Ruimtestaat[[#This Row],[Vloer code]]))</f>
        <v/>
      </c>
      <c r="BE810" s="300" t="str">
        <f>_xlfn.IFNA(VLOOKUP($BD810,Programma!$F$3:$G$1107,2,0),"")</f>
        <v/>
      </c>
      <c r="BF810" s="300" t="str">
        <f>_xlfn.IFNA(VLOOKUP($BD810,Programma!$F$3:$H$1107,3,0),"")</f>
        <v/>
      </c>
      <c r="BG810" s="300" t="str">
        <f>_xlfn.IFNA(VLOOKUP($BD810,Programma!$F$3:$I$1107,4,0),"")</f>
        <v/>
      </c>
      <c r="BH810" s="300" t="str">
        <f>_xlfn.IFNA(VLOOKUP($BD810,Programma!$F$3:$J$1107,5,0),"")</f>
        <v/>
      </c>
      <c r="BI810" s="300" t="str">
        <f>_xlfn.IFNA(VLOOKUP($BD810,Programma!$F$3:$K$1107,6,0),"")</f>
        <v/>
      </c>
      <c r="BJ810" s="300" t="str">
        <f>_xlfn.IFNA(VLOOKUP($BD810,Programma!$F$3:$L$1107,7,0),"")</f>
        <v/>
      </c>
      <c r="BK810" s="300" t="str">
        <f>_xlfn.IFNA(VLOOKUP($BD810,Programma!$F$3:$M$1107,8,0),"")</f>
        <v/>
      </c>
      <c r="BL810" s="300" t="str">
        <f>_xlfn.IFNA(VLOOKUP($BD810,Programma!$F$3:$N$1107,9,0),"")</f>
        <v/>
      </c>
      <c r="BM810" s="300" t="str">
        <f>_xlfn.IFNA(VLOOKUP($BD810,Programma!$F$3:$O$1107,10,0),"")</f>
        <v/>
      </c>
      <c r="BN810" s="300" t="str">
        <f>_xlfn.IFNA(VLOOKUP($BD810,Programma!$F$3:$P$1107,11,0),"")</f>
        <v/>
      </c>
      <c r="BO810" s="300" t="str">
        <f>_xlfn.IFNA(VLOOKUP($BD810,Programma!$F$3:$Q$1107,12,0),"")</f>
        <v/>
      </c>
      <c r="BP810" s="300" t="str">
        <f>_xlfn.IFNA(VLOOKUP($BD810,Programma!$F$3:$R$1107,13,0),"")</f>
        <v/>
      </c>
      <c r="BQ810" s="300" t="str">
        <f>_xlfn.IFNA(VLOOKUP($BD810,Programma!$F$3:$S$1107,14,0),"")</f>
        <v/>
      </c>
      <c r="BR810" s="300" t="str">
        <f>_xlfn.IFNA(VLOOKUP($BD810,Programma!$F$3:$T$1107,15,0),"")</f>
        <v/>
      </c>
      <c r="BS810" s="300" t="str">
        <f>_xlfn.IFNA(VLOOKUP($BD810,Programma!$F$3:$U$1107,16,0),"")</f>
        <v/>
      </c>
      <c r="BT810" s="300" t="str">
        <f>_xlfn.IFNA(VLOOKUP($BD810,Programma!$F$3:$V$1107,17,0),"")</f>
        <v/>
      </c>
      <c r="BU810" s="300" t="str">
        <f>_xlfn.IFNA(VLOOKUP($BD810,Programma!$F$3:$W$1107,18,0),"")</f>
        <v/>
      </c>
      <c r="BV810" s="300" t="str">
        <f>_xlfn.IFNA(VLOOKUP($BD810,Programma!$F$3:$X$1107,19,0),"")</f>
        <v/>
      </c>
      <c r="BW810" s="300" t="str">
        <f>_xlfn.IFNA(VLOOKUP($BD810,Programma!$F$3:$Y$1107,20,0),"")</f>
        <v/>
      </c>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c r="GK810" s="4"/>
      <c r="GL810" s="4"/>
      <c r="GM810" s="4"/>
      <c r="GN810" s="4"/>
      <c r="GO810" s="4"/>
      <c r="GP810" s="4"/>
      <c r="GQ810" s="4"/>
      <c r="GR810" s="4"/>
      <c r="GS810" s="4"/>
      <c r="GT810" s="4"/>
      <c r="GU810" s="4"/>
      <c r="GV810" s="4"/>
      <c r="GW810" s="4"/>
      <c r="GX810" s="4"/>
      <c r="GY810" s="4"/>
      <c r="GZ810" s="4"/>
      <c r="HA810" s="4"/>
      <c r="HB810" s="4"/>
      <c r="HC810" s="4"/>
      <c r="HD810" s="4"/>
      <c r="HE810" s="4"/>
      <c r="HF810" s="4"/>
      <c r="HG810" s="4"/>
      <c r="HH810" s="4"/>
      <c r="HI810" s="4"/>
      <c r="HJ810" s="4"/>
      <c r="HK810" s="4"/>
      <c r="HL810" s="4"/>
    </row>
    <row r="811" spans="1:220" ht="15" customHeight="1">
      <c r="A811" s="21">
        <v>8</v>
      </c>
      <c r="B811" s="157" t="str">
        <f>VLOOKUP(Ruimtestaat[[#This Row],[Code]],Locaties[[Code]:[Locatie]],2,FALSE)</f>
        <v>Dalton College</v>
      </c>
      <c r="C811" s="157" t="str">
        <f>VLOOKUP(Ruimtestaat[[#This Row],[Code]],Locaties[[#All],[Code]:[Adres]],4,FALSE)</f>
        <v>Loolaan 125</v>
      </c>
      <c r="D811" s="157" t="str">
        <f>VLOOKUP(Ruimtestaat[[#This Row],[Code]],Locaties[[#All],[Code]:[Postcode]],5,FALSE)</f>
        <v xml:space="preserve">2271 TM </v>
      </c>
      <c r="E811" s="157" t="str">
        <f>VLOOKUP(Ruimtestaat[[#This Row],[Code]],Locaties[#All],6,FALSE)</f>
        <v>Voorburg</v>
      </c>
      <c r="F811" s="62"/>
      <c r="G811" s="21" t="s">
        <v>1624</v>
      </c>
      <c r="H811" s="21" t="s">
        <v>2281</v>
      </c>
      <c r="I811" s="62" t="s">
        <v>2282</v>
      </c>
      <c r="J811" s="21">
        <v>13</v>
      </c>
      <c r="K811" s="62" t="str">
        <f>VLOOKUP(Ruimtestaat[[#This Row],[Ruimte code]],Ruimtegroepen[[#All],[Code]:[Ruimte omschrijving]],2,FALSE)</f>
        <v>HV/Technieklokaal</v>
      </c>
      <c r="L811" s="33" t="s">
        <v>101</v>
      </c>
      <c r="M811" s="367" t="s">
        <v>2495</v>
      </c>
      <c r="N811" s="140">
        <v>94</v>
      </c>
      <c r="O811" s="140"/>
      <c r="P811" s="125" t="str">
        <f>VLOOKUP(Ruimtestaat[[#This Row],[Ruimte code]],Ruimtegroepen[],4,FALSE)</f>
        <v>Le</v>
      </c>
      <c r="R811" s="33">
        <v>40</v>
      </c>
      <c r="S811" s="33" t="s">
        <v>2</v>
      </c>
      <c r="T811" s="33">
        <f>IF(R811&gt;0,IF(RIGHT(Ruimtestaat[[#This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1" s="33">
        <f>IF(T811&gt;0,VLOOKUP($J811,Ruimtegroepen[],3,FALSE)*VLOOKUP($L811,Vloersoorten[],3,FALSE)*VLOOKUP($S811,Frequenties[],3,FALSE)*VLOOKUP($A811,Locaties[],3,FALSE),0)</f>
        <v>0</v>
      </c>
      <c r="V811" s="33">
        <f>Ruimtestaat[[#This Row],[Uitvoeringen werkdagen]]*Ruimtestaat[[#This Row],[Oppervlak (netto)]]</f>
        <v>18800</v>
      </c>
      <c r="W811" s="154">
        <f>IF(U811&gt;0,Ruimtestaat[[#This Row],[Prest. (m2 /jaar) werkdagen]]/Ruimtestaat[[#This Row],[Norm (m2/uur) werkdagen]],0)</f>
        <v>0</v>
      </c>
      <c r="X811" s="155">
        <f>Ruimtestaat[[#This Row],[uren / jaar werkdagen]]*Tariefsopbouw!$E$35</f>
        <v>0</v>
      </c>
      <c r="Y811" s="33"/>
      <c r="Z811" s="33">
        <f>IF(Ruimtestaat[[#This Row],[Frequentie weekend]]&gt;0,VALUE(LEFT(Y811,1))*R811,0)</f>
        <v>0</v>
      </c>
      <c r="AA811" s="97">
        <f>IF($Z811&gt;0,VLOOKUP($J811,Ruimtegroepen[],3,FALSE)*VLOOKUP($L811,Vloersoorten[],3,FALSE)*VLOOKUP($Y811,Frequenties[],3,FALSE)*VLOOKUP(Ruimtestaat[[#This Row],[Code]],Locaties[],3,FALSE),0)</f>
        <v>0</v>
      </c>
      <c r="AB811" s="97">
        <f>Ruimtestaat[[#This Row],[Uitvoeringen weekend]]*Ruimtestaat[[#This Row],[Oppervlak (netto)]]</f>
        <v>0</v>
      </c>
      <c r="AC811" s="97">
        <f>IF(AA811&gt;0,Ruimtestaat[[#This Row],[Prest. (m2 /jaar) weekend]]/Ruimtestaat[[#This Row],[Norm (m2/uur) weekend]],0)</f>
        <v>0</v>
      </c>
      <c r="AD811" s="155">
        <f>Ruimtestaat[[#This Row],[uren / jaar weekend]]*Tariefsopbouw!$D$40</f>
        <v>0</v>
      </c>
      <c r="AE811" s="154">
        <f>Ruimtestaat[[#This Row],[Prest. (m2 /jaar) weekend]]+Ruimtestaat[[#This Row],[Prest. (m2 /jaar) werkdagen]]</f>
        <v>18800</v>
      </c>
      <c r="AF811" s="154">
        <f>Ruimtestaat[[#This Row],[uren / jaar weekend]]+Ruimtestaat[[#This Row],[uren / jaar werkdagen]]</f>
        <v>0</v>
      </c>
      <c r="AG811" s="69">
        <f>Ruimtestaat[[#This Row],[kosten / jaar weekend]]+Ruimtestaat[[#This Row],[kosten / jaar werkdagen]]</f>
        <v>0</v>
      </c>
      <c r="AH811" s="69"/>
      <c r="AI811" s="256" t="str">
        <f>IF(Ruimtestaat[[#This Row],[Frequentie werkdagen]]="","",_xlfn.CONCAT(Ruimtestaat[[#This Row],[Ruimte code]],"-",Ruimtestaat[[#This Row],[Frequentie werkdagen]]," ",Ruimtestaat[[#This Row],[Vloer code]]))</f>
        <v>13-5w L</v>
      </c>
      <c r="AJ811" s="300" t="str">
        <f>_xlfn.IFNA(VLOOKUP($AI811,Programma!$F$3:$G$1107,2,0),"")</f>
        <v>_</v>
      </c>
      <c r="AK811" s="300" t="str">
        <f>_xlfn.IFNA(VLOOKUP($AI811,Programma!$F$3:$H$1107,3,0),"")</f>
        <v>_</v>
      </c>
      <c r="AL811" s="300" t="str">
        <f>_xlfn.IFNA(VLOOKUP($AI811,Programma!$F$3:$I$1107,4,0),"")</f>
        <v>4w</v>
      </c>
      <c r="AM811" s="300" t="str">
        <f>_xlfn.IFNA(VLOOKUP($AI811,Programma!$F$3:$J$1107,5,0),"")</f>
        <v>1w</v>
      </c>
      <c r="AN811" s="300" t="str">
        <f>_xlfn.IFNA(VLOOKUP($AI811,Programma!$F$3:$K$1107,6,0),"")</f>
        <v>_</v>
      </c>
      <c r="AO811" s="300" t="str">
        <f>_xlfn.IFNA(VLOOKUP($AI811,Programma!$F$3:$L$1107,7,0),"")</f>
        <v>_</v>
      </c>
      <c r="AP811" s="300" t="str">
        <f>_xlfn.IFNA(VLOOKUP($AI811,Programma!$F$3:$M$1107,8,0),"")</f>
        <v>_</v>
      </c>
      <c r="AQ811" s="300" t="str">
        <f>_xlfn.IFNA(VLOOKUP($AI811,Programma!$F$3:$N$1107,9,0),"")</f>
        <v>_</v>
      </c>
      <c r="AR811" s="300" t="str">
        <f>_xlfn.IFNA(VLOOKUP($AI811,Programma!$F$3:$O$1107,10,0),"")</f>
        <v>5w</v>
      </c>
      <c r="AS811" s="300" t="str">
        <f>_xlfn.IFNA(VLOOKUP($AI811,Programma!$F$3:$P$1107,11,0),"")</f>
        <v>5w</v>
      </c>
      <c r="AT811" s="300" t="str">
        <f>_xlfn.IFNA(VLOOKUP($AI811,Programma!$F$3:$Q$1107,12,0),"")</f>
        <v>1w</v>
      </c>
      <c r="AU811" s="300" t="str">
        <f>_xlfn.IFNA(VLOOKUP($AI811,Programma!$F$3:$R$1107,13,0),"")</f>
        <v>1w</v>
      </c>
      <c r="AV811" s="300" t="str">
        <f>_xlfn.IFNA(VLOOKUP($AI811,Programma!$F$3:$S$1107,14,0),"")</f>
        <v>1m</v>
      </c>
      <c r="AW811" s="300" t="str">
        <f>_xlfn.IFNA(VLOOKUP($AI811,Programma!$F$3:$T$1107,15,0),"")</f>
        <v>2j</v>
      </c>
      <c r="AX811" s="300" t="str">
        <f>_xlfn.IFNA(VLOOKUP($AI811,Programma!$F$3:$U$1107,16,0),"")</f>
        <v>1j</v>
      </c>
      <c r="AY811" s="300" t="str">
        <f>_xlfn.IFNA(VLOOKUP($AI811,Programma!$F$3:$V$1107,17,0),"")</f>
        <v>_</v>
      </c>
      <c r="AZ811" s="300" t="str">
        <f>_xlfn.IFNA(VLOOKUP($AI811,Programma!$F$3:$W$1107,18,0),"")</f>
        <v>_</v>
      </c>
      <c r="BA811" s="300" t="str">
        <f>_xlfn.IFNA(VLOOKUP($AI811,Programma!$F$3:$X$1107,19,0),"")</f>
        <v>_</v>
      </c>
      <c r="BB811" s="300" t="str">
        <f>_xlfn.IFNA(VLOOKUP($AI811,Programma!$F$3:$Y$1107,20,0),"")</f>
        <v>_</v>
      </c>
      <c r="BC811" s="257"/>
      <c r="BD811" s="256" t="str">
        <f>IF(Ruimtestaat[[#This Row],[Frequentie weekend]]="","",_xlfn.CONCAT(Ruimtestaat[[#This Row],[Ruimte code]],"-",Ruimtestaat[[#This Row],[Frequentie weekend]]," ",Ruimtestaat[[#This Row],[Vloer code]]))</f>
        <v/>
      </c>
      <c r="BE811" s="300" t="str">
        <f>_xlfn.IFNA(VLOOKUP($BD811,Programma!$F$3:$G$1107,2,0),"")</f>
        <v/>
      </c>
      <c r="BF811" s="300" t="str">
        <f>_xlfn.IFNA(VLOOKUP($BD811,Programma!$F$3:$H$1107,3,0),"")</f>
        <v/>
      </c>
      <c r="BG811" s="300" t="str">
        <f>_xlfn.IFNA(VLOOKUP($BD811,Programma!$F$3:$I$1107,4,0),"")</f>
        <v/>
      </c>
      <c r="BH811" s="300" t="str">
        <f>_xlfn.IFNA(VLOOKUP($BD811,Programma!$F$3:$J$1107,5,0),"")</f>
        <v/>
      </c>
      <c r="BI811" s="300" t="str">
        <f>_xlfn.IFNA(VLOOKUP($BD811,Programma!$F$3:$K$1107,6,0),"")</f>
        <v/>
      </c>
      <c r="BJ811" s="300" t="str">
        <f>_xlfn.IFNA(VLOOKUP($BD811,Programma!$F$3:$L$1107,7,0),"")</f>
        <v/>
      </c>
      <c r="BK811" s="300" t="str">
        <f>_xlfn.IFNA(VLOOKUP($BD811,Programma!$F$3:$M$1107,8,0),"")</f>
        <v/>
      </c>
      <c r="BL811" s="300" t="str">
        <f>_xlfn.IFNA(VLOOKUP($BD811,Programma!$F$3:$N$1107,9,0),"")</f>
        <v/>
      </c>
      <c r="BM811" s="300" t="str">
        <f>_xlfn.IFNA(VLOOKUP($BD811,Programma!$F$3:$O$1107,10,0),"")</f>
        <v/>
      </c>
      <c r="BN811" s="300" t="str">
        <f>_xlfn.IFNA(VLOOKUP($BD811,Programma!$F$3:$P$1107,11,0),"")</f>
        <v/>
      </c>
      <c r="BO811" s="300" t="str">
        <f>_xlfn.IFNA(VLOOKUP($BD811,Programma!$F$3:$Q$1107,12,0),"")</f>
        <v/>
      </c>
      <c r="BP811" s="300" t="str">
        <f>_xlfn.IFNA(VLOOKUP($BD811,Programma!$F$3:$R$1107,13,0),"")</f>
        <v/>
      </c>
      <c r="BQ811" s="300" t="str">
        <f>_xlfn.IFNA(VLOOKUP($BD811,Programma!$F$3:$S$1107,14,0),"")</f>
        <v/>
      </c>
      <c r="BR811" s="300" t="str">
        <f>_xlfn.IFNA(VLOOKUP($BD811,Programma!$F$3:$T$1107,15,0),"")</f>
        <v/>
      </c>
      <c r="BS811" s="300" t="str">
        <f>_xlfn.IFNA(VLOOKUP($BD811,Programma!$F$3:$U$1107,16,0),"")</f>
        <v/>
      </c>
      <c r="BT811" s="300" t="str">
        <f>_xlfn.IFNA(VLOOKUP($BD811,Programma!$F$3:$V$1107,17,0),"")</f>
        <v/>
      </c>
      <c r="BU811" s="300" t="str">
        <f>_xlfn.IFNA(VLOOKUP($BD811,Programma!$F$3:$W$1107,18,0),"")</f>
        <v/>
      </c>
      <c r="BV811" s="300" t="str">
        <f>_xlfn.IFNA(VLOOKUP($BD811,Programma!$F$3:$X$1107,19,0),"")</f>
        <v/>
      </c>
      <c r="BW811" s="300" t="str">
        <f>_xlfn.IFNA(VLOOKUP($BD811,Programma!$F$3:$Y$1107,20,0),"")</f>
        <v/>
      </c>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c r="GB811" s="4"/>
      <c r="GC811" s="4"/>
      <c r="GD811" s="4"/>
      <c r="GE811" s="4"/>
      <c r="GF811" s="4"/>
      <c r="GG811" s="4"/>
      <c r="GH811" s="4"/>
      <c r="GI811" s="4"/>
      <c r="GJ811" s="4"/>
      <c r="GK811" s="4"/>
      <c r="GL811" s="4"/>
      <c r="GM811" s="4"/>
      <c r="GN811" s="4"/>
      <c r="GO811" s="4"/>
      <c r="GP811" s="4"/>
      <c r="GQ811" s="4"/>
      <c r="GR811" s="4"/>
      <c r="GS811" s="4"/>
      <c r="GT811" s="4"/>
      <c r="GU811" s="4"/>
      <c r="GV811" s="4"/>
      <c r="GW811" s="4"/>
      <c r="GX811" s="4"/>
      <c r="GY811" s="4"/>
      <c r="GZ811" s="4"/>
      <c r="HA811" s="4"/>
      <c r="HB811" s="4"/>
      <c r="HC811" s="4"/>
      <c r="HD811" s="4"/>
      <c r="HE811" s="4"/>
      <c r="HF811" s="4"/>
      <c r="HG811" s="4"/>
      <c r="HH811" s="4"/>
      <c r="HI811" s="4"/>
      <c r="HJ811" s="4"/>
      <c r="HK811" s="4"/>
      <c r="HL811" s="4"/>
    </row>
    <row r="812" spans="1:220" ht="15" customHeight="1">
      <c r="A812" s="21">
        <v>8</v>
      </c>
      <c r="B812" s="157" t="str">
        <f>VLOOKUP(Ruimtestaat[[#This Row],[Code]],Locaties[[Code]:[Locatie]],2,FALSE)</f>
        <v>Dalton College</v>
      </c>
      <c r="C812" s="157" t="str">
        <f>VLOOKUP(Ruimtestaat[[#This Row],[Code]],Locaties[[#All],[Code]:[Adres]],4,FALSE)</f>
        <v>Loolaan 125</v>
      </c>
      <c r="D812" s="157" t="str">
        <f>VLOOKUP(Ruimtestaat[[#This Row],[Code]],Locaties[[#All],[Code]:[Postcode]],5,FALSE)</f>
        <v xml:space="preserve">2271 TM </v>
      </c>
      <c r="E812" s="157" t="str">
        <f>VLOOKUP(Ruimtestaat[[#This Row],[Code]],Locaties[#All],6,FALSE)</f>
        <v>Voorburg</v>
      </c>
      <c r="F812" s="62"/>
      <c r="G812" s="21" t="s">
        <v>1624</v>
      </c>
      <c r="H812" s="21" t="s">
        <v>2283</v>
      </c>
      <c r="I812" s="62" t="s">
        <v>1625</v>
      </c>
      <c r="J812" s="21">
        <v>6</v>
      </c>
      <c r="K812" s="62" t="str">
        <f>VLOOKUP(Ruimtestaat[[#This Row],[Ruimte code]],Ruimtegroepen[[#All],[Code]:[Ruimte omschrijving]],2,FALSE)</f>
        <v>Gangen/hallen</v>
      </c>
      <c r="L812" s="33" t="s">
        <v>101</v>
      </c>
      <c r="M812" s="367" t="s">
        <v>2495</v>
      </c>
      <c r="N812" s="140">
        <v>32</v>
      </c>
      <c r="O812" s="140"/>
      <c r="P812" s="125" t="str">
        <f>VLOOKUP(Ruimtestaat[[#This Row],[Ruimte code]],Ruimtegroepen[],4,FALSE)</f>
        <v>Ve</v>
      </c>
      <c r="R812" s="33">
        <v>40</v>
      </c>
      <c r="S812" s="33" t="s">
        <v>2</v>
      </c>
      <c r="T812" s="33">
        <f>IF(R812&gt;0,IF(RIGHT(Ruimtestaat[[#This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2" s="33">
        <f>IF(T812&gt;0,VLOOKUP($J812,Ruimtegroepen[],3,FALSE)*VLOOKUP($L812,Vloersoorten[],3,FALSE)*VLOOKUP($S812,Frequenties[],3,FALSE)*VLOOKUP($A812,Locaties[],3,FALSE),0)</f>
        <v>0</v>
      </c>
      <c r="V812" s="33">
        <f>Ruimtestaat[[#This Row],[Uitvoeringen werkdagen]]*Ruimtestaat[[#This Row],[Oppervlak (netto)]]</f>
        <v>6400</v>
      </c>
      <c r="W812" s="154">
        <f>IF(U812&gt;0,Ruimtestaat[[#This Row],[Prest. (m2 /jaar) werkdagen]]/Ruimtestaat[[#This Row],[Norm (m2/uur) werkdagen]],0)</f>
        <v>0</v>
      </c>
      <c r="X812" s="155">
        <f>Ruimtestaat[[#This Row],[uren / jaar werkdagen]]*Tariefsopbouw!$E$35</f>
        <v>0</v>
      </c>
      <c r="Y812" s="33"/>
      <c r="Z812" s="33">
        <f>IF(Ruimtestaat[[#This Row],[Frequentie weekend]]&gt;0,VALUE(LEFT(Y812,1))*R812,0)</f>
        <v>0</v>
      </c>
      <c r="AA812" s="97">
        <f>IF($Z812&gt;0,VLOOKUP($J812,Ruimtegroepen[],3,FALSE)*VLOOKUP($L812,Vloersoorten[],3,FALSE)*VLOOKUP($Y812,Frequenties[],3,FALSE)*VLOOKUP(Ruimtestaat[[#This Row],[Code]],Locaties[],3,FALSE),0)</f>
        <v>0</v>
      </c>
      <c r="AB812" s="97">
        <f>Ruimtestaat[[#This Row],[Uitvoeringen weekend]]*Ruimtestaat[[#This Row],[Oppervlak (netto)]]</f>
        <v>0</v>
      </c>
      <c r="AC812" s="97">
        <f>IF(AA812&gt;0,Ruimtestaat[[#This Row],[Prest. (m2 /jaar) weekend]]/Ruimtestaat[[#This Row],[Norm (m2/uur) weekend]],0)</f>
        <v>0</v>
      </c>
      <c r="AD812" s="155">
        <f>Ruimtestaat[[#This Row],[uren / jaar weekend]]*Tariefsopbouw!$D$40</f>
        <v>0</v>
      </c>
      <c r="AE812" s="154">
        <f>Ruimtestaat[[#This Row],[Prest. (m2 /jaar) weekend]]+Ruimtestaat[[#This Row],[Prest. (m2 /jaar) werkdagen]]</f>
        <v>6400</v>
      </c>
      <c r="AF812" s="154">
        <f>Ruimtestaat[[#This Row],[uren / jaar weekend]]+Ruimtestaat[[#This Row],[uren / jaar werkdagen]]</f>
        <v>0</v>
      </c>
      <c r="AG812" s="69">
        <f>Ruimtestaat[[#This Row],[kosten / jaar weekend]]+Ruimtestaat[[#This Row],[kosten / jaar werkdagen]]</f>
        <v>0</v>
      </c>
      <c r="AH812" s="69"/>
      <c r="AI812" s="256" t="str">
        <f>IF(Ruimtestaat[[#This Row],[Frequentie werkdagen]]="","",_xlfn.CONCAT(Ruimtestaat[[#This Row],[Ruimte code]],"-",Ruimtestaat[[#This Row],[Frequentie werkdagen]]," ",Ruimtestaat[[#This Row],[Vloer code]]))</f>
        <v>6-5w L</v>
      </c>
      <c r="AJ812" s="300" t="str">
        <f>_xlfn.IFNA(VLOOKUP($AI812,Programma!$F$3:$G$1107,2,0),"")</f>
        <v>_</v>
      </c>
      <c r="AK812" s="300" t="str">
        <f>_xlfn.IFNA(VLOOKUP($AI812,Programma!$F$3:$H$1107,3,0),"")</f>
        <v>_</v>
      </c>
      <c r="AL812" s="300" t="str">
        <f>_xlfn.IFNA(VLOOKUP($AI812,Programma!$F$3:$I$1107,4,0),"")</f>
        <v>_</v>
      </c>
      <c r="AM812" s="300" t="str">
        <f>_xlfn.IFNA(VLOOKUP($AI812,Programma!$F$3:$J$1107,5,0),"")</f>
        <v>5w</v>
      </c>
      <c r="AN812" s="300" t="str">
        <f>_xlfn.IFNA(VLOOKUP($AI812,Programma!$F$3:$K$1107,6,0),"")</f>
        <v>_</v>
      </c>
      <c r="AO812" s="300" t="str">
        <f>_xlfn.IFNA(VLOOKUP($AI812,Programma!$F$3:$L$1107,7,0),"")</f>
        <v>_</v>
      </c>
      <c r="AP812" s="300" t="str">
        <f>_xlfn.IFNA(VLOOKUP($AI812,Programma!$F$3:$M$1107,8,0),"")</f>
        <v>_</v>
      </c>
      <c r="AQ812" s="300" t="str">
        <f>_xlfn.IFNA(VLOOKUP($AI812,Programma!$F$3:$N$1107,9,0),"")</f>
        <v>_</v>
      </c>
      <c r="AR812" s="300" t="str">
        <f>_xlfn.IFNA(VLOOKUP($AI812,Programma!$F$3:$O$1107,10,0),"")</f>
        <v>5w</v>
      </c>
      <c r="AS812" s="300" t="str">
        <f>_xlfn.IFNA(VLOOKUP($AI812,Programma!$F$3:$P$1107,11,0),"")</f>
        <v>5w</v>
      </c>
      <c r="AT812" s="300" t="str">
        <f>_xlfn.IFNA(VLOOKUP($AI812,Programma!$F$3:$Q$1107,12,0),"")</f>
        <v>1w</v>
      </c>
      <c r="AU812" s="300" t="str">
        <f>_xlfn.IFNA(VLOOKUP($AI812,Programma!$F$3:$R$1107,13,0),"")</f>
        <v>1w</v>
      </c>
      <c r="AV812" s="300" t="str">
        <f>_xlfn.IFNA(VLOOKUP($AI812,Programma!$F$3:$S$1107,14,0),"")</f>
        <v>1m</v>
      </c>
      <c r="AW812" s="300" t="str">
        <f>_xlfn.IFNA(VLOOKUP($AI812,Programma!$F$3:$T$1107,15,0),"")</f>
        <v>2j</v>
      </c>
      <c r="AX812" s="300" t="str">
        <f>_xlfn.IFNA(VLOOKUP($AI812,Programma!$F$3:$U$1107,16,0),"")</f>
        <v>1j</v>
      </c>
      <c r="AY812" s="300" t="str">
        <f>_xlfn.IFNA(VLOOKUP($AI812,Programma!$F$3:$V$1107,17,0),"")</f>
        <v>_</v>
      </c>
      <c r="AZ812" s="300" t="str">
        <f>_xlfn.IFNA(VLOOKUP($AI812,Programma!$F$3:$W$1107,18,0),"")</f>
        <v>_</v>
      </c>
      <c r="BA812" s="300" t="str">
        <f>_xlfn.IFNA(VLOOKUP($AI812,Programma!$F$3:$X$1107,19,0),"")</f>
        <v>_</v>
      </c>
      <c r="BB812" s="300" t="str">
        <f>_xlfn.IFNA(VLOOKUP($AI812,Programma!$F$3:$Y$1107,20,0),"")</f>
        <v>_</v>
      </c>
      <c r="BC812" s="257"/>
      <c r="BD812" s="256" t="str">
        <f>IF(Ruimtestaat[[#This Row],[Frequentie weekend]]="","",_xlfn.CONCAT(Ruimtestaat[[#This Row],[Ruimte code]],"-",Ruimtestaat[[#This Row],[Frequentie weekend]]," ",Ruimtestaat[[#This Row],[Vloer code]]))</f>
        <v/>
      </c>
      <c r="BE812" s="300" t="str">
        <f>_xlfn.IFNA(VLOOKUP($BD812,Programma!$F$3:$G$1107,2,0),"")</f>
        <v/>
      </c>
      <c r="BF812" s="300" t="str">
        <f>_xlfn.IFNA(VLOOKUP($BD812,Programma!$F$3:$H$1107,3,0),"")</f>
        <v/>
      </c>
      <c r="BG812" s="300" t="str">
        <f>_xlfn.IFNA(VLOOKUP($BD812,Programma!$F$3:$I$1107,4,0),"")</f>
        <v/>
      </c>
      <c r="BH812" s="300" t="str">
        <f>_xlfn.IFNA(VLOOKUP($BD812,Programma!$F$3:$J$1107,5,0),"")</f>
        <v/>
      </c>
      <c r="BI812" s="300" t="str">
        <f>_xlfn.IFNA(VLOOKUP($BD812,Programma!$F$3:$K$1107,6,0),"")</f>
        <v/>
      </c>
      <c r="BJ812" s="300" t="str">
        <f>_xlfn.IFNA(VLOOKUP($BD812,Programma!$F$3:$L$1107,7,0),"")</f>
        <v/>
      </c>
      <c r="BK812" s="300" t="str">
        <f>_xlfn.IFNA(VLOOKUP($BD812,Programma!$F$3:$M$1107,8,0),"")</f>
        <v/>
      </c>
      <c r="BL812" s="300" t="str">
        <f>_xlfn.IFNA(VLOOKUP($BD812,Programma!$F$3:$N$1107,9,0),"")</f>
        <v/>
      </c>
      <c r="BM812" s="300" t="str">
        <f>_xlfn.IFNA(VLOOKUP($BD812,Programma!$F$3:$O$1107,10,0),"")</f>
        <v/>
      </c>
      <c r="BN812" s="300" t="str">
        <f>_xlfn.IFNA(VLOOKUP($BD812,Programma!$F$3:$P$1107,11,0),"")</f>
        <v/>
      </c>
      <c r="BO812" s="300" t="str">
        <f>_xlfn.IFNA(VLOOKUP($BD812,Programma!$F$3:$Q$1107,12,0),"")</f>
        <v/>
      </c>
      <c r="BP812" s="300" t="str">
        <f>_xlfn.IFNA(VLOOKUP($BD812,Programma!$F$3:$R$1107,13,0),"")</f>
        <v/>
      </c>
      <c r="BQ812" s="300" t="str">
        <f>_xlfn.IFNA(VLOOKUP($BD812,Programma!$F$3:$S$1107,14,0),"")</f>
        <v/>
      </c>
      <c r="BR812" s="300" t="str">
        <f>_xlfn.IFNA(VLOOKUP($BD812,Programma!$F$3:$T$1107,15,0),"")</f>
        <v/>
      </c>
      <c r="BS812" s="300" t="str">
        <f>_xlfn.IFNA(VLOOKUP($BD812,Programma!$F$3:$U$1107,16,0),"")</f>
        <v/>
      </c>
      <c r="BT812" s="300" t="str">
        <f>_xlfn.IFNA(VLOOKUP($BD812,Programma!$F$3:$V$1107,17,0),"")</f>
        <v/>
      </c>
      <c r="BU812" s="300" t="str">
        <f>_xlfn.IFNA(VLOOKUP($BD812,Programma!$F$3:$W$1107,18,0),"")</f>
        <v/>
      </c>
      <c r="BV812" s="300" t="str">
        <f>_xlfn.IFNA(VLOOKUP($BD812,Programma!$F$3:$X$1107,19,0),"")</f>
        <v/>
      </c>
      <c r="BW812" s="300" t="str">
        <f>_xlfn.IFNA(VLOOKUP($BD812,Programma!$F$3:$Y$1107,20,0),"")</f>
        <v/>
      </c>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c r="GB812" s="4"/>
      <c r="GC812" s="4"/>
      <c r="GD812" s="4"/>
      <c r="GE812" s="4"/>
      <c r="GF812" s="4"/>
      <c r="GG812" s="4"/>
      <c r="GH812" s="4"/>
      <c r="GI812" s="4"/>
      <c r="GJ812" s="4"/>
      <c r="GK812" s="4"/>
      <c r="GL812" s="4"/>
      <c r="GM812" s="4"/>
      <c r="GN812" s="4"/>
      <c r="GO812" s="4"/>
      <c r="GP812" s="4"/>
      <c r="GQ812" s="4"/>
      <c r="GR812" s="4"/>
      <c r="GS812" s="4"/>
      <c r="GT812" s="4"/>
      <c r="GU812" s="4"/>
      <c r="GV812" s="4"/>
      <c r="GW812" s="4"/>
      <c r="GX812" s="4"/>
      <c r="GY812" s="4"/>
      <c r="GZ812" s="4"/>
      <c r="HA812" s="4"/>
      <c r="HB812" s="4"/>
      <c r="HC812" s="4"/>
      <c r="HD812" s="4"/>
      <c r="HE812" s="4"/>
      <c r="HF812" s="4"/>
      <c r="HG812" s="4"/>
      <c r="HH812" s="4"/>
      <c r="HI812" s="4"/>
      <c r="HJ812" s="4"/>
      <c r="HK812" s="4"/>
      <c r="HL812" s="4"/>
    </row>
    <row r="813" spans="1:220" ht="15" customHeight="1">
      <c r="A813" s="21">
        <v>8</v>
      </c>
      <c r="B813" s="157" t="str">
        <f>VLOOKUP(Ruimtestaat[[#This Row],[Code]],Locaties[[Code]:[Locatie]],2,FALSE)</f>
        <v>Dalton College</v>
      </c>
      <c r="C813" s="157" t="str">
        <f>VLOOKUP(Ruimtestaat[[#This Row],[Code]],Locaties[[#All],[Code]:[Adres]],4,FALSE)</f>
        <v>Loolaan 125</v>
      </c>
      <c r="D813" s="157" t="str">
        <f>VLOOKUP(Ruimtestaat[[#This Row],[Code]],Locaties[[#All],[Code]:[Postcode]],5,FALSE)</f>
        <v xml:space="preserve">2271 TM </v>
      </c>
      <c r="E813" s="157" t="str">
        <f>VLOOKUP(Ruimtestaat[[#This Row],[Code]],Locaties[#All],6,FALSE)</f>
        <v>Voorburg</v>
      </c>
      <c r="F813" s="62"/>
      <c r="G813" s="21" t="s">
        <v>1624</v>
      </c>
      <c r="H813" s="21" t="s">
        <v>2284</v>
      </c>
      <c r="I813" s="62" t="s">
        <v>2285</v>
      </c>
      <c r="J813" s="21">
        <v>2</v>
      </c>
      <c r="K813" s="62" t="str">
        <f>VLOOKUP(Ruimtestaat[[#This Row],[Ruimte code]],Ruimtegroepen[[#All],[Code]:[Ruimte omschrijving]],2,FALSE)</f>
        <v>Kantoren</v>
      </c>
      <c r="L813" s="33" t="s">
        <v>101</v>
      </c>
      <c r="M813" s="367" t="s">
        <v>2495</v>
      </c>
      <c r="N813" s="140">
        <v>15</v>
      </c>
      <c r="O813" s="140"/>
      <c r="P813" s="125" t="str">
        <f>VLOOKUP(Ruimtestaat[[#This Row],[Ruimte code]],Ruimtegroepen[],4,FALSE)</f>
        <v>Bu</v>
      </c>
      <c r="R813" s="33">
        <v>42</v>
      </c>
      <c r="S813" s="33" t="s">
        <v>18</v>
      </c>
      <c r="T813" s="33">
        <f>IF(R813&gt;0,IF(RIGHT(Ruimtestaat[[#This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13" s="33">
        <f>IF(T813&gt;0,VLOOKUP($J813,Ruimtegroepen[],3,FALSE)*VLOOKUP($L813,Vloersoorten[],3,FALSE)*VLOOKUP($S813,Frequenties[],3,FALSE)*VLOOKUP($A813,Locaties[],3,FALSE),0)</f>
        <v>0</v>
      </c>
      <c r="V813" s="33">
        <f>Ruimtestaat[[#This Row],[Uitvoeringen werkdagen]]*Ruimtestaat[[#This Row],[Oppervlak (netto)]]</f>
        <v>1890</v>
      </c>
      <c r="W813" s="154">
        <f>IF(U813&gt;0,Ruimtestaat[[#This Row],[Prest. (m2 /jaar) werkdagen]]/Ruimtestaat[[#This Row],[Norm (m2/uur) werkdagen]],0)</f>
        <v>0</v>
      </c>
      <c r="X813" s="155">
        <f>Ruimtestaat[[#This Row],[uren / jaar werkdagen]]*Tariefsopbouw!$E$35</f>
        <v>0</v>
      </c>
      <c r="Y813" s="33"/>
      <c r="Z813" s="33">
        <f>IF(Ruimtestaat[[#This Row],[Frequentie weekend]]&gt;0,VALUE(LEFT(Y813,1))*R813,0)</f>
        <v>0</v>
      </c>
      <c r="AA813" s="97">
        <f>IF($Z813&gt;0,VLOOKUP($J813,Ruimtegroepen[],3,FALSE)*VLOOKUP($L813,Vloersoorten[],3,FALSE)*VLOOKUP($Y813,Frequenties[],3,FALSE)*VLOOKUP(Ruimtestaat[[#This Row],[Code]],Locaties[],3,FALSE),0)</f>
        <v>0</v>
      </c>
      <c r="AB813" s="97">
        <f>Ruimtestaat[[#This Row],[Uitvoeringen weekend]]*Ruimtestaat[[#This Row],[Oppervlak (netto)]]</f>
        <v>0</v>
      </c>
      <c r="AC813" s="97">
        <f>IF(AA813&gt;0,Ruimtestaat[[#This Row],[Prest. (m2 /jaar) weekend]]/Ruimtestaat[[#This Row],[Norm (m2/uur) weekend]],0)</f>
        <v>0</v>
      </c>
      <c r="AD813" s="155">
        <f>Ruimtestaat[[#This Row],[uren / jaar weekend]]*Tariefsopbouw!$D$40</f>
        <v>0</v>
      </c>
      <c r="AE813" s="154">
        <f>Ruimtestaat[[#This Row],[Prest. (m2 /jaar) weekend]]+Ruimtestaat[[#This Row],[Prest. (m2 /jaar) werkdagen]]</f>
        <v>1890</v>
      </c>
      <c r="AF813" s="154">
        <f>Ruimtestaat[[#This Row],[uren / jaar weekend]]+Ruimtestaat[[#This Row],[uren / jaar werkdagen]]</f>
        <v>0</v>
      </c>
      <c r="AG813" s="69">
        <f>Ruimtestaat[[#This Row],[kosten / jaar weekend]]+Ruimtestaat[[#This Row],[kosten / jaar werkdagen]]</f>
        <v>0</v>
      </c>
      <c r="AH813" s="69"/>
      <c r="AI813" s="256" t="str">
        <f>IF(Ruimtestaat[[#This Row],[Frequentie werkdagen]]="","",_xlfn.CONCAT(Ruimtestaat[[#This Row],[Ruimte code]],"-",Ruimtestaat[[#This Row],[Frequentie werkdagen]]," ",Ruimtestaat[[#This Row],[Vloer code]]))</f>
        <v>2-3w L</v>
      </c>
      <c r="AJ813" s="300" t="str">
        <f>_xlfn.IFNA(VLOOKUP($AI813,Programma!$F$3:$G$1107,2,0),"")</f>
        <v>_</v>
      </c>
      <c r="AK813" s="300" t="str">
        <f>_xlfn.IFNA(VLOOKUP($AI813,Programma!$F$3:$H$1107,3,0),"")</f>
        <v>_</v>
      </c>
      <c r="AL813" s="300" t="str">
        <f>_xlfn.IFNA(VLOOKUP($AI813,Programma!$F$3:$I$1107,4,0),"")</f>
        <v>2w</v>
      </c>
      <c r="AM813" s="300" t="str">
        <f>_xlfn.IFNA(VLOOKUP($AI813,Programma!$F$3:$J$1107,5,0),"")</f>
        <v>1w</v>
      </c>
      <c r="AN813" s="300" t="str">
        <f>_xlfn.IFNA(VLOOKUP($AI813,Programma!$F$3:$K$1107,6,0),"")</f>
        <v>_</v>
      </c>
      <c r="AO813" s="300" t="str">
        <f>_xlfn.IFNA(VLOOKUP($AI813,Programma!$F$3:$L$1107,7,0),"")</f>
        <v>_</v>
      </c>
      <c r="AP813" s="300" t="str">
        <f>_xlfn.IFNA(VLOOKUP($AI813,Programma!$F$3:$M$1107,8,0),"")</f>
        <v>_</v>
      </c>
      <c r="AQ813" s="300" t="str">
        <f>_xlfn.IFNA(VLOOKUP($AI813,Programma!$F$3:$N$1107,9,0),"")</f>
        <v>_</v>
      </c>
      <c r="AR813" s="300" t="str">
        <f>_xlfn.IFNA(VLOOKUP($AI813,Programma!$F$3:$O$1107,10,0),"")</f>
        <v>3w</v>
      </c>
      <c r="AS813" s="300" t="str">
        <f>_xlfn.IFNA(VLOOKUP($AI813,Programma!$F$3:$P$1107,11,0),"")</f>
        <v>3w</v>
      </c>
      <c r="AT813" s="300" t="str">
        <f>_xlfn.IFNA(VLOOKUP($AI813,Programma!$F$3:$Q$1107,12,0),"")</f>
        <v>1w</v>
      </c>
      <c r="AU813" s="300" t="str">
        <f>_xlfn.IFNA(VLOOKUP($AI813,Programma!$F$3:$R$1107,13,0),"")</f>
        <v>1w</v>
      </c>
      <c r="AV813" s="300" t="str">
        <f>_xlfn.IFNA(VLOOKUP($AI813,Programma!$F$3:$S$1107,14,0),"")</f>
        <v>1m</v>
      </c>
      <c r="AW813" s="300" t="str">
        <f>_xlfn.IFNA(VLOOKUP($AI813,Programma!$F$3:$T$1107,15,0),"")</f>
        <v>2j</v>
      </c>
      <c r="AX813" s="300" t="str">
        <f>_xlfn.IFNA(VLOOKUP($AI813,Programma!$F$3:$U$1107,16,0),"")</f>
        <v>1j</v>
      </c>
      <c r="AY813" s="300" t="str">
        <f>_xlfn.IFNA(VLOOKUP($AI813,Programma!$F$3:$V$1107,17,0),"")</f>
        <v>_</v>
      </c>
      <c r="AZ813" s="300" t="str">
        <f>_xlfn.IFNA(VLOOKUP($AI813,Programma!$F$3:$W$1107,18,0),"")</f>
        <v>_</v>
      </c>
      <c r="BA813" s="300" t="str">
        <f>_xlfn.IFNA(VLOOKUP($AI813,Programma!$F$3:$X$1107,19,0),"")</f>
        <v>_</v>
      </c>
      <c r="BB813" s="300" t="str">
        <f>_xlfn.IFNA(VLOOKUP($AI813,Programma!$F$3:$Y$1107,20,0),"")</f>
        <v>_</v>
      </c>
      <c r="BC813" s="257"/>
      <c r="BD813" s="256" t="str">
        <f>IF(Ruimtestaat[[#This Row],[Frequentie weekend]]="","",_xlfn.CONCAT(Ruimtestaat[[#This Row],[Ruimte code]],"-",Ruimtestaat[[#This Row],[Frequentie weekend]]," ",Ruimtestaat[[#This Row],[Vloer code]]))</f>
        <v/>
      </c>
      <c r="BE813" s="300" t="str">
        <f>_xlfn.IFNA(VLOOKUP($BD813,Programma!$F$3:$G$1107,2,0),"")</f>
        <v/>
      </c>
      <c r="BF813" s="300" t="str">
        <f>_xlfn.IFNA(VLOOKUP($BD813,Programma!$F$3:$H$1107,3,0),"")</f>
        <v/>
      </c>
      <c r="BG813" s="300" t="str">
        <f>_xlfn.IFNA(VLOOKUP($BD813,Programma!$F$3:$I$1107,4,0),"")</f>
        <v/>
      </c>
      <c r="BH813" s="300" t="str">
        <f>_xlfn.IFNA(VLOOKUP($BD813,Programma!$F$3:$J$1107,5,0),"")</f>
        <v/>
      </c>
      <c r="BI813" s="300" t="str">
        <f>_xlfn.IFNA(VLOOKUP($BD813,Programma!$F$3:$K$1107,6,0),"")</f>
        <v/>
      </c>
      <c r="BJ813" s="300" t="str">
        <f>_xlfn.IFNA(VLOOKUP($BD813,Programma!$F$3:$L$1107,7,0),"")</f>
        <v/>
      </c>
      <c r="BK813" s="300" t="str">
        <f>_xlfn.IFNA(VLOOKUP($BD813,Programma!$F$3:$M$1107,8,0),"")</f>
        <v/>
      </c>
      <c r="BL813" s="300" t="str">
        <f>_xlfn.IFNA(VLOOKUP($BD813,Programma!$F$3:$N$1107,9,0),"")</f>
        <v/>
      </c>
      <c r="BM813" s="300" t="str">
        <f>_xlfn.IFNA(VLOOKUP($BD813,Programma!$F$3:$O$1107,10,0),"")</f>
        <v/>
      </c>
      <c r="BN813" s="300" t="str">
        <f>_xlfn.IFNA(VLOOKUP($BD813,Programma!$F$3:$P$1107,11,0),"")</f>
        <v/>
      </c>
      <c r="BO813" s="300" t="str">
        <f>_xlfn.IFNA(VLOOKUP($BD813,Programma!$F$3:$Q$1107,12,0),"")</f>
        <v/>
      </c>
      <c r="BP813" s="300" t="str">
        <f>_xlfn.IFNA(VLOOKUP($BD813,Programma!$F$3:$R$1107,13,0),"")</f>
        <v/>
      </c>
      <c r="BQ813" s="300" t="str">
        <f>_xlfn.IFNA(VLOOKUP($BD813,Programma!$F$3:$S$1107,14,0),"")</f>
        <v/>
      </c>
      <c r="BR813" s="300" t="str">
        <f>_xlfn.IFNA(VLOOKUP($BD813,Programma!$F$3:$T$1107,15,0),"")</f>
        <v/>
      </c>
      <c r="BS813" s="300" t="str">
        <f>_xlfn.IFNA(VLOOKUP($BD813,Programma!$F$3:$U$1107,16,0),"")</f>
        <v/>
      </c>
      <c r="BT813" s="300" t="str">
        <f>_xlfn.IFNA(VLOOKUP($BD813,Programma!$F$3:$V$1107,17,0),"")</f>
        <v/>
      </c>
      <c r="BU813" s="300" t="str">
        <f>_xlfn.IFNA(VLOOKUP($BD813,Programma!$F$3:$W$1107,18,0),"")</f>
        <v/>
      </c>
      <c r="BV813" s="300" t="str">
        <f>_xlfn.IFNA(VLOOKUP($BD813,Programma!$F$3:$X$1107,19,0),"")</f>
        <v/>
      </c>
      <c r="BW813" s="300" t="str">
        <f>_xlfn.IFNA(VLOOKUP($BD813,Programma!$F$3:$Y$1107,20,0),"")</f>
        <v/>
      </c>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c r="GK813" s="4"/>
      <c r="GL813" s="4"/>
      <c r="GM813" s="4"/>
      <c r="GN813" s="4"/>
      <c r="GO813" s="4"/>
      <c r="GP813" s="4"/>
      <c r="GQ813" s="4"/>
      <c r="GR813" s="4"/>
      <c r="GS813" s="4"/>
      <c r="GT813" s="4"/>
      <c r="GU813" s="4"/>
      <c r="GV813" s="4"/>
      <c r="GW813" s="4"/>
      <c r="GX813" s="4"/>
      <c r="GY813" s="4"/>
      <c r="GZ813" s="4"/>
      <c r="HA813" s="4"/>
      <c r="HB813" s="4"/>
      <c r="HC813" s="4"/>
      <c r="HD813" s="4"/>
      <c r="HE813" s="4"/>
      <c r="HF813" s="4"/>
      <c r="HG813" s="4"/>
      <c r="HH813" s="4"/>
      <c r="HI813" s="4"/>
      <c r="HJ813" s="4"/>
      <c r="HK813" s="4"/>
      <c r="HL813" s="4"/>
    </row>
    <row r="814" spans="1:220" ht="15" customHeight="1">
      <c r="A814" s="21">
        <v>8</v>
      </c>
      <c r="B814" s="157" t="str">
        <f>VLOOKUP(Ruimtestaat[[#This Row],[Code]],Locaties[[Code]:[Locatie]],2,FALSE)</f>
        <v>Dalton College</v>
      </c>
      <c r="C814" s="157" t="str">
        <f>VLOOKUP(Ruimtestaat[[#This Row],[Code]],Locaties[[#All],[Code]:[Adres]],4,FALSE)</f>
        <v>Loolaan 125</v>
      </c>
      <c r="D814" s="157" t="str">
        <f>VLOOKUP(Ruimtestaat[[#This Row],[Code]],Locaties[[#All],[Code]:[Postcode]],5,FALSE)</f>
        <v xml:space="preserve">2271 TM </v>
      </c>
      <c r="E814" s="157" t="str">
        <f>VLOOKUP(Ruimtestaat[[#This Row],[Code]],Locaties[#All],6,FALSE)</f>
        <v>Voorburg</v>
      </c>
      <c r="F814" s="62"/>
      <c r="G814" s="21" t="s">
        <v>1624</v>
      </c>
      <c r="H814" s="21" t="s">
        <v>2286</v>
      </c>
      <c r="I814" s="62" t="s">
        <v>2287</v>
      </c>
      <c r="J814" s="21">
        <v>2</v>
      </c>
      <c r="K814" s="62" t="str">
        <f>VLOOKUP(Ruimtestaat[[#This Row],[Ruimte code]],Ruimtegroepen[[#All],[Code]:[Ruimte omschrijving]],2,FALSE)</f>
        <v>Kantoren</v>
      </c>
      <c r="L814" s="33" t="s">
        <v>101</v>
      </c>
      <c r="M814" s="367" t="s">
        <v>2495</v>
      </c>
      <c r="N814" s="140">
        <v>30</v>
      </c>
      <c r="O814" s="140"/>
      <c r="P814" s="125" t="str">
        <f>VLOOKUP(Ruimtestaat[[#This Row],[Ruimte code]],Ruimtegroepen[],4,FALSE)</f>
        <v>Bu</v>
      </c>
      <c r="R814" s="33">
        <v>42</v>
      </c>
      <c r="S814" s="33" t="s">
        <v>18</v>
      </c>
      <c r="T814" s="33">
        <f>IF(R814&gt;0,IF(RIGHT(Ruimtestaat[[#This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14" s="33">
        <f>IF(T814&gt;0,VLOOKUP($J814,Ruimtegroepen[],3,FALSE)*VLOOKUP($L814,Vloersoorten[],3,FALSE)*VLOOKUP($S814,Frequenties[],3,FALSE)*VLOOKUP($A814,Locaties[],3,FALSE),0)</f>
        <v>0</v>
      </c>
      <c r="V814" s="33">
        <f>Ruimtestaat[[#This Row],[Uitvoeringen werkdagen]]*Ruimtestaat[[#This Row],[Oppervlak (netto)]]</f>
        <v>3780</v>
      </c>
      <c r="W814" s="154">
        <f>IF(U814&gt;0,Ruimtestaat[[#This Row],[Prest. (m2 /jaar) werkdagen]]/Ruimtestaat[[#This Row],[Norm (m2/uur) werkdagen]],0)</f>
        <v>0</v>
      </c>
      <c r="X814" s="155">
        <f>Ruimtestaat[[#This Row],[uren / jaar werkdagen]]*Tariefsopbouw!$E$35</f>
        <v>0</v>
      </c>
      <c r="Y814" s="33"/>
      <c r="Z814" s="33">
        <f>IF(Ruimtestaat[[#This Row],[Frequentie weekend]]&gt;0,VALUE(LEFT(Y814,1))*R814,0)</f>
        <v>0</v>
      </c>
      <c r="AA814" s="97">
        <f>IF($Z814&gt;0,VLOOKUP($J814,Ruimtegroepen[],3,FALSE)*VLOOKUP($L814,Vloersoorten[],3,FALSE)*VLOOKUP($Y814,Frequenties[],3,FALSE)*VLOOKUP(Ruimtestaat[[#This Row],[Code]],Locaties[],3,FALSE),0)</f>
        <v>0</v>
      </c>
      <c r="AB814" s="97">
        <f>Ruimtestaat[[#This Row],[Uitvoeringen weekend]]*Ruimtestaat[[#This Row],[Oppervlak (netto)]]</f>
        <v>0</v>
      </c>
      <c r="AC814" s="97">
        <f>IF(AA814&gt;0,Ruimtestaat[[#This Row],[Prest. (m2 /jaar) weekend]]/Ruimtestaat[[#This Row],[Norm (m2/uur) weekend]],0)</f>
        <v>0</v>
      </c>
      <c r="AD814" s="155">
        <f>Ruimtestaat[[#This Row],[uren / jaar weekend]]*Tariefsopbouw!$D$40</f>
        <v>0</v>
      </c>
      <c r="AE814" s="154">
        <f>Ruimtestaat[[#This Row],[Prest. (m2 /jaar) weekend]]+Ruimtestaat[[#This Row],[Prest. (m2 /jaar) werkdagen]]</f>
        <v>3780</v>
      </c>
      <c r="AF814" s="154">
        <f>Ruimtestaat[[#This Row],[uren / jaar weekend]]+Ruimtestaat[[#This Row],[uren / jaar werkdagen]]</f>
        <v>0</v>
      </c>
      <c r="AG814" s="69">
        <f>Ruimtestaat[[#This Row],[kosten / jaar weekend]]+Ruimtestaat[[#This Row],[kosten / jaar werkdagen]]</f>
        <v>0</v>
      </c>
      <c r="AH814" s="69"/>
      <c r="AI814" s="256" t="str">
        <f>IF(Ruimtestaat[[#This Row],[Frequentie werkdagen]]="","",_xlfn.CONCAT(Ruimtestaat[[#This Row],[Ruimte code]],"-",Ruimtestaat[[#This Row],[Frequentie werkdagen]]," ",Ruimtestaat[[#This Row],[Vloer code]]))</f>
        <v>2-3w L</v>
      </c>
      <c r="AJ814" s="300" t="str">
        <f>_xlfn.IFNA(VLOOKUP($AI814,Programma!$F$3:$G$1107,2,0),"")</f>
        <v>_</v>
      </c>
      <c r="AK814" s="300" t="str">
        <f>_xlfn.IFNA(VLOOKUP($AI814,Programma!$F$3:$H$1107,3,0),"")</f>
        <v>_</v>
      </c>
      <c r="AL814" s="300" t="str">
        <f>_xlfn.IFNA(VLOOKUP($AI814,Programma!$F$3:$I$1107,4,0),"")</f>
        <v>2w</v>
      </c>
      <c r="AM814" s="300" t="str">
        <f>_xlfn.IFNA(VLOOKUP($AI814,Programma!$F$3:$J$1107,5,0),"")</f>
        <v>1w</v>
      </c>
      <c r="AN814" s="300" t="str">
        <f>_xlfn.IFNA(VLOOKUP($AI814,Programma!$F$3:$K$1107,6,0),"")</f>
        <v>_</v>
      </c>
      <c r="AO814" s="300" t="str">
        <f>_xlfn.IFNA(VLOOKUP($AI814,Programma!$F$3:$L$1107,7,0),"")</f>
        <v>_</v>
      </c>
      <c r="AP814" s="300" t="str">
        <f>_xlfn.IFNA(VLOOKUP($AI814,Programma!$F$3:$M$1107,8,0),"")</f>
        <v>_</v>
      </c>
      <c r="AQ814" s="300" t="str">
        <f>_xlfn.IFNA(VLOOKUP($AI814,Programma!$F$3:$N$1107,9,0),"")</f>
        <v>_</v>
      </c>
      <c r="AR814" s="300" t="str">
        <f>_xlfn.IFNA(VLOOKUP($AI814,Programma!$F$3:$O$1107,10,0),"")</f>
        <v>3w</v>
      </c>
      <c r="AS814" s="300" t="str">
        <f>_xlfn.IFNA(VLOOKUP($AI814,Programma!$F$3:$P$1107,11,0),"")</f>
        <v>3w</v>
      </c>
      <c r="AT814" s="300" t="str">
        <f>_xlfn.IFNA(VLOOKUP($AI814,Programma!$F$3:$Q$1107,12,0),"")</f>
        <v>1w</v>
      </c>
      <c r="AU814" s="300" t="str">
        <f>_xlfn.IFNA(VLOOKUP($AI814,Programma!$F$3:$R$1107,13,0),"")</f>
        <v>1w</v>
      </c>
      <c r="AV814" s="300" t="str">
        <f>_xlfn.IFNA(VLOOKUP($AI814,Programma!$F$3:$S$1107,14,0),"")</f>
        <v>1m</v>
      </c>
      <c r="AW814" s="300" t="str">
        <f>_xlfn.IFNA(VLOOKUP($AI814,Programma!$F$3:$T$1107,15,0),"")</f>
        <v>2j</v>
      </c>
      <c r="AX814" s="300" t="str">
        <f>_xlfn.IFNA(VLOOKUP($AI814,Programma!$F$3:$U$1107,16,0),"")</f>
        <v>1j</v>
      </c>
      <c r="AY814" s="300" t="str">
        <f>_xlfn.IFNA(VLOOKUP($AI814,Programma!$F$3:$V$1107,17,0),"")</f>
        <v>_</v>
      </c>
      <c r="AZ814" s="300" t="str">
        <f>_xlfn.IFNA(VLOOKUP($AI814,Programma!$F$3:$W$1107,18,0),"")</f>
        <v>_</v>
      </c>
      <c r="BA814" s="300" t="str">
        <f>_xlfn.IFNA(VLOOKUP($AI814,Programma!$F$3:$X$1107,19,0),"")</f>
        <v>_</v>
      </c>
      <c r="BB814" s="300" t="str">
        <f>_xlfn.IFNA(VLOOKUP($AI814,Programma!$F$3:$Y$1107,20,0),"")</f>
        <v>_</v>
      </c>
      <c r="BC814" s="257"/>
      <c r="BD814" s="256" t="str">
        <f>IF(Ruimtestaat[[#This Row],[Frequentie weekend]]="","",_xlfn.CONCAT(Ruimtestaat[[#This Row],[Ruimte code]],"-",Ruimtestaat[[#This Row],[Frequentie weekend]]," ",Ruimtestaat[[#This Row],[Vloer code]]))</f>
        <v/>
      </c>
      <c r="BE814" s="300" t="str">
        <f>_xlfn.IFNA(VLOOKUP($BD814,Programma!$F$3:$G$1107,2,0),"")</f>
        <v/>
      </c>
      <c r="BF814" s="300" t="str">
        <f>_xlfn.IFNA(VLOOKUP($BD814,Programma!$F$3:$H$1107,3,0),"")</f>
        <v/>
      </c>
      <c r="BG814" s="300" t="str">
        <f>_xlfn.IFNA(VLOOKUP($BD814,Programma!$F$3:$I$1107,4,0),"")</f>
        <v/>
      </c>
      <c r="BH814" s="300" t="str">
        <f>_xlfn.IFNA(VLOOKUP($BD814,Programma!$F$3:$J$1107,5,0),"")</f>
        <v/>
      </c>
      <c r="BI814" s="300" t="str">
        <f>_xlfn.IFNA(VLOOKUP($BD814,Programma!$F$3:$K$1107,6,0),"")</f>
        <v/>
      </c>
      <c r="BJ814" s="300" t="str">
        <f>_xlfn.IFNA(VLOOKUP($BD814,Programma!$F$3:$L$1107,7,0),"")</f>
        <v/>
      </c>
      <c r="BK814" s="300" t="str">
        <f>_xlfn.IFNA(VLOOKUP($BD814,Programma!$F$3:$M$1107,8,0),"")</f>
        <v/>
      </c>
      <c r="BL814" s="300" t="str">
        <f>_xlfn.IFNA(VLOOKUP($BD814,Programma!$F$3:$N$1107,9,0),"")</f>
        <v/>
      </c>
      <c r="BM814" s="300" t="str">
        <f>_xlfn.IFNA(VLOOKUP($BD814,Programma!$F$3:$O$1107,10,0),"")</f>
        <v/>
      </c>
      <c r="BN814" s="300" t="str">
        <f>_xlfn.IFNA(VLOOKUP($BD814,Programma!$F$3:$P$1107,11,0),"")</f>
        <v/>
      </c>
      <c r="BO814" s="300" t="str">
        <f>_xlfn.IFNA(VLOOKUP($BD814,Programma!$F$3:$Q$1107,12,0),"")</f>
        <v/>
      </c>
      <c r="BP814" s="300" t="str">
        <f>_xlfn.IFNA(VLOOKUP($BD814,Programma!$F$3:$R$1107,13,0),"")</f>
        <v/>
      </c>
      <c r="BQ814" s="300" t="str">
        <f>_xlfn.IFNA(VLOOKUP($BD814,Programma!$F$3:$S$1107,14,0),"")</f>
        <v/>
      </c>
      <c r="BR814" s="300" t="str">
        <f>_xlfn.IFNA(VLOOKUP($BD814,Programma!$F$3:$T$1107,15,0),"")</f>
        <v/>
      </c>
      <c r="BS814" s="300" t="str">
        <f>_xlfn.IFNA(VLOOKUP($BD814,Programma!$F$3:$U$1107,16,0),"")</f>
        <v/>
      </c>
      <c r="BT814" s="300" t="str">
        <f>_xlfn.IFNA(VLOOKUP($BD814,Programma!$F$3:$V$1107,17,0),"")</f>
        <v/>
      </c>
      <c r="BU814" s="300" t="str">
        <f>_xlfn.IFNA(VLOOKUP($BD814,Programma!$F$3:$W$1107,18,0),"")</f>
        <v/>
      </c>
      <c r="BV814" s="300" t="str">
        <f>_xlfn.IFNA(VLOOKUP($BD814,Programma!$F$3:$X$1107,19,0),"")</f>
        <v/>
      </c>
      <c r="BW814" s="300" t="str">
        <f>_xlfn.IFNA(VLOOKUP($BD814,Programma!$F$3:$Y$1107,20,0),"")</f>
        <v/>
      </c>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c r="GK814" s="4"/>
      <c r="GL814" s="4"/>
      <c r="GM814" s="4"/>
      <c r="GN814" s="4"/>
      <c r="GO814" s="4"/>
      <c r="GP814" s="4"/>
      <c r="GQ814" s="4"/>
      <c r="GR814" s="4"/>
      <c r="GS814" s="4"/>
      <c r="GT814" s="4"/>
      <c r="GU814" s="4"/>
      <c r="GV814" s="4"/>
      <c r="GW814" s="4"/>
      <c r="GX814" s="4"/>
      <c r="GY814" s="4"/>
      <c r="GZ814" s="4"/>
      <c r="HA814" s="4"/>
      <c r="HB814" s="4"/>
      <c r="HC814" s="4"/>
      <c r="HD814" s="4"/>
      <c r="HE814" s="4"/>
      <c r="HF814" s="4"/>
      <c r="HG814" s="4"/>
      <c r="HH814" s="4"/>
      <c r="HI814" s="4"/>
      <c r="HJ814" s="4"/>
      <c r="HK814" s="4"/>
      <c r="HL814" s="4"/>
    </row>
    <row r="815" spans="1:220" ht="15" customHeight="1">
      <c r="A815" s="21">
        <v>8</v>
      </c>
      <c r="B815" s="157" t="str">
        <f>VLOOKUP(Ruimtestaat[[#This Row],[Code]],Locaties[[Code]:[Locatie]],2,FALSE)</f>
        <v>Dalton College</v>
      </c>
      <c r="C815" s="157" t="str">
        <f>VLOOKUP(Ruimtestaat[[#This Row],[Code]],Locaties[[#All],[Code]:[Adres]],4,FALSE)</f>
        <v>Loolaan 125</v>
      </c>
      <c r="D815" s="157" t="str">
        <f>VLOOKUP(Ruimtestaat[[#This Row],[Code]],Locaties[[#All],[Code]:[Postcode]],5,FALSE)</f>
        <v xml:space="preserve">2271 TM </v>
      </c>
      <c r="E815" s="157" t="str">
        <f>VLOOKUP(Ruimtestaat[[#This Row],[Code]],Locaties[#All],6,FALSE)</f>
        <v>Voorburg</v>
      </c>
      <c r="F815" s="62"/>
      <c r="G815" s="21" t="s">
        <v>1624</v>
      </c>
      <c r="H815" s="21" t="s">
        <v>2288</v>
      </c>
      <c r="I815" s="62" t="s">
        <v>2289</v>
      </c>
      <c r="J815" s="21">
        <v>5</v>
      </c>
      <c r="K815" s="62" t="str">
        <f>VLOOKUP(Ruimtestaat[[#This Row],[Ruimte code]],Ruimtegroepen[[#All],[Code]:[Ruimte omschrijving]],2,FALSE)</f>
        <v>Sanitair</v>
      </c>
      <c r="L815" s="33" t="s">
        <v>102</v>
      </c>
      <c r="M815" s="367" t="s">
        <v>2496</v>
      </c>
      <c r="N815" s="140">
        <v>7</v>
      </c>
      <c r="O815" s="140"/>
      <c r="P815" s="125" t="str">
        <f>VLOOKUP(Ruimtestaat[[#This Row],[Ruimte code]],Ruimtegroepen[],4,FALSE)</f>
        <v>Sa</v>
      </c>
      <c r="R815" s="33">
        <v>40</v>
      </c>
      <c r="S815" s="33" t="s">
        <v>2</v>
      </c>
      <c r="T815" s="33">
        <f>IF(R815&gt;0,IF(RIGHT(Ruimtestaat[[#This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5" s="33">
        <f>IF(T815&gt;0,VLOOKUP($J815,Ruimtegroepen[],3,FALSE)*VLOOKUP($L815,Vloersoorten[],3,FALSE)*VLOOKUP($S815,Frequenties[],3,FALSE)*VLOOKUP($A815,Locaties[],3,FALSE),0)</f>
        <v>0</v>
      </c>
      <c r="V815" s="33">
        <f>Ruimtestaat[[#This Row],[Uitvoeringen werkdagen]]*Ruimtestaat[[#This Row],[Oppervlak (netto)]]</f>
        <v>1400</v>
      </c>
      <c r="W815" s="154">
        <f>IF(U815&gt;0,Ruimtestaat[[#This Row],[Prest. (m2 /jaar) werkdagen]]/Ruimtestaat[[#This Row],[Norm (m2/uur) werkdagen]],0)</f>
        <v>0</v>
      </c>
      <c r="X815" s="155">
        <f>Ruimtestaat[[#This Row],[uren / jaar werkdagen]]*Tariefsopbouw!$E$35</f>
        <v>0</v>
      </c>
      <c r="Y815" s="33"/>
      <c r="Z815" s="33">
        <f>IF(Ruimtestaat[[#This Row],[Frequentie weekend]]&gt;0,VALUE(LEFT(Y815,1))*R815,0)</f>
        <v>0</v>
      </c>
      <c r="AA815" s="97">
        <f>IF($Z815&gt;0,VLOOKUP($J815,Ruimtegroepen[],3,FALSE)*VLOOKUP($L815,Vloersoorten[],3,FALSE)*VLOOKUP($Y815,Frequenties[],3,FALSE)*VLOOKUP(Ruimtestaat[[#This Row],[Code]],Locaties[],3,FALSE),0)</f>
        <v>0</v>
      </c>
      <c r="AB815" s="97">
        <f>Ruimtestaat[[#This Row],[Uitvoeringen weekend]]*Ruimtestaat[[#This Row],[Oppervlak (netto)]]</f>
        <v>0</v>
      </c>
      <c r="AC815" s="97">
        <f>IF(AA815&gt;0,Ruimtestaat[[#This Row],[Prest. (m2 /jaar) weekend]]/Ruimtestaat[[#This Row],[Norm (m2/uur) weekend]],0)</f>
        <v>0</v>
      </c>
      <c r="AD815" s="155">
        <f>Ruimtestaat[[#This Row],[uren / jaar weekend]]*Tariefsopbouw!$D$40</f>
        <v>0</v>
      </c>
      <c r="AE815" s="154">
        <f>Ruimtestaat[[#This Row],[Prest. (m2 /jaar) weekend]]+Ruimtestaat[[#This Row],[Prest. (m2 /jaar) werkdagen]]</f>
        <v>1400</v>
      </c>
      <c r="AF815" s="154">
        <f>Ruimtestaat[[#This Row],[uren / jaar weekend]]+Ruimtestaat[[#This Row],[uren / jaar werkdagen]]</f>
        <v>0</v>
      </c>
      <c r="AG815" s="69">
        <f>Ruimtestaat[[#This Row],[kosten / jaar weekend]]+Ruimtestaat[[#This Row],[kosten / jaar werkdagen]]</f>
        <v>0</v>
      </c>
      <c r="AH815" s="69"/>
      <c r="AI815" s="256" t="str">
        <f>IF(Ruimtestaat[[#This Row],[Frequentie werkdagen]]="","",_xlfn.CONCAT(Ruimtestaat[[#This Row],[Ruimte code]],"-",Ruimtestaat[[#This Row],[Frequentie werkdagen]]," ",Ruimtestaat[[#This Row],[Vloer code]]))</f>
        <v>5-5w S</v>
      </c>
      <c r="AJ815" s="300" t="str">
        <f>_xlfn.IFNA(VLOOKUP($AI815,Programma!$F$3:$G$1107,2,0),"")</f>
        <v>_</v>
      </c>
      <c r="AK815" s="300" t="str">
        <f>_xlfn.IFNA(VLOOKUP($AI815,Programma!$F$3:$H$1107,3,0),"")</f>
        <v>_</v>
      </c>
      <c r="AL815" s="300" t="str">
        <f>_xlfn.IFNA(VLOOKUP($AI815,Programma!$F$3:$I$1107,4,0),"")</f>
        <v>_</v>
      </c>
      <c r="AM815" s="300" t="str">
        <f>_xlfn.IFNA(VLOOKUP($AI815,Programma!$F$3:$J$1107,5,0),"")</f>
        <v>4w</v>
      </c>
      <c r="AN815" s="300" t="str">
        <f>_xlfn.IFNA(VLOOKUP($AI815,Programma!$F$3:$K$1107,6,0),"")</f>
        <v>1w</v>
      </c>
      <c r="AO815" s="300" t="str">
        <f>_xlfn.IFNA(VLOOKUP($AI815,Programma!$F$3:$L$1107,7,0),"")</f>
        <v>_</v>
      </c>
      <c r="AP815" s="300" t="str">
        <f>_xlfn.IFNA(VLOOKUP($AI815,Programma!$F$3:$M$1107,8,0),"")</f>
        <v>_</v>
      </c>
      <c r="AQ815" s="300" t="str">
        <f>_xlfn.IFNA(VLOOKUP($AI815,Programma!$F$3:$N$1107,9,0),"")</f>
        <v>_</v>
      </c>
      <c r="AR815" s="300" t="str">
        <f>_xlfn.IFNA(VLOOKUP($AI815,Programma!$F$3:$O$1107,10,0),"")</f>
        <v>_</v>
      </c>
      <c r="AS815" s="300" t="str">
        <f>_xlfn.IFNA(VLOOKUP($AI815,Programma!$F$3:$P$1107,11,0),"")</f>
        <v>_</v>
      </c>
      <c r="AT815" s="300" t="str">
        <f>_xlfn.IFNA(VLOOKUP($AI815,Programma!$F$3:$Q$1107,12,0),"")</f>
        <v>_</v>
      </c>
      <c r="AU815" s="300" t="str">
        <f>_xlfn.IFNA(VLOOKUP($AI815,Programma!$F$3:$R$1107,13,0),"")</f>
        <v>_</v>
      </c>
      <c r="AV815" s="300" t="str">
        <f>_xlfn.IFNA(VLOOKUP($AI815,Programma!$F$3:$S$1107,14,0),"")</f>
        <v>_</v>
      </c>
      <c r="AW815" s="300" t="str">
        <f>_xlfn.IFNA(VLOOKUP($AI815,Programma!$F$3:$T$1107,15,0),"")</f>
        <v>_</v>
      </c>
      <c r="AX815" s="300" t="str">
        <f>_xlfn.IFNA(VLOOKUP($AI815,Programma!$F$3:$U$1107,16,0),"")</f>
        <v>_</v>
      </c>
      <c r="AY815" s="300" t="str">
        <f>_xlfn.IFNA(VLOOKUP($AI815,Programma!$F$3:$V$1107,17,0),"")</f>
        <v>_</v>
      </c>
      <c r="AZ815" s="300" t="str">
        <f>_xlfn.IFNA(VLOOKUP($AI815,Programma!$F$3:$W$1107,18,0),"")</f>
        <v>4w</v>
      </c>
      <c r="BA815" s="300" t="str">
        <f>_xlfn.IFNA(VLOOKUP($AI815,Programma!$F$3:$X$1107,19,0),"")</f>
        <v>1w</v>
      </c>
      <c r="BB815" s="300" t="str">
        <f>_xlfn.IFNA(VLOOKUP($AI815,Programma!$F$3:$Y$1107,20,0),"")</f>
        <v>_</v>
      </c>
      <c r="BC815" s="257"/>
      <c r="BD815" s="256" t="str">
        <f>IF(Ruimtestaat[[#This Row],[Frequentie weekend]]="","",_xlfn.CONCAT(Ruimtestaat[[#This Row],[Ruimte code]],"-",Ruimtestaat[[#This Row],[Frequentie weekend]]," ",Ruimtestaat[[#This Row],[Vloer code]]))</f>
        <v/>
      </c>
      <c r="BE815" s="300" t="str">
        <f>_xlfn.IFNA(VLOOKUP($BD815,Programma!$F$3:$G$1107,2,0),"")</f>
        <v/>
      </c>
      <c r="BF815" s="300" t="str">
        <f>_xlfn.IFNA(VLOOKUP($BD815,Programma!$F$3:$H$1107,3,0),"")</f>
        <v/>
      </c>
      <c r="BG815" s="300" t="str">
        <f>_xlfn.IFNA(VLOOKUP($BD815,Programma!$F$3:$I$1107,4,0),"")</f>
        <v/>
      </c>
      <c r="BH815" s="300" t="str">
        <f>_xlfn.IFNA(VLOOKUP($BD815,Programma!$F$3:$J$1107,5,0),"")</f>
        <v/>
      </c>
      <c r="BI815" s="300" t="str">
        <f>_xlfn.IFNA(VLOOKUP($BD815,Programma!$F$3:$K$1107,6,0),"")</f>
        <v/>
      </c>
      <c r="BJ815" s="300" t="str">
        <f>_xlfn.IFNA(VLOOKUP($BD815,Programma!$F$3:$L$1107,7,0),"")</f>
        <v/>
      </c>
      <c r="BK815" s="300" t="str">
        <f>_xlfn.IFNA(VLOOKUP($BD815,Programma!$F$3:$M$1107,8,0),"")</f>
        <v/>
      </c>
      <c r="BL815" s="300" t="str">
        <f>_xlfn.IFNA(VLOOKUP($BD815,Programma!$F$3:$N$1107,9,0),"")</f>
        <v/>
      </c>
      <c r="BM815" s="300" t="str">
        <f>_xlfn.IFNA(VLOOKUP($BD815,Programma!$F$3:$O$1107,10,0),"")</f>
        <v/>
      </c>
      <c r="BN815" s="300" t="str">
        <f>_xlfn.IFNA(VLOOKUP($BD815,Programma!$F$3:$P$1107,11,0),"")</f>
        <v/>
      </c>
      <c r="BO815" s="300" t="str">
        <f>_xlfn.IFNA(VLOOKUP($BD815,Programma!$F$3:$Q$1107,12,0),"")</f>
        <v/>
      </c>
      <c r="BP815" s="300" t="str">
        <f>_xlfn.IFNA(VLOOKUP($BD815,Programma!$F$3:$R$1107,13,0),"")</f>
        <v/>
      </c>
      <c r="BQ815" s="300" t="str">
        <f>_xlfn.IFNA(VLOOKUP($BD815,Programma!$F$3:$S$1107,14,0),"")</f>
        <v/>
      </c>
      <c r="BR815" s="300" t="str">
        <f>_xlfn.IFNA(VLOOKUP($BD815,Programma!$F$3:$T$1107,15,0),"")</f>
        <v/>
      </c>
      <c r="BS815" s="300" t="str">
        <f>_xlfn.IFNA(VLOOKUP($BD815,Programma!$F$3:$U$1107,16,0),"")</f>
        <v/>
      </c>
      <c r="BT815" s="300" t="str">
        <f>_xlfn.IFNA(VLOOKUP($BD815,Programma!$F$3:$V$1107,17,0),"")</f>
        <v/>
      </c>
      <c r="BU815" s="300" t="str">
        <f>_xlfn.IFNA(VLOOKUP($BD815,Programma!$F$3:$W$1107,18,0),"")</f>
        <v/>
      </c>
      <c r="BV815" s="300" t="str">
        <f>_xlfn.IFNA(VLOOKUP($BD815,Programma!$F$3:$X$1107,19,0),"")</f>
        <v/>
      </c>
      <c r="BW815" s="300" t="str">
        <f>_xlfn.IFNA(VLOOKUP($BD815,Programma!$F$3:$Y$1107,20,0),"")</f>
        <v/>
      </c>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c r="GK815" s="4"/>
      <c r="GL815" s="4"/>
      <c r="GM815" s="4"/>
      <c r="GN815" s="4"/>
      <c r="GO815" s="4"/>
      <c r="GP815" s="4"/>
      <c r="GQ815" s="4"/>
      <c r="GR815" s="4"/>
      <c r="GS815" s="4"/>
      <c r="GT815" s="4"/>
      <c r="GU815" s="4"/>
      <c r="GV815" s="4"/>
      <c r="GW815" s="4"/>
      <c r="GX815" s="4"/>
      <c r="GY815" s="4"/>
      <c r="GZ815" s="4"/>
      <c r="HA815" s="4"/>
      <c r="HB815" s="4"/>
      <c r="HC815" s="4"/>
      <c r="HD815" s="4"/>
      <c r="HE815" s="4"/>
      <c r="HF815" s="4"/>
      <c r="HG815" s="4"/>
      <c r="HH815" s="4"/>
      <c r="HI815" s="4"/>
      <c r="HJ815" s="4"/>
      <c r="HK815" s="4"/>
      <c r="HL815" s="4"/>
    </row>
    <row r="816" spans="1:220" ht="15" customHeight="1">
      <c r="A816" s="21">
        <v>8</v>
      </c>
      <c r="B816" s="157" t="str">
        <f>VLOOKUP(Ruimtestaat[[#This Row],[Code]],Locaties[[Code]:[Locatie]],2,FALSE)</f>
        <v>Dalton College</v>
      </c>
      <c r="C816" s="157" t="str">
        <f>VLOOKUP(Ruimtestaat[[#This Row],[Code]],Locaties[[#All],[Code]:[Adres]],4,FALSE)</f>
        <v>Loolaan 125</v>
      </c>
      <c r="D816" s="157" t="str">
        <f>VLOOKUP(Ruimtestaat[[#This Row],[Code]],Locaties[[#All],[Code]:[Postcode]],5,FALSE)</f>
        <v xml:space="preserve">2271 TM </v>
      </c>
      <c r="E816" s="157" t="str">
        <f>VLOOKUP(Ruimtestaat[[#This Row],[Code]],Locaties[#All],6,FALSE)</f>
        <v>Voorburg</v>
      </c>
      <c r="F816" s="62"/>
      <c r="G816" s="21" t="s">
        <v>1624</v>
      </c>
      <c r="H816" s="21" t="s">
        <v>2290</v>
      </c>
      <c r="I816" s="62" t="s">
        <v>2223</v>
      </c>
      <c r="J816" s="21">
        <v>10</v>
      </c>
      <c r="K816" s="62" t="str">
        <f>VLOOKUP(Ruimtestaat[[#This Row],[Ruimte code]],Ruimtegroepen[[#All],[Code]:[Ruimte omschrijving]],2,FALSE)</f>
        <v>Trappenhuizen/lift</v>
      </c>
      <c r="L816" s="33" t="s">
        <v>102</v>
      </c>
      <c r="M816" s="367" t="s">
        <v>2509</v>
      </c>
      <c r="N816" s="140">
        <v>16</v>
      </c>
      <c r="O816" s="140"/>
      <c r="P816" s="125" t="str">
        <f>VLOOKUP(Ruimtestaat[[#This Row],[Ruimte code]],Ruimtegroepen[],4,FALSE)</f>
        <v>Ve</v>
      </c>
      <c r="R816" s="33">
        <v>40</v>
      </c>
      <c r="S816" s="33" t="s">
        <v>2</v>
      </c>
      <c r="T816" s="33">
        <f>IF(R816&gt;0,IF(RIGHT(Ruimtestaat[[#This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6" s="33">
        <f>IF(T816&gt;0,VLOOKUP($J816,Ruimtegroepen[],3,FALSE)*VLOOKUP($L816,Vloersoorten[],3,FALSE)*VLOOKUP($S816,Frequenties[],3,FALSE)*VLOOKUP($A816,Locaties[],3,FALSE),0)</f>
        <v>0</v>
      </c>
      <c r="V816" s="33">
        <f>Ruimtestaat[[#This Row],[Uitvoeringen werkdagen]]*Ruimtestaat[[#This Row],[Oppervlak (netto)]]</f>
        <v>3200</v>
      </c>
      <c r="W816" s="154">
        <f>IF(U816&gt;0,Ruimtestaat[[#This Row],[Prest. (m2 /jaar) werkdagen]]/Ruimtestaat[[#This Row],[Norm (m2/uur) werkdagen]],0)</f>
        <v>0</v>
      </c>
      <c r="X816" s="155">
        <f>Ruimtestaat[[#This Row],[uren / jaar werkdagen]]*Tariefsopbouw!$E$35</f>
        <v>0</v>
      </c>
      <c r="Y816" s="33"/>
      <c r="Z816" s="33">
        <f>IF(Ruimtestaat[[#This Row],[Frequentie weekend]]&gt;0,VALUE(LEFT(Y816,1))*R816,0)</f>
        <v>0</v>
      </c>
      <c r="AA816" s="97">
        <f>IF($Z816&gt;0,VLOOKUP($J816,Ruimtegroepen[],3,FALSE)*VLOOKUP($L816,Vloersoorten[],3,FALSE)*VLOOKUP($Y816,Frequenties[],3,FALSE)*VLOOKUP(Ruimtestaat[[#This Row],[Code]],Locaties[],3,FALSE),0)</f>
        <v>0</v>
      </c>
      <c r="AB816" s="97">
        <f>Ruimtestaat[[#This Row],[Uitvoeringen weekend]]*Ruimtestaat[[#This Row],[Oppervlak (netto)]]</f>
        <v>0</v>
      </c>
      <c r="AC816" s="97">
        <f>IF(AA816&gt;0,Ruimtestaat[[#This Row],[Prest. (m2 /jaar) weekend]]/Ruimtestaat[[#This Row],[Norm (m2/uur) weekend]],0)</f>
        <v>0</v>
      </c>
      <c r="AD816" s="155">
        <f>Ruimtestaat[[#This Row],[uren / jaar weekend]]*Tariefsopbouw!$D$40</f>
        <v>0</v>
      </c>
      <c r="AE816" s="154">
        <f>Ruimtestaat[[#This Row],[Prest. (m2 /jaar) weekend]]+Ruimtestaat[[#This Row],[Prest. (m2 /jaar) werkdagen]]</f>
        <v>3200</v>
      </c>
      <c r="AF816" s="154">
        <f>Ruimtestaat[[#This Row],[uren / jaar weekend]]+Ruimtestaat[[#This Row],[uren / jaar werkdagen]]</f>
        <v>0</v>
      </c>
      <c r="AG816" s="69">
        <f>Ruimtestaat[[#This Row],[kosten / jaar weekend]]+Ruimtestaat[[#This Row],[kosten / jaar werkdagen]]</f>
        <v>0</v>
      </c>
      <c r="AH816" s="69"/>
      <c r="AI816" s="256" t="str">
        <f>IF(Ruimtestaat[[#This Row],[Frequentie werkdagen]]="","",_xlfn.CONCAT(Ruimtestaat[[#This Row],[Ruimte code]],"-",Ruimtestaat[[#This Row],[Frequentie werkdagen]]," ",Ruimtestaat[[#This Row],[Vloer code]]))</f>
        <v>10-5w S</v>
      </c>
      <c r="AJ816" s="300" t="str">
        <f>_xlfn.IFNA(VLOOKUP($AI816,Programma!$F$3:$G$1107,2,0),"")</f>
        <v>_</v>
      </c>
      <c r="AK816" s="300" t="str">
        <f>_xlfn.IFNA(VLOOKUP($AI816,Programma!$F$3:$H$1107,3,0),"")</f>
        <v>_</v>
      </c>
      <c r="AL816" s="300" t="str">
        <f>_xlfn.IFNA(VLOOKUP($AI816,Programma!$F$3:$I$1107,4,0),"")</f>
        <v>4w</v>
      </c>
      <c r="AM816" s="300" t="str">
        <f>_xlfn.IFNA(VLOOKUP($AI816,Programma!$F$3:$J$1107,5,0),"")</f>
        <v>1w</v>
      </c>
      <c r="AN816" s="300" t="str">
        <f>_xlfn.IFNA(VLOOKUP($AI816,Programma!$F$3:$K$1107,6,0),"")</f>
        <v>4j</v>
      </c>
      <c r="AO816" s="300" t="str">
        <f>_xlfn.IFNA(VLOOKUP($AI816,Programma!$F$3:$L$1107,7,0),"")</f>
        <v>_</v>
      </c>
      <c r="AP816" s="300" t="str">
        <f>_xlfn.IFNA(VLOOKUP($AI816,Programma!$F$3:$M$1107,8,0),"")</f>
        <v>_</v>
      </c>
      <c r="AQ816" s="300" t="str">
        <f>_xlfn.IFNA(VLOOKUP($AI816,Programma!$F$3:$N$1107,9,0),"")</f>
        <v>_</v>
      </c>
      <c r="AR816" s="300" t="str">
        <f>_xlfn.IFNA(VLOOKUP($AI816,Programma!$F$3:$O$1107,10,0),"")</f>
        <v>5w</v>
      </c>
      <c r="AS816" s="300" t="str">
        <f>_xlfn.IFNA(VLOOKUP($AI816,Programma!$F$3:$P$1107,11,0),"")</f>
        <v>5w</v>
      </c>
      <c r="AT816" s="300" t="str">
        <f>_xlfn.IFNA(VLOOKUP($AI816,Programma!$F$3:$Q$1107,12,0),"")</f>
        <v>1w</v>
      </c>
      <c r="AU816" s="300" t="str">
        <f>_xlfn.IFNA(VLOOKUP($AI816,Programma!$F$3:$R$1107,13,0),"")</f>
        <v>1w</v>
      </c>
      <c r="AV816" s="300" t="str">
        <f>_xlfn.IFNA(VLOOKUP($AI816,Programma!$F$3:$S$1107,14,0),"")</f>
        <v>1m</v>
      </c>
      <c r="AW816" s="300" t="str">
        <f>_xlfn.IFNA(VLOOKUP($AI816,Programma!$F$3:$T$1107,15,0),"")</f>
        <v>2j</v>
      </c>
      <c r="AX816" s="300" t="str">
        <f>_xlfn.IFNA(VLOOKUP($AI816,Programma!$F$3:$U$1107,16,0),"")</f>
        <v>1j</v>
      </c>
      <c r="AY816" s="300" t="str">
        <f>_xlfn.IFNA(VLOOKUP($AI816,Programma!$F$3:$V$1107,17,0),"")</f>
        <v>_</v>
      </c>
      <c r="AZ816" s="300" t="str">
        <f>_xlfn.IFNA(VLOOKUP($AI816,Programma!$F$3:$W$1107,18,0),"")</f>
        <v>_</v>
      </c>
      <c r="BA816" s="300" t="str">
        <f>_xlfn.IFNA(VLOOKUP($AI816,Programma!$F$3:$X$1107,19,0),"")</f>
        <v>_</v>
      </c>
      <c r="BB816" s="300" t="str">
        <f>_xlfn.IFNA(VLOOKUP($AI816,Programma!$F$3:$Y$1107,20,0),"")</f>
        <v>_</v>
      </c>
      <c r="BC816" s="257"/>
      <c r="BD816" s="256" t="str">
        <f>IF(Ruimtestaat[[#This Row],[Frequentie weekend]]="","",_xlfn.CONCAT(Ruimtestaat[[#This Row],[Ruimte code]],"-",Ruimtestaat[[#This Row],[Frequentie weekend]]," ",Ruimtestaat[[#This Row],[Vloer code]]))</f>
        <v/>
      </c>
      <c r="BE816" s="300" t="str">
        <f>_xlfn.IFNA(VLOOKUP($BD816,Programma!$F$3:$G$1107,2,0),"")</f>
        <v/>
      </c>
      <c r="BF816" s="300" t="str">
        <f>_xlfn.IFNA(VLOOKUP($BD816,Programma!$F$3:$H$1107,3,0),"")</f>
        <v/>
      </c>
      <c r="BG816" s="300" t="str">
        <f>_xlfn.IFNA(VLOOKUP($BD816,Programma!$F$3:$I$1107,4,0),"")</f>
        <v/>
      </c>
      <c r="BH816" s="300" t="str">
        <f>_xlfn.IFNA(VLOOKUP($BD816,Programma!$F$3:$J$1107,5,0),"")</f>
        <v/>
      </c>
      <c r="BI816" s="300" t="str">
        <f>_xlfn.IFNA(VLOOKUP($BD816,Programma!$F$3:$K$1107,6,0),"")</f>
        <v/>
      </c>
      <c r="BJ816" s="300" t="str">
        <f>_xlfn.IFNA(VLOOKUP($BD816,Programma!$F$3:$L$1107,7,0),"")</f>
        <v/>
      </c>
      <c r="BK816" s="300" t="str">
        <f>_xlfn.IFNA(VLOOKUP($BD816,Programma!$F$3:$M$1107,8,0),"")</f>
        <v/>
      </c>
      <c r="BL816" s="300" t="str">
        <f>_xlfn.IFNA(VLOOKUP($BD816,Programma!$F$3:$N$1107,9,0),"")</f>
        <v/>
      </c>
      <c r="BM816" s="300" t="str">
        <f>_xlfn.IFNA(VLOOKUP($BD816,Programma!$F$3:$O$1107,10,0),"")</f>
        <v/>
      </c>
      <c r="BN816" s="300" t="str">
        <f>_xlfn.IFNA(VLOOKUP($BD816,Programma!$F$3:$P$1107,11,0),"")</f>
        <v/>
      </c>
      <c r="BO816" s="300" t="str">
        <f>_xlfn.IFNA(VLOOKUP($BD816,Programma!$F$3:$Q$1107,12,0),"")</f>
        <v/>
      </c>
      <c r="BP816" s="300" t="str">
        <f>_xlfn.IFNA(VLOOKUP($BD816,Programma!$F$3:$R$1107,13,0),"")</f>
        <v/>
      </c>
      <c r="BQ816" s="300" t="str">
        <f>_xlfn.IFNA(VLOOKUP($BD816,Programma!$F$3:$S$1107,14,0),"")</f>
        <v/>
      </c>
      <c r="BR816" s="300" t="str">
        <f>_xlfn.IFNA(VLOOKUP($BD816,Programma!$F$3:$T$1107,15,0),"")</f>
        <v/>
      </c>
      <c r="BS816" s="300" t="str">
        <f>_xlfn.IFNA(VLOOKUP($BD816,Programma!$F$3:$U$1107,16,0),"")</f>
        <v/>
      </c>
      <c r="BT816" s="300" t="str">
        <f>_xlfn.IFNA(VLOOKUP($BD816,Programma!$F$3:$V$1107,17,0),"")</f>
        <v/>
      </c>
      <c r="BU816" s="300" t="str">
        <f>_xlfn.IFNA(VLOOKUP($BD816,Programma!$F$3:$W$1107,18,0),"")</f>
        <v/>
      </c>
      <c r="BV816" s="300" t="str">
        <f>_xlfn.IFNA(VLOOKUP($BD816,Programma!$F$3:$X$1107,19,0),"")</f>
        <v/>
      </c>
      <c r="BW816" s="300" t="str">
        <f>_xlfn.IFNA(VLOOKUP($BD816,Programma!$F$3:$Y$1107,20,0),"")</f>
        <v/>
      </c>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c r="GK816" s="4"/>
      <c r="GL816" s="4"/>
      <c r="GM816" s="4"/>
      <c r="GN816" s="4"/>
      <c r="GO816" s="4"/>
      <c r="GP816" s="4"/>
      <c r="GQ816" s="4"/>
      <c r="GR816" s="4"/>
      <c r="GS816" s="4"/>
      <c r="GT816" s="4"/>
      <c r="GU816" s="4"/>
      <c r="GV816" s="4"/>
      <c r="GW816" s="4"/>
      <c r="GX816" s="4"/>
      <c r="GY816" s="4"/>
      <c r="GZ816" s="4"/>
      <c r="HA816" s="4"/>
      <c r="HB816" s="4"/>
      <c r="HC816" s="4"/>
      <c r="HD816" s="4"/>
      <c r="HE816" s="4"/>
      <c r="HF816" s="4"/>
      <c r="HG816" s="4"/>
      <c r="HH816" s="4"/>
      <c r="HI816" s="4"/>
      <c r="HJ816" s="4"/>
      <c r="HK816" s="4"/>
      <c r="HL816" s="4"/>
    </row>
    <row r="817" spans="1:220" ht="15" customHeight="1">
      <c r="A817" s="21">
        <v>8</v>
      </c>
      <c r="B817" s="157" t="str">
        <f>VLOOKUP(Ruimtestaat[[#This Row],[Code]],Locaties[[Code]:[Locatie]],2,FALSE)</f>
        <v>Dalton College</v>
      </c>
      <c r="C817" s="157" t="str">
        <f>VLOOKUP(Ruimtestaat[[#This Row],[Code]],Locaties[[#All],[Code]:[Adres]],4,FALSE)</f>
        <v>Loolaan 125</v>
      </c>
      <c r="D817" s="157" t="str">
        <f>VLOOKUP(Ruimtestaat[[#This Row],[Code]],Locaties[[#All],[Code]:[Postcode]],5,FALSE)</f>
        <v xml:space="preserve">2271 TM </v>
      </c>
      <c r="E817" s="157" t="str">
        <f>VLOOKUP(Ruimtestaat[[#This Row],[Code]],Locaties[#All],6,FALSE)</f>
        <v>Voorburg</v>
      </c>
      <c r="F817" s="62"/>
      <c r="G817" s="21" t="s">
        <v>1624</v>
      </c>
      <c r="H817" s="21" t="s">
        <v>2291</v>
      </c>
      <c r="I817" s="62" t="s">
        <v>1625</v>
      </c>
      <c r="J817" s="21">
        <v>6</v>
      </c>
      <c r="K817" s="62" t="str">
        <f>VLOOKUP(Ruimtestaat[[#This Row],[Ruimte code]],Ruimtegroepen[[#All],[Code]:[Ruimte omschrijving]],2,FALSE)</f>
        <v>Gangen/hallen</v>
      </c>
      <c r="L817" s="33" t="s">
        <v>101</v>
      </c>
      <c r="M817" s="367" t="s">
        <v>2495</v>
      </c>
      <c r="N817" s="140">
        <v>6</v>
      </c>
      <c r="O817" s="140"/>
      <c r="P817" s="125" t="str">
        <f>VLOOKUP(Ruimtestaat[[#This Row],[Ruimte code]],Ruimtegroepen[],4,FALSE)</f>
        <v>Ve</v>
      </c>
      <c r="R817" s="33">
        <v>40</v>
      </c>
      <c r="S817" s="33" t="s">
        <v>2</v>
      </c>
      <c r="T817" s="33">
        <f>IF(R817&gt;0,IF(RIGHT(Ruimtestaat[[#This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7" s="33">
        <f>IF(T817&gt;0,VLOOKUP($J817,Ruimtegroepen[],3,FALSE)*VLOOKUP($L817,Vloersoorten[],3,FALSE)*VLOOKUP($S817,Frequenties[],3,FALSE)*VLOOKUP($A817,Locaties[],3,FALSE),0)</f>
        <v>0</v>
      </c>
      <c r="V817" s="33">
        <f>Ruimtestaat[[#This Row],[Uitvoeringen werkdagen]]*Ruimtestaat[[#This Row],[Oppervlak (netto)]]</f>
        <v>1200</v>
      </c>
      <c r="W817" s="154">
        <f>IF(U817&gt;0,Ruimtestaat[[#This Row],[Prest. (m2 /jaar) werkdagen]]/Ruimtestaat[[#This Row],[Norm (m2/uur) werkdagen]],0)</f>
        <v>0</v>
      </c>
      <c r="X817" s="155">
        <f>Ruimtestaat[[#This Row],[uren / jaar werkdagen]]*Tariefsopbouw!$E$35</f>
        <v>0</v>
      </c>
      <c r="Y817" s="33"/>
      <c r="Z817" s="33">
        <f>IF(Ruimtestaat[[#This Row],[Frequentie weekend]]&gt;0,VALUE(LEFT(Y817,1))*R817,0)</f>
        <v>0</v>
      </c>
      <c r="AA817" s="97">
        <f>IF($Z817&gt;0,VLOOKUP($J817,Ruimtegroepen[],3,FALSE)*VLOOKUP($L817,Vloersoorten[],3,FALSE)*VLOOKUP($Y817,Frequenties[],3,FALSE)*VLOOKUP(Ruimtestaat[[#This Row],[Code]],Locaties[],3,FALSE),0)</f>
        <v>0</v>
      </c>
      <c r="AB817" s="97">
        <f>Ruimtestaat[[#This Row],[Uitvoeringen weekend]]*Ruimtestaat[[#This Row],[Oppervlak (netto)]]</f>
        <v>0</v>
      </c>
      <c r="AC817" s="97">
        <f>IF(AA817&gt;0,Ruimtestaat[[#This Row],[Prest. (m2 /jaar) weekend]]/Ruimtestaat[[#This Row],[Norm (m2/uur) weekend]],0)</f>
        <v>0</v>
      </c>
      <c r="AD817" s="155">
        <f>Ruimtestaat[[#This Row],[uren / jaar weekend]]*Tariefsopbouw!$D$40</f>
        <v>0</v>
      </c>
      <c r="AE817" s="154">
        <f>Ruimtestaat[[#This Row],[Prest. (m2 /jaar) weekend]]+Ruimtestaat[[#This Row],[Prest. (m2 /jaar) werkdagen]]</f>
        <v>1200</v>
      </c>
      <c r="AF817" s="154">
        <f>Ruimtestaat[[#This Row],[uren / jaar weekend]]+Ruimtestaat[[#This Row],[uren / jaar werkdagen]]</f>
        <v>0</v>
      </c>
      <c r="AG817" s="69">
        <f>Ruimtestaat[[#This Row],[kosten / jaar weekend]]+Ruimtestaat[[#This Row],[kosten / jaar werkdagen]]</f>
        <v>0</v>
      </c>
      <c r="AH817" s="69"/>
      <c r="AI817" s="256" t="str">
        <f>IF(Ruimtestaat[[#This Row],[Frequentie werkdagen]]="","",_xlfn.CONCAT(Ruimtestaat[[#This Row],[Ruimte code]],"-",Ruimtestaat[[#This Row],[Frequentie werkdagen]]," ",Ruimtestaat[[#This Row],[Vloer code]]))</f>
        <v>6-5w L</v>
      </c>
      <c r="AJ817" s="300" t="str">
        <f>_xlfn.IFNA(VLOOKUP($AI817,Programma!$F$3:$G$1107,2,0),"")</f>
        <v>_</v>
      </c>
      <c r="AK817" s="300" t="str">
        <f>_xlfn.IFNA(VLOOKUP($AI817,Programma!$F$3:$H$1107,3,0),"")</f>
        <v>_</v>
      </c>
      <c r="AL817" s="300" t="str">
        <f>_xlfn.IFNA(VLOOKUP($AI817,Programma!$F$3:$I$1107,4,0),"")</f>
        <v>_</v>
      </c>
      <c r="AM817" s="300" t="str">
        <f>_xlfn.IFNA(VLOOKUP($AI817,Programma!$F$3:$J$1107,5,0),"")</f>
        <v>5w</v>
      </c>
      <c r="AN817" s="300" t="str">
        <f>_xlfn.IFNA(VLOOKUP($AI817,Programma!$F$3:$K$1107,6,0),"")</f>
        <v>_</v>
      </c>
      <c r="AO817" s="300" t="str">
        <f>_xlfn.IFNA(VLOOKUP($AI817,Programma!$F$3:$L$1107,7,0),"")</f>
        <v>_</v>
      </c>
      <c r="AP817" s="300" t="str">
        <f>_xlfn.IFNA(VLOOKUP($AI817,Programma!$F$3:$M$1107,8,0),"")</f>
        <v>_</v>
      </c>
      <c r="AQ817" s="300" t="str">
        <f>_xlfn.IFNA(VLOOKUP($AI817,Programma!$F$3:$N$1107,9,0),"")</f>
        <v>_</v>
      </c>
      <c r="AR817" s="300" t="str">
        <f>_xlfn.IFNA(VLOOKUP($AI817,Programma!$F$3:$O$1107,10,0),"")</f>
        <v>5w</v>
      </c>
      <c r="AS817" s="300" t="str">
        <f>_xlfn.IFNA(VLOOKUP($AI817,Programma!$F$3:$P$1107,11,0),"")</f>
        <v>5w</v>
      </c>
      <c r="AT817" s="300" t="str">
        <f>_xlfn.IFNA(VLOOKUP($AI817,Programma!$F$3:$Q$1107,12,0),"")</f>
        <v>1w</v>
      </c>
      <c r="AU817" s="300" t="str">
        <f>_xlfn.IFNA(VLOOKUP($AI817,Programma!$F$3:$R$1107,13,0),"")</f>
        <v>1w</v>
      </c>
      <c r="AV817" s="300" t="str">
        <f>_xlfn.IFNA(VLOOKUP($AI817,Programma!$F$3:$S$1107,14,0),"")</f>
        <v>1m</v>
      </c>
      <c r="AW817" s="300" t="str">
        <f>_xlfn.IFNA(VLOOKUP($AI817,Programma!$F$3:$T$1107,15,0),"")</f>
        <v>2j</v>
      </c>
      <c r="AX817" s="300" t="str">
        <f>_xlfn.IFNA(VLOOKUP($AI817,Programma!$F$3:$U$1107,16,0),"")</f>
        <v>1j</v>
      </c>
      <c r="AY817" s="300" t="str">
        <f>_xlfn.IFNA(VLOOKUP($AI817,Programma!$F$3:$V$1107,17,0),"")</f>
        <v>_</v>
      </c>
      <c r="AZ817" s="300" t="str">
        <f>_xlfn.IFNA(VLOOKUP($AI817,Programma!$F$3:$W$1107,18,0),"")</f>
        <v>_</v>
      </c>
      <c r="BA817" s="300" t="str">
        <f>_xlfn.IFNA(VLOOKUP($AI817,Programma!$F$3:$X$1107,19,0),"")</f>
        <v>_</v>
      </c>
      <c r="BB817" s="300" t="str">
        <f>_xlfn.IFNA(VLOOKUP($AI817,Programma!$F$3:$Y$1107,20,0),"")</f>
        <v>_</v>
      </c>
      <c r="BC817" s="257"/>
      <c r="BD817" s="256" t="str">
        <f>IF(Ruimtestaat[[#This Row],[Frequentie weekend]]="","",_xlfn.CONCAT(Ruimtestaat[[#This Row],[Ruimte code]],"-",Ruimtestaat[[#This Row],[Frequentie weekend]]," ",Ruimtestaat[[#This Row],[Vloer code]]))</f>
        <v/>
      </c>
      <c r="BE817" s="300" t="str">
        <f>_xlfn.IFNA(VLOOKUP($BD817,Programma!$F$3:$G$1107,2,0),"")</f>
        <v/>
      </c>
      <c r="BF817" s="300" t="str">
        <f>_xlfn.IFNA(VLOOKUP($BD817,Programma!$F$3:$H$1107,3,0),"")</f>
        <v/>
      </c>
      <c r="BG817" s="300" t="str">
        <f>_xlfn.IFNA(VLOOKUP($BD817,Programma!$F$3:$I$1107,4,0),"")</f>
        <v/>
      </c>
      <c r="BH817" s="300" t="str">
        <f>_xlfn.IFNA(VLOOKUP($BD817,Programma!$F$3:$J$1107,5,0),"")</f>
        <v/>
      </c>
      <c r="BI817" s="300" t="str">
        <f>_xlfn.IFNA(VLOOKUP($BD817,Programma!$F$3:$K$1107,6,0),"")</f>
        <v/>
      </c>
      <c r="BJ817" s="300" t="str">
        <f>_xlfn.IFNA(VLOOKUP($BD817,Programma!$F$3:$L$1107,7,0),"")</f>
        <v/>
      </c>
      <c r="BK817" s="300" t="str">
        <f>_xlfn.IFNA(VLOOKUP($BD817,Programma!$F$3:$M$1107,8,0),"")</f>
        <v/>
      </c>
      <c r="BL817" s="300" t="str">
        <f>_xlfn.IFNA(VLOOKUP($BD817,Programma!$F$3:$N$1107,9,0),"")</f>
        <v/>
      </c>
      <c r="BM817" s="300" t="str">
        <f>_xlfn.IFNA(VLOOKUP($BD817,Programma!$F$3:$O$1107,10,0),"")</f>
        <v/>
      </c>
      <c r="BN817" s="300" t="str">
        <f>_xlfn.IFNA(VLOOKUP($BD817,Programma!$F$3:$P$1107,11,0),"")</f>
        <v/>
      </c>
      <c r="BO817" s="300" t="str">
        <f>_xlfn.IFNA(VLOOKUP($BD817,Programma!$F$3:$Q$1107,12,0),"")</f>
        <v/>
      </c>
      <c r="BP817" s="300" t="str">
        <f>_xlfn.IFNA(VLOOKUP($BD817,Programma!$F$3:$R$1107,13,0),"")</f>
        <v/>
      </c>
      <c r="BQ817" s="300" t="str">
        <f>_xlfn.IFNA(VLOOKUP($BD817,Programma!$F$3:$S$1107,14,0),"")</f>
        <v/>
      </c>
      <c r="BR817" s="300" t="str">
        <f>_xlfn.IFNA(VLOOKUP($BD817,Programma!$F$3:$T$1107,15,0),"")</f>
        <v/>
      </c>
      <c r="BS817" s="300" t="str">
        <f>_xlfn.IFNA(VLOOKUP($BD817,Programma!$F$3:$U$1107,16,0),"")</f>
        <v/>
      </c>
      <c r="BT817" s="300" t="str">
        <f>_xlfn.IFNA(VLOOKUP($BD817,Programma!$F$3:$V$1107,17,0),"")</f>
        <v/>
      </c>
      <c r="BU817" s="300" t="str">
        <f>_xlfn.IFNA(VLOOKUP($BD817,Programma!$F$3:$W$1107,18,0),"")</f>
        <v/>
      </c>
      <c r="BV817" s="300" t="str">
        <f>_xlfn.IFNA(VLOOKUP($BD817,Programma!$F$3:$X$1107,19,0),"")</f>
        <v/>
      </c>
      <c r="BW817" s="300" t="str">
        <f>_xlfn.IFNA(VLOOKUP($BD817,Programma!$F$3:$Y$1107,20,0),"")</f>
        <v/>
      </c>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c r="GK817" s="4"/>
      <c r="GL817" s="4"/>
      <c r="GM817" s="4"/>
      <c r="GN817" s="4"/>
      <c r="GO817" s="4"/>
      <c r="GP817" s="4"/>
      <c r="GQ817" s="4"/>
      <c r="GR817" s="4"/>
      <c r="GS817" s="4"/>
      <c r="GT817" s="4"/>
      <c r="GU817" s="4"/>
      <c r="GV817" s="4"/>
      <c r="GW817" s="4"/>
      <c r="GX817" s="4"/>
      <c r="GY817" s="4"/>
      <c r="GZ817" s="4"/>
      <c r="HA817" s="4"/>
      <c r="HB817" s="4"/>
      <c r="HC817" s="4"/>
      <c r="HD817" s="4"/>
      <c r="HE817" s="4"/>
      <c r="HF817" s="4"/>
      <c r="HG817" s="4"/>
      <c r="HH817" s="4"/>
      <c r="HI817" s="4"/>
      <c r="HJ817" s="4"/>
      <c r="HK817" s="4"/>
      <c r="HL817" s="4"/>
    </row>
    <row r="818" spans="1:220" ht="15" customHeight="1">
      <c r="A818" s="21">
        <v>8</v>
      </c>
      <c r="B818" s="157" t="str">
        <f>VLOOKUP(Ruimtestaat[[#This Row],[Code]],Locaties[[Code]:[Locatie]],2,FALSE)</f>
        <v>Dalton College</v>
      </c>
      <c r="C818" s="157" t="str">
        <f>VLOOKUP(Ruimtestaat[[#This Row],[Code]],Locaties[[#All],[Code]:[Adres]],4,FALSE)</f>
        <v>Loolaan 125</v>
      </c>
      <c r="D818" s="157" t="str">
        <f>VLOOKUP(Ruimtestaat[[#This Row],[Code]],Locaties[[#All],[Code]:[Postcode]],5,FALSE)</f>
        <v xml:space="preserve">2271 TM </v>
      </c>
      <c r="E818" s="157" t="str">
        <f>VLOOKUP(Ruimtestaat[[#This Row],[Code]],Locaties[#All],6,FALSE)</f>
        <v>Voorburg</v>
      </c>
      <c r="F818" s="62"/>
      <c r="G818" s="21" t="s">
        <v>1624</v>
      </c>
      <c r="H818" s="21" t="s">
        <v>2292</v>
      </c>
      <c r="I818" s="62" t="s">
        <v>1657</v>
      </c>
      <c r="J818" s="21">
        <v>10</v>
      </c>
      <c r="K818" s="62" t="str">
        <f>VLOOKUP(Ruimtestaat[[#This Row],[Ruimte code]],Ruimtegroepen[[#All],[Code]:[Ruimte omschrijving]],2,FALSE)</f>
        <v>Trappenhuizen/lift</v>
      </c>
      <c r="L818" s="33" t="s">
        <v>102</v>
      </c>
      <c r="M818" s="367" t="s">
        <v>2509</v>
      </c>
      <c r="N818" s="140">
        <v>25</v>
      </c>
      <c r="O818" s="140"/>
      <c r="P818" s="125" t="str">
        <f>VLOOKUP(Ruimtestaat[[#This Row],[Ruimte code]],Ruimtegroepen[],4,FALSE)</f>
        <v>Ve</v>
      </c>
      <c r="R818" s="33">
        <v>40</v>
      </c>
      <c r="S818" s="33" t="s">
        <v>2</v>
      </c>
      <c r="T818" s="33">
        <f>IF(R818&gt;0,IF(RIGHT(Ruimtestaat[[#This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8" s="33">
        <f>IF(T818&gt;0,VLOOKUP($J818,Ruimtegroepen[],3,FALSE)*VLOOKUP($L818,Vloersoorten[],3,FALSE)*VLOOKUP($S818,Frequenties[],3,FALSE)*VLOOKUP($A818,Locaties[],3,FALSE),0)</f>
        <v>0</v>
      </c>
      <c r="V818" s="33">
        <f>Ruimtestaat[[#This Row],[Uitvoeringen werkdagen]]*Ruimtestaat[[#This Row],[Oppervlak (netto)]]</f>
        <v>5000</v>
      </c>
      <c r="W818" s="154">
        <f>IF(U818&gt;0,Ruimtestaat[[#This Row],[Prest. (m2 /jaar) werkdagen]]/Ruimtestaat[[#This Row],[Norm (m2/uur) werkdagen]],0)</f>
        <v>0</v>
      </c>
      <c r="X818" s="155">
        <f>Ruimtestaat[[#This Row],[uren / jaar werkdagen]]*Tariefsopbouw!$E$35</f>
        <v>0</v>
      </c>
      <c r="Y818" s="33"/>
      <c r="Z818" s="33">
        <f>IF(Ruimtestaat[[#This Row],[Frequentie weekend]]&gt;0,VALUE(LEFT(Y818,1))*R818,0)</f>
        <v>0</v>
      </c>
      <c r="AA818" s="97">
        <f>IF($Z818&gt;0,VLOOKUP($J818,Ruimtegroepen[],3,FALSE)*VLOOKUP($L818,Vloersoorten[],3,FALSE)*VLOOKUP($Y818,Frequenties[],3,FALSE)*VLOOKUP(Ruimtestaat[[#This Row],[Code]],Locaties[],3,FALSE),0)</f>
        <v>0</v>
      </c>
      <c r="AB818" s="97">
        <f>Ruimtestaat[[#This Row],[Uitvoeringen weekend]]*Ruimtestaat[[#This Row],[Oppervlak (netto)]]</f>
        <v>0</v>
      </c>
      <c r="AC818" s="97">
        <f>IF(AA818&gt;0,Ruimtestaat[[#This Row],[Prest. (m2 /jaar) weekend]]/Ruimtestaat[[#This Row],[Norm (m2/uur) weekend]],0)</f>
        <v>0</v>
      </c>
      <c r="AD818" s="155">
        <f>Ruimtestaat[[#This Row],[uren / jaar weekend]]*Tariefsopbouw!$D$40</f>
        <v>0</v>
      </c>
      <c r="AE818" s="154">
        <f>Ruimtestaat[[#This Row],[Prest. (m2 /jaar) weekend]]+Ruimtestaat[[#This Row],[Prest. (m2 /jaar) werkdagen]]</f>
        <v>5000</v>
      </c>
      <c r="AF818" s="154">
        <f>Ruimtestaat[[#This Row],[uren / jaar weekend]]+Ruimtestaat[[#This Row],[uren / jaar werkdagen]]</f>
        <v>0</v>
      </c>
      <c r="AG818" s="69">
        <f>Ruimtestaat[[#This Row],[kosten / jaar weekend]]+Ruimtestaat[[#This Row],[kosten / jaar werkdagen]]</f>
        <v>0</v>
      </c>
      <c r="AH818" s="69"/>
      <c r="AI818" s="256" t="str">
        <f>IF(Ruimtestaat[[#This Row],[Frequentie werkdagen]]="","",_xlfn.CONCAT(Ruimtestaat[[#This Row],[Ruimte code]],"-",Ruimtestaat[[#This Row],[Frequentie werkdagen]]," ",Ruimtestaat[[#This Row],[Vloer code]]))</f>
        <v>10-5w S</v>
      </c>
      <c r="AJ818" s="300" t="str">
        <f>_xlfn.IFNA(VLOOKUP($AI818,Programma!$F$3:$G$1107,2,0),"")</f>
        <v>_</v>
      </c>
      <c r="AK818" s="300" t="str">
        <f>_xlfn.IFNA(VLOOKUP($AI818,Programma!$F$3:$H$1107,3,0),"")</f>
        <v>_</v>
      </c>
      <c r="AL818" s="300" t="str">
        <f>_xlfn.IFNA(VLOOKUP($AI818,Programma!$F$3:$I$1107,4,0),"")</f>
        <v>4w</v>
      </c>
      <c r="AM818" s="300" t="str">
        <f>_xlfn.IFNA(VLOOKUP($AI818,Programma!$F$3:$J$1107,5,0),"")</f>
        <v>1w</v>
      </c>
      <c r="AN818" s="300" t="str">
        <f>_xlfn.IFNA(VLOOKUP($AI818,Programma!$F$3:$K$1107,6,0),"")</f>
        <v>4j</v>
      </c>
      <c r="AO818" s="300" t="str">
        <f>_xlfn.IFNA(VLOOKUP($AI818,Programma!$F$3:$L$1107,7,0),"")</f>
        <v>_</v>
      </c>
      <c r="AP818" s="300" t="str">
        <f>_xlfn.IFNA(VLOOKUP($AI818,Programma!$F$3:$M$1107,8,0),"")</f>
        <v>_</v>
      </c>
      <c r="AQ818" s="300" t="str">
        <f>_xlfn.IFNA(VLOOKUP($AI818,Programma!$F$3:$N$1107,9,0),"")</f>
        <v>_</v>
      </c>
      <c r="AR818" s="300" t="str">
        <f>_xlfn.IFNA(VLOOKUP($AI818,Programma!$F$3:$O$1107,10,0),"")</f>
        <v>5w</v>
      </c>
      <c r="AS818" s="300" t="str">
        <f>_xlfn.IFNA(VLOOKUP($AI818,Programma!$F$3:$P$1107,11,0),"")</f>
        <v>5w</v>
      </c>
      <c r="AT818" s="300" t="str">
        <f>_xlfn.IFNA(VLOOKUP($AI818,Programma!$F$3:$Q$1107,12,0),"")</f>
        <v>1w</v>
      </c>
      <c r="AU818" s="300" t="str">
        <f>_xlfn.IFNA(VLOOKUP($AI818,Programma!$F$3:$R$1107,13,0),"")</f>
        <v>1w</v>
      </c>
      <c r="AV818" s="300" t="str">
        <f>_xlfn.IFNA(VLOOKUP($AI818,Programma!$F$3:$S$1107,14,0),"")</f>
        <v>1m</v>
      </c>
      <c r="AW818" s="300" t="str">
        <f>_xlfn.IFNA(VLOOKUP($AI818,Programma!$F$3:$T$1107,15,0),"")</f>
        <v>2j</v>
      </c>
      <c r="AX818" s="300" t="str">
        <f>_xlfn.IFNA(VLOOKUP($AI818,Programma!$F$3:$U$1107,16,0),"")</f>
        <v>1j</v>
      </c>
      <c r="AY818" s="300" t="str">
        <f>_xlfn.IFNA(VLOOKUP($AI818,Programma!$F$3:$V$1107,17,0),"")</f>
        <v>_</v>
      </c>
      <c r="AZ818" s="300" t="str">
        <f>_xlfn.IFNA(VLOOKUP($AI818,Programma!$F$3:$W$1107,18,0),"")</f>
        <v>_</v>
      </c>
      <c r="BA818" s="300" t="str">
        <f>_xlfn.IFNA(VLOOKUP($AI818,Programma!$F$3:$X$1107,19,0),"")</f>
        <v>_</v>
      </c>
      <c r="BB818" s="300" t="str">
        <f>_xlfn.IFNA(VLOOKUP($AI818,Programma!$F$3:$Y$1107,20,0),"")</f>
        <v>_</v>
      </c>
      <c r="BC818" s="257"/>
      <c r="BD818" s="256" t="str">
        <f>IF(Ruimtestaat[[#This Row],[Frequentie weekend]]="","",_xlfn.CONCAT(Ruimtestaat[[#This Row],[Ruimte code]],"-",Ruimtestaat[[#This Row],[Frequentie weekend]]," ",Ruimtestaat[[#This Row],[Vloer code]]))</f>
        <v/>
      </c>
      <c r="BE818" s="300" t="str">
        <f>_xlfn.IFNA(VLOOKUP($BD818,Programma!$F$3:$G$1107,2,0),"")</f>
        <v/>
      </c>
      <c r="BF818" s="300" t="str">
        <f>_xlfn.IFNA(VLOOKUP($BD818,Programma!$F$3:$H$1107,3,0),"")</f>
        <v/>
      </c>
      <c r="BG818" s="300" t="str">
        <f>_xlfn.IFNA(VLOOKUP($BD818,Programma!$F$3:$I$1107,4,0),"")</f>
        <v/>
      </c>
      <c r="BH818" s="300" t="str">
        <f>_xlfn.IFNA(VLOOKUP($BD818,Programma!$F$3:$J$1107,5,0),"")</f>
        <v/>
      </c>
      <c r="BI818" s="300" t="str">
        <f>_xlfn.IFNA(VLOOKUP($BD818,Programma!$F$3:$K$1107,6,0),"")</f>
        <v/>
      </c>
      <c r="BJ818" s="300" t="str">
        <f>_xlfn.IFNA(VLOOKUP($BD818,Programma!$F$3:$L$1107,7,0),"")</f>
        <v/>
      </c>
      <c r="BK818" s="300" t="str">
        <f>_xlfn.IFNA(VLOOKUP($BD818,Programma!$F$3:$M$1107,8,0),"")</f>
        <v/>
      </c>
      <c r="BL818" s="300" t="str">
        <f>_xlfn.IFNA(VLOOKUP($BD818,Programma!$F$3:$N$1107,9,0),"")</f>
        <v/>
      </c>
      <c r="BM818" s="300" t="str">
        <f>_xlfn.IFNA(VLOOKUP($BD818,Programma!$F$3:$O$1107,10,0),"")</f>
        <v/>
      </c>
      <c r="BN818" s="300" t="str">
        <f>_xlfn.IFNA(VLOOKUP($BD818,Programma!$F$3:$P$1107,11,0),"")</f>
        <v/>
      </c>
      <c r="BO818" s="300" t="str">
        <f>_xlfn.IFNA(VLOOKUP($BD818,Programma!$F$3:$Q$1107,12,0),"")</f>
        <v/>
      </c>
      <c r="BP818" s="300" t="str">
        <f>_xlfn.IFNA(VLOOKUP($BD818,Programma!$F$3:$R$1107,13,0),"")</f>
        <v/>
      </c>
      <c r="BQ818" s="300" t="str">
        <f>_xlfn.IFNA(VLOOKUP($BD818,Programma!$F$3:$S$1107,14,0),"")</f>
        <v/>
      </c>
      <c r="BR818" s="300" t="str">
        <f>_xlfn.IFNA(VLOOKUP($BD818,Programma!$F$3:$T$1107,15,0),"")</f>
        <v/>
      </c>
      <c r="BS818" s="300" t="str">
        <f>_xlfn.IFNA(VLOOKUP($BD818,Programma!$F$3:$U$1107,16,0),"")</f>
        <v/>
      </c>
      <c r="BT818" s="300" t="str">
        <f>_xlfn.IFNA(VLOOKUP($BD818,Programma!$F$3:$V$1107,17,0),"")</f>
        <v/>
      </c>
      <c r="BU818" s="300" t="str">
        <f>_xlfn.IFNA(VLOOKUP($BD818,Programma!$F$3:$W$1107,18,0),"")</f>
        <v/>
      </c>
      <c r="BV818" s="300" t="str">
        <f>_xlfn.IFNA(VLOOKUP($BD818,Programma!$F$3:$X$1107,19,0),"")</f>
        <v/>
      </c>
      <c r="BW818" s="300" t="str">
        <f>_xlfn.IFNA(VLOOKUP($BD818,Programma!$F$3:$Y$1107,20,0),"")</f>
        <v/>
      </c>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c r="GK818" s="4"/>
      <c r="GL818" s="4"/>
      <c r="GM818" s="4"/>
      <c r="GN818" s="4"/>
      <c r="GO818" s="4"/>
      <c r="GP818" s="4"/>
      <c r="GQ818" s="4"/>
      <c r="GR818" s="4"/>
      <c r="GS818" s="4"/>
      <c r="GT818" s="4"/>
      <c r="GU818" s="4"/>
      <c r="GV818" s="4"/>
      <c r="GW818" s="4"/>
      <c r="GX818" s="4"/>
      <c r="GY818" s="4"/>
      <c r="GZ818" s="4"/>
      <c r="HA818" s="4"/>
      <c r="HB818" s="4"/>
      <c r="HC818" s="4"/>
      <c r="HD818" s="4"/>
      <c r="HE818" s="4"/>
      <c r="HF818" s="4"/>
      <c r="HG818" s="4"/>
      <c r="HH818" s="4"/>
      <c r="HI818" s="4"/>
      <c r="HJ818" s="4"/>
      <c r="HK818" s="4"/>
      <c r="HL818" s="4"/>
    </row>
    <row r="819" spans="1:220" ht="15" customHeight="1">
      <c r="A819" s="21">
        <v>8</v>
      </c>
      <c r="B819" s="157" t="str">
        <f>VLOOKUP(Ruimtestaat[[#This Row],[Code]],Locaties[[Code]:[Locatie]],2,FALSE)</f>
        <v>Dalton College</v>
      </c>
      <c r="C819" s="157" t="str">
        <f>VLOOKUP(Ruimtestaat[[#This Row],[Code]],Locaties[[#All],[Code]:[Adres]],4,FALSE)</f>
        <v>Loolaan 125</v>
      </c>
      <c r="D819" s="157" t="str">
        <f>VLOOKUP(Ruimtestaat[[#This Row],[Code]],Locaties[[#All],[Code]:[Postcode]],5,FALSE)</f>
        <v xml:space="preserve">2271 TM </v>
      </c>
      <c r="E819" s="157" t="str">
        <f>VLOOKUP(Ruimtestaat[[#This Row],[Code]],Locaties[#All],6,FALSE)</f>
        <v>Voorburg</v>
      </c>
      <c r="F819" s="62"/>
      <c r="G819" s="21" t="s">
        <v>1624</v>
      </c>
      <c r="H819" s="21" t="s">
        <v>2293</v>
      </c>
      <c r="I819" s="62" t="s">
        <v>2294</v>
      </c>
      <c r="J819" s="21">
        <v>6</v>
      </c>
      <c r="K819" s="62" t="str">
        <f>VLOOKUP(Ruimtestaat[[#This Row],[Ruimte code]],Ruimtegroepen[[#All],[Code]:[Ruimte omschrijving]],2,FALSE)</f>
        <v>Gangen/hallen</v>
      </c>
      <c r="L819" s="33" t="s">
        <v>100</v>
      </c>
      <c r="M819" s="367" t="s">
        <v>2493</v>
      </c>
      <c r="N819" s="140">
        <v>9</v>
      </c>
      <c r="O819" s="140"/>
      <c r="P819" s="125" t="str">
        <f>VLOOKUP(Ruimtestaat[[#This Row],[Ruimte code]],Ruimtegroepen[],4,FALSE)</f>
        <v>Ve</v>
      </c>
      <c r="R819" s="33">
        <v>40</v>
      </c>
      <c r="S819" s="33" t="s">
        <v>2</v>
      </c>
      <c r="T819" s="33">
        <f>IF(R819&gt;0,IF(RIGHT(Ruimtestaat[[#This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9" s="33">
        <f>IF(T819&gt;0,VLOOKUP($J819,Ruimtegroepen[],3,FALSE)*VLOOKUP($L819,Vloersoorten[],3,FALSE)*VLOOKUP($S819,Frequenties[],3,FALSE)*VLOOKUP($A819,Locaties[],3,FALSE),0)</f>
        <v>0</v>
      </c>
      <c r="V819" s="33">
        <f>Ruimtestaat[[#This Row],[Uitvoeringen werkdagen]]*Ruimtestaat[[#This Row],[Oppervlak (netto)]]</f>
        <v>1800</v>
      </c>
      <c r="W819" s="154">
        <f>IF(U819&gt;0,Ruimtestaat[[#This Row],[Prest. (m2 /jaar) werkdagen]]/Ruimtestaat[[#This Row],[Norm (m2/uur) werkdagen]],0)</f>
        <v>0</v>
      </c>
      <c r="X819" s="155">
        <f>Ruimtestaat[[#This Row],[uren / jaar werkdagen]]*Tariefsopbouw!$E$35</f>
        <v>0</v>
      </c>
      <c r="Y819" s="33"/>
      <c r="Z819" s="33">
        <f>IF(Ruimtestaat[[#This Row],[Frequentie weekend]]&gt;0,VALUE(LEFT(Y819,1))*R819,0)</f>
        <v>0</v>
      </c>
      <c r="AA819" s="97">
        <f>IF($Z819&gt;0,VLOOKUP($J819,Ruimtegroepen[],3,FALSE)*VLOOKUP($L819,Vloersoorten[],3,FALSE)*VLOOKUP($Y819,Frequenties[],3,FALSE)*VLOOKUP(Ruimtestaat[[#This Row],[Code]],Locaties[],3,FALSE),0)</f>
        <v>0</v>
      </c>
      <c r="AB819" s="97">
        <f>Ruimtestaat[[#This Row],[Uitvoeringen weekend]]*Ruimtestaat[[#This Row],[Oppervlak (netto)]]</f>
        <v>0</v>
      </c>
      <c r="AC819" s="97">
        <f>IF(AA819&gt;0,Ruimtestaat[[#This Row],[Prest. (m2 /jaar) weekend]]/Ruimtestaat[[#This Row],[Norm (m2/uur) weekend]],0)</f>
        <v>0</v>
      </c>
      <c r="AD819" s="155">
        <f>Ruimtestaat[[#This Row],[uren / jaar weekend]]*Tariefsopbouw!$D$40</f>
        <v>0</v>
      </c>
      <c r="AE819" s="154">
        <f>Ruimtestaat[[#This Row],[Prest. (m2 /jaar) weekend]]+Ruimtestaat[[#This Row],[Prest. (m2 /jaar) werkdagen]]</f>
        <v>1800</v>
      </c>
      <c r="AF819" s="154">
        <f>Ruimtestaat[[#This Row],[uren / jaar weekend]]+Ruimtestaat[[#This Row],[uren / jaar werkdagen]]</f>
        <v>0</v>
      </c>
      <c r="AG819" s="69">
        <f>Ruimtestaat[[#This Row],[kosten / jaar weekend]]+Ruimtestaat[[#This Row],[kosten / jaar werkdagen]]</f>
        <v>0</v>
      </c>
      <c r="AH819" s="69"/>
      <c r="AI819" s="256" t="str">
        <f>IF(Ruimtestaat[[#This Row],[Frequentie werkdagen]]="","",_xlfn.CONCAT(Ruimtestaat[[#This Row],[Ruimte code]],"-",Ruimtestaat[[#This Row],[Frequentie werkdagen]]," ",Ruimtestaat[[#This Row],[Vloer code]]))</f>
        <v>6-5w T</v>
      </c>
      <c r="AJ819" s="300" t="str">
        <f>_xlfn.IFNA(VLOOKUP($AI819,Programma!$F$3:$G$1107,2,0),"")</f>
        <v>_</v>
      </c>
      <c r="AK819" s="300" t="str">
        <f>_xlfn.IFNA(VLOOKUP($AI819,Programma!$F$3:$H$1107,3,0),"")</f>
        <v>5w</v>
      </c>
      <c r="AL819" s="300" t="str">
        <f>_xlfn.IFNA(VLOOKUP($AI819,Programma!$F$3:$I$1107,4,0),"")</f>
        <v>_</v>
      </c>
      <c r="AM819" s="300" t="str">
        <f>_xlfn.IFNA(VLOOKUP($AI819,Programma!$F$3:$J$1107,5,0),"")</f>
        <v>_</v>
      </c>
      <c r="AN819" s="300" t="str">
        <f>_xlfn.IFNA(VLOOKUP($AI819,Programma!$F$3:$K$1107,6,0),"")</f>
        <v>_</v>
      </c>
      <c r="AO819" s="300" t="str">
        <f>_xlfn.IFNA(VLOOKUP($AI819,Programma!$F$3:$L$1107,7,0),"")</f>
        <v>_</v>
      </c>
      <c r="AP819" s="300" t="str">
        <f>_xlfn.IFNA(VLOOKUP($AI819,Programma!$F$3:$M$1107,8,0),"")</f>
        <v>_</v>
      </c>
      <c r="AQ819" s="300" t="str">
        <f>_xlfn.IFNA(VLOOKUP($AI819,Programma!$F$3:$N$1107,9,0),"")</f>
        <v>_</v>
      </c>
      <c r="AR819" s="300" t="str">
        <f>_xlfn.IFNA(VLOOKUP($AI819,Programma!$F$3:$O$1107,10,0),"")</f>
        <v>5w</v>
      </c>
      <c r="AS819" s="300" t="str">
        <f>_xlfn.IFNA(VLOOKUP($AI819,Programma!$F$3:$P$1107,11,0),"")</f>
        <v>5w</v>
      </c>
      <c r="AT819" s="300" t="str">
        <f>_xlfn.IFNA(VLOOKUP($AI819,Programma!$F$3:$Q$1107,12,0),"")</f>
        <v>1w</v>
      </c>
      <c r="AU819" s="300" t="str">
        <f>_xlfn.IFNA(VLOOKUP($AI819,Programma!$F$3:$R$1107,13,0),"")</f>
        <v>1w</v>
      </c>
      <c r="AV819" s="300" t="str">
        <f>_xlfn.IFNA(VLOOKUP($AI819,Programma!$F$3:$S$1107,14,0),"")</f>
        <v>1m</v>
      </c>
      <c r="AW819" s="300" t="str">
        <f>_xlfn.IFNA(VLOOKUP($AI819,Programma!$F$3:$T$1107,15,0),"")</f>
        <v>2j</v>
      </c>
      <c r="AX819" s="300" t="str">
        <f>_xlfn.IFNA(VLOOKUP($AI819,Programma!$F$3:$U$1107,16,0),"")</f>
        <v>1j</v>
      </c>
      <c r="AY819" s="300" t="str">
        <f>_xlfn.IFNA(VLOOKUP($AI819,Programma!$F$3:$V$1107,17,0),"")</f>
        <v>_</v>
      </c>
      <c r="AZ819" s="300" t="str">
        <f>_xlfn.IFNA(VLOOKUP($AI819,Programma!$F$3:$W$1107,18,0),"")</f>
        <v>_</v>
      </c>
      <c r="BA819" s="300" t="str">
        <f>_xlfn.IFNA(VLOOKUP($AI819,Programma!$F$3:$X$1107,19,0),"")</f>
        <v>_</v>
      </c>
      <c r="BB819" s="300" t="str">
        <f>_xlfn.IFNA(VLOOKUP($AI819,Programma!$F$3:$Y$1107,20,0),"")</f>
        <v>_</v>
      </c>
      <c r="BC819" s="257"/>
      <c r="BD819" s="256" t="str">
        <f>IF(Ruimtestaat[[#This Row],[Frequentie weekend]]="","",_xlfn.CONCAT(Ruimtestaat[[#This Row],[Ruimte code]],"-",Ruimtestaat[[#This Row],[Frequentie weekend]]," ",Ruimtestaat[[#This Row],[Vloer code]]))</f>
        <v/>
      </c>
      <c r="BE819" s="300" t="str">
        <f>_xlfn.IFNA(VLOOKUP($BD819,Programma!$F$3:$G$1107,2,0),"")</f>
        <v/>
      </c>
      <c r="BF819" s="300" t="str">
        <f>_xlfn.IFNA(VLOOKUP($BD819,Programma!$F$3:$H$1107,3,0),"")</f>
        <v/>
      </c>
      <c r="BG819" s="300" t="str">
        <f>_xlfn.IFNA(VLOOKUP($BD819,Programma!$F$3:$I$1107,4,0),"")</f>
        <v/>
      </c>
      <c r="BH819" s="300" t="str">
        <f>_xlfn.IFNA(VLOOKUP($BD819,Programma!$F$3:$J$1107,5,0),"")</f>
        <v/>
      </c>
      <c r="BI819" s="300" t="str">
        <f>_xlfn.IFNA(VLOOKUP($BD819,Programma!$F$3:$K$1107,6,0),"")</f>
        <v/>
      </c>
      <c r="BJ819" s="300" t="str">
        <f>_xlfn.IFNA(VLOOKUP($BD819,Programma!$F$3:$L$1107,7,0),"")</f>
        <v/>
      </c>
      <c r="BK819" s="300" t="str">
        <f>_xlfn.IFNA(VLOOKUP($BD819,Programma!$F$3:$M$1107,8,0),"")</f>
        <v/>
      </c>
      <c r="BL819" s="300" t="str">
        <f>_xlfn.IFNA(VLOOKUP($BD819,Programma!$F$3:$N$1107,9,0),"")</f>
        <v/>
      </c>
      <c r="BM819" s="300" t="str">
        <f>_xlfn.IFNA(VLOOKUP($BD819,Programma!$F$3:$O$1107,10,0),"")</f>
        <v/>
      </c>
      <c r="BN819" s="300" t="str">
        <f>_xlfn.IFNA(VLOOKUP($BD819,Programma!$F$3:$P$1107,11,0),"")</f>
        <v/>
      </c>
      <c r="BO819" s="300" t="str">
        <f>_xlfn.IFNA(VLOOKUP($BD819,Programma!$F$3:$Q$1107,12,0),"")</f>
        <v/>
      </c>
      <c r="BP819" s="300" t="str">
        <f>_xlfn.IFNA(VLOOKUP($BD819,Programma!$F$3:$R$1107,13,0),"")</f>
        <v/>
      </c>
      <c r="BQ819" s="300" t="str">
        <f>_xlfn.IFNA(VLOOKUP($BD819,Programma!$F$3:$S$1107,14,0),"")</f>
        <v/>
      </c>
      <c r="BR819" s="300" t="str">
        <f>_xlfn.IFNA(VLOOKUP($BD819,Programma!$F$3:$T$1107,15,0),"")</f>
        <v/>
      </c>
      <c r="BS819" s="300" t="str">
        <f>_xlfn.IFNA(VLOOKUP($BD819,Programma!$F$3:$U$1107,16,0),"")</f>
        <v/>
      </c>
      <c r="BT819" s="300" t="str">
        <f>_xlfn.IFNA(VLOOKUP($BD819,Programma!$F$3:$V$1107,17,0),"")</f>
        <v/>
      </c>
      <c r="BU819" s="300" t="str">
        <f>_xlfn.IFNA(VLOOKUP($BD819,Programma!$F$3:$W$1107,18,0),"")</f>
        <v/>
      </c>
      <c r="BV819" s="300" t="str">
        <f>_xlfn.IFNA(VLOOKUP($BD819,Programma!$F$3:$X$1107,19,0),"")</f>
        <v/>
      </c>
      <c r="BW819" s="300" t="str">
        <f>_xlfn.IFNA(VLOOKUP($BD819,Programma!$F$3:$Y$1107,20,0),"")</f>
        <v/>
      </c>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c r="GK819" s="4"/>
      <c r="GL819" s="4"/>
      <c r="GM819" s="4"/>
      <c r="GN819" s="4"/>
      <c r="GO819" s="4"/>
      <c r="GP819" s="4"/>
      <c r="GQ819" s="4"/>
      <c r="GR819" s="4"/>
      <c r="GS819" s="4"/>
      <c r="GT819" s="4"/>
      <c r="GU819" s="4"/>
      <c r="GV819" s="4"/>
      <c r="GW819" s="4"/>
      <c r="GX819" s="4"/>
      <c r="GY819" s="4"/>
      <c r="GZ819" s="4"/>
      <c r="HA819" s="4"/>
      <c r="HB819" s="4"/>
      <c r="HC819" s="4"/>
      <c r="HD819" s="4"/>
      <c r="HE819" s="4"/>
      <c r="HF819" s="4"/>
      <c r="HG819" s="4"/>
      <c r="HH819" s="4"/>
      <c r="HI819" s="4"/>
      <c r="HJ819" s="4"/>
      <c r="HK819" s="4"/>
      <c r="HL819" s="4"/>
    </row>
    <row r="820" spans="1:220" ht="15" customHeight="1">
      <c r="A820" s="21">
        <v>8</v>
      </c>
      <c r="B820" s="157" t="str">
        <f>VLOOKUP(Ruimtestaat[[#This Row],[Code]],Locaties[[Code]:[Locatie]],2,FALSE)</f>
        <v>Dalton College</v>
      </c>
      <c r="C820" s="157" t="str">
        <f>VLOOKUP(Ruimtestaat[[#This Row],[Code]],Locaties[[#All],[Code]:[Adres]],4,FALSE)</f>
        <v>Loolaan 125</v>
      </c>
      <c r="D820" s="157" t="str">
        <f>VLOOKUP(Ruimtestaat[[#This Row],[Code]],Locaties[[#All],[Code]:[Postcode]],5,FALSE)</f>
        <v xml:space="preserve">2271 TM </v>
      </c>
      <c r="E820" s="157" t="str">
        <f>VLOOKUP(Ruimtestaat[[#This Row],[Code]],Locaties[#All],6,FALSE)</f>
        <v>Voorburg</v>
      </c>
      <c r="F820" s="62"/>
      <c r="G820" s="21" t="s">
        <v>1624</v>
      </c>
      <c r="H820" s="21" t="s">
        <v>2295</v>
      </c>
      <c r="I820" s="62" t="s">
        <v>1909</v>
      </c>
      <c r="J820" s="21">
        <v>2</v>
      </c>
      <c r="K820" s="62" t="str">
        <f>VLOOKUP(Ruimtestaat[[#This Row],[Ruimte code]],Ruimtegroepen[[#All],[Code]:[Ruimte omschrijving]],2,FALSE)</f>
        <v>Kantoren</v>
      </c>
      <c r="L820" s="33" t="s">
        <v>101</v>
      </c>
      <c r="M820" s="367" t="s">
        <v>2495</v>
      </c>
      <c r="N820" s="140">
        <v>17</v>
      </c>
      <c r="O820" s="140"/>
      <c r="P820" s="125" t="str">
        <f>VLOOKUP(Ruimtestaat[[#This Row],[Ruimte code]],Ruimtegroepen[],4,FALSE)</f>
        <v>Bu</v>
      </c>
      <c r="R820" s="33">
        <v>42</v>
      </c>
      <c r="S820" s="33" t="s">
        <v>18</v>
      </c>
      <c r="T820" s="33">
        <f>IF(R820&gt;0,IF(RIGHT(Ruimtestaat[[#This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20" s="33">
        <f>IF(T820&gt;0,VLOOKUP($J820,Ruimtegroepen[],3,FALSE)*VLOOKUP($L820,Vloersoorten[],3,FALSE)*VLOOKUP($S820,Frequenties[],3,FALSE)*VLOOKUP($A820,Locaties[],3,FALSE),0)</f>
        <v>0</v>
      </c>
      <c r="V820" s="33">
        <f>Ruimtestaat[[#This Row],[Uitvoeringen werkdagen]]*Ruimtestaat[[#This Row],[Oppervlak (netto)]]</f>
        <v>2142</v>
      </c>
      <c r="W820" s="154">
        <f>IF(U820&gt;0,Ruimtestaat[[#This Row],[Prest. (m2 /jaar) werkdagen]]/Ruimtestaat[[#This Row],[Norm (m2/uur) werkdagen]],0)</f>
        <v>0</v>
      </c>
      <c r="X820" s="155">
        <f>Ruimtestaat[[#This Row],[uren / jaar werkdagen]]*Tariefsopbouw!$E$35</f>
        <v>0</v>
      </c>
      <c r="Y820" s="33"/>
      <c r="Z820" s="33">
        <f>IF(Ruimtestaat[[#This Row],[Frequentie weekend]]&gt;0,VALUE(LEFT(Y820,1))*R820,0)</f>
        <v>0</v>
      </c>
      <c r="AA820" s="97">
        <f>IF($Z820&gt;0,VLOOKUP($J820,Ruimtegroepen[],3,FALSE)*VLOOKUP($L820,Vloersoorten[],3,FALSE)*VLOOKUP($Y820,Frequenties[],3,FALSE)*VLOOKUP(Ruimtestaat[[#This Row],[Code]],Locaties[],3,FALSE),0)</f>
        <v>0</v>
      </c>
      <c r="AB820" s="97">
        <f>Ruimtestaat[[#This Row],[Uitvoeringen weekend]]*Ruimtestaat[[#This Row],[Oppervlak (netto)]]</f>
        <v>0</v>
      </c>
      <c r="AC820" s="97">
        <f>IF(AA820&gt;0,Ruimtestaat[[#This Row],[Prest. (m2 /jaar) weekend]]/Ruimtestaat[[#This Row],[Norm (m2/uur) weekend]],0)</f>
        <v>0</v>
      </c>
      <c r="AD820" s="155">
        <f>Ruimtestaat[[#This Row],[uren / jaar weekend]]*Tariefsopbouw!$D$40</f>
        <v>0</v>
      </c>
      <c r="AE820" s="154">
        <f>Ruimtestaat[[#This Row],[Prest. (m2 /jaar) weekend]]+Ruimtestaat[[#This Row],[Prest. (m2 /jaar) werkdagen]]</f>
        <v>2142</v>
      </c>
      <c r="AF820" s="154">
        <f>Ruimtestaat[[#This Row],[uren / jaar weekend]]+Ruimtestaat[[#This Row],[uren / jaar werkdagen]]</f>
        <v>0</v>
      </c>
      <c r="AG820" s="69">
        <f>Ruimtestaat[[#This Row],[kosten / jaar weekend]]+Ruimtestaat[[#This Row],[kosten / jaar werkdagen]]</f>
        <v>0</v>
      </c>
      <c r="AH820" s="69"/>
      <c r="AI820" s="256" t="str">
        <f>IF(Ruimtestaat[[#This Row],[Frequentie werkdagen]]="","",_xlfn.CONCAT(Ruimtestaat[[#This Row],[Ruimte code]],"-",Ruimtestaat[[#This Row],[Frequentie werkdagen]]," ",Ruimtestaat[[#This Row],[Vloer code]]))</f>
        <v>2-3w L</v>
      </c>
      <c r="AJ820" s="300" t="str">
        <f>_xlfn.IFNA(VLOOKUP($AI820,Programma!$F$3:$G$1107,2,0),"")</f>
        <v>_</v>
      </c>
      <c r="AK820" s="300" t="str">
        <f>_xlfn.IFNA(VLOOKUP($AI820,Programma!$F$3:$H$1107,3,0),"")</f>
        <v>_</v>
      </c>
      <c r="AL820" s="300" t="str">
        <f>_xlfn.IFNA(VLOOKUP($AI820,Programma!$F$3:$I$1107,4,0),"")</f>
        <v>2w</v>
      </c>
      <c r="AM820" s="300" t="str">
        <f>_xlfn.IFNA(VLOOKUP($AI820,Programma!$F$3:$J$1107,5,0),"")</f>
        <v>1w</v>
      </c>
      <c r="AN820" s="300" t="str">
        <f>_xlfn.IFNA(VLOOKUP($AI820,Programma!$F$3:$K$1107,6,0),"")</f>
        <v>_</v>
      </c>
      <c r="AO820" s="300" t="str">
        <f>_xlfn.IFNA(VLOOKUP($AI820,Programma!$F$3:$L$1107,7,0),"")</f>
        <v>_</v>
      </c>
      <c r="AP820" s="300" t="str">
        <f>_xlfn.IFNA(VLOOKUP($AI820,Programma!$F$3:$M$1107,8,0),"")</f>
        <v>_</v>
      </c>
      <c r="AQ820" s="300" t="str">
        <f>_xlfn.IFNA(VLOOKUP($AI820,Programma!$F$3:$N$1107,9,0),"")</f>
        <v>_</v>
      </c>
      <c r="AR820" s="300" t="str">
        <f>_xlfn.IFNA(VLOOKUP($AI820,Programma!$F$3:$O$1107,10,0),"")</f>
        <v>3w</v>
      </c>
      <c r="AS820" s="300" t="str">
        <f>_xlfn.IFNA(VLOOKUP($AI820,Programma!$F$3:$P$1107,11,0),"")</f>
        <v>3w</v>
      </c>
      <c r="AT820" s="300" t="str">
        <f>_xlfn.IFNA(VLOOKUP($AI820,Programma!$F$3:$Q$1107,12,0),"")</f>
        <v>1w</v>
      </c>
      <c r="AU820" s="300" t="str">
        <f>_xlfn.IFNA(VLOOKUP($AI820,Programma!$F$3:$R$1107,13,0),"")</f>
        <v>1w</v>
      </c>
      <c r="AV820" s="300" t="str">
        <f>_xlfn.IFNA(VLOOKUP($AI820,Programma!$F$3:$S$1107,14,0),"")</f>
        <v>1m</v>
      </c>
      <c r="AW820" s="300" t="str">
        <f>_xlfn.IFNA(VLOOKUP($AI820,Programma!$F$3:$T$1107,15,0),"")</f>
        <v>2j</v>
      </c>
      <c r="AX820" s="300" t="str">
        <f>_xlfn.IFNA(VLOOKUP($AI820,Programma!$F$3:$U$1107,16,0),"")</f>
        <v>1j</v>
      </c>
      <c r="AY820" s="300" t="str">
        <f>_xlfn.IFNA(VLOOKUP($AI820,Programma!$F$3:$V$1107,17,0),"")</f>
        <v>_</v>
      </c>
      <c r="AZ820" s="300" t="str">
        <f>_xlfn.IFNA(VLOOKUP($AI820,Programma!$F$3:$W$1107,18,0),"")</f>
        <v>_</v>
      </c>
      <c r="BA820" s="300" t="str">
        <f>_xlfn.IFNA(VLOOKUP($AI820,Programma!$F$3:$X$1107,19,0),"")</f>
        <v>_</v>
      </c>
      <c r="BB820" s="300" t="str">
        <f>_xlfn.IFNA(VLOOKUP($AI820,Programma!$F$3:$Y$1107,20,0),"")</f>
        <v>_</v>
      </c>
      <c r="BC820" s="257"/>
      <c r="BD820" s="256" t="str">
        <f>IF(Ruimtestaat[[#This Row],[Frequentie weekend]]="","",_xlfn.CONCAT(Ruimtestaat[[#This Row],[Ruimte code]],"-",Ruimtestaat[[#This Row],[Frequentie weekend]]," ",Ruimtestaat[[#This Row],[Vloer code]]))</f>
        <v/>
      </c>
      <c r="BE820" s="300" t="str">
        <f>_xlfn.IFNA(VLOOKUP($BD820,Programma!$F$3:$G$1107,2,0),"")</f>
        <v/>
      </c>
      <c r="BF820" s="300" t="str">
        <f>_xlfn.IFNA(VLOOKUP($BD820,Programma!$F$3:$H$1107,3,0),"")</f>
        <v/>
      </c>
      <c r="BG820" s="300" t="str">
        <f>_xlfn.IFNA(VLOOKUP($BD820,Programma!$F$3:$I$1107,4,0),"")</f>
        <v/>
      </c>
      <c r="BH820" s="300" t="str">
        <f>_xlfn.IFNA(VLOOKUP($BD820,Programma!$F$3:$J$1107,5,0),"")</f>
        <v/>
      </c>
      <c r="BI820" s="300" t="str">
        <f>_xlfn.IFNA(VLOOKUP($BD820,Programma!$F$3:$K$1107,6,0),"")</f>
        <v/>
      </c>
      <c r="BJ820" s="300" t="str">
        <f>_xlfn.IFNA(VLOOKUP($BD820,Programma!$F$3:$L$1107,7,0),"")</f>
        <v/>
      </c>
      <c r="BK820" s="300" t="str">
        <f>_xlfn.IFNA(VLOOKUP($BD820,Programma!$F$3:$M$1107,8,0),"")</f>
        <v/>
      </c>
      <c r="BL820" s="300" t="str">
        <f>_xlfn.IFNA(VLOOKUP($BD820,Programma!$F$3:$N$1107,9,0),"")</f>
        <v/>
      </c>
      <c r="BM820" s="300" t="str">
        <f>_xlfn.IFNA(VLOOKUP($BD820,Programma!$F$3:$O$1107,10,0),"")</f>
        <v/>
      </c>
      <c r="BN820" s="300" t="str">
        <f>_xlfn.IFNA(VLOOKUP($BD820,Programma!$F$3:$P$1107,11,0),"")</f>
        <v/>
      </c>
      <c r="BO820" s="300" t="str">
        <f>_xlfn.IFNA(VLOOKUP($BD820,Programma!$F$3:$Q$1107,12,0),"")</f>
        <v/>
      </c>
      <c r="BP820" s="300" t="str">
        <f>_xlfn.IFNA(VLOOKUP($BD820,Programma!$F$3:$R$1107,13,0),"")</f>
        <v/>
      </c>
      <c r="BQ820" s="300" t="str">
        <f>_xlfn.IFNA(VLOOKUP($BD820,Programma!$F$3:$S$1107,14,0),"")</f>
        <v/>
      </c>
      <c r="BR820" s="300" t="str">
        <f>_xlfn.IFNA(VLOOKUP($BD820,Programma!$F$3:$T$1107,15,0),"")</f>
        <v/>
      </c>
      <c r="BS820" s="300" t="str">
        <f>_xlfn.IFNA(VLOOKUP($BD820,Programma!$F$3:$U$1107,16,0),"")</f>
        <v/>
      </c>
      <c r="BT820" s="300" t="str">
        <f>_xlfn.IFNA(VLOOKUP($BD820,Programma!$F$3:$V$1107,17,0),"")</f>
        <v/>
      </c>
      <c r="BU820" s="300" t="str">
        <f>_xlfn.IFNA(VLOOKUP($BD820,Programma!$F$3:$W$1107,18,0),"")</f>
        <v/>
      </c>
      <c r="BV820" s="300" t="str">
        <f>_xlfn.IFNA(VLOOKUP($BD820,Programma!$F$3:$X$1107,19,0),"")</f>
        <v/>
      </c>
      <c r="BW820" s="300" t="str">
        <f>_xlfn.IFNA(VLOOKUP($BD820,Programma!$F$3:$Y$1107,20,0),"")</f>
        <v/>
      </c>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c r="GK820" s="4"/>
      <c r="GL820" s="4"/>
      <c r="GM820" s="4"/>
      <c r="GN820" s="4"/>
      <c r="GO820" s="4"/>
      <c r="GP820" s="4"/>
      <c r="GQ820" s="4"/>
      <c r="GR820" s="4"/>
      <c r="GS820" s="4"/>
      <c r="GT820" s="4"/>
      <c r="GU820" s="4"/>
      <c r="GV820" s="4"/>
      <c r="GW820" s="4"/>
      <c r="GX820" s="4"/>
      <c r="GY820" s="4"/>
      <c r="GZ820" s="4"/>
      <c r="HA820" s="4"/>
      <c r="HB820" s="4"/>
      <c r="HC820" s="4"/>
      <c r="HD820" s="4"/>
      <c r="HE820" s="4"/>
      <c r="HF820" s="4"/>
      <c r="HG820" s="4"/>
      <c r="HH820" s="4"/>
      <c r="HI820" s="4"/>
      <c r="HJ820" s="4"/>
      <c r="HK820" s="4"/>
      <c r="HL820" s="4"/>
    </row>
    <row r="821" spans="1:220" ht="15" customHeight="1">
      <c r="A821" s="21">
        <v>8</v>
      </c>
      <c r="B821" s="157" t="str">
        <f>VLOOKUP(Ruimtestaat[[#This Row],[Code]],Locaties[[Code]:[Locatie]],2,FALSE)</f>
        <v>Dalton College</v>
      </c>
      <c r="C821" s="157" t="str">
        <f>VLOOKUP(Ruimtestaat[[#This Row],[Code]],Locaties[[#All],[Code]:[Adres]],4,FALSE)</f>
        <v>Loolaan 125</v>
      </c>
      <c r="D821" s="157" t="str">
        <f>VLOOKUP(Ruimtestaat[[#This Row],[Code]],Locaties[[#All],[Code]:[Postcode]],5,FALSE)</f>
        <v xml:space="preserve">2271 TM </v>
      </c>
      <c r="E821" s="157" t="str">
        <f>VLOOKUP(Ruimtestaat[[#This Row],[Code]],Locaties[#All],6,FALSE)</f>
        <v>Voorburg</v>
      </c>
      <c r="F821" s="62"/>
      <c r="G821" s="21" t="s">
        <v>1624</v>
      </c>
      <c r="H821" s="21" t="s">
        <v>2296</v>
      </c>
      <c r="I821" s="62" t="s">
        <v>2297</v>
      </c>
      <c r="J821" s="21">
        <v>5</v>
      </c>
      <c r="K821" s="62" t="str">
        <f>VLOOKUP(Ruimtestaat[[#This Row],[Ruimte code]],Ruimtegroepen[[#All],[Code]:[Ruimte omschrijving]],2,FALSE)</f>
        <v>Sanitair</v>
      </c>
      <c r="L821" s="33" t="s">
        <v>102</v>
      </c>
      <c r="M821" s="367" t="s">
        <v>2496</v>
      </c>
      <c r="N821" s="140">
        <v>7</v>
      </c>
      <c r="O821" s="140"/>
      <c r="P821" s="125" t="str">
        <f>VLOOKUP(Ruimtestaat[[#This Row],[Ruimte code]],Ruimtegroepen[],4,FALSE)</f>
        <v>Sa</v>
      </c>
      <c r="R821" s="33">
        <v>40</v>
      </c>
      <c r="S821" s="33" t="s">
        <v>2</v>
      </c>
      <c r="T821" s="33">
        <f>IF(R821&gt;0,IF(RIGHT(Ruimtestaat[[#This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1" s="33">
        <f>IF(T821&gt;0,VLOOKUP($J821,Ruimtegroepen[],3,FALSE)*VLOOKUP($L821,Vloersoorten[],3,FALSE)*VLOOKUP($S821,Frequenties[],3,FALSE)*VLOOKUP($A821,Locaties[],3,FALSE),0)</f>
        <v>0</v>
      </c>
      <c r="V821" s="33">
        <f>Ruimtestaat[[#This Row],[Uitvoeringen werkdagen]]*Ruimtestaat[[#This Row],[Oppervlak (netto)]]</f>
        <v>1400</v>
      </c>
      <c r="W821" s="154">
        <f>IF(U821&gt;0,Ruimtestaat[[#This Row],[Prest. (m2 /jaar) werkdagen]]/Ruimtestaat[[#This Row],[Norm (m2/uur) werkdagen]],0)</f>
        <v>0</v>
      </c>
      <c r="X821" s="155">
        <f>Ruimtestaat[[#This Row],[uren / jaar werkdagen]]*Tariefsopbouw!$E$35</f>
        <v>0</v>
      </c>
      <c r="Y821" s="33"/>
      <c r="Z821" s="33">
        <f>IF(Ruimtestaat[[#This Row],[Frequentie weekend]]&gt;0,VALUE(LEFT(Y821,1))*R821,0)</f>
        <v>0</v>
      </c>
      <c r="AA821" s="97">
        <f>IF($Z821&gt;0,VLOOKUP($J821,Ruimtegroepen[],3,FALSE)*VLOOKUP($L821,Vloersoorten[],3,FALSE)*VLOOKUP($Y821,Frequenties[],3,FALSE)*VLOOKUP(Ruimtestaat[[#This Row],[Code]],Locaties[],3,FALSE),0)</f>
        <v>0</v>
      </c>
      <c r="AB821" s="97">
        <f>Ruimtestaat[[#This Row],[Uitvoeringen weekend]]*Ruimtestaat[[#This Row],[Oppervlak (netto)]]</f>
        <v>0</v>
      </c>
      <c r="AC821" s="97">
        <f>IF(AA821&gt;0,Ruimtestaat[[#This Row],[Prest. (m2 /jaar) weekend]]/Ruimtestaat[[#This Row],[Norm (m2/uur) weekend]],0)</f>
        <v>0</v>
      </c>
      <c r="AD821" s="155">
        <f>Ruimtestaat[[#This Row],[uren / jaar weekend]]*Tariefsopbouw!$D$40</f>
        <v>0</v>
      </c>
      <c r="AE821" s="154">
        <f>Ruimtestaat[[#This Row],[Prest. (m2 /jaar) weekend]]+Ruimtestaat[[#This Row],[Prest. (m2 /jaar) werkdagen]]</f>
        <v>1400</v>
      </c>
      <c r="AF821" s="154">
        <f>Ruimtestaat[[#This Row],[uren / jaar weekend]]+Ruimtestaat[[#This Row],[uren / jaar werkdagen]]</f>
        <v>0</v>
      </c>
      <c r="AG821" s="69">
        <f>Ruimtestaat[[#This Row],[kosten / jaar weekend]]+Ruimtestaat[[#This Row],[kosten / jaar werkdagen]]</f>
        <v>0</v>
      </c>
      <c r="AH821" s="69"/>
      <c r="AI821" s="256" t="str">
        <f>IF(Ruimtestaat[[#This Row],[Frequentie werkdagen]]="","",_xlfn.CONCAT(Ruimtestaat[[#This Row],[Ruimte code]],"-",Ruimtestaat[[#This Row],[Frequentie werkdagen]]," ",Ruimtestaat[[#This Row],[Vloer code]]))</f>
        <v>5-5w S</v>
      </c>
      <c r="AJ821" s="300" t="str">
        <f>_xlfn.IFNA(VLOOKUP($AI821,Programma!$F$3:$G$1107,2,0),"")</f>
        <v>_</v>
      </c>
      <c r="AK821" s="300" t="str">
        <f>_xlfn.IFNA(VLOOKUP($AI821,Programma!$F$3:$H$1107,3,0),"")</f>
        <v>_</v>
      </c>
      <c r="AL821" s="300" t="str">
        <f>_xlfn.IFNA(VLOOKUP($AI821,Programma!$F$3:$I$1107,4,0),"")</f>
        <v>_</v>
      </c>
      <c r="AM821" s="300" t="str">
        <f>_xlfn.IFNA(VLOOKUP($AI821,Programma!$F$3:$J$1107,5,0),"")</f>
        <v>4w</v>
      </c>
      <c r="AN821" s="300" t="str">
        <f>_xlfn.IFNA(VLOOKUP($AI821,Programma!$F$3:$K$1107,6,0),"")</f>
        <v>1w</v>
      </c>
      <c r="AO821" s="300" t="str">
        <f>_xlfn.IFNA(VLOOKUP($AI821,Programma!$F$3:$L$1107,7,0),"")</f>
        <v>_</v>
      </c>
      <c r="AP821" s="300" t="str">
        <f>_xlfn.IFNA(VLOOKUP($AI821,Programma!$F$3:$M$1107,8,0),"")</f>
        <v>_</v>
      </c>
      <c r="AQ821" s="300" t="str">
        <f>_xlfn.IFNA(VLOOKUP($AI821,Programma!$F$3:$N$1107,9,0),"")</f>
        <v>_</v>
      </c>
      <c r="AR821" s="300" t="str">
        <f>_xlfn.IFNA(VLOOKUP($AI821,Programma!$F$3:$O$1107,10,0),"")</f>
        <v>_</v>
      </c>
      <c r="AS821" s="300" t="str">
        <f>_xlfn.IFNA(VLOOKUP($AI821,Programma!$F$3:$P$1107,11,0),"")</f>
        <v>_</v>
      </c>
      <c r="AT821" s="300" t="str">
        <f>_xlfn.IFNA(VLOOKUP($AI821,Programma!$F$3:$Q$1107,12,0),"")</f>
        <v>_</v>
      </c>
      <c r="AU821" s="300" t="str">
        <f>_xlfn.IFNA(VLOOKUP($AI821,Programma!$F$3:$R$1107,13,0),"")</f>
        <v>_</v>
      </c>
      <c r="AV821" s="300" t="str">
        <f>_xlfn.IFNA(VLOOKUP($AI821,Programma!$F$3:$S$1107,14,0),"")</f>
        <v>_</v>
      </c>
      <c r="AW821" s="300" t="str">
        <f>_xlfn.IFNA(VLOOKUP($AI821,Programma!$F$3:$T$1107,15,0),"")</f>
        <v>_</v>
      </c>
      <c r="AX821" s="300" t="str">
        <f>_xlfn.IFNA(VLOOKUP($AI821,Programma!$F$3:$U$1107,16,0),"")</f>
        <v>_</v>
      </c>
      <c r="AY821" s="300" t="str">
        <f>_xlfn.IFNA(VLOOKUP($AI821,Programma!$F$3:$V$1107,17,0),"")</f>
        <v>_</v>
      </c>
      <c r="AZ821" s="300" t="str">
        <f>_xlfn.IFNA(VLOOKUP($AI821,Programma!$F$3:$W$1107,18,0),"")</f>
        <v>4w</v>
      </c>
      <c r="BA821" s="300" t="str">
        <f>_xlfn.IFNA(VLOOKUP($AI821,Programma!$F$3:$X$1107,19,0),"")</f>
        <v>1w</v>
      </c>
      <c r="BB821" s="300" t="str">
        <f>_xlfn.IFNA(VLOOKUP($AI821,Programma!$F$3:$Y$1107,20,0),"")</f>
        <v>_</v>
      </c>
      <c r="BC821" s="257"/>
      <c r="BD821" s="256" t="str">
        <f>IF(Ruimtestaat[[#This Row],[Frequentie weekend]]="","",_xlfn.CONCAT(Ruimtestaat[[#This Row],[Ruimte code]],"-",Ruimtestaat[[#This Row],[Frequentie weekend]]," ",Ruimtestaat[[#This Row],[Vloer code]]))</f>
        <v/>
      </c>
      <c r="BE821" s="300" t="str">
        <f>_xlfn.IFNA(VLOOKUP($BD821,Programma!$F$3:$G$1107,2,0),"")</f>
        <v/>
      </c>
      <c r="BF821" s="300" t="str">
        <f>_xlfn.IFNA(VLOOKUP($BD821,Programma!$F$3:$H$1107,3,0),"")</f>
        <v/>
      </c>
      <c r="BG821" s="300" t="str">
        <f>_xlfn.IFNA(VLOOKUP($BD821,Programma!$F$3:$I$1107,4,0),"")</f>
        <v/>
      </c>
      <c r="BH821" s="300" t="str">
        <f>_xlfn.IFNA(VLOOKUP($BD821,Programma!$F$3:$J$1107,5,0),"")</f>
        <v/>
      </c>
      <c r="BI821" s="300" t="str">
        <f>_xlfn.IFNA(VLOOKUP($BD821,Programma!$F$3:$K$1107,6,0),"")</f>
        <v/>
      </c>
      <c r="BJ821" s="300" t="str">
        <f>_xlfn.IFNA(VLOOKUP($BD821,Programma!$F$3:$L$1107,7,0),"")</f>
        <v/>
      </c>
      <c r="BK821" s="300" t="str">
        <f>_xlfn.IFNA(VLOOKUP($BD821,Programma!$F$3:$M$1107,8,0),"")</f>
        <v/>
      </c>
      <c r="BL821" s="300" t="str">
        <f>_xlfn.IFNA(VLOOKUP($BD821,Programma!$F$3:$N$1107,9,0),"")</f>
        <v/>
      </c>
      <c r="BM821" s="300" t="str">
        <f>_xlfn.IFNA(VLOOKUP($BD821,Programma!$F$3:$O$1107,10,0),"")</f>
        <v/>
      </c>
      <c r="BN821" s="300" t="str">
        <f>_xlfn.IFNA(VLOOKUP($BD821,Programma!$F$3:$P$1107,11,0),"")</f>
        <v/>
      </c>
      <c r="BO821" s="300" t="str">
        <f>_xlfn.IFNA(VLOOKUP($BD821,Programma!$F$3:$Q$1107,12,0),"")</f>
        <v/>
      </c>
      <c r="BP821" s="300" t="str">
        <f>_xlfn.IFNA(VLOOKUP($BD821,Programma!$F$3:$R$1107,13,0),"")</f>
        <v/>
      </c>
      <c r="BQ821" s="300" t="str">
        <f>_xlfn.IFNA(VLOOKUP($BD821,Programma!$F$3:$S$1107,14,0),"")</f>
        <v/>
      </c>
      <c r="BR821" s="300" t="str">
        <f>_xlfn.IFNA(VLOOKUP($BD821,Programma!$F$3:$T$1107,15,0),"")</f>
        <v/>
      </c>
      <c r="BS821" s="300" t="str">
        <f>_xlfn.IFNA(VLOOKUP($BD821,Programma!$F$3:$U$1107,16,0),"")</f>
        <v/>
      </c>
      <c r="BT821" s="300" t="str">
        <f>_xlfn.IFNA(VLOOKUP($BD821,Programma!$F$3:$V$1107,17,0),"")</f>
        <v/>
      </c>
      <c r="BU821" s="300" t="str">
        <f>_xlfn.IFNA(VLOOKUP($BD821,Programma!$F$3:$W$1107,18,0),"")</f>
        <v/>
      </c>
      <c r="BV821" s="300" t="str">
        <f>_xlfn.IFNA(VLOOKUP($BD821,Programma!$F$3:$X$1107,19,0),"")</f>
        <v/>
      </c>
      <c r="BW821" s="300" t="str">
        <f>_xlfn.IFNA(VLOOKUP($BD821,Programma!$F$3:$Y$1107,20,0),"")</f>
        <v/>
      </c>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c r="GK821" s="4"/>
      <c r="GL821" s="4"/>
      <c r="GM821" s="4"/>
      <c r="GN821" s="4"/>
      <c r="GO821" s="4"/>
      <c r="GP821" s="4"/>
      <c r="GQ821" s="4"/>
      <c r="GR821" s="4"/>
      <c r="GS821" s="4"/>
      <c r="GT821" s="4"/>
      <c r="GU821" s="4"/>
      <c r="GV821" s="4"/>
      <c r="GW821" s="4"/>
      <c r="GX821" s="4"/>
      <c r="GY821" s="4"/>
      <c r="GZ821" s="4"/>
      <c r="HA821" s="4"/>
      <c r="HB821" s="4"/>
      <c r="HC821" s="4"/>
      <c r="HD821" s="4"/>
      <c r="HE821" s="4"/>
      <c r="HF821" s="4"/>
      <c r="HG821" s="4"/>
      <c r="HH821" s="4"/>
      <c r="HI821" s="4"/>
      <c r="HJ821" s="4"/>
      <c r="HK821" s="4"/>
      <c r="HL821" s="4"/>
    </row>
    <row r="822" spans="1:220" ht="15" customHeight="1">
      <c r="A822" s="21">
        <v>8</v>
      </c>
      <c r="B822" s="157" t="str">
        <f>VLOOKUP(Ruimtestaat[[#This Row],[Code]],Locaties[[Code]:[Locatie]],2,FALSE)</f>
        <v>Dalton College</v>
      </c>
      <c r="C822" s="157" t="str">
        <f>VLOOKUP(Ruimtestaat[[#This Row],[Code]],Locaties[[#All],[Code]:[Adres]],4,FALSE)</f>
        <v>Loolaan 125</v>
      </c>
      <c r="D822" s="157" t="str">
        <f>VLOOKUP(Ruimtestaat[[#This Row],[Code]],Locaties[[#All],[Code]:[Postcode]],5,FALSE)</f>
        <v xml:space="preserve">2271 TM </v>
      </c>
      <c r="E822" s="157" t="str">
        <f>VLOOKUP(Ruimtestaat[[#This Row],[Code]],Locaties[#All],6,FALSE)</f>
        <v>Voorburg</v>
      </c>
      <c r="F822" s="62"/>
      <c r="G822" s="21" t="s">
        <v>1624</v>
      </c>
      <c r="H822" s="21" t="s">
        <v>2298</v>
      </c>
      <c r="I822" s="62" t="s">
        <v>1899</v>
      </c>
      <c r="J822" s="21">
        <v>8</v>
      </c>
      <c r="K822" s="62" t="str">
        <f>VLOOKUP(Ruimtestaat[[#This Row],[Ruimte code]],Ruimtegroepen[[#All],[Code]:[Ruimte omschrijving]],2,FALSE)</f>
        <v>Mediatheek / OLC</v>
      </c>
      <c r="L822" s="33" t="s">
        <v>100</v>
      </c>
      <c r="M822" s="367" t="s">
        <v>2493</v>
      </c>
      <c r="N822" s="140">
        <v>231</v>
      </c>
      <c r="O822" s="140"/>
      <c r="P822" s="125" t="str">
        <f>VLOOKUP(Ruimtestaat[[#This Row],[Ruimte code]],Ruimtegroepen[],4,FALSE)</f>
        <v>Le</v>
      </c>
      <c r="R822" s="33">
        <v>40</v>
      </c>
      <c r="S822" s="33" t="s">
        <v>2</v>
      </c>
      <c r="T822" s="33">
        <f>IF(R822&gt;0,IF(RIGHT(Ruimtestaat[[#This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2" s="33">
        <f>IF(T822&gt;0,VLOOKUP($J822,Ruimtegroepen[],3,FALSE)*VLOOKUP($L822,Vloersoorten[],3,FALSE)*VLOOKUP($S822,Frequenties[],3,FALSE)*VLOOKUP($A822,Locaties[],3,FALSE),0)</f>
        <v>0</v>
      </c>
      <c r="V822" s="33">
        <f>Ruimtestaat[[#This Row],[Uitvoeringen werkdagen]]*Ruimtestaat[[#This Row],[Oppervlak (netto)]]</f>
        <v>46200</v>
      </c>
      <c r="W822" s="154">
        <f>IF(U822&gt;0,Ruimtestaat[[#This Row],[Prest. (m2 /jaar) werkdagen]]/Ruimtestaat[[#This Row],[Norm (m2/uur) werkdagen]],0)</f>
        <v>0</v>
      </c>
      <c r="X822" s="155">
        <f>Ruimtestaat[[#This Row],[uren / jaar werkdagen]]*Tariefsopbouw!$E$35</f>
        <v>0</v>
      </c>
      <c r="Y822" s="33"/>
      <c r="Z822" s="33">
        <f>IF(Ruimtestaat[[#This Row],[Frequentie weekend]]&gt;0,VALUE(LEFT(Y822,1))*R822,0)</f>
        <v>0</v>
      </c>
      <c r="AA822" s="97">
        <f>IF($Z822&gt;0,VLOOKUP($J822,Ruimtegroepen[],3,FALSE)*VLOOKUP($L822,Vloersoorten[],3,FALSE)*VLOOKUP($Y822,Frequenties[],3,FALSE)*VLOOKUP(Ruimtestaat[[#This Row],[Code]],Locaties[],3,FALSE),0)</f>
        <v>0</v>
      </c>
      <c r="AB822" s="97">
        <f>Ruimtestaat[[#This Row],[Uitvoeringen weekend]]*Ruimtestaat[[#This Row],[Oppervlak (netto)]]</f>
        <v>0</v>
      </c>
      <c r="AC822" s="97">
        <f>IF(AA822&gt;0,Ruimtestaat[[#This Row],[Prest. (m2 /jaar) weekend]]/Ruimtestaat[[#This Row],[Norm (m2/uur) weekend]],0)</f>
        <v>0</v>
      </c>
      <c r="AD822" s="155">
        <f>Ruimtestaat[[#This Row],[uren / jaar weekend]]*Tariefsopbouw!$D$40</f>
        <v>0</v>
      </c>
      <c r="AE822" s="154">
        <f>Ruimtestaat[[#This Row],[Prest. (m2 /jaar) weekend]]+Ruimtestaat[[#This Row],[Prest. (m2 /jaar) werkdagen]]</f>
        <v>46200</v>
      </c>
      <c r="AF822" s="154">
        <f>Ruimtestaat[[#This Row],[uren / jaar weekend]]+Ruimtestaat[[#This Row],[uren / jaar werkdagen]]</f>
        <v>0</v>
      </c>
      <c r="AG822" s="69">
        <f>Ruimtestaat[[#This Row],[kosten / jaar weekend]]+Ruimtestaat[[#This Row],[kosten / jaar werkdagen]]</f>
        <v>0</v>
      </c>
      <c r="AH822" s="69"/>
      <c r="AI822" s="256" t="str">
        <f>IF(Ruimtestaat[[#This Row],[Frequentie werkdagen]]="","",_xlfn.CONCAT(Ruimtestaat[[#This Row],[Ruimte code]],"-",Ruimtestaat[[#This Row],[Frequentie werkdagen]]," ",Ruimtestaat[[#This Row],[Vloer code]]))</f>
        <v>8-5w T</v>
      </c>
      <c r="AJ822" s="300" t="str">
        <f>_xlfn.IFNA(VLOOKUP($AI822,Programma!$F$3:$G$1107,2,0),"")</f>
        <v>_</v>
      </c>
      <c r="AK822" s="300" t="str">
        <f>_xlfn.IFNA(VLOOKUP($AI822,Programma!$F$3:$H$1107,3,0),"")</f>
        <v>5w</v>
      </c>
      <c r="AL822" s="300" t="str">
        <f>_xlfn.IFNA(VLOOKUP($AI822,Programma!$F$3:$I$1107,4,0),"")</f>
        <v>_</v>
      </c>
      <c r="AM822" s="300" t="str">
        <f>_xlfn.IFNA(VLOOKUP($AI822,Programma!$F$3:$J$1107,5,0),"")</f>
        <v>_</v>
      </c>
      <c r="AN822" s="300" t="str">
        <f>_xlfn.IFNA(VLOOKUP($AI822,Programma!$F$3:$K$1107,6,0),"")</f>
        <v>_</v>
      </c>
      <c r="AO822" s="300" t="str">
        <f>_xlfn.IFNA(VLOOKUP($AI822,Programma!$F$3:$L$1107,7,0),"")</f>
        <v>_</v>
      </c>
      <c r="AP822" s="300" t="str">
        <f>_xlfn.IFNA(VLOOKUP($AI822,Programma!$F$3:$M$1107,8,0),"")</f>
        <v>_</v>
      </c>
      <c r="AQ822" s="300" t="str">
        <f>_xlfn.IFNA(VLOOKUP($AI822,Programma!$F$3:$N$1107,9,0),"")</f>
        <v>_</v>
      </c>
      <c r="AR822" s="300" t="str">
        <f>_xlfn.IFNA(VLOOKUP($AI822,Programma!$F$3:$O$1107,10,0),"")</f>
        <v>5w</v>
      </c>
      <c r="AS822" s="300" t="str">
        <f>_xlfn.IFNA(VLOOKUP($AI822,Programma!$F$3:$P$1107,11,0),"")</f>
        <v>5w</v>
      </c>
      <c r="AT822" s="300" t="str">
        <f>_xlfn.IFNA(VLOOKUP($AI822,Programma!$F$3:$Q$1107,12,0),"")</f>
        <v>1w</v>
      </c>
      <c r="AU822" s="300" t="str">
        <f>_xlfn.IFNA(VLOOKUP($AI822,Programma!$F$3:$R$1107,13,0),"")</f>
        <v>1w</v>
      </c>
      <c r="AV822" s="300" t="str">
        <f>_xlfn.IFNA(VLOOKUP($AI822,Programma!$F$3:$S$1107,14,0),"")</f>
        <v>1m</v>
      </c>
      <c r="AW822" s="300" t="str">
        <f>_xlfn.IFNA(VLOOKUP($AI822,Programma!$F$3:$T$1107,15,0),"")</f>
        <v>2j</v>
      </c>
      <c r="AX822" s="300" t="str">
        <f>_xlfn.IFNA(VLOOKUP($AI822,Programma!$F$3:$U$1107,16,0),"")</f>
        <v>1j</v>
      </c>
      <c r="AY822" s="300" t="str">
        <f>_xlfn.IFNA(VLOOKUP($AI822,Programma!$F$3:$V$1107,17,0),"")</f>
        <v>_</v>
      </c>
      <c r="AZ822" s="300" t="str">
        <f>_xlfn.IFNA(VLOOKUP($AI822,Programma!$F$3:$W$1107,18,0),"")</f>
        <v>_</v>
      </c>
      <c r="BA822" s="300" t="str">
        <f>_xlfn.IFNA(VLOOKUP($AI822,Programma!$F$3:$X$1107,19,0),"")</f>
        <v>_</v>
      </c>
      <c r="BB822" s="300" t="str">
        <f>_xlfn.IFNA(VLOOKUP($AI822,Programma!$F$3:$Y$1107,20,0),"")</f>
        <v>_</v>
      </c>
      <c r="BC822" s="257"/>
      <c r="BD822" s="256" t="str">
        <f>IF(Ruimtestaat[[#This Row],[Frequentie weekend]]="","",_xlfn.CONCAT(Ruimtestaat[[#This Row],[Ruimte code]],"-",Ruimtestaat[[#This Row],[Frequentie weekend]]," ",Ruimtestaat[[#This Row],[Vloer code]]))</f>
        <v/>
      </c>
      <c r="BE822" s="300" t="str">
        <f>_xlfn.IFNA(VLOOKUP($BD822,Programma!$F$3:$G$1107,2,0),"")</f>
        <v/>
      </c>
      <c r="BF822" s="300" t="str">
        <f>_xlfn.IFNA(VLOOKUP($BD822,Programma!$F$3:$H$1107,3,0),"")</f>
        <v/>
      </c>
      <c r="BG822" s="300" t="str">
        <f>_xlfn.IFNA(VLOOKUP($BD822,Programma!$F$3:$I$1107,4,0),"")</f>
        <v/>
      </c>
      <c r="BH822" s="300" t="str">
        <f>_xlfn.IFNA(VLOOKUP($BD822,Programma!$F$3:$J$1107,5,0),"")</f>
        <v/>
      </c>
      <c r="BI822" s="300" t="str">
        <f>_xlfn.IFNA(VLOOKUP($BD822,Programma!$F$3:$K$1107,6,0),"")</f>
        <v/>
      </c>
      <c r="BJ822" s="300" t="str">
        <f>_xlfn.IFNA(VLOOKUP($BD822,Programma!$F$3:$L$1107,7,0),"")</f>
        <v/>
      </c>
      <c r="BK822" s="300" t="str">
        <f>_xlfn.IFNA(VLOOKUP($BD822,Programma!$F$3:$M$1107,8,0),"")</f>
        <v/>
      </c>
      <c r="BL822" s="300" t="str">
        <f>_xlfn.IFNA(VLOOKUP($BD822,Programma!$F$3:$N$1107,9,0),"")</f>
        <v/>
      </c>
      <c r="BM822" s="300" t="str">
        <f>_xlfn.IFNA(VLOOKUP($BD822,Programma!$F$3:$O$1107,10,0),"")</f>
        <v/>
      </c>
      <c r="BN822" s="300" t="str">
        <f>_xlfn.IFNA(VLOOKUP($BD822,Programma!$F$3:$P$1107,11,0),"")</f>
        <v/>
      </c>
      <c r="BO822" s="300" t="str">
        <f>_xlfn.IFNA(VLOOKUP($BD822,Programma!$F$3:$Q$1107,12,0),"")</f>
        <v/>
      </c>
      <c r="BP822" s="300" t="str">
        <f>_xlfn.IFNA(VLOOKUP($BD822,Programma!$F$3:$R$1107,13,0),"")</f>
        <v/>
      </c>
      <c r="BQ822" s="300" t="str">
        <f>_xlfn.IFNA(VLOOKUP($BD822,Programma!$F$3:$S$1107,14,0),"")</f>
        <v/>
      </c>
      <c r="BR822" s="300" t="str">
        <f>_xlfn.IFNA(VLOOKUP($BD822,Programma!$F$3:$T$1107,15,0),"")</f>
        <v/>
      </c>
      <c r="BS822" s="300" t="str">
        <f>_xlfn.IFNA(VLOOKUP($BD822,Programma!$F$3:$U$1107,16,0),"")</f>
        <v/>
      </c>
      <c r="BT822" s="300" t="str">
        <f>_xlfn.IFNA(VLOOKUP($BD822,Programma!$F$3:$V$1107,17,0),"")</f>
        <v/>
      </c>
      <c r="BU822" s="300" t="str">
        <f>_xlfn.IFNA(VLOOKUP($BD822,Programma!$F$3:$W$1107,18,0),"")</f>
        <v/>
      </c>
      <c r="BV822" s="300" t="str">
        <f>_xlfn.IFNA(VLOOKUP($BD822,Programma!$F$3:$X$1107,19,0),"")</f>
        <v/>
      </c>
      <c r="BW822" s="300" t="str">
        <f>_xlfn.IFNA(VLOOKUP($BD822,Programma!$F$3:$Y$1107,20,0),"")</f>
        <v/>
      </c>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c r="GK822" s="4"/>
      <c r="GL822" s="4"/>
      <c r="GM822" s="4"/>
      <c r="GN822" s="4"/>
      <c r="GO822" s="4"/>
      <c r="GP822" s="4"/>
      <c r="GQ822" s="4"/>
      <c r="GR822" s="4"/>
      <c r="GS822" s="4"/>
      <c r="GT822" s="4"/>
      <c r="GU822" s="4"/>
      <c r="GV822" s="4"/>
      <c r="GW822" s="4"/>
      <c r="GX822" s="4"/>
      <c r="GY822" s="4"/>
      <c r="GZ822" s="4"/>
      <c r="HA822" s="4"/>
      <c r="HB822" s="4"/>
      <c r="HC822" s="4"/>
      <c r="HD822" s="4"/>
      <c r="HE822" s="4"/>
      <c r="HF822" s="4"/>
      <c r="HG822" s="4"/>
      <c r="HH822" s="4"/>
      <c r="HI822" s="4"/>
      <c r="HJ822" s="4"/>
      <c r="HK822" s="4"/>
      <c r="HL822" s="4"/>
    </row>
    <row r="823" spans="1:220" ht="15" customHeight="1">
      <c r="A823" s="21">
        <v>8</v>
      </c>
      <c r="B823" s="157" t="str">
        <f>VLOOKUP(Ruimtestaat[[#This Row],[Code]],Locaties[[Code]:[Locatie]],2,FALSE)</f>
        <v>Dalton College</v>
      </c>
      <c r="C823" s="157" t="str">
        <f>VLOOKUP(Ruimtestaat[[#This Row],[Code]],Locaties[[#All],[Code]:[Adres]],4,FALSE)</f>
        <v>Loolaan 125</v>
      </c>
      <c r="D823" s="157" t="str">
        <f>VLOOKUP(Ruimtestaat[[#This Row],[Code]],Locaties[[#All],[Code]:[Postcode]],5,FALSE)</f>
        <v xml:space="preserve">2271 TM </v>
      </c>
      <c r="E823" s="157" t="str">
        <f>VLOOKUP(Ruimtestaat[[#This Row],[Code]],Locaties[#All],6,FALSE)</f>
        <v>Voorburg</v>
      </c>
      <c r="F823" s="62"/>
      <c r="G823" s="21" t="s">
        <v>1624</v>
      </c>
      <c r="H823" s="21" t="s">
        <v>2299</v>
      </c>
      <c r="I823" s="62" t="s">
        <v>1892</v>
      </c>
      <c r="J823" s="21">
        <v>4</v>
      </c>
      <c r="K823" s="62" t="str">
        <f>VLOOKUP(Ruimtestaat[[#This Row],[Ruimte code]],Ruimtegroepen[[#All],[Code]:[Ruimte omschrijving]],2,FALSE)</f>
        <v>Vergader/spreekkamers</v>
      </c>
      <c r="L823" s="33" t="s">
        <v>100</v>
      </c>
      <c r="M823" s="367" t="s">
        <v>36</v>
      </c>
      <c r="N823" s="140">
        <v>41</v>
      </c>
      <c r="O823" s="140"/>
      <c r="P823" s="125" t="str">
        <f>VLOOKUP(Ruimtestaat[[#This Row],[Ruimte code]],Ruimtegroepen[],4,FALSE)</f>
        <v>Bu</v>
      </c>
      <c r="R823" s="33">
        <v>40</v>
      </c>
      <c r="S823" s="33" t="s">
        <v>2</v>
      </c>
      <c r="T823" s="33">
        <f>IF(R823&gt;0,IF(RIGHT(Ruimtestaat[[#This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3" s="33">
        <f>IF(T823&gt;0,VLOOKUP($J823,Ruimtegroepen[],3,FALSE)*VLOOKUP($L823,Vloersoorten[],3,FALSE)*VLOOKUP($S823,Frequenties[],3,FALSE)*VLOOKUP($A823,Locaties[],3,FALSE),0)</f>
        <v>0</v>
      </c>
      <c r="V823" s="33">
        <f>Ruimtestaat[[#This Row],[Uitvoeringen werkdagen]]*Ruimtestaat[[#This Row],[Oppervlak (netto)]]</f>
        <v>8200</v>
      </c>
      <c r="W823" s="154">
        <f>IF(U823&gt;0,Ruimtestaat[[#This Row],[Prest. (m2 /jaar) werkdagen]]/Ruimtestaat[[#This Row],[Norm (m2/uur) werkdagen]],0)</f>
        <v>0</v>
      </c>
      <c r="X823" s="155">
        <f>Ruimtestaat[[#This Row],[uren / jaar werkdagen]]*Tariefsopbouw!$E$35</f>
        <v>0</v>
      </c>
      <c r="Y823" s="33"/>
      <c r="Z823" s="33">
        <f>IF(Ruimtestaat[[#This Row],[Frequentie weekend]]&gt;0,VALUE(LEFT(Y823,1))*R823,0)</f>
        <v>0</v>
      </c>
      <c r="AA823" s="97">
        <f>IF($Z823&gt;0,VLOOKUP($J823,Ruimtegroepen[],3,FALSE)*VLOOKUP($L823,Vloersoorten[],3,FALSE)*VLOOKUP($Y823,Frequenties[],3,FALSE)*VLOOKUP(Ruimtestaat[[#This Row],[Code]],Locaties[],3,FALSE),0)</f>
        <v>0</v>
      </c>
      <c r="AB823" s="97">
        <f>Ruimtestaat[[#This Row],[Uitvoeringen weekend]]*Ruimtestaat[[#This Row],[Oppervlak (netto)]]</f>
        <v>0</v>
      </c>
      <c r="AC823" s="97">
        <f>IF(AA823&gt;0,Ruimtestaat[[#This Row],[Prest. (m2 /jaar) weekend]]/Ruimtestaat[[#This Row],[Norm (m2/uur) weekend]],0)</f>
        <v>0</v>
      </c>
      <c r="AD823" s="155">
        <f>Ruimtestaat[[#This Row],[uren / jaar weekend]]*Tariefsopbouw!$D$40</f>
        <v>0</v>
      </c>
      <c r="AE823" s="154">
        <f>Ruimtestaat[[#This Row],[Prest. (m2 /jaar) weekend]]+Ruimtestaat[[#This Row],[Prest. (m2 /jaar) werkdagen]]</f>
        <v>8200</v>
      </c>
      <c r="AF823" s="154">
        <f>Ruimtestaat[[#This Row],[uren / jaar weekend]]+Ruimtestaat[[#This Row],[uren / jaar werkdagen]]</f>
        <v>0</v>
      </c>
      <c r="AG823" s="69">
        <f>Ruimtestaat[[#This Row],[kosten / jaar weekend]]+Ruimtestaat[[#This Row],[kosten / jaar werkdagen]]</f>
        <v>0</v>
      </c>
      <c r="AH823" s="69"/>
      <c r="AI823" s="256" t="str">
        <f>IF(Ruimtestaat[[#This Row],[Frequentie werkdagen]]="","",_xlfn.CONCAT(Ruimtestaat[[#This Row],[Ruimte code]],"-",Ruimtestaat[[#This Row],[Frequentie werkdagen]]," ",Ruimtestaat[[#This Row],[Vloer code]]))</f>
        <v>4-5w T</v>
      </c>
      <c r="AJ823" s="300" t="str">
        <f>_xlfn.IFNA(VLOOKUP($AI823,Programma!$F$3:$G$1107,2,0),"")</f>
        <v>4w</v>
      </c>
      <c r="AK823" s="300" t="str">
        <f>_xlfn.IFNA(VLOOKUP($AI823,Programma!$F$3:$H$1107,3,0),"")</f>
        <v>1w</v>
      </c>
      <c r="AL823" s="300" t="str">
        <f>_xlfn.IFNA(VLOOKUP($AI823,Programma!$F$3:$I$1107,4,0),"")</f>
        <v>_</v>
      </c>
      <c r="AM823" s="300" t="str">
        <f>_xlfn.IFNA(VLOOKUP($AI823,Programma!$F$3:$J$1107,5,0),"")</f>
        <v>_</v>
      </c>
      <c r="AN823" s="300" t="str">
        <f>_xlfn.IFNA(VLOOKUP($AI823,Programma!$F$3:$K$1107,6,0),"")</f>
        <v>_</v>
      </c>
      <c r="AO823" s="300" t="str">
        <f>_xlfn.IFNA(VLOOKUP($AI823,Programma!$F$3:$L$1107,7,0),"")</f>
        <v>_</v>
      </c>
      <c r="AP823" s="300" t="str">
        <f>_xlfn.IFNA(VLOOKUP($AI823,Programma!$F$3:$M$1107,8,0),"")</f>
        <v>_</v>
      </c>
      <c r="AQ823" s="300" t="str">
        <f>_xlfn.IFNA(VLOOKUP($AI823,Programma!$F$3:$N$1107,9,0),"")</f>
        <v>_</v>
      </c>
      <c r="AR823" s="300" t="str">
        <f>_xlfn.IFNA(VLOOKUP($AI823,Programma!$F$3:$O$1107,10,0),"")</f>
        <v>5w</v>
      </c>
      <c r="AS823" s="300" t="str">
        <f>_xlfn.IFNA(VLOOKUP($AI823,Programma!$F$3:$P$1107,11,0),"")</f>
        <v>5w</v>
      </c>
      <c r="AT823" s="300" t="str">
        <f>_xlfn.IFNA(VLOOKUP($AI823,Programma!$F$3:$Q$1107,12,0),"")</f>
        <v>1w</v>
      </c>
      <c r="AU823" s="300" t="str">
        <f>_xlfn.IFNA(VLOOKUP($AI823,Programma!$F$3:$R$1107,13,0),"")</f>
        <v>1w</v>
      </c>
      <c r="AV823" s="300" t="str">
        <f>_xlfn.IFNA(VLOOKUP($AI823,Programma!$F$3:$S$1107,14,0),"")</f>
        <v>1m</v>
      </c>
      <c r="AW823" s="300" t="str">
        <f>_xlfn.IFNA(VLOOKUP($AI823,Programma!$F$3:$T$1107,15,0),"")</f>
        <v>2j</v>
      </c>
      <c r="AX823" s="300" t="str">
        <f>_xlfn.IFNA(VLOOKUP($AI823,Programma!$F$3:$U$1107,16,0),"")</f>
        <v>1j</v>
      </c>
      <c r="AY823" s="300" t="str">
        <f>_xlfn.IFNA(VLOOKUP($AI823,Programma!$F$3:$V$1107,17,0),"")</f>
        <v>_</v>
      </c>
      <c r="AZ823" s="300" t="str">
        <f>_xlfn.IFNA(VLOOKUP($AI823,Programma!$F$3:$W$1107,18,0),"")</f>
        <v>_</v>
      </c>
      <c r="BA823" s="300" t="str">
        <f>_xlfn.IFNA(VLOOKUP($AI823,Programma!$F$3:$X$1107,19,0),"")</f>
        <v>_</v>
      </c>
      <c r="BB823" s="300" t="str">
        <f>_xlfn.IFNA(VLOOKUP($AI823,Programma!$F$3:$Y$1107,20,0),"")</f>
        <v>_</v>
      </c>
      <c r="BC823" s="257"/>
      <c r="BD823" s="256" t="str">
        <f>IF(Ruimtestaat[[#This Row],[Frequentie weekend]]="","",_xlfn.CONCAT(Ruimtestaat[[#This Row],[Ruimte code]],"-",Ruimtestaat[[#This Row],[Frequentie weekend]]," ",Ruimtestaat[[#This Row],[Vloer code]]))</f>
        <v/>
      </c>
      <c r="BE823" s="300" t="str">
        <f>_xlfn.IFNA(VLOOKUP($BD823,Programma!$F$3:$G$1107,2,0),"")</f>
        <v/>
      </c>
      <c r="BF823" s="300" t="str">
        <f>_xlfn.IFNA(VLOOKUP($BD823,Programma!$F$3:$H$1107,3,0),"")</f>
        <v/>
      </c>
      <c r="BG823" s="300" t="str">
        <f>_xlfn.IFNA(VLOOKUP($BD823,Programma!$F$3:$I$1107,4,0),"")</f>
        <v/>
      </c>
      <c r="BH823" s="300" t="str">
        <f>_xlfn.IFNA(VLOOKUP($BD823,Programma!$F$3:$J$1107,5,0),"")</f>
        <v/>
      </c>
      <c r="BI823" s="300" t="str">
        <f>_xlfn.IFNA(VLOOKUP($BD823,Programma!$F$3:$K$1107,6,0),"")</f>
        <v/>
      </c>
      <c r="BJ823" s="300" t="str">
        <f>_xlfn.IFNA(VLOOKUP($BD823,Programma!$F$3:$L$1107,7,0),"")</f>
        <v/>
      </c>
      <c r="BK823" s="300" t="str">
        <f>_xlfn.IFNA(VLOOKUP($BD823,Programma!$F$3:$M$1107,8,0),"")</f>
        <v/>
      </c>
      <c r="BL823" s="300" t="str">
        <f>_xlfn.IFNA(VLOOKUP($BD823,Programma!$F$3:$N$1107,9,0),"")</f>
        <v/>
      </c>
      <c r="BM823" s="300" t="str">
        <f>_xlfn.IFNA(VLOOKUP($BD823,Programma!$F$3:$O$1107,10,0),"")</f>
        <v/>
      </c>
      <c r="BN823" s="300" t="str">
        <f>_xlfn.IFNA(VLOOKUP($BD823,Programma!$F$3:$P$1107,11,0),"")</f>
        <v/>
      </c>
      <c r="BO823" s="300" t="str">
        <f>_xlfn.IFNA(VLOOKUP($BD823,Programma!$F$3:$Q$1107,12,0),"")</f>
        <v/>
      </c>
      <c r="BP823" s="300" t="str">
        <f>_xlfn.IFNA(VLOOKUP($BD823,Programma!$F$3:$R$1107,13,0),"")</f>
        <v/>
      </c>
      <c r="BQ823" s="300" t="str">
        <f>_xlfn.IFNA(VLOOKUP($BD823,Programma!$F$3:$S$1107,14,0),"")</f>
        <v/>
      </c>
      <c r="BR823" s="300" t="str">
        <f>_xlfn.IFNA(VLOOKUP($BD823,Programma!$F$3:$T$1107,15,0),"")</f>
        <v/>
      </c>
      <c r="BS823" s="300" t="str">
        <f>_xlfn.IFNA(VLOOKUP($BD823,Programma!$F$3:$U$1107,16,0),"")</f>
        <v/>
      </c>
      <c r="BT823" s="300" t="str">
        <f>_xlfn.IFNA(VLOOKUP($BD823,Programma!$F$3:$V$1107,17,0),"")</f>
        <v/>
      </c>
      <c r="BU823" s="300" t="str">
        <f>_xlfn.IFNA(VLOOKUP($BD823,Programma!$F$3:$W$1107,18,0),"")</f>
        <v/>
      </c>
      <c r="BV823" s="300" t="str">
        <f>_xlfn.IFNA(VLOOKUP($BD823,Programma!$F$3:$X$1107,19,0),"")</f>
        <v/>
      </c>
      <c r="BW823" s="300" t="str">
        <f>_xlfn.IFNA(VLOOKUP($BD823,Programma!$F$3:$Y$1107,20,0),"")</f>
        <v/>
      </c>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c r="GK823" s="4"/>
      <c r="GL823" s="4"/>
      <c r="GM823" s="4"/>
      <c r="GN823" s="4"/>
      <c r="GO823" s="4"/>
      <c r="GP823" s="4"/>
      <c r="GQ823" s="4"/>
      <c r="GR823" s="4"/>
      <c r="GS823" s="4"/>
      <c r="GT823" s="4"/>
      <c r="GU823" s="4"/>
      <c r="GV823" s="4"/>
      <c r="GW823" s="4"/>
      <c r="GX823" s="4"/>
      <c r="GY823" s="4"/>
      <c r="GZ823" s="4"/>
      <c r="HA823" s="4"/>
      <c r="HB823" s="4"/>
      <c r="HC823" s="4"/>
      <c r="HD823" s="4"/>
      <c r="HE823" s="4"/>
      <c r="HF823" s="4"/>
      <c r="HG823" s="4"/>
      <c r="HH823" s="4"/>
      <c r="HI823" s="4"/>
      <c r="HJ823" s="4"/>
      <c r="HK823" s="4"/>
      <c r="HL823" s="4"/>
    </row>
    <row r="824" spans="1:220" ht="15" customHeight="1">
      <c r="A824" s="21">
        <v>8</v>
      </c>
      <c r="B824" s="157" t="str">
        <f>VLOOKUP(Ruimtestaat[[#This Row],[Code]],Locaties[[Code]:[Locatie]],2,FALSE)</f>
        <v>Dalton College</v>
      </c>
      <c r="C824" s="157" t="str">
        <f>VLOOKUP(Ruimtestaat[[#This Row],[Code]],Locaties[[#All],[Code]:[Adres]],4,FALSE)</f>
        <v>Loolaan 125</v>
      </c>
      <c r="D824" s="157" t="str">
        <f>VLOOKUP(Ruimtestaat[[#This Row],[Code]],Locaties[[#All],[Code]:[Postcode]],5,FALSE)</f>
        <v xml:space="preserve">2271 TM </v>
      </c>
      <c r="E824" s="157" t="str">
        <f>VLOOKUP(Ruimtestaat[[#This Row],[Code]],Locaties[#All],6,FALSE)</f>
        <v>Voorburg</v>
      </c>
      <c r="F824" s="62"/>
      <c r="G824" s="21" t="s">
        <v>1706</v>
      </c>
      <c r="H824" s="21" t="s">
        <v>1707</v>
      </c>
      <c r="I824" s="62" t="s">
        <v>1657</v>
      </c>
      <c r="J824" s="21">
        <v>10</v>
      </c>
      <c r="K824" s="62" t="str">
        <f>VLOOKUP(Ruimtestaat[[#This Row],[Ruimte code]],Ruimtegroepen[[#All],[Code]:[Ruimte omschrijving]],2,FALSE)</f>
        <v>Trappenhuizen/lift</v>
      </c>
      <c r="L824" s="33" t="s">
        <v>102</v>
      </c>
      <c r="M824" s="367" t="s">
        <v>2509</v>
      </c>
      <c r="N824" s="140">
        <v>29</v>
      </c>
      <c r="O824" s="140"/>
      <c r="P824" s="125" t="str">
        <f>VLOOKUP(Ruimtestaat[[#This Row],[Ruimte code]],Ruimtegroepen[],4,FALSE)</f>
        <v>Ve</v>
      </c>
      <c r="R824" s="33">
        <v>40</v>
      </c>
      <c r="S824" s="33" t="s">
        <v>2</v>
      </c>
      <c r="T824" s="33">
        <f>IF(R824&gt;0,IF(RIGHT(Ruimtestaat[[#This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4" s="33">
        <f>IF(T824&gt;0,VLOOKUP($J824,Ruimtegroepen[],3,FALSE)*VLOOKUP($L824,Vloersoorten[],3,FALSE)*VLOOKUP($S824,Frequenties[],3,FALSE)*VLOOKUP($A824,Locaties[],3,FALSE),0)</f>
        <v>0</v>
      </c>
      <c r="V824" s="33">
        <f>Ruimtestaat[[#This Row],[Uitvoeringen werkdagen]]*Ruimtestaat[[#This Row],[Oppervlak (netto)]]</f>
        <v>5800</v>
      </c>
      <c r="W824" s="154">
        <f>IF(U824&gt;0,Ruimtestaat[[#This Row],[Prest. (m2 /jaar) werkdagen]]/Ruimtestaat[[#This Row],[Norm (m2/uur) werkdagen]],0)</f>
        <v>0</v>
      </c>
      <c r="X824" s="155">
        <f>Ruimtestaat[[#This Row],[uren / jaar werkdagen]]*Tariefsopbouw!$E$35</f>
        <v>0</v>
      </c>
      <c r="Y824" s="33"/>
      <c r="Z824" s="33">
        <f>IF(Ruimtestaat[[#This Row],[Frequentie weekend]]&gt;0,VALUE(LEFT(Y824,1))*R824,0)</f>
        <v>0</v>
      </c>
      <c r="AA824" s="97">
        <f>IF($Z824&gt;0,VLOOKUP($J824,Ruimtegroepen[],3,FALSE)*VLOOKUP($L824,Vloersoorten[],3,FALSE)*VLOOKUP($Y824,Frequenties[],3,FALSE)*VLOOKUP(Ruimtestaat[[#This Row],[Code]],Locaties[],3,FALSE),0)</f>
        <v>0</v>
      </c>
      <c r="AB824" s="97">
        <f>Ruimtestaat[[#This Row],[Uitvoeringen weekend]]*Ruimtestaat[[#This Row],[Oppervlak (netto)]]</f>
        <v>0</v>
      </c>
      <c r="AC824" s="97">
        <f>IF(AA824&gt;0,Ruimtestaat[[#This Row],[Prest. (m2 /jaar) weekend]]/Ruimtestaat[[#This Row],[Norm (m2/uur) weekend]],0)</f>
        <v>0</v>
      </c>
      <c r="AD824" s="155">
        <f>Ruimtestaat[[#This Row],[uren / jaar weekend]]*Tariefsopbouw!$D$40</f>
        <v>0</v>
      </c>
      <c r="AE824" s="154">
        <f>Ruimtestaat[[#This Row],[Prest. (m2 /jaar) weekend]]+Ruimtestaat[[#This Row],[Prest. (m2 /jaar) werkdagen]]</f>
        <v>5800</v>
      </c>
      <c r="AF824" s="154">
        <f>Ruimtestaat[[#This Row],[uren / jaar weekend]]+Ruimtestaat[[#This Row],[uren / jaar werkdagen]]</f>
        <v>0</v>
      </c>
      <c r="AG824" s="69">
        <f>Ruimtestaat[[#This Row],[kosten / jaar weekend]]+Ruimtestaat[[#This Row],[kosten / jaar werkdagen]]</f>
        <v>0</v>
      </c>
      <c r="AH824" s="69"/>
      <c r="AI824" s="256" t="str">
        <f>IF(Ruimtestaat[[#This Row],[Frequentie werkdagen]]="","",_xlfn.CONCAT(Ruimtestaat[[#This Row],[Ruimte code]],"-",Ruimtestaat[[#This Row],[Frequentie werkdagen]]," ",Ruimtestaat[[#This Row],[Vloer code]]))</f>
        <v>10-5w S</v>
      </c>
      <c r="AJ824" s="300" t="str">
        <f>_xlfn.IFNA(VLOOKUP($AI824,Programma!$F$3:$G$1107,2,0),"")</f>
        <v>_</v>
      </c>
      <c r="AK824" s="300" t="str">
        <f>_xlfn.IFNA(VLOOKUP($AI824,Programma!$F$3:$H$1107,3,0),"")</f>
        <v>_</v>
      </c>
      <c r="AL824" s="300" t="str">
        <f>_xlfn.IFNA(VLOOKUP($AI824,Programma!$F$3:$I$1107,4,0),"")</f>
        <v>4w</v>
      </c>
      <c r="AM824" s="300" t="str">
        <f>_xlfn.IFNA(VLOOKUP($AI824,Programma!$F$3:$J$1107,5,0),"")</f>
        <v>1w</v>
      </c>
      <c r="AN824" s="300" t="str">
        <f>_xlfn.IFNA(VLOOKUP($AI824,Programma!$F$3:$K$1107,6,0),"")</f>
        <v>4j</v>
      </c>
      <c r="AO824" s="300" t="str">
        <f>_xlfn.IFNA(VLOOKUP($AI824,Programma!$F$3:$L$1107,7,0),"")</f>
        <v>_</v>
      </c>
      <c r="AP824" s="300" t="str">
        <f>_xlfn.IFNA(VLOOKUP($AI824,Programma!$F$3:$M$1107,8,0),"")</f>
        <v>_</v>
      </c>
      <c r="AQ824" s="300" t="str">
        <f>_xlfn.IFNA(VLOOKUP($AI824,Programma!$F$3:$N$1107,9,0),"")</f>
        <v>_</v>
      </c>
      <c r="AR824" s="300" t="str">
        <f>_xlfn.IFNA(VLOOKUP($AI824,Programma!$F$3:$O$1107,10,0),"")</f>
        <v>5w</v>
      </c>
      <c r="AS824" s="300" t="str">
        <f>_xlfn.IFNA(VLOOKUP($AI824,Programma!$F$3:$P$1107,11,0),"")</f>
        <v>5w</v>
      </c>
      <c r="AT824" s="300" t="str">
        <f>_xlfn.IFNA(VLOOKUP($AI824,Programma!$F$3:$Q$1107,12,0),"")</f>
        <v>1w</v>
      </c>
      <c r="AU824" s="300" t="str">
        <f>_xlfn.IFNA(VLOOKUP($AI824,Programma!$F$3:$R$1107,13,0),"")</f>
        <v>1w</v>
      </c>
      <c r="AV824" s="300" t="str">
        <f>_xlfn.IFNA(VLOOKUP($AI824,Programma!$F$3:$S$1107,14,0),"")</f>
        <v>1m</v>
      </c>
      <c r="AW824" s="300" t="str">
        <f>_xlfn.IFNA(VLOOKUP($AI824,Programma!$F$3:$T$1107,15,0),"")</f>
        <v>2j</v>
      </c>
      <c r="AX824" s="300" t="str">
        <f>_xlfn.IFNA(VLOOKUP($AI824,Programma!$F$3:$U$1107,16,0),"")</f>
        <v>1j</v>
      </c>
      <c r="AY824" s="300" t="str">
        <f>_xlfn.IFNA(VLOOKUP($AI824,Programma!$F$3:$V$1107,17,0),"")</f>
        <v>_</v>
      </c>
      <c r="AZ824" s="300" t="str">
        <f>_xlfn.IFNA(VLOOKUP($AI824,Programma!$F$3:$W$1107,18,0),"")</f>
        <v>_</v>
      </c>
      <c r="BA824" s="300" t="str">
        <f>_xlfn.IFNA(VLOOKUP($AI824,Programma!$F$3:$X$1107,19,0),"")</f>
        <v>_</v>
      </c>
      <c r="BB824" s="300" t="str">
        <f>_xlfn.IFNA(VLOOKUP($AI824,Programma!$F$3:$Y$1107,20,0),"")</f>
        <v>_</v>
      </c>
      <c r="BC824" s="257"/>
      <c r="BD824" s="256" t="str">
        <f>IF(Ruimtestaat[[#This Row],[Frequentie weekend]]="","",_xlfn.CONCAT(Ruimtestaat[[#This Row],[Ruimte code]],"-",Ruimtestaat[[#This Row],[Frequentie weekend]]," ",Ruimtestaat[[#This Row],[Vloer code]]))</f>
        <v/>
      </c>
      <c r="BE824" s="300" t="str">
        <f>_xlfn.IFNA(VLOOKUP($BD824,Programma!$F$3:$G$1107,2,0),"")</f>
        <v/>
      </c>
      <c r="BF824" s="300" t="str">
        <f>_xlfn.IFNA(VLOOKUP($BD824,Programma!$F$3:$H$1107,3,0),"")</f>
        <v/>
      </c>
      <c r="BG824" s="300" t="str">
        <f>_xlfn.IFNA(VLOOKUP($BD824,Programma!$F$3:$I$1107,4,0),"")</f>
        <v/>
      </c>
      <c r="BH824" s="300" t="str">
        <f>_xlfn.IFNA(VLOOKUP($BD824,Programma!$F$3:$J$1107,5,0),"")</f>
        <v/>
      </c>
      <c r="BI824" s="300" t="str">
        <f>_xlfn.IFNA(VLOOKUP($BD824,Programma!$F$3:$K$1107,6,0),"")</f>
        <v/>
      </c>
      <c r="BJ824" s="300" t="str">
        <f>_xlfn.IFNA(VLOOKUP($BD824,Programma!$F$3:$L$1107,7,0),"")</f>
        <v/>
      </c>
      <c r="BK824" s="300" t="str">
        <f>_xlfn.IFNA(VLOOKUP($BD824,Programma!$F$3:$M$1107,8,0),"")</f>
        <v/>
      </c>
      <c r="BL824" s="300" t="str">
        <f>_xlfn.IFNA(VLOOKUP($BD824,Programma!$F$3:$N$1107,9,0),"")</f>
        <v/>
      </c>
      <c r="BM824" s="300" t="str">
        <f>_xlfn.IFNA(VLOOKUP($BD824,Programma!$F$3:$O$1107,10,0),"")</f>
        <v/>
      </c>
      <c r="BN824" s="300" t="str">
        <f>_xlfn.IFNA(VLOOKUP($BD824,Programma!$F$3:$P$1107,11,0),"")</f>
        <v/>
      </c>
      <c r="BO824" s="300" t="str">
        <f>_xlfn.IFNA(VLOOKUP($BD824,Programma!$F$3:$Q$1107,12,0),"")</f>
        <v/>
      </c>
      <c r="BP824" s="300" t="str">
        <f>_xlfn.IFNA(VLOOKUP($BD824,Programma!$F$3:$R$1107,13,0),"")</f>
        <v/>
      </c>
      <c r="BQ824" s="300" t="str">
        <f>_xlfn.IFNA(VLOOKUP($BD824,Programma!$F$3:$S$1107,14,0),"")</f>
        <v/>
      </c>
      <c r="BR824" s="300" t="str">
        <f>_xlfn.IFNA(VLOOKUP($BD824,Programma!$F$3:$T$1107,15,0),"")</f>
        <v/>
      </c>
      <c r="BS824" s="300" t="str">
        <f>_xlfn.IFNA(VLOOKUP($BD824,Programma!$F$3:$U$1107,16,0),"")</f>
        <v/>
      </c>
      <c r="BT824" s="300" t="str">
        <f>_xlfn.IFNA(VLOOKUP($BD824,Programma!$F$3:$V$1107,17,0),"")</f>
        <v/>
      </c>
      <c r="BU824" s="300" t="str">
        <f>_xlfn.IFNA(VLOOKUP($BD824,Programma!$F$3:$W$1107,18,0),"")</f>
        <v/>
      </c>
      <c r="BV824" s="300" t="str">
        <f>_xlfn.IFNA(VLOOKUP($BD824,Programma!$F$3:$X$1107,19,0),"")</f>
        <v/>
      </c>
      <c r="BW824" s="300" t="str">
        <f>_xlfn.IFNA(VLOOKUP($BD824,Programma!$F$3:$Y$1107,20,0),"")</f>
        <v/>
      </c>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c r="GK824" s="4"/>
      <c r="GL824" s="4"/>
      <c r="GM824" s="4"/>
      <c r="GN824" s="4"/>
      <c r="GO824" s="4"/>
      <c r="GP824" s="4"/>
      <c r="GQ824" s="4"/>
      <c r="GR824" s="4"/>
      <c r="GS824" s="4"/>
      <c r="GT824" s="4"/>
      <c r="GU824" s="4"/>
      <c r="GV824" s="4"/>
      <c r="GW824" s="4"/>
      <c r="GX824" s="4"/>
      <c r="GY824" s="4"/>
      <c r="GZ824" s="4"/>
      <c r="HA824" s="4"/>
      <c r="HB824" s="4"/>
      <c r="HC824" s="4"/>
      <c r="HD824" s="4"/>
      <c r="HE824" s="4"/>
      <c r="HF824" s="4"/>
      <c r="HG824" s="4"/>
      <c r="HH824" s="4"/>
      <c r="HI824" s="4"/>
      <c r="HJ824" s="4"/>
      <c r="HK824" s="4"/>
      <c r="HL824" s="4"/>
    </row>
    <row r="825" spans="1:220" ht="15" customHeight="1">
      <c r="A825" s="21">
        <v>8</v>
      </c>
      <c r="B825" s="157" t="str">
        <f>VLOOKUP(Ruimtestaat[[#This Row],[Code]],Locaties[[Code]:[Locatie]],2,FALSE)</f>
        <v>Dalton College</v>
      </c>
      <c r="C825" s="157" t="str">
        <f>VLOOKUP(Ruimtestaat[[#This Row],[Code]],Locaties[[#All],[Code]:[Adres]],4,FALSE)</f>
        <v>Loolaan 125</v>
      </c>
      <c r="D825" s="157" t="str">
        <f>VLOOKUP(Ruimtestaat[[#This Row],[Code]],Locaties[[#All],[Code]:[Postcode]],5,FALSE)</f>
        <v xml:space="preserve">2271 TM </v>
      </c>
      <c r="E825" s="157" t="str">
        <f>VLOOKUP(Ruimtestaat[[#This Row],[Code]],Locaties[#All],6,FALSE)</f>
        <v>Voorburg</v>
      </c>
      <c r="F825" s="62"/>
      <c r="G825" s="21" t="s">
        <v>1706</v>
      </c>
      <c r="H825" s="21" t="s">
        <v>1708</v>
      </c>
      <c r="I825" s="62" t="s">
        <v>1625</v>
      </c>
      <c r="J825" s="21">
        <v>6</v>
      </c>
      <c r="K825" s="62" t="str">
        <f>VLOOKUP(Ruimtestaat[[#This Row],[Ruimte code]],Ruimtegroepen[[#All],[Code]:[Ruimte omschrijving]],2,FALSE)</f>
        <v>Gangen/hallen</v>
      </c>
      <c r="L825" s="33" t="s">
        <v>101</v>
      </c>
      <c r="M825" s="367" t="s">
        <v>2495</v>
      </c>
      <c r="N825" s="140">
        <v>249</v>
      </c>
      <c r="O825" s="140"/>
      <c r="P825" s="125" t="str">
        <f>VLOOKUP(Ruimtestaat[[#This Row],[Ruimte code]],Ruimtegroepen[],4,FALSE)</f>
        <v>Ve</v>
      </c>
      <c r="R825" s="33">
        <v>40</v>
      </c>
      <c r="S825" s="33" t="s">
        <v>2</v>
      </c>
      <c r="T825" s="33">
        <f>IF(R825&gt;0,IF(RIGHT(Ruimtestaat[[#This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5" s="33">
        <f>IF(T825&gt;0,VLOOKUP($J825,Ruimtegroepen[],3,FALSE)*VLOOKUP($L825,Vloersoorten[],3,FALSE)*VLOOKUP($S825,Frequenties[],3,FALSE)*VLOOKUP($A825,Locaties[],3,FALSE),0)</f>
        <v>0</v>
      </c>
      <c r="V825" s="33">
        <f>Ruimtestaat[[#This Row],[Uitvoeringen werkdagen]]*Ruimtestaat[[#This Row],[Oppervlak (netto)]]</f>
        <v>49800</v>
      </c>
      <c r="W825" s="154">
        <f>IF(U825&gt;0,Ruimtestaat[[#This Row],[Prest. (m2 /jaar) werkdagen]]/Ruimtestaat[[#This Row],[Norm (m2/uur) werkdagen]],0)</f>
        <v>0</v>
      </c>
      <c r="X825" s="155">
        <f>Ruimtestaat[[#This Row],[uren / jaar werkdagen]]*Tariefsopbouw!$E$35</f>
        <v>0</v>
      </c>
      <c r="Y825" s="33"/>
      <c r="Z825" s="33">
        <f>IF(Ruimtestaat[[#This Row],[Frequentie weekend]]&gt;0,VALUE(LEFT(Y825,1))*R825,0)</f>
        <v>0</v>
      </c>
      <c r="AA825" s="97">
        <f>IF($Z825&gt;0,VLOOKUP($J825,Ruimtegroepen[],3,FALSE)*VLOOKUP($L825,Vloersoorten[],3,FALSE)*VLOOKUP($Y825,Frequenties[],3,FALSE)*VLOOKUP(Ruimtestaat[[#This Row],[Code]],Locaties[],3,FALSE),0)</f>
        <v>0</v>
      </c>
      <c r="AB825" s="97">
        <f>Ruimtestaat[[#This Row],[Uitvoeringen weekend]]*Ruimtestaat[[#This Row],[Oppervlak (netto)]]</f>
        <v>0</v>
      </c>
      <c r="AC825" s="97">
        <f>IF(AA825&gt;0,Ruimtestaat[[#This Row],[Prest. (m2 /jaar) weekend]]/Ruimtestaat[[#This Row],[Norm (m2/uur) weekend]],0)</f>
        <v>0</v>
      </c>
      <c r="AD825" s="155">
        <f>Ruimtestaat[[#This Row],[uren / jaar weekend]]*Tariefsopbouw!$D$40</f>
        <v>0</v>
      </c>
      <c r="AE825" s="154">
        <f>Ruimtestaat[[#This Row],[Prest. (m2 /jaar) weekend]]+Ruimtestaat[[#This Row],[Prest. (m2 /jaar) werkdagen]]</f>
        <v>49800</v>
      </c>
      <c r="AF825" s="154">
        <f>Ruimtestaat[[#This Row],[uren / jaar weekend]]+Ruimtestaat[[#This Row],[uren / jaar werkdagen]]</f>
        <v>0</v>
      </c>
      <c r="AG825" s="69">
        <f>Ruimtestaat[[#This Row],[kosten / jaar weekend]]+Ruimtestaat[[#This Row],[kosten / jaar werkdagen]]</f>
        <v>0</v>
      </c>
      <c r="AH825" s="69"/>
      <c r="AI825" s="256" t="str">
        <f>IF(Ruimtestaat[[#This Row],[Frequentie werkdagen]]="","",_xlfn.CONCAT(Ruimtestaat[[#This Row],[Ruimte code]],"-",Ruimtestaat[[#This Row],[Frequentie werkdagen]]," ",Ruimtestaat[[#This Row],[Vloer code]]))</f>
        <v>6-5w L</v>
      </c>
      <c r="AJ825" s="300" t="str">
        <f>_xlfn.IFNA(VLOOKUP($AI825,Programma!$F$3:$G$1107,2,0),"")</f>
        <v>_</v>
      </c>
      <c r="AK825" s="300" t="str">
        <f>_xlfn.IFNA(VLOOKUP($AI825,Programma!$F$3:$H$1107,3,0),"")</f>
        <v>_</v>
      </c>
      <c r="AL825" s="300" t="str">
        <f>_xlfn.IFNA(VLOOKUP($AI825,Programma!$F$3:$I$1107,4,0),"")</f>
        <v>_</v>
      </c>
      <c r="AM825" s="300" t="str">
        <f>_xlfn.IFNA(VLOOKUP($AI825,Programma!$F$3:$J$1107,5,0),"")</f>
        <v>5w</v>
      </c>
      <c r="AN825" s="300" t="str">
        <f>_xlfn.IFNA(VLOOKUP($AI825,Programma!$F$3:$K$1107,6,0),"")</f>
        <v>_</v>
      </c>
      <c r="AO825" s="300" t="str">
        <f>_xlfn.IFNA(VLOOKUP($AI825,Programma!$F$3:$L$1107,7,0),"")</f>
        <v>_</v>
      </c>
      <c r="AP825" s="300" t="str">
        <f>_xlfn.IFNA(VLOOKUP($AI825,Programma!$F$3:$M$1107,8,0),"")</f>
        <v>_</v>
      </c>
      <c r="AQ825" s="300" t="str">
        <f>_xlfn.IFNA(VLOOKUP($AI825,Programma!$F$3:$N$1107,9,0),"")</f>
        <v>_</v>
      </c>
      <c r="AR825" s="300" t="str">
        <f>_xlfn.IFNA(VLOOKUP($AI825,Programma!$F$3:$O$1107,10,0),"")</f>
        <v>5w</v>
      </c>
      <c r="AS825" s="300" t="str">
        <f>_xlfn.IFNA(VLOOKUP($AI825,Programma!$F$3:$P$1107,11,0),"")</f>
        <v>5w</v>
      </c>
      <c r="AT825" s="300" t="str">
        <f>_xlfn.IFNA(VLOOKUP($AI825,Programma!$F$3:$Q$1107,12,0),"")</f>
        <v>1w</v>
      </c>
      <c r="AU825" s="300" t="str">
        <f>_xlfn.IFNA(VLOOKUP($AI825,Programma!$F$3:$R$1107,13,0),"")</f>
        <v>1w</v>
      </c>
      <c r="AV825" s="300" t="str">
        <f>_xlfn.IFNA(VLOOKUP($AI825,Programma!$F$3:$S$1107,14,0),"")</f>
        <v>1m</v>
      </c>
      <c r="AW825" s="300" t="str">
        <f>_xlfn.IFNA(VLOOKUP($AI825,Programma!$F$3:$T$1107,15,0),"")</f>
        <v>2j</v>
      </c>
      <c r="AX825" s="300" t="str">
        <f>_xlfn.IFNA(VLOOKUP($AI825,Programma!$F$3:$U$1107,16,0),"")</f>
        <v>1j</v>
      </c>
      <c r="AY825" s="300" t="str">
        <f>_xlfn.IFNA(VLOOKUP($AI825,Programma!$F$3:$V$1107,17,0),"")</f>
        <v>_</v>
      </c>
      <c r="AZ825" s="300" t="str">
        <f>_xlfn.IFNA(VLOOKUP($AI825,Programma!$F$3:$W$1107,18,0),"")</f>
        <v>_</v>
      </c>
      <c r="BA825" s="300" t="str">
        <f>_xlfn.IFNA(VLOOKUP($AI825,Programma!$F$3:$X$1107,19,0),"")</f>
        <v>_</v>
      </c>
      <c r="BB825" s="300" t="str">
        <f>_xlfn.IFNA(VLOOKUP($AI825,Programma!$F$3:$Y$1107,20,0),"")</f>
        <v>_</v>
      </c>
      <c r="BC825" s="257"/>
      <c r="BD825" s="256" t="str">
        <f>IF(Ruimtestaat[[#This Row],[Frequentie weekend]]="","",_xlfn.CONCAT(Ruimtestaat[[#This Row],[Ruimte code]],"-",Ruimtestaat[[#This Row],[Frequentie weekend]]," ",Ruimtestaat[[#This Row],[Vloer code]]))</f>
        <v/>
      </c>
      <c r="BE825" s="300" t="str">
        <f>_xlfn.IFNA(VLOOKUP($BD825,Programma!$F$3:$G$1107,2,0),"")</f>
        <v/>
      </c>
      <c r="BF825" s="300" t="str">
        <f>_xlfn.IFNA(VLOOKUP($BD825,Programma!$F$3:$H$1107,3,0),"")</f>
        <v/>
      </c>
      <c r="BG825" s="300" t="str">
        <f>_xlfn.IFNA(VLOOKUP($BD825,Programma!$F$3:$I$1107,4,0),"")</f>
        <v/>
      </c>
      <c r="BH825" s="300" t="str">
        <f>_xlfn.IFNA(VLOOKUP($BD825,Programma!$F$3:$J$1107,5,0),"")</f>
        <v/>
      </c>
      <c r="BI825" s="300" t="str">
        <f>_xlfn.IFNA(VLOOKUP($BD825,Programma!$F$3:$K$1107,6,0),"")</f>
        <v/>
      </c>
      <c r="BJ825" s="300" t="str">
        <f>_xlfn.IFNA(VLOOKUP($BD825,Programma!$F$3:$L$1107,7,0),"")</f>
        <v/>
      </c>
      <c r="BK825" s="300" t="str">
        <f>_xlfn.IFNA(VLOOKUP($BD825,Programma!$F$3:$M$1107,8,0),"")</f>
        <v/>
      </c>
      <c r="BL825" s="300" t="str">
        <f>_xlfn.IFNA(VLOOKUP($BD825,Programma!$F$3:$N$1107,9,0),"")</f>
        <v/>
      </c>
      <c r="BM825" s="300" t="str">
        <f>_xlfn.IFNA(VLOOKUP($BD825,Programma!$F$3:$O$1107,10,0),"")</f>
        <v/>
      </c>
      <c r="BN825" s="300" t="str">
        <f>_xlfn.IFNA(VLOOKUP($BD825,Programma!$F$3:$P$1107,11,0),"")</f>
        <v/>
      </c>
      <c r="BO825" s="300" t="str">
        <f>_xlfn.IFNA(VLOOKUP($BD825,Programma!$F$3:$Q$1107,12,0),"")</f>
        <v/>
      </c>
      <c r="BP825" s="300" t="str">
        <f>_xlfn.IFNA(VLOOKUP($BD825,Programma!$F$3:$R$1107,13,0),"")</f>
        <v/>
      </c>
      <c r="BQ825" s="300" t="str">
        <f>_xlfn.IFNA(VLOOKUP($BD825,Programma!$F$3:$S$1107,14,0),"")</f>
        <v/>
      </c>
      <c r="BR825" s="300" t="str">
        <f>_xlfn.IFNA(VLOOKUP($BD825,Programma!$F$3:$T$1107,15,0),"")</f>
        <v/>
      </c>
      <c r="BS825" s="300" t="str">
        <f>_xlfn.IFNA(VLOOKUP($BD825,Programma!$F$3:$U$1107,16,0),"")</f>
        <v/>
      </c>
      <c r="BT825" s="300" t="str">
        <f>_xlfn.IFNA(VLOOKUP($BD825,Programma!$F$3:$V$1107,17,0),"")</f>
        <v/>
      </c>
      <c r="BU825" s="300" t="str">
        <f>_xlfn.IFNA(VLOOKUP($BD825,Programma!$F$3:$W$1107,18,0),"")</f>
        <v/>
      </c>
      <c r="BV825" s="300" t="str">
        <f>_xlfn.IFNA(VLOOKUP($BD825,Programma!$F$3:$X$1107,19,0),"")</f>
        <v/>
      </c>
      <c r="BW825" s="300" t="str">
        <f>_xlfn.IFNA(VLOOKUP($BD825,Programma!$F$3:$Y$1107,20,0),"")</f>
        <v/>
      </c>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c r="GK825" s="4"/>
      <c r="GL825" s="4"/>
      <c r="GM825" s="4"/>
      <c r="GN825" s="4"/>
      <c r="GO825" s="4"/>
      <c r="GP825" s="4"/>
      <c r="GQ825" s="4"/>
      <c r="GR825" s="4"/>
      <c r="GS825" s="4"/>
      <c r="GT825" s="4"/>
      <c r="GU825" s="4"/>
      <c r="GV825" s="4"/>
      <c r="GW825" s="4"/>
      <c r="GX825" s="4"/>
      <c r="GY825" s="4"/>
      <c r="GZ825" s="4"/>
      <c r="HA825" s="4"/>
      <c r="HB825" s="4"/>
      <c r="HC825" s="4"/>
      <c r="HD825" s="4"/>
      <c r="HE825" s="4"/>
      <c r="HF825" s="4"/>
      <c r="HG825" s="4"/>
      <c r="HH825" s="4"/>
      <c r="HI825" s="4"/>
      <c r="HJ825" s="4"/>
      <c r="HK825" s="4"/>
      <c r="HL825" s="4"/>
    </row>
    <row r="826" spans="1:220" ht="15" customHeight="1">
      <c r="A826" s="21">
        <v>8</v>
      </c>
      <c r="B826" s="157" t="str">
        <f>VLOOKUP(Ruimtestaat[[#This Row],[Code]],Locaties[[Code]:[Locatie]],2,FALSE)</f>
        <v>Dalton College</v>
      </c>
      <c r="C826" s="157" t="str">
        <f>VLOOKUP(Ruimtestaat[[#This Row],[Code]],Locaties[[#All],[Code]:[Adres]],4,FALSE)</f>
        <v>Loolaan 125</v>
      </c>
      <c r="D826" s="157" t="str">
        <f>VLOOKUP(Ruimtestaat[[#This Row],[Code]],Locaties[[#All],[Code]:[Postcode]],5,FALSE)</f>
        <v xml:space="preserve">2271 TM </v>
      </c>
      <c r="E826" s="157" t="str">
        <f>VLOOKUP(Ruimtestaat[[#This Row],[Code]],Locaties[#All],6,FALSE)</f>
        <v>Voorburg</v>
      </c>
      <c r="F826" s="62"/>
      <c r="G826" s="21" t="s">
        <v>1706</v>
      </c>
      <c r="H826" s="21" t="s">
        <v>1709</v>
      </c>
      <c r="I826" s="62" t="s">
        <v>2300</v>
      </c>
      <c r="J826" s="21">
        <v>16</v>
      </c>
      <c r="K826" s="62" t="str">
        <f>VLOOKUP(Ruimtestaat[[#This Row],[Ruimte code]],Ruimtegroepen[[#All],[Code]:[Ruimte omschrijving]],2,FALSE)</f>
        <v>Leslokalen theorie</v>
      </c>
      <c r="L826" s="33" t="s">
        <v>101</v>
      </c>
      <c r="M826" s="367" t="s">
        <v>2495</v>
      </c>
      <c r="N826" s="140">
        <v>48</v>
      </c>
      <c r="O826" s="140"/>
      <c r="P826" s="125" t="str">
        <f>VLOOKUP(Ruimtestaat[[#This Row],[Ruimte code]],Ruimtegroepen[],4,FALSE)</f>
        <v>Le</v>
      </c>
      <c r="R826" s="33">
        <v>40</v>
      </c>
      <c r="S826" s="33" t="s">
        <v>2</v>
      </c>
      <c r="T826" s="33">
        <f>IF(R826&gt;0,IF(RIGHT(Ruimtestaat[[#This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6" s="33">
        <f>IF(T826&gt;0,VLOOKUP($J826,Ruimtegroepen[],3,FALSE)*VLOOKUP($L826,Vloersoorten[],3,FALSE)*VLOOKUP($S826,Frequenties[],3,FALSE)*VLOOKUP($A826,Locaties[],3,FALSE),0)</f>
        <v>0</v>
      </c>
      <c r="V826" s="33">
        <f>Ruimtestaat[[#This Row],[Uitvoeringen werkdagen]]*Ruimtestaat[[#This Row],[Oppervlak (netto)]]</f>
        <v>9600</v>
      </c>
      <c r="W826" s="154">
        <f>IF(U826&gt;0,Ruimtestaat[[#This Row],[Prest. (m2 /jaar) werkdagen]]/Ruimtestaat[[#This Row],[Norm (m2/uur) werkdagen]],0)</f>
        <v>0</v>
      </c>
      <c r="X826" s="155">
        <f>Ruimtestaat[[#This Row],[uren / jaar werkdagen]]*Tariefsopbouw!$E$35</f>
        <v>0</v>
      </c>
      <c r="Y826" s="33"/>
      <c r="Z826" s="33">
        <f>IF(Ruimtestaat[[#This Row],[Frequentie weekend]]&gt;0,VALUE(LEFT(Y826,1))*R826,0)</f>
        <v>0</v>
      </c>
      <c r="AA826" s="97">
        <f>IF($Z826&gt;0,VLOOKUP($J826,Ruimtegroepen[],3,FALSE)*VLOOKUP($L826,Vloersoorten[],3,FALSE)*VLOOKUP($Y826,Frequenties[],3,FALSE)*VLOOKUP(Ruimtestaat[[#This Row],[Code]],Locaties[],3,FALSE),0)</f>
        <v>0</v>
      </c>
      <c r="AB826" s="97">
        <f>Ruimtestaat[[#This Row],[Uitvoeringen weekend]]*Ruimtestaat[[#This Row],[Oppervlak (netto)]]</f>
        <v>0</v>
      </c>
      <c r="AC826" s="97">
        <f>IF(AA826&gt;0,Ruimtestaat[[#This Row],[Prest. (m2 /jaar) weekend]]/Ruimtestaat[[#This Row],[Norm (m2/uur) weekend]],0)</f>
        <v>0</v>
      </c>
      <c r="AD826" s="155">
        <f>Ruimtestaat[[#This Row],[uren / jaar weekend]]*Tariefsopbouw!$D$40</f>
        <v>0</v>
      </c>
      <c r="AE826" s="154">
        <f>Ruimtestaat[[#This Row],[Prest. (m2 /jaar) weekend]]+Ruimtestaat[[#This Row],[Prest. (m2 /jaar) werkdagen]]</f>
        <v>9600</v>
      </c>
      <c r="AF826" s="154">
        <f>Ruimtestaat[[#This Row],[uren / jaar weekend]]+Ruimtestaat[[#This Row],[uren / jaar werkdagen]]</f>
        <v>0</v>
      </c>
      <c r="AG826" s="69">
        <f>Ruimtestaat[[#This Row],[kosten / jaar weekend]]+Ruimtestaat[[#This Row],[kosten / jaar werkdagen]]</f>
        <v>0</v>
      </c>
      <c r="AH826" s="69"/>
      <c r="AI826" s="256" t="str">
        <f>IF(Ruimtestaat[[#This Row],[Frequentie werkdagen]]="","",_xlfn.CONCAT(Ruimtestaat[[#This Row],[Ruimte code]],"-",Ruimtestaat[[#This Row],[Frequentie werkdagen]]," ",Ruimtestaat[[#This Row],[Vloer code]]))</f>
        <v>16-5w L</v>
      </c>
      <c r="AJ826" s="300" t="str">
        <f>_xlfn.IFNA(VLOOKUP($AI826,Programma!$F$3:$G$1107,2,0),"")</f>
        <v>_</v>
      </c>
      <c r="AK826" s="300" t="str">
        <f>_xlfn.IFNA(VLOOKUP($AI826,Programma!$F$3:$H$1107,3,0),"")</f>
        <v>_</v>
      </c>
      <c r="AL826" s="300" t="str">
        <f>_xlfn.IFNA(VLOOKUP($AI826,Programma!$F$3:$I$1107,4,0),"")</f>
        <v>4w</v>
      </c>
      <c r="AM826" s="300" t="str">
        <f>_xlfn.IFNA(VLOOKUP($AI826,Programma!$F$3:$J$1107,5,0),"")</f>
        <v>1w</v>
      </c>
      <c r="AN826" s="300" t="str">
        <f>_xlfn.IFNA(VLOOKUP($AI826,Programma!$F$3:$K$1107,6,0),"")</f>
        <v>_</v>
      </c>
      <c r="AO826" s="300" t="str">
        <f>_xlfn.IFNA(VLOOKUP($AI826,Programma!$F$3:$L$1107,7,0),"")</f>
        <v>_</v>
      </c>
      <c r="AP826" s="300" t="str">
        <f>_xlfn.IFNA(VLOOKUP($AI826,Programma!$F$3:$M$1107,8,0),"")</f>
        <v>_</v>
      </c>
      <c r="AQ826" s="300" t="str">
        <f>_xlfn.IFNA(VLOOKUP($AI826,Programma!$F$3:$N$1107,9,0),"")</f>
        <v>_</v>
      </c>
      <c r="AR826" s="300" t="str">
        <f>_xlfn.IFNA(VLOOKUP($AI826,Programma!$F$3:$O$1107,10,0),"")</f>
        <v>5w</v>
      </c>
      <c r="AS826" s="300" t="str">
        <f>_xlfn.IFNA(VLOOKUP($AI826,Programma!$F$3:$P$1107,11,0),"")</f>
        <v>5w</v>
      </c>
      <c r="AT826" s="300" t="str">
        <f>_xlfn.IFNA(VLOOKUP($AI826,Programma!$F$3:$Q$1107,12,0),"")</f>
        <v>1w</v>
      </c>
      <c r="AU826" s="300" t="str">
        <f>_xlfn.IFNA(VLOOKUP($AI826,Programma!$F$3:$R$1107,13,0),"")</f>
        <v>1w</v>
      </c>
      <c r="AV826" s="300" t="str">
        <f>_xlfn.IFNA(VLOOKUP($AI826,Programma!$F$3:$S$1107,14,0),"")</f>
        <v>1m</v>
      </c>
      <c r="AW826" s="300" t="str">
        <f>_xlfn.IFNA(VLOOKUP($AI826,Programma!$F$3:$T$1107,15,0),"")</f>
        <v>2j</v>
      </c>
      <c r="AX826" s="300" t="str">
        <f>_xlfn.IFNA(VLOOKUP($AI826,Programma!$F$3:$U$1107,16,0),"")</f>
        <v>1j</v>
      </c>
      <c r="AY826" s="300" t="str">
        <f>_xlfn.IFNA(VLOOKUP($AI826,Programma!$F$3:$V$1107,17,0),"")</f>
        <v>_</v>
      </c>
      <c r="AZ826" s="300" t="str">
        <f>_xlfn.IFNA(VLOOKUP($AI826,Programma!$F$3:$W$1107,18,0),"")</f>
        <v>_</v>
      </c>
      <c r="BA826" s="300" t="str">
        <f>_xlfn.IFNA(VLOOKUP($AI826,Programma!$F$3:$X$1107,19,0),"")</f>
        <v>_</v>
      </c>
      <c r="BB826" s="300" t="str">
        <f>_xlfn.IFNA(VLOOKUP($AI826,Programma!$F$3:$Y$1107,20,0),"")</f>
        <v>_</v>
      </c>
      <c r="BC826" s="257"/>
      <c r="BD826" s="256" t="str">
        <f>IF(Ruimtestaat[[#This Row],[Frequentie weekend]]="","",_xlfn.CONCAT(Ruimtestaat[[#This Row],[Ruimte code]],"-",Ruimtestaat[[#This Row],[Frequentie weekend]]," ",Ruimtestaat[[#This Row],[Vloer code]]))</f>
        <v/>
      </c>
      <c r="BE826" s="300" t="str">
        <f>_xlfn.IFNA(VLOOKUP($BD826,Programma!$F$3:$G$1107,2,0),"")</f>
        <v/>
      </c>
      <c r="BF826" s="300" t="str">
        <f>_xlfn.IFNA(VLOOKUP($BD826,Programma!$F$3:$H$1107,3,0),"")</f>
        <v/>
      </c>
      <c r="BG826" s="300" t="str">
        <f>_xlfn.IFNA(VLOOKUP($BD826,Programma!$F$3:$I$1107,4,0),"")</f>
        <v/>
      </c>
      <c r="BH826" s="300" t="str">
        <f>_xlfn.IFNA(VLOOKUP($BD826,Programma!$F$3:$J$1107,5,0),"")</f>
        <v/>
      </c>
      <c r="BI826" s="300" t="str">
        <f>_xlfn.IFNA(VLOOKUP($BD826,Programma!$F$3:$K$1107,6,0),"")</f>
        <v/>
      </c>
      <c r="BJ826" s="300" t="str">
        <f>_xlfn.IFNA(VLOOKUP($BD826,Programma!$F$3:$L$1107,7,0),"")</f>
        <v/>
      </c>
      <c r="BK826" s="300" t="str">
        <f>_xlfn.IFNA(VLOOKUP($BD826,Programma!$F$3:$M$1107,8,0),"")</f>
        <v/>
      </c>
      <c r="BL826" s="300" t="str">
        <f>_xlfn.IFNA(VLOOKUP($BD826,Programma!$F$3:$N$1107,9,0),"")</f>
        <v/>
      </c>
      <c r="BM826" s="300" t="str">
        <f>_xlfn.IFNA(VLOOKUP($BD826,Programma!$F$3:$O$1107,10,0),"")</f>
        <v/>
      </c>
      <c r="BN826" s="300" t="str">
        <f>_xlfn.IFNA(VLOOKUP($BD826,Programma!$F$3:$P$1107,11,0),"")</f>
        <v/>
      </c>
      <c r="BO826" s="300" t="str">
        <f>_xlfn.IFNA(VLOOKUP($BD826,Programma!$F$3:$Q$1107,12,0),"")</f>
        <v/>
      </c>
      <c r="BP826" s="300" t="str">
        <f>_xlfn.IFNA(VLOOKUP($BD826,Programma!$F$3:$R$1107,13,0),"")</f>
        <v/>
      </c>
      <c r="BQ826" s="300" t="str">
        <f>_xlfn.IFNA(VLOOKUP($BD826,Programma!$F$3:$S$1107,14,0),"")</f>
        <v/>
      </c>
      <c r="BR826" s="300" t="str">
        <f>_xlfn.IFNA(VLOOKUP($BD826,Programma!$F$3:$T$1107,15,0),"")</f>
        <v/>
      </c>
      <c r="BS826" s="300" t="str">
        <f>_xlfn.IFNA(VLOOKUP($BD826,Programma!$F$3:$U$1107,16,0),"")</f>
        <v/>
      </c>
      <c r="BT826" s="300" t="str">
        <f>_xlfn.IFNA(VLOOKUP($BD826,Programma!$F$3:$V$1107,17,0),"")</f>
        <v/>
      </c>
      <c r="BU826" s="300" t="str">
        <f>_xlfn.IFNA(VLOOKUP($BD826,Programma!$F$3:$W$1107,18,0),"")</f>
        <v/>
      </c>
      <c r="BV826" s="300" t="str">
        <f>_xlfn.IFNA(VLOOKUP($BD826,Programma!$F$3:$X$1107,19,0),"")</f>
        <v/>
      </c>
      <c r="BW826" s="300" t="str">
        <f>_xlfn.IFNA(VLOOKUP($BD826,Programma!$F$3:$Y$1107,20,0),"")</f>
        <v/>
      </c>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c r="GK826" s="4"/>
      <c r="GL826" s="4"/>
      <c r="GM826" s="4"/>
      <c r="GN826" s="4"/>
      <c r="GO826" s="4"/>
      <c r="GP826" s="4"/>
      <c r="GQ826" s="4"/>
      <c r="GR826" s="4"/>
      <c r="GS826" s="4"/>
      <c r="GT826" s="4"/>
      <c r="GU826" s="4"/>
      <c r="GV826" s="4"/>
      <c r="GW826" s="4"/>
      <c r="GX826" s="4"/>
      <c r="GY826" s="4"/>
      <c r="GZ826" s="4"/>
      <c r="HA826" s="4"/>
      <c r="HB826" s="4"/>
      <c r="HC826" s="4"/>
      <c r="HD826" s="4"/>
      <c r="HE826" s="4"/>
      <c r="HF826" s="4"/>
      <c r="HG826" s="4"/>
      <c r="HH826" s="4"/>
      <c r="HI826" s="4"/>
      <c r="HJ826" s="4"/>
      <c r="HK826" s="4"/>
      <c r="HL826" s="4"/>
    </row>
    <row r="827" spans="1:220" ht="15" customHeight="1">
      <c r="A827" s="21">
        <v>8</v>
      </c>
      <c r="B827" s="157" t="str">
        <f>VLOOKUP(Ruimtestaat[[#This Row],[Code]],Locaties[[Code]:[Locatie]],2,FALSE)</f>
        <v>Dalton College</v>
      </c>
      <c r="C827" s="157" t="str">
        <f>VLOOKUP(Ruimtestaat[[#This Row],[Code]],Locaties[[#All],[Code]:[Adres]],4,FALSE)</f>
        <v>Loolaan 125</v>
      </c>
      <c r="D827" s="157" t="str">
        <f>VLOOKUP(Ruimtestaat[[#This Row],[Code]],Locaties[[#All],[Code]:[Postcode]],5,FALSE)</f>
        <v xml:space="preserve">2271 TM </v>
      </c>
      <c r="E827" s="157" t="str">
        <f>VLOOKUP(Ruimtestaat[[#This Row],[Code]],Locaties[#All],6,FALSE)</f>
        <v>Voorburg</v>
      </c>
      <c r="F827" s="62"/>
      <c r="G827" s="21" t="s">
        <v>1706</v>
      </c>
      <c r="H827" s="21" t="s">
        <v>1710</v>
      </c>
      <c r="I827" s="62" t="s">
        <v>2301</v>
      </c>
      <c r="J827" s="21">
        <v>16</v>
      </c>
      <c r="K827" s="62" t="str">
        <f>VLOOKUP(Ruimtestaat[[#This Row],[Ruimte code]],Ruimtegroepen[[#All],[Code]:[Ruimte omschrijving]],2,FALSE)</f>
        <v>Leslokalen theorie</v>
      </c>
      <c r="L827" s="33" t="s">
        <v>101</v>
      </c>
      <c r="M827" s="367" t="s">
        <v>2495</v>
      </c>
      <c r="N827" s="140">
        <v>48</v>
      </c>
      <c r="O827" s="140"/>
      <c r="P827" s="125" t="str">
        <f>VLOOKUP(Ruimtestaat[[#This Row],[Ruimte code]],Ruimtegroepen[],4,FALSE)</f>
        <v>Le</v>
      </c>
      <c r="R827" s="33">
        <v>40</v>
      </c>
      <c r="S827" s="33" t="s">
        <v>2</v>
      </c>
      <c r="T827" s="33">
        <f>IF(R827&gt;0,IF(RIGHT(Ruimtestaat[[#This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7" s="33">
        <f>IF(T827&gt;0,VLOOKUP($J827,Ruimtegroepen[],3,FALSE)*VLOOKUP($L827,Vloersoorten[],3,FALSE)*VLOOKUP($S827,Frequenties[],3,FALSE)*VLOOKUP($A827,Locaties[],3,FALSE),0)</f>
        <v>0</v>
      </c>
      <c r="V827" s="33">
        <f>Ruimtestaat[[#This Row],[Uitvoeringen werkdagen]]*Ruimtestaat[[#This Row],[Oppervlak (netto)]]</f>
        <v>9600</v>
      </c>
      <c r="W827" s="154">
        <f>IF(U827&gt;0,Ruimtestaat[[#This Row],[Prest. (m2 /jaar) werkdagen]]/Ruimtestaat[[#This Row],[Norm (m2/uur) werkdagen]],0)</f>
        <v>0</v>
      </c>
      <c r="X827" s="155">
        <f>Ruimtestaat[[#This Row],[uren / jaar werkdagen]]*Tariefsopbouw!$E$35</f>
        <v>0</v>
      </c>
      <c r="Y827" s="33"/>
      <c r="Z827" s="33">
        <f>IF(Ruimtestaat[[#This Row],[Frequentie weekend]]&gt;0,VALUE(LEFT(Y827,1))*R827,0)</f>
        <v>0</v>
      </c>
      <c r="AA827" s="97">
        <f>IF($Z827&gt;0,VLOOKUP($J827,Ruimtegroepen[],3,FALSE)*VLOOKUP($L827,Vloersoorten[],3,FALSE)*VLOOKUP($Y827,Frequenties[],3,FALSE)*VLOOKUP(Ruimtestaat[[#This Row],[Code]],Locaties[],3,FALSE),0)</f>
        <v>0</v>
      </c>
      <c r="AB827" s="97">
        <f>Ruimtestaat[[#This Row],[Uitvoeringen weekend]]*Ruimtestaat[[#This Row],[Oppervlak (netto)]]</f>
        <v>0</v>
      </c>
      <c r="AC827" s="97">
        <f>IF(AA827&gt;0,Ruimtestaat[[#This Row],[Prest. (m2 /jaar) weekend]]/Ruimtestaat[[#This Row],[Norm (m2/uur) weekend]],0)</f>
        <v>0</v>
      </c>
      <c r="AD827" s="155">
        <f>Ruimtestaat[[#This Row],[uren / jaar weekend]]*Tariefsopbouw!$D$40</f>
        <v>0</v>
      </c>
      <c r="AE827" s="154">
        <f>Ruimtestaat[[#This Row],[Prest. (m2 /jaar) weekend]]+Ruimtestaat[[#This Row],[Prest. (m2 /jaar) werkdagen]]</f>
        <v>9600</v>
      </c>
      <c r="AF827" s="154">
        <f>Ruimtestaat[[#This Row],[uren / jaar weekend]]+Ruimtestaat[[#This Row],[uren / jaar werkdagen]]</f>
        <v>0</v>
      </c>
      <c r="AG827" s="69">
        <f>Ruimtestaat[[#This Row],[kosten / jaar weekend]]+Ruimtestaat[[#This Row],[kosten / jaar werkdagen]]</f>
        <v>0</v>
      </c>
      <c r="AH827" s="69"/>
      <c r="AI827" s="256" t="str">
        <f>IF(Ruimtestaat[[#This Row],[Frequentie werkdagen]]="","",_xlfn.CONCAT(Ruimtestaat[[#This Row],[Ruimte code]],"-",Ruimtestaat[[#This Row],[Frequentie werkdagen]]," ",Ruimtestaat[[#This Row],[Vloer code]]))</f>
        <v>16-5w L</v>
      </c>
      <c r="AJ827" s="300" t="str">
        <f>_xlfn.IFNA(VLOOKUP($AI827,Programma!$F$3:$G$1107,2,0),"")</f>
        <v>_</v>
      </c>
      <c r="AK827" s="300" t="str">
        <f>_xlfn.IFNA(VLOOKUP($AI827,Programma!$F$3:$H$1107,3,0),"")</f>
        <v>_</v>
      </c>
      <c r="AL827" s="300" t="str">
        <f>_xlfn.IFNA(VLOOKUP($AI827,Programma!$F$3:$I$1107,4,0),"")</f>
        <v>4w</v>
      </c>
      <c r="AM827" s="300" t="str">
        <f>_xlfn.IFNA(VLOOKUP($AI827,Programma!$F$3:$J$1107,5,0),"")</f>
        <v>1w</v>
      </c>
      <c r="AN827" s="300" t="str">
        <f>_xlfn.IFNA(VLOOKUP($AI827,Programma!$F$3:$K$1107,6,0),"")</f>
        <v>_</v>
      </c>
      <c r="AO827" s="300" t="str">
        <f>_xlfn.IFNA(VLOOKUP($AI827,Programma!$F$3:$L$1107,7,0),"")</f>
        <v>_</v>
      </c>
      <c r="AP827" s="300" t="str">
        <f>_xlfn.IFNA(VLOOKUP($AI827,Programma!$F$3:$M$1107,8,0),"")</f>
        <v>_</v>
      </c>
      <c r="AQ827" s="300" t="str">
        <f>_xlfn.IFNA(VLOOKUP($AI827,Programma!$F$3:$N$1107,9,0),"")</f>
        <v>_</v>
      </c>
      <c r="AR827" s="300" t="str">
        <f>_xlfn.IFNA(VLOOKUP($AI827,Programma!$F$3:$O$1107,10,0),"")</f>
        <v>5w</v>
      </c>
      <c r="AS827" s="300" t="str">
        <f>_xlfn.IFNA(VLOOKUP($AI827,Programma!$F$3:$P$1107,11,0),"")</f>
        <v>5w</v>
      </c>
      <c r="AT827" s="300" t="str">
        <f>_xlfn.IFNA(VLOOKUP($AI827,Programma!$F$3:$Q$1107,12,0),"")</f>
        <v>1w</v>
      </c>
      <c r="AU827" s="300" t="str">
        <f>_xlfn.IFNA(VLOOKUP($AI827,Programma!$F$3:$R$1107,13,0),"")</f>
        <v>1w</v>
      </c>
      <c r="AV827" s="300" t="str">
        <f>_xlfn.IFNA(VLOOKUP($AI827,Programma!$F$3:$S$1107,14,0),"")</f>
        <v>1m</v>
      </c>
      <c r="AW827" s="300" t="str">
        <f>_xlfn.IFNA(VLOOKUP($AI827,Programma!$F$3:$T$1107,15,0),"")</f>
        <v>2j</v>
      </c>
      <c r="AX827" s="300" t="str">
        <f>_xlfn.IFNA(VLOOKUP($AI827,Programma!$F$3:$U$1107,16,0),"")</f>
        <v>1j</v>
      </c>
      <c r="AY827" s="300" t="str">
        <f>_xlfn.IFNA(VLOOKUP($AI827,Programma!$F$3:$V$1107,17,0),"")</f>
        <v>_</v>
      </c>
      <c r="AZ827" s="300" t="str">
        <f>_xlfn.IFNA(VLOOKUP($AI827,Programma!$F$3:$W$1107,18,0),"")</f>
        <v>_</v>
      </c>
      <c r="BA827" s="300" t="str">
        <f>_xlfn.IFNA(VLOOKUP($AI827,Programma!$F$3:$X$1107,19,0),"")</f>
        <v>_</v>
      </c>
      <c r="BB827" s="300" t="str">
        <f>_xlfn.IFNA(VLOOKUP($AI827,Programma!$F$3:$Y$1107,20,0),"")</f>
        <v>_</v>
      </c>
      <c r="BC827" s="257"/>
      <c r="BD827" s="256" t="str">
        <f>IF(Ruimtestaat[[#This Row],[Frequentie weekend]]="","",_xlfn.CONCAT(Ruimtestaat[[#This Row],[Ruimte code]],"-",Ruimtestaat[[#This Row],[Frequentie weekend]]," ",Ruimtestaat[[#This Row],[Vloer code]]))</f>
        <v/>
      </c>
      <c r="BE827" s="300" t="str">
        <f>_xlfn.IFNA(VLOOKUP($BD827,Programma!$F$3:$G$1107,2,0),"")</f>
        <v/>
      </c>
      <c r="BF827" s="300" t="str">
        <f>_xlfn.IFNA(VLOOKUP($BD827,Programma!$F$3:$H$1107,3,0),"")</f>
        <v/>
      </c>
      <c r="BG827" s="300" t="str">
        <f>_xlfn.IFNA(VLOOKUP($BD827,Programma!$F$3:$I$1107,4,0),"")</f>
        <v/>
      </c>
      <c r="BH827" s="300" t="str">
        <f>_xlfn.IFNA(VLOOKUP($BD827,Programma!$F$3:$J$1107,5,0),"")</f>
        <v/>
      </c>
      <c r="BI827" s="300" t="str">
        <f>_xlfn.IFNA(VLOOKUP($BD827,Programma!$F$3:$K$1107,6,0),"")</f>
        <v/>
      </c>
      <c r="BJ827" s="300" t="str">
        <f>_xlfn.IFNA(VLOOKUP($BD827,Programma!$F$3:$L$1107,7,0),"")</f>
        <v/>
      </c>
      <c r="BK827" s="300" t="str">
        <f>_xlfn.IFNA(VLOOKUP($BD827,Programma!$F$3:$M$1107,8,0),"")</f>
        <v/>
      </c>
      <c r="BL827" s="300" t="str">
        <f>_xlfn.IFNA(VLOOKUP($BD827,Programma!$F$3:$N$1107,9,0),"")</f>
        <v/>
      </c>
      <c r="BM827" s="300" t="str">
        <f>_xlfn.IFNA(VLOOKUP($BD827,Programma!$F$3:$O$1107,10,0),"")</f>
        <v/>
      </c>
      <c r="BN827" s="300" t="str">
        <f>_xlfn.IFNA(VLOOKUP($BD827,Programma!$F$3:$P$1107,11,0),"")</f>
        <v/>
      </c>
      <c r="BO827" s="300" t="str">
        <f>_xlfn.IFNA(VLOOKUP($BD827,Programma!$F$3:$Q$1107,12,0),"")</f>
        <v/>
      </c>
      <c r="BP827" s="300" t="str">
        <f>_xlfn.IFNA(VLOOKUP($BD827,Programma!$F$3:$R$1107,13,0),"")</f>
        <v/>
      </c>
      <c r="BQ827" s="300" t="str">
        <f>_xlfn.IFNA(VLOOKUP($BD827,Programma!$F$3:$S$1107,14,0),"")</f>
        <v/>
      </c>
      <c r="BR827" s="300" t="str">
        <f>_xlfn.IFNA(VLOOKUP($BD827,Programma!$F$3:$T$1107,15,0),"")</f>
        <v/>
      </c>
      <c r="BS827" s="300" t="str">
        <f>_xlfn.IFNA(VLOOKUP($BD827,Programma!$F$3:$U$1107,16,0),"")</f>
        <v/>
      </c>
      <c r="BT827" s="300" t="str">
        <f>_xlfn.IFNA(VLOOKUP($BD827,Programma!$F$3:$V$1107,17,0),"")</f>
        <v/>
      </c>
      <c r="BU827" s="300" t="str">
        <f>_xlfn.IFNA(VLOOKUP($BD827,Programma!$F$3:$W$1107,18,0),"")</f>
        <v/>
      </c>
      <c r="BV827" s="300" t="str">
        <f>_xlfn.IFNA(VLOOKUP($BD827,Programma!$F$3:$X$1107,19,0),"")</f>
        <v/>
      </c>
      <c r="BW827" s="300" t="str">
        <f>_xlfn.IFNA(VLOOKUP($BD827,Programma!$F$3:$Y$1107,20,0),"")</f>
        <v/>
      </c>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c r="GK827" s="4"/>
      <c r="GL827" s="4"/>
      <c r="GM827" s="4"/>
      <c r="GN827" s="4"/>
      <c r="GO827" s="4"/>
      <c r="GP827" s="4"/>
      <c r="GQ827" s="4"/>
      <c r="GR827" s="4"/>
      <c r="GS827" s="4"/>
      <c r="GT827" s="4"/>
      <c r="GU827" s="4"/>
      <c r="GV827" s="4"/>
      <c r="GW827" s="4"/>
      <c r="GX827" s="4"/>
      <c r="GY827" s="4"/>
      <c r="GZ827" s="4"/>
      <c r="HA827" s="4"/>
      <c r="HB827" s="4"/>
      <c r="HC827" s="4"/>
      <c r="HD827" s="4"/>
      <c r="HE827" s="4"/>
      <c r="HF827" s="4"/>
      <c r="HG827" s="4"/>
      <c r="HH827" s="4"/>
      <c r="HI827" s="4"/>
      <c r="HJ827" s="4"/>
      <c r="HK827" s="4"/>
      <c r="HL827" s="4"/>
    </row>
    <row r="828" spans="1:220" ht="15" customHeight="1">
      <c r="A828" s="21">
        <v>8</v>
      </c>
      <c r="B828" s="157" t="str">
        <f>VLOOKUP(Ruimtestaat[[#This Row],[Code]],Locaties[[Code]:[Locatie]],2,FALSE)</f>
        <v>Dalton College</v>
      </c>
      <c r="C828" s="157" t="str">
        <f>VLOOKUP(Ruimtestaat[[#This Row],[Code]],Locaties[[#All],[Code]:[Adres]],4,FALSE)</f>
        <v>Loolaan 125</v>
      </c>
      <c r="D828" s="157" t="str">
        <f>VLOOKUP(Ruimtestaat[[#This Row],[Code]],Locaties[[#All],[Code]:[Postcode]],5,FALSE)</f>
        <v xml:space="preserve">2271 TM </v>
      </c>
      <c r="E828" s="157" t="str">
        <f>VLOOKUP(Ruimtestaat[[#This Row],[Code]],Locaties[#All],6,FALSE)</f>
        <v>Voorburg</v>
      </c>
      <c r="F828" s="62"/>
      <c r="G828" s="21" t="s">
        <v>1706</v>
      </c>
      <c r="H828" s="21" t="s">
        <v>1711</v>
      </c>
      <c r="I828" s="62" t="s">
        <v>1625</v>
      </c>
      <c r="J828" s="21">
        <v>6</v>
      </c>
      <c r="K828" s="62" t="str">
        <f>VLOOKUP(Ruimtestaat[[#This Row],[Ruimte code]],Ruimtegroepen[[#All],[Code]:[Ruimte omschrijving]],2,FALSE)</f>
        <v>Gangen/hallen</v>
      </c>
      <c r="L828" s="33" t="s">
        <v>101</v>
      </c>
      <c r="M828" s="367" t="s">
        <v>2495</v>
      </c>
      <c r="N828" s="140">
        <v>42</v>
      </c>
      <c r="O828" s="140"/>
      <c r="P828" s="125" t="str">
        <f>VLOOKUP(Ruimtestaat[[#This Row],[Ruimte code]],Ruimtegroepen[],4,FALSE)</f>
        <v>Ve</v>
      </c>
      <c r="R828" s="33">
        <v>40</v>
      </c>
      <c r="S828" s="33" t="s">
        <v>2</v>
      </c>
      <c r="T828" s="33">
        <f>IF(R828&gt;0,IF(RIGHT(Ruimtestaat[[#This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8" s="33">
        <f>IF(T828&gt;0,VLOOKUP($J828,Ruimtegroepen[],3,FALSE)*VLOOKUP($L828,Vloersoorten[],3,FALSE)*VLOOKUP($S828,Frequenties[],3,FALSE)*VLOOKUP($A828,Locaties[],3,FALSE),0)</f>
        <v>0</v>
      </c>
      <c r="V828" s="33">
        <f>Ruimtestaat[[#This Row],[Uitvoeringen werkdagen]]*Ruimtestaat[[#This Row],[Oppervlak (netto)]]</f>
        <v>8400</v>
      </c>
      <c r="W828" s="154">
        <f>IF(U828&gt;0,Ruimtestaat[[#This Row],[Prest. (m2 /jaar) werkdagen]]/Ruimtestaat[[#This Row],[Norm (m2/uur) werkdagen]],0)</f>
        <v>0</v>
      </c>
      <c r="X828" s="155">
        <f>Ruimtestaat[[#This Row],[uren / jaar werkdagen]]*Tariefsopbouw!$E$35</f>
        <v>0</v>
      </c>
      <c r="Y828" s="33"/>
      <c r="Z828" s="33">
        <f>IF(Ruimtestaat[[#This Row],[Frequentie weekend]]&gt;0,VALUE(LEFT(Y828,1))*R828,0)</f>
        <v>0</v>
      </c>
      <c r="AA828" s="97">
        <f>IF($Z828&gt;0,VLOOKUP($J828,Ruimtegroepen[],3,FALSE)*VLOOKUP($L828,Vloersoorten[],3,FALSE)*VLOOKUP($Y828,Frequenties[],3,FALSE)*VLOOKUP(Ruimtestaat[[#This Row],[Code]],Locaties[],3,FALSE),0)</f>
        <v>0</v>
      </c>
      <c r="AB828" s="97">
        <f>Ruimtestaat[[#This Row],[Uitvoeringen weekend]]*Ruimtestaat[[#This Row],[Oppervlak (netto)]]</f>
        <v>0</v>
      </c>
      <c r="AC828" s="97">
        <f>IF(AA828&gt;0,Ruimtestaat[[#This Row],[Prest. (m2 /jaar) weekend]]/Ruimtestaat[[#This Row],[Norm (m2/uur) weekend]],0)</f>
        <v>0</v>
      </c>
      <c r="AD828" s="155">
        <f>Ruimtestaat[[#This Row],[uren / jaar weekend]]*Tariefsopbouw!$D$40</f>
        <v>0</v>
      </c>
      <c r="AE828" s="154">
        <f>Ruimtestaat[[#This Row],[Prest. (m2 /jaar) weekend]]+Ruimtestaat[[#This Row],[Prest. (m2 /jaar) werkdagen]]</f>
        <v>8400</v>
      </c>
      <c r="AF828" s="154">
        <f>Ruimtestaat[[#This Row],[uren / jaar weekend]]+Ruimtestaat[[#This Row],[uren / jaar werkdagen]]</f>
        <v>0</v>
      </c>
      <c r="AG828" s="69">
        <f>Ruimtestaat[[#This Row],[kosten / jaar weekend]]+Ruimtestaat[[#This Row],[kosten / jaar werkdagen]]</f>
        <v>0</v>
      </c>
      <c r="AH828" s="69"/>
      <c r="AI828" s="256" t="str">
        <f>IF(Ruimtestaat[[#This Row],[Frequentie werkdagen]]="","",_xlfn.CONCAT(Ruimtestaat[[#This Row],[Ruimte code]],"-",Ruimtestaat[[#This Row],[Frequentie werkdagen]]," ",Ruimtestaat[[#This Row],[Vloer code]]))</f>
        <v>6-5w L</v>
      </c>
      <c r="AJ828" s="300" t="str">
        <f>_xlfn.IFNA(VLOOKUP($AI828,Programma!$F$3:$G$1107,2,0),"")</f>
        <v>_</v>
      </c>
      <c r="AK828" s="300" t="str">
        <f>_xlfn.IFNA(VLOOKUP($AI828,Programma!$F$3:$H$1107,3,0),"")</f>
        <v>_</v>
      </c>
      <c r="AL828" s="300" t="str">
        <f>_xlfn.IFNA(VLOOKUP($AI828,Programma!$F$3:$I$1107,4,0),"")</f>
        <v>_</v>
      </c>
      <c r="AM828" s="300" t="str">
        <f>_xlfn.IFNA(VLOOKUP($AI828,Programma!$F$3:$J$1107,5,0),"")</f>
        <v>5w</v>
      </c>
      <c r="AN828" s="300" t="str">
        <f>_xlfn.IFNA(VLOOKUP($AI828,Programma!$F$3:$K$1107,6,0),"")</f>
        <v>_</v>
      </c>
      <c r="AO828" s="300" t="str">
        <f>_xlfn.IFNA(VLOOKUP($AI828,Programma!$F$3:$L$1107,7,0),"")</f>
        <v>_</v>
      </c>
      <c r="AP828" s="300" t="str">
        <f>_xlfn.IFNA(VLOOKUP($AI828,Programma!$F$3:$M$1107,8,0),"")</f>
        <v>_</v>
      </c>
      <c r="AQ828" s="300" t="str">
        <f>_xlfn.IFNA(VLOOKUP($AI828,Programma!$F$3:$N$1107,9,0),"")</f>
        <v>_</v>
      </c>
      <c r="AR828" s="300" t="str">
        <f>_xlfn.IFNA(VLOOKUP($AI828,Programma!$F$3:$O$1107,10,0),"")</f>
        <v>5w</v>
      </c>
      <c r="AS828" s="300" t="str">
        <f>_xlfn.IFNA(VLOOKUP($AI828,Programma!$F$3:$P$1107,11,0),"")</f>
        <v>5w</v>
      </c>
      <c r="AT828" s="300" t="str">
        <f>_xlfn.IFNA(VLOOKUP($AI828,Programma!$F$3:$Q$1107,12,0),"")</f>
        <v>1w</v>
      </c>
      <c r="AU828" s="300" t="str">
        <f>_xlfn.IFNA(VLOOKUP($AI828,Programma!$F$3:$R$1107,13,0),"")</f>
        <v>1w</v>
      </c>
      <c r="AV828" s="300" t="str">
        <f>_xlfn.IFNA(VLOOKUP($AI828,Programma!$F$3:$S$1107,14,0),"")</f>
        <v>1m</v>
      </c>
      <c r="AW828" s="300" t="str">
        <f>_xlfn.IFNA(VLOOKUP($AI828,Programma!$F$3:$T$1107,15,0),"")</f>
        <v>2j</v>
      </c>
      <c r="AX828" s="300" t="str">
        <f>_xlfn.IFNA(VLOOKUP($AI828,Programma!$F$3:$U$1107,16,0),"")</f>
        <v>1j</v>
      </c>
      <c r="AY828" s="300" t="str">
        <f>_xlfn.IFNA(VLOOKUP($AI828,Programma!$F$3:$V$1107,17,0),"")</f>
        <v>_</v>
      </c>
      <c r="AZ828" s="300" t="str">
        <f>_xlfn.IFNA(VLOOKUP($AI828,Programma!$F$3:$W$1107,18,0),"")</f>
        <v>_</v>
      </c>
      <c r="BA828" s="300" t="str">
        <f>_xlfn.IFNA(VLOOKUP($AI828,Programma!$F$3:$X$1107,19,0),"")</f>
        <v>_</v>
      </c>
      <c r="BB828" s="300" t="str">
        <f>_xlfn.IFNA(VLOOKUP($AI828,Programma!$F$3:$Y$1107,20,0),"")</f>
        <v>_</v>
      </c>
      <c r="BC828" s="257"/>
      <c r="BD828" s="256" t="str">
        <f>IF(Ruimtestaat[[#This Row],[Frequentie weekend]]="","",_xlfn.CONCAT(Ruimtestaat[[#This Row],[Ruimte code]],"-",Ruimtestaat[[#This Row],[Frequentie weekend]]," ",Ruimtestaat[[#This Row],[Vloer code]]))</f>
        <v/>
      </c>
      <c r="BE828" s="300" t="str">
        <f>_xlfn.IFNA(VLOOKUP($BD828,Programma!$F$3:$G$1107,2,0),"")</f>
        <v/>
      </c>
      <c r="BF828" s="300" t="str">
        <f>_xlfn.IFNA(VLOOKUP($BD828,Programma!$F$3:$H$1107,3,0),"")</f>
        <v/>
      </c>
      <c r="BG828" s="300" t="str">
        <f>_xlfn.IFNA(VLOOKUP($BD828,Programma!$F$3:$I$1107,4,0),"")</f>
        <v/>
      </c>
      <c r="BH828" s="300" t="str">
        <f>_xlfn.IFNA(VLOOKUP($BD828,Programma!$F$3:$J$1107,5,0),"")</f>
        <v/>
      </c>
      <c r="BI828" s="300" t="str">
        <f>_xlfn.IFNA(VLOOKUP($BD828,Programma!$F$3:$K$1107,6,0),"")</f>
        <v/>
      </c>
      <c r="BJ828" s="300" t="str">
        <f>_xlfn.IFNA(VLOOKUP($BD828,Programma!$F$3:$L$1107,7,0),"")</f>
        <v/>
      </c>
      <c r="BK828" s="300" t="str">
        <f>_xlfn.IFNA(VLOOKUP($BD828,Programma!$F$3:$M$1107,8,0),"")</f>
        <v/>
      </c>
      <c r="BL828" s="300" t="str">
        <f>_xlfn.IFNA(VLOOKUP($BD828,Programma!$F$3:$N$1107,9,0),"")</f>
        <v/>
      </c>
      <c r="BM828" s="300" t="str">
        <f>_xlfn.IFNA(VLOOKUP($BD828,Programma!$F$3:$O$1107,10,0),"")</f>
        <v/>
      </c>
      <c r="BN828" s="300" t="str">
        <f>_xlfn.IFNA(VLOOKUP($BD828,Programma!$F$3:$P$1107,11,0),"")</f>
        <v/>
      </c>
      <c r="BO828" s="300" t="str">
        <f>_xlfn.IFNA(VLOOKUP($BD828,Programma!$F$3:$Q$1107,12,0),"")</f>
        <v/>
      </c>
      <c r="BP828" s="300" t="str">
        <f>_xlfn.IFNA(VLOOKUP($BD828,Programma!$F$3:$R$1107,13,0),"")</f>
        <v/>
      </c>
      <c r="BQ828" s="300" t="str">
        <f>_xlfn.IFNA(VLOOKUP($BD828,Programma!$F$3:$S$1107,14,0),"")</f>
        <v/>
      </c>
      <c r="BR828" s="300" t="str">
        <f>_xlfn.IFNA(VLOOKUP($BD828,Programma!$F$3:$T$1107,15,0),"")</f>
        <v/>
      </c>
      <c r="BS828" s="300" t="str">
        <f>_xlfn.IFNA(VLOOKUP($BD828,Programma!$F$3:$U$1107,16,0),"")</f>
        <v/>
      </c>
      <c r="BT828" s="300" t="str">
        <f>_xlfn.IFNA(VLOOKUP($BD828,Programma!$F$3:$V$1107,17,0),"")</f>
        <v/>
      </c>
      <c r="BU828" s="300" t="str">
        <f>_xlfn.IFNA(VLOOKUP($BD828,Programma!$F$3:$W$1107,18,0),"")</f>
        <v/>
      </c>
      <c r="BV828" s="300" t="str">
        <f>_xlfn.IFNA(VLOOKUP($BD828,Programma!$F$3:$X$1107,19,0),"")</f>
        <v/>
      </c>
      <c r="BW828" s="300" t="str">
        <f>_xlfn.IFNA(VLOOKUP($BD828,Programma!$F$3:$Y$1107,20,0),"")</f>
        <v/>
      </c>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c r="GK828" s="4"/>
      <c r="GL828" s="4"/>
      <c r="GM828" s="4"/>
      <c r="GN828" s="4"/>
      <c r="GO828" s="4"/>
      <c r="GP828" s="4"/>
      <c r="GQ828" s="4"/>
      <c r="GR828" s="4"/>
      <c r="GS828" s="4"/>
      <c r="GT828" s="4"/>
      <c r="GU828" s="4"/>
      <c r="GV828" s="4"/>
      <c r="GW828" s="4"/>
      <c r="GX828" s="4"/>
      <c r="GY828" s="4"/>
      <c r="GZ828" s="4"/>
      <c r="HA828" s="4"/>
      <c r="HB828" s="4"/>
      <c r="HC828" s="4"/>
      <c r="HD828" s="4"/>
      <c r="HE828" s="4"/>
      <c r="HF828" s="4"/>
      <c r="HG828" s="4"/>
      <c r="HH828" s="4"/>
      <c r="HI828" s="4"/>
      <c r="HJ828" s="4"/>
      <c r="HK828" s="4"/>
      <c r="HL828" s="4"/>
    </row>
    <row r="829" spans="1:220" ht="15" customHeight="1">
      <c r="A829" s="21">
        <v>8</v>
      </c>
      <c r="B829" s="157" t="str">
        <f>VLOOKUP(Ruimtestaat[[#This Row],[Code]],Locaties[[Code]:[Locatie]],2,FALSE)</f>
        <v>Dalton College</v>
      </c>
      <c r="C829" s="157" t="str">
        <f>VLOOKUP(Ruimtestaat[[#This Row],[Code]],Locaties[[#All],[Code]:[Adres]],4,FALSE)</f>
        <v>Loolaan 125</v>
      </c>
      <c r="D829" s="157" t="str">
        <f>VLOOKUP(Ruimtestaat[[#This Row],[Code]],Locaties[[#All],[Code]:[Postcode]],5,FALSE)</f>
        <v xml:space="preserve">2271 TM </v>
      </c>
      <c r="E829" s="157" t="str">
        <f>VLOOKUP(Ruimtestaat[[#This Row],[Code]],Locaties[#All],6,FALSE)</f>
        <v>Voorburg</v>
      </c>
      <c r="F829" s="62"/>
      <c r="G829" s="21" t="s">
        <v>1706</v>
      </c>
      <c r="H829" s="21" t="s">
        <v>1713</v>
      </c>
      <c r="I829" s="62" t="s">
        <v>2302</v>
      </c>
      <c r="J829" s="21">
        <v>2</v>
      </c>
      <c r="K829" s="62" t="str">
        <f>VLOOKUP(Ruimtestaat[[#This Row],[Ruimte code]],Ruimtegroepen[[#All],[Code]:[Ruimte omschrijving]],2,FALSE)</f>
        <v>Kantoren</v>
      </c>
      <c r="L829" s="33" t="s">
        <v>101</v>
      </c>
      <c r="M829" s="367" t="s">
        <v>2495</v>
      </c>
      <c r="N829" s="140">
        <v>30</v>
      </c>
      <c r="O829" s="140"/>
      <c r="P829" s="125" t="str">
        <f>VLOOKUP(Ruimtestaat[[#This Row],[Ruimte code]],Ruimtegroepen[],4,FALSE)</f>
        <v>Bu</v>
      </c>
      <c r="R829" s="33">
        <v>42</v>
      </c>
      <c r="S829" s="33" t="s">
        <v>18</v>
      </c>
      <c r="T829" s="33">
        <f>IF(R829&gt;0,IF(RIGHT(Ruimtestaat[[#This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29" s="33">
        <f>IF(T829&gt;0,VLOOKUP($J829,Ruimtegroepen[],3,FALSE)*VLOOKUP($L829,Vloersoorten[],3,FALSE)*VLOOKUP($S829,Frequenties[],3,FALSE)*VLOOKUP($A829,Locaties[],3,FALSE),0)</f>
        <v>0</v>
      </c>
      <c r="V829" s="33">
        <f>Ruimtestaat[[#This Row],[Uitvoeringen werkdagen]]*Ruimtestaat[[#This Row],[Oppervlak (netto)]]</f>
        <v>3780</v>
      </c>
      <c r="W829" s="154">
        <f>IF(U829&gt;0,Ruimtestaat[[#This Row],[Prest. (m2 /jaar) werkdagen]]/Ruimtestaat[[#This Row],[Norm (m2/uur) werkdagen]],0)</f>
        <v>0</v>
      </c>
      <c r="X829" s="155">
        <f>Ruimtestaat[[#This Row],[uren / jaar werkdagen]]*Tariefsopbouw!$E$35</f>
        <v>0</v>
      </c>
      <c r="Y829" s="33"/>
      <c r="Z829" s="33">
        <f>IF(Ruimtestaat[[#This Row],[Frequentie weekend]]&gt;0,VALUE(LEFT(Y829,1))*R829,0)</f>
        <v>0</v>
      </c>
      <c r="AA829" s="97">
        <f>IF($Z829&gt;0,VLOOKUP($J829,Ruimtegroepen[],3,FALSE)*VLOOKUP($L829,Vloersoorten[],3,FALSE)*VLOOKUP($Y829,Frequenties[],3,FALSE)*VLOOKUP(Ruimtestaat[[#This Row],[Code]],Locaties[],3,FALSE),0)</f>
        <v>0</v>
      </c>
      <c r="AB829" s="97">
        <f>Ruimtestaat[[#This Row],[Uitvoeringen weekend]]*Ruimtestaat[[#This Row],[Oppervlak (netto)]]</f>
        <v>0</v>
      </c>
      <c r="AC829" s="97">
        <f>IF(AA829&gt;0,Ruimtestaat[[#This Row],[Prest. (m2 /jaar) weekend]]/Ruimtestaat[[#This Row],[Norm (m2/uur) weekend]],0)</f>
        <v>0</v>
      </c>
      <c r="AD829" s="155">
        <f>Ruimtestaat[[#This Row],[uren / jaar weekend]]*Tariefsopbouw!$D$40</f>
        <v>0</v>
      </c>
      <c r="AE829" s="154">
        <f>Ruimtestaat[[#This Row],[Prest. (m2 /jaar) weekend]]+Ruimtestaat[[#This Row],[Prest. (m2 /jaar) werkdagen]]</f>
        <v>3780</v>
      </c>
      <c r="AF829" s="154">
        <f>Ruimtestaat[[#This Row],[uren / jaar weekend]]+Ruimtestaat[[#This Row],[uren / jaar werkdagen]]</f>
        <v>0</v>
      </c>
      <c r="AG829" s="69">
        <f>Ruimtestaat[[#This Row],[kosten / jaar weekend]]+Ruimtestaat[[#This Row],[kosten / jaar werkdagen]]</f>
        <v>0</v>
      </c>
      <c r="AH829" s="69"/>
      <c r="AI829" s="256" t="str">
        <f>IF(Ruimtestaat[[#This Row],[Frequentie werkdagen]]="","",_xlfn.CONCAT(Ruimtestaat[[#This Row],[Ruimte code]],"-",Ruimtestaat[[#This Row],[Frequentie werkdagen]]," ",Ruimtestaat[[#This Row],[Vloer code]]))</f>
        <v>2-3w L</v>
      </c>
      <c r="AJ829" s="300" t="str">
        <f>_xlfn.IFNA(VLOOKUP($AI829,Programma!$F$3:$G$1107,2,0),"")</f>
        <v>_</v>
      </c>
      <c r="AK829" s="300" t="str">
        <f>_xlfn.IFNA(VLOOKUP($AI829,Programma!$F$3:$H$1107,3,0),"")</f>
        <v>_</v>
      </c>
      <c r="AL829" s="300" t="str">
        <f>_xlfn.IFNA(VLOOKUP($AI829,Programma!$F$3:$I$1107,4,0),"")</f>
        <v>2w</v>
      </c>
      <c r="AM829" s="300" t="str">
        <f>_xlfn.IFNA(VLOOKUP($AI829,Programma!$F$3:$J$1107,5,0),"")</f>
        <v>1w</v>
      </c>
      <c r="AN829" s="300" t="str">
        <f>_xlfn.IFNA(VLOOKUP($AI829,Programma!$F$3:$K$1107,6,0),"")</f>
        <v>_</v>
      </c>
      <c r="AO829" s="300" t="str">
        <f>_xlfn.IFNA(VLOOKUP($AI829,Programma!$F$3:$L$1107,7,0),"")</f>
        <v>_</v>
      </c>
      <c r="AP829" s="300" t="str">
        <f>_xlfn.IFNA(VLOOKUP($AI829,Programma!$F$3:$M$1107,8,0),"")</f>
        <v>_</v>
      </c>
      <c r="AQ829" s="300" t="str">
        <f>_xlfn.IFNA(VLOOKUP($AI829,Programma!$F$3:$N$1107,9,0),"")</f>
        <v>_</v>
      </c>
      <c r="AR829" s="300" t="str">
        <f>_xlfn.IFNA(VLOOKUP($AI829,Programma!$F$3:$O$1107,10,0),"")</f>
        <v>3w</v>
      </c>
      <c r="AS829" s="300" t="str">
        <f>_xlfn.IFNA(VLOOKUP($AI829,Programma!$F$3:$P$1107,11,0),"")</f>
        <v>3w</v>
      </c>
      <c r="AT829" s="300" t="str">
        <f>_xlfn.IFNA(VLOOKUP($AI829,Programma!$F$3:$Q$1107,12,0),"")</f>
        <v>1w</v>
      </c>
      <c r="AU829" s="300" t="str">
        <f>_xlfn.IFNA(VLOOKUP($AI829,Programma!$F$3:$R$1107,13,0),"")</f>
        <v>1w</v>
      </c>
      <c r="AV829" s="300" t="str">
        <f>_xlfn.IFNA(VLOOKUP($AI829,Programma!$F$3:$S$1107,14,0),"")</f>
        <v>1m</v>
      </c>
      <c r="AW829" s="300" t="str">
        <f>_xlfn.IFNA(VLOOKUP($AI829,Programma!$F$3:$T$1107,15,0),"")</f>
        <v>2j</v>
      </c>
      <c r="AX829" s="300" t="str">
        <f>_xlfn.IFNA(VLOOKUP($AI829,Programma!$F$3:$U$1107,16,0),"")</f>
        <v>1j</v>
      </c>
      <c r="AY829" s="300" t="str">
        <f>_xlfn.IFNA(VLOOKUP($AI829,Programma!$F$3:$V$1107,17,0),"")</f>
        <v>_</v>
      </c>
      <c r="AZ829" s="300" t="str">
        <f>_xlfn.IFNA(VLOOKUP($AI829,Programma!$F$3:$W$1107,18,0),"")</f>
        <v>_</v>
      </c>
      <c r="BA829" s="300" t="str">
        <f>_xlfn.IFNA(VLOOKUP($AI829,Programma!$F$3:$X$1107,19,0),"")</f>
        <v>_</v>
      </c>
      <c r="BB829" s="300" t="str">
        <f>_xlfn.IFNA(VLOOKUP($AI829,Programma!$F$3:$Y$1107,20,0),"")</f>
        <v>_</v>
      </c>
      <c r="BC829" s="257"/>
      <c r="BD829" s="256" t="str">
        <f>IF(Ruimtestaat[[#This Row],[Frequentie weekend]]="","",_xlfn.CONCAT(Ruimtestaat[[#This Row],[Ruimte code]],"-",Ruimtestaat[[#This Row],[Frequentie weekend]]," ",Ruimtestaat[[#This Row],[Vloer code]]))</f>
        <v/>
      </c>
      <c r="BE829" s="300" t="str">
        <f>_xlfn.IFNA(VLOOKUP($BD829,Programma!$F$3:$G$1107,2,0),"")</f>
        <v/>
      </c>
      <c r="BF829" s="300" t="str">
        <f>_xlfn.IFNA(VLOOKUP($BD829,Programma!$F$3:$H$1107,3,0),"")</f>
        <v/>
      </c>
      <c r="BG829" s="300" t="str">
        <f>_xlfn.IFNA(VLOOKUP($BD829,Programma!$F$3:$I$1107,4,0),"")</f>
        <v/>
      </c>
      <c r="BH829" s="300" t="str">
        <f>_xlfn.IFNA(VLOOKUP($BD829,Programma!$F$3:$J$1107,5,0),"")</f>
        <v/>
      </c>
      <c r="BI829" s="300" t="str">
        <f>_xlfn.IFNA(VLOOKUP($BD829,Programma!$F$3:$K$1107,6,0),"")</f>
        <v/>
      </c>
      <c r="BJ829" s="300" t="str">
        <f>_xlfn.IFNA(VLOOKUP($BD829,Programma!$F$3:$L$1107,7,0),"")</f>
        <v/>
      </c>
      <c r="BK829" s="300" t="str">
        <f>_xlfn.IFNA(VLOOKUP($BD829,Programma!$F$3:$M$1107,8,0),"")</f>
        <v/>
      </c>
      <c r="BL829" s="300" t="str">
        <f>_xlfn.IFNA(VLOOKUP($BD829,Programma!$F$3:$N$1107,9,0),"")</f>
        <v/>
      </c>
      <c r="BM829" s="300" t="str">
        <f>_xlfn.IFNA(VLOOKUP($BD829,Programma!$F$3:$O$1107,10,0),"")</f>
        <v/>
      </c>
      <c r="BN829" s="300" t="str">
        <f>_xlfn.IFNA(VLOOKUP($BD829,Programma!$F$3:$P$1107,11,0),"")</f>
        <v/>
      </c>
      <c r="BO829" s="300" t="str">
        <f>_xlfn.IFNA(VLOOKUP($BD829,Programma!$F$3:$Q$1107,12,0),"")</f>
        <v/>
      </c>
      <c r="BP829" s="300" t="str">
        <f>_xlfn.IFNA(VLOOKUP($BD829,Programma!$F$3:$R$1107,13,0),"")</f>
        <v/>
      </c>
      <c r="BQ829" s="300" t="str">
        <f>_xlfn.IFNA(VLOOKUP($BD829,Programma!$F$3:$S$1107,14,0),"")</f>
        <v/>
      </c>
      <c r="BR829" s="300" t="str">
        <f>_xlfn.IFNA(VLOOKUP($BD829,Programma!$F$3:$T$1107,15,0),"")</f>
        <v/>
      </c>
      <c r="BS829" s="300" t="str">
        <f>_xlfn.IFNA(VLOOKUP($BD829,Programma!$F$3:$U$1107,16,0),"")</f>
        <v/>
      </c>
      <c r="BT829" s="300" t="str">
        <f>_xlfn.IFNA(VLOOKUP($BD829,Programma!$F$3:$V$1107,17,0),"")</f>
        <v/>
      </c>
      <c r="BU829" s="300" t="str">
        <f>_xlfn.IFNA(VLOOKUP($BD829,Programma!$F$3:$W$1107,18,0),"")</f>
        <v/>
      </c>
      <c r="BV829" s="300" t="str">
        <f>_xlfn.IFNA(VLOOKUP($BD829,Programma!$F$3:$X$1107,19,0),"")</f>
        <v/>
      </c>
      <c r="BW829" s="300" t="str">
        <f>_xlfn.IFNA(VLOOKUP($BD829,Programma!$F$3:$Y$1107,20,0),"")</f>
        <v/>
      </c>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c r="GK829" s="4"/>
      <c r="GL829" s="4"/>
      <c r="GM829" s="4"/>
      <c r="GN829" s="4"/>
      <c r="GO829" s="4"/>
      <c r="GP829" s="4"/>
      <c r="GQ829" s="4"/>
      <c r="GR829" s="4"/>
      <c r="GS829" s="4"/>
      <c r="GT829" s="4"/>
      <c r="GU829" s="4"/>
      <c r="GV829" s="4"/>
      <c r="GW829" s="4"/>
      <c r="GX829" s="4"/>
      <c r="GY829" s="4"/>
      <c r="GZ829" s="4"/>
      <c r="HA829" s="4"/>
      <c r="HB829" s="4"/>
      <c r="HC829" s="4"/>
      <c r="HD829" s="4"/>
      <c r="HE829" s="4"/>
      <c r="HF829" s="4"/>
      <c r="HG829" s="4"/>
      <c r="HH829" s="4"/>
      <c r="HI829" s="4"/>
      <c r="HJ829" s="4"/>
      <c r="HK829" s="4"/>
      <c r="HL829" s="4"/>
    </row>
    <row r="830" spans="1:220" ht="15" customHeight="1">
      <c r="A830" s="21">
        <v>8</v>
      </c>
      <c r="B830" s="157" t="str">
        <f>VLOOKUP(Ruimtestaat[[#This Row],[Code]],Locaties[[Code]:[Locatie]],2,FALSE)</f>
        <v>Dalton College</v>
      </c>
      <c r="C830" s="157" t="str">
        <f>VLOOKUP(Ruimtestaat[[#This Row],[Code]],Locaties[[#All],[Code]:[Adres]],4,FALSE)</f>
        <v>Loolaan 125</v>
      </c>
      <c r="D830" s="157" t="str">
        <f>VLOOKUP(Ruimtestaat[[#This Row],[Code]],Locaties[[#All],[Code]:[Postcode]],5,FALSE)</f>
        <v xml:space="preserve">2271 TM </v>
      </c>
      <c r="E830" s="157" t="str">
        <f>VLOOKUP(Ruimtestaat[[#This Row],[Code]],Locaties[#All],6,FALSE)</f>
        <v>Voorburg</v>
      </c>
      <c r="F830" s="62"/>
      <c r="G830" s="21" t="s">
        <v>1706</v>
      </c>
      <c r="H830" s="21" t="s">
        <v>1714</v>
      </c>
      <c r="I830" s="62" t="s">
        <v>1631</v>
      </c>
      <c r="J830" s="21">
        <v>2</v>
      </c>
      <c r="K830" s="62" t="str">
        <f>VLOOKUP(Ruimtestaat[[#This Row],[Ruimte code]],Ruimtegroepen[[#All],[Code]:[Ruimte omschrijving]],2,FALSE)</f>
        <v>Kantoren</v>
      </c>
      <c r="L830" s="33" t="s">
        <v>101</v>
      </c>
      <c r="M830" s="367" t="s">
        <v>2495</v>
      </c>
      <c r="N830" s="140">
        <v>15</v>
      </c>
      <c r="O830" s="140"/>
      <c r="P830" s="125" t="str">
        <f>VLOOKUP(Ruimtestaat[[#This Row],[Ruimte code]],Ruimtegroepen[],4,FALSE)</f>
        <v>Bu</v>
      </c>
      <c r="R830" s="33">
        <v>42</v>
      </c>
      <c r="S830" s="33" t="s">
        <v>18</v>
      </c>
      <c r="T830" s="33">
        <f>IF(R830&gt;0,IF(RIGHT(Ruimtestaat[[#This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30" s="33">
        <f>IF(T830&gt;0,VLOOKUP($J830,Ruimtegroepen[],3,FALSE)*VLOOKUP($L830,Vloersoorten[],3,FALSE)*VLOOKUP($S830,Frequenties[],3,FALSE)*VLOOKUP($A830,Locaties[],3,FALSE),0)</f>
        <v>0</v>
      </c>
      <c r="V830" s="33">
        <f>Ruimtestaat[[#This Row],[Uitvoeringen werkdagen]]*Ruimtestaat[[#This Row],[Oppervlak (netto)]]</f>
        <v>1890</v>
      </c>
      <c r="W830" s="154">
        <f>IF(U830&gt;0,Ruimtestaat[[#This Row],[Prest. (m2 /jaar) werkdagen]]/Ruimtestaat[[#This Row],[Norm (m2/uur) werkdagen]],0)</f>
        <v>0</v>
      </c>
      <c r="X830" s="155">
        <f>Ruimtestaat[[#This Row],[uren / jaar werkdagen]]*Tariefsopbouw!$E$35</f>
        <v>0</v>
      </c>
      <c r="Y830" s="33"/>
      <c r="Z830" s="33">
        <f>IF(Ruimtestaat[[#This Row],[Frequentie weekend]]&gt;0,VALUE(LEFT(Y830,1))*R830,0)</f>
        <v>0</v>
      </c>
      <c r="AA830" s="97">
        <f>IF($Z830&gt;0,VLOOKUP($J830,Ruimtegroepen[],3,FALSE)*VLOOKUP($L830,Vloersoorten[],3,FALSE)*VLOOKUP($Y830,Frequenties[],3,FALSE)*VLOOKUP(Ruimtestaat[[#This Row],[Code]],Locaties[],3,FALSE),0)</f>
        <v>0</v>
      </c>
      <c r="AB830" s="97">
        <f>Ruimtestaat[[#This Row],[Uitvoeringen weekend]]*Ruimtestaat[[#This Row],[Oppervlak (netto)]]</f>
        <v>0</v>
      </c>
      <c r="AC830" s="97">
        <f>IF(AA830&gt;0,Ruimtestaat[[#This Row],[Prest. (m2 /jaar) weekend]]/Ruimtestaat[[#This Row],[Norm (m2/uur) weekend]],0)</f>
        <v>0</v>
      </c>
      <c r="AD830" s="155">
        <f>Ruimtestaat[[#This Row],[uren / jaar weekend]]*Tariefsopbouw!$D$40</f>
        <v>0</v>
      </c>
      <c r="AE830" s="154">
        <f>Ruimtestaat[[#This Row],[Prest. (m2 /jaar) weekend]]+Ruimtestaat[[#This Row],[Prest. (m2 /jaar) werkdagen]]</f>
        <v>1890</v>
      </c>
      <c r="AF830" s="154">
        <f>Ruimtestaat[[#This Row],[uren / jaar weekend]]+Ruimtestaat[[#This Row],[uren / jaar werkdagen]]</f>
        <v>0</v>
      </c>
      <c r="AG830" s="69">
        <f>Ruimtestaat[[#This Row],[kosten / jaar weekend]]+Ruimtestaat[[#This Row],[kosten / jaar werkdagen]]</f>
        <v>0</v>
      </c>
      <c r="AH830" s="69"/>
      <c r="AI830" s="256" t="str">
        <f>IF(Ruimtestaat[[#This Row],[Frequentie werkdagen]]="","",_xlfn.CONCAT(Ruimtestaat[[#This Row],[Ruimte code]],"-",Ruimtestaat[[#This Row],[Frequentie werkdagen]]," ",Ruimtestaat[[#This Row],[Vloer code]]))</f>
        <v>2-3w L</v>
      </c>
      <c r="AJ830" s="300" t="str">
        <f>_xlfn.IFNA(VLOOKUP($AI830,Programma!$F$3:$G$1107,2,0),"")</f>
        <v>_</v>
      </c>
      <c r="AK830" s="300" t="str">
        <f>_xlfn.IFNA(VLOOKUP($AI830,Programma!$F$3:$H$1107,3,0),"")</f>
        <v>_</v>
      </c>
      <c r="AL830" s="300" t="str">
        <f>_xlfn.IFNA(VLOOKUP($AI830,Programma!$F$3:$I$1107,4,0),"")</f>
        <v>2w</v>
      </c>
      <c r="AM830" s="300" t="str">
        <f>_xlfn.IFNA(VLOOKUP($AI830,Programma!$F$3:$J$1107,5,0),"")</f>
        <v>1w</v>
      </c>
      <c r="AN830" s="300" t="str">
        <f>_xlfn.IFNA(VLOOKUP($AI830,Programma!$F$3:$K$1107,6,0),"")</f>
        <v>_</v>
      </c>
      <c r="AO830" s="300" t="str">
        <f>_xlfn.IFNA(VLOOKUP($AI830,Programma!$F$3:$L$1107,7,0),"")</f>
        <v>_</v>
      </c>
      <c r="AP830" s="300" t="str">
        <f>_xlfn.IFNA(VLOOKUP($AI830,Programma!$F$3:$M$1107,8,0),"")</f>
        <v>_</v>
      </c>
      <c r="AQ830" s="300" t="str">
        <f>_xlfn.IFNA(VLOOKUP($AI830,Programma!$F$3:$N$1107,9,0),"")</f>
        <v>_</v>
      </c>
      <c r="AR830" s="300" t="str">
        <f>_xlfn.IFNA(VLOOKUP($AI830,Programma!$F$3:$O$1107,10,0),"")</f>
        <v>3w</v>
      </c>
      <c r="AS830" s="300" t="str">
        <f>_xlfn.IFNA(VLOOKUP($AI830,Programma!$F$3:$P$1107,11,0),"")</f>
        <v>3w</v>
      </c>
      <c r="AT830" s="300" t="str">
        <f>_xlfn.IFNA(VLOOKUP($AI830,Programma!$F$3:$Q$1107,12,0),"")</f>
        <v>1w</v>
      </c>
      <c r="AU830" s="300" t="str">
        <f>_xlfn.IFNA(VLOOKUP($AI830,Programma!$F$3:$R$1107,13,0),"")</f>
        <v>1w</v>
      </c>
      <c r="AV830" s="300" t="str">
        <f>_xlfn.IFNA(VLOOKUP($AI830,Programma!$F$3:$S$1107,14,0),"")</f>
        <v>1m</v>
      </c>
      <c r="AW830" s="300" t="str">
        <f>_xlfn.IFNA(VLOOKUP($AI830,Programma!$F$3:$T$1107,15,0),"")</f>
        <v>2j</v>
      </c>
      <c r="AX830" s="300" t="str">
        <f>_xlfn.IFNA(VLOOKUP($AI830,Programma!$F$3:$U$1107,16,0),"")</f>
        <v>1j</v>
      </c>
      <c r="AY830" s="300" t="str">
        <f>_xlfn.IFNA(VLOOKUP($AI830,Programma!$F$3:$V$1107,17,0),"")</f>
        <v>_</v>
      </c>
      <c r="AZ830" s="300" t="str">
        <f>_xlfn.IFNA(VLOOKUP($AI830,Programma!$F$3:$W$1107,18,0),"")</f>
        <v>_</v>
      </c>
      <c r="BA830" s="300" t="str">
        <f>_xlfn.IFNA(VLOOKUP($AI830,Programma!$F$3:$X$1107,19,0),"")</f>
        <v>_</v>
      </c>
      <c r="BB830" s="300" t="str">
        <f>_xlfn.IFNA(VLOOKUP($AI830,Programma!$F$3:$Y$1107,20,0),"")</f>
        <v>_</v>
      </c>
      <c r="BC830" s="257"/>
      <c r="BD830" s="256" t="str">
        <f>IF(Ruimtestaat[[#This Row],[Frequentie weekend]]="","",_xlfn.CONCAT(Ruimtestaat[[#This Row],[Ruimte code]],"-",Ruimtestaat[[#This Row],[Frequentie weekend]]," ",Ruimtestaat[[#This Row],[Vloer code]]))</f>
        <v/>
      </c>
      <c r="BE830" s="300" t="str">
        <f>_xlfn.IFNA(VLOOKUP($BD830,Programma!$F$3:$G$1107,2,0),"")</f>
        <v/>
      </c>
      <c r="BF830" s="300" t="str">
        <f>_xlfn.IFNA(VLOOKUP($BD830,Programma!$F$3:$H$1107,3,0),"")</f>
        <v/>
      </c>
      <c r="BG830" s="300" t="str">
        <f>_xlfn.IFNA(VLOOKUP($BD830,Programma!$F$3:$I$1107,4,0),"")</f>
        <v/>
      </c>
      <c r="BH830" s="300" t="str">
        <f>_xlfn.IFNA(VLOOKUP($BD830,Programma!$F$3:$J$1107,5,0),"")</f>
        <v/>
      </c>
      <c r="BI830" s="300" t="str">
        <f>_xlfn.IFNA(VLOOKUP($BD830,Programma!$F$3:$K$1107,6,0),"")</f>
        <v/>
      </c>
      <c r="BJ830" s="300" t="str">
        <f>_xlfn.IFNA(VLOOKUP($BD830,Programma!$F$3:$L$1107,7,0),"")</f>
        <v/>
      </c>
      <c r="BK830" s="300" t="str">
        <f>_xlfn.IFNA(VLOOKUP($BD830,Programma!$F$3:$M$1107,8,0),"")</f>
        <v/>
      </c>
      <c r="BL830" s="300" t="str">
        <f>_xlfn.IFNA(VLOOKUP($BD830,Programma!$F$3:$N$1107,9,0),"")</f>
        <v/>
      </c>
      <c r="BM830" s="300" t="str">
        <f>_xlfn.IFNA(VLOOKUP($BD830,Programma!$F$3:$O$1107,10,0),"")</f>
        <v/>
      </c>
      <c r="BN830" s="300" t="str">
        <f>_xlfn.IFNA(VLOOKUP($BD830,Programma!$F$3:$P$1107,11,0),"")</f>
        <v/>
      </c>
      <c r="BO830" s="300" t="str">
        <f>_xlfn.IFNA(VLOOKUP($BD830,Programma!$F$3:$Q$1107,12,0),"")</f>
        <v/>
      </c>
      <c r="BP830" s="300" t="str">
        <f>_xlfn.IFNA(VLOOKUP($BD830,Programma!$F$3:$R$1107,13,0),"")</f>
        <v/>
      </c>
      <c r="BQ830" s="300" t="str">
        <f>_xlfn.IFNA(VLOOKUP($BD830,Programma!$F$3:$S$1107,14,0),"")</f>
        <v/>
      </c>
      <c r="BR830" s="300" t="str">
        <f>_xlfn.IFNA(VLOOKUP($BD830,Programma!$F$3:$T$1107,15,0),"")</f>
        <v/>
      </c>
      <c r="BS830" s="300" t="str">
        <f>_xlfn.IFNA(VLOOKUP($BD830,Programma!$F$3:$U$1107,16,0),"")</f>
        <v/>
      </c>
      <c r="BT830" s="300" t="str">
        <f>_xlfn.IFNA(VLOOKUP($BD830,Programma!$F$3:$V$1107,17,0),"")</f>
        <v/>
      </c>
      <c r="BU830" s="300" t="str">
        <f>_xlfn.IFNA(VLOOKUP($BD830,Programma!$F$3:$W$1107,18,0),"")</f>
        <v/>
      </c>
      <c r="BV830" s="300" t="str">
        <f>_xlfn.IFNA(VLOOKUP($BD830,Programma!$F$3:$X$1107,19,0),"")</f>
        <v/>
      </c>
      <c r="BW830" s="300" t="str">
        <f>_xlfn.IFNA(VLOOKUP($BD830,Programma!$F$3:$Y$1107,20,0),"")</f>
        <v/>
      </c>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c r="GK830" s="4"/>
      <c r="GL830" s="4"/>
      <c r="GM830" s="4"/>
      <c r="GN830" s="4"/>
      <c r="GO830" s="4"/>
      <c r="GP830" s="4"/>
      <c r="GQ830" s="4"/>
      <c r="GR830" s="4"/>
      <c r="GS830" s="4"/>
      <c r="GT830" s="4"/>
      <c r="GU830" s="4"/>
      <c r="GV830" s="4"/>
      <c r="GW830" s="4"/>
      <c r="GX830" s="4"/>
      <c r="GY830" s="4"/>
      <c r="GZ830" s="4"/>
      <c r="HA830" s="4"/>
      <c r="HB830" s="4"/>
      <c r="HC830" s="4"/>
      <c r="HD830" s="4"/>
      <c r="HE830" s="4"/>
      <c r="HF830" s="4"/>
      <c r="HG830" s="4"/>
      <c r="HH830" s="4"/>
      <c r="HI830" s="4"/>
      <c r="HJ830" s="4"/>
      <c r="HK830" s="4"/>
      <c r="HL830" s="4"/>
    </row>
    <row r="831" spans="1:220" ht="15" customHeight="1">
      <c r="A831" s="21">
        <v>8</v>
      </c>
      <c r="B831" s="157" t="str">
        <f>VLOOKUP(Ruimtestaat[[#This Row],[Code]],Locaties[[Code]:[Locatie]],2,FALSE)</f>
        <v>Dalton College</v>
      </c>
      <c r="C831" s="157" t="str">
        <f>VLOOKUP(Ruimtestaat[[#This Row],[Code]],Locaties[[#All],[Code]:[Adres]],4,FALSE)</f>
        <v>Loolaan 125</v>
      </c>
      <c r="D831" s="157" t="str">
        <f>VLOOKUP(Ruimtestaat[[#This Row],[Code]],Locaties[[#All],[Code]:[Postcode]],5,FALSE)</f>
        <v xml:space="preserve">2271 TM </v>
      </c>
      <c r="E831" s="157" t="str">
        <f>VLOOKUP(Ruimtestaat[[#This Row],[Code]],Locaties[#All],6,FALSE)</f>
        <v>Voorburg</v>
      </c>
      <c r="F831" s="62"/>
      <c r="G831" s="21" t="s">
        <v>1706</v>
      </c>
      <c r="H831" s="21" t="s">
        <v>1715</v>
      </c>
      <c r="I831" s="62" t="s">
        <v>2303</v>
      </c>
      <c r="J831" s="21">
        <v>2</v>
      </c>
      <c r="K831" s="62" t="str">
        <f>VLOOKUP(Ruimtestaat[[#This Row],[Ruimte code]],Ruimtegroepen[[#All],[Code]:[Ruimte omschrijving]],2,FALSE)</f>
        <v>Kantoren</v>
      </c>
      <c r="L831" s="33" t="s">
        <v>101</v>
      </c>
      <c r="M831" s="367" t="s">
        <v>2495</v>
      </c>
      <c r="N831" s="140">
        <v>30</v>
      </c>
      <c r="O831" s="140"/>
      <c r="P831" s="125" t="str">
        <f>VLOOKUP(Ruimtestaat[[#This Row],[Ruimte code]],Ruimtegroepen[],4,FALSE)</f>
        <v>Bu</v>
      </c>
      <c r="R831" s="33">
        <v>42</v>
      </c>
      <c r="S831" s="33" t="s">
        <v>18</v>
      </c>
      <c r="T831" s="33">
        <f>IF(R831&gt;0,IF(RIGHT(Ruimtestaat[[#This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31" s="33">
        <f>IF(T831&gt;0,VLOOKUP($J831,Ruimtegroepen[],3,FALSE)*VLOOKUP($L831,Vloersoorten[],3,FALSE)*VLOOKUP($S831,Frequenties[],3,FALSE)*VLOOKUP($A831,Locaties[],3,FALSE),0)</f>
        <v>0</v>
      </c>
      <c r="V831" s="33">
        <f>Ruimtestaat[[#This Row],[Uitvoeringen werkdagen]]*Ruimtestaat[[#This Row],[Oppervlak (netto)]]</f>
        <v>3780</v>
      </c>
      <c r="W831" s="154">
        <f>IF(U831&gt;0,Ruimtestaat[[#This Row],[Prest. (m2 /jaar) werkdagen]]/Ruimtestaat[[#This Row],[Norm (m2/uur) werkdagen]],0)</f>
        <v>0</v>
      </c>
      <c r="X831" s="155">
        <f>Ruimtestaat[[#This Row],[uren / jaar werkdagen]]*Tariefsopbouw!$E$35</f>
        <v>0</v>
      </c>
      <c r="Y831" s="33"/>
      <c r="Z831" s="33">
        <f>IF(Ruimtestaat[[#This Row],[Frequentie weekend]]&gt;0,VALUE(LEFT(Y831,1))*R831,0)</f>
        <v>0</v>
      </c>
      <c r="AA831" s="97">
        <f>IF($Z831&gt;0,VLOOKUP($J831,Ruimtegroepen[],3,FALSE)*VLOOKUP($L831,Vloersoorten[],3,FALSE)*VLOOKUP($Y831,Frequenties[],3,FALSE)*VLOOKUP(Ruimtestaat[[#This Row],[Code]],Locaties[],3,FALSE),0)</f>
        <v>0</v>
      </c>
      <c r="AB831" s="97">
        <f>Ruimtestaat[[#This Row],[Uitvoeringen weekend]]*Ruimtestaat[[#This Row],[Oppervlak (netto)]]</f>
        <v>0</v>
      </c>
      <c r="AC831" s="97">
        <f>IF(AA831&gt;0,Ruimtestaat[[#This Row],[Prest. (m2 /jaar) weekend]]/Ruimtestaat[[#This Row],[Norm (m2/uur) weekend]],0)</f>
        <v>0</v>
      </c>
      <c r="AD831" s="155">
        <f>Ruimtestaat[[#This Row],[uren / jaar weekend]]*Tariefsopbouw!$D$40</f>
        <v>0</v>
      </c>
      <c r="AE831" s="154">
        <f>Ruimtestaat[[#This Row],[Prest. (m2 /jaar) weekend]]+Ruimtestaat[[#This Row],[Prest. (m2 /jaar) werkdagen]]</f>
        <v>3780</v>
      </c>
      <c r="AF831" s="154">
        <f>Ruimtestaat[[#This Row],[uren / jaar weekend]]+Ruimtestaat[[#This Row],[uren / jaar werkdagen]]</f>
        <v>0</v>
      </c>
      <c r="AG831" s="69">
        <f>Ruimtestaat[[#This Row],[kosten / jaar weekend]]+Ruimtestaat[[#This Row],[kosten / jaar werkdagen]]</f>
        <v>0</v>
      </c>
      <c r="AH831" s="69"/>
      <c r="AI831" s="256" t="str">
        <f>IF(Ruimtestaat[[#This Row],[Frequentie werkdagen]]="","",_xlfn.CONCAT(Ruimtestaat[[#This Row],[Ruimte code]],"-",Ruimtestaat[[#This Row],[Frequentie werkdagen]]," ",Ruimtestaat[[#This Row],[Vloer code]]))</f>
        <v>2-3w L</v>
      </c>
      <c r="AJ831" s="300" t="str">
        <f>_xlfn.IFNA(VLOOKUP($AI831,Programma!$F$3:$G$1107,2,0),"")</f>
        <v>_</v>
      </c>
      <c r="AK831" s="300" t="str">
        <f>_xlfn.IFNA(VLOOKUP($AI831,Programma!$F$3:$H$1107,3,0),"")</f>
        <v>_</v>
      </c>
      <c r="AL831" s="300" t="str">
        <f>_xlfn.IFNA(VLOOKUP($AI831,Programma!$F$3:$I$1107,4,0),"")</f>
        <v>2w</v>
      </c>
      <c r="AM831" s="300" t="str">
        <f>_xlfn.IFNA(VLOOKUP($AI831,Programma!$F$3:$J$1107,5,0),"")</f>
        <v>1w</v>
      </c>
      <c r="AN831" s="300" t="str">
        <f>_xlfn.IFNA(VLOOKUP($AI831,Programma!$F$3:$K$1107,6,0),"")</f>
        <v>_</v>
      </c>
      <c r="AO831" s="300" t="str">
        <f>_xlfn.IFNA(VLOOKUP($AI831,Programma!$F$3:$L$1107,7,0),"")</f>
        <v>_</v>
      </c>
      <c r="AP831" s="300" t="str">
        <f>_xlfn.IFNA(VLOOKUP($AI831,Programma!$F$3:$M$1107,8,0),"")</f>
        <v>_</v>
      </c>
      <c r="AQ831" s="300" t="str">
        <f>_xlfn.IFNA(VLOOKUP($AI831,Programma!$F$3:$N$1107,9,0),"")</f>
        <v>_</v>
      </c>
      <c r="AR831" s="300" t="str">
        <f>_xlfn.IFNA(VLOOKUP($AI831,Programma!$F$3:$O$1107,10,0),"")</f>
        <v>3w</v>
      </c>
      <c r="AS831" s="300" t="str">
        <f>_xlfn.IFNA(VLOOKUP($AI831,Programma!$F$3:$P$1107,11,0),"")</f>
        <v>3w</v>
      </c>
      <c r="AT831" s="300" t="str">
        <f>_xlfn.IFNA(VLOOKUP($AI831,Programma!$F$3:$Q$1107,12,0),"")</f>
        <v>1w</v>
      </c>
      <c r="AU831" s="300" t="str">
        <f>_xlfn.IFNA(VLOOKUP($AI831,Programma!$F$3:$R$1107,13,0),"")</f>
        <v>1w</v>
      </c>
      <c r="AV831" s="300" t="str">
        <f>_xlfn.IFNA(VLOOKUP($AI831,Programma!$F$3:$S$1107,14,0),"")</f>
        <v>1m</v>
      </c>
      <c r="AW831" s="300" t="str">
        <f>_xlfn.IFNA(VLOOKUP($AI831,Programma!$F$3:$T$1107,15,0),"")</f>
        <v>2j</v>
      </c>
      <c r="AX831" s="300" t="str">
        <f>_xlfn.IFNA(VLOOKUP($AI831,Programma!$F$3:$U$1107,16,0),"")</f>
        <v>1j</v>
      </c>
      <c r="AY831" s="300" t="str">
        <f>_xlfn.IFNA(VLOOKUP($AI831,Programma!$F$3:$V$1107,17,0),"")</f>
        <v>_</v>
      </c>
      <c r="AZ831" s="300" t="str">
        <f>_xlfn.IFNA(VLOOKUP($AI831,Programma!$F$3:$W$1107,18,0),"")</f>
        <v>_</v>
      </c>
      <c r="BA831" s="300" t="str">
        <f>_xlfn.IFNA(VLOOKUP($AI831,Programma!$F$3:$X$1107,19,0),"")</f>
        <v>_</v>
      </c>
      <c r="BB831" s="300" t="str">
        <f>_xlfn.IFNA(VLOOKUP($AI831,Programma!$F$3:$Y$1107,20,0),"")</f>
        <v>_</v>
      </c>
      <c r="BC831" s="257"/>
      <c r="BD831" s="256" t="str">
        <f>IF(Ruimtestaat[[#This Row],[Frequentie weekend]]="","",_xlfn.CONCAT(Ruimtestaat[[#This Row],[Ruimte code]],"-",Ruimtestaat[[#This Row],[Frequentie weekend]]," ",Ruimtestaat[[#This Row],[Vloer code]]))</f>
        <v/>
      </c>
      <c r="BE831" s="300" t="str">
        <f>_xlfn.IFNA(VLOOKUP($BD831,Programma!$F$3:$G$1107,2,0),"")</f>
        <v/>
      </c>
      <c r="BF831" s="300" t="str">
        <f>_xlfn.IFNA(VLOOKUP($BD831,Programma!$F$3:$H$1107,3,0),"")</f>
        <v/>
      </c>
      <c r="BG831" s="300" t="str">
        <f>_xlfn.IFNA(VLOOKUP($BD831,Programma!$F$3:$I$1107,4,0),"")</f>
        <v/>
      </c>
      <c r="BH831" s="300" t="str">
        <f>_xlfn.IFNA(VLOOKUP($BD831,Programma!$F$3:$J$1107,5,0),"")</f>
        <v/>
      </c>
      <c r="BI831" s="300" t="str">
        <f>_xlfn.IFNA(VLOOKUP($BD831,Programma!$F$3:$K$1107,6,0),"")</f>
        <v/>
      </c>
      <c r="BJ831" s="300" t="str">
        <f>_xlfn.IFNA(VLOOKUP($BD831,Programma!$F$3:$L$1107,7,0),"")</f>
        <v/>
      </c>
      <c r="BK831" s="300" t="str">
        <f>_xlfn.IFNA(VLOOKUP($BD831,Programma!$F$3:$M$1107,8,0),"")</f>
        <v/>
      </c>
      <c r="BL831" s="300" t="str">
        <f>_xlfn.IFNA(VLOOKUP($BD831,Programma!$F$3:$N$1107,9,0),"")</f>
        <v/>
      </c>
      <c r="BM831" s="300" t="str">
        <f>_xlfn.IFNA(VLOOKUP($BD831,Programma!$F$3:$O$1107,10,0),"")</f>
        <v/>
      </c>
      <c r="BN831" s="300" t="str">
        <f>_xlfn.IFNA(VLOOKUP($BD831,Programma!$F$3:$P$1107,11,0),"")</f>
        <v/>
      </c>
      <c r="BO831" s="300" t="str">
        <f>_xlfn.IFNA(VLOOKUP($BD831,Programma!$F$3:$Q$1107,12,0),"")</f>
        <v/>
      </c>
      <c r="BP831" s="300" t="str">
        <f>_xlfn.IFNA(VLOOKUP($BD831,Programma!$F$3:$R$1107,13,0),"")</f>
        <v/>
      </c>
      <c r="BQ831" s="300" t="str">
        <f>_xlfn.IFNA(VLOOKUP($BD831,Programma!$F$3:$S$1107,14,0),"")</f>
        <v/>
      </c>
      <c r="BR831" s="300" t="str">
        <f>_xlfn.IFNA(VLOOKUP($BD831,Programma!$F$3:$T$1107,15,0),"")</f>
        <v/>
      </c>
      <c r="BS831" s="300" t="str">
        <f>_xlfn.IFNA(VLOOKUP($BD831,Programma!$F$3:$U$1107,16,0),"")</f>
        <v/>
      </c>
      <c r="BT831" s="300" t="str">
        <f>_xlfn.IFNA(VLOOKUP($BD831,Programma!$F$3:$V$1107,17,0),"")</f>
        <v/>
      </c>
      <c r="BU831" s="300" t="str">
        <f>_xlfn.IFNA(VLOOKUP($BD831,Programma!$F$3:$W$1107,18,0),"")</f>
        <v/>
      </c>
      <c r="BV831" s="300" t="str">
        <f>_xlfn.IFNA(VLOOKUP($BD831,Programma!$F$3:$X$1107,19,0),"")</f>
        <v/>
      </c>
      <c r="BW831" s="300" t="str">
        <f>_xlfn.IFNA(VLOOKUP($BD831,Programma!$F$3:$Y$1107,20,0),"")</f>
        <v/>
      </c>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c r="GK831" s="4"/>
      <c r="GL831" s="4"/>
      <c r="GM831" s="4"/>
      <c r="GN831" s="4"/>
      <c r="GO831" s="4"/>
      <c r="GP831" s="4"/>
      <c r="GQ831" s="4"/>
      <c r="GR831" s="4"/>
      <c r="GS831" s="4"/>
      <c r="GT831" s="4"/>
      <c r="GU831" s="4"/>
      <c r="GV831" s="4"/>
      <c r="GW831" s="4"/>
      <c r="GX831" s="4"/>
      <c r="GY831" s="4"/>
      <c r="GZ831" s="4"/>
      <c r="HA831" s="4"/>
      <c r="HB831" s="4"/>
      <c r="HC831" s="4"/>
      <c r="HD831" s="4"/>
      <c r="HE831" s="4"/>
      <c r="HF831" s="4"/>
      <c r="HG831" s="4"/>
      <c r="HH831" s="4"/>
      <c r="HI831" s="4"/>
      <c r="HJ831" s="4"/>
      <c r="HK831" s="4"/>
      <c r="HL831" s="4"/>
    </row>
    <row r="832" spans="1:220" ht="15" customHeight="1">
      <c r="A832" s="21">
        <v>8</v>
      </c>
      <c r="B832" s="157" t="str">
        <f>VLOOKUP(Ruimtestaat[[#This Row],[Code]],Locaties[[Code]:[Locatie]],2,FALSE)</f>
        <v>Dalton College</v>
      </c>
      <c r="C832" s="157" t="str">
        <f>VLOOKUP(Ruimtestaat[[#This Row],[Code]],Locaties[[#All],[Code]:[Adres]],4,FALSE)</f>
        <v>Loolaan 125</v>
      </c>
      <c r="D832" s="157" t="str">
        <f>VLOOKUP(Ruimtestaat[[#This Row],[Code]],Locaties[[#All],[Code]:[Postcode]],5,FALSE)</f>
        <v xml:space="preserve">2271 TM </v>
      </c>
      <c r="E832" s="157" t="str">
        <f>VLOOKUP(Ruimtestaat[[#This Row],[Code]],Locaties[#All],6,FALSE)</f>
        <v>Voorburg</v>
      </c>
      <c r="F832" s="62"/>
      <c r="G832" s="21" t="s">
        <v>1706</v>
      </c>
      <c r="H832" s="21" t="s">
        <v>1959</v>
      </c>
      <c r="I832" s="62" t="s">
        <v>1639</v>
      </c>
      <c r="J832" s="21">
        <v>5</v>
      </c>
      <c r="K832" s="62" t="str">
        <f>VLOOKUP(Ruimtestaat[[#This Row],[Ruimte code]],Ruimtegroepen[[#All],[Code]:[Ruimte omschrijving]],2,FALSE)</f>
        <v>Sanitair</v>
      </c>
      <c r="L832" s="33" t="s">
        <v>102</v>
      </c>
      <c r="M832" s="367" t="s">
        <v>2496</v>
      </c>
      <c r="N832" s="140">
        <v>6</v>
      </c>
      <c r="O832" s="140"/>
      <c r="P832" s="125" t="str">
        <f>VLOOKUP(Ruimtestaat[[#This Row],[Ruimte code]],Ruimtegroepen[],4,FALSE)</f>
        <v>Sa</v>
      </c>
      <c r="R832" s="33">
        <v>40</v>
      </c>
      <c r="S832" s="33" t="s">
        <v>2</v>
      </c>
      <c r="T832" s="33">
        <f>IF(R832&gt;0,IF(RIGHT(Ruimtestaat[[#This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2" s="33">
        <f>IF(T832&gt;0,VLOOKUP($J832,Ruimtegroepen[],3,FALSE)*VLOOKUP($L832,Vloersoorten[],3,FALSE)*VLOOKUP($S832,Frequenties[],3,FALSE)*VLOOKUP($A832,Locaties[],3,FALSE),0)</f>
        <v>0</v>
      </c>
      <c r="V832" s="33">
        <f>Ruimtestaat[[#This Row],[Uitvoeringen werkdagen]]*Ruimtestaat[[#This Row],[Oppervlak (netto)]]</f>
        <v>1200</v>
      </c>
      <c r="W832" s="154">
        <f>IF(U832&gt;0,Ruimtestaat[[#This Row],[Prest. (m2 /jaar) werkdagen]]/Ruimtestaat[[#This Row],[Norm (m2/uur) werkdagen]],0)</f>
        <v>0</v>
      </c>
      <c r="X832" s="155">
        <f>Ruimtestaat[[#This Row],[uren / jaar werkdagen]]*Tariefsopbouw!$E$35</f>
        <v>0</v>
      </c>
      <c r="Y832" s="33"/>
      <c r="Z832" s="33">
        <f>IF(Ruimtestaat[[#This Row],[Frequentie weekend]]&gt;0,VALUE(LEFT(Y832,1))*R832,0)</f>
        <v>0</v>
      </c>
      <c r="AA832" s="97">
        <f>IF($Z832&gt;0,VLOOKUP($J832,Ruimtegroepen[],3,FALSE)*VLOOKUP($L832,Vloersoorten[],3,FALSE)*VLOOKUP($Y832,Frequenties[],3,FALSE)*VLOOKUP(Ruimtestaat[[#This Row],[Code]],Locaties[],3,FALSE),0)</f>
        <v>0</v>
      </c>
      <c r="AB832" s="97">
        <f>Ruimtestaat[[#This Row],[Uitvoeringen weekend]]*Ruimtestaat[[#This Row],[Oppervlak (netto)]]</f>
        <v>0</v>
      </c>
      <c r="AC832" s="97">
        <f>IF(AA832&gt;0,Ruimtestaat[[#This Row],[Prest. (m2 /jaar) weekend]]/Ruimtestaat[[#This Row],[Norm (m2/uur) weekend]],0)</f>
        <v>0</v>
      </c>
      <c r="AD832" s="155">
        <f>Ruimtestaat[[#This Row],[uren / jaar weekend]]*Tariefsopbouw!$D$40</f>
        <v>0</v>
      </c>
      <c r="AE832" s="154">
        <f>Ruimtestaat[[#This Row],[Prest. (m2 /jaar) weekend]]+Ruimtestaat[[#This Row],[Prest. (m2 /jaar) werkdagen]]</f>
        <v>1200</v>
      </c>
      <c r="AF832" s="154">
        <f>Ruimtestaat[[#This Row],[uren / jaar weekend]]+Ruimtestaat[[#This Row],[uren / jaar werkdagen]]</f>
        <v>0</v>
      </c>
      <c r="AG832" s="69">
        <f>Ruimtestaat[[#This Row],[kosten / jaar weekend]]+Ruimtestaat[[#This Row],[kosten / jaar werkdagen]]</f>
        <v>0</v>
      </c>
      <c r="AH832" s="69"/>
      <c r="AI832" s="256" t="str">
        <f>IF(Ruimtestaat[[#This Row],[Frequentie werkdagen]]="","",_xlfn.CONCAT(Ruimtestaat[[#This Row],[Ruimte code]],"-",Ruimtestaat[[#This Row],[Frequentie werkdagen]]," ",Ruimtestaat[[#This Row],[Vloer code]]))</f>
        <v>5-5w S</v>
      </c>
      <c r="AJ832" s="300" t="str">
        <f>_xlfn.IFNA(VLOOKUP($AI832,Programma!$F$3:$G$1107,2,0),"")</f>
        <v>_</v>
      </c>
      <c r="AK832" s="300" t="str">
        <f>_xlfn.IFNA(VLOOKUP($AI832,Programma!$F$3:$H$1107,3,0),"")</f>
        <v>_</v>
      </c>
      <c r="AL832" s="300" t="str">
        <f>_xlfn.IFNA(VLOOKUP($AI832,Programma!$F$3:$I$1107,4,0),"")</f>
        <v>_</v>
      </c>
      <c r="AM832" s="300" t="str">
        <f>_xlfn.IFNA(VLOOKUP($AI832,Programma!$F$3:$J$1107,5,0),"")</f>
        <v>4w</v>
      </c>
      <c r="AN832" s="300" t="str">
        <f>_xlfn.IFNA(VLOOKUP($AI832,Programma!$F$3:$K$1107,6,0),"")</f>
        <v>1w</v>
      </c>
      <c r="AO832" s="300" t="str">
        <f>_xlfn.IFNA(VLOOKUP($AI832,Programma!$F$3:$L$1107,7,0),"")</f>
        <v>_</v>
      </c>
      <c r="AP832" s="300" t="str">
        <f>_xlfn.IFNA(VLOOKUP($AI832,Programma!$F$3:$M$1107,8,0),"")</f>
        <v>_</v>
      </c>
      <c r="AQ832" s="300" t="str">
        <f>_xlfn.IFNA(VLOOKUP($AI832,Programma!$F$3:$N$1107,9,0),"")</f>
        <v>_</v>
      </c>
      <c r="AR832" s="300" t="str">
        <f>_xlfn.IFNA(VLOOKUP($AI832,Programma!$F$3:$O$1107,10,0),"")</f>
        <v>_</v>
      </c>
      <c r="AS832" s="300" t="str">
        <f>_xlfn.IFNA(VLOOKUP($AI832,Programma!$F$3:$P$1107,11,0),"")</f>
        <v>_</v>
      </c>
      <c r="AT832" s="300" t="str">
        <f>_xlfn.IFNA(VLOOKUP($AI832,Programma!$F$3:$Q$1107,12,0),"")</f>
        <v>_</v>
      </c>
      <c r="AU832" s="300" t="str">
        <f>_xlfn.IFNA(VLOOKUP($AI832,Programma!$F$3:$R$1107,13,0),"")</f>
        <v>_</v>
      </c>
      <c r="AV832" s="300" t="str">
        <f>_xlfn.IFNA(VLOOKUP($AI832,Programma!$F$3:$S$1107,14,0),"")</f>
        <v>_</v>
      </c>
      <c r="AW832" s="300" t="str">
        <f>_xlfn.IFNA(VLOOKUP($AI832,Programma!$F$3:$T$1107,15,0),"")</f>
        <v>_</v>
      </c>
      <c r="AX832" s="300" t="str">
        <f>_xlfn.IFNA(VLOOKUP($AI832,Programma!$F$3:$U$1107,16,0),"")</f>
        <v>_</v>
      </c>
      <c r="AY832" s="300" t="str">
        <f>_xlfn.IFNA(VLOOKUP($AI832,Programma!$F$3:$V$1107,17,0),"")</f>
        <v>_</v>
      </c>
      <c r="AZ832" s="300" t="str">
        <f>_xlfn.IFNA(VLOOKUP($AI832,Programma!$F$3:$W$1107,18,0),"")</f>
        <v>4w</v>
      </c>
      <c r="BA832" s="300" t="str">
        <f>_xlfn.IFNA(VLOOKUP($AI832,Programma!$F$3:$X$1107,19,0),"")</f>
        <v>1w</v>
      </c>
      <c r="BB832" s="300" t="str">
        <f>_xlfn.IFNA(VLOOKUP($AI832,Programma!$F$3:$Y$1107,20,0),"")</f>
        <v>_</v>
      </c>
      <c r="BC832" s="257"/>
      <c r="BD832" s="256" t="str">
        <f>IF(Ruimtestaat[[#This Row],[Frequentie weekend]]="","",_xlfn.CONCAT(Ruimtestaat[[#This Row],[Ruimte code]],"-",Ruimtestaat[[#This Row],[Frequentie weekend]]," ",Ruimtestaat[[#This Row],[Vloer code]]))</f>
        <v/>
      </c>
      <c r="BE832" s="300" t="str">
        <f>_xlfn.IFNA(VLOOKUP($BD832,Programma!$F$3:$G$1107,2,0),"")</f>
        <v/>
      </c>
      <c r="BF832" s="300" t="str">
        <f>_xlfn.IFNA(VLOOKUP($BD832,Programma!$F$3:$H$1107,3,0),"")</f>
        <v/>
      </c>
      <c r="BG832" s="300" t="str">
        <f>_xlfn.IFNA(VLOOKUP($BD832,Programma!$F$3:$I$1107,4,0),"")</f>
        <v/>
      </c>
      <c r="BH832" s="300" t="str">
        <f>_xlfn.IFNA(VLOOKUP($BD832,Programma!$F$3:$J$1107,5,0),"")</f>
        <v/>
      </c>
      <c r="BI832" s="300" t="str">
        <f>_xlfn.IFNA(VLOOKUP($BD832,Programma!$F$3:$K$1107,6,0),"")</f>
        <v/>
      </c>
      <c r="BJ832" s="300" t="str">
        <f>_xlfn.IFNA(VLOOKUP($BD832,Programma!$F$3:$L$1107,7,0),"")</f>
        <v/>
      </c>
      <c r="BK832" s="300" t="str">
        <f>_xlfn.IFNA(VLOOKUP($BD832,Programma!$F$3:$M$1107,8,0),"")</f>
        <v/>
      </c>
      <c r="BL832" s="300" t="str">
        <f>_xlfn.IFNA(VLOOKUP($BD832,Programma!$F$3:$N$1107,9,0),"")</f>
        <v/>
      </c>
      <c r="BM832" s="300" t="str">
        <f>_xlfn.IFNA(VLOOKUP($BD832,Programma!$F$3:$O$1107,10,0),"")</f>
        <v/>
      </c>
      <c r="BN832" s="300" t="str">
        <f>_xlfn.IFNA(VLOOKUP($BD832,Programma!$F$3:$P$1107,11,0),"")</f>
        <v/>
      </c>
      <c r="BO832" s="300" t="str">
        <f>_xlfn.IFNA(VLOOKUP($BD832,Programma!$F$3:$Q$1107,12,0),"")</f>
        <v/>
      </c>
      <c r="BP832" s="300" t="str">
        <f>_xlfn.IFNA(VLOOKUP($BD832,Programma!$F$3:$R$1107,13,0),"")</f>
        <v/>
      </c>
      <c r="BQ832" s="300" t="str">
        <f>_xlfn.IFNA(VLOOKUP($BD832,Programma!$F$3:$S$1107,14,0),"")</f>
        <v/>
      </c>
      <c r="BR832" s="300" t="str">
        <f>_xlfn.IFNA(VLOOKUP($BD832,Programma!$F$3:$T$1107,15,0),"")</f>
        <v/>
      </c>
      <c r="BS832" s="300" t="str">
        <f>_xlfn.IFNA(VLOOKUP($BD832,Programma!$F$3:$U$1107,16,0),"")</f>
        <v/>
      </c>
      <c r="BT832" s="300" t="str">
        <f>_xlfn.IFNA(VLOOKUP($BD832,Programma!$F$3:$V$1107,17,0),"")</f>
        <v/>
      </c>
      <c r="BU832" s="300" t="str">
        <f>_xlfn.IFNA(VLOOKUP($BD832,Programma!$F$3:$W$1107,18,0),"")</f>
        <v/>
      </c>
      <c r="BV832" s="300" t="str">
        <f>_xlfn.IFNA(VLOOKUP($BD832,Programma!$F$3:$X$1107,19,0),"")</f>
        <v/>
      </c>
      <c r="BW832" s="300" t="str">
        <f>_xlfn.IFNA(VLOOKUP($BD832,Programma!$F$3:$Y$1107,20,0),"")</f>
        <v/>
      </c>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c r="GK832" s="4"/>
      <c r="GL832" s="4"/>
      <c r="GM832" s="4"/>
      <c r="GN832" s="4"/>
      <c r="GO832" s="4"/>
      <c r="GP832" s="4"/>
      <c r="GQ832" s="4"/>
      <c r="GR832" s="4"/>
      <c r="GS832" s="4"/>
      <c r="GT832" s="4"/>
      <c r="GU832" s="4"/>
      <c r="GV832" s="4"/>
      <c r="GW832" s="4"/>
      <c r="GX832" s="4"/>
      <c r="GY832" s="4"/>
      <c r="GZ832" s="4"/>
      <c r="HA832" s="4"/>
      <c r="HB832" s="4"/>
      <c r="HC832" s="4"/>
      <c r="HD832" s="4"/>
      <c r="HE832" s="4"/>
      <c r="HF832" s="4"/>
      <c r="HG832" s="4"/>
      <c r="HH832" s="4"/>
      <c r="HI832" s="4"/>
      <c r="HJ832" s="4"/>
      <c r="HK832" s="4"/>
      <c r="HL832" s="4"/>
    </row>
    <row r="833" spans="1:220" ht="15" customHeight="1">
      <c r="A833" s="21">
        <v>8</v>
      </c>
      <c r="B833" s="157" t="str">
        <f>VLOOKUP(Ruimtestaat[[#This Row],[Code]],Locaties[[Code]:[Locatie]],2,FALSE)</f>
        <v>Dalton College</v>
      </c>
      <c r="C833" s="157" t="str">
        <f>VLOOKUP(Ruimtestaat[[#This Row],[Code]],Locaties[[#All],[Code]:[Adres]],4,FALSE)</f>
        <v>Loolaan 125</v>
      </c>
      <c r="D833" s="157" t="str">
        <f>VLOOKUP(Ruimtestaat[[#This Row],[Code]],Locaties[[#All],[Code]:[Postcode]],5,FALSE)</f>
        <v xml:space="preserve">2271 TM </v>
      </c>
      <c r="E833" s="157" t="str">
        <f>VLOOKUP(Ruimtestaat[[#This Row],[Code]],Locaties[#All],6,FALSE)</f>
        <v>Voorburg</v>
      </c>
      <c r="F833" s="62"/>
      <c r="G833" s="21" t="s">
        <v>1706</v>
      </c>
      <c r="H833" s="21" t="s">
        <v>1716</v>
      </c>
      <c r="I833" s="62" t="s">
        <v>1640</v>
      </c>
      <c r="J833" s="21">
        <v>5</v>
      </c>
      <c r="K833" s="62" t="str">
        <f>VLOOKUP(Ruimtestaat[[#This Row],[Ruimte code]],Ruimtegroepen[[#All],[Code]:[Ruimte omschrijving]],2,FALSE)</f>
        <v>Sanitair</v>
      </c>
      <c r="L833" s="33" t="s">
        <v>102</v>
      </c>
      <c r="M833" s="367" t="s">
        <v>2496</v>
      </c>
      <c r="N833" s="140">
        <v>6</v>
      </c>
      <c r="O833" s="140"/>
      <c r="P833" s="125" t="str">
        <f>VLOOKUP(Ruimtestaat[[#This Row],[Ruimte code]],Ruimtegroepen[],4,FALSE)</f>
        <v>Sa</v>
      </c>
      <c r="R833" s="33">
        <v>40</v>
      </c>
      <c r="S833" s="33" t="s">
        <v>2</v>
      </c>
      <c r="T833" s="33">
        <f>IF(R833&gt;0,IF(RIGHT(Ruimtestaat[[#This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3" s="33">
        <f>IF(T833&gt;0,VLOOKUP($J833,Ruimtegroepen[],3,FALSE)*VLOOKUP($L833,Vloersoorten[],3,FALSE)*VLOOKUP($S833,Frequenties[],3,FALSE)*VLOOKUP($A833,Locaties[],3,FALSE),0)</f>
        <v>0</v>
      </c>
      <c r="V833" s="33">
        <f>Ruimtestaat[[#This Row],[Uitvoeringen werkdagen]]*Ruimtestaat[[#This Row],[Oppervlak (netto)]]</f>
        <v>1200</v>
      </c>
      <c r="W833" s="154">
        <f>IF(U833&gt;0,Ruimtestaat[[#This Row],[Prest. (m2 /jaar) werkdagen]]/Ruimtestaat[[#This Row],[Norm (m2/uur) werkdagen]],0)</f>
        <v>0</v>
      </c>
      <c r="X833" s="155">
        <f>Ruimtestaat[[#This Row],[uren / jaar werkdagen]]*Tariefsopbouw!$E$35</f>
        <v>0</v>
      </c>
      <c r="Y833" s="33"/>
      <c r="Z833" s="33">
        <f>IF(Ruimtestaat[[#This Row],[Frequentie weekend]]&gt;0,VALUE(LEFT(Y833,1))*R833,0)</f>
        <v>0</v>
      </c>
      <c r="AA833" s="97">
        <f>IF($Z833&gt;0,VLOOKUP($J833,Ruimtegroepen[],3,FALSE)*VLOOKUP($L833,Vloersoorten[],3,FALSE)*VLOOKUP($Y833,Frequenties[],3,FALSE)*VLOOKUP(Ruimtestaat[[#This Row],[Code]],Locaties[],3,FALSE),0)</f>
        <v>0</v>
      </c>
      <c r="AB833" s="97">
        <f>Ruimtestaat[[#This Row],[Uitvoeringen weekend]]*Ruimtestaat[[#This Row],[Oppervlak (netto)]]</f>
        <v>0</v>
      </c>
      <c r="AC833" s="97">
        <f>IF(AA833&gt;0,Ruimtestaat[[#This Row],[Prest. (m2 /jaar) weekend]]/Ruimtestaat[[#This Row],[Norm (m2/uur) weekend]],0)</f>
        <v>0</v>
      </c>
      <c r="AD833" s="155">
        <f>Ruimtestaat[[#This Row],[uren / jaar weekend]]*Tariefsopbouw!$D$40</f>
        <v>0</v>
      </c>
      <c r="AE833" s="154">
        <f>Ruimtestaat[[#This Row],[Prest. (m2 /jaar) weekend]]+Ruimtestaat[[#This Row],[Prest. (m2 /jaar) werkdagen]]</f>
        <v>1200</v>
      </c>
      <c r="AF833" s="154">
        <f>Ruimtestaat[[#This Row],[uren / jaar weekend]]+Ruimtestaat[[#This Row],[uren / jaar werkdagen]]</f>
        <v>0</v>
      </c>
      <c r="AG833" s="69">
        <f>Ruimtestaat[[#This Row],[kosten / jaar weekend]]+Ruimtestaat[[#This Row],[kosten / jaar werkdagen]]</f>
        <v>0</v>
      </c>
      <c r="AH833" s="69"/>
      <c r="AI833" s="256" t="str">
        <f>IF(Ruimtestaat[[#This Row],[Frequentie werkdagen]]="","",_xlfn.CONCAT(Ruimtestaat[[#This Row],[Ruimte code]],"-",Ruimtestaat[[#This Row],[Frequentie werkdagen]]," ",Ruimtestaat[[#This Row],[Vloer code]]))</f>
        <v>5-5w S</v>
      </c>
      <c r="AJ833" s="300" t="str">
        <f>_xlfn.IFNA(VLOOKUP($AI833,Programma!$F$3:$G$1107,2,0),"")</f>
        <v>_</v>
      </c>
      <c r="AK833" s="300" t="str">
        <f>_xlfn.IFNA(VLOOKUP($AI833,Programma!$F$3:$H$1107,3,0),"")</f>
        <v>_</v>
      </c>
      <c r="AL833" s="300" t="str">
        <f>_xlfn.IFNA(VLOOKUP($AI833,Programma!$F$3:$I$1107,4,0),"")</f>
        <v>_</v>
      </c>
      <c r="AM833" s="300" t="str">
        <f>_xlfn.IFNA(VLOOKUP($AI833,Programma!$F$3:$J$1107,5,0),"")</f>
        <v>4w</v>
      </c>
      <c r="AN833" s="300" t="str">
        <f>_xlfn.IFNA(VLOOKUP($AI833,Programma!$F$3:$K$1107,6,0),"")</f>
        <v>1w</v>
      </c>
      <c r="AO833" s="300" t="str">
        <f>_xlfn.IFNA(VLOOKUP($AI833,Programma!$F$3:$L$1107,7,0),"")</f>
        <v>_</v>
      </c>
      <c r="AP833" s="300" t="str">
        <f>_xlfn.IFNA(VLOOKUP($AI833,Programma!$F$3:$M$1107,8,0),"")</f>
        <v>_</v>
      </c>
      <c r="AQ833" s="300" t="str">
        <f>_xlfn.IFNA(VLOOKUP($AI833,Programma!$F$3:$N$1107,9,0),"")</f>
        <v>_</v>
      </c>
      <c r="AR833" s="300" t="str">
        <f>_xlfn.IFNA(VLOOKUP($AI833,Programma!$F$3:$O$1107,10,0),"")</f>
        <v>_</v>
      </c>
      <c r="AS833" s="300" t="str">
        <f>_xlfn.IFNA(VLOOKUP($AI833,Programma!$F$3:$P$1107,11,0),"")</f>
        <v>_</v>
      </c>
      <c r="AT833" s="300" t="str">
        <f>_xlfn.IFNA(VLOOKUP($AI833,Programma!$F$3:$Q$1107,12,0),"")</f>
        <v>_</v>
      </c>
      <c r="AU833" s="300" t="str">
        <f>_xlfn.IFNA(VLOOKUP($AI833,Programma!$F$3:$R$1107,13,0),"")</f>
        <v>_</v>
      </c>
      <c r="AV833" s="300" t="str">
        <f>_xlfn.IFNA(VLOOKUP($AI833,Programma!$F$3:$S$1107,14,0),"")</f>
        <v>_</v>
      </c>
      <c r="AW833" s="300" t="str">
        <f>_xlfn.IFNA(VLOOKUP($AI833,Programma!$F$3:$T$1107,15,0),"")</f>
        <v>_</v>
      </c>
      <c r="AX833" s="300" t="str">
        <f>_xlfn.IFNA(VLOOKUP($AI833,Programma!$F$3:$U$1107,16,0),"")</f>
        <v>_</v>
      </c>
      <c r="AY833" s="300" t="str">
        <f>_xlfn.IFNA(VLOOKUP($AI833,Programma!$F$3:$V$1107,17,0),"")</f>
        <v>_</v>
      </c>
      <c r="AZ833" s="300" t="str">
        <f>_xlfn.IFNA(VLOOKUP($AI833,Programma!$F$3:$W$1107,18,0),"")</f>
        <v>4w</v>
      </c>
      <c r="BA833" s="300" t="str">
        <f>_xlfn.IFNA(VLOOKUP($AI833,Programma!$F$3:$X$1107,19,0),"")</f>
        <v>1w</v>
      </c>
      <c r="BB833" s="300" t="str">
        <f>_xlfn.IFNA(VLOOKUP($AI833,Programma!$F$3:$Y$1107,20,0),"")</f>
        <v>_</v>
      </c>
      <c r="BC833" s="257"/>
      <c r="BD833" s="256" t="str">
        <f>IF(Ruimtestaat[[#This Row],[Frequentie weekend]]="","",_xlfn.CONCAT(Ruimtestaat[[#This Row],[Ruimte code]],"-",Ruimtestaat[[#This Row],[Frequentie weekend]]," ",Ruimtestaat[[#This Row],[Vloer code]]))</f>
        <v/>
      </c>
      <c r="BE833" s="300" t="str">
        <f>_xlfn.IFNA(VLOOKUP($BD833,Programma!$F$3:$G$1107,2,0),"")</f>
        <v/>
      </c>
      <c r="BF833" s="300" t="str">
        <f>_xlfn.IFNA(VLOOKUP($BD833,Programma!$F$3:$H$1107,3,0),"")</f>
        <v/>
      </c>
      <c r="BG833" s="300" t="str">
        <f>_xlfn.IFNA(VLOOKUP($BD833,Programma!$F$3:$I$1107,4,0),"")</f>
        <v/>
      </c>
      <c r="BH833" s="300" t="str">
        <f>_xlfn.IFNA(VLOOKUP($BD833,Programma!$F$3:$J$1107,5,0),"")</f>
        <v/>
      </c>
      <c r="BI833" s="300" t="str">
        <f>_xlfn.IFNA(VLOOKUP($BD833,Programma!$F$3:$K$1107,6,0),"")</f>
        <v/>
      </c>
      <c r="BJ833" s="300" t="str">
        <f>_xlfn.IFNA(VLOOKUP($BD833,Programma!$F$3:$L$1107,7,0),"")</f>
        <v/>
      </c>
      <c r="BK833" s="300" t="str">
        <f>_xlfn.IFNA(VLOOKUP($BD833,Programma!$F$3:$M$1107,8,0),"")</f>
        <v/>
      </c>
      <c r="BL833" s="300" t="str">
        <f>_xlfn.IFNA(VLOOKUP($BD833,Programma!$F$3:$N$1107,9,0),"")</f>
        <v/>
      </c>
      <c r="BM833" s="300" t="str">
        <f>_xlfn.IFNA(VLOOKUP($BD833,Programma!$F$3:$O$1107,10,0),"")</f>
        <v/>
      </c>
      <c r="BN833" s="300" t="str">
        <f>_xlfn.IFNA(VLOOKUP($BD833,Programma!$F$3:$P$1107,11,0),"")</f>
        <v/>
      </c>
      <c r="BO833" s="300" t="str">
        <f>_xlfn.IFNA(VLOOKUP($BD833,Programma!$F$3:$Q$1107,12,0),"")</f>
        <v/>
      </c>
      <c r="BP833" s="300" t="str">
        <f>_xlfn.IFNA(VLOOKUP($BD833,Programma!$F$3:$R$1107,13,0),"")</f>
        <v/>
      </c>
      <c r="BQ833" s="300" t="str">
        <f>_xlfn.IFNA(VLOOKUP($BD833,Programma!$F$3:$S$1107,14,0),"")</f>
        <v/>
      </c>
      <c r="BR833" s="300" t="str">
        <f>_xlfn.IFNA(VLOOKUP($BD833,Programma!$F$3:$T$1107,15,0),"")</f>
        <v/>
      </c>
      <c r="BS833" s="300" t="str">
        <f>_xlfn.IFNA(VLOOKUP($BD833,Programma!$F$3:$U$1107,16,0),"")</f>
        <v/>
      </c>
      <c r="BT833" s="300" t="str">
        <f>_xlfn.IFNA(VLOOKUP($BD833,Programma!$F$3:$V$1107,17,0),"")</f>
        <v/>
      </c>
      <c r="BU833" s="300" t="str">
        <f>_xlfn.IFNA(VLOOKUP($BD833,Programma!$F$3:$W$1107,18,0),"")</f>
        <v/>
      </c>
      <c r="BV833" s="300" t="str">
        <f>_xlfn.IFNA(VLOOKUP($BD833,Programma!$F$3:$X$1107,19,0),"")</f>
        <v/>
      </c>
      <c r="BW833" s="300" t="str">
        <f>_xlfn.IFNA(VLOOKUP($BD833,Programma!$F$3:$Y$1107,20,0),"")</f>
        <v/>
      </c>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c r="GK833" s="4"/>
      <c r="GL833" s="4"/>
      <c r="GM833" s="4"/>
      <c r="GN833" s="4"/>
      <c r="GO833" s="4"/>
      <c r="GP833" s="4"/>
      <c r="GQ833" s="4"/>
      <c r="GR833" s="4"/>
      <c r="GS833" s="4"/>
      <c r="GT833" s="4"/>
      <c r="GU833" s="4"/>
      <c r="GV833" s="4"/>
      <c r="GW833" s="4"/>
      <c r="GX833" s="4"/>
      <c r="GY833" s="4"/>
      <c r="GZ833" s="4"/>
      <c r="HA833" s="4"/>
      <c r="HB833" s="4"/>
      <c r="HC833" s="4"/>
      <c r="HD833" s="4"/>
      <c r="HE833" s="4"/>
      <c r="HF833" s="4"/>
      <c r="HG833" s="4"/>
      <c r="HH833" s="4"/>
      <c r="HI833" s="4"/>
      <c r="HJ833" s="4"/>
      <c r="HK833" s="4"/>
      <c r="HL833" s="4"/>
    </row>
    <row r="834" spans="1:220" ht="15" customHeight="1">
      <c r="A834" s="21">
        <v>8</v>
      </c>
      <c r="B834" s="157" t="str">
        <f>VLOOKUP(Ruimtestaat[[#This Row],[Code]],Locaties[[Code]:[Locatie]],2,FALSE)</f>
        <v>Dalton College</v>
      </c>
      <c r="C834" s="157" t="str">
        <f>VLOOKUP(Ruimtestaat[[#This Row],[Code]],Locaties[[#All],[Code]:[Adres]],4,FALSE)</f>
        <v>Loolaan 125</v>
      </c>
      <c r="D834" s="157" t="str">
        <f>VLOOKUP(Ruimtestaat[[#This Row],[Code]],Locaties[[#All],[Code]:[Postcode]],5,FALSE)</f>
        <v xml:space="preserve">2271 TM </v>
      </c>
      <c r="E834" s="157" t="str">
        <f>VLOOKUP(Ruimtestaat[[#This Row],[Code]],Locaties[#All],6,FALSE)</f>
        <v>Voorburg</v>
      </c>
      <c r="F834" s="62"/>
      <c r="G834" s="21" t="s">
        <v>1706</v>
      </c>
      <c r="H834" s="21" t="s">
        <v>1717</v>
      </c>
      <c r="I834" s="62" t="s">
        <v>2304</v>
      </c>
      <c r="J834" s="21">
        <v>16</v>
      </c>
      <c r="K834" s="62" t="str">
        <f>VLOOKUP(Ruimtestaat[[#This Row],[Ruimte code]],Ruimtegroepen[[#All],[Code]:[Ruimte omschrijving]],2,FALSE)</f>
        <v>Leslokalen theorie</v>
      </c>
      <c r="L834" s="33" t="s">
        <v>101</v>
      </c>
      <c r="M834" s="367" t="s">
        <v>2495</v>
      </c>
      <c r="N834" s="140">
        <v>47</v>
      </c>
      <c r="O834" s="140"/>
      <c r="P834" s="125" t="str">
        <f>VLOOKUP(Ruimtestaat[[#This Row],[Ruimte code]],Ruimtegroepen[],4,FALSE)</f>
        <v>Le</v>
      </c>
      <c r="R834" s="33">
        <v>40</v>
      </c>
      <c r="S834" s="33" t="s">
        <v>2</v>
      </c>
      <c r="T834" s="33">
        <f>IF(R834&gt;0,IF(RIGHT(Ruimtestaat[[#This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4" s="33">
        <f>IF(T834&gt;0,VLOOKUP($J834,Ruimtegroepen[],3,FALSE)*VLOOKUP($L834,Vloersoorten[],3,FALSE)*VLOOKUP($S834,Frequenties[],3,FALSE)*VLOOKUP($A834,Locaties[],3,FALSE),0)</f>
        <v>0</v>
      </c>
      <c r="V834" s="33">
        <f>Ruimtestaat[[#This Row],[Uitvoeringen werkdagen]]*Ruimtestaat[[#This Row],[Oppervlak (netto)]]</f>
        <v>9400</v>
      </c>
      <c r="W834" s="154">
        <f>IF(U834&gt;0,Ruimtestaat[[#This Row],[Prest. (m2 /jaar) werkdagen]]/Ruimtestaat[[#This Row],[Norm (m2/uur) werkdagen]],0)</f>
        <v>0</v>
      </c>
      <c r="X834" s="155">
        <f>Ruimtestaat[[#This Row],[uren / jaar werkdagen]]*Tariefsopbouw!$E$35</f>
        <v>0</v>
      </c>
      <c r="Y834" s="33"/>
      <c r="Z834" s="33">
        <f>IF(Ruimtestaat[[#This Row],[Frequentie weekend]]&gt;0,VALUE(LEFT(Y834,1))*R834,0)</f>
        <v>0</v>
      </c>
      <c r="AA834" s="97">
        <f>IF($Z834&gt;0,VLOOKUP($J834,Ruimtegroepen[],3,FALSE)*VLOOKUP($L834,Vloersoorten[],3,FALSE)*VLOOKUP($Y834,Frequenties[],3,FALSE)*VLOOKUP(Ruimtestaat[[#This Row],[Code]],Locaties[],3,FALSE),0)</f>
        <v>0</v>
      </c>
      <c r="AB834" s="97">
        <f>Ruimtestaat[[#This Row],[Uitvoeringen weekend]]*Ruimtestaat[[#This Row],[Oppervlak (netto)]]</f>
        <v>0</v>
      </c>
      <c r="AC834" s="97">
        <f>IF(AA834&gt;0,Ruimtestaat[[#This Row],[Prest. (m2 /jaar) weekend]]/Ruimtestaat[[#This Row],[Norm (m2/uur) weekend]],0)</f>
        <v>0</v>
      </c>
      <c r="AD834" s="155">
        <f>Ruimtestaat[[#This Row],[uren / jaar weekend]]*Tariefsopbouw!$D$40</f>
        <v>0</v>
      </c>
      <c r="AE834" s="154">
        <f>Ruimtestaat[[#This Row],[Prest. (m2 /jaar) weekend]]+Ruimtestaat[[#This Row],[Prest. (m2 /jaar) werkdagen]]</f>
        <v>9400</v>
      </c>
      <c r="AF834" s="154">
        <f>Ruimtestaat[[#This Row],[uren / jaar weekend]]+Ruimtestaat[[#This Row],[uren / jaar werkdagen]]</f>
        <v>0</v>
      </c>
      <c r="AG834" s="69">
        <f>Ruimtestaat[[#This Row],[kosten / jaar weekend]]+Ruimtestaat[[#This Row],[kosten / jaar werkdagen]]</f>
        <v>0</v>
      </c>
      <c r="AH834" s="69"/>
      <c r="AI834" s="256" t="str">
        <f>IF(Ruimtestaat[[#This Row],[Frequentie werkdagen]]="","",_xlfn.CONCAT(Ruimtestaat[[#This Row],[Ruimte code]],"-",Ruimtestaat[[#This Row],[Frequentie werkdagen]]," ",Ruimtestaat[[#This Row],[Vloer code]]))</f>
        <v>16-5w L</v>
      </c>
      <c r="AJ834" s="300" t="str">
        <f>_xlfn.IFNA(VLOOKUP($AI834,Programma!$F$3:$G$1107,2,0),"")</f>
        <v>_</v>
      </c>
      <c r="AK834" s="300" t="str">
        <f>_xlfn.IFNA(VLOOKUP($AI834,Programma!$F$3:$H$1107,3,0),"")</f>
        <v>_</v>
      </c>
      <c r="AL834" s="300" t="str">
        <f>_xlfn.IFNA(VLOOKUP($AI834,Programma!$F$3:$I$1107,4,0),"")</f>
        <v>4w</v>
      </c>
      <c r="AM834" s="300" t="str">
        <f>_xlfn.IFNA(VLOOKUP($AI834,Programma!$F$3:$J$1107,5,0),"")</f>
        <v>1w</v>
      </c>
      <c r="AN834" s="300" t="str">
        <f>_xlfn.IFNA(VLOOKUP($AI834,Programma!$F$3:$K$1107,6,0),"")</f>
        <v>_</v>
      </c>
      <c r="AO834" s="300" t="str">
        <f>_xlfn.IFNA(VLOOKUP($AI834,Programma!$F$3:$L$1107,7,0),"")</f>
        <v>_</v>
      </c>
      <c r="AP834" s="300" t="str">
        <f>_xlfn.IFNA(VLOOKUP($AI834,Programma!$F$3:$M$1107,8,0),"")</f>
        <v>_</v>
      </c>
      <c r="AQ834" s="300" t="str">
        <f>_xlfn.IFNA(VLOOKUP($AI834,Programma!$F$3:$N$1107,9,0),"")</f>
        <v>_</v>
      </c>
      <c r="AR834" s="300" t="str">
        <f>_xlfn.IFNA(VLOOKUP($AI834,Programma!$F$3:$O$1107,10,0),"")</f>
        <v>5w</v>
      </c>
      <c r="AS834" s="300" t="str">
        <f>_xlfn.IFNA(VLOOKUP($AI834,Programma!$F$3:$P$1107,11,0),"")</f>
        <v>5w</v>
      </c>
      <c r="AT834" s="300" t="str">
        <f>_xlfn.IFNA(VLOOKUP($AI834,Programma!$F$3:$Q$1107,12,0),"")</f>
        <v>1w</v>
      </c>
      <c r="AU834" s="300" t="str">
        <f>_xlfn.IFNA(VLOOKUP($AI834,Programma!$F$3:$R$1107,13,0),"")</f>
        <v>1w</v>
      </c>
      <c r="AV834" s="300" t="str">
        <f>_xlfn.IFNA(VLOOKUP($AI834,Programma!$F$3:$S$1107,14,0),"")</f>
        <v>1m</v>
      </c>
      <c r="AW834" s="300" t="str">
        <f>_xlfn.IFNA(VLOOKUP($AI834,Programma!$F$3:$T$1107,15,0),"")</f>
        <v>2j</v>
      </c>
      <c r="AX834" s="300" t="str">
        <f>_xlfn.IFNA(VLOOKUP($AI834,Programma!$F$3:$U$1107,16,0),"")</f>
        <v>1j</v>
      </c>
      <c r="AY834" s="300" t="str">
        <f>_xlfn.IFNA(VLOOKUP($AI834,Programma!$F$3:$V$1107,17,0),"")</f>
        <v>_</v>
      </c>
      <c r="AZ834" s="300" t="str">
        <f>_xlfn.IFNA(VLOOKUP($AI834,Programma!$F$3:$W$1107,18,0),"")</f>
        <v>_</v>
      </c>
      <c r="BA834" s="300" t="str">
        <f>_xlfn.IFNA(VLOOKUP($AI834,Programma!$F$3:$X$1107,19,0),"")</f>
        <v>_</v>
      </c>
      <c r="BB834" s="300" t="str">
        <f>_xlfn.IFNA(VLOOKUP($AI834,Programma!$F$3:$Y$1107,20,0),"")</f>
        <v>_</v>
      </c>
      <c r="BC834" s="257"/>
      <c r="BD834" s="256" t="str">
        <f>IF(Ruimtestaat[[#This Row],[Frequentie weekend]]="","",_xlfn.CONCAT(Ruimtestaat[[#This Row],[Ruimte code]],"-",Ruimtestaat[[#This Row],[Frequentie weekend]]," ",Ruimtestaat[[#This Row],[Vloer code]]))</f>
        <v/>
      </c>
      <c r="BE834" s="300" t="str">
        <f>_xlfn.IFNA(VLOOKUP($BD834,Programma!$F$3:$G$1107,2,0),"")</f>
        <v/>
      </c>
      <c r="BF834" s="300" t="str">
        <f>_xlfn.IFNA(VLOOKUP($BD834,Programma!$F$3:$H$1107,3,0),"")</f>
        <v/>
      </c>
      <c r="BG834" s="300" t="str">
        <f>_xlfn.IFNA(VLOOKUP($BD834,Programma!$F$3:$I$1107,4,0),"")</f>
        <v/>
      </c>
      <c r="BH834" s="300" t="str">
        <f>_xlfn.IFNA(VLOOKUP($BD834,Programma!$F$3:$J$1107,5,0),"")</f>
        <v/>
      </c>
      <c r="BI834" s="300" t="str">
        <f>_xlfn.IFNA(VLOOKUP($BD834,Programma!$F$3:$K$1107,6,0),"")</f>
        <v/>
      </c>
      <c r="BJ834" s="300" t="str">
        <f>_xlfn.IFNA(VLOOKUP($BD834,Programma!$F$3:$L$1107,7,0),"")</f>
        <v/>
      </c>
      <c r="BK834" s="300" t="str">
        <f>_xlfn.IFNA(VLOOKUP($BD834,Programma!$F$3:$M$1107,8,0),"")</f>
        <v/>
      </c>
      <c r="BL834" s="300" t="str">
        <f>_xlfn.IFNA(VLOOKUP($BD834,Programma!$F$3:$N$1107,9,0),"")</f>
        <v/>
      </c>
      <c r="BM834" s="300" t="str">
        <f>_xlfn.IFNA(VLOOKUP($BD834,Programma!$F$3:$O$1107,10,0),"")</f>
        <v/>
      </c>
      <c r="BN834" s="300" t="str">
        <f>_xlfn.IFNA(VLOOKUP($BD834,Programma!$F$3:$P$1107,11,0),"")</f>
        <v/>
      </c>
      <c r="BO834" s="300" t="str">
        <f>_xlfn.IFNA(VLOOKUP($BD834,Programma!$F$3:$Q$1107,12,0),"")</f>
        <v/>
      </c>
      <c r="BP834" s="300" t="str">
        <f>_xlfn.IFNA(VLOOKUP($BD834,Programma!$F$3:$R$1107,13,0),"")</f>
        <v/>
      </c>
      <c r="BQ834" s="300" t="str">
        <f>_xlfn.IFNA(VLOOKUP($BD834,Programma!$F$3:$S$1107,14,0),"")</f>
        <v/>
      </c>
      <c r="BR834" s="300" t="str">
        <f>_xlfn.IFNA(VLOOKUP($BD834,Programma!$F$3:$T$1107,15,0),"")</f>
        <v/>
      </c>
      <c r="BS834" s="300" t="str">
        <f>_xlfn.IFNA(VLOOKUP($BD834,Programma!$F$3:$U$1107,16,0),"")</f>
        <v/>
      </c>
      <c r="BT834" s="300" t="str">
        <f>_xlfn.IFNA(VLOOKUP($BD834,Programma!$F$3:$V$1107,17,0),"")</f>
        <v/>
      </c>
      <c r="BU834" s="300" t="str">
        <f>_xlfn.IFNA(VLOOKUP($BD834,Programma!$F$3:$W$1107,18,0),"")</f>
        <v/>
      </c>
      <c r="BV834" s="300" t="str">
        <f>_xlfn.IFNA(VLOOKUP($BD834,Programma!$F$3:$X$1107,19,0),"")</f>
        <v/>
      </c>
      <c r="BW834" s="300" t="str">
        <f>_xlfn.IFNA(VLOOKUP($BD834,Programma!$F$3:$Y$1107,20,0),"")</f>
        <v/>
      </c>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c r="GK834" s="4"/>
      <c r="GL834" s="4"/>
      <c r="GM834" s="4"/>
      <c r="GN834" s="4"/>
      <c r="GO834" s="4"/>
      <c r="GP834" s="4"/>
      <c r="GQ834" s="4"/>
      <c r="GR834" s="4"/>
      <c r="GS834" s="4"/>
      <c r="GT834" s="4"/>
      <c r="GU834" s="4"/>
      <c r="GV834" s="4"/>
      <c r="GW834" s="4"/>
      <c r="GX834" s="4"/>
      <c r="GY834" s="4"/>
      <c r="GZ834" s="4"/>
      <c r="HA834" s="4"/>
      <c r="HB834" s="4"/>
      <c r="HC834" s="4"/>
      <c r="HD834" s="4"/>
      <c r="HE834" s="4"/>
      <c r="HF834" s="4"/>
      <c r="HG834" s="4"/>
      <c r="HH834" s="4"/>
      <c r="HI834" s="4"/>
      <c r="HJ834" s="4"/>
      <c r="HK834" s="4"/>
      <c r="HL834" s="4"/>
    </row>
    <row r="835" spans="1:220" ht="15" customHeight="1">
      <c r="A835" s="21">
        <v>8</v>
      </c>
      <c r="B835" s="157" t="str">
        <f>VLOOKUP(Ruimtestaat[[#This Row],[Code]],Locaties[[Code]:[Locatie]],2,FALSE)</f>
        <v>Dalton College</v>
      </c>
      <c r="C835" s="157" t="str">
        <f>VLOOKUP(Ruimtestaat[[#This Row],[Code]],Locaties[[#All],[Code]:[Adres]],4,FALSE)</f>
        <v>Loolaan 125</v>
      </c>
      <c r="D835" s="157" t="str">
        <f>VLOOKUP(Ruimtestaat[[#This Row],[Code]],Locaties[[#All],[Code]:[Postcode]],5,FALSE)</f>
        <v xml:space="preserve">2271 TM </v>
      </c>
      <c r="E835" s="157" t="str">
        <f>VLOOKUP(Ruimtestaat[[#This Row],[Code]],Locaties[#All],6,FALSE)</f>
        <v>Voorburg</v>
      </c>
      <c r="F835" s="62"/>
      <c r="G835" s="21" t="s">
        <v>1706</v>
      </c>
      <c r="H835" s="21" t="s">
        <v>1718</v>
      </c>
      <c r="I835" s="62" t="s">
        <v>2305</v>
      </c>
      <c r="J835" s="21">
        <v>16</v>
      </c>
      <c r="K835" s="62" t="str">
        <f>VLOOKUP(Ruimtestaat[[#This Row],[Ruimte code]],Ruimtegroepen[[#All],[Code]:[Ruimte omschrijving]],2,FALSE)</f>
        <v>Leslokalen theorie</v>
      </c>
      <c r="L835" s="33" t="s">
        <v>101</v>
      </c>
      <c r="M835" s="367" t="s">
        <v>2495</v>
      </c>
      <c r="N835" s="140">
        <v>48</v>
      </c>
      <c r="O835" s="140"/>
      <c r="P835" s="125" t="str">
        <f>VLOOKUP(Ruimtestaat[[#This Row],[Ruimte code]],Ruimtegroepen[],4,FALSE)</f>
        <v>Le</v>
      </c>
      <c r="R835" s="33">
        <v>40</v>
      </c>
      <c r="S835" s="33" t="s">
        <v>2</v>
      </c>
      <c r="T835" s="33">
        <f>IF(R835&gt;0,IF(RIGHT(Ruimtestaat[[#This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5" s="33">
        <f>IF(T835&gt;0,VLOOKUP($J835,Ruimtegroepen[],3,FALSE)*VLOOKUP($L835,Vloersoorten[],3,FALSE)*VLOOKUP($S835,Frequenties[],3,FALSE)*VLOOKUP($A835,Locaties[],3,FALSE),0)</f>
        <v>0</v>
      </c>
      <c r="V835" s="33">
        <f>Ruimtestaat[[#This Row],[Uitvoeringen werkdagen]]*Ruimtestaat[[#This Row],[Oppervlak (netto)]]</f>
        <v>9600</v>
      </c>
      <c r="W835" s="154">
        <f>IF(U835&gt;0,Ruimtestaat[[#This Row],[Prest. (m2 /jaar) werkdagen]]/Ruimtestaat[[#This Row],[Norm (m2/uur) werkdagen]],0)</f>
        <v>0</v>
      </c>
      <c r="X835" s="155">
        <f>Ruimtestaat[[#This Row],[uren / jaar werkdagen]]*Tariefsopbouw!$E$35</f>
        <v>0</v>
      </c>
      <c r="Y835" s="33"/>
      <c r="Z835" s="33">
        <f>IF(Ruimtestaat[[#This Row],[Frequentie weekend]]&gt;0,VALUE(LEFT(Y835,1))*R835,0)</f>
        <v>0</v>
      </c>
      <c r="AA835" s="97">
        <f>IF($Z835&gt;0,VLOOKUP($J835,Ruimtegroepen[],3,FALSE)*VLOOKUP($L835,Vloersoorten[],3,FALSE)*VLOOKUP($Y835,Frequenties[],3,FALSE)*VLOOKUP(Ruimtestaat[[#This Row],[Code]],Locaties[],3,FALSE),0)</f>
        <v>0</v>
      </c>
      <c r="AB835" s="97">
        <f>Ruimtestaat[[#This Row],[Uitvoeringen weekend]]*Ruimtestaat[[#This Row],[Oppervlak (netto)]]</f>
        <v>0</v>
      </c>
      <c r="AC835" s="97">
        <f>IF(AA835&gt;0,Ruimtestaat[[#This Row],[Prest. (m2 /jaar) weekend]]/Ruimtestaat[[#This Row],[Norm (m2/uur) weekend]],0)</f>
        <v>0</v>
      </c>
      <c r="AD835" s="155">
        <f>Ruimtestaat[[#This Row],[uren / jaar weekend]]*Tariefsopbouw!$D$40</f>
        <v>0</v>
      </c>
      <c r="AE835" s="154">
        <f>Ruimtestaat[[#This Row],[Prest. (m2 /jaar) weekend]]+Ruimtestaat[[#This Row],[Prest. (m2 /jaar) werkdagen]]</f>
        <v>9600</v>
      </c>
      <c r="AF835" s="154">
        <f>Ruimtestaat[[#This Row],[uren / jaar weekend]]+Ruimtestaat[[#This Row],[uren / jaar werkdagen]]</f>
        <v>0</v>
      </c>
      <c r="AG835" s="69">
        <f>Ruimtestaat[[#This Row],[kosten / jaar weekend]]+Ruimtestaat[[#This Row],[kosten / jaar werkdagen]]</f>
        <v>0</v>
      </c>
      <c r="AH835" s="69"/>
      <c r="AI835" s="256" t="str">
        <f>IF(Ruimtestaat[[#This Row],[Frequentie werkdagen]]="","",_xlfn.CONCAT(Ruimtestaat[[#This Row],[Ruimte code]],"-",Ruimtestaat[[#This Row],[Frequentie werkdagen]]," ",Ruimtestaat[[#This Row],[Vloer code]]))</f>
        <v>16-5w L</v>
      </c>
      <c r="AJ835" s="300" t="str">
        <f>_xlfn.IFNA(VLOOKUP($AI835,Programma!$F$3:$G$1107,2,0),"")</f>
        <v>_</v>
      </c>
      <c r="AK835" s="300" t="str">
        <f>_xlfn.IFNA(VLOOKUP($AI835,Programma!$F$3:$H$1107,3,0),"")</f>
        <v>_</v>
      </c>
      <c r="AL835" s="300" t="str">
        <f>_xlfn.IFNA(VLOOKUP($AI835,Programma!$F$3:$I$1107,4,0),"")</f>
        <v>4w</v>
      </c>
      <c r="AM835" s="300" t="str">
        <f>_xlfn.IFNA(VLOOKUP($AI835,Programma!$F$3:$J$1107,5,0),"")</f>
        <v>1w</v>
      </c>
      <c r="AN835" s="300" t="str">
        <f>_xlfn.IFNA(VLOOKUP($AI835,Programma!$F$3:$K$1107,6,0),"")</f>
        <v>_</v>
      </c>
      <c r="AO835" s="300" t="str">
        <f>_xlfn.IFNA(VLOOKUP($AI835,Programma!$F$3:$L$1107,7,0),"")</f>
        <v>_</v>
      </c>
      <c r="AP835" s="300" t="str">
        <f>_xlfn.IFNA(VLOOKUP($AI835,Programma!$F$3:$M$1107,8,0),"")</f>
        <v>_</v>
      </c>
      <c r="AQ835" s="300" t="str">
        <f>_xlfn.IFNA(VLOOKUP($AI835,Programma!$F$3:$N$1107,9,0),"")</f>
        <v>_</v>
      </c>
      <c r="AR835" s="300" t="str">
        <f>_xlfn.IFNA(VLOOKUP($AI835,Programma!$F$3:$O$1107,10,0),"")</f>
        <v>5w</v>
      </c>
      <c r="AS835" s="300" t="str">
        <f>_xlfn.IFNA(VLOOKUP($AI835,Programma!$F$3:$P$1107,11,0),"")</f>
        <v>5w</v>
      </c>
      <c r="AT835" s="300" t="str">
        <f>_xlfn.IFNA(VLOOKUP($AI835,Programma!$F$3:$Q$1107,12,0),"")</f>
        <v>1w</v>
      </c>
      <c r="AU835" s="300" t="str">
        <f>_xlfn.IFNA(VLOOKUP($AI835,Programma!$F$3:$R$1107,13,0),"")</f>
        <v>1w</v>
      </c>
      <c r="AV835" s="300" t="str">
        <f>_xlfn.IFNA(VLOOKUP($AI835,Programma!$F$3:$S$1107,14,0),"")</f>
        <v>1m</v>
      </c>
      <c r="AW835" s="300" t="str">
        <f>_xlfn.IFNA(VLOOKUP($AI835,Programma!$F$3:$T$1107,15,0),"")</f>
        <v>2j</v>
      </c>
      <c r="AX835" s="300" t="str">
        <f>_xlfn.IFNA(VLOOKUP($AI835,Programma!$F$3:$U$1107,16,0),"")</f>
        <v>1j</v>
      </c>
      <c r="AY835" s="300" t="str">
        <f>_xlfn.IFNA(VLOOKUP($AI835,Programma!$F$3:$V$1107,17,0),"")</f>
        <v>_</v>
      </c>
      <c r="AZ835" s="300" t="str">
        <f>_xlfn.IFNA(VLOOKUP($AI835,Programma!$F$3:$W$1107,18,0),"")</f>
        <v>_</v>
      </c>
      <c r="BA835" s="300" t="str">
        <f>_xlfn.IFNA(VLOOKUP($AI835,Programma!$F$3:$X$1107,19,0),"")</f>
        <v>_</v>
      </c>
      <c r="BB835" s="300" t="str">
        <f>_xlfn.IFNA(VLOOKUP($AI835,Programma!$F$3:$Y$1107,20,0),"")</f>
        <v>_</v>
      </c>
      <c r="BC835" s="257"/>
      <c r="BD835" s="256" t="str">
        <f>IF(Ruimtestaat[[#This Row],[Frequentie weekend]]="","",_xlfn.CONCAT(Ruimtestaat[[#This Row],[Ruimte code]],"-",Ruimtestaat[[#This Row],[Frequentie weekend]]," ",Ruimtestaat[[#This Row],[Vloer code]]))</f>
        <v/>
      </c>
      <c r="BE835" s="300" t="str">
        <f>_xlfn.IFNA(VLOOKUP($BD835,Programma!$F$3:$G$1107,2,0),"")</f>
        <v/>
      </c>
      <c r="BF835" s="300" t="str">
        <f>_xlfn.IFNA(VLOOKUP($BD835,Programma!$F$3:$H$1107,3,0),"")</f>
        <v/>
      </c>
      <c r="BG835" s="300" t="str">
        <f>_xlfn.IFNA(VLOOKUP($BD835,Programma!$F$3:$I$1107,4,0),"")</f>
        <v/>
      </c>
      <c r="BH835" s="300" t="str">
        <f>_xlfn.IFNA(VLOOKUP($BD835,Programma!$F$3:$J$1107,5,0),"")</f>
        <v/>
      </c>
      <c r="BI835" s="300" t="str">
        <f>_xlfn.IFNA(VLOOKUP($BD835,Programma!$F$3:$K$1107,6,0),"")</f>
        <v/>
      </c>
      <c r="BJ835" s="300" t="str">
        <f>_xlfn.IFNA(VLOOKUP($BD835,Programma!$F$3:$L$1107,7,0),"")</f>
        <v/>
      </c>
      <c r="BK835" s="300" t="str">
        <f>_xlfn.IFNA(VLOOKUP($BD835,Programma!$F$3:$M$1107,8,0),"")</f>
        <v/>
      </c>
      <c r="BL835" s="300" t="str">
        <f>_xlfn.IFNA(VLOOKUP($BD835,Programma!$F$3:$N$1107,9,0),"")</f>
        <v/>
      </c>
      <c r="BM835" s="300" t="str">
        <f>_xlfn.IFNA(VLOOKUP($BD835,Programma!$F$3:$O$1107,10,0),"")</f>
        <v/>
      </c>
      <c r="BN835" s="300" t="str">
        <f>_xlfn.IFNA(VLOOKUP($BD835,Programma!$F$3:$P$1107,11,0),"")</f>
        <v/>
      </c>
      <c r="BO835" s="300" t="str">
        <f>_xlfn.IFNA(VLOOKUP($BD835,Programma!$F$3:$Q$1107,12,0),"")</f>
        <v/>
      </c>
      <c r="BP835" s="300" t="str">
        <f>_xlfn.IFNA(VLOOKUP($BD835,Programma!$F$3:$R$1107,13,0),"")</f>
        <v/>
      </c>
      <c r="BQ835" s="300" t="str">
        <f>_xlfn.IFNA(VLOOKUP($BD835,Programma!$F$3:$S$1107,14,0),"")</f>
        <v/>
      </c>
      <c r="BR835" s="300" t="str">
        <f>_xlfn.IFNA(VLOOKUP($BD835,Programma!$F$3:$T$1107,15,0),"")</f>
        <v/>
      </c>
      <c r="BS835" s="300" t="str">
        <f>_xlfn.IFNA(VLOOKUP($BD835,Programma!$F$3:$U$1107,16,0),"")</f>
        <v/>
      </c>
      <c r="BT835" s="300" t="str">
        <f>_xlfn.IFNA(VLOOKUP($BD835,Programma!$F$3:$V$1107,17,0),"")</f>
        <v/>
      </c>
      <c r="BU835" s="300" t="str">
        <f>_xlfn.IFNA(VLOOKUP($BD835,Programma!$F$3:$W$1107,18,0),"")</f>
        <v/>
      </c>
      <c r="BV835" s="300" t="str">
        <f>_xlfn.IFNA(VLOOKUP($BD835,Programma!$F$3:$X$1107,19,0),"")</f>
        <v/>
      </c>
      <c r="BW835" s="300" t="str">
        <f>_xlfn.IFNA(VLOOKUP($BD835,Programma!$F$3:$Y$1107,20,0),"")</f>
        <v/>
      </c>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c r="GK835" s="4"/>
      <c r="GL835" s="4"/>
      <c r="GM835" s="4"/>
      <c r="GN835" s="4"/>
      <c r="GO835" s="4"/>
      <c r="GP835" s="4"/>
      <c r="GQ835" s="4"/>
      <c r="GR835" s="4"/>
      <c r="GS835" s="4"/>
      <c r="GT835" s="4"/>
      <c r="GU835" s="4"/>
      <c r="GV835" s="4"/>
      <c r="GW835" s="4"/>
      <c r="GX835" s="4"/>
      <c r="GY835" s="4"/>
      <c r="GZ835" s="4"/>
      <c r="HA835" s="4"/>
      <c r="HB835" s="4"/>
      <c r="HC835" s="4"/>
      <c r="HD835" s="4"/>
      <c r="HE835" s="4"/>
      <c r="HF835" s="4"/>
      <c r="HG835" s="4"/>
      <c r="HH835" s="4"/>
      <c r="HI835" s="4"/>
      <c r="HJ835" s="4"/>
      <c r="HK835" s="4"/>
      <c r="HL835" s="4"/>
    </row>
    <row r="836" spans="1:220" ht="15" customHeight="1">
      <c r="A836" s="21">
        <v>8</v>
      </c>
      <c r="B836" s="157" t="str">
        <f>VLOOKUP(Ruimtestaat[[#This Row],[Code]],Locaties[[Code]:[Locatie]],2,FALSE)</f>
        <v>Dalton College</v>
      </c>
      <c r="C836" s="157" t="str">
        <f>VLOOKUP(Ruimtestaat[[#This Row],[Code]],Locaties[[#All],[Code]:[Adres]],4,FALSE)</f>
        <v>Loolaan 125</v>
      </c>
      <c r="D836" s="157" t="str">
        <f>VLOOKUP(Ruimtestaat[[#This Row],[Code]],Locaties[[#All],[Code]:[Postcode]],5,FALSE)</f>
        <v xml:space="preserve">2271 TM </v>
      </c>
      <c r="E836" s="157" t="str">
        <f>VLOOKUP(Ruimtestaat[[#This Row],[Code]],Locaties[#All],6,FALSE)</f>
        <v>Voorburg</v>
      </c>
      <c r="F836" s="62"/>
      <c r="G836" s="21" t="s">
        <v>1706</v>
      </c>
      <c r="H836" s="21" t="s">
        <v>1720</v>
      </c>
      <c r="I836" s="62" t="s">
        <v>2306</v>
      </c>
      <c r="J836" s="21">
        <v>16</v>
      </c>
      <c r="K836" s="62" t="str">
        <f>VLOOKUP(Ruimtestaat[[#This Row],[Ruimte code]],Ruimtegroepen[[#All],[Code]:[Ruimte omschrijving]],2,FALSE)</f>
        <v>Leslokalen theorie</v>
      </c>
      <c r="L836" s="33" t="s">
        <v>101</v>
      </c>
      <c r="M836" s="367" t="s">
        <v>2495</v>
      </c>
      <c r="N836" s="140">
        <v>47</v>
      </c>
      <c r="O836" s="140"/>
      <c r="P836" s="125" t="str">
        <f>VLOOKUP(Ruimtestaat[[#This Row],[Ruimte code]],Ruimtegroepen[],4,FALSE)</f>
        <v>Le</v>
      </c>
      <c r="R836" s="33">
        <v>40</v>
      </c>
      <c r="S836" s="33" t="s">
        <v>2</v>
      </c>
      <c r="T836" s="33">
        <f>IF(R836&gt;0,IF(RIGHT(Ruimtestaat[[#This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6" s="33">
        <f>IF(T836&gt;0,VLOOKUP($J836,Ruimtegroepen[],3,FALSE)*VLOOKUP($L836,Vloersoorten[],3,FALSE)*VLOOKUP($S836,Frequenties[],3,FALSE)*VLOOKUP($A836,Locaties[],3,FALSE),0)</f>
        <v>0</v>
      </c>
      <c r="V836" s="33">
        <f>Ruimtestaat[[#This Row],[Uitvoeringen werkdagen]]*Ruimtestaat[[#This Row],[Oppervlak (netto)]]</f>
        <v>9400</v>
      </c>
      <c r="W836" s="154">
        <f>IF(U836&gt;0,Ruimtestaat[[#This Row],[Prest. (m2 /jaar) werkdagen]]/Ruimtestaat[[#This Row],[Norm (m2/uur) werkdagen]],0)</f>
        <v>0</v>
      </c>
      <c r="X836" s="155">
        <f>Ruimtestaat[[#This Row],[uren / jaar werkdagen]]*Tariefsopbouw!$E$35</f>
        <v>0</v>
      </c>
      <c r="Y836" s="33"/>
      <c r="Z836" s="33">
        <f>IF(Ruimtestaat[[#This Row],[Frequentie weekend]]&gt;0,VALUE(LEFT(Y836,1))*R836,0)</f>
        <v>0</v>
      </c>
      <c r="AA836" s="97">
        <f>IF($Z836&gt;0,VLOOKUP($J836,Ruimtegroepen[],3,FALSE)*VLOOKUP($L836,Vloersoorten[],3,FALSE)*VLOOKUP($Y836,Frequenties[],3,FALSE)*VLOOKUP(Ruimtestaat[[#This Row],[Code]],Locaties[],3,FALSE),0)</f>
        <v>0</v>
      </c>
      <c r="AB836" s="97">
        <f>Ruimtestaat[[#This Row],[Uitvoeringen weekend]]*Ruimtestaat[[#This Row],[Oppervlak (netto)]]</f>
        <v>0</v>
      </c>
      <c r="AC836" s="97">
        <f>IF(AA836&gt;0,Ruimtestaat[[#This Row],[Prest. (m2 /jaar) weekend]]/Ruimtestaat[[#This Row],[Norm (m2/uur) weekend]],0)</f>
        <v>0</v>
      </c>
      <c r="AD836" s="155">
        <f>Ruimtestaat[[#This Row],[uren / jaar weekend]]*Tariefsopbouw!$D$40</f>
        <v>0</v>
      </c>
      <c r="AE836" s="154">
        <f>Ruimtestaat[[#This Row],[Prest. (m2 /jaar) weekend]]+Ruimtestaat[[#This Row],[Prest. (m2 /jaar) werkdagen]]</f>
        <v>9400</v>
      </c>
      <c r="AF836" s="154">
        <f>Ruimtestaat[[#This Row],[uren / jaar weekend]]+Ruimtestaat[[#This Row],[uren / jaar werkdagen]]</f>
        <v>0</v>
      </c>
      <c r="AG836" s="69">
        <f>Ruimtestaat[[#This Row],[kosten / jaar weekend]]+Ruimtestaat[[#This Row],[kosten / jaar werkdagen]]</f>
        <v>0</v>
      </c>
      <c r="AH836" s="69"/>
      <c r="AI836" s="256" t="str">
        <f>IF(Ruimtestaat[[#This Row],[Frequentie werkdagen]]="","",_xlfn.CONCAT(Ruimtestaat[[#This Row],[Ruimte code]],"-",Ruimtestaat[[#This Row],[Frequentie werkdagen]]," ",Ruimtestaat[[#This Row],[Vloer code]]))</f>
        <v>16-5w L</v>
      </c>
      <c r="AJ836" s="300" t="str">
        <f>_xlfn.IFNA(VLOOKUP($AI836,Programma!$F$3:$G$1107,2,0),"")</f>
        <v>_</v>
      </c>
      <c r="AK836" s="300" t="str">
        <f>_xlfn.IFNA(VLOOKUP($AI836,Programma!$F$3:$H$1107,3,0),"")</f>
        <v>_</v>
      </c>
      <c r="AL836" s="300" t="str">
        <f>_xlfn.IFNA(VLOOKUP($AI836,Programma!$F$3:$I$1107,4,0),"")</f>
        <v>4w</v>
      </c>
      <c r="AM836" s="300" t="str">
        <f>_xlfn.IFNA(VLOOKUP($AI836,Programma!$F$3:$J$1107,5,0),"")</f>
        <v>1w</v>
      </c>
      <c r="AN836" s="300" t="str">
        <f>_xlfn.IFNA(VLOOKUP($AI836,Programma!$F$3:$K$1107,6,0),"")</f>
        <v>_</v>
      </c>
      <c r="AO836" s="300" t="str">
        <f>_xlfn.IFNA(VLOOKUP($AI836,Programma!$F$3:$L$1107,7,0),"")</f>
        <v>_</v>
      </c>
      <c r="AP836" s="300" t="str">
        <f>_xlfn.IFNA(VLOOKUP($AI836,Programma!$F$3:$M$1107,8,0),"")</f>
        <v>_</v>
      </c>
      <c r="AQ836" s="300" t="str">
        <f>_xlfn.IFNA(VLOOKUP($AI836,Programma!$F$3:$N$1107,9,0),"")</f>
        <v>_</v>
      </c>
      <c r="AR836" s="300" t="str">
        <f>_xlfn.IFNA(VLOOKUP($AI836,Programma!$F$3:$O$1107,10,0),"")</f>
        <v>5w</v>
      </c>
      <c r="AS836" s="300" t="str">
        <f>_xlfn.IFNA(VLOOKUP($AI836,Programma!$F$3:$P$1107,11,0),"")</f>
        <v>5w</v>
      </c>
      <c r="AT836" s="300" t="str">
        <f>_xlfn.IFNA(VLOOKUP($AI836,Programma!$F$3:$Q$1107,12,0),"")</f>
        <v>1w</v>
      </c>
      <c r="AU836" s="300" t="str">
        <f>_xlfn.IFNA(VLOOKUP($AI836,Programma!$F$3:$R$1107,13,0),"")</f>
        <v>1w</v>
      </c>
      <c r="AV836" s="300" t="str">
        <f>_xlfn.IFNA(VLOOKUP($AI836,Programma!$F$3:$S$1107,14,0),"")</f>
        <v>1m</v>
      </c>
      <c r="AW836" s="300" t="str">
        <f>_xlfn.IFNA(VLOOKUP($AI836,Programma!$F$3:$T$1107,15,0),"")</f>
        <v>2j</v>
      </c>
      <c r="AX836" s="300" t="str">
        <f>_xlfn.IFNA(VLOOKUP($AI836,Programma!$F$3:$U$1107,16,0),"")</f>
        <v>1j</v>
      </c>
      <c r="AY836" s="300" t="str">
        <f>_xlfn.IFNA(VLOOKUP($AI836,Programma!$F$3:$V$1107,17,0),"")</f>
        <v>_</v>
      </c>
      <c r="AZ836" s="300" t="str">
        <f>_xlfn.IFNA(VLOOKUP($AI836,Programma!$F$3:$W$1107,18,0),"")</f>
        <v>_</v>
      </c>
      <c r="BA836" s="300" t="str">
        <f>_xlfn.IFNA(VLOOKUP($AI836,Programma!$F$3:$X$1107,19,0),"")</f>
        <v>_</v>
      </c>
      <c r="BB836" s="300" t="str">
        <f>_xlfn.IFNA(VLOOKUP($AI836,Programma!$F$3:$Y$1107,20,0),"")</f>
        <v>_</v>
      </c>
      <c r="BC836" s="257"/>
      <c r="BD836" s="256" t="str">
        <f>IF(Ruimtestaat[[#This Row],[Frequentie weekend]]="","",_xlfn.CONCAT(Ruimtestaat[[#This Row],[Ruimte code]],"-",Ruimtestaat[[#This Row],[Frequentie weekend]]," ",Ruimtestaat[[#This Row],[Vloer code]]))</f>
        <v/>
      </c>
      <c r="BE836" s="300" t="str">
        <f>_xlfn.IFNA(VLOOKUP($BD836,Programma!$F$3:$G$1107,2,0),"")</f>
        <v/>
      </c>
      <c r="BF836" s="300" t="str">
        <f>_xlfn.IFNA(VLOOKUP($BD836,Programma!$F$3:$H$1107,3,0),"")</f>
        <v/>
      </c>
      <c r="BG836" s="300" t="str">
        <f>_xlfn.IFNA(VLOOKUP($BD836,Programma!$F$3:$I$1107,4,0),"")</f>
        <v/>
      </c>
      <c r="BH836" s="300" t="str">
        <f>_xlfn.IFNA(VLOOKUP($BD836,Programma!$F$3:$J$1107,5,0),"")</f>
        <v/>
      </c>
      <c r="BI836" s="300" t="str">
        <f>_xlfn.IFNA(VLOOKUP($BD836,Programma!$F$3:$K$1107,6,0),"")</f>
        <v/>
      </c>
      <c r="BJ836" s="300" t="str">
        <f>_xlfn.IFNA(VLOOKUP($BD836,Programma!$F$3:$L$1107,7,0),"")</f>
        <v/>
      </c>
      <c r="BK836" s="300" t="str">
        <f>_xlfn.IFNA(VLOOKUP($BD836,Programma!$F$3:$M$1107,8,0),"")</f>
        <v/>
      </c>
      <c r="BL836" s="300" t="str">
        <f>_xlfn.IFNA(VLOOKUP($BD836,Programma!$F$3:$N$1107,9,0),"")</f>
        <v/>
      </c>
      <c r="BM836" s="300" t="str">
        <f>_xlfn.IFNA(VLOOKUP($BD836,Programma!$F$3:$O$1107,10,0),"")</f>
        <v/>
      </c>
      <c r="BN836" s="300" t="str">
        <f>_xlfn.IFNA(VLOOKUP($BD836,Programma!$F$3:$P$1107,11,0),"")</f>
        <v/>
      </c>
      <c r="BO836" s="300" t="str">
        <f>_xlfn.IFNA(VLOOKUP($BD836,Programma!$F$3:$Q$1107,12,0),"")</f>
        <v/>
      </c>
      <c r="BP836" s="300" t="str">
        <f>_xlfn.IFNA(VLOOKUP($BD836,Programma!$F$3:$R$1107,13,0),"")</f>
        <v/>
      </c>
      <c r="BQ836" s="300" t="str">
        <f>_xlfn.IFNA(VLOOKUP($BD836,Programma!$F$3:$S$1107,14,0),"")</f>
        <v/>
      </c>
      <c r="BR836" s="300" t="str">
        <f>_xlfn.IFNA(VLOOKUP($BD836,Programma!$F$3:$T$1107,15,0),"")</f>
        <v/>
      </c>
      <c r="BS836" s="300" t="str">
        <f>_xlfn.IFNA(VLOOKUP($BD836,Programma!$F$3:$U$1107,16,0),"")</f>
        <v/>
      </c>
      <c r="BT836" s="300" t="str">
        <f>_xlfn.IFNA(VLOOKUP($BD836,Programma!$F$3:$V$1107,17,0),"")</f>
        <v/>
      </c>
      <c r="BU836" s="300" t="str">
        <f>_xlfn.IFNA(VLOOKUP($BD836,Programma!$F$3:$W$1107,18,0),"")</f>
        <v/>
      </c>
      <c r="BV836" s="300" t="str">
        <f>_xlfn.IFNA(VLOOKUP($BD836,Programma!$F$3:$X$1107,19,0),"")</f>
        <v/>
      </c>
      <c r="BW836" s="300" t="str">
        <f>_xlfn.IFNA(VLOOKUP($BD836,Programma!$F$3:$Y$1107,20,0),"")</f>
        <v/>
      </c>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c r="GK836" s="4"/>
      <c r="GL836" s="4"/>
      <c r="GM836" s="4"/>
      <c r="GN836" s="4"/>
      <c r="GO836" s="4"/>
      <c r="GP836" s="4"/>
      <c r="GQ836" s="4"/>
      <c r="GR836" s="4"/>
      <c r="GS836" s="4"/>
      <c r="GT836" s="4"/>
      <c r="GU836" s="4"/>
      <c r="GV836" s="4"/>
      <c r="GW836" s="4"/>
      <c r="GX836" s="4"/>
      <c r="GY836" s="4"/>
      <c r="GZ836" s="4"/>
      <c r="HA836" s="4"/>
      <c r="HB836" s="4"/>
      <c r="HC836" s="4"/>
      <c r="HD836" s="4"/>
      <c r="HE836" s="4"/>
      <c r="HF836" s="4"/>
      <c r="HG836" s="4"/>
      <c r="HH836" s="4"/>
      <c r="HI836" s="4"/>
      <c r="HJ836" s="4"/>
      <c r="HK836" s="4"/>
      <c r="HL836" s="4"/>
    </row>
    <row r="837" spans="1:220" ht="15" customHeight="1">
      <c r="A837" s="21">
        <v>8</v>
      </c>
      <c r="B837" s="157" t="str">
        <f>VLOOKUP(Ruimtestaat[[#This Row],[Code]],Locaties[[Code]:[Locatie]],2,FALSE)</f>
        <v>Dalton College</v>
      </c>
      <c r="C837" s="157" t="str">
        <f>VLOOKUP(Ruimtestaat[[#This Row],[Code]],Locaties[[#All],[Code]:[Adres]],4,FALSE)</f>
        <v>Loolaan 125</v>
      </c>
      <c r="D837" s="157" t="str">
        <f>VLOOKUP(Ruimtestaat[[#This Row],[Code]],Locaties[[#All],[Code]:[Postcode]],5,FALSE)</f>
        <v xml:space="preserve">2271 TM </v>
      </c>
      <c r="E837" s="157" t="str">
        <f>VLOOKUP(Ruimtestaat[[#This Row],[Code]],Locaties[#All],6,FALSE)</f>
        <v>Voorburg</v>
      </c>
      <c r="F837" s="62"/>
      <c r="G837" s="21" t="s">
        <v>1706</v>
      </c>
      <c r="H837" s="21" t="s">
        <v>1722</v>
      </c>
      <c r="I837" s="62" t="s">
        <v>2223</v>
      </c>
      <c r="J837" s="21">
        <v>10</v>
      </c>
      <c r="K837" s="62" t="str">
        <f>VLOOKUP(Ruimtestaat[[#This Row],[Ruimte code]],Ruimtegroepen[[#All],[Code]:[Ruimte omschrijving]],2,FALSE)</f>
        <v>Trappenhuizen/lift</v>
      </c>
      <c r="L837" s="33" t="s">
        <v>102</v>
      </c>
      <c r="M837" s="367" t="s">
        <v>2509</v>
      </c>
      <c r="N837" s="140">
        <v>8</v>
      </c>
      <c r="O837" s="140"/>
      <c r="P837" s="125" t="str">
        <f>VLOOKUP(Ruimtestaat[[#This Row],[Ruimte code]],Ruimtegroepen[],4,FALSE)</f>
        <v>Ve</v>
      </c>
      <c r="R837" s="33">
        <v>40</v>
      </c>
      <c r="S837" s="33" t="s">
        <v>2</v>
      </c>
      <c r="T837" s="33">
        <f>IF(R837&gt;0,IF(RIGHT(Ruimtestaat[[#This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7" s="33">
        <f>IF(T837&gt;0,VLOOKUP($J837,Ruimtegroepen[],3,FALSE)*VLOOKUP($L837,Vloersoorten[],3,FALSE)*VLOOKUP($S837,Frequenties[],3,FALSE)*VLOOKUP($A837,Locaties[],3,FALSE),0)</f>
        <v>0</v>
      </c>
      <c r="V837" s="33">
        <f>Ruimtestaat[[#This Row],[Uitvoeringen werkdagen]]*Ruimtestaat[[#This Row],[Oppervlak (netto)]]</f>
        <v>1600</v>
      </c>
      <c r="W837" s="154">
        <f>IF(U837&gt;0,Ruimtestaat[[#This Row],[Prest. (m2 /jaar) werkdagen]]/Ruimtestaat[[#This Row],[Norm (m2/uur) werkdagen]],0)</f>
        <v>0</v>
      </c>
      <c r="X837" s="155">
        <f>Ruimtestaat[[#This Row],[uren / jaar werkdagen]]*Tariefsopbouw!$E$35</f>
        <v>0</v>
      </c>
      <c r="Y837" s="33"/>
      <c r="Z837" s="33">
        <f>IF(Ruimtestaat[[#This Row],[Frequentie weekend]]&gt;0,VALUE(LEFT(Y837,1))*R837,0)</f>
        <v>0</v>
      </c>
      <c r="AA837" s="97">
        <f>IF($Z837&gt;0,VLOOKUP($J837,Ruimtegroepen[],3,FALSE)*VLOOKUP($L837,Vloersoorten[],3,FALSE)*VLOOKUP($Y837,Frequenties[],3,FALSE)*VLOOKUP(Ruimtestaat[[#This Row],[Code]],Locaties[],3,FALSE),0)</f>
        <v>0</v>
      </c>
      <c r="AB837" s="97">
        <f>Ruimtestaat[[#This Row],[Uitvoeringen weekend]]*Ruimtestaat[[#This Row],[Oppervlak (netto)]]</f>
        <v>0</v>
      </c>
      <c r="AC837" s="97">
        <f>IF(AA837&gt;0,Ruimtestaat[[#This Row],[Prest. (m2 /jaar) weekend]]/Ruimtestaat[[#This Row],[Norm (m2/uur) weekend]],0)</f>
        <v>0</v>
      </c>
      <c r="AD837" s="155">
        <f>Ruimtestaat[[#This Row],[uren / jaar weekend]]*Tariefsopbouw!$D$40</f>
        <v>0</v>
      </c>
      <c r="AE837" s="154">
        <f>Ruimtestaat[[#This Row],[Prest. (m2 /jaar) weekend]]+Ruimtestaat[[#This Row],[Prest. (m2 /jaar) werkdagen]]</f>
        <v>1600</v>
      </c>
      <c r="AF837" s="154">
        <f>Ruimtestaat[[#This Row],[uren / jaar weekend]]+Ruimtestaat[[#This Row],[uren / jaar werkdagen]]</f>
        <v>0</v>
      </c>
      <c r="AG837" s="69">
        <f>Ruimtestaat[[#This Row],[kosten / jaar weekend]]+Ruimtestaat[[#This Row],[kosten / jaar werkdagen]]</f>
        <v>0</v>
      </c>
      <c r="AH837" s="69"/>
      <c r="AI837" s="256" t="str">
        <f>IF(Ruimtestaat[[#This Row],[Frequentie werkdagen]]="","",_xlfn.CONCAT(Ruimtestaat[[#This Row],[Ruimte code]],"-",Ruimtestaat[[#This Row],[Frequentie werkdagen]]," ",Ruimtestaat[[#This Row],[Vloer code]]))</f>
        <v>10-5w S</v>
      </c>
      <c r="AJ837" s="300" t="str">
        <f>_xlfn.IFNA(VLOOKUP($AI837,Programma!$F$3:$G$1107,2,0),"")</f>
        <v>_</v>
      </c>
      <c r="AK837" s="300" t="str">
        <f>_xlfn.IFNA(VLOOKUP($AI837,Programma!$F$3:$H$1107,3,0),"")</f>
        <v>_</v>
      </c>
      <c r="AL837" s="300" t="str">
        <f>_xlfn.IFNA(VLOOKUP($AI837,Programma!$F$3:$I$1107,4,0),"")</f>
        <v>4w</v>
      </c>
      <c r="AM837" s="300" t="str">
        <f>_xlfn.IFNA(VLOOKUP($AI837,Programma!$F$3:$J$1107,5,0),"")</f>
        <v>1w</v>
      </c>
      <c r="AN837" s="300" t="str">
        <f>_xlfn.IFNA(VLOOKUP($AI837,Programma!$F$3:$K$1107,6,0),"")</f>
        <v>4j</v>
      </c>
      <c r="AO837" s="300" t="str">
        <f>_xlfn.IFNA(VLOOKUP($AI837,Programma!$F$3:$L$1107,7,0),"")</f>
        <v>_</v>
      </c>
      <c r="AP837" s="300" t="str">
        <f>_xlfn.IFNA(VLOOKUP($AI837,Programma!$F$3:$M$1107,8,0),"")</f>
        <v>_</v>
      </c>
      <c r="AQ837" s="300" t="str">
        <f>_xlfn.IFNA(VLOOKUP($AI837,Programma!$F$3:$N$1107,9,0),"")</f>
        <v>_</v>
      </c>
      <c r="AR837" s="300" t="str">
        <f>_xlfn.IFNA(VLOOKUP($AI837,Programma!$F$3:$O$1107,10,0),"")</f>
        <v>5w</v>
      </c>
      <c r="AS837" s="300" t="str">
        <f>_xlfn.IFNA(VLOOKUP($AI837,Programma!$F$3:$P$1107,11,0),"")</f>
        <v>5w</v>
      </c>
      <c r="AT837" s="300" t="str">
        <f>_xlfn.IFNA(VLOOKUP($AI837,Programma!$F$3:$Q$1107,12,0),"")</f>
        <v>1w</v>
      </c>
      <c r="AU837" s="300" t="str">
        <f>_xlfn.IFNA(VLOOKUP($AI837,Programma!$F$3:$R$1107,13,0),"")</f>
        <v>1w</v>
      </c>
      <c r="AV837" s="300" t="str">
        <f>_xlfn.IFNA(VLOOKUP($AI837,Programma!$F$3:$S$1107,14,0),"")</f>
        <v>1m</v>
      </c>
      <c r="AW837" s="300" t="str">
        <f>_xlfn.IFNA(VLOOKUP($AI837,Programma!$F$3:$T$1107,15,0),"")</f>
        <v>2j</v>
      </c>
      <c r="AX837" s="300" t="str">
        <f>_xlfn.IFNA(VLOOKUP($AI837,Programma!$F$3:$U$1107,16,0),"")</f>
        <v>1j</v>
      </c>
      <c r="AY837" s="300" t="str">
        <f>_xlfn.IFNA(VLOOKUP($AI837,Programma!$F$3:$V$1107,17,0),"")</f>
        <v>_</v>
      </c>
      <c r="AZ837" s="300" t="str">
        <f>_xlfn.IFNA(VLOOKUP($AI837,Programma!$F$3:$W$1107,18,0),"")</f>
        <v>_</v>
      </c>
      <c r="BA837" s="300" t="str">
        <f>_xlfn.IFNA(VLOOKUP($AI837,Programma!$F$3:$X$1107,19,0),"")</f>
        <v>_</v>
      </c>
      <c r="BB837" s="300" t="str">
        <f>_xlfn.IFNA(VLOOKUP($AI837,Programma!$F$3:$Y$1107,20,0),"")</f>
        <v>_</v>
      </c>
      <c r="BC837" s="257"/>
      <c r="BD837" s="256" t="str">
        <f>IF(Ruimtestaat[[#This Row],[Frequentie weekend]]="","",_xlfn.CONCAT(Ruimtestaat[[#This Row],[Ruimte code]],"-",Ruimtestaat[[#This Row],[Frequentie weekend]]," ",Ruimtestaat[[#This Row],[Vloer code]]))</f>
        <v/>
      </c>
      <c r="BE837" s="300" t="str">
        <f>_xlfn.IFNA(VLOOKUP($BD837,Programma!$F$3:$G$1107,2,0),"")</f>
        <v/>
      </c>
      <c r="BF837" s="300" t="str">
        <f>_xlfn.IFNA(VLOOKUP($BD837,Programma!$F$3:$H$1107,3,0),"")</f>
        <v/>
      </c>
      <c r="BG837" s="300" t="str">
        <f>_xlfn.IFNA(VLOOKUP($BD837,Programma!$F$3:$I$1107,4,0),"")</f>
        <v/>
      </c>
      <c r="BH837" s="300" t="str">
        <f>_xlfn.IFNA(VLOOKUP($BD837,Programma!$F$3:$J$1107,5,0),"")</f>
        <v/>
      </c>
      <c r="BI837" s="300" t="str">
        <f>_xlfn.IFNA(VLOOKUP($BD837,Programma!$F$3:$K$1107,6,0),"")</f>
        <v/>
      </c>
      <c r="BJ837" s="300" t="str">
        <f>_xlfn.IFNA(VLOOKUP($BD837,Programma!$F$3:$L$1107,7,0),"")</f>
        <v/>
      </c>
      <c r="BK837" s="300" t="str">
        <f>_xlfn.IFNA(VLOOKUP($BD837,Programma!$F$3:$M$1107,8,0),"")</f>
        <v/>
      </c>
      <c r="BL837" s="300" t="str">
        <f>_xlfn.IFNA(VLOOKUP($BD837,Programma!$F$3:$N$1107,9,0),"")</f>
        <v/>
      </c>
      <c r="BM837" s="300" t="str">
        <f>_xlfn.IFNA(VLOOKUP($BD837,Programma!$F$3:$O$1107,10,0),"")</f>
        <v/>
      </c>
      <c r="BN837" s="300" t="str">
        <f>_xlfn.IFNA(VLOOKUP($BD837,Programma!$F$3:$P$1107,11,0),"")</f>
        <v/>
      </c>
      <c r="BO837" s="300" t="str">
        <f>_xlfn.IFNA(VLOOKUP($BD837,Programma!$F$3:$Q$1107,12,0),"")</f>
        <v/>
      </c>
      <c r="BP837" s="300" t="str">
        <f>_xlfn.IFNA(VLOOKUP($BD837,Programma!$F$3:$R$1107,13,0),"")</f>
        <v/>
      </c>
      <c r="BQ837" s="300" t="str">
        <f>_xlfn.IFNA(VLOOKUP($BD837,Programma!$F$3:$S$1107,14,0),"")</f>
        <v/>
      </c>
      <c r="BR837" s="300" t="str">
        <f>_xlfn.IFNA(VLOOKUP($BD837,Programma!$F$3:$T$1107,15,0),"")</f>
        <v/>
      </c>
      <c r="BS837" s="300" t="str">
        <f>_xlfn.IFNA(VLOOKUP($BD837,Programma!$F$3:$U$1107,16,0),"")</f>
        <v/>
      </c>
      <c r="BT837" s="300" t="str">
        <f>_xlfn.IFNA(VLOOKUP($BD837,Programma!$F$3:$V$1107,17,0),"")</f>
        <v/>
      </c>
      <c r="BU837" s="300" t="str">
        <f>_xlfn.IFNA(VLOOKUP($BD837,Programma!$F$3:$W$1107,18,0),"")</f>
        <v/>
      </c>
      <c r="BV837" s="300" t="str">
        <f>_xlfn.IFNA(VLOOKUP($BD837,Programma!$F$3:$X$1107,19,0),"")</f>
        <v/>
      </c>
      <c r="BW837" s="300" t="str">
        <f>_xlfn.IFNA(VLOOKUP($BD837,Programma!$F$3:$Y$1107,20,0),"")</f>
        <v/>
      </c>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c r="GK837" s="4"/>
      <c r="GL837" s="4"/>
      <c r="GM837" s="4"/>
      <c r="GN837" s="4"/>
      <c r="GO837" s="4"/>
      <c r="GP837" s="4"/>
      <c r="GQ837" s="4"/>
      <c r="GR837" s="4"/>
      <c r="GS837" s="4"/>
      <c r="GT837" s="4"/>
      <c r="GU837" s="4"/>
      <c r="GV837" s="4"/>
      <c r="GW837" s="4"/>
      <c r="GX837" s="4"/>
      <c r="GY837" s="4"/>
      <c r="GZ837" s="4"/>
      <c r="HA837" s="4"/>
      <c r="HB837" s="4"/>
      <c r="HC837" s="4"/>
      <c r="HD837" s="4"/>
      <c r="HE837" s="4"/>
      <c r="HF837" s="4"/>
      <c r="HG837" s="4"/>
      <c r="HH837" s="4"/>
      <c r="HI837" s="4"/>
      <c r="HJ837" s="4"/>
      <c r="HK837" s="4"/>
      <c r="HL837" s="4"/>
    </row>
    <row r="838" spans="1:220" ht="15" customHeight="1">
      <c r="A838" s="21">
        <v>8</v>
      </c>
      <c r="B838" s="157" t="str">
        <f>VLOOKUP(Ruimtestaat[[#This Row],[Code]],Locaties[[Code]:[Locatie]],2,FALSE)</f>
        <v>Dalton College</v>
      </c>
      <c r="C838" s="157" t="str">
        <f>VLOOKUP(Ruimtestaat[[#This Row],[Code]],Locaties[[#All],[Code]:[Adres]],4,FALSE)</f>
        <v>Loolaan 125</v>
      </c>
      <c r="D838" s="157" t="str">
        <f>VLOOKUP(Ruimtestaat[[#This Row],[Code]],Locaties[[#All],[Code]:[Postcode]],5,FALSE)</f>
        <v xml:space="preserve">2271 TM </v>
      </c>
      <c r="E838" s="157" t="str">
        <f>VLOOKUP(Ruimtestaat[[#This Row],[Code]],Locaties[#All],6,FALSE)</f>
        <v>Voorburg</v>
      </c>
      <c r="F838" s="62"/>
      <c r="G838" s="21" t="s">
        <v>1706</v>
      </c>
      <c r="H838" s="21" t="s">
        <v>1724</v>
      </c>
      <c r="I838" s="62" t="s">
        <v>2307</v>
      </c>
      <c r="J838" s="21">
        <v>16</v>
      </c>
      <c r="K838" s="62" t="str">
        <f>VLOOKUP(Ruimtestaat[[#This Row],[Ruimte code]],Ruimtegroepen[[#All],[Code]:[Ruimte omschrijving]],2,FALSE)</f>
        <v>Leslokalen theorie</v>
      </c>
      <c r="L838" s="33" t="s">
        <v>101</v>
      </c>
      <c r="M838" s="367" t="s">
        <v>2495</v>
      </c>
      <c r="N838" s="140">
        <v>97</v>
      </c>
      <c r="O838" s="140"/>
      <c r="P838" s="125" t="str">
        <f>VLOOKUP(Ruimtestaat[[#This Row],[Ruimte code]],Ruimtegroepen[],4,FALSE)</f>
        <v>Le</v>
      </c>
      <c r="R838" s="33">
        <v>40</v>
      </c>
      <c r="S838" s="33" t="s">
        <v>2</v>
      </c>
      <c r="T838" s="33">
        <f>IF(R838&gt;0,IF(RIGHT(Ruimtestaat[[#This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8" s="33">
        <f>IF(T838&gt;0,VLOOKUP($J838,Ruimtegroepen[],3,FALSE)*VLOOKUP($L838,Vloersoorten[],3,FALSE)*VLOOKUP($S838,Frequenties[],3,FALSE)*VLOOKUP($A838,Locaties[],3,FALSE),0)</f>
        <v>0</v>
      </c>
      <c r="V838" s="33">
        <f>Ruimtestaat[[#This Row],[Uitvoeringen werkdagen]]*Ruimtestaat[[#This Row],[Oppervlak (netto)]]</f>
        <v>19400</v>
      </c>
      <c r="W838" s="154">
        <f>IF(U838&gt;0,Ruimtestaat[[#This Row],[Prest. (m2 /jaar) werkdagen]]/Ruimtestaat[[#This Row],[Norm (m2/uur) werkdagen]],0)</f>
        <v>0</v>
      </c>
      <c r="X838" s="155">
        <f>Ruimtestaat[[#This Row],[uren / jaar werkdagen]]*Tariefsopbouw!$E$35</f>
        <v>0</v>
      </c>
      <c r="Y838" s="33"/>
      <c r="Z838" s="33">
        <f>IF(Ruimtestaat[[#This Row],[Frequentie weekend]]&gt;0,VALUE(LEFT(Y838,1))*R838,0)</f>
        <v>0</v>
      </c>
      <c r="AA838" s="97">
        <f>IF($Z838&gt;0,VLOOKUP($J838,Ruimtegroepen[],3,FALSE)*VLOOKUP($L838,Vloersoorten[],3,FALSE)*VLOOKUP($Y838,Frequenties[],3,FALSE)*VLOOKUP(Ruimtestaat[[#This Row],[Code]],Locaties[],3,FALSE),0)</f>
        <v>0</v>
      </c>
      <c r="AB838" s="97">
        <f>Ruimtestaat[[#This Row],[Uitvoeringen weekend]]*Ruimtestaat[[#This Row],[Oppervlak (netto)]]</f>
        <v>0</v>
      </c>
      <c r="AC838" s="97">
        <f>IF(AA838&gt;0,Ruimtestaat[[#This Row],[Prest. (m2 /jaar) weekend]]/Ruimtestaat[[#This Row],[Norm (m2/uur) weekend]],0)</f>
        <v>0</v>
      </c>
      <c r="AD838" s="155">
        <f>Ruimtestaat[[#This Row],[uren / jaar weekend]]*Tariefsopbouw!$D$40</f>
        <v>0</v>
      </c>
      <c r="AE838" s="154">
        <f>Ruimtestaat[[#This Row],[Prest. (m2 /jaar) weekend]]+Ruimtestaat[[#This Row],[Prest. (m2 /jaar) werkdagen]]</f>
        <v>19400</v>
      </c>
      <c r="AF838" s="154">
        <f>Ruimtestaat[[#This Row],[uren / jaar weekend]]+Ruimtestaat[[#This Row],[uren / jaar werkdagen]]</f>
        <v>0</v>
      </c>
      <c r="AG838" s="69">
        <f>Ruimtestaat[[#This Row],[kosten / jaar weekend]]+Ruimtestaat[[#This Row],[kosten / jaar werkdagen]]</f>
        <v>0</v>
      </c>
      <c r="AH838" s="69"/>
      <c r="AI838" s="256" t="str">
        <f>IF(Ruimtestaat[[#This Row],[Frequentie werkdagen]]="","",_xlfn.CONCAT(Ruimtestaat[[#This Row],[Ruimte code]],"-",Ruimtestaat[[#This Row],[Frequentie werkdagen]]," ",Ruimtestaat[[#This Row],[Vloer code]]))</f>
        <v>16-5w L</v>
      </c>
      <c r="AJ838" s="300" t="str">
        <f>_xlfn.IFNA(VLOOKUP($AI838,Programma!$F$3:$G$1107,2,0),"")</f>
        <v>_</v>
      </c>
      <c r="AK838" s="300" t="str">
        <f>_xlfn.IFNA(VLOOKUP($AI838,Programma!$F$3:$H$1107,3,0),"")</f>
        <v>_</v>
      </c>
      <c r="AL838" s="300" t="str">
        <f>_xlfn.IFNA(VLOOKUP($AI838,Programma!$F$3:$I$1107,4,0),"")</f>
        <v>4w</v>
      </c>
      <c r="AM838" s="300" t="str">
        <f>_xlfn.IFNA(VLOOKUP($AI838,Programma!$F$3:$J$1107,5,0),"")</f>
        <v>1w</v>
      </c>
      <c r="AN838" s="300" t="str">
        <f>_xlfn.IFNA(VLOOKUP($AI838,Programma!$F$3:$K$1107,6,0),"")</f>
        <v>_</v>
      </c>
      <c r="AO838" s="300" t="str">
        <f>_xlfn.IFNA(VLOOKUP($AI838,Programma!$F$3:$L$1107,7,0),"")</f>
        <v>_</v>
      </c>
      <c r="AP838" s="300" t="str">
        <f>_xlfn.IFNA(VLOOKUP($AI838,Programma!$F$3:$M$1107,8,0),"")</f>
        <v>_</v>
      </c>
      <c r="AQ838" s="300" t="str">
        <f>_xlfn.IFNA(VLOOKUP($AI838,Programma!$F$3:$N$1107,9,0),"")</f>
        <v>_</v>
      </c>
      <c r="AR838" s="300" t="str">
        <f>_xlfn.IFNA(VLOOKUP($AI838,Programma!$F$3:$O$1107,10,0),"")</f>
        <v>5w</v>
      </c>
      <c r="AS838" s="300" t="str">
        <f>_xlfn.IFNA(VLOOKUP($AI838,Programma!$F$3:$P$1107,11,0),"")</f>
        <v>5w</v>
      </c>
      <c r="AT838" s="300" t="str">
        <f>_xlfn.IFNA(VLOOKUP($AI838,Programma!$F$3:$Q$1107,12,0),"")</f>
        <v>1w</v>
      </c>
      <c r="AU838" s="300" t="str">
        <f>_xlfn.IFNA(VLOOKUP($AI838,Programma!$F$3:$R$1107,13,0),"")</f>
        <v>1w</v>
      </c>
      <c r="AV838" s="300" t="str">
        <f>_xlfn.IFNA(VLOOKUP($AI838,Programma!$F$3:$S$1107,14,0),"")</f>
        <v>1m</v>
      </c>
      <c r="AW838" s="300" t="str">
        <f>_xlfn.IFNA(VLOOKUP($AI838,Programma!$F$3:$T$1107,15,0),"")</f>
        <v>2j</v>
      </c>
      <c r="AX838" s="300" t="str">
        <f>_xlfn.IFNA(VLOOKUP($AI838,Programma!$F$3:$U$1107,16,0),"")</f>
        <v>1j</v>
      </c>
      <c r="AY838" s="300" t="str">
        <f>_xlfn.IFNA(VLOOKUP($AI838,Programma!$F$3:$V$1107,17,0),"")</f>
        <v>_</v>
      </c>
      <c r="AZ838" s="300" t="str">
        <f>_xlfn.IFNA(VLOOKUP($AI838,Programma!$F$3:$W$1107,18,0),"")</f>
        <v>_</v>
      </c>
      <c r="BA838" s="300" t="str">
        <f>_xlfn.IFNA(VLOOKUP($AI838,Programma!$F$3:$X$1107,19,0),"")</f>
        <v>_</v>
      </c>
      <c r="BB838" s="300" t="str">
        <f>_xlfn.IFNA(VLOOKUP($AI838,Programma!$F$3:$Y$1107,20,0),"")</f>
        <v>_</v>
      </c>
      <c r="BC838" s="257"/>
      <c r="BD838" s="256" t="str">
        <f>IF(Ruimtestaat[[#This Row],[Frequentie weekend]]="","",_xlfn.CONCAT(Ruimtestaat[[#This Row],[Ruimte code]],"-",Ruimtestaat[[#This Row],[Frequentie weekend]]," ",Ruimtestaat[[#This Row],[Vloer code]]))</f>
        <v/>
      </c>
      <c r="BE838" s="300" t="str">
        <f>_xlfn.IFNA(VLOOKUP($BD838,Programma!$F$3:$G$1107,2,0),"")</f>
        <v/>
      </c>
      <c r="BF838" s="300" t="str">
        <f>_xlfn.IFNA(VLOOKUP($BD838,Programma!$F$3:$H$1107,3,0),"")</f>
        <v/>
      </c>
      <c r="BG838" s="300" t="str">
        <f>_xlfn.IFNA(VLOOKUP($BD838,Programma!$F$3:$I$1107,4,0),"")</f>
        <v/>
      </c>
      <c r="BH838" s="300" t="str">
        <f>_xlfn.IFNA(VLOOKUP($BD838,Programma!$F$3:$J$1107,5,0),"")</f>
        <v/>
      </c>
      <c r="BI838" s="300" t="str">
        <f>_xlfn.IFNA(VLOOKUP($BD838,Programma!$F$3:$K$1107,6,0),"")</f>
        <v/>
      </c>
      <c r="BJ838" s="300" t="str">
        <f>_xlfn.IFNA(VLOOKUP($BD838,Programma!$F$3:$L$1107,7,0),"")</f>
        <v/>
      </c>
      <c r="BK838" s="300" t="str">
        <f>_xlfn.IFNA(VLOOKUP($BD838,Programma!$F$3:$M$1107,8,0),"")</f>
        <v/>
      </c>
      <c r="BL838" s="300" t="str">
        <f>_xlfn.IFNA(VLOOKUP($BD838,Programma!$F$3:$N$1107,9,0),"")</f>
        <v/>
      </c>
      <c r="BM838" s="300" t="str">
        <f>_xlfn.IFNA(VLOOKUP($BD838,Programma!$F$3:$O$1107,10,0),"")</f>
        <v/>
      </c>
      <c r="BN838" s="300" t="str">
        <f>_xlfn.IFNA(VLOOKUP($BD838,Programma!$F$3:$P$1107,11,0),"")</f>
        <v/>
      </c>
      <c r="BO838" s="300" t="str">
        <f>_xlfn.IFNA(VLOOKUP($BD838,Programma!$F$3:$Q$1107,12,0),"")</f>
        <v/>
      </c>
      <c r="BP838" s="300" t="str">
        <f>_xlfn.IFNA(VLOOKUP($BD838,Programma!$F$3:$R$1107,13,0),"")</f>
        <v/>
      </c>
      <c r="BQ838" s="300" t="str">
        <f>_xlfn.IFNA(VLOOKUP($BD838,Programma!$F$3:$S$1107,14,0),"")</f>
        <v/>
      </c>
      <c r="BR838" s="300" t="str">
        <f>_xlfn.IFNA(VLOOKUP($BD838,Programma!$F$3:$T$1107,15,0),"")</f>
        <v/>
      </c>
      <c r="BS838" s="300" t="str">
        <f>_xlfn.IFNA(VLOOKUP($BD838,Programma!$F$3:$U$1107,16,0),"")</f>
        <v/>
      </c>
      <c r="BT838" s="300" t="str">
        <f>_xlfn.IFNA(VLOOKUP($BD838,Programma!$F$3:$V$1107,17,0),"")</f>
        <v/>
      </c>
      <c r="BU838" s="300" t="str">
        <f>_xlfn.IFNA(VLOOKUP($BD838,Programma!$F$3:$W$1107,18,0),"")</f>
        <v/>
      </c>
      <c r="BV838" s="300" t="str">
        <f>_xlfn.IFNA(VLOOKUP($BD838,Programma!$F$3:$X$1107,19,0),"")</f>
        <v/>
      </c>
      <c r="BW838" s="300" t="str">
        <f>_xlfn.IFNA(VLOOKUP($BD838,Programma!$F$3:$Y$1107,20,0),"")</f>
        <v/>
      </c>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c r="GK838" s="4"/>
      <c r="GL838" s="4"/>
      <c r="GM838" s="4"/>
      <c r="GN838" s="4"/>
      <c r="GO838" s="4"/>
      <c r="GP838" s="4"/>
      <c r="GQ838" s="4"/>
      <c r="GR838" s="4"/>
      <c r="GS838" s="4"/>
      <c r="GT838" s="4"/>
      <c r="GU838" s="4"/>
      <c r="GV838" s="4"/>
      <c r="GW838" s="4"/>
      <c r="GX838" s="4"/>
      <c r="GY838" s="4"/>
      <c r="GZ838" s="4"/>
      <c r="HA838" s="4"/>
      <c r="HB838" s="4"/>
      <c r="HC838" s="4"/>
      <c r="HD838" s="4"/>
      <c r="HE838" s="4"/>
      <c r="HF838" s="4"/>
      <c r="HG838" s="4"/>
      <c r="HH838" s="4"/>
      <c r="HI838" s="4"/>
      <c r="HJ838" s="4"/>
      <c r="HK838" s="4"/>
      <c r="HL838" s="4"/>
    </row>
    <row r="839" spans="1:220" ht="15" customHeight="1">
      <c r="A839" s="21">
        <v>8</v>
      </c>
      <c r="B839" s="157" t="str">
        <f>VLOOKUP(Ruimtestaat[[#This Row],[Code]],Locaties[[Code]:[Locatie]],2,FALSE)</f>
        <v>Dalton College</v>
      </c>
      <c r="C839" s="157" t="str">
        <f>VLOOKUP(Ruimtestaat[[#This Row],[Code]],Locaties[[#All],[Code]:[Adres]],4,FALSE)</f>
        <v>Loolaan 125</v>
      </c>
      <c r="D839" s="157" t="str">
        <f>VLOOKUP(Ruimtestaat[[#This Row],[Code]],Locaties[[#All],[Code]:[Postcode]],5,FALSE)</f>
        <v xml:space="preserve">2271 TM </v>
      </c>
      <c r="E839" s="157" t="str">
        <f>VLOOKUP(Ruimtestaat[[#This Row],[Code]],Locaties[#All],6,FALSE)</f>
        <v>Voorburg</v>
      </c>
      <c r="F839" s="62"/>
      <c r="G839" s="21" t="s">
        <v>1706</v>
      </c>
      <c r="H839" s="21" t="s">
        <v>1726</v>
      </c>
      <c r="I839" s="62" t="s">
        <v>2308</v>
      </c>
      <c r="J839" s="21">
        <v>16</v>
      </c>
      <c r="K839" s="62" t="str">
        <f>VLOOKUP(Ruimtestaat[[#This Row],[Ruimte code]],Ruimtegroepen[[#All],[Code]:[Ruimte omschrijving]],2,FALSE)</f>
        <v>Leslokalen theorie</v>
      </c>
      <c r="L839" s="33" t="s">
        <v>101</v>
      </c>
      <c r="M839" s="367" t="s">
        <v>2495</v>
      </c>
      <c r="N839" s="140">
        <v>47</v>
      </c>
      <c r="O839" s="140"/>
      <c r="P839" s="125" t="str">
        <f>VLOOKUP(Ruimtestaat[[#This Row],[Ruimte code]],Ruimtegroepen[],4,FALSE)</f>
        <v>Le</v>
      </c>
      <c r="R839" s="33">
        <v>40</v>
      </c>
      <c r="S839" s="33" t="s">
        <v>2</v>
      </c>
      <c r="T839" s="33">
        <f>IF(R839&gt;0,IF(RIGHT(Ruimtestaat[[#This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9" s="33">
        <f>IF(T839&gt;0,VLOOKUP($J839,Ruimtegroepen[],3,FALSE)*VLOOKUP($L839,Vloersoorten[],3,FALSE)*VLOOKUP($S839,Frequenties[],3,FALSE)*VLOOKUP($A839,Locaties[],3,FALSE),0)</f>
        <v>0</v>
      </c>
      <c r="V839" s="33">
        <f>Ruimtestaat[[#This Row],[Uitvoeringen werkdagen]]*Ruimtestaat[[#This Row],[Oppervlak (netto)]]</f>
        <v>9400</v>
      </c>
      <c r="W839" s="154">
        <f>IF(U839&gt;0,Ruimtestaat[[#This Row],[Prest. (m2 /jaar) werkdagen]]/Ruimtestaat[[#This Row],[Norm (m2/uur) werkdagen]],0)</f>
        <v>0</v>
      </c>
      <c r="X839" s="155">
        <f>Ruimtestaat[[#This Row],[uren / jaar werkdagen]]*Tariefsopbouw!$E$35</f>
        <v>0</v>
      </c>
      <c r="Y839" s="33"/>
      <c r="Z839" s="33">
        <f>IF(Ruimtestaat[[#This Row],[Frequentie weekend]]&gt;0,VALUE(LEFT(Y839,1))*R839,0)</f>
        <v>0</v>
      </c>
      <c r="AA839" s="97">
        <f>IF($Z839&gt;0,VLOOKUP($J839,Ruimtegroepen[],3,FALSE)*VLOOKUP($L839,Vloersoorten[],3,FALSE)*VLOOKUP($Y839,Frequenties[],3,FALSE)*VLOOKUP(Ruimtestaat[[#This Row],[Code]],Locaties[],3,FALSE),0)</f>
        <v>0</v>
      </c>
      <c r="AB839" s="97">
        <f>Ruimtestaat[[#This Row],[Uitvoeringen weekend]]*Ruimtestaat[[#This Row],[Oppervlak (netto)]]</f>
        <v>0</v>
      </c>
      <c r="AC839" s="97">
        <f>IF(AA839&gt;0,Ruimtestaat[[#This Row],[Prest. (m2 /jaar) weekend]]/Ruimtestaat[[#This Row],[Norm (m2/uur) weekend]],0)</f>
        <v>0</v>
      </c>
      <c r="AD839" s="155">
        <f>Ruimtestaat[[#This Row],[uren / jaar weekend]]*Tariefsopbouw!$D$40</f>
        <v>0</v>
      </c>
      <c r="AE839" s="154">
        <f>Ruimtestaat[[#This Row],[Prest. (m2 /jaar) weekend]]+Ruimtestaat[[#This Row],[Prest. (m2 /jaar) werkdagen]]</f>
        <v>9400</v>
      </c>
      <c r="AF839" s="154">
        <f>Ruimtestaat[[#This Row],[uren / jaar weekend]]+Ruimtestaat[[#This Row],[uren / jaar werkdagen]]</f>
        <v>0</v>
      </c>
      <c r="AG839" s="69">
        <f>Ruimtestaat[[#This Row],[kosten / jaar weekend]]+Ruimtestaat[[#This Row],[kosten / jaar werkdagen]]</f>
        <v>0</v>
      </c>
      <c r="AH839" s="69"/>
      <c r="AI839" s="256" t="str">
        <f>IF(Ruimtestaat[[#This Row],[Frequentie werkdagen]]="","",_xlfn.CONCAT(Ruimtestaat[[#This Row],[Ruimte code]],"-",Ruimtestaat[[#This Row],[Frequentie werkdagen]]," ",Ruimtestaat[[#This Row],[Vloer code]]))</f>
        <v>16-5w L</v>
      </c>
      <c r="AJ839" s="300" t="str">
        <f>_xlfn.IFNA(VLOOKUP($AI839,Programma!$F$3:$G$1107,2,0),"")</f>
        <v>_</v>
      </c>
      <c r="AK839" s="300" t="str">
        <f>_xlfn.IFNA(VLOOKUP($AI839,Programma!$F$3:$H$1107,3,0),"")</f>
        <v>_</v>
      </c>
      <c r="AL839" s="300" t="str">
        <f>_xlfn.IFNA(VLOOKUP($AI839,Programma!$F$3:$I$1107,4,0),"")</f>
        <v>4w</v>
      </c>
      <c r="AM839" s="300" t="str">
        <f>_xlfn.IFNA(VLOOKUP($AI839,Programma!$F$3:$J$1107,5,0),"")</f>
        <v>1w</v>
      </c>
      <c r="AN839" s="300" t="str">
        <f>_xlfn.IFNA(VLOOKUP($AI839,Programma!$F$3:$K$1107,6,0),"")</f>
        <v>_</v>
      </c>
      <c r="AO839" s="300" t="str">
        <f>_xlfn.IFNA(VLOOKUP($AI839,Programma!$F$3:$L$1107,7,0),"")</f>
        <v>_</v>
      </c>
      <c r="AP839" s="300" t="str">
        <f>_xlfn.IFNA(VLOOKUP($AI839,Programma!$F$3:$M$1107,8,0),"")</f>
        <v>_</v>
      </c>
      <c r="AQ839" s="300" t="str">
        <f>_xlfn.IFNA(VLOOKUP($AI839,Programma!$F$3:$N$1107,9,0),"")</f>
        <v>_</v>
      </c>
      <c r="AR839" s="300" t="str">
        <f>_xlfn.IFNA(VLOOKUP($AI839,Programma!$F$3:$O$1107,10,0),"")</f>
        <v>5w</v>
      </c>
      <c r="AS839" s="300" t="str">
        <f>_xlfn.IFNA(VLOOKUP($AI839,Programma!$F$3:$P$1107,11,0),"")</f>
        <v>5w</v>
      </c>
      <c r="AT839" s="300" t="str">
        <f>_xlfn.IFNA(VLOOKUP($AI839,Programma!$F$3:$Q$1107,12,0),"")</f>
        <v>1w</v>
      </c>
      <c r="AU839" s="300" t="str">
        <f>_xlfn.IFNA(VLOOKUP($AI839,Programma!$F$3:$R$1107,13,0),"")</f>
        <v>1w</v>
      </c>
      <c r="AV839" s="300" t="str">
        <f>_xlfn.IFNA(VLOOKUP($AI839,Programma!$F$3:$S$1107,14,0),"")</f>
        <v>1m</v>
      </c>
      <c r="AW839" s="300" t="str">
        <f>_xlfn.IFNA(VLOOKUP($AI839,Programma!$F$3:$T$1107,15,0),"")</f>
        <v>2j</v>
      </c>
      <c r="AX839" s="300" t="str">
        <f>_xlfn.IFNA(VLOOKUP($AI839,Programma!$F$3:$U$1107,16,0),"")</f>
        <v>1j</v>
      </c>
      <c r="AY839" s="300" t="str">
        <f>_xlfn.IFNA(VLOOKUP($AI839,Programma!$F$3:$V$1107,17,0),"")</f>
        <v>_</v>
      </c>
      <c r="AZ839" s="300" t="str">
        <f>_xlfn.IFNA(VLOOKUP($AI839,Programma!$F$3:$W$1107,18,0),"")</f>
        <v>_</v>
      </c>
      <c r="BA839" s="300" t="str">
        <f>_xlfn.IFNA(VLOOKUP($AI839,Programma!$F$3:$X$1107,19,0),"")</f>
        <v>_</v>
      </c>
      <c r="BB839" s="300" t="str">
        <f>_xlfn.IFNA(VLOOKUP($AI839,Programma!$F$3:$Y$1107,20,0),"")</f>
        <v>_</v>
      </c>
      <c r="BC839" s="257"/>
      <c r="BD839" s="256" t="str">
        <f>IF(Ruimtestaat[[#This Row],[Frequentie weekend]]="","",_xlfn.CONCAT(Ruimtestaat[[#This Row],[Ruimte code]],"-",Ruimtestaat[[#This Row],[Frequentie weekend]]," ",Ruimtestaat[[#This Row],[Vloer code]]))</f>
        <v/>
      </c>
      <c r="BE839" s="300" t="str">
        <f>_xlfn.IFNA(VLOOKUP($BD839,Programma!$F$3:$G$1107,2,0),"")</f>
        <v/>
      </c>
      <c r="BF839" s="300" t="str">
        <f>_xlfn.IFNA(VLOOKUP($BD839,Programma!$F$3:$H$1107,3,0),"")</f>
        <v/>
      </c>
      <c r="BG839" s="300" t="str">
        <f>_xlfn.IFNA(VLOOKUP($BD839,Programma!$F$3:$I$1107,4,0),"")</f>
        <v/>
      </c>
      <c r="BH839" s="300" t="str">
        <f>_xlfn.IFNA(VLOOKUP($BD839,Programma!$F$3:$J$1107,5,0),"")</f>
        <v/>
      </c>
      <c r="BI839" s="300" t="str">
        <f>_xlfn.IFNA(VLOOKUP($BD839,Programma!$F$3:$K$1107,6,0),"")</f>
        <v/>
      </c>
      <c r="BJ839" s="300" t="str">
        <f>_xlfn.IFNA(VLOOKUP($BD839,Programma!$F$3:$L$1107,7,0),"")</f>
        <v/>
      </c>
      <c r="BK839" s="300" t="str">
        <f>_xlfn.IFNA(VLOOKUP($BD839,Programma!$F$3:$M$1107,8,0),"")</f>
        <v/>
      </c>
      <c r="BL839" s="300" t="str">
        <f>_xlfn.IFNA(VLOOKUP($BD839,Programma!$F$3:$N$1107,9,0),"")</f>
        <v/>
      </c>
      <c r="BM839" s="300" t="str">
        <f>_xlfn.IFNA(VLOOKUP($BD839,Programma!$F$3:$O$1107,10,0),"")</f>
        <v/>
      </c>
      <c r="BN839" s="300" t="str">
        <f>_xlfn.IFNA(VLOOKUP($BD839,Programma!$F$3:$P$1107,11,0),"")</f>
        <v/>
      </c>
      <c r="BO839" s="300" t="str">
        <f>_xlfn.IFNA(VLOOKUP($BD839,Programma!$F$3:$Q$1107,12,0),"")</f>
        <v/>
      </c>
      <c r="BP839" s="300" t="str">
        <f>_xlfn.IFNA(VLOOKUP($BD839,Programma!$F$3:$R$1107,13,0),"")</f>
        <v/>
      </c>
      <c r="BQ839" s="300" t="str">
        <f>_xlfn.IFNA(VLOOKUP($BD839,Programma!$F$3:$S$1107,14,0),"")</f>
        <v/>
      </c>
      <c r="BR839" s="300" t="str">
        <f>_xlfn.IFNA(VLOOKUP($BD839,Programma!$F$3:$T$1107,15,0),"")</f>
        <v/>
      </c>
      <c r="BS839" s="300" t="str">
        <f>_xlfn.IFNA(VLOOKUP($BD839,Programma!$F$3:$U$1107,16,0),"")</f>
        <v/>
      </c>
      <c r="BT839" s="300" t="str">
        <f>_xlfn.IFNA(VLOOKUP($BD839,Programma!$F$3:$V$1107,17,0),"")</f>
        <v/>
      </c>
      <c r="BU839" s="300" t="str">
        <f>_xlfn.IFNA(VLOOKUP($BD839,Programma!$F$3:$W$1107,18,0),"")</f>
        <v/>
      </c>
      <c r="BV839" s="300" t="str">
        <f>_xlfn.IFNA(VLOOKUP($BD839,Programma!$F$3:$X$1107,19,0),"")</f>
        <v/>
      </c>
      <c r="BW839" s="300" t="str">
        <f>_xlfn.IFNA(VLOOKUP($BD839,Programma!$F$3:$Y$1107,20,0),"")</f>
        <v/>
      </c>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c r="GK839" s="4"/>
      <c r="GL839" s="4"/>
      <c r="GM839" s="4"/>
      <c r="GN839" s="4"/>
      <c r="GO839" s="4"/>
      <c r="GP839" s="4"/>
      <c r="GQ839" s="4"/>
      <c r="GR839" s="4"/>
      <c r="GS839" s="4"/>
      <c r="GT839" s="4"/>
      <c r="GU839" s="4"/>
      <c r="GV839" s="4"/>
      <c r="GW839" s="4"/>
      <c r="GX839" s="4"/>
      <c r="GY839" s="4"/>
      <c r="GZ839" s="4"/>
      <c r="HA839" s="4"/>
      <c r="HB839" s="4"/>
      <c r="HC839" s="4"/>
      <c r="HD839" s="4"/>
      <c r="HE839" s="4"/>
      <c r="HF839" s="4"/>
      <c r="HG839" s="4"/>
      <c r="HH839" s="4"/>
      <c r="HI839" s="4"/>
      <c r="HJ839" s="4"/>
      <c r="HK839" s="4"/>
      <c r="HL839" s="4"/>
    </row>
    <row r="840" spans="1:220" ht="15" customHeight="1">
      <c r="A840" s="21">
        <v>8</v>
      </c>
      <c r="B840" s="157" t="str">
        <f>VLOOKUP(Ruimtestaat[[#This Row],[Code]],Locaties[[Code]:[Locatie]],2,FALSE)</f>
        <v>Dalton College</v>
      </c>
      <c r="C840" s="157" t="str">
        <f>VLOOKUP(Ruimtestaat[[#This Row],[Code]],Locaties[[#All],[Code]:[Adres]],4,FALSE)</f>
        <v>Loolaan 125</v>
      </c>
      <c r="D840" s="157" t="str">
        <f>VLOOKUP(Ruimtestaat[[#This Row],[Code]],Locaties[[#All],[Code]:[Postcode]],5,FALSE)</f>
        <v xml:space="preserve">2271 TM </v>
      </c>
      <c r="E840" s="157" t="str">
        <f>VLOOKUP(Ruimtestaat[[#This Row],[Code]],Locaties[#All],6,FALSE)</f>
        <v>Voorburg</v>
      </c>
      <c r="F840" s="62"/>
      <c r="G840" s="21" t="s">
        <v>1706</v>
      </c>
      <c r="H840" s="21" t="s">
        <v>1728</v>
      </c>
      <c r="I840" s="62" t="s">
        <v>1625</v>
      </c>
      <c r="J840" s="21">
        <v>6</v>
      </c>
      <c r="K840" s="62" t="str">
        <f>VLOOKUP(Ruimtestaat[[#This Row],[Ruimte code]],Ruimtegroepen[[#All],[Code]:[Ruimte omschrijving]],2,FALSE)</f>
        <v>Gangen/hallen</v>
      </c>
      <c r="L840" s="33" t="s">
        <v>101</v>
      </c>
      <c r="M840" s="367" t="s">
        <v>2495</v>
      </c>
      <c r="N840" s="140">
        <v>42</v>
      </c>
      <c r="O840" s="140"/>
      <c r="P840" s="125" t="str">
        <f>VLOOKUP(Ruimtestaat[[#This Row],[Ruimte code]],Ruimtegroepen[],4,FALSE)</f>
        <v>Ve</v>
      </c>
      <c r="R840" s="33">
        <v>40</v>
      </c>
      <c r="S840" s="33" t="s">
        <v>2</v>
      </c>
      <c r="T840" s="33">
        <f>IF(R840&gt;0,IF(RIGHT(Ruimtestaat[[#This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40" s="33">
        <f>IF(T840&gt;0,VLOOKUP($J840,Ruimtegroepen[],3,FALSE)*VLOOKUP($L840,Vloersoorten[],3,FALSE)*VLOOKUP($S840,Frequenties[],3,FALSE)*VLOOKUP($A840,Locaties[],3,FALSE),0)</f>
        <v>0</v>
      </c>
      <c r="V840" s="33">
        <f>Ruimtestaat[[#This Row],[Uitvoeringen werkdagen]]*Ruimtestaat[[#This Row],[Oppervlak (netto)]]</f>
        <v>8400</v>
      </c>
      <c r="W840" s="154">
        <f>IF(U840&gt;0,Ruimtestaat[[#This Row],[Prest. (m2 /jaar) werkdagen]]/Ruimtestaat[[#This Row],[Norm (m2/uur) werkdagen]],0)</f>
        <v>0</v>
      </c>
      <c r="X840" s="155">
        <f>Ruimtestaat[[#This Row],[uren / jaar werkdagen]]*Tariefsopbouw!$E$35</f>
        <v>0</v>
      </c>
      <c r="Y840" s="33"/>
      <c r="Z840" s="33">
        <f>IF(Ruimtestaat[[#This Row],[Frequentie weekend]]&gt;0,VALUE(LEFT(Y840,1))*R840,0)</f>
        <v>0</v>
      </c>
      <c r="AA840" s="97">
        <f>IF($Z840&gt;0,VLOOKUP($J840,Ruimtegroepen[],3,FALSE)*VLOOKUP($L840,Vloersoorten[],3,FALSE)*VLOOKUP($Y840,Frequenties[],3,FALSE)*VLOOKUP(Ruimtestaat[[#This Row],[Code]],Locaties[],3,FALSE),0)</f>
        <v>0</v>
      </c>
      <c r="AB840" s="97">
        <f>Ruimtestaat[[#This Row],[Uitvoeringen weekend]]*Ruimtestaat[[#This Row],[Oppervlak (netto)]]</f>
        <v>0</v>
      </c>
      <c r="AC840" s="97">
        <f>IF(AA840&gt;0,Ruimtestaat[[#This Row],[Prest. (m2 /jaar) weekend]]/Ruimtestaat[[#This Row],[Norm (m2/uur) weekend]],0)</f>
        <v>0</v>
      </c>
      <c r="AD840" s="155">
        <f>Ruimtestaat[[#This Row],[uren / jaar weekend]]*Tariefsopbouw!$D$40</f>
        <v>0</v>
      </c>
      <c r="AE840" s="154">
        <f>Ruimtestaat[[#This Row],[Prest. (m2 /jaar) weekend]]+Ruimtestaat[[#This Row],[Prest. (m2 /jaar) werkdagen]]</f>
        <v>8400</v>
      </c>
      <c r="AF840" s="154">
        <f>Ruimtestaat[[#This Row],[uren / jaar weekend]]+Ruimtestaat[[#This Row],[uren / jaar werkdagen]]</f>
        <v>0</v>
      </c>
      <c r="AG840" s="69">
        <f>Ruimtestaat[[#This Row],[kosten / jaar weekend]]+Ruimtestaat[[#This Row],[kosten / jaar werkdagen]]</f>
        <v>0</v>
      </c>
      <c r="AH840" s="69"/>
      <c r="AI840" s="256" t="str">
        <f>IF(Ruimtestaat[[#This Row],[Frequentie werkdagen]]="","",_xlfn.CONCAT(Ruimtestaat[[#This Row],[Ruimte code]],"-",Ruimtestaat[[#This Row],[Frequentie werkdagen]]," ",Ruimtestaat[[#This Row],[Vloer code]]))</f>
        <v>6-5w L</v>
      </c>
      <c r="AJ840" s="300" t="str">
        <f>_xlfn.IFNA(VLOOKUP($AI840,Programma!$F$3:$G$1107,2,0),"")</f>
        <v>_</v>
      </c>
      <c r="AK840" s="300" t="str">
        <f>_xlfn.IFNA(VLOOKUP($AI840,Programma!$F$3:$H$1107,3,0),"")</f>
        <v>_</v>
      </c>
      <c r="AL840" s="300" t="str">
        <f>_xlfn.IFNA(VLOOKUP($AI840,Programma!$F$3:$I$1107,4,0),"")</f>
        <v>_</v>
      </c>
      <c r="AM840" s="300" t="str">
        <f>_xlfn.IFNA(VLOOKUP($AI840,Programma!$F$3:$J$1107,5,0),"")</f>
        <v>5w</v>
      </c>
      <c r="AN840" s="300" t="str">
        <f>_xlfn.IFNA(VLOOKUP($AI840,Programma!$F$3:$K$1107,6,0),"")</f>
        <v>_</v>
      </c>
      <c r="AO840" s="300" t="str">
        <f>_xlfn.IFNA(VLOOKUP($AI840,Programma!$F$3:$L$1107,7,0),"")</f>
        <v>_</v>
      </c>
      <c r="AP840" s="300" t="str">
        <f>_xlfn.IFNA(VLOOKUP($AI840,Programma!$F$3:$M$1107,8,0),"")</f>
        <v>_</v>
      </c>
      <c r="AQ840" s="300" t="str">
        <f>_xlfn.IFNA(VLOOKUP($AI840,Programma!$F$3:$N$1107,9,0),"")</f>
        <v>_</v>
      </c>
      <c r="AR840" s="300" t="str">
        <f>_xlfn.IFNA(VLOOKUP($AI840,Programma!$F$3:$O$1107,10,0),"")</f>
        <v>5w</v>
      </c>
      <c r="AS840" s="300" t="str">
        <f>_xlfn.IFNA(VLOOKUP($AI840,Programma!$F$3:$P$1107,11,0),"")</f>
        <v>5w</v>
      </c>
      <c r="AT840" s="300" t="str">
        <f>_xlfn.IFNA(VLOOKUP($AI840,Programma!$F$3:$Q$1107,12,0),"")</f>
        <v>1w</v>
      </c>
      <c r="AU840" s="300" t="str">
        <f>_xlfn.IFNA(VLOOKUP($AI840,Programma!$F$3:$R$1107,13,0),"")</f>
        <v>1w</v>
      </c>
      <c r="AV840" s="300" t="str">
        <f>_xlfn.IFNA(VLOOKUP($AI840,Programma!$F$3:$S$1107,14,0),"")</f>
        <v>1m</v>
      </c>
      <c r="AW840" s="300" t="str">
        <f>_xlfn.IFNA(VLOOKUP($AI840,Programma!$F$3:$T$1107,15,0),"")</f>
        <v>2j</v>
      </c>
      <c r="AX840" s="300" t="str">
        <f>_xlfn.IFNA(VLOOKUP($AI840,Programma!$F$3:$U$1107,16,0),"")</f>
        <v>1j</v>
      </c>
      <c r="AY840" s="300" t="str">
        <f>_xlfn.IFNA(VLOOKUP($AI840,Programma!$F$3:$V$1107,17,0),"")</f>
        <v>_</v>
      </c>
      <c r="AZ840" s="300" t="str">
        <f>_xlfn.IFNA(VLOOKUP($AI840,Programma!$F$3:$W$1107,18,0),"")</f>
        <v>_</v>
      </c>
      <c r="BA840" s="300" t="str">
        <f>_xlfn.IFNA(VLOOKUP($AI840,Programma!$F$3:$X$1107,19,0),"")</f>
        <v>_</v>
      </c>
      <c r="BB840" s="300" t="str">
        <f>_xlfn.IFNA(VLOOKUP($AI840,Programma!$F$3:$Y$1107,20,0),"")</f>
        <v>_</v>
      </c>
      <c r="BC840" s="257"/>
      <c r="BD840" s="256" t="str">
        <f>IF(Ruimtestaat[[#This Row],[Frequentie weekend]]="","",_xlfn.CONCAT(Ruimtestaat[[#This Row],[Ruimte code]],"-",Ruimtestaat[[#This Row],[Frequentie weekend]]," ",Ruimtestaat[[#This Row],[Vloer code]]))</f>
        <v/>
      </c>
      <c r="BE840" s="300" t="str">
        <f>_xlfn.IFNA(VLOOKUP($BD840,Programma!$F$3:$G$1107,2,0),"")</f>
        <v/>
      </c>
      <c r="BF840" s="300" t="str">
        <f>_xlfn.IFNA(VLOOKUP($BD840,Programma!$F$3:$H$1107,3,0),"")</f>
        <v/>
      </c>
      <c r="BG840" s="300" t="str">
        <f>_xlfn.IFNA(VLOOKUP($BD840,Programma!$F$3:$I$1107,4,0),"")</f>
        <v/>
      </c>
      <c r="BH840" s="300" t="str">
        <f>_xlfn.IFNA(VLOOKUP($BD840,Programma!$F$3:$J$1107,5,0),"")</f>
        <v/>
      </c>
      <c r="BI840" s="300" t="str">
        <f>_xlfn.IFNA(VLOOKUP($BD840,Programma!$F$3:$K$1107,6,0),"")</f>
        <v/>
      </c>
      <c r="BJ840" s="300" t="str">
        <f>_xlfn.IFNA(VLOOKUP($BD840,Programma!$F$3:$L$1107,7,0),"")</f>
        <v/>
      </c>
      <c r="BK840" s="300" t="str">
        <f>_xlfn.IFNA(VLOOKUP($BD840,Programma!$F$3:$M$1107,8,0),"")</f>
        <v/>
      </c>
      <c r="BL840" s="300" t="str">
        <f>_xlfn.IFNA(VLOOKUP($BD840,Programma!$F$3:$N$1107,9,0),"")</f>
        <v/>
      </c>
      <c r="BM840" s="300" t="str">
        <f>_xlfn.IFNA(VLOOKUP($BD840,Programma!$F$3:$O$1107,10,0),"")</f>
        <v/>
      </c>
      <c r="BN840" s="300" t="str">
        <f>_xlfn.IFNA(VLOOKUP($BD840,Programma!$F$3:$P$1107,11,0),"")</f>
        <v/>
      </c>
      <c r="BO840" s="300" t="str">
        <f>_xlfn.IFNA(VLOOKUP($BD840,Programma!$F$3:$Q$1107,12,0),"")</f>
        <v/>
      </c>
      <c r="BP840" s="300" t="str">
        <f>_xlfn.IFNA(VLOOKUP($BD840,Programma!$F$3:$R$1107,13,0),"")</f>
        <v/>
      </c>
      <c r="BQ840" s="300" t="str">
        <f>_xlfn.IFNA(VLOOKUP($BD840,Programma!$F$3:$S$1107,14,0),"")</f>
        <v/>
      </c>
      <c r="BR840" s="300" t="str">
        <f>_xlfn.IFNA(VLOOKUP($BD840,Programma!$F$3:$T$1107,15,0),"")</f>
        <v/>
      </c>
      <c r="BS840" s="300" t="str">
        <f>_xlfn.IFNA(VLOOKUP($BD840,Programma!$F$3:$U$1107,16,0),"")</f>
        <v/>
      </c>
      <c r="BT840" s="300" t="str">
        <f>_xlfn.IFNA(VLOOKUP($BD840,Programma!$F$3:$V$1107,17,0),"")</f>
        <v/>
      </c>
      <c r="BU840" s="300" t="str">
        <f>_xlfn.IFNA(VLOOKUP($BD840,Programma!$F$3:$W$1107,18,0),"")</f>
        <v/>
      </c>
      <c r="BV840" s="300" t="str">
        <f>_xlfn.IFNA(VLOOKUP($BD840,Programma!$F$3:$X$1107,19,0),"")</f>
        <v/>
      </c>
      <c r="BW840" s="300" t="str">
        <f>_xlfn.IFNA(VLOOKUP($BD840,Programma!$F$3:$Y$1107,20,0),"")</f>
        <v/>
      </c>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c r="GK840" s="4"/>
      <c r="GL840" s="4"/>
      <c r="GM840" s="4"/>
      <c r="GN840" s="4"/>
      <c r="GO840" s="4"/>
      <c r="GP840" s="4"/>
      <c r="GQ840" s="4"/>
      <c r="GR840" s="4"/>
      <c r="GS840" s="4"/>
      <c r="GT840" s="4"/>
      <c r="GU840" s="4"/>
      <c r="GV840" s="4"/>
      <c r="GW840" s="4"/>
      <c r="GX840" s="4"/>
      <c r="GY840" s="4"/>
      <c r="GZ840" s="4"/>
      <c r="HA840" s="4"/>
      <c r="HB840" s="4"/>
      <c r="HC840" s="4"/>
      <c r="HD840" s="4"/>
      <c r="HE840" s="4"/>
      <c r="HF840" s="4"/>
      <c r="HG840" s="4"/>
      <c r="HH840" s="4"/>
      <c r="HI840" s="4"/>
      <c r="HJ840" s="4"/>
      <c r="HK840" s="4"/>
      <c r="HL840" s="4"/>
    </row>
    <row r="841" spans="1:220" ht="15" customHeight="1">
      <c r="A841" s="21">
        <v>8</v>
      </c>
      <c r="B841" s="157" t="str">
        <f>VLOOKUP(Ruimtestaat[[#This Row],[Code]],Locaties[[Code]:[Locatie]],2,FALSE)</f>
        <v>Dalton College</v>
      </c>
      <c r="C841" s="157" t="str">
        <f>VLOOKUP(Ruimtestaat[[#This Row],[Code]],Locaties[[#All],[Code]:[Adres]],4,FALSE)</f>
        <v>Loolaan 125</v>
      </c>
      <c r="D841" s="157" t="str">
        <f>VLOOKUP(Ruimtestaat[[#This Row],[Code]],Locaties[[#All],[Code]:[Postcode]],5,FALSE)</f>
        <v xml:space="preserve">2271 TM </v>
      </c>
      <c r="E841" s="157" t="str">
        <f>VLOOKUP(Ruimtestaat[[#This Row],[Code]],Locaties[#All],6,FALSE)</f>
        <v>Voorburg</v>
      </c>
      <c r="F841" s="62"/>
      <c r="G841" s="21" t="s">
        <v>1706</v>
      </c>
      <c r="H841" s="21" t="s">
        <v>1730</v>
      </c>
      <c r="I841" s="62" t="s">
        <v>2309</v>
      </c>
      <c r="J841" s="21">
        <v>4</v>
      </c>
      <c r="K841" s="62" t="str">
        <f>VLOOKUP(Ruimtestaat[[#This Row],[Ruimte code]],Ruimtegroepen[[#All],[Code]:[Ruimte omschrijving]],2,FALSE)</f>
        <v>Vergader/spreekkamers</v>
      </c>
      <c r="L841" s="33" t="s">
        <v>101</v>
      </c>
      <c r="M841" s="367" t="s">
        <v>2495</v>
      </c>
      <c r="N841" s="140">
        <v>15</v>
      </c>
      <c r="O841" s="140"/>
      <c r="P841" s="125" t="str">
        <f>VLOOKUP(Ruimtestaat[[#This Row],[Ruimte code]],Ruimtegroepen[],4,FALSE)</f>
        <v>Bu</v>
      </c>
      <c r="R841" s="33">
        <v>40</v>
      </c>
      <c r="S841" s="33" t="s">
        <v>18</v>
      </c>
      <c r="T841" s="33">
        <f>IF(R841&gt;0,IF(RIGHT(Ruimtestaat[[#This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841" s="33">
        <f>IF(T841&gt;0,VLOOKUP($J841,Ruimtegroepen[],3,FALSE)*VLOOKUP($L841,Vloersoorten[],3,FALSE)*VLOOKUP($S841,Frequenties[],3,FALSE)*VLOOKUP($A841,Locaties[],3,FALSE),0)</f>
        <v>0</v>
      </c>
      <c r="V841" s="33">
        <f>Ruimtestaat[[#This Row],[Uitvoeringen werkdagen]]*Ruimtestaat[[#This Row],[Oppervlak (netto)]]</f>
        <v>1800</v>
      </c>
      <c r="W841" s="154">
        <f>IF(U841&gt;0,Ruimtestaat[[#This Row],[Prest. (m2 /jaar) werkdagen]]/Ruimtestaat[[#This Row],[Norm (m2/uur) werkdagen]],0)</f>
        <v>0</v>
      </c>
      <c r="X841" s="155">
        <f>Ruimtestaat[[#This Row],[uren / jaar werkdagen]]*Tariefsopbouw!$E$35</f>
        <v>0</v>
      </c>
      <c r="Y841" s="33"/>
      <c r="Z841" s="33">
        <f>IF(Ruimtestaat[[#This Row],[Frequentie weekend]]&gt;0,VALUE(LEFT(Y841,1))*R841,0)</f>
        <v>0</v>
      </c>
      <c r="AA841" s="97">
        <f>IF($Z841&gt;0,VLOOKUP($J841,Ruimtegroepen[],3,FALSE)*VLOOKUP($L841,Vloersoorten[],3,FALSE)*VLOOKUP($Y841,Frequenties[],3,FALSE)*VLOOKUP(Ruimtestaat[[#This Row],[Code]],Locaties[],3,FALSE),0)</f>
        <v>0</v>
      </c>
      <c r="AB841" s="97">
        <f>Ruimtestaat[[#This Row],[Uitvoeringen weekend]]*Ruimtestaat[[#This Row],[Oppervlak (netto)]]</f>
        <v>0</v>
      </c>
      <c r="AC841" s="97">
        <f>IF(AA841&gt;0,Ruimtestaat[[#This Row],[Prest. (m2 /jaar) weekend]]/Ruimtestaat[[#This Row],[Norm (m2/uur) weekend]],0)</f>
        <v>0</v>
      </c>
      <c r="AD841" s="155">
        <f>Ruimtestaat[[#This Row],[uren / jaar weekend]]*Tariefsopbouw!$D$40</f>
        <v>0</v>
      </c>
      <c r="AE841" s="154">
        <f>Ruimtestaat[[#This Row],[Prest. (m2 /jaar) weekend]]+Ruimtestaat[[#This Row],[Prest. (m2 /jaar) werkdagen]]</f>
        <v>1800</v>
      </c>
      <c r="AF841" s="154">
        <f>Ruimtestaat[[#This Row],[uren / jaar weekend]]+Ruimtestaat[[#This Row],[uren / jaar werkdagen]]</f>
        <v>0</v>
      </c>
      <c r="AG841" s="69">
        <f>Ruimtestaat[[#This Row],[kosten / jaar weekend]]+Ruimtestaat[[#This Row],[kosten / jaar werkdagen]]</f>
        <v>0</v>
      </c>
      <c r="AH841" s="69"/>
      <c r="AI841" s="256" t="str">
        <f>IF(Ruimtestaat[[#This Row],[Frequentie werkdagen]]="","",_xlfn.CONCAT(Ruimtestaat[[#This Row],[Ruimte code]],"-",Ruimtestaat[[#This Row],[Frequentie werkdagen]]," ",Ruimtestaat[[#This Row],[Vloer code]]))</f>
        <v>4-3w L</v>
      </c>
      <c r="AJ841" s="300" t="str">
        <f>_xlfn.IFNA(VLOOKUP($AI841,Programma!$F$3:$G$1107,2,0),"")</f>
        <v>_</v>
      </c>
      <c r="AK841" s="300" t="str">
        <f>_xlfn.IFNA(VLOOKUP($AI841,Programma!$F$3:$H$1107,3,0),"")</f>
        <v>_</v>
      </c>
      <c r="AL841" s="300" t="str">
        <f>_xlfn.IFNA(VLOOKUP($AI841,Programma!$F$3:$I$1107,4,0),"")</f>
        <v>2w</v>
      </c>
      <c r="AM841" s="300" t="str">
        <f>_xlfn.IFNA(VLOOKUP($AI841,Programma!$F$3:$J$1107,5,0),"")</f>
        <v>1w</v>
      </c>
      <c r="AN841" s="300" t="str">
        <f>_xlfn.IFNA(VLOOKUP($AI841,Programma!$F$3:$K$1107,6,0),"")</f>
        <v>_</v>
      </c>
      <c r="AO841" s="300" t="str">
        <f>_xlfn.IFNA(VLOOKUP($AI841,Programma!$F$3:$L$1107,7,0),"")</f>
        <v>_</v>
      </c>
      <c r="AP841" s="300" t="str">
        <f>_xlfn.IFNA(VLOOKUP($AI841,Programma!$F$3:$M$1107,8,0),"")</f>
        <v>_</v>
      </c>
      <c r="AQ841" s="300" t="str">
        <f>_xlfn.IFNA(VLOOKUP($AI841,Programma!$F$3:$N$1107,9,0),"")</f>
        <v>_</v>
      </c>
      <c r="AR841" s="300" t="str">
        <f>_xlfn.IFNA(VLOOKUP($AI841,Programma!$F$3:$O$1107,10,0),"")</f>
        <v>3w</v>
      </c>
      <c r="AS841" s="300" t="str">
        <f>_xlfn.IFNA(VLOOKUP($AI841,Programma!$F$3:$P$1107,11,0),"")</f>
        <v>3w</v>
      </c>
      <c r="AT841" s="300" t="str">
        <f>_xlfn.IFNA(VLOOKUP($AI841,Programma!$F$3:$Q$1107,12,0),"")</f>
        <v>1w</v>
      </c>
      <c r="AU841" s="300" t="str">
        <f>_xlfn.IFNA(VLOOKUP($AI841,Programma!$F$3:$R$1107,13,0),"")</f>
        <v>1w</v>
      </c>
      <c r="AV841" s="300" t="str">
        <f>_xlfn.IFNA(VLOOKUP($AI841,Programma!$F$3:$S$1107,14,0),"")</f>
        <v>1m</v>
      </c>
      <c r="AW841" s="300" t="str">
        <f>_xlfn.IFNA(VLOOKUP($AI841,Programma!$F$3:$T$1107,15,0),"")</f>
        <v>2j</v>
      </c>
      <c r="AX841" s="300" t="str">
        <f>_xlfn.IFNA(VLOOKUP($AI841,Programma!$F$3:$U$1107,16,0),"")</f>
        <v>1j</v>
      </c>
      <c r="AY841" s="300" t="str">
        <f>_xlfn.IFNA(VLOOKUP($AI841,Programma!$F$3:$V$1107,17,0),"")</f>
        <v>_</v>
      </c>
      <c r="AZ841" s="300" t="str">
        <f>_xlfn.IFNA(VLOOKUP($AI841,Programma!$F$3:$W$1107,18,0),"")</f>
        <v>_</v>
      </c>
      <c r="BA841" s="300" t="str">
        <f>_xlfn.IFNA(VLOOKUP($AI841,Programma!$F$3:$X$1107,19,0),"")</f>
        <v>_</v>
      </c>
      <c r="BB841" s="300" t="str">
        <f>_xlfn.IFNA(VLOOKUP($AI841,Programma!$F$3:$Y$1107,20,0),"")</f>
        <v>_</v>
      </c>
      <c r="BC841" s="257"/>
      <c r="BD841" s="256" t="str">
        <f>IF(Ruimtestaat[[#This Row],[Frequentie weekend]]="","",_xlfn.CONCAT(Ruimtestaat[[#This Row],[Ruimte code]],"-",Ruimtestaat[[#This Row],[Frequentie weekend]]," ",Ruimtestaat[[#This Row],[Vloer code]]))</f>
        <v/>
      </c>
      <c r="BE841" s="300" t="str">
        <f>_xlfn.IFNA(VLOOKUP($BD841,Programma!$F$3:$G$1107,2,0),"")</f>
        <v/>
      </c>
      <c r="BF841" s="300" t="str">
        <f>_xlfn.IFNA(VLOOKUP($BD841,Programma!$F$3:$H$1107,3,0),"")</f>
        <v/>
      </c>
      <c r="BG841" s="300" t="str">
        <f>_xlfn.IFNA(VLOOKUP($BD841,Programma!$F$3:$I$1107,4,0),"")</f>
        <v/>
      </c>
      <c r="BH841" s="300" t="str">
        <f>_xlfn.IFNA(VLOOKUP($BD841,Programma!$F$3:$J$1107,5,0),"")</f>
        <v/>
      </c>
      <c r="BI841" s="300" t="str">
        <f>_xlfn.IFNA(VLOOKUP($BD841,Programma!$F$3:$K$1107,6,0),"")</f>
        <v/>
      </c>
      <c r="BJ841" s="300" t="str">
        <f>_xlfn.IFNA(VLOOKUP($BD841,Programma!$F$3:$L$1107,7,0),"")</f>
        <v/>
      </c>
      <c r="BK841" s="300" t="str">
        <f>_xlfn.IFNA(VLOOKUP($BD841,Programma!$F$3:$M$1107,8,0),"")</f>
        <v/>
      </c>
      <c r="BL841" s="300" t="str">
        <f>_xlfn.IFNA(VLOOKUP($BD841,Programma!$F$3:$N$1107,9,0),"")</f>
        <v/>
      </c>
      <c r="BM841" s="300" t="str">
        <f>_xlfn.IFNA(VLOOKUP($BD841,Programma!$F$3:$O$1107,10,0),"")</f>
        <v/>
      </c>
      <c r="BN841" s="300" t="str">
        <f>_xlfn.IFNA(VLOOKUP($BD841,Programma!$F$3:$P$1107,11,0),"")</f>
        <v/>
      </c>
      <c r="BO841" s="300" t="str">
        <f>_xlfn.IFNA(VLOOKUP($BD841,Programma!$F$3:$Q$1107,12,0),"")</f>
        <v/>
      </c>
      <c r="BP841" s="300" t="str">
        <f>_xlfn.IFNA(VLOOKUP($BD841,Programma!$F$3:$R$1107,13,0),"")</f>
        <v/>
      </c>
      <c r="BQ841" s="300" t="str">
        <f>_xlfn.IFNA(VLOOKUP($BD841,Programma!$F$3:$S$1107,14,0),"")</f>
        <v/>
      </c>
      <c r="BR841" s="300" t="str">
        <f>_xlfn.IFNA(VLOOKUP($BD841,Programma!$F$3:$T$1107,15,0),"")</f>
        <v/>
      </c>
      <c r="BS841" s="300" t="str">
        <f>_xlfn.IFNA(VLOOKUP($BD841,Programma!$F$3:$U$1107,16,0),"")</f>
        <v/>
      </c>
      <c r="BT841" s="300" t="str">
        <f>_xlfn.IFNA(VLOOKUP($BD841,Programma!$F$3:$V$1107,17,0),"")</f>
        <v/>
      </c>
      <c r="BU841" s="300" t="str">
        <f>_xlfn.IFNA(VLOOKUP($BD841,Programma!$F$3:$W$1107,18,0),"")</f>
        <v/>
      </c>
      <c r="BV841" s="300" t="str">
        <f>_xlfn.IFNA(VLOOKUP($BD841,Programma!$F$3:$X$1107,19,0),"")</f>
        <v/>
      </c>
      <c r="BW841" s="300" t="str">
        <f>_xlfn.IFNA(VLOOKUP($BD841,Programma!$F$3:$Y$1107,20,0),"")</f>
        <v/>
      </c>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c r="GK841" s="4"/>
      <c r="GL841" s="4"/>
      <c r="GM841" s="4"/>
      <c r="GN841" s="4"/>
      <c r="GO841" s="4"/>
      <c r="GP841" s="4"/>
      <c r="GQ841" s="4"/>
      <c r="GR841" s="4"/>
      <c r="GS841" s="4"/>
      <c r="GT841" s="4"/>
      <c r="GU841" s="4"/>
      <c r="GV841" s="4"/>
      <c r="GW841" s="4"/>
      <c r="GX841" s="4"/>
      <c r="GY841" s="4"/>
      <c r="GZ841" s="4"/>
      <c r="HA841" s="4"/>
      <c r="HB841" s="4"/>
      <c r="HC841" s="4"/>
      <c r="HD841" s="4"/>
      <c r="HE841" s="4"/>
      <c r="HF841" s="4"/>
      <c r="HG841" s="4"/>
      <c r="HH841" s="4"/>
      <c r="HI841" s="4"/>
      <c r="HJ841" s="4"/>
      <c r="HK841" s="4"/>
      <c r="HL841" s="4"/>
    </row>
    <row r="842" spans="1:220" ht="15" customHeight="1">
      <c r="A842" s="21">
        <v>8</v>
      </c>
      <c r="B842" s="157" t="str">
        <f>VLOOKUP(Ruimtestaat[[#This Row],[Code]],Locaties[[Code]:[Locatie]],2,FALSE)</f>
        <v>Dalton College</v>
      </c>
      <c r="C842" s="157" t="str">
        <f>VLOOKUP(Ruimtestaat[[#This Row],[Code]],Locaties[[#All],[Code]:[Adres]],4,FALSE)</f>
        <v>Loolaan 125</v>
      </c>
      <c r="D842" s="157" t="str">
        <f>VLOOKUP(Ruimtestaat[[#This Row],[Code]],Locaties[[#All],[Code]:[Postcode]],5,FALSE)</f>
        <v xml:space="preserve">2271 TM </v>
      </c>
      <c r="E842" s="157" t="str">
        <f>VLOOKUP(Ruimtestaat[[#This Row],[Code]],Locaties[#All],6,FALSE)</f>
        <v>Voorburg</v>
      </c>
      <c r="F842" s="62"/>
      <c r="G842" s="21" t="s">
        <v>1706</v>
      </c>
      <c r="H842" s="21" t="s">
        <v>1732</v>
      </c>
      <c r="I842" s="62" t="s">
        <v>2310</v>
      </c>
      <c r="J842" s="21">
        <v>4</v>
      </c>
      <c r="K842" s="62" t="str">
        <f>VLOOKUP(Ruimtestaat[[#This Row],[Ruimte code]],Ruimtegroepen[[#All],[Code]:[Ruimte omschrijving]],2,FALSE)</f>
        <v>Vergader/spreekkamers</v>
      </c>
      <c r="L842" s="33" t="s">
        <v>101</v>
      </c>
      <c r="M842" s="367" t="s">
        <v>2495</v>
      </c>
      <c r="N842" s="140">
        <v>30</v>
      </c>
      <c r="O842" s="140"/>
      <c r="P842" s="125" t="str">
        <f>VLOOKUP(Ruimtestaat[[#This Row],[Ruimte code]],Ruimtegroepen[],4,FALSE)</f>
        <v>Bu</v>
      </c>
      <c r="R842" s="33">
        <v>40</v>
      </c>
      <c r="S842" s="33" t="s">
        <v>18</v>
      </c>
      <c r="T842" s="33">
        <f>IF(R842&gt;0,IF(RIGHT(Ruimtestaat[[#This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842" s="33">
        <f>IF(T842&gt;0,VLOOKUP($J842,Ruimtegroepen[],3,FALSE)*VLOOKUP($L842,Vloersoorten[],3,FALSE)*VLOOKUP($S842,Frequenties[],3,FALSE)*VLOOKUP($A842,Locaties[],3,FALSE),0)</f>
        <v>0</v>
      </c>
      <c r="V842" s="33">
        <f>Ruimtestaat[[#This Row],[Uitvoeringen werkdagen]]*Ruimtestaat[[#This Row],[Oppervlak (netto)]]</f>
        <v>3600</v>
      </c>
      <c r="W842" s="154">
        <f>IF(U842&gt;0,Ruimtestaat[[#This Row],[Prest. (m2 /jaar) werkdagen]]/Ruimtestaat[[#This Row],[Norm (m2/uur) werkdagen]],0)</f>
        <v>0</v>
      </c>
      <c r="X842" s="155">
        <f>Ruimtestaat[[#This Row],[uren / jaar werkdagen]]*Tariefsopbouw!$E$35</f>
        <v>0</v>
      </c>
      <c r="Y842" s="33"/>
      <c r="Z842" s="33">
        <f>IF(Ruimtestaat[[#This Row],[Frequentie weekend]]&gt;0,VALUE(LEFT(Y842,1))*R842,0)</f>
        <v>0</v>
      </c>
      <c r="AA842" s="97">
        <f>IF($Z842&gt;0,VLOOKUP($J842,Ruimtegroepen[],3,FALSE)*VLOOKUP($L842,Vloersoorten[],3,FALSE)*VLOOKUP($Y842,Frequenties[],3,FALSE)*VLOOKUP(Ruimtestaat[[#This Row],[Code]],Locaties[],3,FALSE),0)</f>
        <v>0</v>
      </c>
      <c r="AB842" s="97">
        <f>Ruimtestaat[[#This Row],[Uitvoeringen weekend]]*Ruimtestaat[[#This Row],[Oppervlak (netto)]]</f>
        <v>0</v>
      </c>
      <c r="AC842" s="97">
        <f>IF(AA842&gt;0,Ruimtestaat[[#This Row],[Prest. (m2 /jaar) weekend]]/Ruimtestaat[[#This Row],[Norm (m2/uur) weekend]],0)</f>
        <v>0</v>
      </c>
      <c r="AD842" s="155">
        <f>Ruimtestaat[[#This Row],[uren / jaar weekend]]*Tariefsopbouw!$D$40</f>
        <v>0</v>
      </c>
      <c r="AE842" s="154">
        <f>Ruimtestaat[[#This Row],[Prest. (m2 /jaar) weekend]]+Ruimtestaat[[#This Row],[Prest. (m2 /jaar) werkdagen]]</f>
        <v>3600</v>
      </c>
      <c r="AF842" s="154">
        <f>Ruimtestaat[[#This Row],[uren / jaar weekend]]+Ruimtestaat[[#This Row],[uren / jaar werkdagen]]</f>
        <v>0</v>
      </c>
      <c r="AG842" s="69">
        <f>Ruimtestaat[[#This Row],[kosten / jaar weekend]]+Ruimtestaat[[#This Row],[kosten / jaar werkdagen]]</f>
        <v>0</v>
      </c>
      <c r="AH842" s="69"/>
      <c r="AI842" s="256" t="str">
        <f>IF(Ruimtestaat[[#This Row],[Frequentie werkdagen]]="","",_xlfn.CONCAT(Ruimtestaat[[#This Row],[Ruimte code]],"-",Ruimtestaat[[#This Row],[Frequentie werkdagen]]," ",Ruimtestaat[[#This Row],[Vloer code]]))</f>
        <v>4-3w L</v>
      </c>
      <c r="AJ842" s="300" t="str">
        <f>_xlfn.IFNA(VLOOKUP($AI842,Programma!$F$3:$G$1107,2,0),"")</f>
        <v>_</v>
      </c>
      <c r="AK842" s="300" t="str">
        <f>_xlfn.IFNA(VLOOKUP($AI842,Programma!$F$3:$H$1107,3,0),"")</f>
        <v>_</v>
      </c>
      <c r="AL842" s="300" t="str">
        <f>_xlfn.IFNA(VLOOKUP($AI842,Programma!$F$3:$I$1107,4,0),"")</f>
        <v>2w</v>
      </c>
      <c r="AM842" s="300" t="str">
        <f>_xlfn.IFNA(VLOOKUP($AI842,Programma!$F$3:$J$1107,5,0),"")</f>
        <v>1w</v>
      </c>
      <c r="AN842" s="300" t="str">
        <f>_xlfn.IFNA(VLOOKUP($AI842,Programma!$F$3:$K$1107,6,0),"")</f>
        <v>_</v>
      </c>
      <c r="AO842" s="300" t="str">
        <f>_xlfn.IFNA(VLOOKUP($AI842,Programma!$F$3:$L$1107,7,0),"")</f>
        <v>_</v>
      </c>
      <c r="AP842" s="300" t="str">
        <f>_xlfn.IFNA(VLOOKUP($AI842,Programma!$F$3:$M$1107,8,0),"")</f>
        <v>_</v>
      </c>
      <c r="AQ842" s="300" t="str">
        <f>_xlfn.IFNA(VLOOKUP($AI842,Programma!$F$3:$N$1107,9,0),"")</f>
        <v>_</v>
      </c>
      <c r="AR842" s="300" t="str">
        <f>_xlfn.IFNA(VLOOKUP($AI842,Programma!$F$3:$O$1107,10,0),"")</f>
        <v>3w</v>
      </c>
      <c r="AS842" s="300" t="str">
        <f>_xlfn.IFNA(VLOOKUP($AI842,Programma!$F$3:$P$1107,11,0),"")</f>
        <v>3w</v>
      </c>
      <c r="AT842" s="300" t="str">
        <f>_xlfn.IFNA(VLOOKUP($AI842,Programma!$F$3:$Q$1107,12,0),"")</f>
        <v>1w</v>
      </c>
      <c r="AU842" s="300" t="str">
        <f>_xlfn.IFNA(VLOOKUP($AI842,Programma!$F$3:$R$1107,13,0),"")</f>
        <v>1w</v>
      </c>
      <c r="AV842" s="300" t="str">
        <f>_xlfn.IFNA(VLOOKUP($AI842,Programma!$F$3:$S$1107,14,0),"")</f>
        <v>1m</v>
      </c>
      <c r="AW842" s="300" t="str">
        <f>_xlfn.IFNA(VLOOKUP($AI842,Programma!$F$3:$T$1107,15,0),"")</f>
        <v>2j</v>
      </c>
      <c r="AX842" s="300" t="str">
        <f>_xlfn.IFNA(VLOOKUP($AI842,Programma!$F$3:$U$1107,16,0),"")</f>
        <v>1j</v>
      </c>
      <c r="AY842" s="300" t="str">
        <f>_xlfn.IFNA(VLOOKUP($AI842,Programma!$F$3:$V$1107,17,0),"")</f>
        <v>_</v>
      </c>
      <c r="AZ842" s="300" t="str">
        <f>_xlfn.IFNA(VLOOKUP($AI842,Programma!$F$3:$W$1107,18,0),"")</f>
        <v>_</v>
      </c>
      <c r="BA842" s="300" t="str">
        <f>_xlfn.IFNA(VLOOKUP($AI842,Programma!$F$3:$X$1107,19,0),"")</f>
        <v>_</v>
      </c>
      <c r="BB842" s="300" t="str">
        <f>_xlfn.IFNA(VLOOKUP($AI842,Programma!$F$3:$Y$1107,20,0),"")</f>
        <v>_</v>
      </c>
      <c r="BC842" s="257"/>
      <c r="BD842" s="256" t="str">
        <f>IF(Ruimtestaat[[#This Row],[Frequentie weekend]]="","",_xlfn.CONCAT(Ruimtestaat[[#This Row],[Ruimte code]],"-",Ruimtestaat[[#This Row],[Frequentie weekend]]," ",Ruimtestaat[[#This Row],[Vloer code]]))</f>
        <v/>
      </c>
      <c r="BE842" s="300" t="str">
        <f>_xlfn.IFNA(VLOOKUP($BD842,Programma!$F$3:$G$1107,2,0),"")</f>
        <v/>
      </c>
      <c r="BF842" s="300" t="str">
        <f>_xlfn.IFNA(VLOOKUP($BD842,Programma!$F$3:$H$1107,3,0),"")</f>
        <v/>
      </c>
      <c r="BG842" s="300" t="str">
        <f>_xlfn.IFNA(VLOOKUP($BD842,Programma!$F$3:$I$1107,4,0),"")</f>
        <v/>
      </c>
      <c r="BH842" s="300" t="str">
        <f>_xlfn.IFNA(VLOOKUP($BD842,Programma!$F$3:$J$1107,5,0),"")</f>
        <v/>
      </c>
      <c r="BI842" s="300" t="str">
        <f>_xlfn.IFNA(VLOOKUP($BD842,Programma!$F$3:$K$1107,6,0),"")</f>
        <v/>
      </c>
      <c r="BJ842" s="300" t="str">
        <f>_xlfn.IFNA(VLOOKUP($BD842,Programma!$F$3:$L$1107,7,0),"")</f>
        <v/>
      </c>
      <c r="BK842" s="300" t="str">
        <f>_xlfn.IFNA(VLOOKUP($BD842,Programma!$F$3:$M$1107,8,0),"")</f>
        <v/>
      </c>
      <c r="BL842" s="300" t="str">
        <f>_xlfn.IFNA(VLOOKUP($BD842,Programma!$F$3:$N$1107,9,0),"")</f>
        <v/>
      </c>
      <c r="BM842" s="300" t="str">
        <f>_xlfn.IFNA(VLOOKUP($BD842,Programma!$F$3:$O$1107,10,0),"")</f>
        <v/>
      </c>
      <c r="BN842" s="300" t="str">
        <f>_xlfn.IFNA(VLOOKUP($BD842,Programma!$F$3:$P$1107,11,0),"")</f>
        <v/>
      </c>
      <c r="BO842" s="300" t="str">
        <f>_xlfn.IFNA(VLOOKUP($BD842,Programma!$F$3:$Q$1107,12,0),"")</f>
        <v/>
      </c>
      <c r="BP842" s="300" t="str">
        <f>_xlfn.IFNA(VLOOKUP($BD842,Programma!$F$3:$R$1107,13,0),"")</f>
        <v/>
      </c>
      <c r="BQ842" s="300" t="str">
        <f>_xlfn.IFNA(VLOOKUP($BD842,Programma!$F$3:$S$1107,14,0),"")</f>
        <v/>
      </c>
      <c r="BR842" s="300" t="str">
        <f>_xlfn.IFNA(VLOOKUP($BD842,Programma!$F$3:$T$1107,15,0),"")</f>
        <v/>
      </c>
      <c r="BS842" s="300" t="str">
        <f>_xlfn.IFNA(VLOOKUP($BD842,Programma!$F$3:$U$1107,16,0),"")</f>
        <v/>
      </c>
      <c r="BT842" s="300" t="str">
        <f>_xlfn.IFNA(VLOOKUP($BD842,Programma!$F$3:$V$1107,17,0),"")</f>
        <v/>
      </c>
      <c r="BU842" s="300" t="str">
        <f>_xlfn.IFNA(VLOOKUP($BD842,Programma!$F$3:$W$1107,18,0),"")</f>
        <v/>
      </c>
      <c r="BV842" s="300" t="str">
        <f>_xlfn.IFNA(VLOOKUP($BD842,Programma!$F$3:$X$1107,19,0),"")</f>
        <v/>
      </c>
      <c r="BW842" s="300" t="str">
        <f>_xlfn.IFNA(VLOOKUP($BD842,Programma!$F$3:$Y$1107,20,0),"")</f>
        <v/>
      </c>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c r="GK842" s="4"/>
      <c r="GL842" s="4"/>
      <c r="GM842" s="4"/>
      <c r="GN842" s="4"/>
      <c r="GO842" s="4"/>
      <c r="GP842" s="4"/>
      <c r="GQ842" s="4"/>
      <c r="GR842" s="4"/>
      <c r="GS842" s="4"/>
      <c r="GT842" s="4"/>
      <c r="GU842" s="4"/>
      <c r="GV842" s="4"/>
      <c r="GW842" s="4"/>
      <c r="GX842" s="4"/>
      <c r="GY842" s="4"/>
      <c r="GZ842" s="4"/>
      <c r="HA842" s="4"/>
      <c r="HB842" s="4"/>
      <c r="HC842" s="4"/>
      <c r="HD842" s="4"/>
      <c r="HE842" s="4"/>
      <c r="HF842" s="4"/>
      <c r="HG842" s="4"/>
      <c r="HH842" s="4"/>
      <c r="HI842" s="4"/>
      <c r="HJ842" s="4"/>
      <c r="HK842" s="4"/>
      <c r="HL842" s="4"/>
    </row>
    <row r="843" spans="1:220" ht="15" customHeight="1">
      <c r="A843" s="21">
        <v>8</v>
      </c>
      <c r="B843" s="157" t="str">
        <f>VLOOKUP(Ruimtestaat[[#This Row],[Code]],Locaties[[Code]:[Locatie]],2,FALSE)</f>
        <v>Dalton College</v>
      </c>
      <c r="C843" s="157" t="str">
        <f>VLOOKUP(Ruimtestaat[[#This Row],[Code]],Locaties[[#All],[Code]:[Adres]],4,FALSE)</f>
        <v>Loolaan 125</v>
      </c>
      <c r="D843" s="157" t="str">
        <f>VLOOKUP(Ruimtestaat[[#This Row],[Code]],Locaties[[#All],[Code]:[Postcode]],5,FALSE)</f>
        <v xml:space="preserve">2271 TM </v>
      </c>
      <c r="E843" s="157" t="str">
        <f>VLOOKUP(Ruimtestaat[[#This Row],[Code]],Locaties[#All],6,FALSE)</f>
        <v>Voorburg</v>
      </c>
      <c r="F843" s="62"/>
      <c r="G843" s="21" t="s">
        <v>1706</v>
      </c>
      <c r="H843" s="21" t="s">
        <v>1734</v>
      </c>
      <c r="I843" s="62" t="s">
        <v>2311</v>
      </c>
      <c r="J843" s="21">
        <v>4</v>
      </c>
      <c r="K843" s="62" t="str">
        <f>VLOOKUP(Ruimtestaat[[#This Row],[Ruimte code]],Ruimtegroepen[[#All],[Code]:[Ruimte omschrijving]],2,FALSE)</f>
        <v>Vergader/spreekkamers</v>
      </c>
      <c r="L843" s="33" t="s">
        <v>101</v>
      </c>
      <c r="M843" s="367" t="s">
        <v>2495</v>
      </c>
      <c r="N843" s="140">
        <v>15</v>
      </c>
      <c r="O843" s="140"/>
      <c r="P843" s="125" t="str">
        <f>VLOOKUP(Ruimtestaat[[#This Row],[Ruimte code]],Ruimtegroepen[],4,FALSE)</f>
        <v>Bu</v>
      </c>
      <c r="R843" s="33">
        <v>40</v>
      </c>
      <c r="S843" s="33" t="s">
        <v>18</v>
      </c>
      <c r="T843" s="33">
        <f>IF(R843&gt;0,IF(RIGHT(Ruimtestaat[[#This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843" s="33">
        <f>IF(T843&gt;0,VLOOKUP($J843,Ruimtegroepen[],3,FALSE)*VLOOKUP($L843,Vloersoorten[],3,FALSE)*VLOOKUP($S843,Frequenties[],3,FALSE)*VLOOKUP($A843,Locaties[],3,FALSE),0)</f>
        <v>0</v>
      </c>
      <c r="V843" s="33">
        <f>Ruimtestaat[[#This Row],[Uitvoeringen werkdagen]]*Ruimtestaat[[#This Row],[Oppervlak (netto)]]</f>
        <v>1800</v>
      </c>
      <c r="W843" s="154">
        <f>IF(U843&gt;0,Ruimtestaat[[#This Row],[Prest. (m2 /jaar) werkdagen]]/Ruimtestaat[[#This Row],[Norm (m2/uur) werkdagen]],0)</f>
        <v>0</v>
      </c>
      <c r="X843" s="155">
        <f>Ruimtestaat[[#This Row],[uren / jaar werkdagen]]*Tariefsopbouw!$E$35</f>
        <v>0</v>
      </c>
      <c r="Y843" s="33"/>
      <c r="Z843" s="33">
        <f>IF(Ruimtestaat[[#This Row],[Frequentie weekend]]&gt;0,VALUE(LEFT(Y843,1))*R843,0)</f>
        <v>0</v>
      </c>
      <c r="AA843" s="97">
        <f>IF($Z843&gt;0,VLOOKUP($J843,Ruimtegroepen[],3,FALSE)*VLOOKUP($L843,Vloersoorten[],3,FALSE)*VLOOKUP($Y843,Frequenties[],3,FALSE)*VLOOKUP(Ruimtestaat[[#This Row],[Code]],Locaties[],3,FALSE),0)</f>
        <v>0</v>
      </c>
      <c r="AB843" s="97">
        <f>Ruimtestaat[[#This Row],[Uitvoeringen weekend]]*Ruimtestaat[[#This Row],[Oppervlak (netto)]]</f>
        <v>0</v>
      </c>
      <c r="AC843" s="97">
        <f>IF(AA843&gt;0,Ruimtestaat[[#This Row],[Prest. (m2 /jaar) weekend]]/Ruimtestaat[[#This Row],[Norm (m2/uur) weekend]],0)</f>
        <v>0</v>
      </c>
      <c r="AD843" s="155">
        <f>Ruimtestaat[[#This Row],[uren / jaar weekend]]*Tariefsopbouw!$D$40</f>
        <v>0</v>
      </c>
      <c r="AE843" s="154">
        <f>Ruimtestaat[[#This Row],[Prest. (m2 /jaar) weekend]]+Ruimtestaat[[#This Row],[Prest. (m2 /jaar) werkdagen]]</f>
        <v>1800</v>
      </c>
      <c r="AF843" s="154">
        <f>Ruimtestaat[[#This Row],[uren / jaar weekend]]+Ruimtestaat[[#This Row],[uren / jaar werkdagen]]</f>
        <v>0</v>
      </c>
      <c r="AG843" s="69">
        <f>Ruimtestaat[[#This Row],[kosten / jaar weekend]]+Ruimtestaat[[#This Row],[kosten / jaar werkdagen]]</f>
        <v>0</v>
      </c>
      <c r="AH843" s="69"/>
      <c r="AI843" s="256" t="str">
        <f>IF(Ruimtestaat[[#This Row],[Frequentie werkdagen]]="","",_xlfn.CONCAT(Ruimtestaat[[#This Row],[Ruimte code]],"-",Ruimtestaat[[#This Row],[Frequentie werkdagen]]," ",Ruimtestaat[[#This Row],[Vloer code]]))</f>
        <v>4-3w L</v>
      </c>
      <c r="AJ843" s="300" t="str">
        <f>_xlfn.IFNA(VLOOKUP($AI843,Programma!$F$3:$G$1107,2,0),"")</f>
        <v>_</v>
      </c>
      <c r="AK843" s="300" t="str">
        <f>_xlfn.IFNA(VLOOKUP($AI843,Programma!$F$3:$H$1107,3,0),"")</f>
        <v>_</v>
      </c>
      <c r="AL843" s="300" t="str">
        <f>_xlfn.IFNA(VLOOKUP($AI843,Programma!$F$3:$I$1107,4,0),"")</f>
        <v>2w</v>
      </c>
      <c r="AM843" s="300" t="str">
        <f>_xlfn.IFNA(VLOOKUP($AI843,Programma!$F$3:$J$1107,5,0),"")</f>
        <v>1w</v>
      </c>
      <c r="AN843" s="300" t="str">
        <f>_xlfn.IFNA(VLOOKUP($AI843,Programma!$F$3:$K$1107,6,0),"")</f>
        <v>_</v>
      </c>
      <c r="AO843" s="300" t="str">
        <f>_xlfn.IFNA(VLOOKUP($AI843,Programma!$F$3:$L$1107,7,0),"")</f>
        <v>_</v>
      </c>
      <c r="AP843" s="300" t="str">
        <f>_xlfn.IFNA(VLOOKUP($AI843,Programma!$F$3:$M$1107,8,0),"")</f>
        <v>_</v>
      </c>
      <c r="AQ843" s="300" t="str">
        <f>_xlfn.IFNA(VLOOKUP($AI843,Programma!$F$3:$N$1107,9,0),"")</f>
        <v>_</v>
      </c>
      <c r="AR843" s="300" t="str">
        <f>_xlfn.IFNA(VLOOKUP($AI843,Programma!$F$3:$O$1107,10,0),"")</f>
        <v>3w</v>
      </c>
      <c r="AS843" s="300" t="str">
        <f>_xlfn.IFNA(VLOOKUP($AI843,Programma!$F$3:$P$1107,11,0),"")</f>
        <v>3w</v>
      </c>
      <c r="AT843" s="300" t="str">
        <f>_xlfn.IFNA(VLOOKUP($AI843,Programma!$F$3:$Q$1107,12,0),"")</f>
        <v>1w</v>
      </c>
      <c r="AU843" s="300" t="str">
        <f>_xlfn.IFNA(VLOOKUP($AI843,Programma!$F$3:$R$1107,13,0),"")</f>
        <v>1w</v>
      </c>
      <c r="AV843" s="300" t="str">
        <f>_xlfn.IFNA(VLOOKUP($AI843,Programma!$F$3:$S$1107,14,0),"")</f>
        <v>1m</v>
      </c>
      <c r="AW843" s="300" t="str">
        <f>_xlfn.IFNA(VLOOKUP($AI843,Programma!$F$3:$T$1107,15,0),"")</f>
        <v>2j</v>
      </c>
      <c r="AX843" s="300" t="str">
        <f>_xlfn.IFNA(VLOOKUP($AI843,Programma!$F$3:$U$1107,16,0),"")</f>
        <v>1j</v>
      </c>
      <c r="AY843" s="300" t="str">
        <f>_xlfn.IFNA(VLOOKUP($AI843,Programma!$F$3:$V$1107,17,0),"")</f>
        <v>_</v>
      </c>
      <c r="AZ843" s="300" t="str">
        <f>_xlfn.IFNA(VLOOKUP($AI843,Programma!$F$3:$W$1107,18,0),"")</f>
        <v>_</v>
      </c>
      <c r="BA843" s="300" t="str">
        <f>_xlfn.IFNA(VLOOKUP($AI843,Programma!$F$3:$X$1107,19,0),"")</f>
        <v>_</v>
      </c>
      <c r="BB843" s="300" t="str">
        <f>_xlfn.IFNA(VLOOKUP($AI843,Programma!$F$3:$Y$1107,20,0),"")</f>
        <v>_</v>
      </c>
      <c r="BC843" s="257"/>
      <c r="BD843" s="256" t="str">
        <f>IF(Ruimtestaat[[#This Row],[Frequentie weekend]]="","",_xlfn.CONCAT(Ruimtestaat[[#This Row],[Ruimte code]],"-",Ruimtestaat[[#This Row],[Frequentie weekend]]," ",Ruimtestaat[[#This Row],[Vloer code]]))</f>
        <v/>
      </c>
      <c r="BE843" s="300" t="str">
        <f>_xlfn.IFNA(VLOOKUP($BD843,Programma!$F$3:$G$1107,2,0),"")</f>
        <v/>
      </c>
      <c r="BF843" s="300" t="str">
        <f>_xlfn.IFNA(VLOOKUP($BD843,Programma!$F$3:$H$1107,3,0),"")</f>
        <v/>
      </c>
      <c r="BG843" s="300" t="str">
        <f>_xlfn.IFNA(VLOOKUP($BD843,Programma!$F$3:$I$1107,4,0),"")</f>
        <v/>
      </c>
      <c r="BH843" s="300" t="str">
        <f>_xlfn.IFNA(VLOOKUP($BD843,Programma!$F$3:$J$1107,5,0),"")</f>
        <v/>
      </c>
      <c r="BI843" s="300" t="str">
        <f>_xlfn.IFNA(VLOOKUP($BD843,Programma!$F$3:$K$1107,6,0),"")</f>
        <v/>
      </c>
      <c r="BJ843" s="300" t="str">
        <f>_xlfn.IFNA(VLOOKUP($BD843,Programma!$F$3:$L$1107,7,0),"")</f>
        <v/>
      </c>
      <c r="BK843" s="300" t="str">
        <f>_xlfn.IFNA(VLOOKUP($BD843,Programma!$F$3:$M$1107,8,0),"")</f>
        <v/>
      </c>
      <c r="BL843" s="300" t="str">
        <f>_xlfn.IFNA(VLOOKUP($BD843,Programma!$F$3:$N$1107,9,0),"")</f>
        <v/>
      </c>
      <c r="BM843" s="300" t="str">
        <f>_xlfn.IFNA(VLOOKUP($BD843,Programma!$F$3:$O$1107,10,0),"")</f>
        <v/>
      </c>
      <c r="BN843" s="300" t="str">
        <f>_xlfn.IFNA(VLOOKUP($BD843,Programma!$F$3:$P$1107,11,0),"")</f>
        <v/>
      </c>
      <c r="BO843" s="300" t="str">
        <f>_xlfn.IFNA(VLOOKUP($BD843,Programma!$F$3:$Q$1107,12,0),"")</f>
        <v/>
      </c>
      <c r="BP843" s="300" t="str">
        <f>_xlfn.IFNA(VLOOKUP($BD843,Programma!$F$3:$R$1107,13,0),"")</f>
        <v/>
      </c>
      <c r="BQ843" s="300" t="str">
        <f>_xlfn.IFNA(VLOOKUP($BD843,Programma!$F$3:$S$1107,14,0),"")</f>
        <v/>
      </c>
      <c r="BR843" s="300" t="str">
        <f>_xlfn.IFNA(VLOOKUP($BD843,Programma!$F$3:$T$1107,15,0),"")</f>
        <v/>
      </c>
      <c r="BS843" s="300" t="str">
        <f>_xlfn.IFNA(VLOOKUP($BD843,Programma!$F$3:$U$1107,16,0),"")</f>
        <v/>
      </c>
      <c r="BT843" s="300" t="str">
        <f>_xlfn.IFNA(VLOOKUP($BD843,Programma!$F$3:$V$1107,17,0),"")</f>
        <v/>
      </c>
      <c r="BU843" s="300" t="str">
        <f>_xlfn.IFNA(VLOOKUP($BD843,Programma!$F$3:$W$1107,18,0),"")</f>
        <v/>
      </c>
      <c r="BV843" s="300" t="str">
        <f>_xlfn.IFNA(VLOOKUP($BD843,Programma!$F$3:$X$1107,19,0),"")</f>
        <v/>
      </c>
      <c r="BW843" s="300" t="str">
        <f>_xlfn.IFNA(VLOOKUP($BD843,Programma!$F$3:$Y$1107,20,0),"")</f>
        <v/>
      </c>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c r="GK843" s="4"/>
      <c r="GL843" s="4"/>
      <c r="GM843" s="4"/>
      <c r="GN843" s="4"/>
      <c r="GO843" s="4"/>
      <c r="GP843" s="4"/>
      <c r="GQ843" s="4"/>
      <c r="GR843" s="4"/>
      <c r="GS843" s="4"/>
      <c r="GT843" s="4"/>
      <c r="GU843" s="4"/>
      <c r="GV843" s="4"/>
      <c r="GW843" s="4"/>
      <c r="GX843" s="4"/>
      <c r="GY843" s="4"/>
      <c r="GZ843" s="4"/>
      <c r="HA843" s="4"/>
      <c r="HB843" s="4"/>
      <c r="HC843" s="4"/>
      <c r="HD843" s="4"/>
      <c r="HE843" s="4"/>
      <c r="HF843" s="4"/>
      <c r="HG843" s="4"/>
      <c r="HH843" s="4"/>
      <c r="HI843" s="4"/>
      <c r="HJ843" s="4"/>
      <c r="HK843" s="4"/>
      <c r="HL843" s="4"/>
    </row>
    <row r="844" spans="1:220" ht="15" customHeight="1">
      <c r="A844" s="21">
        <v>8</v>
      </c>
      <c r="B844" s="157" t="str">
        <f>VLOOKUP(Ruimtestaat[[#This Row],[Code]],Locaties[[Code]:[Locatie]],2,FALSE)</f>
        <v>Dalton College</v>
      </c>
      <c r="C844" s="157" t="str">
        <f>VLOOKUP(Ruimtestaat[[#This Row],[Code]],Locaties[[#All],[Code]:[Adres]],4,FALSE)</f>
        <v>Loolaan 125</v>
      </c>
      <c r="D844" s="157" t="str">
        <f>VLOOKUP(Ruimtestaat[[#This Row],[Code]],Locaties[[#All],[Code]:[Postcode]],5,FALSE)</f>
        <v xml:space="preserve">2271 TM </v>
      </c>
      <c r="E844" s="157" t="str">
        <f>VLOOKUP(Ruimtestaat[[#This Row],[Code]],Locaties[#All],6,FALSE)</f>
        <v>Voorburg</v>
      </c>
      <c r="F844" s="62"/>
      <c r="G844" s="21" t="s">
        <v>1706</v>
      </c>
      <c r="H844" s="21" t="s">
        <v>1736</v>
      </c>
      <c r="I844" s="62" t="s">
        <v>1639</v>
      </c>
      <c r="J844" s="21">
        <v>5</v>
      </c>
      <c r="K844" s="62" t="str">
        <f>VLOOKUP(Ruimtestaat[[#This Row],[Ruimte code]],Ruimtegroepen[[#All],[Code]:[Ruimte omschrijving]],2,FALSE)</f>
        <v>Sanitair</v>
      </c>
      <c r="L844" s="33" t="s">
        <v>102</v>
      </c>
      <c r="M844" s="367" t="s">
        <v>2496</v>
      </c>
      <c r="N844" s="140">
        <v>6</v>
      </c>
      <c r="O844" s="140"/>
      <c r="P844" s="125" t="str">
        <f>VLOOKUP(Ruimtestaat[[#This Row],[Ruimte code]],Ruimtegroepen[],4,FALSE)</f>
        <v>Sa</v>
      </c>
      <c r="R844" s="33">
        <v>40</v>
      </c>
      <c r="S844" s="33" t="s">
        <v>2</v>
      </c>
      <c r="T844" s="33">
        <f>IF(R844&gt;0,IF(RIGHT(Ruimtestaat[[#This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44" s="33">
        <f>IF(T844&gt;0,VLOOKUP($J844,Ruimtegroepen[],3,FALSE)*VLOOKUP($L844,Vloersoorten[],3,FALSE)*VLOOKUP($S844,Frequenties[],3,FALSE)*VLOOKUP($A844,Locaties[],3,FALSE),0)</f>
        <v>0</v>
      </c>
      <c r="V844" s="33">
        <f>Ruimtestaat[[#This Row],[Uitvoeringen werkdagen]]*Ruimtestaat[[#This Row],[Oppervlak (netto)]]</f>
        <v>1200</v>
      </c>
      <c r="W844" s="154">
        <f>IF(U844&gt;0,Ruimtestaat[[#This Row],[Prest. (m2 /jaar) werkdagen]]/Ruimtestaat[[#This Row],[Norm (m2/uur) werkdagen]],0)</f>
        <v>0</v>
      </c>
      <c r="X844" s="155">
        <f>Ruimtestaat[[#This Row],[uren / jaar werkdagen]]*Tariefsopbouw!$E$35</f>
        <v>0</v>
      </c>
      <c r="Y844" s="33"/>
      <c r="Z844" s="33">
        <f>IF(Ruimtestaat[[#This Row],[Frequentie weekend]]&gt;0,VALUE(LEFT(Y844,1))*R844,0)</f>
        <v>0</v>
      </c>
      <c r="AA844" s="97">
        <f>IF($Z844&gt;0,VLOOKUP($J844,Ruimtegroepen[],3,FALSE)*VLOOKUP($L844,Vloersoorten[],3,FALSE)*VLOOKUP($Y844,Frequenties[],3,FALSE)*VLOOKUP(Ruimtestaat[[#This Row],[Code]],Locaties[],3,FALSE),0)</f>
        <v>0</v>
      </c>
      <c r="AB844" s="97">
        <f>Ruimtestaat[[#This Row],[Uitvoeringen weekend]]*Ruimtestaat[[#This Row],[Oppervlak (netto)]]</f>
        <v>0</v>
      </c>
      <c r="AC844" s="97">
        <f>IF(AA844&gt;0,Ruimtestaat[[#This Row],[Prest. (m2 /jaar) weekend]]/Ruimtestaat[[#This Row],[Norm (m2/uur) weekend]],0)</f>
        <v>0</v>
      </c>
      <c r="AD844" s="155">
        <f>Ruimtestaat[[#This Row],[uren / jaar weekend]]*Tariefsopbouw!$D$40</f>
        <v>0</v>
      </c>
      <c r="AE844" s="154">
        <f>Ruimtestaat[[#This Row],[Prest. (m2 /jaar) weekend]]+Ruimtestaat[[#This Row],[Prest. (m2 /jaar) werkdagen]]</f>
        <v>1200</v>
      </c>
      <c r="AF844" s="154">
        <f>Ruimtestaat[[#This Row],[uren / jaar weekend]]+Ruimtestaat[[#This Row],[uren / jaar werkdagen]]</f>
        <v>0</v>
      </c>
      <c r="AG844" s="69">
        <f>Ruimtestaat[[#This Row],[kosten / jaar weekend]]+Ruimtestaat[[#This Row],[kosten / jaar werkdagen]]</f>
        <v>0</v>
      </c>
      <c r="AH844" s="69"/>
      <c r="AI844" s="256" t="str">
        <f>IF(Ruimtestaat[[#This Row],[Frequentie werkdagen]]="","",_xlfn.CONCAT(Ruimtestaat[[#This Row],[Ruimte code]],"-",Ruimtestaat[[#This Row],[Frequentie werkdagen]]," ",Ruimtestaat[[#This Row],[Vloer code]]))</f>
        <v>5-5w S</v>
      </c>
      <c r="AJ844" s="300" t="str">
        <f>_xlfn.IFNA(VLOOKUP($AI844,Programma!$F$3:$G$1107,2,0),"")</f>
        <v>_</v>
      </c>
      <c r="AK844" s="300" t="str">
        <f>_xlfn.IFNA(VLOOKUP($AI844,Programma!$F$3:$H$1107,3,0),"")</f>
        <v>_</v>
      </c>
      <c r="AL844" s="300" t="str">
        <f>_xlfn.IFNA(VLOOKUP($AI844,Programma!$F$3:$I$1107,4,0),"")</f>
        <v>_</v>
      </c>
      <c r="AM844" s="300" t="str">
        <f>_xlfn.IFNA(VLOOKUP($AI844,Programma!$F$3:$J$1107,5,0),"")</f>
        <v>4w</v>
      </c>
      <c r="AN844" s="300" t="str">
        <f>_xlfn.IFNA(VLOOKUP($AI844,Programma!$F$3:$K$1107,6,0),"")</f>
        <v>1w</v>
      </c>
      <c r="AO844" s="300" t="str">
        <f>_xlfn.IFNA(VLOOKUP($AI844,Programma!$F$3:$L$1107,7,0),"")</f>
        <v>_</v>
      </c>
      <c r="AP844" s="300" t="str">
        <f>_xlfn.IFNA(VLOOKUP($AI844,Programma!$F$3:$M$1107,8,0),"")</f>
        <v>_</v>
      </c>
      <c r="AQ844" s="300" t="str">
        <f>_xlfn.IFNA(VLOOKUP($AI844,Programma!$F$3:$N$1107,9,0),"")</f>
        <v>_</v>
      </c>
      <c r="AR844" s="300" t="str">
        <f>_xlfn.IFNA(VLOOKUP($AI844,Programma!$F$3:$O$1107,10,0),"")</f>
        <v>_</v>
      </c>
      <c r="AS844" s="300" t="str">
        <f>_xlfn.IFNA(VLOOKUP($AI844,Programma!$F$3:$P$1107,11,0),"")</f>
        <v>_</v>
      </c>
      <c r="AT844" s="300" t="str">
        <f>_xlfn.IFNA(VLOOKUP($AI844,Programma!$F$3:$Q$1107,12,0),"")</f>
        <v>_</v>
      </c>
      <c r="AU844" s="300" t="str">
        <f>_xlfn.IFNA(VLOOKUP($AI844,Programma!$F$3:$R$1107,13,0),"")</f>
        <v>_</v>
      </c>
      <c r="AV844" s="300" t="str">
        <f>_xlfn.IFNA(VLOOKUP($AI844,Programma!$F$3:$S$1107,14,0),"")</f>
        <v>_</v>
      </c>
      <c r="AW844" s="300" t="str">
        <f>_xlfn.IFNA(VLOOKUP($AI844,Programma!$F$3:$T$1107,15,0),"")</f>
        <v>_</v>
      </c>
      <c r="AX844" s="300" t="str">
        <f>_xlfn.IFNA(VLOOKUP($AI844,Programma!$F$3:$U$1107,16,0),"")</f>
        <v>_</v>
      </c>
      <c r="AY844" s="300" t="str">
        <f>_xlfn.IFNA(VLOOKUP($AI844,Programma!$F$3:$V$1107,17,0),"")</f>
        <v>_</v>
      </c>
      <c r="AZ844" s="300" t="str">
        <f>_xlfn.IFNA(VLOOKUP($AI844,Programma!$F$3:$W$1107,18,0),"")</f>
        <v>4w</v>
      </c>
      <c r="BA844" s="300" t="str">
        <f>_xlfn.IFNA(VLOOKUP($AI844,Programma!$F$3:$X$1107,19,0),"")</f>
        <v>1w</v>
      </c>
      <c r="BB844" s="300" t="str">
        <f>_xlfn.IFNA(VLOOKUP($AI844,Programma!$F$3:$Y$1107,20,0),"")</f>
        <v>_</v>
      </c>
      <c r="BC844" s="257"/>
      <c r="BD844" s="256" t="str">
        <f>IF(Ruimtestaat[[#This Row],[Frequentie weekend]]="","",_xlfn.CONCAT(Ruimtestaat[[#This Row],[Ruimte code]],"-",Ruimtestaat[[#This Row],[Frequentie weekend]]," ",Ruimtestaat[[#This Row],[Vloer code]]))</f>
        <v/>
      </c>
      <c r="BE844" s="300" t="str">
        <f>_xlfn.IFNA(VLOOKUP($BD844,Programma!$F$3:$G$1107,2,0),"")</f>
        <v/>
      </c>
      <c r="BF844" s="300" t="str">
        <f>_xlfn.IFNA(VLOOKUP($BD844,Programma!$F$3:$H$1107,3,0),"")</f>
        <v/>
      </c>
      <c r="BG844" s="300" t="str">
        <f>_xlfn.IFNA(VLOOKUP($BD844,Programma!$F$3:$I$1107,4,0),"")</f>
        <v/>
      </c>
      <c r="BH844" s="300" t="str">
        <f>_xlfn.IFNA(VLOOKUP($BD844,Programma!$F$3:$J$1107,5,0),"")</f>
        <v/>
      </c>
      <c r="BI844" s="300" t="str">
        <f>_xlfn.IFNA(VLOOKUP($BD844,Programma!$F$3:$K$1107,6,0),"")</f>
        <v/>
      </c>
      <c r="BJ844" s="300" t="str">
        <f>_xlfn.IFNA(VLOOKUP($BD844,Programma!$F$3:$L$1107,7,0),"")</f>
        <v/>
      </c>
      <c r="BK844" s="300" t="str">
        <f>_xlfn.IFNA(VLOOKUP($BD844,Programma!$F$3:$M$1107,8,0),"")</f>
        <v/>
      </c>
      <c r="BL844" s="300" t="str">
        <f>_xlfn.IFNA(VLOOKUP($BD844,Programma!$F$3:$N$1107,9,0),"")</f>
        <v/>
      </c>
      <c r="BM844" s="300" t="str">
        <f>_xlfn.IFNA(VLOOKUP($BD844,Programma!$F$3:$O$1107,10,0),"")</f>
        <v/>
      </c>
      <c r="BN844" s="300" t="str">
        <f>_xlfn.IFNA(VLOOKUP($BD844,Programma!$F$3:$P$1107,11,0),"")</f>
        <v/>
      </c>
      <c r="BO844" s="300" t="str">
        <f>_xlfn.IFNA(VLOOKUP($BD844,Programma!$F$3:$Q$1107,12,0),"")</f>
        <v/>
      </c>
      <c r="BP844" s="300" t="str">
        <f>_xlfn.IFNA(VLOOKUP($BD844,Programma!$F$3:$R$1107,13,0),"")</f>
        <v/>
      </c>
      <c r="BQ844" s="300" t="str">
        <f>_xlfn.IFNA(VLOOKUP($BD844,Programma!$F$3:$S$1107,14,0),"")</f>
        <v/>
      </c>
      <c r="BR844" s="300" t="str">
        <f>_xlfn.IFNA(VLOOKUP($BD844,Programma!$F$3:$T$1107,15,0),"")</f>
        <v/>
      </c>
      <c r="BS844" s="300" t="str">
        <f>_xlfn.IFNA(VLOOKUP($BD844,Programma!$F$3:$U$1107,16,0),"")</f>
        <v/>
      </c>
      <c r="BT844" s="300" t="str">
        <f>_xlfn.IFNA(VLOOKUP($BD844,Programma!$F$3:$V$1107,17,0),"")</f>
        <v/>
      </c>
      <c r="BU844" s="300" t="str">
        <f>_xlfn.IFNA(VLOOKUP($BD844,Programma!$F$3:$W$1107,18,0),"")</f>
        <v/>
      </c>
      <c r="BV844" s="300" t="str">
        <f>_xlfn.IFNA(VLOOKUP($BD844,Programma!$F$3:$X$1107,19,0),"")</f>
        <v/>
      </c>
      <c r="BW844" s="300" t="str">
        <f>_xlfn.IFNA(VLOOKUP($BD844,Programma!$F$3:$Y$1107,20,0),"")</f>
        <v/>
      </c>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c r="GK844" s="4"/>
      <c r="GL844" s="4"/>
      <c r="GM844" s="4"/>
      <c r="GN844" s="4"/>
      <c r="GO844" s="4"/>
      <c r="GP844" s="4"/>
      <c r="GQ844" s="4"/>
      <c r="GR844" s="4"/>
      <c r="GS844" s="4"/>
      <c r="GT844" s="4"/>
      <c r="GU844" s="4"/>
      <c r="GV844" s="4"/>
      <c r="GW844" s="4"/>
      <c r="GX844" s="4"/>
      <c r="GY844" s="4"/>
      <c r="GZ844" s="4"/>
      <c r="HA844" s="4"/>
      <c r="HB844" s="4"/>
      <c r="HC844" s="4"/>
      <c r="HD844" s="4"/>
      <c r="HE844" s="4"/>
      <c r="HF844" s="4"/>
      <c r="HG844" s="4"/>
      <c r="HH844" s="4"/>
      <c r="HI844" s="4"/>
      <c r="HJ844" s="4"/>
      <c r="HK844" s="4"/>
      <c r="HL844" s="4"/>
    </row>
    <row r="845" spans="1:220" ht="15" customHeight="1">
      <c r="A845" s="21">
        <v>8</v>
      </c>
      <c r="B845" s="157" t="str">
        <f>VLOOKUP(Ruimtestaat[[#This Row],[Code]],Locaties[[Code]:[Locatie]],2,FALSE)</f>
        <v>Dalton College</v>
      </c>
      <c r="C845" s="157" t="str">
        <f>VLOOKUP(Ruimtestaat[[#This Row],[Code]],Locaties[[#All],[Code]:[Adres]],4,FALSE)</f>
        <v>Loolaan 125</v>
      </c>
      <c r="D845" s="157" t="str">
        <f>VLOOKUP(Ruimtestaat[[#This Row],[Code]],Locaties[[#All],[Code]:[Postcode]],5,FALSE)</f>
        <v xml:space="preserve">2271 TM </v>
      </c>
      <c r="E845" s="157" t="str">
        <f>VLOOKUP(Ruimtestaat[[#This Row],[Code]],Locaties[#All],6,FALSE)</f>
        <v>Voorburg</v>
      </c>
      <c r="F845" s="62"/>
      <c r="G845" s="21" t="s">
        <v>1706</v>
      </c>
      <c r="H845" s="21" t="s">
        <v>1738</v>
      </c>
      <c r="I845" s="62" t="s">
        <v>1640</v>
      </c>
      <c r="J845" s="21">
        <v>5</v>
      </c>
      <c r="K845" s="62" t="str">
        <f>VLOOKUP(Ruimtestaat[[#This Row],[Ruimte code]],Ruimtegroepen[[#All],[Code]:[Ruimte omschrijving]],2,FALSE)</f>
        <v>Sanitair</v>
      </c>
      <c r="L845" s="33" t="s">
        <v>102</v>
      </c>
      <c r="M845" s="367" t="s">
        <v>2496</v>
      </c>
      <c r="N845" s="140">
        <v>6</v>
      </c>
      <c r="O845" s="140"/>
      <c r="P845" s="125" t="str">
        <f>VLOOKUP(Ruimtestaat[[#This Row],[Ruimte code]],Ruimtegroepen[],4,FALSE)</f>
        <v>Sa</v>
      </c>
      <c r="R845" s="33">
        <v>40</v>
      </c>
      <c r="S845" s="33" t="s">
        <v>2</v>
      </c>
      <c r="T845" s="33">
        <f>IF(R845&gt;0,IF(RIGHT(Ruimtestaat[[#This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45" s="33">
        <f>IF(T845&gt;0,VLOOKUP($J845,Ruimtegroepen[],3,FALSE)*VLOOKUP($L845,Vloersoorten[],3,FALSE)*VLOOKUP($S845,Frequenties[],3,FALSE)*VLOOKUP($A845,Locaties[],3,FALSE),0)</f>
        <v>0</v>
      </c>
      <c r="V845" s="33">
        <f>Ruimtestaat[[#This Row],[Uitvoeringen werkdagen]]*Ruimtestaat[[#This Row],[Oppervlak (netto)]]</f>
        <v>1200</v>
      </c>
      <c r="W845" s="154">
        <f>IF(U845&gt;0,Ruimtestaat[[#This Row],[Prest. (m2 /jaar) werkdagen]]/Ruimtestaat[[#This Row],[Norm (m2/uur) werkdagen]],0)</f>
        <v>0</v>
      </c>
      <c r="X845" s="155">
        <f>Ruimtestaat[[#This Row],[uren / jaar werkdagen]]*Tariefsopbouw!$E$35</f>
        <v>0</v>
      </c>
      <c r="Y845" s="33"/>
      <c r="Z845" s="33">
        <f>IF(Ruimtestaat[[#This Row],[Frequentie weekend]]&gt;0,VALUE(LEFT(Y845,1))*R845,0)</f>
        <v>0</v>
      </c>
      <c r="AA845" s="97">
        <f>IF($Z845&gt;0,VLOOKUP($J845,Ruimtegroepen[],3,FALSE)*VLOOKUP($L845,Vloersoorten[],3,FALSE)*VLOOKUP($Y845,Frequenties[],3,FALSE)*VLOOKUP(Ruimtestaat[[#This Row],[Code]],Locaties[],3,FALSE),0)</f>
        <v>0</v>
      </c>
      <c r="AB845" s="97">
        <f>Ruimtestaat[[#This Row],[Uitvoeringen weekend]]*Ruimtestaat[[#This Row],[Oppervlak (netto)]]</f>
        <v>0</v>
      </c>
      <c r="AC845" s="97">
        <f>IF(AA845&gt;0,Ruimtestaat[[#This Row],[Prest. (m2 /jaar) weekend]]/Ruimtestaat[[#This Row],[Norm (m2/uur) weekend]],0)</f>
        <v>0</v>
      </c>
      <c r="AD845" s="155">
        <f>Ruimtestaat[[#This Row],[uren / jaar weekend]]*Tariefsopbouw!$D$40</f>
        <v>0</v>
      </c>
      <c r="AE845" s="154">
        <f>Ruimtestaat[[#This Row],[Prest. (m2 /jaar) weekend]]+Ruimtestaat[[#This Row],[Prest. (m2 /jaar) werkdagen]]</f>
        <v>1200</v>
      </c>
      <c r="AF845" s="154">
        <f>Ruimtestaat[[#This Row],[uren / jaar weekend]]+Ruimtestaat[[#This Row],[uren / jaar werkdagen]]</f>
        <v>0</v>
      </c>
      <c r="AG845" s="69">
        <f>Ruimtestaat[[#This Row],[kosten / jaar weekend]]+Ruimtestaat[[#This Row],[kosten / jaar werkdagen]]</f>
        <v>0</v>
      </c>
      <c r="AH845" s="69"/>
      <c r="AI845" s="256" t="str">
        <f>IF(Ruimtestaat[[#This Row],[Frequentie werkdagen]]="","",_xlfn.CONCAT(Ruimtestaat[[#This Row],[Ruimte code]],"-",Ruimtestaat[[#This Row],[Frequentie werkdagen]]," ",Ruimtestaat[[#This Row],[Vloer code]]))</f>
        <v>5-5w S</v>
      </c>
      <c r="AJ845" s="300" t="str">
        <f>_xlfn.IFNA(VLOOKUP($AI845,Programma!$F$3:$G$1107,2,0),"")</f>
        <v>_</v>
      </c>
      <c r="AK845" s="300" t="str">
        <f>_xlfn.IFNA(VLOOKUP($AI845,Programma!$F$3:$H$1107,3,0),"")</f>
        <v>_</v>
      </c>
      <c r="AL845" s="300" t="str">
        <f>_xlfn.IFNA(VLOOKUP($AI845,Programma!$F$3:$I$1107,4,0),"")</f>
        <v>_</v>
      </c>
      <c r="AM845" s="300" t="str">
        <f>_xlfn.IFNA(VLOOKUP($AI845,Programma!$F$3:$J$1107,5,0),"")</f>
        <v>4w</v>
      </c>
      <c r="AN845" s="300" t="str">
        <f>_xlfn.IFNA(VLOOKUP($AI845,Programma!$F$3:$K$1107,6,0),"")</f>
        <v>1w</v>
      </c>
      <c r="AO845" s="300" t="str">
        <f>_xlfn.IFNA(VLOOKUP($AI845,Programma!$F$3:$L$1107,7,0),"")</f>
        <v>_</v>
      </c>
      <c r="AP845" s="300" t="str">
        <f>_xlfn.IFNA(VLOOKUP($AI845,Programma!$F$3:$M$1107,8,0),"")</f>
        <v>_</v>
      </c>
      <c r="AQ845" s="300" t="str">
        <f>_xlfn.IFNA(VLOOKUP($AI845,Programma!$F$3:$N$1107,9,0),"")</f>
        <v>_</v>
      </c>
      <c r="AR845" s="300" t="str">
        <f>_xlfn.IFNA(VLOOKUP($AI845,Programma!$F$3:$O$1107,10,0),"")</f>
        <v>_</v>
      </c>
      <c r="AS845" s="300" t="str">
        <f>_xlfn.IFNA(VLOOKUP($AI845,Programma!$F$3:$P$1107,11,0),"")</f>
        <v>_</v>
      </c>
      <c r="AT845" s="300" t="str">
        <f>_xlfn.IFNA(VLOOKUP($AI845,Programma!$F$3:$Q$1107,12,0),"")</f>
        <v>_</v>
      </c>
      <c r="AU845" s="300" t="str">
        <f>_xlfn.IFNA(VLOOKUP($AI845,Programma!$F$3:$R$1107,13,0),"")</f>
        <v>_</v>
      </c>
      <c r="AV845" s="300" t="str">
        <f>_xlfn.IFNA(VLOOKUP($AI845,Programma!$F$3:$S$1107,14,0),"")</f>
        <v>_</v>
      </c>
      <c r="AW845" s="300" t="str">
        <f>_xlfn.IFNA(VLOOKUP($AI845,Programma!$F$3:$T$1107,15,0),"")</f>
        <v>_</v>
      </c>
      <c r="AX845" s="300" t="str">
        <f>_xlfn.IFNA(VLOOKUP($AI845,Programma!$F$3:$U$1107,16,0),"")</f>
        <v>_</v>
      </c>
      <c r="AY845" s="300" t="str">
        <f>_xlfn.IFNA(VLOOKUP($AI845,Programma!$F$3:$V$1107,17,0),"")</f>
        <v>_</v>
      </c>
      <c r="AZ845" s="300" t="str">
        <f>_xlfn.IFNA(VLOOKUP($AI845,Programma!$F$3:$W$1107,18,0),"")</f>
        <v>4w</v>
      </c>
      <c r="BA845" s="300" t="str">
        <f>_xlfn.IFNA(VLOOKUP($AI845,Programma!$F$3:$X$1107,19,0),"")</f>
        <v>1w</v>
      </c>
      <c r="BB845" s="300" t="str">
        <f>_xlfn.IFNA(VLOOKUP($AI845,Programma!$F$3:$Y$1107,20,0),"")</f>
        <v>_</v>
      </c>
      <c r="BC845" s="257"/>
      <c r="BD845" s="256" t="str">
        <f>IF(Ruimtestaat[[#This Row],[Frequentie weekend]]="","",_xlfn.CONCAT(Ruimtestaat[[#This Row],[Ruimte code]],"-",Ruimtestaat[[#This Row],[Frequentie weekend]]," ",Ruimtestaat[[#This Row],[Vloer code]]))</f>
        <v/>
      </c>
      <c r="BE845" s="300" t="str">
        <f>_xlfn.IFNA(VLOOKUP($BD845,Programma!$F$3:$G$1107,2,0),"")</f>
        <v/>
      </c>
      <c r="BF845" s="300" t="str">
        <f>_xlfn.IFNA(VLOOKUP($BD845,Programma!$F$3:$H$1107,3,0),"")</f>
        <v/>
      </c>
      <c r="BG845" s="300" t="str">
        <f>_xlfn.IFNA(VLOOKUP($BD845,Programma!$F$3:$I$1107,4,0),"")</f>
        <v/>
      </c>
      <c r="BH845" s="300" t="str">
        <f>_xlfn.IFNA(VLOOKUP($BD845,Programma!$F$3:$J$1107,5,0),"")</f>
        <v/>
      </c>
      <c r="BI845" s="300" t="str">
        <f>_xlfn.IFNA(VLOOKUP($BD845,Programma!$F$3:$K$1107,6,0),"")</f>
        <v/>
      </c>
      <c r="BJ845" s="300" t="str">
        <f>_xlfn.IFNA(VLOOKUP($BD845,Programma!$F$3:$L$1107,7,0),"")</f>
        <v/>
      </c>
      <c r="BK845" s="300" t="str">
        <f>_xlfn.IFNA(VLOOKUP($BD845,Programma!$F$3:$M$1107,8,0),"")</f>
        <v/>
      </c>
      <c r="BL845" s="300" t="str">
        <f>_xlfn.IFNA(VLOOKUP($BD845,Programma!$F$3:$N$1107,9,0),"")</f>
        <v/>
      </c>
      <c r="BM845" s="300" t="str">
        <f>_xlfn.IFNA(VLOOKUP($BD845,Programma!$F$3:$O$1107,10,0),"")</f>
        <v/>
      </c>
      <c r="BN845" s="300" t="str">
        <f>_xlfn.IFNA(VLOOKUP($BD845,Programma!$F$3:$P$1107,11,0),"")</f>
        <v/>
      </c>
      <c r="BO845" s="300" t="str">
        <f>_xlfn.IFNA(VLOOKUP($BD845,Programma!$F$3:$Q$1107,12,0),"")</f>
        <v/>
      </c>
      <c r="BP845" s="300" t="str">
        <f>_xlfn.IFNA(VLOOKUP($BD845,Programma!$F$3:$R$1107,13,0),"")</f>
        <v/>
      </c>
      <c r="BQ845" s="300" t="str">
        <f>_xlfn.IFNA(VLOOKUP($BD845,Programma!$F$3:$S$1107,14,0),"")</f>
        <v/>
      </c>
      <c r="BR845" s="300" t="str">
        <f>_xlfn.IFNA(VLOOKUP($BD845,Programma!$F$3:$T$1107,15,0),"")</f>
        <v/>
      </c>
      <c r="BS845" s="300" t="str">
        <f>_xlfn.IFNA(VLOOKUP($BD845,Programma!$F$3:$U$1107,16,0),"")</f>
        <v/>
      </c>
      <c r="BT845" s="300" t="str">
        <f>_xlfn.IFNA(VLOOKUP($BD845,Programma!$F$3:$V$1107,17,0),"")</f>
        <v/>
      </c>
      <c r="BU845" s="300" t="str">
        <f>_xlfn.IFNA(VLOOKUP($BD845,Programma!$F$3:$W$1107,18,0),"")</f>
        <v/>
      </c>
      <c r="BV845" s="300" t="str">
        <f>_xlfn.IFNA(VLOOKUP($BD845,Programma!$F$3:$X$1107,19,0),"")</f>
        <v/>
      </c>
      <c r="BW845" s="300" t="str">
        <f>_xlfn.IFNA(VLOOKUP($BD845,Programma!$F$3:$Y$1107,20,0),"")</f>
        <v/>
      </c>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c r="GK845" s="4"/>
      <c r="GL845" s="4"/>
      <c r="GM845" s="4"/>
      <c r="GN845" s="4"/>
      <c r="GO845" s="4"/>
      <c r="GP845" s="4"/>
      <c r="GQ845" s="4"/>
      <c r="GR845" s="4"/>
      <c r="GS845" s="4"/>
      <c r="GT845" s="4"/>
      <c r="GU845" s="4"/>
      <c r="GV845" s="4"/>
      <c r="GW845" s="4"/>
      <c r="GX845" s="4"/>
      <c r="GY845" s="4"/>
      <c r="GZ845" s="4"/>
      <c r="HA845" s="4"/>
      <c r="HB845" s="4"/>
      <c r="HC845" s="4"/>
      <c r="HD845" s="4"/>
      <c r="HE845" s="4"/>
      <c r="HF845" s="4"/>
      <c r="HG845" s="4"/>
      <c r="HH845" s="4"/>
      <c r="HI845" s="4"/>
      <c r="HJ845" s="4"/>
      <c r="HK845" s="4"/>
      <c r="HL845" s="4"/>
    </row>
    <row r="846" spans="1:220" ht="15" customHeight="1">
      <c r="A846" s="21">
        <v>8</v>
      </c>
      <c r="B846" s="157" t="str">
        <f>VLOOKUP(Ruimtestaat[[#This Row],[Code]],Locaties[[Code]:[Locatie]],2,FALSE)</f>
        <v>Dalton College</v>
      </c>
      <c r="C846" s="157" t="str">
        <f>VLOOKUP(Ruimtestaat[[#This Row],[Code]],Locaties[[#All],[Code]:[Adres]],4,FALSE)</f>
        <v>Loolaan 125</v>
      </c>
      <c r="D846" s="157" t="str">
        <f>VLOOKUP(Ruimtestaat[[#This Row],[Code]],Locaties[[#All],[Code]:[Postcode]],5,FALSE)</f>
        <v xml:space="preserve">2271 TM </v>
      </c>
      <c r="E846" s="157" t="str">
        <f>VLOOKUP(Ruimtestaat[[#This Row],[Code]],Locaties[#All],6,FALSE)</f>
        <v>Voorburg</v>
      </c>
      <c r="F846" s="62"/>
      <c r="G846" s="21" t="s">
        <v>1706</v>
      </c>
      <c r="H846" s="21" t="s">
        <v>1740</v>
      </c>
      <c r="I846" s="62" t="s">
        <v>2312</v>
      </c>
      <c r="J846" s="21">
        <v>16</v>
      </c>
      <c r="K846" s="62" t="str">
        <f>VLOOKUP(Ruimtestaat[[#This Row],[Ruimte code]],Ruimtegroepen[[#All],[Code]:[Ruimte omschrijving]],2,FALSE)</f>
        <v>Leslokalen theorie</v>
      </c>
      <c r="L846" s="33" t="s">
        <v>101</v>
      </c>
      <c r="M846" s="367" t="s">
        <v>2495</v>
      </c>
      <c r="N846" s="140">
        <v>47</v>
      </c>
      <c r="O846" s="140"/>
      <c r="P846" s="125" t="str">
        <f>VLOOKUP(Ruimtestaat[[#This Row],[Ruimte code]],Ruimtegroepen[],4,FALSE)</f>
        <v>Le</v>
      </c>
      <c r="R846" s="33">
        <v>40</v>
      </c>
      <c r="S846" s="33" t="s">
        <v>2</v>
      </c>
      <c r="T846" s="33">
        <f>IF(R846&gt;0,IF(RIGHT(Ruimtestaat[[#This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46" s="33">
        <f>IF(T846&gt;0,VLOOKUP($J846,Ruimtegroepen[],3,FALSE)*VLOOKUP($L846,Vloersoorten[],3,FALSE)*VLOOKUP($S846,Frequenties[],3,FALSE)*VLOOKUP($A846,Locaties[],3,FALSE),0)</f>
        <v>0</v>
      </c>
      <c r="V846" s="33">
        <f>Ruimtestaat[[#This Row],[Uitvoeringen werkdagen]]*Ruimtestaat[[#This Row],[Oppervlak (netto)]]</f>
        <v>9400</v>
      </c>
      <c r="W846" s="154">
        <f>IF(U846&gt;0,Ruimtestaat[[#This Row],[Prest. (m2 /jaar) werkdagen]]/Ruimtestaat[[#This Row],[Norm (m2/uur) werkdagen]],0)</f>
        <v>0</v>
      </c>
      <c r="X846" s="155">
        <f>Ruimtestaat[[#This Row],[uren / jaar werkdagen]]*Tariefsopbouw!$E$35</f>
        <v>0</v>
      </c>
      <c r="Y846" s="33"/>
      <c r="Z846" s="33">
        <f>IF(Ruimtestaat[[#This Row],[Frequentie weekend]]&gt;0,VALUE(LEFT(Y846,1))*R846,0)</f>
        <v>0</v>
      </c>
      <c r="AA846" s="97">
        <f>IF($Z846&gt;0,VLOOKUP($J846,Ruimtegroepen[],3,FALSE)*VLOOKUP($L846,Vloersoorten[],3,FALSE)*VLOOKUP($Y846,Frequenties[],3,FALSE)*VLOOKUP(Ruimtestaat[[#This Row],[Code]],Locaties[],3,FALSE),0)</f>
        <v>0</v>
      </c>
      <c r="AB846" s="97">
        <f>Ruimtestaat[[#This Row],[Uitvoeringen weekend]]*Ruimtestaat[[#This Row],[Oppervlak (netto)]]</f>
        <v>0</v>
      </c>
      <c r="AC846" s="97">
        <f>IF(AA846&gt;0,Ruimtestaat[[#This Row],[Prest. (m2 /jaar) weekend]]/Ruimtestaat[[#This Row],[Norm (m2/uur) weekend]],0)</f>
        <v>0</v>
      </c>
      <c r="AD846" s="155">
        <f>Ruimtestaat[[#This Row],[uren / jaar weekend]]*Tariefsopbouw!$D$40</f>
        <v>0</v>
      </c>
      <c r="AE846" s="154">
        <f>Ruimtestaat[[#This Row],[Prest. (m2 /jaar) weekend]]+Ruimtestaat[[#This Row],[Prest. (m2 /jaar) werkdagen]]</f>
        <v>9400</v>
      </c>
      <c r="AF846" s="154">
        <f>Ruimtestaat[[#This Row],[uren / jaar weekend]]+Ruimtestaat[[#This Row],[uren / jaar werkdagen]]</f>
        <v>0</v>
      </c>
      <c r="AG846" s="69">
        <f>Ruimtestaat[[#This Row],[kosten / jaar weekend]]+Ruimtestaat[[#This Row],[kosten / jaar werkdagen]]</f>
        <v>0</v>
      </c>
      <c r="AH846" s="69"/>
      <c r="AI846" s="256" t="str">
        <f>IF(Ruimtestaat[[#This Row],[Frequentie werkdagen]]="","",_xlfn.CONCAT(Ruimtestaat[[#This Row],[Ruimte code]],"-",Ruimtestaat[[#This Row],[Frequentie werkdagen]]," ",Ruimtestaat[[#This Row],[Vloer code]]))</f>
        <v>16-5w L</v>
      </c>
      <c r="AJ846" s="300" t="str">
        <f>_xlfn.IFNA(VLOOKUP($AI846,Programma!$F$3:$G$1107,2,0),"")</f>
        <v>_</v>
      </c>
      <c r="AK846" s="300" t="str">
        <f>_xlfn.IFNA(VLOOKUP($AI846,Programma!$F$3:$H$1107,3,0),"")</f>
        <v>_</v>
      </c>
      <c r="AL846" s="300" t="str">
        <f>_xlfn.IFNA(VLOOKUP($AI846,Programma!$F$3:$I$1107,4,0),"")</f>
        <v>4w</v>
      </c>
      <c r="AM846" s="300" t="str">
        <f>_xlfn.IFNA(VLOOKUP($AI846,Programma!$F$3:$J$1107,5,0),"")</f>
        <v>1w</v>
      </c>
      <c r="AN846" s="300" t="str">
        <f>_xlfn.IFNA(VLOOKUP($AI846,Programma!$F$3:$K$1107,6,0),"")</f>
        <v>_</v>
      </c>
      <c r="AO846" s="300" t="str">
        <f>_xlfn.IFNA(VLOOKUP($AI846,Programma!$F$3:$L$1107,7,0),"")</f>
        <v>_</v>
      </c>
      <c r="AP846" s="300" t="str">
        <f>_xlfn.IFNA(VLOOKUP($AI846,Programma!$F$3:$M$1107,8,0),"")</f>
        <v>_</v>
      </c>
      <c r="AQ846" s="300" t="str">
        <f>_xlfn.IFNA(VLOOKUP($AI846,Programma!$F$3:$N$1107,9,0),"")</f>
        <v>_</v>
      </c>
      <c r="AR846" s="300" t="str">
        <f>_xlfn.IFNA(VLOOKUP($AI846,Programma!$F$3:$O$1107,10,0),"")</f>
        <v>5w</v>
      </c>
      <c r="AS846" s="300" t="str">
        <f>_xlfn.IFNA(VLOOKUP($AI846,Programma!$F$3:$P$1107,11,0),"")</f>
        <v>5w</v>
      </c>
      <c r="AT846" s="300" t="str">
        <f>_xlfn.IFNA(VLOOKUP($AI846,Programma!$F$3:$Q$1107,12,0),"")</f>
        <v>1w</v>
      </c>
      <c r="AU846" s="300" t="str">
        <f>_xlfn.IFNA(VLOOKUP($AI846,Programma!$F$3:$R$1107,13,0),"")</f>
        <v>1w</v>
      </c>
      <c r="AV846" s="300" t="str">
        <f>_xlfn.IFNA(VLOOKUP($AI846,Programma!$F$3:$S$1107,14,0),"")</f>
        <v>1m</v>
      </c>
      <c r="AW846" s="300" t="str">
        <f>_xlfn.IFNA(VLOOKUP($AI846,Programma!$F$3:$T$1107,15,0),"")</f>
        <v>2j</v>
      </c>
      <c r="AX846" s="300" t="str">
        <f>_xlfn.IFNA(VLOOKUP($AI846,Programma!$F$3:$U$1107,16,0),"")</f>
        <v>1j</v>
      </c>
      <c r="AY846" s="300" t="str">
        <f>_xlfn.IFNA(VLOOKUP($AI846,Programma!$F$3:$V$1107,17,0),"")</f>
        <v>_</v>
      </c>
      <c r="AZ846" s="300" t="str">
        <f>_xlfn.IFNA(VLOOKUP($AI846,Programma!$F$3:$W$1107,18,0),"")</f>
        <v>_</v>
      </c>
      <c r="BA846" s="300" t="str">
        <f>_xlfn.IFNA(VLOOKUP($AI846,Programma!$F$3:$X$1107,19,0),"")</f>
        <v>_</v>
      </c>
      <c r="BB846" s="300" t="str">
        <f>_xlfn.IFNA(VLOOKUP($AI846,Programma!$F$3:$Y$1107,20,0),"")</f>
        <v>_</v>
      </c>
      <c r="BC846" s="257"/>
      <c r="BD846" s="256" t="str">
        <f>IF(Ruimtestaat[[#This Row],[Frequentie weekend]]="","",_xlfn.CONCAT(Ruimtestaat[[#This Row],[Ruimte code]],"-",Ruimtestaat[[#This Row],[Frequentie weekend]]," ",Ruimtestaat[[#This Row],[Vloer code]]))</f>
        <v/>
      </c>
      <c r="BE846" s="300" t="str">
        <f>_xlfn.IFNA(VLOOKUP($BD846,Programma!$F$3:$G$1107,2,0),"")</f>
        <v/>
      </c>
      <c r="BF846" s="300" t="str">
        <f>_xlfn.IFNA(VLOOKUP($BD846,Programma!$F$3:$H$1107,3,0),"")</f>
        <v/>
      </c>
      <c r="BG846" s="300" t="str">
        <f>_xlfn.IFNA(VLOOKUP($BD846,Programma!$F$3:$I$1107,4,0),"")</f>
        <v/>
      </c>
      <c r="BH846" s="300" t="str">
        <f>_xlfn.IFNA(VLOOKUP($BD846,Programma!$F$3:$J$1107,5,0),"")</f>
        <v/>
      </c>
      <c r="BI846" s="300" t="str">
        <f>_xlfn.IFNA(VLOOKUP($BD846,Programma!$F$3:$K$1107,6,0),"")</f>
        <v/>
      </c>
      <c r="BJ846" s="300" t="str">
        <f>_xlfn.IFNA(VLOOKUP($BD846,Programma!$F$3:$L$1107,7,0),"")</f>
        <v/>
      </c>
      <c r="BK846" s="300" t="str">
        <f>_xlfn.IFNA(VLOOKUP($BD846,Programma!$F$3:$M$1107,8,0),"")</f>
        <v/>
      </c>
      <c r="BL846" s="300" t="str">
        <f>_xlfn.IFNA(VLOOKUP($BD846,Programma!$F$3:$N$1107,9,0),"")</f>
        <v/>
      </c>
      <c r="BM846" s="300" t="str">
        <f>_xlfn.IFNA(VLOOKUP($BD846,Programma!$F$3:$O$1107,10,0),"")</f>
        <v/>
      </c>
      <c r="BN846" s="300" t="str">
        <f>_xlfn.IFNA(VLOOKUP($BD846,Programma!$F$3:$P$1107,11,0),"")</f>
        <v/>
      </c>
      <c r="BO846" s="300" t="str">
        <f>_xlfn.IFNA(VLOOKUP($BD846,Programma!$F$3:$Q$1107,12,0),"")</f>
        <v/>
      </c>
      <c r="BP846" s="300" t="str">
        <f>_xlfn.IFNA(VLOOKUP($BD846,Programma!$F$3:$R$1107,13,0),"")</f>
        <v/>
      </c>
      <c r="BQ846" s="300" t="str">
        <f>_xlfn.IFNA(VLOOKUP($BD846,Programma!$F$3:$S$1107,14,0),"")</f>
        <v/>
      </c>
      <c r="BR846" s="300" t="str">
        <f>_xlfn.IFNA(VLOOKUP($BD846,Programma!$F$3:$T$1107,15,0),"")</f>
        <v/>
      </c>
      <c r="BS846" s="300" t="str">
        <f>_xlfn.IFNA(VLOOKUP($BD846,Programma!$F$3:$U$1107,16,0),"")</f>
        <v/>
      </c>
      <c r="BT846" s="300" t="str">
        <f>_xlfn.IFNA(VLOOKUP($BD846,Programma!$F$3:$V$1107,17,0),"")</f>
        <v/>
      </c>
      <c r="BU846" s="300" t="str">
        <f>_xlfn.IFNA(VLOOKUP($BD846,Programma!$F$3:$W$1107,18,0),"")</f>
        <v/>
      </c>
      <c r="BV846" s="300" t="str">
        <f>_xlfn.IFNA(VLOOKUP($BD846,Programma!$F$3:$X$1107,19,0),"")</f>
        <v/>
      </c>
      <c r="BW846" s="300" t="str">
        <f>_xlfn.IFNA(VLOOKUP($BD846,Programma!$F$3:$Y$1107,20,0),"")</f>
        <v/>
      </c>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c r="GK846" s="4"/>
      <c r="GL846" s="4"/>
      <c r="GM846" s="4"/>
      <c r="GN846" s="4"/>
      <c r="GO846" s="4"/>
      <c r="GP846" s="4"/>
      <c r="GQ846" s="4"/>
      <c r="GR846" s="4"/>
      <c r="GS846" s="4"/>
      <c r="GT846" s="4"/>
      <c r="GU846" s="4"/>
      <c r="GV846" s="4"/>
      <c r="GW846" s="4"/>
      <c r="GX846" s="4"/>
      <c r="GY846" s="4"/>
      <c r="GZ846" s="4"/>
      <c r="HA846" s="4"/>
      <c r="HB846" s="4"/>
      <c r="HC846" s="4"/>
      <c r="HD846" s="4"/>
      <c r="HE846" s="4"/>
      <c r="HF846" s="4"/>
      <c r="HG846" s="4"/>
      <c r="HH846" s="4"/>
      <c r="HI846" s="4"/>
      <c r="HJ846" s="4"/>
      <c r="HK846" s="4"/>
      <c r="HL846" s="4"/>
    </row>
    <row r="847" spans="1:220" ht="15" customHeight="1">
      <c r="A847" s="21">
        <v>8</v>
      </c>
      <c r="B847" s="157" t="str">
        <f>VLOOKUP(Ruimtestaat[[#This Row],[Code]],Locaties[[Code]:[Locatie]],2,FALSE)</f>
        <v>Dalton College</v>
      </c>
      <c r="C847" s="157" t="str">
        <f>VLOOKUP(Ruimtestaat[[#This Row],[Code]],Locaties[[#All],[Code]:[Adres]],4,FALSE)</f>
        <v>Loolaan 125</v>
      </c>
      <c r="D847" s="157" t="str">
        <f>VLOOKUP(Ruimtestaat[[#This Row],[Code]],Locaties[[#All],[Code]:[Postcode]],5,FALSE)</f>
        <v xml:space="preserve">2271 TM </v>
      </c>
      <c r="E847" s="157" t="str">
        <f>VLOOKUP(Ruimtestaat[[#This Row],[Code]],Locaties[#All],6,FALSE)</f>
        <v>Voorburg</v>
      </c>
      <c r="F847" s="62"/>
      <c r="G847" s="21" t="s">
        <v>1706</v>
      </c>
      <c r="H847" s="21" t="s">
        <v>1742</v>
      </c>
      <c r="I847" s="62" t="s">
        <v>2313</v>
      </c>
      <c r="J847" s="21">
        <v>16</v>
      </c>
      <c r="K847" s="62" t="str">
        <f>VLOOKUP(Ruimtestaat[[#This Row],[Ruimte code]],Ruimtegroepen[[#All],[Code]:[Ruimte omschrijving]],2,FALSE)</f>
        <v>Leslokalen theorie</v>
      </c>
      <c r="L847" s="33" t="s">
        <v>101</v>
      </c>
      <c r="M847" s="367" t="s">
        <v>2495</v>
      </c>
      <c r="N847" s="140">
        <v>48</v>
      </c>
      <c r="O847" s="140"/>
      <c r="P847" s="125" t="str">
        <f>VLOOKUP(Ruimtestaat[[#This Row],[Ruimte code]],Ruimtegroepen[],4,FALSE)</f>
        <v>Le</v>
      </c>
      <c r="R847" s="33">
        <v>40</v>
      </c>
      <c r="S847" s="33" t="s">
        <v>2</v>
      </c>
      <c r="T847" s="33">
        <f>IF(R847&gt;0,IF(RIGHT(Ruimtestaat[[#This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47" s="33">
        <f>IF(T847&gt;0,VLOOKUP($J847,Ruimtegroepen[],3,FALSE)*VLOOKUP($L847,Vloersoorten[],3,FALSE)*VLOOKUP($S847,Frequenties[],3,FALSE)*VLOOKUP($A847,Locaties[],3,FALSE),0)</f>
        <v>0</v>
      </c>
      <c r="V847" s="33">
        <f>Ruimtestaat[[#This Row],[Uitvoeringen werkdagen]]*Ruimtestaat[[#This Row],[Oppervlak (netto)]]</f>
        <v>9600</v>
      </c>
      <c r="W847" s="154">
        <f>IF(U847&gt;0,Ruimtestaat[[#This Row],[Prest. (m2 /jaar) werkdagen]]/Ruimtestaat[[#This Row],[Norm (m2/uur) werkdagen]],0)</f>
        <v>0</v>
      </c>
      <c r="X847" s="155">
        <f>Ruimtestaat[[#This Row],[uren / jaar werkdagen]]*Tariefsopbouw!$E$35</f>
        <v>0</v>
      </c>
      <c r="Y847" s="33"/>
      <c r="Z847" s="33">
        <f>IF(Ruimtestaat[[#This Row],[Frequentie weekend]]&gt;0,VALUE(LEFT(Y847,1))*R847,0)</f>
        <v>0</v>
      </c>
      <c r="AA847" s="97">
        <f>IF($Z847&gt;0,VLOOKUP($J847,Ruimtegroepen[],3,FALSE)*VLOOKUP($L847,Vloersoorten[],3,FALSE)*VLOOKUP($Y847,Frequenties[],3,FALSE)*VLOOKUP(Ruimtestaat[[#This Row],[Code]],Locaties[],3,FALSE),0)</f>
        <v>0</v>
      </c>
      <c r="AB847" s="97">
        <f>Ruimtestaat[[#This Row],[Uitvoeringen weekend]]*Ruimtestaat[[#This Row],[Oppervlak (netto)]]</f>
        <v>0</v>
      </c>
      <c r="AC847" s="97">
        <f>IF(AA847&gt;0,Ruimtestaat[[#This Row],[Prest. (m2 /jaar) weekend]]/Ruimtestaat[[#This Row],[Norm (m2/uur) weekend]],0)</f>
        <v>0</v>
      </c>
      <c r="AD847" s="155">
        <f>Ruimtestaat[[#This Row],[uren / jaar weekend]]*Tariefsopbouw!$D$40</f>
        <v>0</v>
      </c>
      <c r="AE847" s="154">
        <f>Ruimtestaat[[#This Row],[Prest. (m2 /jaar) weekend]]+Ruimtestaat[[#This Row],[Prest. (m2 /jaar) werkdagen]]</f>
        <v>9600</v>
      </c>
      <c r="AF847" s="154">
        <f>Ruimtestaat[[#This Row],[uren / jaar weekend]]+Ruimtestaat[[#This Row],[uren / jaar werkdagen]]</f>
        <v>0</v>
      </c>
      <c r="AG847" s="69">
        <f>Ruimtestaat[[#This Row],[kosten / jaar weekend]]+Ruimtestaat[[#This Row],[kosten / jaar werkdagen]]</f>
        <v>0</v>
      </c>
      <c r="AH847" s="69"/>
      <c r="AI847" s="256" t="str">
        <f>IF(Ruimtestaat[[#This Row],[Frequentie werkdagen]]="","",_xlfn.CONCAT(Ruimtestaat[[#This Row],[Ruimte code]],"-",Ruimtestaat[[#This Row],[Frequentie werkdagen]]," ",Ruimtestaat[[#This Row],[Vloer code]]))</f>
        <v>16-5w L</v>
      </c>
      <c r="AJ847" s="300" t="str">
        <f>_xlfn.IFNA(VLOOKUP($AI847,Programma!$F$3:$G$1107,2,0),"")</f>
        <v>_</v>
      </c>
      <c r="AK847" s="300" t="str">
        <f>_xlfn.IFNA(VLOOKUP($AI847,Programma!$F$3:$H$1107,3,0),"")</f>
        <v>_</v>
      </c>
      <c r="AL847" s="300" t="str">
        <f>_xlfn.IFNA(VLOOKUP($AI847,Programma!$F$3:$I$1107,4,0),"")</f>
        <v>4w</v>
      </c>
      <c r="AM847" s="300" t="str">
        <f>_xlfn.IFNA(VLOOKUP($AI847,Programma!$F$3:$J$1107,5,0),"")</f>
        <v>1w</v>
      </c>
      <c r="AN847" s="300" t="str">
        <f>_xlfn.IFNA(VLOOKUP($AI847,Programma!$F$3:$K$1107,6,0),"")</f>
        <v>_</v>
      </c>
      <c r="AO847" s="300" t="str">
        <f>_xlfn.IFNA(VLOOKUP($AI847,Programma!$F$3:$L$1107,7,0),"")</f>
        <v>_</v>
      </c>
      <c r="AP847" s="300" t="str">
        <f>_xlfn.IFNA(VLOOKUP($AI847,Programma!$F$3:$M$1107,8,0),"")</f>
        <v>_</v>
      </c>
      <c r="AQ847" s="300" t="str">
        <f>_xlfn.IFNA(VLOOKUP($AI847,Programma!$F$3:$N$1107,9,0),"")</f>
        <v>_</v>
      </c>
      <c r="AR847" s="300" t="str">
        <f>_xlfn.IFNA(VLOOKUP($AI847,Programma!$F$3:$O$1107,10,0),"")</f>
        <v>5w</v>
      </c>
      <c r="AS847" s="300" t="str">
        <f>_xlfn.IFNA(VLOOKUP($AI847,Programma!$F$3:$P$1107,11,0),"")</f>
        <v>5w</v>
      </c>
      <c r="AT847" s="300" t="str">
        <f>_xlfn.IFNA(VLOOKUP($AI847,Programma!$F$3:$Q$1107,12,0),"")</f>
        <v>1w</v>
      </c>
      <c r="AU847" s="300" t="str">
        <f>_xlfn.IFNA(VLOOKUP($AI847,Programma!$F$3:$R$1107,13,0),"")</f>
        <v>1w</v>
      </c>
      <c r="AV847" s="300" t="str">
        <f>_xlfn.IFNA(VLOOKUP($AI847,Programma!$F$3:$S$1107,14,0),"")</f>
        <v>1m</v>
      </c>
      <c r="AW847" s="300" t="str">
        <f>_xlfn.IFNA(VLOOKUP($AI847,Programma!$F$3:$T$1107,15,0),"")</f>
        <v>2j</v>
      </c>
      <c r="AX847" s="300" t="str">
        <f>_xlfn.IFNA(VLOOKUP($AI847,Programma!$F$3:$U$1107,16,0),"")</f>
        <v>1j</v>
      </c>
      <c r="AY847" s="300" t="str">
        <f>_xlfn.IFNA(VLOOKUP($AI847,Programma!$F$3:$V$1107,17,0),"")</f>
        <v>_</v>
      </c>
      <c r="AZ847" s="300" t="str">
        <f>_xlfn.IFNA(VLOOKUP($AI847,Programma!$F$3:$W$1107,18,0),"")</f>
        <v>_</v>
      </c>
      <c r="BA847" s="300" t="str">
        <f>_xlfn.IFNA(VLOOKUP($AI847,Programma!$F$3:$X$1107,19,0),"")</f>
        <v>_</v>
      </c>
      <c r="BB847" s="300" t="str">
        <f>_xlfn.IFNA(VLOOKUP($AI847,Programma!$F$3:$Y$1107,20,0),"")</f>
        <v>_</v>
      </c>
      <c r="BC847" s="257"/>
      <c r="BD847" s="256" t="str">
        <f>IF(Ruimtestaat[[#This Row],[Frequentie weekend]]="","",_xlfn.CONCAT(Ruimtestaat[[#This Row],[Ruimte code]],"-",Ruimtestaat[[#This Row],[Frequentie weekend]]," ",Ruimtestaat[[#This Row],[Vloer code]]))</f>
        <v/>
      </c>
      <c r="BE847" s="300" t="str">
        <f>_xlfn.IFNA(VLOOKUP($BD847,Programma!$F$3:$G$1107,2,0),"")</f>
        <v/>
      </c>
      <c r="BF847" s="300" t="str">
        <f>_xlfn.IFNA(VLOOKUP($BD847,Programma!$F$3:$H$1107,3,0),"")</f>
        <v/>
      </c>
      <c r="BG847" s="300" t="str">
        <f>_xlfn.IFNA(VLOOKUP($BD847,Programma!$F$3:$I$1107,4,0),"")</f>
        <v/>
      </c>
      <c r="BH847" s="300" t="str">
        <f>_xlfn.IFNA(VLOOKUP($BD847,Programma!$F$3:$J$1107,5,0),"")</f>
        <v/>
      </c>
      <c r="BI847" s="300" t="str">
        <f>_xlfn.IFNA(VLOOKUP($BD847,Programma!$F$3:$K$1107,6,0),"")</f>
        <v/>
      </c>
      <c r="BJ847" s="300" t="str">
        <f>_xlfn.IFNA(VLOOKUP($BD847,Programma!$F$3:$L$1107,7,0),"")</f>
        <v/>
      </c>
      <c r="BK847" s="300" t="str">
        <f>_xlfn.IFNA(VLOOKUP($BD847,Programma!$F$3:$M$1107,8,0),"")</f>
        <v/>
      </c>
      <c r="BL847" s="300" t="str">
        <f>_xlfn.IFNA(VLOOKUP($BD847,Programma!$F$3:$N$1107,9,0),"")</f>
        <v/>
      </c>
      <c r="BM847" s="300" t="str">
        <f>_xlfn.IFNA(VLOOKUP($BD847,Programma!$F$3:$O$1107,10,0),"")</f>
        <v/>
      </c>
      <c r="BN847" s="300" t="str">
        <f>_xlfn.IFNA(VLOOKUP($BD847,Programma!$F$3:$P$1107,11,0),"")</f>
        <v/>
      </c>
      <c r="BO847" s="300" t="str">
        <f>_xlfn.IFNA(VLOOKUP($BD847,Programma!$F$3:$Q$1107,12,0),"")</f>
        <v/>
      </c>
      <c r="BP847" s="300" t="str">
        <f>_xlfn.IFNA(VLOOKUP($BD847,Programma!$F$3:$R$1107,13,0),"")</f>
        <v/>
      </c>
      <c r="BQ847" s="300" t="str">
        <f>_xlfn.IFNA(VLOOKUP($BD847,Programma!$F$3:$S$1107,14,0),"")</f>
        <v/>
      </c>
      <c r="BR847" s="300" t="str">
        <f>_xlfn.IFNA(VLOOKUP($BD847,Programma!$F$3:$T$1107,15,0),"")</f>
        <v/>
      </c>
      <c r="BS847" s="300" t="str">
        <f>_xlfn.IFNA(VLOOKUP($BD847,Programma!$F$3:$U$1107,16,0),"")</f>
        <v/>
      </c>
      <c r="BT847" s="300" t="str">
        <f>_xlfn.IFNA(VLOOKUP($BD847,Programma!$F$3:$V$1107,17,0),"")</f>
        <v/>
      </c>
      <c r="BU847" s="300" t="str">
        <f>_xlfn.IFNA(VLOOKUP($BD847,Programma!$F$3:$W$1107,18,0),"")</f>
        <v/>
      </c>
      <c r="BV847" s="300" t="str">
        <f>_xlfn.IFNA(VLOOKUP($BD847,Programma!$F$3:$X$1107,19,0),"")</f>
        <v/>
      </c>
      <c r="BW847" s="300" t="str">
        <f>_xlfn.IFNA(VLOOKUP($BD847,Programma!$F$3:$Y$1107,20,0),"")</f>
        <v/>
      </c>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c r="GK847" s="4"/>
      <c r="GL847" s="4"/>
      <c r="GM847" s="4"/>
      <c r="GN847" s="4"/>
      <c r="GO847" s="4"/>
      <c r="GP847" s="4"/>
      <c r="GQ847" s="4"/>
      <c r="GR847" s="4"/>
      <c r="GS847" s="4"/>
      <c r="GT847" s="4"/>
      <c r="GU847" s="4"/>
      <c r="GV847" s="4"/>
      <c r="GW847" s="4"/>
      <c r="GX847" s="4"/>
      <c r="GY847" s="4"/>
      <c r="GZ847" s="4"/>
      <c r="HA847" s="4"/>
      <c r="HB847" s="4"/>
      <c r="HC847" s="4"/>
      <c r="HD847" s="4"/>
      <c r="HE847" s="4"/>
      <c r="HF847" s="4"/>
      <c r="HG847" s="4"/>
      <c r="HH847" s="4"/>
      <c r="HI847" s="4"/>
      <c r="HJ847" s="4"/>
      <c r="HK847" s="4"/>
      <c r="HL847" s="4"/>
    </row>
    <row r="848" spans="1:220" ht="15" customHeight="1">
      <c r="A848" s="21">
        <v>8</v>
      </c>
      <c r="B848" s="157" t="str">
        <f>VLOOKUP(Ruimtestaat[[#This Row],[Code]],Locaties[[Code]:[Locatie]],2,FALSE)</f>
        <v>Dalton College</v>
      </c>
      <c r="C848" s="157" t="str">
        <f>VLOOKUP(Ruimtestaat[[#This Row],[Code]],Locaties[[#All],[Code]:[Adres]],4,FALSE)</f>
        <v>Loolaan 125</v>
      </c>
      <c r="D848" s="157" t="str">
        <f>VLOOKUP(Ruimtestaat[[#This Row],[Code]],Locaties[[#All],[Code]:[Postcode]],5,FALSE)</f>
        <v xml:space="preserve">2271 TM </v>
      </c>
      <c r="E848" s="157" t="str">
        <f>VLOOKUP(Ruimtestaat[[#This Row],[Code]],Locaties[#All],6,FALSE)</f>
        <v>Voorburg</v>
      </c>
      <c r="F848" s="62"/>
      <c r="G848" s="21" t="s">
        <v>1706</v>
      </c>
      <c r="H848" s="21" t="s">
        <v>1744</v>
      </c>
      <c r="I848" s="62" t="s">
        <v>2223</v>
      </c>
      <c r="J848" s="21">
        <v>10</v>
      </c>
      <c r="K848" s="62" t="str">
        <f>VLOOKUP(Ruimtestaat[[#This Row],[Ruimte code]],Ruimtegroepen[[#All],[Code]:[Ruimte omschrijving]],2,FALSE)</f>
        <v>Trappenhuizen/lift</v>
      </c>
      <c r="L848" s="33" t="s">
        <v>102</v>
      </c>
      <c r="M848" s="367" t="s">
        <v>2509</v>
      </c>
      <c r="N848" s="140">
        <v>8</v>
      </c>
      <c r="O848" s="140"/>
      <c r="P848" s="125" t="str">
        <f>VLOOKUP(Ruimtestaat[[#This Row],[Ruimte code]],Ruimtegroepen[],4,FALSE)</f>
        <v>Ve</v>
      </c>
      <c r="R848" s="33">
        <v>40</v>
      </c>
      <c r="S848" s="33" t="s">
        <v>2</v>
      </c>
      <c r="T848" s="33">
        <f>IF(R848&gt;0,IF(RIGHT(Ruimtestaat[[#This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48" s="33">
        <f>IF(T848&gt;0,VLOOKUP($J848,Ruimtegroepen[],3,FALSE)*VLOOKUP($L848,Vloersoorten[],3,FALSE)*VLOOKUP($S848,Frequenties[],3,FALSE)*VLOOKUP($A848,Locaties[],3,FALSE),0)</f>
        <v>0</v>
      </c>
      <c r="V848" s="33">
        <f>Ruimtestaat[[#This Row],[Uitvoeringen werkdagen]]*Ruimtestaat[[#This Row],[Oppervlak (netto)]]</f>
        <v>1600</v>
      </c>
      <c r="W848" s="154">
        <f>IF(U848&gt;0,Ruimtestaat[[#This Row],[Prest. (m2 /jaar) werkdagen]]/Ruimtestaat[[#This Row],[Norm (m2/uur) werkdagen]],0)</f>
        <v>0</v>
      </c>
      <c r="X848" s="155">
        <f>Ruimtestaat[[#This Row],[uren / jaar werkdagen]]*Tariefsopbouw!$E$35</f>
        <v>0</v>
      </c>
      <c r="Y848" s="33"/>
      <c r="Z848" s="33">
        <f>IF(Ruimtestaat[[#This Row],[Frequentie weekend]]&gt;0,VALUE(LEFT(Y848,1))*R848,0)</f>
        <v>0</v>
      </c>
      <c r="AA848" s="97">
        <f>IF($Z848&gt;0,VLOOKUP($J848,Ruimtegroepen[],3,FALSE)*VLOOKUP($L848,Vloersoorten[],3,FALSE)*VLOOKUP($Y848,Frequenties[],3,FALSE)*VLOOKUP(Ruimtestaat[[#This Row],[Code]],Locaties[],3,FALSE),0)</f>
        <v>0</v>
      </c>
      <c r="AB848" s="97">
        <f>Ruimtestaat[[#This Row],[Uitvoeringen weekend]]*Ruimtestaat[[#This Row],[Oppervlak (netto)]]</f>
        <v>0</v>
      </c>
      <c r="AC848" s="97">
        <f>IF(AA848&gt;0,Ruimtestaat[[#This Row],[Prest. (m2 /jaar) weekend]]/Ruimtestaat[[#This Row],[Norm (m2/uur) weekend]],0)</f>
        <v>0</v>
      </c>
      <c r="AD848" s="155">
        <f>Ruimtestaat[[#This Row],[uren / jaar weekend]]*Tariefsopbouw!$D$40</f>
        <v>0</v>
      </c>
      <c r="AE848" s="154">
        <f>Ruimtestaat[[#This Row],[Prest. (m2 /jaar) weekend]]+Ruimtestaat[[#This Row],[Prest. (m2 /jaar) werkdagen]]</f>
        <v>1600</v>
      </c>
      <c r="AF848" s="154">
        <f>Ruimtestaat[[#This Row],[uren / jaar weekend]]+Ruimtestaat[[#This Row],[uren / jaar werkdagen]]</f>
        <v>0</v>
      </c>
      <c r="AG848" s="69">
        <f>Ruimtestaat[[#This Row],[kosten / jaar weekend]]+Ruimtestaat[[#This Row],[kosten / jaar werkdagen]]</f>
        <v>0</v>
      </c>
      <c r="AH848" s="69"/>
      <c r="AI848" s="256" t="str">
        <f>IF(Ruimtestaat[[#This Row],[Frequentie werkdagen]]="","",_xlfn.CONCAT(Ruimtestaat[[#This Row],[Ruimte code]],"-",Ruimtestaat[[#This Row],[Frequentie werkdagen]]," ",Ruimtestaat[[#This Row],[Vloer code]]))</f>
        <v>10-5w S</v>
      </c>
      <c r="AJ848" s="300" t="str">
        <f>_xlfn.IFNA(VLOOKUP($AI848,Programma!$F$3:$G$1107,2,0),"")</f>
        <v>_</v>
      </c>
      <c r="AK848" s="300" t="str">
        <f>_xlfn.IFNA(VLOOKUP($AI848,Programma!$F$3:$H$1107,3,0),"")</f>
        <v>_</v>
      </c>
      <c r="AL848" s="300" t="str">
        <f>_xlfn.IFNA(VLOOKUP($AI848,Programma!$F$3:$I$1107,4,0),"")</f>
        <v>4w</v>
      </c>
      <c r="AM848" s="300" t="str">
        <f>_xlfn.IFNA(VLOOKUP($AI848,Programma!$F$3:$J$1107,5,0),"")</f>
        <v>1w</v>
      </c>
      <c r="AN848" s="300" t="str">
        <f>_xlfn.IFNA(VLOOKUP($AI848,Programma!$F$3:$K$1107,6,0),"")</f>
        <v>4j</v>
      </c>
      <c r="AO848" s="300" t="str">
        <f>_xlfn.IFNA(VLOOKUP($AI848,Programma!$F$3:$L$1107,7,0),"")</f>
        <v>_</v>
      </c>
      <c r="AP848" s="300" t="str">
        <f>_xlfn.IFNA(VLOOKUP($AI848,Programma!$F$3:$M$1107,8,0),"")</f>
        <v>_</v>
      </c>
      <c r="AQ848" s="300" t="str">
        <f>_xlfn.IFNA(VLOOKUP($AI848,Programma!$F$3:$N$1107,9,0),"")</f>
        <v>_</v>
      </c>
      <c r="AR848" s="300" t="str">
        <f>_xlfn.IFNA(VLOOKUP($AI848,Programma!$F$3:$O$1107,10,0),"")</f>
        <v>5w</v>
      </c>
      <c r="AS848" s="300" t="str">
        <f>_xlfn.IFNA(VLOOKUP($AI848,Programma!$F$3:$P$1107,11,0),"")</f>
        <v>5w</v>
      </c>
      <c r="AT848" s="300" t="str">
        <f>_xlfn.IFNA(VLOOKUP($AI848,Programma!$F$3:$Q$1107,12,0),"")</f>
        <v>1w</v>
      </c>
      <c r="AU848" s="300" t="str">
        <f>_xlfn.IFNA(VLOOKUP($AI848,Programma!$F$3:$R$1107,13,0),"")</f>
        <v>1w</v>
      </c>
      <c r="AV848" s="300" t="str">
        <f>_xlfn.IFNA(VLOOKUP($AI848,Programma!$F$3:$S$1107,14,0),"")</f>
        <v>1m</v>
      </c>
      <c r="AW848" s="300" t="str">
        <f>_xlfn.IFNA(VLOOKUP($AI848,Programma!$F$3:$T$1107,15,0),"")</f>
        <v>2j</v>
      </c>
      <c r="AX848" s="300" t="str">
        <f>_xlfn.IFNA(VLOOKUP($AI848,Programma!$F$3:$U$1107,16,0),"")</f>
        <v>1j</v>
      </c>
      <c r="AY848" s="300" t="str">
        <f>_xlfn.IFNA(VLOOKUP($AI848,Programma!$F$3:$V$1107,17,0),"")</f>
        <v>_</v>
      </c>
      <c r="AZ848" s="300" t="str">
        <f>_xlfn.IFNA(VLOOKUP($AI848,Programma!$F$3:$W$1107,18,0),"")</f>
        <v>_</v>
      </c>
      <c r="BA848" s="300" t="str">
        <f>_xlfn.IFNA(VLOOKUP($AI848,Programma!$F$3:$X$1107,19,0),"")</f>
        <v>_</v>
      </c>
      <c r="BB848" s="300" t="str">
        <f>_xlfn.IFNA(VLOOKUP($AI848,Programma!$F$3:$Y$1107,20,0),"")</f>
        <v>_</v>
      </c>
      <c r="BC848" s="257"/>
      <c r="BD848" s="256" t="str">
        <f>IF(Ruimtestaat[[#This Row],[Frequentie weekend]]="","",_xlfn.CONCAT(Ruimtestaat[[#This Row],[Ruimte code]],"-",Ruimtestaat[[#This Row],[Frequentie weekend]]," ",Ruimtestaat[[#This Row],[Vloer code]]))</f>
        <v/>
      </c>
      <c r="BE848" s="300" t="str">
        <f>_xlfn.IFNA(VLOOKUP($BD848,Programma!$F$3:$G$1107,2,0),"")</f>
        <v/>
      </c>
      <c r="BF848" s="300" t="str">
        <f>_xlfn.IFNA(VLOOKUP($BD848,Programma!$F$3:$H$1107,3,0),"")</f>
        <v/>
      </c>
      <c r="BG848" s="300" t="str">
        <f>_xlfn.IFNA(VLOOKUP($BD848,Programma!$F$3:$I$1107,4,0),"")</f>
        <v/>
      </c>
      <c r="BH848" s="300" t="str">
        <f>_xlfn.IFNA(VLOOKUP($BD848,Programma!$F$3:$J$1107,5,0),"")</f>
        <v/>
      </c>
      <c r="BI848" s="300" t="str">
        <f>_xlfn.IFNA(VLOOKUP($BD848,Programma!$F$3:$K$1107,6,0),"")</f>
        <v/>
      </c>
      <c r="BJ848" s="300" t="str">
        <f>_xlfn.IFNA(VLOOKUP($BD848,Programma!$F$3:$L$1107,7,0),"")</f>
        <v/>
      </c>
      <c r="BK848" s="300" t="str">
        <f>_xlfn.IFNA(VLOOKUP($BD848,Programma!$F$3:$M$1107,8,0),"")</f>
        <v/>
      </c>
      <c r="BL848" s="300" t="str">
        <f>_xlfn.IFNA(VLOOKUP($BD848,Programma!$F$3:$N$1107,9,0),"")</f>
        <v/>
      </c>
      <c r="BM848" s="300" t="str">
        <f>_xlfn.IFNA(VLOOKUP($BD848,Programma!$F$3:$O$1107,10,0),"")</f>
        <v/>
      </c>
      <c r="BN848" s="300" t="str">
        <f>_xlfn.IFNA(VLOOKUP($BD848,Programma!$F$3:$P$1107,11,0),"")</f>
        <v/>
      </c>
      <c r="BO848" s="300" t="str">
        <f>_xlfn.IFNA(VLOOKUP($BD848,Programma!$F$3:$Q$1107,12,0),"")</f>
        <v/>
      </c>
      <c r="BP848" s="300" t="str">
        <f>_xlfn.IFNA(VLOOKUP($BD848,Programma!$F$3:$R$1107,13,0),"")</f>
        <v/>
      </c>
      <c r="BQ848" s="300" t="str">
        <f>_xlfn.IFNA(VLOOKUP($BD848,Programma!$F$3:$S$1107,14,0),"")</f>
        <v/>
      </c>
      <c r="BR848" s="300" t="str">
        <f>_xlfn.IFNA(VLOOKUP($BD848,Programma!$F$3:$T$1107,15,0),"")</f>
        <v/>
      </c>
      <c r="BS848" s="300" t="str">
        <f>_xlfn.IFNA(VLOOKUP($BD848,Programma!$F$3:$U$1107,16,0),"")</f>
        <v/>
      </c>
      <c r="BT848" s="300" t="str">
        <f>_xlfn.IFNA(VLOOKUP($BD848,Programma!$F$3:$V$1107,17,0),"")</f>
        <v/>
      </c>
      <c r="BU848" s="300" t="str">
        <f>_xlfn.IFNA(VLOOKUP($BD848,Programma!$F$3:$W$1107,18,0),"")</f>
        <v/>
      </c>
      <c r="BV848" s="300" t="str">
        <f>_xlfn.IFNA(VLOOKUP($BD848,Programma!$F$3:$X$1107,19,0),"")</f>
        <v/>
      </c>
      <c r="BW848" s="300" t="str">
        <f>_xlfn.IFNA(VLOOKUP($BD848,Programma!$F$3:$Y$1107,20,0),"")</f>
        <v/>
      </c>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c r="GK848" s="4"/>
      <c r="GL848" s="4"/>
      <c r="GM848" s="4"/>
      <c r="GN848" s="4"/>
      <c r="GO848" s="4"/>
      <c r="GP848" s="4"/>
      <c r="GQ848" s="4"/>
      <c r="GR848" s="4"/>
      <c r="GS848" s="4"/>
      <c r="GT848" s="4"/>
      <c r="GU848" s="4"/>
      <c r="GV848" s="4"/>
      <c r="GW848" s="4"/>
      <c r="GX848" s="4"/>
      <c r="GY848" s="4"/>
      <c r="GZ848" s="4"/>
      <c r="HA848" s="4"/>
      <c r="HB848" s="4"/>
      <c r="HC848" s="4"/>
      <c r="HD848" s="4"/>
      <c r="HE848" s="4"/>
      <c r="HF848" s="4"/>
      <c r="HG848" s="4"/>
      <c r="HH848" s="4"/>
      <c r="HI848" s="4"/>
      <c r="HJ848" s="4"/>
      <c r="HK848" s="4"/>
      <c r="HL848" s="4"/>
    </row>
    <row r="849" spans="1:220" ht="15" customHeight="1">
      <c r="A849" s="21">
        <v>8</v>
      </c>
      <c r="B849" s="157" t="str">
        <f>VLOOKUP(Ruimtestaat[[#This Row],[Code]],Locaties[[Code]:[Locatie]],2,FALSE)</f>
        <v>Dalton College</v>
      </c>
      <c r="C849" s="157" t="str">
        <f>VLOOKUP(Ruimtestaat[[#This Row],[Code]],Locaties[[#All],[Code]:[Adres]],4,FALSE)</f>
        <v>Loolaan 125</v>
      </c>
      <c r="D849" s="157" t="str">
        <f>VLOOKUP(Ruimtestaat[[#This Row],[Code]],Locaties[[#All],[Code]:[Postcode]],5,FALSE)</f>
        <v xml:space="preserve">2271 TM </v>
      </c>
      <c r="E849" s="157" t="str">
        <f>VLOOKUP(Ruimtestaat[[#This Row],[Code]],Locaties[#All],6,FALSE)</f>
        <v>Voorburg</v>
      </c>
      <c r="F849" s="62"/>
      <c r="G849" s="21" t="s">
        <v>1706</v>
      </c>
      <c r="H849" s="21" t="s">
        <v>1746</v>
      </c>
      <c r="I849" s="62" t="s">
        <v>1657</v>
      </c>
      <c r="J849" s="21">
        <v>10</v>
      </c>
      <c r="K849" s="62" t="str">
        <f>VLOOKUP(Ruimtestaat[[#This Row],[Ruimte code]],Ruimtegroepen[[#All],[Code]:[Ruimte omschrijving]],2,FALSE)</f>
        <v>Trappenhuizen/lift</v>
      </c>
      <c r="L849" s="33" t="s">
        <v>102</v>
      </c>
      <c r="M849" s="367" t="s">
        <v>2509</v>
      </c>
      <c r="N849" s="140">
        <v>25</v>
      </c>
      <c r="O849" s="140"/>
      <c r="P849" s="125" t="str">
        <f>VLOOKUP(Ruimtestaat[[#This Row],[Ruimte code]],Ruimtegroepen[],4,FALSE)</f>
        <v>Ve</v>
      </c>
      <c r="R849" s="33">
        <v>40</v>
      </c>
      <c r="S849" s="33" t="s">
        <v>2</v>
      </c>
      <c r="T849" s="33">
        <f>IF(R849&gt;0,IF(RIGHT(Ruimtestaat[[#This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49" s="33">
        <f>IF(T849&gt;0,VLOOKUP($J849,Ruimtegroepen[],3,FALSE)*VLOOKUP($L849,Vloersoorten[],3,FALSE)*VLOOKUP($S849,Frequenties[],3,FALSE)*VLOOKUP($A849,Locaties[],3,FALSE),0)</f>
        <v>0</v>
      </c>
      <c r="V849" s="33">
        <f>Ruimtestaat[[#This Row],[Uitvoeringen werkdagen]]*Ruimtestaat[[#This Row],[Oppervlak (netto)]]</f>
        <v>5000</v>
      </c>
      <c r="W849" s="154">
        <f>IF(U849&gt;0,Ruimtestaat[[#This Row],[Prest. (m2 /jaar) werkdagen]]/Ruimtestaat[[#This Row],[Norm (m2/uur) werkdagen]],0)</f>
        <v>0</v>
      </c>
      <c r="X849" s="155">
        <f>Ruimtestaat[[#This Row],[uren / jaar werkdagen]]*Tariefsopbouw!$E$35</f>
        <v>0</v>
      </c>
      <c r="Y849" s="33"/>
      <c r="Z849" s="33">
        <f>IF(Ruimtestaat[[#This Row],[Frequentie weekend]]&gt;0,VALUE(LEFT(Y849,1))*R849,0)</f>
        <v>0</v>
      </c>
      <c r="AA849" s="97">
        <f>IF($Z849&gt;0,VLOOKUP($J849,Ruimtegroepen[],3,FALSE)*VLOOKUP($L849,Vloersoorten[],3,FALSE)*VLOOKUP($Y849,Frequenties[],3,FALSE)*VLOOKUP(Ruimtestaat[[#This Row],[Code]],Locaties[],3,FALSE),0)</f>
        <v>0</v>
      </c>
      <c r="AB849" s="97">
        <f>Ruimtestaat[[#This Row],[Uitvoeringen weekend]]*Ruimtestaat[[#This Row],[Oppervlak (netto)]]</f>
        <v>0</v>
      </c>
      <c r="AC849" s="97">
        <f>IF(AA849&gt;0,Ruimtestaat[[#This Row],[Prest. (m2 /jaar) weekend]]/Ruimtestaat[[#This Row],[Norm (m2/uur) weekend]],0)</f>
        <v>0</v>
      </c>
      <c r="AD849" s="155">
        <f>Ruimtestaat[[#This Row],[uren / jaar weekend]]*Tariefsopbouw!$D$40</f>
        <v>0</v>
      </c>
      <c r="AE849" s="154">
        <f>Ruimtestaat[[#This Row],[Prest. (m2 /jaar) weekend]]+Ruimtestaat[[#This Row],[Prest. (m2 /jaar) werkdagen]]</f>
        <v>5000</v>
      </c>
      <c r="AF849" s="154">
        <f>Ruimtestaat[[#This Row],[uren / jaar weekend]]+Ruimtestaat[[#This Row],[uren / jaar werkdagen]]</f>
        <v>0</v>
      </c>
      <c r="AG849" s="69">
        <f>Ruimtestaat[[#This Row],[kosten / jaar weekend]]+Ruimtestaat[[#This Row],[kosten / jaar werkdagen]]</f>
        <v>0</v>
      </c>
      <c r="AH849" s="69"/>
      <c r="AI849" s="256" t="str">
        <f>IF(Ruimtestaat[[#This Row],[Frequentie werkdagen]]="","",_xlfn.CONCAT(Ruimtestaat[[#This Row],[Ruimte code]],"-",Ruimtestaat[[#This Row],[Frequentie werkdagen]]," ",Ruimtestaat[[#This Row],[Vloer code]]))</f>
        <v>10-5w S</v>
      </c>
      <c r="AJ849" s="300" t="str">
        <f>_xlfn.IFNA(VLOOKUP($AI849,Programma!$F$3:$G$1107,2,0),"")</f>
        <v>_</v>
      </c>
      <c r="AK849" s="300" t="str">
        <f>_xlfn.IFNA(VLOOKUP($AI849,Programma!$F$3:$H$1107,3,0),"")</f>
        <v>_</v>
      </c>
      <c r="AL849" s="300" t="str">
        <f>_xlfn.IFNA(VLOOKUP($AI849,Programma!$F$3:$I$1107,4,0),"")</f>
        <v>4w</v>
      </c>
      <c r="AM849" s="300" t="str">
        <f>_xlfn.IFNA(VLOOKUP($AI849,Programma!$F$3:$J$1107,5,0),"")</f>
        <v>1w</v>
      </c>
      <c r="AN849" s="300" t="str">
        <f>_xlfn.IFNA(VLOOKUP($AI849,Programma!$F$3:$K$1107,6,0),"")</f>
        <v>4j</v>
      </c>
      <c r="AO849" s="300" t="str">
        <f>_xlfn.IFNA(VLOOKUP($AI849,Programma!$F$3:$L$1107,7,0),"")</f>
        <v>_</v>
      </c>
      <c r="AP849" s="300" t="str">
        <f>_xlfn.IFNA(VLOOKUP($AI849,Programma!$F$3:$M$1107,8,0),"")</f>
        <v>_</v>
      </c>
      <c r="AQ849" s="300" t="str">
        <f>_xlfn.IFNA(VLOOKUP($AI849,Programma!$F$3:$N$1107,9,0),"")</f>
        <v>_</v>
      </c>
      <c r="AR849" s="300" t="str">
        <f>_xlfn.IFNA(VLOOKUP($AI849,Programma!$F$3:$O$1107,10,0),"")</f>
        <v>5w</v>
      </c>
      <c r="AS849" s="300" t="str">
        <f>_xlfn.IFNA(VLOOKUP($AI849,Programma!$F$3:$P$1107,11,0),"")</f>
        <v>5w</v>
      </c>
      <c r="AT849" s="300" t="str">
        <f>_xlfn.IFNA(VLOOKUP($AI849,Programma!$F$3:$Q$1107,12,0),"")</f>
        <v>1w</v>
      </c>
      <c r="AU849" s="300" t="str">
        <f>_xlfn.IFNA(VLOOKUP($AI849,Programma!$F$3:$R$1107,13,0),"")</f>
        <v>1w</v>
      </c>
      <c r="AV849" s="300" t="str">
        <f>_xlfn.IFNA(VLOOKUP($AI849,Programma!$F$3:$S$1107,14,0),"")</f>
        <v>1m</v>
      </c>
      <c r="AW849" s="300" t="str">
        <f>_xlfn.IFNA(VLOOKUP($AI849,Programma!$F$3:$T$1107,15,0),"")</f>
        <v>2j</v>
      </c>
      <c r="AX849" s="300" t="str">
        <f>_xlfn.IFNA(VLOOKUP($AI849,Programma!$F$3:$U$1107,16,0),"")</f>
        <v>1j</v>
      </c>
      <c r="AY849" s="300" t="str">
        <f>_xlfn.IFNA(VLOOKUP($AI849,Programma!$F$3:$V$1107,17,0),"")</f>
        <v>_</v>
      </c>
      <c r="AZ849" s="300" t="str">
        <f>_xlfn.IFNA(VLOOKUP($AI849,Programma!$F$3:$W$1107,18,0),"")</f>
        <v>_</v>
      </c>
      <c r="BA849" s="300" t="str">
        <f>_xlfn.IFNA(VLOOKUP($AI849,Programma!$F$3:$X$1107,19,0),"")</f>
        <v>_</v>
      </c>
      <c r="BB849" s="300" t="str">
        <f>_xlfn.IFNA(VLOOKUP($AI849,Programma!$F$3:$Y$1107,20,0),"")</f>
        <v>_</v>
      </c>
      <c r="BC849" s="257"/>
      <c r="BD849" s="256" t="str">
        <f>IF(Ruimtestaat[[#This Row],[Frequentie weekend]]="","",_xlfn.CONCAT(Ruimtestaat[[#This Row],[Ruimte code]],"-",Ruimtestaat[[#This Row],[Frequentie weekend]]," ",Ruimtestaat[[#This Row],[Vloer code]]))</f>
        <v/>
      </c>
      <c r="BE849" s="300" t="str">
        <f>_xlfn.IFNA(VLOOKUP($BD849,Programma!$F$3:$G$1107,2,0),"")</f>
        <v/>
      </c>
      <c r="BF849" s="300" t="str">
        <f>_xlfn.IFNA(VLOOKUP($BD849,Programma!$F$3:$H$1107,3,0),"")</f>
        <v/>
      </c>
      <c r="BG849" s="300" t="str">
        <f>_xlfn.IFNA(VLOOKUP($BD849,Programma!$F$3:$I$1107,4,0),"")</f>
        <v/>
      </c>
      <c r="BH849" s="300" t="str">
        <f>_xlfn.IFNA(VLOOKUP($BD849,Programma!$F$3:$J$1107,5,0),"")</f>
        <v/>
      </c>
      <c r="BI849" s="300" t="str">
        <f>_xlfn.IFNA(VLOOKUP($BD849,Programma!$F$3:$K$1107,6,0),"")</f>
        <v/>
      </c>
      <c r="BJ849" s="300" t="str">
        <f>_xlfn.IFNA(VLOOKUP($BD849,Programma!$F$3:$L$1107,7,0),"")</f>
        <v/>
      </c>
      <c r="BK849" s="300" t="str">
        <f>_xlfn.IFNA(VLOOKUP($BD849,Programma!$F$3:$M$1107,8,0),"")</f>
        <v/>
      </c>
      <c r="BL849" s="300" t="str">
        <f>_xlfn.IFNA(VLOOKUP($BD849,Programma!$F$3:$N$1107,9,0),"")</f>
        <v/>
      </c>
      <c r="BM849" s="300" t="str">
        <f>_xlfn.IFNA(VLOOKUP($BD849,Programma!$F$3:$O$1107,10,0),"")</f>
        <v/>
      </c>
      <c r="BN849" s="300" t="str">
        <f>_xlfn.IFNA(VLOOKUP($BD849,Programma!$F$3:$P$1107,11,0),"")</f>
        <v/>
      </c>
      <c r="BO849" s="300" t="str">
        <f>_xlfn.IFNA(VLOOKUP($BD849,Programma!$F$3:$Q$1107,12,0),"")</f>
        <v/>
      </c>
      <c r="BP849" s="300" t="str">
        <f>_xlfn.IFNA(VLOOKUP($BD849,Programma!$F$3:$R$1107,13,0),"")</f>
        <v/>
      </c>
      <c r="BQ849" s="300" t="str">
        <f>_xlfn.IFNA(VLOOKUP($BD849,Programma!$F$3:$S$1107,14,0),"")</f>
        <v/>
      </c>
      <c r="BR849" s="300" t="str">
        <f>_xlfn.IFNA(VLOOKUP($BD849,Programma!$F$3:$T$1107,15,0),"")</f>
        <v/>
      </c>
      <c r="BS849" s="300" t="str">
        <f>_xlfn.IFNA(VLOOKUP($BD849,Programma!$F$3:$U$1107,16,0),"")</f>
        <v/>
      </c>
      <c r="BT849" s="300" t="str">
        <f>_xlfn.IFNA(VLOOKUP($BD849,Programma!$F$3:$V$1107,17,0),"")</f>
        <v/>
      </c>
      <c r="BU849" s="300" t="str">
        <f>_xlfn.IFNA(VLOOKUP($BD849,Programma!$F$3:$W$1107,18,0),"")</f>
        <v/>
      </c>
      <c r="BV849" s="300" t="str">
        <f>_xlfn.IFNA(VLOOKUP($BD849,Programma!$F$3:$X$1107,19,0),"")</f>
        <v/>
      </c>
      <c r="BW849" s="300" t="str">
        <f>_xlfn.IFNA(VLOOKUP($BD849,Programma!$F$3:$Y$1107,20,0),"")</f>
        <v/>
      </c>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c r="GK849" s="4"/>
      <c r="GL849" s="4"/>
      <c r="GM849" s="4"/>
      <c r="GN849" s="4"/>
      <c r="GO849" s="4"/>
      <c r="GP849" s="4"/>
      <c r="GQ849" s="4"/>
      <c r="GR849" s="4"/>
      <c r="GS849" s="4"/>
      <c r="GT849" s="4"/>
      <c r="GU849" s="4"/>
      <c r="GV849" s="4"/>
      <c r="GW849" s="4"/>
      <c r="GX849" s="4"/>
      <c r="GY849" s="4"/>
      <c r="GZ849" s="4"/>
      <c r="HA849" s="4"/>
      <c r="HB849" s="4"/>
      <c r="HC849" s="4"/>
      <c r="HD849" s="4"/>
      <c r="HE849" s="4"/>
      <c r="HF849" s="4"/>
      <c r="HG849" s="4"/>
      <c r="HH849" s="4"/>
      <c r="HI849" s="4"/>
      <c r="HJ849" s="4"/>
      <c r="HK849" s="4"/>
      <c r="HL849" s="4"/>
    </row>
    <row r="850" spans="1:220" ht="15" customHeight="1">
      <c r="A850" s="21">
        <v>8</v>
      </c>
      <c r="B850" s="157" t="str">
        <f>VLOOKUP(Ruimtestaat[[#This Row],[Code]],Locaties[[Code]:[Locatie]],2,FALSE)</f>
        <v>Dalton College</v>
      </c>
      <c r="C850" s="157" t="str">
        <f>VLOOKUP(Ruimtestaat[[#This Row],[Code]],Locaties[[#All],[Code]:[Adres]],4,FALSE)</f>
        <v>Loolaan 125</v>
      </c>
      <c r="D850" s="157" t="str">
        <f>VLOOKUP(Ruimtestaat[[#This Row],[Code]],Locaties[[#All],[Code]:[Postcode]],5,FALSE)</f>
        <v xml:space="preserve">2271 TM </v>
      </c>
      <c r="E850" s="157" t="str">
        <f>VLOOKUP(Ruimtestaat[[#This Row],[Code]],Locaties[#All],6,FALSE)</f>
        <v>Voorburg</v>
      </c>
      <c r="F850" s="62"/>
      <c r="G850" s="21" t="s">
        <v>1706</v>
      </c>
      <c r="H850" s="21" t="s">
        <v>1969</v>
      </c>
      <c r="I850" s="62" t="s">
        <v>1625</v>
      </c>
      <c r="J850" s="21">
        <v>6</v>
      </c>
      <c r="K850" s="62" t="str">
        <f>VLOOKUP(Ruimtestaat[[#This Row],[Ruimte code]],Ruimtegroepen[[#All],[Code]:[Ruimte omschrijving]],2,FALSE)</f>
        <v>Gangen/hallen</v>
      </c>
      <c r="L850" s="33" t="s">
        <v>101</v>
      </c>
      <c r="M850" s="367" t="s">
        <v>2495</v>
      </c>
      <c r="N850" s="140">
        <v>6</v>
      </c>
      <c r="O850" s="140"/>
      <c r="P850" s="125" t="str">
        <f>VLOOKUP(Ruimtestaat[[#This Row],[Ruimte code]],Ruimtegroepen[],4,FALSE)</f>
        <v>Ve</v>
      </c>
      <c r="R850" s="33">
        <v>40</v>
      </c>
      <c r="S850" s="33" t="s">
        <v>2</v>
      </c>
      <c r="T850" s="33">
        <f>IF(R850&gt;0,IF(RIGHT(Ruimtestaat[[#This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0" s="33">
        <f>IF(T850&gt;0,VLOOKUP($J850,Ruimtegroepen[],3,FALSE)*VLOOKUP($L850,Vloersoorten[],3,FALSE)*VLOOKUP($S850,Frequenties[],3,FALSE)*VLOOKUP($A850,Locaties[],3,FALSE),0)</f>
        <v>0</v>
      </c>
      <c r="V850" s="33">
        <f>Ruimtestaat[[#This Row],[Uitvoeringen werkdagen]]*Ruimtestaat[[#This Row],[Oppervlak (netto)]]</f>
        <v>1200</v>
      </c>
      <c r="W850" s="154">
        <f>IF(U850&gt;0,Ruimtestaat[[#This Row],[Prest. (m2 /jaar) werkdagen]]/Ruimtestaat[[#This Row],[Norm (m2/uur) werkdagen]],0)</f>
        <v>0</v>
      </c>
      <c r="X850" s="155">
        <f>Ruimtestaat[[#This Row],[uren / jaar werkdagen]]*Tariefsopbouw!$E$35</f>
        <v>0</v>
      </c>
      <c r="Y850" s="33"/>
      <c r="Z850" s="33">
        <f>IF(Ruimtestaat[[#This Row],[Frequentie weekend]]&gt;0,VALUE(LEFT(Y850,1))*R850,0)</f>
        <v>0</v>
      </c>
      <c r="AA850" s="97">
        <f>IF($Z850&gt;0,VLOOKUP($J850,Ruimtegroepen[],3,FALSE)*VLOOKUP($L850,Vloersoorten[],3,FALSE)*VLOOKUP($Y850,Frequenties[],3,FALSE)*VLOOKUP(Ruimtestaat[[#This Row],[Code]],Locaties[],3,FALSE),0)</f>
        <v>0</v>
      </c>
      <c r="AB850" s="97">
        <f>Ruimtestaat[[#This Row],[Uitvoeringen weekend]]*Ruimtestaat[[#This Row],[Oppervlak (netto)]]</f>
        <v>0</v>
      </c>
      <c r="AC850" s="97">
        <f>IF(AA850&gt;0,Ruimtestaat[[#This Row],[Prest. (m2 /jaar) weekend]]/Ruimtestaat[[#This Row],[Norm (m2/uur) weekend]],0)</f>
        <v>0</v>
      </c>
      <c r="AD850" s="155">
        <f>Ruimtestaat[[#This Row],[uren / jaar weekend]]*Tariefsopbouw!$D$40</f>
        <v>0</v>
      </c>
      <c r="AE850" s="154">
        <f>Ruimtestaat[[#This Row],[Prest. (m2 /jaar) weekend]]+Ruimtestaat[[#This Row],[Prest. (m2 /jaar) werkdagen]]</f>
        <v>1200</v>
      </c>
      <c r="AF850" s="154">
        <f>Ruimtestaat[[#This Row],[uren / jaar weekend]]+Ruimtestaat[[#This Row],[uren / jaar werkdagen]]</f>
        <v>0</v>
      </c>
      <c r="AG850" s="69">
        <f>Ruimtestaat[[#This Row],[kosten / jaar weekend]]+Ruimtestaat[[#This Row],[kosten / jaar werkdagen]]</f>
        <v>0</v>
      </c>
      <c r="AH850" s="69"/>
      <c r="AI850" s="256" t="str">
        <f>IF(Ruimtestaat[[#This Row],[Frequentie werkdagen]]="","",_xlfn.CONCAT(Ruimtestaat[[#This Row],[Ruimte code]],"-",Ruimtestaat[[#This Row],[Frequentie werkdagen]]," ",Ruimtestaat[[#This Row],[Vloer code]]))</f>
        <v>6-5w L</v>
      </c>
      <c r="AJ850" s="300" t="str">
        <f>_xlfn.IFNA(VLOOKUP($AI850,Programma!$F$3:$G$1107,2,0),"")</f>
        <v>_</v>
      </c>
      <c r="AK850" s="300" t="str">
        <f>_xlfn.IFNA(VLOOKUP($AI850,Programma!$F$3:$H$1107,3,0),"")</f>
        <v>_</v>
      </c>
      <c r="AL850" s="300" t="str">
        <f>_xlfn.IFNA(VLOOKUP($AI850,Programma!$F$3:$I$1107,4,0),"")</f>
        <v>_</v>
      </c>
      <c r="AM850" s="300" t="str">
        <f>_xlfn.IFNA(VLOOKUP($AI850,Programma!$F$3:$J$1107,5,0),"")</f>
        <v>5w</v>
      </c>
      <c r="AN850" s="300" t="str">
        <f>_xlfn.IFNA(VLOOKUP($AI850,Programma!$F$3:$K$1107,6,0),"")</f>
        <v>_</v>
      </c>
      <c r="AO850" s="300" t="str">
        <f>_xlfn.IFNA(VLOOKUP($AI850,Programma!$F$3:$L$1107,7,0),"")</f>
        <v>_</v>
      </c>
      <c r="AP850" s="300" t="str">
        <f>_xlfn.IFNA(VLOOKUP($AI850,Programma!$F$3:$M$1107,8,0),"")</f>
        <v>_</v>
      </c>
      <c r="AQ850" s="300" t="str">
        <f>_xlfn.IFNA(VLOOKUP($AI850,Programma!$F$3:$N$1107,9,0),"")</f>
        <v>_</v>
      </c>
      <c r="AR850" s="300" t="str">
        <f>_xlfn.IFNA(VLOOKUP($AI850,Programma!$F$3:$O$1107,10,0),"")</f>
        <v>5w</v>
      </c>
      <c r="AS850" s="300" t="str">
        <f>_xlfn.IFNA(VLOOKUP($AI850,Programma!$F$3:$P$1107,11,0),"")</f>
        <v>5w</v>
      </c>
      <c r="AT850" s="300" t="str">
        <f>_xlfn.IFNA(VLOOKUP($AI850,Programma!$F$3:$Q$1107,12,0),"")</f>
        <v>1w</v>
      </c>
      <c r="AU850" s="300" t="str">
        <f>_xlfn.IFNA(VLOOKUP($AI850,Programma!$F$3:$R$1107,13,0),"")</f>
        <v>1w</v>
      </c>
      <c r="AV850" s="300" t="str">
        <f>_xlfn.IFNA(VLOOKUP($AI850,Programma!$F$3:$S$1107,14,0),"")</f>
        <v>1m</v>
      </c>
      <c r="AW850" s="300" t="str">
        <f>_xlfn.IFNA(VLOOKUP($AI850,Programma!$F$3:$T$1107,15,0),"")</f>
        <v>2j</v>
      </c>
      <c r="AX850" s="300" t="str">
        <f>_xlfn.IFNA(VLOOKUP($AI850,Programma!$F$3:$U$1107,16,0),"")</f>
        <v>1j</v>
      </c>
      <c r="AY850" s="300" t="str">
        <f>_xlfn.IFNA(VLOOKUP($AI850,Programma!$F$3:$V$1107,17,0),"")</f>
        <v>_</v>
      </c>
      <c r="AZ850" s="300" t="str">
        <f>_xlfn.IFNA(VLOOKUP($AI850,Programma!$F$3:$W$1107,18,0),"")</f>
        <v>_</v>
      </c>
      <c r="BA850" s="300" t="str">
        <f>_xlfn.IFNA(VLOOKUP($AI850,Programma!$F$3:$X$1107,19,0),"")</f>
        <v>_</v>
      </c>
      <c r="BB850" s="300" t="str">
        <f>_xlfn.IFNA(VLOOKUP($AI850,Programma!$F$3:$Y$1107,20,0),"")</f>
        <v>_</v>
      </c>
      <c r="BC850" s="257"/>
      <c r="BD850" s="256" t="str">
        <f>IF(Ruimtestaat[[#This Row],[Frequentie weekend]]="","",_xlfn.CONCAT(Ruimtestaat[[#This Row],[Ruimte code]],"-",Ruimtestaat[[#This Row],[Frequentie weekend]]," ",Ruimtestaat[[#This Row],[Vloer code]]))</f>
        <v/>
      </c>
      <c r="BE850" s="300" t="str">
        <f>_xlfn.IFNA(VLOOKUP($BD850,Programma!$F$3:$G$1107,2,0),"")</f>
        <v/>
      </c>
      <c r="BF850" s="300" t="str">
        <f>_xlfn.IFNA(VLOOKUP($BD850,Programma!$F$3:$H$1107,3,0),"")</f>
        <v/>
      </c>
      <c r="BG850" s="300" t="str">
        <f>_xlfn.IFNA(VLOOKUP($BD850,Programma!$F$3:$I$1107,4,0),"")</f>
        <v/>
      </c>
      <c r="BH850" s="300" t="str">
        <f>_xlfn.IFNA(VLOOKUP($BD850,Programma!$F$3:$J$1107,5,0),"")</f>
        <v/>
      </c>
      <c r="BI850" s="300" t="str">
        <f>_xlfn.IFNA(VLOOKUP($BD850,Programma!$F$3:$K$1107,6,0),"")</f>
        <v/>
      </c>
      <c r="BJ850" s="300" t="str">
        <f>_xlfn.IFNA(VLOOKUP($BD850,Programma!$F$3:$L$1107,7,0),"")</f>
        <v/>
      </c>
      <c r="BK850" s="300" t="str">
        <f>_xlfn.IFNA(VLOOKUP($BD850,Programma!$F$3:$M$1107,8,0),"")</f>
        <v/>
      </c>
      <c r="BL850" s="300" t="str">
        <f>_xlfn.IFNA(VLOOKUP($BD850,Programma!$F$3:$N$1107,9,0),"")</f>
        <v/>
      </c>
      <c r="BM850" s="300" t="str">
        <f>_xlfn.IFNA(VLOOKUP($BD850,Programma!$F$3:$O$1107,10,0),"")</f>
        <v/>
      </c>
      <c r="BN850" s="300" t="str">
        <f>_xlfn.IFNA(VLOOKUP($BD850,Programma!$F$3:$P$1107,11,0),"")</f>
        <v/>
      </c>
      <c r="BO850" s="300" t="str">
        <f>_xlfn.IFNA(VLOOKUP($BD850,Programma!$F$3:$Q$1107,12,0),"")</f>
        <v/>
      </c>
      <c r="BP850" s="300" t="str">
        <f>_xlfn.IFNA(VLOOKUP($BD850,Programma!$F$3:$R$1107,13,0),"")</f>
        <v/>
      </c>
      <c r="BQ850" s="300" t="str">
        <f>_xlfn.IFNA(VLOOKUP($BD850,Programma!$F$3:$S$1107,14,0),"")</f>
        <v/>
      </c>
      <c r="BR850" s="300" t="str">
        <f>_xlfn.IFNA(VLOOKUP($BD850,Programma!$F$3:$T$1107,15,0),"")</f>
        <v/>
      </c>
      <c r="BS850" s="300" t="str">
        <f>_xlfn.IFNA(VLOOKUP($BD850,Programma!$F$3:$U$1107,16,0),"")</f>
        <v/>
      </c>
      <c r="BT850" s="300" t="str">
        <f>_xlfn.IFNA(VLOOKUP($BD850,Programma!$F$3:$V$1107,17,0),"")</f>
        <v/>
      </c>
      <c r="BU850" s="300" t="str">
        <f>_xlfn.IFNA(VLOOKUP($BD850,Programma!$F$3:$W$1107,18,0),"")</f>
        <v/>
      </c>
      <c r="BV850" s="300" t="str">
        <f>_xlfn.IFNA(VLOOKUP($BD850,Programma!$F$3:$X$1107,19,0),"")</f>
        <v/>
      </c>
      <c r="BW850" s="300" t="str">
        <f>_xlfn.IFNA(VLOOKUP($BD850,Programma!$F$3:$Y$1107,20,0),"")</f>
        <v/>
      </c>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c r="GK850" s="4"/>
      <c r="GL850" s="4"/>
      <c r="GM850" s="4"/>
      <c r="GN850" s="4"/>
      <c r="GO850" s="4"/>
      <c r="GP850" s="4"/>
      <c r="GQ850" s="4"/>
      <c r="GR850" s="4"/>
      <c r="GS850" s="4"/>
      <c r="GT850" s="4"/>
      <c r="GU850" s="4"/>
      <c r="GV850" s="4"/>
      <c r="GW850" s="4"/>
      <c r="GX850" s="4"/>
      <c r="GY850" s="4"/>
      <c r="GZ850" s="4"/>
      <c r="HA850" s="4"/>
      <c r="HB850" s="4"/>
      <c r="HC850" s="4"/>
      <c r="HD850" s="4"/>
      <c r="HE850" s="4"/>
      <c r="HF850" s="4"/>
      <c r="HG850" s="4"/>
      <c r="HH850" s="4"/>
      <c r="HI850" s="4"/>
      <c r="HJ850" s="4"/>
      <c r="HK850" s="4"/>
      <c r="HL850" s="4"/>
    </row>
    <row r="851" spans="1:220" ht="15" customHeight="1">
      <c r="A851" s="21">
        <v>8</v>
      </c>
      <c r="B851" s="157" t="str">
        <f>VLOOKUP(Ruimtestaat[[#This Row],[Code]],Locaties[[Code]:[Locatie]],2,FALSE)</f>
        <v>Dalton College</v>
      </c>
      <c r="C851" s="157" t="str">
        <f>VLOOKUP(Ruimtestaat[[#This Row],[Code]],Locaties[[#All],[Code]:[Adres]],4,FALSE)</f>
        <v>Loolaan 125</v>
      </c>
      <c r="D851" s="157" t="str">
        <f>VLOOKUP(Ruimtestaat[[#This Row],[Code]],Locaties[[#All],[Code]:[Postcode]],5,FALSE)</f>
        <v xml:space="preserve">2271 TM </v>
      </c>
      <c r="E851" s="157" t="str">
        <f>VLOOKUP(Ruimtestaat[[#This Row],[Code]],Locaties[#All],6,FALSE)</f>
        <v>Voorburg</v>
      </c>
      <c r="F851" s="62"/>
      <c r="G851" s="21" t="s">
        <v>1706</v>
      </c>
      <c r="H851" s="21" t="s">
        <v>1971</v>
      </c>
      <c r="I851" s="62" t="s">
        <v>2314</v>
      </c>
      <c r="J851" s="21">
        <v>16</v>
      </c>
      <c r="K851" s="62" t="str">
        <f>VLOOKUP(Ruimtestaat[[#This Row],[Ruimte code]],Ruimtegroepen[[#All],[Code]:[Ruimte omschrijving]],2,FALSE)</f>
        <v>Leslokalen theorie</v>
      </c>
      <c r="L851" s="33" t="s">
        <v>100</v>
      </c>
      <c r="M851" s="367" t="s">
        <v>2493</v>
      </c>
      <c r="N851" s="140">
        <v>83</v>
      </c>
      <c r="O851" s="140"/>
      <c r="P851" s="125" t="str">
        <f>VLOOKUP(Ruimtestaat[[#This Row],[Ruimte code]],Ruimtegroepen[],4,FALSE)</f>
        <v>Le</v>
      </c>
      <c r="R851" s="33">
        <v>40</v>
      </c>
      <c r="S851" s="33" t="s">
        <v>2</v>
      </c>
      <c r="T851" s="33">
        <f>IF(R851&gt;0,IF(RIGHT(Ruimtestaat[[#This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1" s="33">
        <f>IF(T851&gt;0,VLOOKUP($J851,Ruimtegroepen[],3,FALSE)*VLOOKUP($L851,Vloersoorten[],3,FALSE)*VLOOKUP($S851,Frequenties[],3,FALSE)*VLOOKUP($A851,Locaties[],3,FALSE),0)</f>
        <v>0</v>
      </c>
      <c r="V851" s="33">
        <f>Ruimtestaat[[#This Row],[Uitvoeringen werkdagen]]*Ruimtestaat[[#This Row],[Oppervlak (netto)]]</f>
        <v>16600</v>
      </c>
      <c r="W851" s="154">
        <f>IF(U851&gt;0,Ruimtestaat[[#This Row],[Prest. (m2 /jaar) werkdagen]]/Ruimtestaat[[#This Row],[Norm (m2/uur) werkdagen]],0)</f>
        <v>0</v>
      </c>
      <c r="X851" s="155">
        <f>Ruimtestaat[[#This Row],[uren / jaar werkdagen]]*Tariefsopbouw!$E$35</f>
        <v>0</v>
      </c>
      <c r="Y851" s="33"/>
      <c r="Z851" s="33">
        <f>IF(Ruimtestaat[[#This Row],[Frequentie weekend]]&gt;0,VALUE(LEFT(Y851,1))*R851,0)</f>
        <v>0</v>
      </c>
      <c r="AA851" s="97">
        <f>IF($Z851&gt;0,VLOOKUP($J851,Ruimtegroepen[],3,FALSE)*VLOOKUP($L851,Vloersoorten[],3,FALSE)*VLOOKUP($Y851,Frequenties[],3,FALSE)*VLOOKUP(Ruimtestaat[[#This Row],[Code]],Locaties[],3,FALSE),0)</f>
        <v>0</v>
      </c>
      <c r="AB851" s="97">
        <f>Ruimtestaat[[#This Row],[Uitvoeringen weekend]]*Ruimtestaat[[#This Row],[Oppervlak (netto)]]</f>
        <v>0</v>
      </c>
      <c r="AC851" s="97">
        <f>IF(AA851&gt;0,Ruimtestaat[[#This Row],[Prest. (m2 /jaar) weekend]]/Ruimtestaat[[#This Row],[Norm (m2/uur) weekend]],0)</f>
        <v>0</v>
      </c>
      <c r="AD851" s="155">
        <f>Ruimtestaat[[#This Row],[uren / jaar weekend]]*Tariefsopbouw!$D$40</f>
        <v>0</v>
      </c>
      <c r="AE851" s="154">
        <f>Ruimtestaat[[#This Row],[Prest. (m2 /jaar) weekend]]+Ruimtestaat[[#This Row],[Prest. (m2 /jaar) werkdagen]]</f>
        <v>16600</v>
      </c>
      <c r="AF851" s="154">
        <f>Ruimtestaat[[#This Row],[uren / jaar weekend]]+Ruimtestaat[[#This Row],[uren / jaar werkdagen]]</f>
        <v>0</v>
      </c>
      <c r="AG851" s="69">
        <f>Ruimtestaat[[#This Row],[kosten / jaar weekend]]+Ruimtestaat[[#This Row],[kosten / jaar werkdagen]]</f>
        <v>0</v>
      </c>
      <c r="AH851" s="69"/>
      <c r="AI851" s="256" t="str">
        <f>IF(Ruimtestaat[[#This Row],[Frequentie werkdagen]]="","",_xlfn.CONCAT(Ruimtestaat[[#This Row],[Ruimte code]],"-",Ruimtestaat[[#This Row],[Frequentie werkdagen]]," ",Ruimtestaat[[#This Row],[Vloer code]]))</f>
        <v>16-5w T</v>
      </c>
      <c r="AJ851" s="300" t="str">
        <f>_xlfn.IFNA(VLOOKUP($AI851,Programma!$F$3:$G$1107,2,0),"")</f>
        <v>3w</v>
      </c>
      <c r="AK851" s="300" t="str">
        <f>_xlfn.IFNA(VLOOKUP($AI851,Programma!$F$3:$H$1107,3,0),"")</f>
        <v>2w</v>
      </c>
      <c r="AL851" s="300" t="str">
        <f>_xlfn.IFNA(VLOOKUP($AI851,Programma!$F$3:$I$1107,4,0),"")</f>
        <v>_</v>
      </c>
      <c r="AM851" s="300" t="str">
        <f>_xlfn.IFNA(VLOOKUP($AI851,Programma!$F$3:$J$1107,5,0),"")</f>
        <v>_</v>
      </c>
      <c r="AN851" s="300" t="str">
        <f>_xlfn.IFNA(VLOOKUP($AI851,Programma!$F$3:$K$1107,6,0),"")</f>
        <v>_</v>
      </c>
      <c r="AO851" s="300" t="str">
        <f>_xlfn.IFNA(VLOOKUP($AI851,Programma!$F$3:$L$1107,7,0),"")</f>
        <v>_</v>
      </c>
      <c r="AP851" s="300" t="str">
        <f>_xlfn.IFNA(VLOOKUP($AI851,Programma!$F$3:$M$1107,8,0),"")</f>
        <v>_</v>
      </c>
      <c r="AQ851" s="300" t="str">
        <f>_xlfn.IFNA(VLOOKUP($AI851,Programma!$F$3:$N$1107,9,0),"")</f>
        <v>_</v>
      </c>
      <c r="AR851" s="300" t="str">
        <f>_xlfn.IFNA(VLOOKUP($AI851,Programma!$F$3:$O$1107,10,0),"")</f>
        <v>5w</v>
      </c>
      <c r="AS851" s="300" t="str">
        <f>_xlfn.IFNA(VLOOKUP($AI851,Programma!$F$3:$P$1107,11,0),"")</f>
        <v>5w</v>
      </c>
      <c r="AT851" s="300" t="str">
        <f>_xlfn.IFNA(VLOOKUP($AI851,Programma!$F$3:$Q$1107,12,0),"")</f>
        <v>1w</v>
      </c>
      <c r="AU851" s="300" t="str">
        <f>_xlfn.IFNA(VLOOKUP($AI851,Programma!$F$3:$R$1107,13,0),"")</f>
        <v>1w</v>
      </c>
      <c r="AV851" s="300" t="str">
        <f>_xlfn.IFNA(VLOOKUP($AI851,Programma!$F$3:$S$1107,14,0),"")</f>
        <v>1m</v>
      </c>
      <c r="AW851" s="300" t="str">
        <f>_xlfn.IFNA(VLOOKUP($AI851,Programma!$F$3:$T$1107,15,0),"")</f>
        <v>2j</v>
      </c>
      <c r="AX851" s="300" t="str">
        <f>_xlfn.IFNA(VLOOKUP($AI851,Programma!$F$3:$U$1107,16,0),"")</f>
        <v>1j</v>
      </c>
      <c r="AY851" s="300" t="str">
        <f>_xlfn.IFNA(VLOOKUP($AI851,Programma!$F$3:$V$1107,17,0),"")</f>
        <v>_</v>
      </c>
      <c r="AZ851" s="300" t="str">
        <f>_xlfn.IFNA(VLOOKUP($AI851,Programma!$F$3:$W$1107,18,0),"")</f>
        <v>_</v>
      </c>
      <c r="BA851" s="300" t="str">
        <f>_xlfn.IFNA(VLOOKUP($AI851,Programma!$F$3:$X$1107,19,0),"")</f>
        <v>_</v>
      </c>
      <c r="BB851" s="300" t="str">
        <f>_xlfn.IFNA(VLOOKUP($AI851,Programma!$F$3:$Y$1107,20,0),"")</f>
        <v>_</v>
      </c>
      <c r="BC851" s="257"/>
      <c r="BD851" s="256" t="str">
        <f>IF(Ruimtestaat[[#This Row],[Frequentie weekend]]="","",_xlfn.CONCAT(Ruimtestaat[[#This Row],[Ruimte code]],"-",Ruimtestaat[[#This Row],[Frequentie weekend]]," ",Ruimtestaat[[#This Row],[Vloer code]]))</f>
        <v/>
      </c>
      <c r="BE851" s="300" t="str">
        <f>_xlfn.IFNA(VLOOKUP($BD851,Programma!$F$3:$G$1107,2,0),"")</f>
        <v/>
      </c>
      <c r="BF851" s="300" t="str">
        <f>_xlfn.IFNA(VLOOKUP($BD851,Programma!$F$3:$H$1107,3,0),"")</f>
        <v/>
      </c>
      <c r="BG851" s="300" t="str">
        <f>_xlfn.IFNA(VLOOKUP($BD851,Programma!$F$3:$I$1107,4,0),"")</f>
        <v/>
      </c>
      <c r="BH851" s="300" t="str">
        <f>_xlfn.IFNA(VLOOKUP($BD851,Programma!$F$3:$J$1107,5,0),"")</f>
        <v/>
      </c>
      <c r="BI851" s="300" t="str">
        <f>_xlfn.IFNA(VLOOKUP($BD851,Programma!$F$3:$K$1107,6,0),"")</f>
        <v/>
      </c>
      <c r="BJ851" s="300" t="str">
        <f>_xlfn.IFNA(VLOOKUP($BD851,Programma!$F$3:$L$1107,7,0),"")</f>
        <v/>
      </c>
      <c r="BK851" s="300" t="str">
        <f>_xlfn.IFNA(VLOOKUP($BD851,Programma!$F$3:$M$1107,8,0),"")</f>
        <v/>
      </c>
      <c r="BL851" s="300" t="str">
        <f>_xlfn.IFNA(VLOOKUP($BD851,Programma!$F$3:$N$1107,9,0),"")</f>
        <v/>
      </c>
      <c r="BM851" s="300" t="str">
        <f>_xlfn.IFNA(VLOOKUP($BD851,Programma!$F$3:$O$1107,10,0),"")</f>
        <v/>
      </c>
      <c r="BN851" s="300" t="str">
        <f>_xlfn.IFNA(VLOOKUP($BD851,Programma!$F$3:$P$1107,11,0),"")</f>
        <v/>
      </c>
      <c r="BO851" s="300" t="str">
        <f>_xlfn.IFNA(VLOOKUP($BD851,Programma!$F$3:$Q$1107,12,0),"")</f>
        <v/>
      </c>
      <c r="BP851" s="300" t="str">
        <f>_xlfn.IFNA(VLOOKUP($BD851,Programma!$F$3:$R$1107,13,0),"")</f>
        <v/>
      </c>
      <c r="BQ851" s="300" t="str">
        <f>_xlfn.IFNA(VLOOKUP($BD851,Programma!$F$3:$S$1107,14,0),"")</f>
        <v/>
      </c>
      <c r="BR851" s="300" t="str">
        <f>_xlfn.IFNA(VLOOKUP($BD851,Programma!$F$3:$T$1107,15,0),"")</f>
        <v/>
      </c>
      <c r="BS851" s="300" t="str">
        <f>_xlfn.IFNA(VLOOKUP($BD851,Programma!$F$3:$U$1107,16,0),"")</f>
        <v/>
      </c>
      <c r="BT851" s="300" t="str">
        <f>_xlfn.IFNA(VLOOKUP($BD851,Programma!$F$3:$V$1107,17,0),"")</f>
        <v/>
      </c>
      <c r="BU851" s="300" t="str">
        <f>_xlfn.IFNA(VLOOKUP($BD851,Programma!$F$3:$W$1107,18,0),"")</f>
        <v/>
      </c>
      <c r="BV851" s="300" t="str">
        <f>_xlfn.IFNA(VLOOKUP($BD851,Programma!$F$3:$X$1107,19,0),"")</f>
        <v/>
      </c>
      <c r="BW851" s="300" t="str">
        <f>_xlfn.IFNA(VLOOKUP($BD851,Programma!$F$3:$Y$1107,20,0),"")</f>
        <v/>
      </c>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c r="GK851" s="4"/>
      <c r="GL851" s="4"/>
      <c r="GM851" s="4"/>
      <c r="GN851" s="4"/>
      <c r="GO851" s="4"/>
      <c r="GP851" s="4"/>
      <c r="GQ851" s="4"/>
      <c r="GR851" s="4"/>
      <c r="GS851" s="4"/>
      <c r="GT851" s="4"/>
      <c r="GU851" s="4"/>
      <c r="GV851" s="4"/>
      <c r="GW851" s="4"/>
      <c r="GX851" s="4"/>
      <c r="GY851" s="4"/>
      <c r="GZ851" s="4"/>
      <c r="HA851" s="4"/>
      <c r="HB851" s="4"/>
      <c r="HC851" s="4"/>
      <c r="HD851" s="4"/>
      <c r="HE851" s="4"/>
      <c r="HF851" s="4"/>
      <c r="HG851" s="4"/>
      <c r="HH851" s="4"/>
      <c r="HI851" s="4"/>
      <c r="HJ851" s="4"/>
      <c r="HK851" s="4"/>
      <c r="HL851" s="4"/>
    </row>
    <row r="852" spans="1:220" ht="15" customHeight="1">
      <c r="A852" s="21">
        <v>8</v>
      </c>
      <c r="B852" s="157" t="str">
        <f>VLOOKUP(Ruimtestaat[[#This Row],[Code]],Locaties[[Code]:[Locatie]],2,FALSE)</f>
        <v>Dalton College</v>
      </c>
      <c r="C852" s="157" t="str">
        <f>VLOOKUP(Ruimtestaat[[#This Row],[Code]],Locaties[[#All],[Code]:[Adres]],4,FALSE)</f>
        <v>Loolaan 125</v>
      </c>
      <c r="D852" s="157" t="str">
        <f>VLOOKUP(Ruimtestaat[[#This Row],[Code]],Locaties[[#All],[Code]:[Postcode]],5,FALSE)</f>
        <v xml:space="preserve">2271 TM </v>
      </c>
      <c r="E852" s="157" t="str">
        <f>VLOOKUP(Ruimtestaat[[#This Row],[Code]],Locaties[#All],6,FALSE)</f>
        <v>Voorburg</v>
      </c>
      <c r="F852" s="62"/>
      <c r="G852" s="21" t="s">
        <v>1706</v>
      </c>
      <c r="H852" s="21" t="s">
        <v>1973</v>
      </c>
      <c r="I852" s="62" t="s">
        <v>2315</v>
      </c>
      <c r="J852" s="21">
        <v>16</v>
      </c>
      <c r="K852" s="62" t="str">
        <f>VLOOKUP(Ruimtestaat[[#This Row],[Ruimte code]],Ruimtegroepen[[#All],[Code]:[Ruimte omschrijving]],2,FALSE)</f>
        <v>Leslokalen theorie</v>
      </c>
      <c r="L852" s="33" t="s">
        <v>101</v>
      </c>
      <c r="M852" s="367" t="s">
        <v>2495</v>
      </c>
      <c r="N852" s="140">
        <v>47</v>
      </c>
      <c r="O852" s="140"/>
      <c r="P852" s="125" t="str">
        <f>VLOOKUP(Ruimtestaat[[#This Row],[Ruimte code]],Ruimtegroepen[],4,FALSE)</f>
        <v>Le</v>
      </c>
      <c r="R852" s="33">
        <v>40</v>
      </c>
      <c r="S852" s="33" t="s">
        <v>2</v>
      </c>
      <c r="T852" s="33">
        <f>IF(R852&gt;0,IF(RIGHT(Ruimtestaat[[#This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2" s="33">
        <f>IF(T852&gt;0,VLOOKUP($J852,Ruimtegroepen[],3,FALSE)*VLOOKUP($L852,Vloersoorten[],3,FALSE)*VLOOKUP($S852,Frequenties[],3,FALSE)*VLOOKUP($A852,Locaties[],3,FALSE),0)</f>
        <v>0</v>
      </c>
      <c r="V852" s="33">
        <f>Ruimtestaat[[#This Row],[Uitvoeringen werkdagen]]*Ruimtestaat[[#This Row],[Oppervlak (netto)]]</f>
        <v>9400</v>
      </c>
      <c r="W852" s="154">
        <f>IF(U852&gt;0,Ruimtestaat[[#This Row],[Prest. (m2 /jaar) werkdagen]]/Ruimtestaat[[#This Row],[Norm (m2/uur) werkdagen]],0)</f>
        <v>0</v>
      </c>
      <c r="X852" s="155">
        <f>Ruimtestaat[[#This Row],[uren / jaar werkdagen]]*Tariefsopbouw!$E$35</f>
        <v>0</v>
      </c>
      <c r="Y852" s="33"/>
      <c r="Z852" s="33">
        <f>IF(Ruimtestaat[[#This Row],[Frequentie weekend]]&gt;0,VALUE(LEFT(Y852,1))*R852,0)</f>
        <v>0</v>
      </c>
      <c r="AA852" s="97">
        <f>IF($Z852&gt;0,VLOOKUP($J852,Ruimtegroepen[],3,FALSE)*VLOOKUP($L852,Vloersoorten[],3,FALSE)*VLOOKUP($Y852,Frequenties[],3,FALSE)*VLOOKUP(Ruimtestaat[[#This Row],[Code]],Locaties[],3,FALSE),0)</f>
        <v>0</v>
      </c>
      <c r="AB852" s="97">
        <f>Ruimtestaat[[#This Row],[Uitvoeringen weekend]]*Ruimtestaat[[#This Row],[Oppervlak (netto)]]</f>
        <v>0</v>
      </c>
      <c r="AC852" s="97">
        <f>IF(AA852&gt;0,Ruimtestaat[[#This Row],[Prest. (m2 /jaar) weekend]]/Ruimtestaat[[#This Row],[Norm (m2/uur) weekend]],0)</f>
        <v>0</v>
      </c>
      <c r="AD852" s="155">
        <f>Ruimtestaat[[#This Row],[uren / jaar weekend]]*Tariefsopbouw!$D$40</f>
        <v>0</v>
      </c>
      <c r="AE852" s="154">
        <f>Ruimtestaat[[#This Row],[Prest. (m2 /jaar) weekend]]+Ruimtestaat[[#This Row],[Prest. (m2 /jaar) werkdagen]]</f>
        <v>9400</v>
      </c>
      <c r="AF852" s="154">
        <f>Ruimtestaat[[#This Row],[uren / jaar weekend]]+Ruimtestaat[[#This Row],[uren / jaar werkdagen]]</f>
        <v>0</v>
      </c>
      <c r="AG852" s="69">
        <f>Ruimtestaat[[#This Row],[kosten / jaar weekend]]+Ruimtestaat[[#This Row],[kosten / jaar werkdagen]]</f>
        <v>0</v>
      </c>
      <c r="AH852" s="69"/>
      <c r="AI852" s="256" t="str">
        <f>IF(Ruimtestaat[[#This Row],[Frequentie werkdagen]]="","",_xlfn.CONCAT(Ruimtestaat[[#This Row],[Ruimte code]],"-",Ruimtestaat[[#This Row],[Frequentie werkdagen]]," ",Ruimtestaat[[#This Row],[Vloer code]]))</f>
        <v>16-5w L</v>
      </c>
      <c r="AJ852" s="300" t="str">
        <f>_xlfn.IFNA(VLOOKUP($AI852,Programma!$F$3:$G$1107,2,0),"")</f>
        <v>_</v>
      </c>
      <c r="AK852" s="300" t="str">
        <f>_xlfn.IFNA(VLOOKUP($AI852,Programma!$F$3:$H$1107,3,0),"")</f>
        <v>_</v>
      </c>
      <c r="AL852" s="300" t="str">
        <f>_xlfn.IFNA(VLOOKUP($AI852,Programma!$F$3:$I$1107,4,0),"")</f>
        <v>4w</v>
      </c>
      <c r="AM852" s="300" t="str">
        <f>_xlfn.IFNA(VLOOKUP($AI852,Programma!$F$3:$J$1107,5,0),"")</f>
        <v>1w</v>
      </c>
      <c r="AN852" s="300" t="str">
        <f>_xlfn.IFNA(VLOOKUP($AI852,Programma!$F$3:$K$1107,6,0),"")</f>
        <v>_</v>
      </c>
      <c r="AO852" s="300" t="str">
        <f>_xlfn.IFNA(VLOOKUP($AI852,Programma!$F$3:$L$1107,7,0),"")</f>
        <v>_</v>
      </c>
      <c r="AP852" s="300" t="str">
        <f>_xlfn.IFNA(VLOOKUP($AI852,Programma!$F$3:$M$1107,8,0),"")</f>
        <v>_</v>
      </c>
      <c r="AQ852" s="300" t="str">
        <f>_xlfn.IFNA(VLOOKUP($AI852,Programma!$F$3:$N$1107,9,0),"")</f>
        <v>_</v>
      </c>
      <c r="AR852" s="300" t="str">
        <f>_xlfn.IFNA(VLOOKUP($AI852,Programma!$F$3:$O$1107,10,0),"")</f>
        <v>5w</v>
      </c>
      <c r="AS852" s="300" t="str">
        <f>_xlfn.IFNA(VLOOKUP($AI852,Programma!$F$3:$P$1107,11,0),"")</f>
        <v>5w</v>
      </c>
      <c r="AT852" s="300" t="str">
        <f>_xlfn.IFNA(VLOOKUP($AI852,Programma!$F$3:$Q$1107,12,0),"")</f>
        <v>1w</v>
      </c>
      <c r="AU852" s="300" t="str">
        <f>_xlfn.IFNA(VLOOKUP($AI852,Programma!$F$3:$R$1107,13,0),"")</f>
        <v>1w</v>
      </c>
      <c r="AV852" s="300" t="str">
        <f>_xlfn.IFNA(VLOOKUP($AI852,Programma!$F$3:$S$1107,14,0),"")</f>
        <v>1m</v>
      </c>
      <c r="AW852" s="300" t="str">
        <f>_xlfn.IFNA(VLOOKUP($AI852,Programma!$F$3:$T$1107,15,0),"")</f>
        <v>2j</v>
      </c>
      <c r="AX852" s="300" t="str">
        <f>_xlfn.IFNA(VLOOKUP($AI852,Programma!$F$3:$U$1107,16,0),"")</f>
        <v>1j</v>
      </c>
      <c r="AY852" s="300" t="str">
        <f>_xlfn.IFNA(VLOOKUP($AI852,Programma!$F$3:$V$1107,17,0),"")</f>
        <v>_</v>
      </c>
      <c r="AZ852" s="300" t="str">
        <f>_xlfn.IFNA(VLOOKUP($AI852,Programma!$F$3:$W$1107,18,0),"")</f>
        <v>_</v>
      </c>
      <c r="BA852" s="300" t="str">
        <f>_xlfn.IFNA(VLOOKUP($AI852,Programma!$F$3:$X$1107,19,0),"")</f>
        <v>_</v>
      </c>
      <c r="BB852" s="300" t="str">
        <f>_xlfn.IFNA(VLOOKUP($AI852,Programma!$F$3:$Y$1107,20,0),"")</f>
        <v>_</v>
      </c>
      <c r="BC852" s="257"/>
      <c r="BD852" s="256" t="str">
        <f>IF(Ruimtestaat[[#This Row],[Frequentie weekend]]="","",_xlfn.CONCAT(Ruimtestaat[[#This Row],[Ruimte code]],"-",Ruimtestaat[[#This Row],[Frequentie weekend]]," ",Ruimtestaat[[#This Row],[Vloer code]]))</f>
        <v/>
      </c>
      <c r="BE852" s="300" t="str">
        <f>_xlfn.IFNA(VLOOKUP($BD852,Programma!$F$3:$G$1107,2,0),"")</f>
        <v/>
      </c>
      <c r="BF852" s="300" t="str">
        <f>_xlfn.IFNA(VLOOKUP($BD852,Programma!$F$3:$H$1107,3,0),"")</f>
        <v/>
      </c>
      <c r="BG852" s="300" t="str">
        <f>_xlfn.IFNA(VLOOKUP($BD852,Programma!$F$3:$I$1107,4,0),"")</f>
        <v/>
      </c>
      <c r="BH852" s="300" t="str">
        <f>_xlfn.IFNA(VLOOKUP($BD852,Programma!$F$3:$J$1107,5,0),"")</f>
        <v/>
      </c>
      <c r="BI852" s="300" t="str">
        <f>_xlfn.IFNA(VLOOKUP($BD852,Programma!$F$3:$K$1107,6,0),"")</f>
        <v/>
      </c>
      <c r="BJ852" s="300" t="str">
        <f>_xlfn.IFNA(VLOOKUP($BD852,Programma!$F$3:$L$1107,7,0),"")</f>
        <v/>
      </c>
      <c r="BK852" s="300" t="str">
        <f>_xlfn.IFNA(VLOOKUP($BD852,Programma!$F$3:$M$1107,8,0),"")</f>
        <v/>
      </c>
      <c r="BL852" s="300" t="str">
        <f>_xlfn.IFNA(VLOOKUP($BD852,Programma!$F$3:$N$1107,9,0),"")</f>
        <v/>
      </c>
      <c r="BM852" s="300" t="str">
        <f>_xlfn.IFNA(VLOOKUP($BD852,Programma!$F$3:$O$1107,10,0),"")</f>
        <v/>
      </c>
      <c r="BN852" s="300" t="str">
        <f>_xlfn.IFNA(VLOOKUP($BD852,Programma!$F$3:$P$1107,11,0),"")</f>
        <v/>
      </c>
      <c r="BO852" s="300" t="str">
        <f>_xlfn.IFNA(VLOOKUP($BD852,Programma!$F$3:$Q$1107,12,0),"")</f>
        <v/>
      </c>
      <c r="BP852" s="300" t="str">
        <f>_xlfn.IFNA(VLOOKUP($BD852,Programma!$F$3:$R$1107,13,0),"")</f>
        <v/>
      </c>
      <c r="BQ852" s="300" t="str">
        <f>_xlfn.IFNA(VLOOKUP($BD852,Programma!$F$3:$S$1107,14,0),"")</f>
        <v/>
      </c>
      <c r="BR852" s="300" t="str">
        <f>_xlfn.IFNA(VLOOKUP($BD852,Programma!$F$3:$T$1107,15,0),"")</f>
        <v/>
      </c>
      <c r="BS852" s="300" t="str">
        <f>_xlfn.IFNA(VLOOKUP($BD852,Programma!$F$3:$U$1107,16,0),"")</f>
        <v/>
      </c>
      <c r="BT852" s="300" t="str">
        <f>_xlfn.IFNA(VLOOKUP($BD852,Programma!$F$3:$V$1107,17,0),"")</f>
        <v/>
      </c>
      <c r="BU852" s="300" t="str">
        <f>_xlfn.IFNA(VLOOKUP($BD852,Programma!$F$3:$W$1107,18,0),"")</f>
        <v/>
      </c>
      <c r="BV852" s="300" t="str">
        <f>_xlfn.IFNA(VLOOKUP($BD852,Programma!$F$3:$X$1107,19,0),"")</f>
        <v/>
      </c>
      <c r="BW852" s="300" t="str">
        <f>_xlfn.IFNA(VLOOKUP($BD852,Programma!$F$3:$Y$1107,20,0),"")</f>
        <v/>
      </c>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c r="GK852" s="4"/>
      <c r="GL852" s="4"/>
      <c r="GM852" s="4"/>
      <c r="GN852" s="4"/>
      <c r="GO852" s="4"/>
      <c r="GP852" s="4"/>
      <c r="GQ852" s="4"/>
      <c r="GR852" s="4"/>
      <c r="GS852" s="4"/>
      <c r="GT852" s="4"/>
      <c r="GU852" s="4"/>
      <c r="GV852" s="4"/>
      <c r="GW852" s="4"/>
      <c r="GX852" s="4"/>
      <c r="GY852" s="4"/>
      <c r="GZ852" s="4"/>
      <c r="HA852" s="4"/>
      <c r="HB852" s="4"/>
      <c r="HC852" s="4"/>
      <c r="HD852" s="4"/>
      <c r="HE852" s="4"/>
      <c r="HF852" s="4"/>
      <c r="HG852" s="4"/>
      <c r="HH852" s="4"/>
      <c r="HI852" s="4"/>
      <c r="HJ852" s="4"/>
      <c r="HK852" s="4"/>
      <c r="HL852" s="4"/>
    </row>
    <row r="853" spans="1:220" ht="15" customHeight="1">
      <c r="A853" s="21">
        <v>8</v>
      </c>
      <c r="B853" s="157" t="str">
        <f>VLOOKUP(Ruimtestaat[[#This Row],[Code]],Locaties[[Code]:[Locatie]],2,FALSE)</f>
        <v>Dalton College</v>
      </c>
      <c r="C853" s="157" t="str">
        <f>VLOOKUP(Ruimtestaat[[#This Row],[Code]],Locaties[[#All],[Code]:[Adres]],4,FALSE)</f>
        <v>Loolaan 125</v>
      </c>
      <c r="D853" s="157" t="str">
        <f>VLOOKUP(Ruimtestaat[[#This Row],[Code]],Locaties[[#All],[Code]:[Postcode]],5,FALSE)</f>
        <v xml:space="preserve">2271 TM </v>
      </c>
      <c r="E853" s="157" t="str">
        <f>VLOOKUP(Ruimtestaat[[#This Row],[Code]],Locaties[#All],6,FALSE)</f>
        <v>Voorburg</v>
      </c>
      <c r="F853" s="62"/>
      <c r="G853" s="21" t="s">
        <v>1706</v>
      </c>
      <c r="H853" s="21" t="s">
        <v>1975</v>
      </c>
      <c r="I853" s="62" t="s">
        <v>1625</v>
      </c>
      <c r="J853" s="21">
        <v>6</v>
      </c>
      <c r="K853" s="62" t="str">
        <f>VLOOKUP(Ruimtestaat[[#This Row],[Ruimte code]],Ruimtegroepen[[#All],[Code]:[Ruimte omschrijving]],2,FALSE)</f>
        <v>Gangen/hallen</v>
      </c>
      <c r="L853" s="33" t="s">
        <v>101</v>
      </c>
      <c r="M853" s="367" t="s">
        <v>2495</v>
      </c>
      <c r="N853" s="140">
        <v>32</v>
      </c>
      <c r="O853" s="140"/>
      <c r="P853" s="125" t="str">
        <f>VLOOKUP(Ruimtestaat[[#This Row],[Ruimte code]],Ruimtegroepen[],4,FALSE)</f>
        <v>Ve</v>
      </c>
      <c r="R853" s="33">
        <v>40</v>
      </c>
      <c r="S853" s="33" t="s">
        <v>2</v>
      </c>
      <c r="T853" s="33">
        <f>IF(R853&gt;0,IF(RIGHT(Ruimtestaat[[#This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3" s="33">
        <f>IF(T853&gt;0,VLOOKUP($J853,Ruimtegroepen[],3,FALSE)*VLOOKUP($L853,Vloersoorten[],3,FALSE)*VLOOKUP($S853,Frequenties[],3,FALSE)*VLOOKUP($A853,Locaties[],3,FALSE),0)</f>
        <v>0</v>
      </c>
      <c r="V853" s="33">
        <f>Ruimtestaat[[#This Row],[Uitvoeringen werkdagen]]*Ruimtestaat[[#This Row],[Oppervlak (netto)]]</f>
        <v>6400</v>
      </c>
      <c r="W853" s="154">
        <f>IF(U853&gt;0,Ruimtestaat[[#This Row],[Prest. (m2 /jaar) werkdagen]]/Ruimtestaat[[#This Row],[Norm (m2/uur) werkdagen]],0)</f>
        <v>0</v>
      </c>
      <c r="X853" s="155">
        <f>Ruimtestaat[[#This Row],[uren / jaar werkdagen]]*Tariefsopbouw!$E$35</f>
        <v>0</v>
      </c>
      <c r="Y853" s="33"/>
      <c r="Z853" s="33">
        <f>IF(Ruimtestaat[[#This Row],[Frequentie weekend]]&gt;0,VALUE(LEFT(Y853,1))*R853,0)</f>
        <v>0</v>
      </c>
      <c r="AA853" s="97">
        <f>IF($Z853&gt;0,VLOOKUP($J853,Ruimtegroepen[],3,FALSE)*VLOOKUP($L853,Vloersoorten[],3,FALSE)*VLOOKUP($Y853,Frequenties[],3,FALSE)*VLOOKUP(Ruimtestaat[[#This Row],[Code]],Locaties[],3,FALSE),0)</f>
        <v>0</v>
      </c>
      <c r="AB853" s="97">
        <f>Ruimtestaat[[#This Row],[Uitvoeringen weekend]]*Ruimtestaat[[#This Row],[Oppervlak (netto)]]</f>
        <v>0</v>
      </c>
      <c r="AC853" s="97">
        <f>IF(AA853&gt;0,Ruimtestaat[[#This Row],[Prest. (m2 /jaar) weekend]]/Ruimtestaat[[#This Row],[Norm (m2/uur) weekend]],0)</f>
        <v>0</v>
      </c>
      <c r="AD853" s="155">
        <f>Ruimtestaat[[#This Row],[uren / jaar weekend]]*Tariefsopbouw!$D$40</f>
        <v>0</v>
      </c>
      <c r="AE853" s="154">
        <f>Ruimtestaat[[#This Row],[Prest. (m2 /jaar) weekend]]+Ruimtestaat[[#This Row],[Prest. (m2 /jaar) werkdagen]]</f>
        <v>6400</v>
      </c>
      <c r="AF853" s="154">
        <f>Ruimtestaat[[#This Row],[uren / jaar weekend]]+Ruimtestaat[[#This Row],[uren / jaar werkdagen]]</f>
        <v>0</v>
      </c>
      <c r="AG853" s="69">
        <f>Ruimtestaat[[#This Row],[kosten / jaar weekend]]+Ruimtestaat[[#This Row],[kosten / jaar werkdagen]]</f>
        <v>0</v>
      </c>
      <c r="AH853" s="69"/>
      <c r="AI853" s="256" t="str">
        <f>IF(Ruimtestaat[[#This Row],[Frequentie werkdagen]]="","",_xlfn.CONCAT(Ruimtestaat[[#This Row],[Ruimte code]],"-",Ruimtestaat[[#This Row],[Frequentie werkdagen]]," ",Ruimtestaat[[#This Row],[Vloer code]]))</f>
        <v>6-5w L</v>
      </c>
      <c r="AJ853" s="300" t="str">
        <f>_xlfn.IFNA(VLOOKUP($AI853,Programma!$F$3:$G$1107,2,0),"")</f>
        <v>_</v>
      </c>
      <c r="AK853" s="300" t="str">
        <f>_xlfn.IFNA(VLOOKUP($AI853,Programma!$F$3:$H$1107,3,0),"")</f>
        <v>_</v>
      </c>
      <c r="AL853" s="300" t="str">
        <f>_xlfn.IFNA(VLOOKUP($AI853,Programma!$F$3:$I$1107,4,0),"")</f>
        <v>_</v>
      </c>
      <c r="AM853" s="300" t="str">
        <f>_xlfn.IFNA(VLOOKUP($AI853,Programma!$F$3:$J$1107,5,0),"")</f>
        <v>5w</v>
      </c>
      <c r="AN853" s="300" t="str">
        <f>_xlfn.IFNA(VLOOKUP($AI853,Programma!$F$3:$K$1107,6,0),"")</f>
        <v>_</v>
      </c>
      <c r="AO853" s="300" t="str">
        <f>_xlfn.IFNA(VLOOKUP($AI853,Programma!$F$3:$L$1107,7,0),"")</f>
        <v>_</v>
      </c>
      <c r="AP853" s="300" t="str">
        <f>_xlfn.IFNA(VLOOKUP($AI853,Programma!$F$3:$M$1107,8,0),"")</f>
        <v>_</v>
      </c>
      <c r="AQ853" s="300" t="str">
        <f>_xlfn.IFNA(VLOOKUP($AI853,Programma!$F$3:$N$1107,9,0),"")</f>
        <v>_</v>
      </c>
      <c r="AR853" s="300" t="str">
        <f>_xlfn.IFNA(VLOOKUP($AI853,Programma!$F$3:$O$1107,10,0),"")</f>
        <v>5w</v>
      </c>
      <c r="AS853" s="300" t="str">
        <f>_xlfn.IFNA(VLOOKUP($AI853,Programma!$F$3:$P$1107,11,0),"")</f>
        <v>5w</v>
      </c>
      <c r="AT853" s="300" t="str">
        <f>_xlfn.IFNA(VLOOKUP($AI853,Programma!$F$3:$Q$1107,12,0),"")</f>
        <v>1w</v>
      </c>
      <c r="AU853" s="300" t="str">
        <f>_xlfn.IFNA(VLOOKUP($AI853,Programma!$F$3:$R$1107,13,0),"")</f>
        <v>1w</v>
      </c>
      <c r="AV853" s="300" t="str">
        <f>_xlfn.IFNA(VLOOKUP($AI853,Programma!$F$3:$S$1107,14,0),"")</f>
        <v>1m</v>
      </c>
      <c r="AW853" s="300" t="str">
        <f>_xlfn.IFNA(VLOOKUP($AI853,Programma!$F$3:$T$1107,15,0),"")</f>
        <v>2j</v>
      </c>
      <c r="AX853" s="300" t="str">
        <f>_xlfn.IFNA(VLOOKUP($AI853,Programma!$F$3:$U$1107,16,0),"")</f>
        <v>1j</v>
      </c>
      <c r="AY853" s="300" t="str">
        <f>_xlfn.IFNA(VLOOKUP($AI853,Programma!$F$3:$V$1107,17,0),"")</f>
        <v>_</v>
      </c>
      <c r="AZ853" s="300" t="str">
        <f>_xlfn.IFNA(VLOOKUP($AI853,Programma!$F$3:$W$1107,18,0),"")</f>
        <v>_</v>
      </c>
      <c r="BA853" s="300" t="str">
        <f>_xlfn.IFNA(VLOOKUP($AI853,Programma!$F$3:$X$1107,19,0),"")</f>
        <v>_</v>
      </c>
      <c r="BB853" s="300" t="str">
        <f>_xlfn.IFNA(VLOOKUP($AI853,Programma!$F$3:$Y$1107,20,0),"")</f>
        <v>_</v>
      </c>
      <c r="BC853" s="257"/>
      <c r="BD853" s="256" t="str">
        <f>IF(Ruimtestaat[[#This Row],[Frequentie weekend]]="","",_xlfn.CONCAT(Ruimtestaat[[#This Row],[Ruimte code]],"-",Ruimtestaat[[#This Row],[Frequentie weekend]]," ",Ruimtestaat[[#This Row],[Vloer code]]))</f>
        <v/>
      </c>
      <c r="BE853" s="300" t="str">
        <f>_xlfn.IFNA(VLOOKUP($BD853,Programma!$F$3:$G$1107,2,0),"")</f>
        <v/>
      </c>
      <c r="BF853" s="300" t="str">
        <f>_xlfn.IFNA(VLOOKUP($BD853,Programma!$F$3:$H$1107,3,0),"")</f>
        <v/>
      </c>
      <c r="BG853" s="300" t="str">
        <f>_xlfn.IFNA(VLOOKUP($BD853,Programma!$F$3:$I$1107,4,0),"")</f>
        <v/>
      </c>
      <c r="BH853" s="300" t="str">
        <f>_xlfn.IFNA(VLOOKUP($BD853,Programma!$F$3:$J$1107,5,0),"")</f>
        <v/>
      </c>
      <c r="BI853" s="300" t="str">
        <f>_xlfn.IFNA(VLOOKUP($BD853,Programma!$F$3:$K$1107,6,0),"")</f>
        <v/>
      </c>
      <c r="BJ853" s="300" t="str">
        <f>_xlfn.IFNA(VLOOKUP($BD853,Programma!$F$3:$L$1107,7,0),"")</f>
        <v/>
      </c>
      <c r="BK853" s="300" t="str">
        <f>_xlfn.IFNA(VLOOKUP($BD853,Programma!$F$3:$M$1107,8,0),"")</f>
        <v/>
      </c>
      <c r="BL853" s="300" t="str">
        <f>_xlfn.IFNA(VLOOKUP($BD853,Programma!$F$3:$N$1107,9,0),"")</f>
        <v/>
      </c>
      <c r="BM853" s="300" t="str">
        <f>_xlfn.IFNA(VLOOKUP($BD853,Programma!$F$3:$O$1107,10,0),"")</f>
        <v/>
      </c>
      <c r="BN853" s="300" t="str">
        <f>_xlfn.IFNA(VLOOKUP($BD853,Programma!$F$3:$P$1107,11,0),"")</f>
        <v/>
      </c>
      <c r="BO853" s="300" t="str">
        <f>_xlfn.IFNA(VLOOKUP($BD853,Programma!$F$3:$Q$1107,12,0),"")</f>
        <v/>
      </c>
      <c r="BP853" s="300" t="str">
        <f>_xlfn.IFNA(VLOOKUP($BD853,Programma!$F$3:$R$1107,13,0),"")</f>
        <v/>
      </c>
      <c r="BQ853" s="300" t="str">
        <f>_xlfn.IFNA(VLOOKUP($BD853,Programma!$F$3:$S$1107,14,0),"")</f>
        <v/>
      </c>
      <c r="BR853" s="300" t="str">
        <f>_xlfn.IFNA(VLOOKUP($BD853,Programma!$F$3:$T$1107,15,0),"")</f>
        <v/>
      </c>
      <c r="BS853" s="300" t="str">
        <f>_xlfn.IFNA(VLOOKUP($BD853,Programma!$F$3:$U$1107,16,0),"")</f>
        <v/>
      </c>
      <c r="BT853" s="300" t="str">
        <f>_xlfn.IFNA(VLOOKUP($BD853,Programma!$F$3:$V$1107,17,0),"")</f>
        <v/>
      </c>
      <c r="BU853" s="300" t="str">
        <f>_xlfn.IFNA(VLOOKUP($BD853,Programma!$F$3:$W$1107,18,0),"")</f>
        <v/>
      </c>
      <c r="BV853" s="300" t="str">
        <f>_xlfn.IFNA(VLOOKUP($BD853,Programma!$F$3:$X$1107,19,0),"")</f>
        <v/>
      </c>
      <c r="BW853" s="300" t="str">
        <f>_xlfn.IFNA(VLOOKUP($BD853,Programma!$F$3:$Y$1107,20,0),"")</f>
        <v/>
      </c>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c r="GK853" s="4"/>
      <c r="GL853" s="4"/>
      <c r="GM853" s="4"/>
      <c r="GN853" s="4"/>
      <c r="GO853" s="4"/>
      <c r="GP853" s="4"/>
      <c r="GQ853" s="4"/>
      <c r="GR853" s="4"/>
      <c r="GS853" s="4"/>
      <c r="GT853" s="4"/>
      <c r="GU853" s="4"/>
      <c r="GV853" s="4"/>
      <c r="GW853" s="4"/>
      <c r="GX853" s="4"/>
      <c r="GY853" s="4"/>
      <c r="GZ853" s="4"/>
      <c r="HA853" s="4"/>
      <c r="HB853" s="4"/>
      <c r="HC853" s="4"/>
      <c r="HD853" s="4"/>
      <c r="HE853" s="4"/>
      <c r="HF853" s="4"/>
      <c r="HG853" s="4"/>
      <c r="HH853" s="4"/>
      <c r="HI853" s="4"/>
      <c r="HJ853" s="4"/>
      <c r="HK853" s="4"/>
      <c r="HL853" s="4"/>
    </row>
    <row r="854" spans="1:220" ht="15" customHeight="1">
      <c r="A854" s="21">
        <v>8</v>
      </c>
      <c r="B854" s="157" t="str">
        <f>VLOOKUP(Ruimtestaat[[#This Row],[Code]],Locaties[[Code]:[Locatie]],2,FALSE)</f>
        <v>Dalton College</v>
      </c>
      <c r="C854" s="157" t="str">
        <f>VLOOKUP(Ruimtestaat[[#This Row],[Code]],Locaties[[#All],[Code]:[Adres]],4,FALSE)</f>
        <v>Loolaan 125</v>
      </c>
      <c r="D854" s="157" t="str">
        <f>VLOOKUP(Ruimtestaat[[#This Row],[Code]],Locaties[[#All],[Code]:[Postcode]],5,FALSE)</f>
        <v xml:space="preserve">2271 TM </v>
      </c>
      <c r="E854" s="157" t="str">
        <f>VLOOKUP(Ruimtestaat[[#This Row],[Code]],Locaties[#All],6,FALSE)</f>
        <v>Voorburg</v>
      </c>
      <c r="F854" s="62"/>
      <c r="G854" s="21" t="s">
        <v>1706</v>
      </c>
      <c r="H854" s="21" t="s">
        <v>1976</v>
      </c>
      <c r="I854" s="62" t="s">
        <v>2316</v>
      </c>
      <c r="J854" s="21">
        <v>16</v>
      </c>
      <c r="K854" s="62" t="str">
        <f>VLOOKUP(Ruimtestaat[[#This Row],[Ruimte code]],Ruimtegroepen[[#All],[Code]:[Ruimte omschrijving]],2,FALSE)</f>
        <v>Leslokalen theorie</v>
      </c>
      <c r="L854" s="33" t="s">
        <v>101</v>
      </c>
      <c r="M854" s="367" t="s">
        <v>2495</v>
      </c>
      <c r="N854" s="140">
        <v>30</v>
      </c>
      <c r="O854" s="140"/>
      <c r="P854" s="125" t="str">
        <f>VLOOKUP(Ruimtestaat[[#This Row],[Ruimte code]],Ruimtegroepen[],4,FALSE)</f>
        <v>Le</v>
      </c>
      <c r="R854" s="33">
        <v>40</v>
      </c>
      <c r="S854" s="33" t="s">
        <v>2</v>
      </c>
      <c r="T854" s="33">
        <f>IF(R854&gt;0,IF(RIGHT(Ruimtestaat[[#This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4" s="33">
        <f>IF(T854&gt;0,VLOOKUP($J854,Ruimtegroepen[],3,FALSE)*VLOOKUP($L854,Vloersoorten[],3,FALSE)*VLOOKUP($S854,Frequenties[],3,FALSE)*VLOOKUP($A854,Locaties[],3,FALSE),0)</f>
        <v>0</v>
      </c>
      <c r="V854" s="33">
        <f>Ruimtestaat[[#This Row],[Uitvoeringen werkdagen]]*Ruimtestaat[[#This Row],[Oppervlak (netto)]]</f>
        <v>6000</v>
      </c>
      <c r="W854" s="154">
        <f>IF(U854&gt;0,Ruimtestaat[[#This Row],[Prest. (m2 /jaar) werkdagen]]/Ruimtestaat[[#This Row],[Norm (m2/uur) werkdagen]],0)</f>
        <v>0</v>
      </c>
      <c r="X854" s="155">
        <f>Ruimtestaat[[#This Row],[uren / jaar werkdagen]]*Tariefsopbouw!$E$35</f>
        <v>0</v>
      </c>
      <c r="Y854" s="33"/>
      <c r="Z854" s="33">
        <f>IF(Ruimtestaat[[#This Row],[Frequentie weekend]]&gt;0,VALUE(LEFT(Y854,1))*R854,0)</f>
        <v>0</v>
      </c>
      <c r="AA854" s="97">
        <f>IF($Z854&gt;0,VLOOKUP($J854,Ruimtegroepen[],3,FALSE)*VLOOKUP($L854,Vloersoorten[],3,FALSE)*VLOOKUP($Y854,Frequenties[],3,FALSE)*VLOOKUP(Ruimtestaat[[#This Row],[Code]],Locaties[],3,FALSE),0)</f>
        <v>0</v>
      </c>
      <c r="AB854" s="97">
        <f>Ruimtestaat[[#This Row],[Uitvoeringen weekend]]*Ruimtestaat[[#This Row],[Oppervlak (netto)]]</f>
        <v>0</v>
      </c>
      <c r="AC854" s="97">
        <f>IF(AA854&gt;0,Ruimtestaat[[#This Row],[Prest. (m2 /jaar) weekend]]/Ruimtestaat[[#This Row],[Norm (m2/uur) weekend]],0)</f>
        <v>0</v>
      </c>
      <c r="AD854" s="155">
        <f>Ruimtestaat[[#This Row],[uren / jaar weekend]]*Tariefsopbouw!$D$40</f>
        <v>0</v>
      </c>
      <c r="AE854" s="154">
        <f>Ruimtestaat[[#This Row],[Prest. (m2 /jaar) weekend]]+Ruimtestaat[[#This Row],[Prest. (m2 /jaar) werkdagen]]</f>
        <v>6000</v>
      </c>
      <c r="AF854" s="154">
        <f>Ruimtestaat[[#This Row],[uren / jaar weekend]]+Ruimtestaat[[#This Row],[uren / jaar werkdagen]]</f>
        <v>0</v>
      </c>
      <c r="AG854" s="69">
        <f>Ruimtestaat[[#This Row],[kosten / jaar weekend]]+Ruimtestaat[[#This Row],[kosten / jaar werkdagen]]</f>
        <v>0</v>
      </c>
      <c r="AH854" s="69"/>
      <c r="AI854" s="256" t="str">
        <f>IF(Ruimtestaat[[#This Row],[Frequentie werkdagen]]="","",_xlfn.CONCAT(Ruimtestaat[[#This Row],[Ruimte code]],"-",Ruimtestaat[[#This Row],[Frequentie werkdagen]]," ",Ruimtestaat[[#This Row],[Vloer code]]))</f>
        <v>16-5w L</v>
      </c>
      <c r="AJ854" s="300" t="str">
        <f>_xlfn.IFNA(VLOOKUP($AI854,Programma!$F$3:$G$1107,2,0),"")</f>
        <v>_</v>
      </c>
      <c r="AK854" s="300" t="str">
        <f>_xlfn.IFNA(VLOOKUP($AI854,Programma!$F$3:$H$1107,3,0),"")</f>
        <v>_</v>
      </c>
      <c r="AL854" s="300" t="str">
        <f>_xlfn.IFNA(VLOOKUP($AI854,Programma!$F$3:$I$1107,4,0),"")</f>
        <v>4w</v>
      </c>
      <c r="AM854" s="300" t="str">
        <f>_xlfn.IFNA(VLOOKUP($AI854,Programma!$F$3:$J$1107,5,0),"")</f>
        <v>1w</v>
      </c>
      <c r="AN854" s="300" t="str">
        <f>_xlfn.IFNA(VLOOKUP($AI854,Programma!$F$3:$K$1107,6,0),"")</f>
        <v>_</v>
      </c>
      <c r="AO854" s="300" t="str">
        <f>_xlfn.IFNA(VLOOKUP($AI854,Programma!$F$3:$L$1107,7,0),"")</f>
        <v>_</v>
      </c>
      <c r="AP854" s="300" t="str">
        <f>_xlfn.IFNA(VLOOKUP($AI854,Programma!$F$3:$M$1107,8,0),"")</f>
        <v>_</v>
      </c>
      <c r="AQ854" s="300" t="str">
        <f>_xlfn.IFNA(VLOOKUP($AI854,Programma!$F$3:$N$1107,9,0),"")</f>
        <v>_</v>
      </c>
      <c r="AR854" s="300" t="str">
        <f>_xlfn.IFNA(VLOOKUP($AI854,Programma!$F$3:$O$1107,10,0),"")</f>
        <v>5w</v>
      </c>
      <c r="AS854" s="300" t="str">
        <f>_xlfn.IFNA(VLOOKUP($AI854,Programma!$F$3:$P$1107,11,0),"")</f>
        <v>5w</v>
      </c>
      <c r="AT854" s="300" t="str">
        <f>_xlfn.IFNA(VLOOKUP($AI854,Programma!$F$3:$Q$1107,12,0),"")</f>
        <v>1w</v>
      </c>
      <c r="AU854" s="300" t="str">
        <f>_xlfn.IFNA(VLOOKUP($AI854,Programma!$F$3:$R$1107,13,0),"")</f>
        <v>1w</v>
      </c>
      <c r="AV854" s="300" t="str">
        <f>_xlfn.IFNA(VLOOKUP($AI854,Programma!$F$3:$S$1107,14,0),"")</f>
        <v>1m</v>
      </c>
      <c r="AW854" s="300" t="str">
        <f>_xlfn.IFNA(VLOOKUP($AI854,Programma!$F$3:$T$1107,15,0),"")</f>
        <v>2j</v>
      </c>
      <c r="AX854" s="300" t="str">
        <f>_xlfn.IFNA(VLOOKUP($AI854,Programma!$F$3:$U$1107,16,0),"")</f>
        <v>1j</v>
      </c>
      <c r="AY854" s="300" t="str">
        <f>_xlfn.IFNA(VLOOKUP($AI854,Programma!$F$3:$V$1107,17,0),"")</f>
        <v>_</v>
      </c>
      <c r="AZ854" s="300" t="str">
        <f>_xlfn.IFNA(VLOOKUP($AI854,Programma!$F$3:$W$1107,18,0),"")</f>
        <v>_</v>
      </c>
      <c r="BA854" s="300" t="str">
        <f>_xlfn.IFNA(VLOOKUP($AI854,Programma!$F$3:$X$1107,19,0),"")</f>
        <v>_</v>
      </c>
      <c r="BB854" s="300" t="str">
        <f>_xlfn.IFNA(VLOOKUP($AI854,Programma!$F$3:$Y$1107,20,0),"")</f>
        <v>_</v>
      </c>
      <c r="BC854" s="257"/>
      <c r="BD854" s="256" t="str">
        <f>IF(Ruimtestaat[[#This Row],[Frequentie weekend]]="","",_xlfn.CONCAT(Ruimtestaat[[#This Row],[Ruimte code]],"-",Ruimtestaat[[#This Row],[Frequentie weekend]]," ",Ruimtestaat[[#This Row],[Vloer code]]))</f>
        <v/>
      </c>
      <c r="BE854" s="300" t="str">
        <f>_xlfn.IFNA(VLOOKUP($BD854,Programma!$F$3:$G$1107,2,0),"")</f>
        <v/>
      </c>
      <c r="BF854" s="300" t="str">
        <f>_xlfn.IFNA(VLOOKUP($BD854,Programma!$F$3:$H$1107,3,0),"")</f>
        <v/>
      </c>
      <c r="BG854" s="300" t="str">
        <f>_xlfn.IFNA(VLOOKUP($BD854,Programma!$F$3:$I$1107,4,0),"")</f>
        <v/>
      </c>
      <c r="BH854" s="300" t="str">
        <f>_xlfn.IFNA(VLOOKUP($BD854,Programma!$F$3:$J$1107,5,0),"")</f>
        <v/>
      </c>
      <c r="BI854" s="300" t="str">
        <f>_xlfn.IFNA(VLOOKUP($BD854,Programma!$F$3:$K$1107,6,0),"")</f>
        <v/>
      </c>
      <c r="BJ854" s="300" t="str">
        <f>_xlfn.IFNA(VLOOKUP($BD854,Programma!$F$3:$L$1107,7,0),"")</f>
        <v/>
      </c>
      <c r="BK854" s="300" t="str">
        <f>_xlfn.IFNA(VLOOKUP($BD854,Programma!$F$3:$M$1107,8,0),"")</f>
        <v/>
      </c>
      <c r="BL854" s="300" t="str">
        <f>_xlfn.IFNA(VLOOKUP($BD854,Programma!$F$3:$N$1107,9,0),"")</f>
        <v/>
      </c>
      <c r="BM854" s="300" t="str">
        <f>_xlfn.IFNA(VLOOKUP($BD854,Programma!$F$3:$O$1107,10,0),"")</f>
        <v/>
      </c>
      <c r="BN854" s="300" t="str">
        <f>_xlfn.IFNA(VLOOKUP($BD854,Programma!$F$3:$P$1107,11,0),"")</f>
        <v/>
      </c>
      <c r="BO854" s="300" t="str">
        <f>_xlfn.IFNA(VLOOKUP($BD854,Programma!$F$3:$Q$1107,12,0),"")</f>
        <v/>
      </c>
      <c r="BP854" s="300" t="str">
        <f>_xlfn.IFNA(VLOOKUP($BD854,Programma!$F$3:$R$1107,13,0),"")</f>
        <v/>
      </c>
      <c r="BQ854" s="300" t="str">
        <f>_xlfn.IFNA(VLOOKUP($BD854,Programma!$F$3:$S$1107,14,0),"")</f>
        <v/>
      </c>
      <c r="BR854" s="300" t="str">
        <f>_xlfn.IFNA(VLOOKUP($BD854,Programma!$F$3:$T$1107,15,0),"")</f>
        <v/>
      </c>
      <c r="BS854" s="300" t="str">
        <f>_xlfn.IFNA(VLOOKUP($BD854,Programma!$F$3:$U$1107,16,0),"")</f>
        <v/>
      </c>
      <c r="BT854" s="300" t="str">
        <f>_xlfn.IFNA(VLOOKUP($BD854,Programma!$F$3:$V$1107,17,0),"")</f>
        <v/>
      </c>
      <c r="BU854" s="300" t="str">
        <f>_xlfn.IFNA(VLOOKUP($BD854,Programma!$F$3:$W$1107,18,0),"")</f>
        <v/>
      </c>
      <c r="BV854" s="300" t="str">
        <f>_xlfn.IFNA(VLOOKUP($BD854,Programma!$F$3:$X$1107,19,0),"")</f>
        <v/>
      </c>
      <c r="BW854" s="300" t="str">
        <f>_xlfn.IFNA(VLOOKUP($BD854,Programma!$F$3:$Y$1107,20,0),"")</f>
        <v/>
      </c>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c r="GK854" s="4"/>
      <c r="GL854" s="4"/>
      <c r="GM854" s="4"/>
      <c r="GN854" s="4"/>
      <c r="GO854" s="4"/>
      <c r="GP854" s="4"/>
      <c r="GQ854" s="4"/>
      <c r="GR854" s="4"/>
      <c r="GS854" s="4"/>
      <c r="GT854" s="4"/>
      <c r="GU854" s="4"/>
      <c r="GV854" s="4"/>
      <c r="GW854" s="4"/>
      <c r="GX854" s="4"/>
      <c r="GY854" s="4"/>
      <c r="GZ854" s="4"/>
      <c r="HA854" s="4"/>
      <c r="HB854" s="4"/>
      <c r="HC854" s="4"/>
      <c r="HD854" s="4"/>
      <c r="HE854" s="4"/>
      <c r="HF854" s="4"/>
      <c r="HG854" s="4"/>
      <c r="HH854" s="4"/>
      <c r="HI854" s="4"/>
      <c r="HJ854" s="4"/>
      <c r="HK854" s="4"/>
      <c r="HL854" s="4"/>
    </row>
    <row r="855" spans="1:220" ht="15" customHeight="1">
      <c r="A855" s="21">
        <v>8</v>
      </c>
      <c r="B855" s="157" t="str">
        <f>VLOOKUP(Ruimtestaat[[#This Row],[Code]],Locaties[[Code]:[Locatie]],2,FALSE)</f>
        <v>Dalton College</v>
      </c>
      <c r="C855" s="157" t="str">
        <f>VLOOKUP(Ruimtestaat[[#This Row],[Code]],Locaties[[#All],[Code]:[Adres]],4,FALSE)</f>
        <v>Loolaan 125</v>
      </c>
      <c r="D855" s="157" t="str">
        <f>VLOOKUP(Ruimtestaat[[#This Row],[Code]],Locaties[[#All],[Code]:[Postcode]],5,FALSE)</f>
        <v xml:space="preserve">2271 TM </v>
      </c>
      <c r="E855" s="157" t="str">
        <f>VLOOKUP(Ruimtestaat[[#This Row],[Code]],Locaties[#All],6,FALSE)</f>
        <v>Voorburg</v>
      </c>
      <c r="F855" s="62"/>
      <c r="G855" s="21" t="s">
        <v>1706</v>
      </c>
      <c r="H855" s="21" t="s">
        <v>2317</v>
      </c>
      <c r="I855" s="62" t="s">
        <v>1639</v>
      </c>
      <c r="J855" s="21">
        <v>5</v>
      </c>
      <c r="K855" s="62" t="str">
        <f>VLOOKUP(Ruimtestaat[[#This Row],[Ruimte code]],Ruimtegroepen[[#All],[Code]:[Ruimte omschrijving]],2,FALSE)</f>
        <v>Sanitair</v>
      </c>
      <c r="L855" s="33" t="s">
        <v>102</v>
      </c>
      <c r="M855" s="367" t="s">
        <v>2496</v>
      </c>
      <c r="N855" s="140">
        <v>7</v>
      </c>
      <c r="O855" s="140"/>
      <c r="P855" s="125" t="str">
        <f>VLOOKUP(Ruimtestaat[[#This Row],[Ruimte code]],Ruimtegroepen[],4,FALSE)</f>
        <v>Sa</v>
      </c>
      <c r="R855" s="33">
        <v>40</v>
      </c>
      <c r="S855" s="33" t="s">
        <v>2</v>
      </c>
      <c r="T855" s="33">
        <f>IF(R855&gt;0,IF(RIGHT(Ruimtestaat[[#This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5" s="33">
        <f>IF(T855&gt;0,VLOOKUP($J855,Ruimtegroepen[],3,FALSE)*VLOOKUP($L855,Vloersoorten[],3,FALSE)*VLOOKUP($S855,Frequenties[],3,FALSE)*VLOOKUP($A855,Locaties[],3,FALSE),0)</f>
        <v>0</v>
      </c>
      <c r="V855" s="33">
        <f>Ruimtestaat[[#This Row],[Uitvoeringen werkdagen]]*Ruimtestaat[[#This Row],[Oppervlak (netto)]]</f>
        <v>1400</v>
      </c>
      <c r="W855" s="154">
        <f>IF(U855&gt;0,Ruimtestaat[[#This Row],[Prest. (m2 /jaar) werkdagen]]/Ruimtestaat[[#This Row],[Norm (m2/uur) werkdagen]],0)</f>
        <v>0</v>
      </c>
      <c r="X855" s="155">
        <f>Ruimtestaat[[#This Row],[uren / jaar werkdagen]]*Tariefsopbouw!$E$35</f>
        <v>0</v>
      </c>
      <c r="Y855" s="33"/>
      <c r="Z855" s="33">
        <f>IF(Ruimtestaat[[#This Row],[Frequentie weekend]]&gt;0,VALUE(LEFT(Y855,1))*R855,0)</f>
        <v>0</v>
      </c>
      <c r="AA855" s="97">
        <f>IF($Z855&gt;0,VLOOKUP($J855,Ruimtegroepen[],3,FALSE)*VLOOKUP($L855,Vloersoorten[],3,FALSE)*VLOOKUP($Y855,Frequenties[],3,FALSE)*VLOOKUP(Ruimtestaat[[#This Row],[Code]],Locaties[],3,FALSE),0)</f>
        <v>0</v>
      </c>
      <c r="AB855" s="97">
        <f>Ruimtestaat[[#This Row],[Uitvoeringen weekend]]*Ruimtestaat[[#This Row],[Oppervlak (netto)]]</f>
        <v>0</v>
      </c>
      <c r="AC855" s="97">
        <f>IF(AA855&gt;0,Ruimtestaat[[#This Row],[Prest. (m2 /jaar) weekend]]/Ruimtestaat[[#This Row],[Norm (m2/uur) weekend]],0)</f>
        <v>0</v>
      </c>
      <c r="AD855" s="155">
        <f>Ruimtestaat[[#This Row],[uren / jaar weekend]]*Tariefsopbouw!$D$40</f>
        <v>0</v>
      </c>
      <c r="AE855" s="154">
        <f>Ruimtestaat[[#This Row],[Prest. (m2 /jaar) weekend]]+Ruimtestaat[[#This Row],[Prest. (m2 /jaar) werkdagen]]</f>
        <v>1400</v>
      </c>
      <c r="AF855" s="154">
        <f>Ruimtestaat[[#This Row],[uren / jaar weekend]]+Ruimtestaat[[#This Row],[uren / jaar werkdagen]]</f>
        <v>0</v>
      </c>
      <c r="AG855" s="69">
        <f>Ruimtestaat[[#This Row],[kosten / jaar weekend]]+Ruimtestaat[[#This Row],[kosten / jaar werkdagen]]</f>
        <v>0</v>
      </c>
      <c r="AH855" s="69"/>
      <c r="AI855" s="256" t="str">
        <f>IF(Ruimtestaat[[#This Row],[Frequentie werkdagen]]="","",_xlfn.CONCAT(Ruimtestaat[[#This Row],[Ruimte code]],"-",Ruimtestaat[[#This Row],[Frequentie werkdagen]]," ",Ruimtestaat[[#This Row],[Vloer code]]))</f>
        <v>5-5w S</v>
      </c>
      <c r="AJ855" s="300" t="str">
        <f>_xlfn.IFNA(VLOOKUP($AI855,Programma!$F$3:$G$1107,2,0),"")</f>
        <v>_</v>
      </c>
      <c r="AK855" s="300" t="str">
        <f>_xlfn.IFNA(VLOOKUP($AI855,Programma!$F$3:$H$1107,3,0),"")</f>
        <v>_</v>
      </c>
      <c r="AL855" s="300" t="str">
        <f>_xlfn.IFNA(VLOOKUP($AI855,Programma!$F$3:$I$1107,4,0),"")</f>
        <v>_</v>
      </c>
      <c r="AM855" s="300" t="str">
        <f>_xlfn.IFNA(VLOOKUP($AI855,Programma!$F$3:$J$1107,5,0),"")</f>
        <v>4w</v>
      </c>
      <c r="AN855" s="300" t="str">
        <f>_xlfn.IFNA(VLOOKUP($AI855,Programma!$F$3:$K$1107,6,0),"")</f>
        <v>1w</v>
      </c>
      <c r="AO855" s="300" t="str">
        <f>_xlfn.IFNA(VLOOKUP($AI855,Programma!$F$3:$L$1107,7,0),"")</f>
        <v>_</v>
      </c>
      <c r="AP855" s="300" t="str">
        <f>_xlfn.IFNA(VLOOKUP($AI855,Programma!$F$3:$M$1107,8,0),"")</f>
        <v>_</v>
      </c>
      <c r="AQ855" s="300" t="str">
        <f>_xlfn.IFNA(VLOOKUP($AI855,Programma!$F$3:$N$1107,9,0),"")</f>
        <v>_</v>
      </c>
      <c r="AR855" s="300" t="str">
        <f>_xlfn.IFNA(VLOOKUP($AI855,Programma!$F$3:$O$1107,10,0),"")</f>
        <v>_</v>
      </c>
      <c r="AS855" s="300" t="str">
        <f>_xlfn.IFNA(VLOOKUP($AI855,Programma!$F$3:$P$1107,11,0),"")</f>
        <v>_</v>
      </c>
      <c r="AT855" s="300" t="str">
        <f>_xlfn.IFNA(VLOOKUP($AI855,Programma!$F$3:$Q$1107,12,0),"")</f>
        <v>_</v>
      </c>
      <c r="AU855" s="300" t="str">
        <f>_xlfn.IFNA(VLOOKUP($AI855,Programma!$F$3:$R$1107,13,0),"")</f>
        <v>_</v>
      </c>
      <c r="AV855" s="300" t="str">
        <f>_xlfn.IFNA(VLOOKUP($AI855,Programma!$F$3:$S$1107,14,0),"")</f>
        <v>_</v>
      </c>
      <c r="AW855" s="300" t="str">
        <f>_xlfn.IFNA(VLOOKUP($AI855,Programma!$F$3:$T$1107,15,0),"")</f>
        <v>_</v>
      </c>
      <c r="AX855" s="300" t="str">
        <f>_xlfn.IFNA(VLOOKUP($AI855,Programma!$F$3:$U$1107,16,0),"")</f>
        <v>_</v>
      </c>
      <c r="AY855" s="300" t="str">
        <f>_xlfn.IFNA(VLOOKUP($AI855,Programma!$F$3:$V$1107,17,0),"")</f>
        <v>_</v>
      </c>
      <c r="AZ855" s="300" t="str">
        <f>_xlfn.IFNA(VLOOKUP($AI855,Programma!$F$3:$W$1107,18,0),"")</f>
        <v>4w</v>
      </c>
      <c r="BA855" s="300" t="str">
        <f>_xlfn.IFNA(VLOOKUP($AI855,Programma!$F$3:$X$1107,19,0),"")</f>
        <v>1w</v>
      </c>
      <c r="BB855" s="300" t="str">
        <f>_xlfn.IFNA(VLOOKUP($AI855,Programma!$F$3:$Y$1107,20,0),"")</f>
        <v>_</v>
      </c>
      <c r="BC855" s="257"/>
      <c r="BD855" s="256" t="str">
        <f>IF(Ruimtestaat[[#This Row],[Frequentie weekend]]="","",_xlfn.CONCAT(Ruimtestaat[[#This Row],[Ruimte code]],"-",Ruimtestaat[[#This Row],[Frequentie weekend]]," ",Ruimtestaat[[#This Row],[Vloer code]]))</f>
        <v/>
      </c>
      <c r="BE855" s="300" t="str">
        <f>_xlfn.IFNA(VLOOKUP($BD855,Programma!$F$3:$G$1107,2,0),"")</f>
        <v/>
      </c>
      <c r="BF855" s="300" t="str">
        <f>_xlfn.IFNA(VLOOKUP($BD855,Programma!$F$3:$H$1107,3,0),"")</f>
        <v/>
      </c>
      <c r="BG855" s="300" t="str">
        <f>_xlfn.IFNA(VLOOKUP($BD855,Programma!$F$3:$I$1107,4,0),"")</f>
        <v/>
      </c>
      <c r="BH855" s="300" t="str">
        <f>_xlfn.IFNA(VLOOKUP($BD855,Programma!$F$3:$J$1107,5,0),"")</f>
        <v/>
      </c>
      <c r="BI855" s="300" t="str">
        <f>_xlfn.IFNA(VLOOKUP($BD855,Programma!$F$3:$K$1107,6,0),"")</f>
        <v/>
      </c>
      <c r="BJ855" s="300" t="str">
        <f>_xlfn.IFNA(VLOOKUP($BD855,Programma!$F$3:$L$1107,7,0),"")</f>
        <v/>
      </c>
      <c r="BK855" s="300" t="str">
        <f>_xlfn.IFNA(VLOOKUP($BD855,Programma!$F$3:$M$1107,8,0),"")</f>
        <v/>
      </c>
      <c r="BL855" s="300" t="str">
        <f>_xlfn.IFNA(VLOOKUP($BD855,Programma!$F$3:$N$1107,9,0),"")</f>
        <v/>
      </c>
      <c r="BM855" s="300" t="str">
        <f>_xlfn.IFNA(VLOOKUP($BD855,Programma!$F$3:$O$1107,10,0),"")</f>
        <v/>
      </c>
      <c r="BN855" s="300" t="str">
        <f>_xlfn.IFNA(VLOOKUP($BD855,Programma!$F$3:$P$1107,11,0),"")</f>
        <v/>
      </c>
      <c r="BO855" s="300" t="str">
        <f>_xlfn.IFNA(VLOOKUP($BD855,Programma!$F$3:$Q$1107,12,0),"")</f>
        <v/>
      </c>
      <c r="BP855" s="300" t="str">
        <f>_xlfn.IFNA(VLOOKUP($BD855,Programma!$F$3:$R$1107,13,0),"")</f>
        <v/>
      </c>
      <c r="BQ855" s="300" t="str">
        <f>_xlfn.IFNA(VLOOKUP($BD855,Programma!$F$3:$S$1107,14,0),"")</f>
        <v/>
      </c>
      <c r="BR855" s="300" t="str">
        <f>_xlfn.IFNA(VLOOKUP($BD855,Programma!$F$3:$T$1107,15,0),"")</f>
        <v/>
      </c>
      <c r="BS855" s="300" t="str">
        <f>_xlfn.IFNA(VLOOKUP($BD855,Programma!$F$3:$U$1107,16,0),"")</f>
        <v/>
      </c>
      <c r="BT855" s="300" t="str">
        <f>_xlfn.IFNA(VLOOKUP($BD855,Programma!$F$3:$V$1107,17,0),"")</f>
        <v/>
      </c>
      <c r="BU855" s="300" t="str">
        <f>_xlfn.IFNA(VLOOKUP($BD855,Programma!$F$3:$W$1107,18,0),"")</f>
        <v/>
      </c>
      <c r="BV855" s="300" t="str">
        <f>_xlfn.IFNA(VLOOKUP($BD855,Programma!$F$3:$X$1107,19,0),"")</f>
        <v/>
      </c>
      <c r="BW855" s="300" t="str">
        <f>_xlfn.IFNA(VLOOKUP($BD855,Programma!$F$3:$Y$1107,20,0),"")</f>
        <v/>
      </c>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4"/>
      <c r="EO855" s="4"/>
      <c r="EP855" s="4"/>
      <c r="EQ855" s="4"/>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c r="FP855" s="4"/>
      <c r="FQ855" s="4"/>
      <c r="FR855" s="4"/>
      <c r="FS855" s="4"/>
      <c r="FT855" s="4"/>
      <c r="FU855" s="4"/>
      <c r="FV855" s="4"/>
      <c r="FW855" s="4"/>
      <c r="FX855" s="4"/>
      <c r="FY855" s="4"/>
      <c r="FZ855" s="4"/>
      <c r="GA855" s="4"/>
      <c r="GB855" s="4"/>
      <c r="GC855" s="4"/>
      <c r="GD855" s="4"/>
      <c r="GE855" s="4"/>
      <c r="GF855" s="4"/>
      <c r="GG855" s="4"/>
      <c r="GH855" s="4"/>
      <c r="GI855" s="4"/>
      <c r="GJ855" s="4"/>
      <c r="GK855" s="4"/>
      <c r="GL855" s="4"/>
      <c r="GM855" s="4"/>
      <c r="GN855" s="4"/>
      <c r="GO855" s="4"/>
      <c r="GP855" s="4"/>
      <c r="GQ855" s="4"/>
      <c r="GR855" s="4"/>
      <c r="GS855" s="4"/>
      <c r="GT855" s="4"/>
      <c r="GU855" s="4"/>
      <c r="GV855" s="4"/>
      <c r="GW855" s="4"/>
      <c r="GX855" s="4"/>
      <c r="GY855" s="4"/>
      <c r="GZ855" s="4"/>
      <c r="HA855" s="4"/>
      <c r="HB855" s="4"/>
      <c r="HC855" s="4"/>
      <c r="HD855" s="4"/>
      <c r="HE855" s="4"/>
      <c r="HF855" s="4"/>
      <c r="HG855" s="4"/>
      <c r="HH855" s="4"/>
      <c r="HI855" s="4"/>
      <c r="HJ855" s="4"/>
      <c r="HK855" s="4"/>
      <c r="HL855" s="4"/>
    </row>
    <row r="856" spans="1:220" ht="15" customHeight="1">
      <c r="A856" s="21">
        <v>8</v>
      </c>
      <c r="B856" s="157" t="str">
        <f>VLOOKUP(Ruimtestaat[[#This Row],[Code]],Locaties[[Code]:[Locatie]],2,FALSE)</f>
        <v>Dalton College</v>
      </c>
      <c r="C856" s="157" t="str">
        <f>VLOOKUP(Ruimtestaat[[#This Row],[Code]],Locaties[[#All],[Code]:[Adres]],4,FALSE)</f>
        <v>Loolaan 125</v>
      </c>
      <c r="D856" s="157" t="str">
        <f>VLOOKUP(Ruimtestaat[[#This Row],[Code]],Locaties[[#All],[Code]:[Postcode]],5,FALSE)</f>
        <v xml:space="preserve">2271 TM </v>
      </c>
      <c r="E856" s="157" t="str">
        <f>VLOOKUP(Ruimtestaat[[#This Row],[Code]],Locaties[#All],6,FALSE)</f>
        <v>Voorburg</v>
      </c>
      <c r="F856" s="62"/>
      <c r="G856" s="21" t="s">
        <v>1706</v>
      </c>
      <c r="H856" s="21" t="s">
        <v>2318</v>
      </c>
      <c r="I856" s="62" t="s">
        <v>1640</v>
      </c>
      <c r="J856" s="21">
        <v>5</v>
      </c>
      <c r="K856" s="62" t="str">
        <f>VLOOKUP(Ruimtestaat[[#This Row],[Ruimte code]],Ruimtegroepen[[#All],[Code]:[Ruimte omschrijving]],2,FALSE)</f>
        <v>Sanitair</v>
      </c>
      <c r="L856" s="33" t="s">
        <v>102</v>
      </c>
      <c r="M856" s="367" t="s">
        <v>2496</v>
      </c>
      <c r="N856" s="140">
        <v>9</v>
      </c>
      <c r="O856" s="140"/>
      <c r="P856" s="125" t="str">
        <f>VLOOKUP(Ruimtestaat[[#This Row],[Ruimte code]],Ruimtegroepen[],4,FALSE)</f>
        <v>Sa</v>
      </c>
      <c r="R856" s="33">
        <v>40</v>
      </c>
      <c r="S856" s="33" t="s">
        <v>2</v>
      </c>
      <c r="T856" s="33">
        <f>IF(R856&gt;0,IF(RIGHT(Ruimtestaat[[#This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6" s="33">
        <f>IF(T856&gt;0,VLOOKUP($J856,Ruimtegroepen[],3,FALSE)*VLOOKUP($L856,Vloersoorten[],3,FALSE)*VLOOKUP($S856,Frequenties[],3,FALSE)*VLOOKUP($A856,Locaties[],3,FALSE),0)</f>
        <v>0</v>
      </c>
      <c r="V856" s="33">
        <f>Ruimtestaat[[#This Row],[Uitvoeringen werkdagen]]*Ruimtestaat[[#This Row],[Oppervlak (netto)]]</f>
        <v>1800</v>
      </c>
      <c r="W856" s="154">
        <f>IF(U856&gt;0,Ruimtestaat[[#This Row],[Prest. (m2 /jaar) werkdagen]]/Ruimtestaat[[#This Row],[Norm (m2/uur) werkdagen]],0)</f>
        <v>0</v>
      </c>
      <c r="X856" s="155">
        <f>Ruimtestaat[[#This Row],[uren / jaar werkdagen]]*Tariefsopbouw!$E$35</f>
        <v>0</v>
      </c>
      <c r="Y856" s="33"/>
      <c r="Z856" s="33">
        <f>IF(Ruimtestaat[[#This Row],[Frequentie weekend]]&gt;0,VALUE(LEFT(Y856,1))*R856,0)</f>
        <v>0</v>
      </c>
      <c r="AA856" s="97">
        <f>IF($Z856&gt;0,VLOOKUP($J856,Ruimtegroepen[],3,FALSE)*VLOOKUP($L856,Vloersoorten[],3,FALSE)*VLOOKUP($Y856,Frequenties[],3,FALSE)*VLOOKUP(Ruimtestaat[[#This Row],[Code]],Locaties[],3,FALSE),0)</f>
        <v>0</v>
      </c>
      <c r="AB856" s="97">
        <f>Ruimtestaat[[#This Row],[Uitvoeringen weekend]]*Ruimtestaat[[#This Row],[Oppervlak (netto)]]</f>
        <v>0</v>
      </c>
      <c r="AC856" s="97">
        <f>IF(AA856&gt;0,Ruimtestaat[[#This Row],[Prest. (m2 /jaar) weekend]]/Ruimtestaat[[#This Row],[Norm (m2/uur) weekend]],0)</f>
        <v>0</v>
      </c>
      <c r="AD856" s="155">
        <f>Ruimtestaat[[#This Row],[uren / jaar weekend]]*Tariefsopbouw!$D$40</f>
        <v>0</v>
      </c>
      <c r="AE856" s="154">
        <f>Ruimtestaat[[#This Row],[Prest. (m2 /jaar) weekend]]+Ruimtestaat[[#This Row],[Prest. (m2 /jaar) werkdagen]]</f>
        <v>1800</v>
      </c>
      <c r="AF856" s="154">
        <f>Ruimtestaat[[#This Row],[uren / jaar weekend]]+Ruimtestaat[[#This Row],[uren / jaar werkdagen]]</f>
        <v>0</v>
      </c>
      <c r="AG856" s="69">
        <f>Ruimtestaat[[#This Row],[kosten / jaar weekend]]+Ruimtestaat[[#This Row],[kosten / jaar werkdagen]]</f>
        <v>0</v>
      </c>
      <c r="AH856" s="69"/>
      <c r="AI856" s="256" t="str">
        <f>IF(Ruimtestaat[[#This Row],[Frequentie werkdagen]]="","",_xlfn.CONCAT(Ruimtestaat[[#This Row],[Ruimte code]],"-",Ruimtestaat[[#This Row],[Frequentie werkdagen]]," ",Ruimtestaat[[#This Row],[Vloer code]]))</f>
        <v>5-5w S</v>
      </c>
      <c r="AJ856" s="300" t="str">
        <f>_xlfn.IFNA(VLOOKUP($AI856,Programma!$F$3:$G$1107,2,0),"")</f>
        <v>_</v>
      </c>
      <c r="AK856" s="300" t="str">
        <f>_xlfn.IFNA(VLOOKUP($AI856,Programma!$F$3:$H$1107,3,0),"")</f>
        <v>_</v>
      </c>
      <c r="AL856" s="300" t="str">
        <f>_xlfn.IFNA(VLOOKUP($AI856,Programma!$F$3:$I$1107,4,0),"")</f>
        <v>_</v>
      </c>
      <c r="AM856" s="300" t="str">
        <f>_xlfn.IFNA(VLOOKUP($AI856,Programma!$F$3:$J$1107,5,0),"")</f>
        <v>4w</v>
      </c>
      <c r="AN856" s="300" t="str">
        <f>_xlfn.IFNA(VLOOKUP($AI856,Programma!$F$3:$K$1107,6,0),"")</f>
        <v>1w</v>
      </c>
      <c r="AO856" s="300" t="str">
        <f>_xlfn.IFNA(VLOOKUP($AI856,Programma!$F$3:$L$1107,7,0),"")</f>
        <v>_</v>
      </c>
      <c r="AP856" s="300" t="str">
        <f>_xlfn.IFNA(VLOOKUP($AI856,Programma!$F$3:$M$1107,8,0),"")</f>
        <v>_</v>
      </c>
      <c r="AQ856" s="300" t="str">
        <f>_xlfn.IFNA(VLOOKUP($AI856,Programma!$F$3:$N$1107,9,0),"")</f>
        <v>_</v>
      </c>
      <c r="AR856" s="300" t="str">
        <f>_xlfn.IFNA(VLOOKUP($AI856,Programma!$F$3:$O$1107,10,0),"")</f>
        <v>_</v>
      </c>
      <c r="AS856" s="300" t="str">
        <f>_xlfn.IFNA(VLOOKUP($AI856,Programma!$F$3:$P$1107,11,0),"")</f>
        <v>_</v>
      </c>
      <c r="AT856" s="300" t="str">
        <f>_xlfn.IFNA(VLOOKUP($AI856,Programma!$F$3:$Q$1107,12,0),"")</f>
        <v>_</v>
      </c>
      <c r="AU856" s="300" t="str">
        <f>_xlfn.IFNA(VLOOKUP($AI856,Programma!$F$3:$R$1107,13,0),"")</f>
        <v>_</v>
      </c>
      <c r="AV856" s="300" t="str">
        <f>_xlfn.IFNA(VLOOKUP($AI856,Programma!$F$3:$S$1107,14,0),"")</f>
        <v>_</v>
      </c>
      <c r="AW856" s="300" t="str">
        <f>_xlfn.IFNA(VLOOKUP($AI856,Programma!$F$3:$T$1107,15,0),"")</f>
        <v>_</v>
      </c>
      <c r="AX856" s="300" t="str">
        <f>_xlfn.IFNA(VLOOKUP($AI856,Programma!$F$3:$U$1107,16,0),"")</f>
        <v>_</v>
      </c>
      <c r="AY856" s="300" t="str">
        <f>_xlfn.IFNA(VLOOKUP($AI856,Programma!$F$3:$V$1107,17,0),"")</f>
        <v>_</v>
      </c>
      <c r="AZ856" s="300" t="str">
        <f>_xlfn.IFNA(VLOOKUP($AI856,Programma!$F$3:$W$1107,18,0),"")</f>
        <v>4w</v>
      </c>
      <c r="BA856" s="300" t="str">
        <f>_xlfn.IFNA(VLOOKUP($AI856,Programma!$F$3:$X$1107,19,0),"")</f>
        <v>1w</v>
      </c>
      <c r="BB856" s="300" t="str">
        <f>_xlfn.IFNA(VLOOKUP($AI856,Programma!$F$3:$Y$1107,20,0),"")</f>
        <v>_</v>
      </c>
      <c r="BC856" s="257"/>
      <c r="BD856" s="256" t="str">
        <f>IF(Ruimtestaat[[#This Row],[Frequentie weekend]]="","",_xlfn.CONCAT(Ruimtestaat[[#This Row],[Ruimte code]],"-",Ruimtestaat[[#This Row],[Frequentie weekend]]," ",Ruimtestaat[[#This Row],[Vloer code]]))</f>
        <v/>
      </c>
      <c r="BE856" s="300" t="str">
        <f>_xlfn.IFNA(VLOOKUP($BD856,Programma!$F$3:$G$1107,2,0),"")</f>
        <v/>
      </c>
      <c r="BF856" s="300" t="str">
        <f>_xlfn.IFNA(VLOOKUP($BD856,Programma!$F$3:$H$1107,3,0),"")</f>
        <v/>
      </c>
      <c r="BG856" s="300" t="str">
        <f>_xlfn.IFNA(VLOOKUP($BD856,Programma!$F$3:$I$1107,4,0),"")</f>
        <v/>
      </c>
      <c r="BH856" s="300" t="str">
        <f>_xlfn.IFNA(VLOOKUP($BD856,Programma!$F$3:$J$1107,5,0),"")</f>
        <v/>
      </c>
      <c r="BI856" s="300" t="str">
        <f>_xlfn.IFNA(VLOOKUP($BD856,Programma!$F$3:$K$1107,6,0),"")</f>
        <v/>
      </c>
      <c r="BJ856" s="300" t="str">
        <f>_xlfn.IFNA(VLOOKUP($BD856,Programma!$F$3:$L$1107,7,0),"")</f>
        <v/>
      </c>
      <c r="BK856" s="300" t="str">
        <f>_xlfn.IFNA(VLOOKUP($BD856,Programma!$F$3:$M$1107,8,0),"")</f>
        <v/>
      </c>
      <c r="BL856" s="300" t="str">
        <f>_xlfn.IFNA(VLOOKUP($BD856,Programma!$F$3:$N$1107,9,0),"")</f>
        <v/>
      </c>
      <c r="BM856" s="300" t="str">
        <f>_xlfn.IFNA(VLOOKUP($BD856,Programma!$F$3:$O$1107,10,0),"")</f>
        <v/>
      </c>
      <c r="BN856" s="300" t="str">
        <f>_xlfn.IFNA(VLOOKUP($BD856,Programma!$F$3:$P$1107,11,0),"")</f>
        <v/>
      </c>
      <c r="BO856" s="300" t="str">
        <f>_xlfn.IFNA(VLOOKUP($BD856,Programma!$F$3:$Q$1107,12,0),"")</f>
        <v/>
      </c>
      <c r="BP856" s="300" t="str">
        <f>_xlfn.IFNA(VLOOKUP($BD856,Programma!$F$3:$R$1107,13,0),"")</f>
        <v/>
      </c>
      <c r="BQ856" s="300" t="str">
        <f>_xlfn.IFNA(VLOOKUP($BD856,Programma!$F$3:$S$1107,14,0),"")</f>
        <v/>
      </c>
      <c r="BR856" s="300" t="str">
        <f>_xlfn.IFNA(VLOOKUP($BD856,Programma!$F$3:$T$1107,15,0),"")</f>
        <v/>
      </c>
      <c r="BS856" s="300" t="str">
        <f>_xlfn.IFNA(VLOOKUP($BD856,Programma!$F$3:$U$1107,16,0),"")</f>
        <v/>
      </c>
      <c r="BT856" s="300" t="str">
        <f>_xlfn.IFNA(VLOOKUP($BD856,Programma!$F$3:$V$1107,17,0),"")</f>
        <v/>
      </c>
      <c r="BU856" s="300" t="str">
        <f>_xlfn.IFNA(VLOOKUP($BD856,Programma!$F$3:$W$1107,18,0),"")</f>
        <v/>
      </c>
      <c r="BV856" s="300" t="str">
        <f>_xlfn.IFNA(VLOOKUP($BD856,Programma!$F$3:$X$1107,19,0),"")</f>
        <v/>
      </c>
      <c r="BW856" s="300" t="str">
        <f>_xlfn.IFNA(VLOOKUP($BD856,Programma!$F$3:$Y$1107,20,0),"")</f>
        <v/>
      </c>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c r="GK856" s="4"/>
      <c r="GL856" s="4"/>
      <c r="GM856" s="4"/>
      <c r="GN856" s="4"/>
      <c r="GO856" s="4"/>
      <c r="GP856" s="4"/>
      <c r="GQ856" s="4"/>
      <c r="GR856" s="4"/>
      <c r="GS856" s="4"/>
      <c r="GT856" s="4"/>
      <c r="GU856" s="4"/>
      <c r="GV856" s="4"/>
      <c r="GW856" s="4"/>
      <c r="GX856" s="4"/>
      <c r="GY856" s="4"/>
      <c r="GZ856" s="4"/>
      <c r="HA856" s="4"/>
      <c r="HB856" s="4"/>
      <c r="HC856" s="4"/>
      <c r="HD856" s="4"/>
      <c r="HE856" s="4"/>
      <c r="HF856" s="4"/>
      <c r="HG856" s="4"/>
      <c r="HH856" s="4"/>
      <c r="HI856" s="4"/>
      <c r="HJ856" s="4"/>
      <c r="HK856" s="4"/>
      <c r="HL856" s="4"/>
    </row>
    <row r="857" spans="1:220" ht="15" customHeight="1">
      <c r="A857" s="21">
        <v>8</v>
      </c>
      <c r="B857" s="157" t="str">
        <f>VLOOKUP(Ruimtestaat[[#This Row],[Code]],Locaties[[Code]:[Locatie]],2,FALSE)</f>
        <v>Dalton College</v>
      </c>
      <c r="C857" s="157" t="str">
        <f>VLOOKUP(Ruimtestaat[[#This Row],[Code]],Locaties[[#All],[Code]:[Adres]],4,FALSE)</f>
        <v>Loolaan 125</v>
      </c>
      <c r="D857" s="157" t="str">
        <f>VLOOKUP(Ruimtestaat[[#This Row],[Code]],Locaties[[#All],[Code]:[Postcode]],5,FALSE)</f>
        <v xml:space="preserve">2271 TM </v>
      </c>
      <c r="E857" s="157" t="str">
        <f>VLOOKUP(Ruimtestaat[[#This Row],[Code]],Locaties[#All],6,FALSE)</f>
        <v>Voorburg</v>
      </c>
      <c r="F857" s="62"/>
      <c r="G857" s="21" t="s">
        <v>1706</v>
      </c>
      <c r="H857" s="21" t="s">
        <v>2319</v>
      </c>
      <c r="I857" s="62" t="s">
        <v>2223</v>
      </c>
      <c r="J857" s="21">
        <v>10</v>
      </c>
      <c r="K857" s="62" t="str">
        <f>VLOOKUP(Ruimtestaat[[#This Row],[Ruimte code]],Ruimtegroepen[[#All],[Code]:[Ruimte omschrijving]],2,FALSE)</f>
        <v>Trappenhuizen/lift</v>
      </c>
      <c r="L857" s="33" t="s">
        <v>102</v>
      </c>
      <c r="M857" s="367" t="s">
        <v>2509</v>
      </c>
      <c r="N857" s="140">
        <v>35</v>
      </c>
      <c r="O857" s="140"/>
      <c r="P857" s="125" t="str">
        <f>VLOOKUP(Ruimtestaat[[#This Row],[Ruimte code]],Ruimtegroepen[],4,FALSE)</f>
        <v>Ve</v>
      </c>
      <c r="R857" s="33">
        <v>40</v>
      </c>
      <c r="S857" s="33" t="s">
        <v>2</v>
      </c>
      <c r="T857" s="33">
        <f>IF(R857&gt;0,IF(RIGHT(Ruimtestaat[[#This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7" s="33">
        <f>IF(T857&gt;0,VLOOKUP($J857,Ruimtegroepen[],3,FALSE)*VLOOKUP($L857,Vloersoorten[],3,FALSE)*VLOOKUP($S857,Frequenties[],3,FALSE)*VLOOKUP($A857,Locaties[],3,FALSE),0)</f>
        <v>0</v>
      </c>
      <c r="V857" s="33">
        <f>Ruimtestaat[[#This Row],[Uitvoeringen werkdagen]]*Ruimtestaat[[#This Row],[Oppervlak (netto)]]</f>
        <v>7000</v>
      </c>
      <c r="W857" s="154">
        <f>IF(U857&gt;0,Ruimtestaat[[#This Row],[Prest. (m2 /jaar) werkdagen]]/Ruimtestaat[[#This Row],[Norm (m2/uur) werkdagen]],0)</f>
        <v>0</v>
      </c>
      <c r="X857" s="155">
        <f>Ruimtestaat[[#This Row],[uren / jaar werkdagen]]*Tariefsopbouw!$E$35</f>
        <v>0</v>
      </c>
      <c r="Y857" s="33"/>
      <c r="Z857" s="33">
        <f>IF(Ruimtestaat[[#This Row],[Frequentie weekend]]&gt;0,VALUE(LEFT(Y857,1))*R857,0)</f>
        <v>0</v>
      </c>
      <c r="AA857" s="97">
        <f>IF($Z857&gt;0,VLOOKUP($J857,Ruimtegroepen[],3,FALSE)*VLOOKUP($L857,Vloersoorten[],3,FALSE)*VLOOKUP($Y857,Frequenties[],3,FALSE)*VLOOKUP(Ruimtestaat[[#This Row],[Code]],Locaties[],3,FALSE),0)</f>
        <v>0</v>
      </c>
      <c r="AB857" s="97">
        <f>Ruimtestaat[[#This Row],[Uitvoeringen weekend]]*Ruimtestaat[[#This Row],[Oppervlak (netto)]]</f>
        <v>0</v>
      </c>
      <c r="AC857" s="97">
        <f>IF(AA857&gt;0,Ruimtestaat[[#This Row],[Prest. (m2 /jaar) weekend]]/Ruimtestaat[[#This Row],[Norm (m2/uur) weekend]],0)</f>
        <v>0</v>
      </c>
      <c r="AD857" s="155">
        <f>Ruimtestaat[[#This Row],[uren / jaar weekend]]*Tariefsopbouw!$D$40</f>
        <v>0</v>
      </c>
      <c r="AE857" s="154">
        <f>Ruimtestaat[[#This Row],[Prest. (m2 /jaar) weekend]]+Ruimtestaat[[#This Row],[Prest. (m2 /jaar) werkdagen]]</f>
        <v>7000</v>
      </c>
      <c r="AF857" s="154">
        <f>Ruimtestaat[[#This Row],[uren / jaar weekend]]+Ruimtestaat[[#This Row],[uren / jaar werkdagen]]</f>
        <v>0</v>
      </c>
      <c r="AG857" s="69">
        <f>Ruimtestaat[[#This Row],[kosten / jaar weekend]]+Ruimtestaat[[#This Row],[kosten / jaar werkdagen]]</f>
        <v>0</v>
      </c>
      <c r="AH857" s="69"/>
      <c r="AI857" s="256" t="str">
        <f>IF(Ruimtestaat[[#This Row],[Frequentie werkdagen]]="","",_xlfn.CONCAT(Ruimtestaat[[#This Row],[Ruimte code]],"-",Ruimtestaat[[#This Row],[Frequentie werkdagen]]," ",Ruimtestaat[[#This Row],[Vloer code]]))</f>
        <v>10-5w S</v>
      </c>
      <c r="AJ857" s="300" t="str">
        <f>_xlfn.IFNA(VLOOKUP($AI857,Programma!$F$3:$G$1107,2,0),"")</f>
        <v>_</v>
      </c>
      <c r="AK857" s="300" t="str">
        <f>_xlfn.IFNA(VLOOKUP($AI857,Programma!$F$3:$H$1107,3,0),"")</f>
        <v>_</v>
      </c>
      <c r="AL857" s="300" t="str">
        <f>_xlfn.IFNA(VLOOKUP($AI857,Programma!$F$3:$I$1107,4,0),"")</f>
        <v>4w</v>
      </c>
      <c r="AM857" s="300" t="str">
        <f>_xlfn.IFNA(VLOOKUP($AI857,Programma!$F$3:$J$1107,5,0),"")</f>
        <v>1w</v>
      </c>
      <c r="AN857" s="300" t="str">
        <f>_xlfn.IFNA(VLOOKUP($AI857,Programma!$F$3:$K$1107,6,0),"")</f>
        <v>4j</v>
      </c>
      <c r="AO857" s="300" t="str">
        <f>_xlfn.IFNA(VLOOKUP($AI857,Programma!$F$3:$L$1107,7,0),"")</f>
        <v>_</v>
      </c>
      <c r="AP857" s="300" t="str">
        <f>_xlfn.IFNA(VLOOKUP($AI857,Programma!$F$3:$M$1107,8,0),"")</f>
        <v>_</v>
      </c>
      <c r="AQ857" s="300" t="str">
        <f>_xlfn.IFNA(VLOOKUP($AI857,Programma!$F$3:$N$1107,9,0),"")</f>
        <v>_</v>
      </c>
      <c r="AR857" s="300" t="str">
        <f>_xlfn.IFNA(VLOOKUP($AI857,Programma!$F$3:$O$1107,10,0),"")</f>
        <v>5w</v>
      </c>
      <c r="AS857" s="300" t="str">
        <f>_xlfn.IFNA(VLOOKUP($AI857,Programma!$F$3:$P$1107,11,0),"")</f>
        <v>5w</v>
      </c>
      <c r="AT857" s="300" t="str">
        <f>_xlfn.IFNA(VLOOKUP($AI857,Programma!$F$3:$Q$1107,12,0),"")</f>
        <v>1w</v>
      </c>
      <c r="AU857" s="300" t="str">
        <f>_xlfn.IFNA(VLOOKUP($AI857,Programma!$F$3:$R$1107,13,0),"")</f>
        <v>1w</v>
      </c>
      <c r="AV857" s="300" t="str">
        <f>_xlfn.IFNA(VLOOKUP($AI857,Programma!$F$3:$S$1107,14,0),"")</f>
        <v>1m</v>
      </c>
      <c r="AW857" s="300" t="str">
        <f>_xlfn.IFNA(VLOOKUP($AI857,Programma!$F$3:$T$1107,15,0),"")</f>
        <v>2j</v>
      </c>
      <c r="AX857" s="300" t="str">
        <f>_xlfn.IFNA(VLOOKUP($AI857,Programma!$F$3:$U$1107,16,0),"")</f>
        <v>1j</v>
      </c>
      <c r="AY857" s="300" t="str">
        <f>_xlfn.IFNA(VLOOKUP($AI857,Programma!$F$3:$V$1107,17,0),"")</f>
        <v>_</v>
      </c>
      <c r="AZ857" s="300" t="str">
        <f>_xlfn.IFNA(VLOOKUP($AI857,Programma!$F$3:$W$1107,18,0),"")</f>
        <v>_</v>
      </c>
      <c r="BA857" s="300" t="str">
        <f>_xlfn.IFNA(VLOOKUP($AI857,Programma!$F$3:$X$1107,19,0),"")</f>
        <v>_</v>
      </c>
      <c r="BB857" s="300" t="str">
        <f>_xlfn.IFNA(VLOOKUP($AI857,Programma!$F$3:$Y$1107,20,0),"")</f>
        <v>_</v>
      </c>
      <c r="BC857" s="257"/>
      <c r="BD857" s="256" t="str">
        <f>IF(Ruimtestaat[[#This Row],[Frequentie weekend]]="","",_xlfn.CONCAT(Ruimtestaat[[#This Row],[Ruimte code]],"-",Ruimtestaat[[#This Row],[Frequentie weekend]]," ",Ruimtestaat[[#This Row],[Vloer code]]))</f>
        <v/>
      </c>
      <c r="BE857" s="300" t="str">
        <f>_xlfn.IFNA(VLOOKUP($BD857,Programma!$F$3:$G$1107,2,0),"")</f>
        <v/>
      </c>
      <c r="BF857" s="300" t="str">
        <f>_xlfn.IFNA(VLOOKUP($BD857,Programma!$F$3:$H$1107,3,0),"")</f>
        <v/>
      </c>
      <c r="BG857" s="300" t="str">
        <f>_xlfn.IFNA(VLOOKUP($BD857,Programma!$F$3:$I$1107,4,0),"")</f>
        <v/>
      </c>
      <c r="BH857" s="300" t="str">
        <f>_xlfn.IFNA(VLOOKUP($BD857,Programma!$F$3:$J$1107,5,0),"")</f>
        <v/>
      </c>
      <c r="BI857" s="300" t="str">
        <f>_xlfn.IFNA(VLOOKUP($BD857,Programma!$F$3:$K$1107,6,0),"")</f>
        <v/>
      </c>
      <c r="BJ857" s="300" t="str">
        <f>_xlfn.IFNA(VLOOKUP($BD857,Programma!$F$3:$L$1107,7,0),"")</f>
        <v/>
      </c>
      <c r="BK857" s="300" t="str">
        <f>_xlfn.IFNA(VLOOKUP($BD857,Programma!$F$3:$M$1107,8,0),"")</f>
        <v/>
      </c>
      <c r="BL857" s="300" t="str">
        <f>_xlfn.IFNA(VLOOKUP($BD857,Programma!$F$3:$N$1107,9,0),"")</f>
        <v/>
      </c>
      <c r="BM857" s="300" t="str">
        <f>_xlfn.IFNA(VLOOKUP($BD857,Programma!$F$3:$O$1107,10,0),"")</f>
        <v/>
      </c>
      <c r="BN857" s="300" t="str">
        <f>_xlfn.IFNA(VLOOKUP($BD857,Programma!$F$3:$P$1107,11,0),"")</f>
        <v/>
      </c>
      <c r="BO857" s="300" t="str">
        <f>_xlfn.IFNA(VLOOKUP($BD857,Programma!$F$3:$Q$1107,12,0),"")</f>
        <v/>
      </c>
      <c r="BP857" s="300" t="str">
        <f>_xlfn.IFNA(VLOOKUP($BD857,Programma!$F$3:$R$1107,13,0),"")</f>
        <v/>
      </c>
      <c r="BQ857" s="300" t="str">
        <f>_xlfn.IFNA(VLOOKUP($BD857,Programma!$F$3:$S$1107,14,0),"")</f>
        <v/>
      </c>
      <c r="BR857" s="300" t="str">
        <f>_xlfn.IFNA(VLOOKUP($BD857,Programma!$F$3:$T$1107,15,0),"")</f>
        <v/>
      </c>
      <c r="BS857" s="300" t="str">
        <f>_xlfn.IFNA(VLOOKUP($BD857,Programma!$F$3:$U$1107,16,0),"")</f>
        <v/>
      </c>
      <c r="BT857" s="300" t="str">
        <f>_xlfn.IFNA(VLOOKUP($BD857,Programma!$F$3:$V$1107,17,0),"")</f>
        <v/>
      </c>
      <c r="BU857" s="300" t="str">
        <f>_xlfn.IFNA(VLOOKUP($BD857,Programma!$F$3:$W$1107,18,0),"")</f>
        <v/>
      </c>
      <c r="BV857" s="300" t="str">
        <f>_xlfn.IFNA(VLOOKUP($BD857,Programma!$F$3:$X$1107,19,0),"")</f>
        <v/>
      </c>
      <c r="BW857" s="300" t="str">
        <f>_xlfn.IFNA(VLOOKUP($BD857,Programma!$F$3:$Y$1107,20,0),"")</f>
        <v/>
      </c>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c r="GK857" s="4"/>
      <c r="GL857" s="4"/>
      <c r="GM857" s="4"/>
      <c r="GN857" s="4"/>
      <c r="GO857" s="4"/>
      <c r="GP857" s="4"/>
      <c r="GQ857" s="4"/>
      <c r="GR857" s="4"/>
      <c r="GS857" s="4"/>
      <c r="GT857" s="4"/>
      <c r="GU857" s="4"/>
      <c r="GV857" s="4"/>
      <c r="GW857" s="4"/>
      <c r="GX857" s="4"/>
      <c r="GY857" s="4"/>
      <c r="GZ857" s="4"/>
      <c r="HA857" s="4"/>
      <c r="HB857" s="4"/>
      <c r="HC857" s="4"/>
      <c r="HD857" s="4"/>
      <c r="HE857" s="4"/>
      <c r="HF857" s="4"/>
      <c r="HG857" s="4"/>
      <c r="HH857" s="4"/>
      <c r="HI857" s="4"/>
      <c r="HJ857" s="4"/>
      <c r="HK857" s="4"/>
      <c r="HL857" s="4"/>
    </row>
    <row r="858" spans="1:220" ht="15" customHeight="1">
      <c r="A858" s="21">
        <v>8</v>
      </c>
      <c r="B858" s="157" t="str">
        <f>VLOOKUP(Ruimtestaat[[#This Row],[Code]],Locaties[[Code]:[Locatie]],2,FALSE)</f>
        <v>Dalton College</v>
      </c>
      <c r="C858" s="157" t="str">
        <f>VLOOKUP(Ruimtestaat[[#This Row],[Code]],Locaties[[#All],[Code]:[Adres]],4,FALSE)</f>
        <v>Loolaan 125</v>
      </c>
      <c r="D858" s="157" t="str">
        <f>VLOOKUP(Ruimtestaat[[#This Row],[Code]],Locaties[[#All],[Code]:[Postcode]],5,FALSE)</f>
        <v xml:space="preserve">2271 TM </v>
      </c>
      <c r="E858" s="157" t="str">
        <f>VLOOKUP(Ruimtestaat[[#This Row],[Code]],Locaties[#All],6,FALSE)</f>
        <v>Voorburg</v>
      </c>
      <c r="F858" s="62"/>
      <c r="G858" s="21" t="s">
        <v>1706</v>
      </c>
      <c r="H858" s="21" t="s">
        <v>2320</v>
      </c>
      <c r="I858" s="62" t="s">
        <v>1625</v>
      </c>
      <c r="J858" s="21">
        <v>6</v>
      </c>
      <c r="K858" s="62" t="str">
        <f>VLOOKUP(Ruimtestaat[[#This Row],[Ruimte code]],Ruimtegroepen[[#All],[Code]:[Ruimte omschrijving]],2,FALSE)</f>
        <v>Gangen/hallen</v>
      </c>
      <c r="L858" s="33" t="s">
        <v>101</v>
      </c>
      <c r="M858" s="367" t="s">
        <v>2495</v>
      </c>
      <c r="N858" s="140">
        <v>17</v>
      </c>
      <c r="O858" s="140"/>
      <c r="P858" s="125" t="str">
        <f>VLOOKUP(Ruimtestaat[[#This Row],[Ruimte code]],Ruimtegroepen[],4,FALSE)</f>
        <v>Ve</v>
      </c>
      <c r="Q858" s="125" t="s">
        <v>2551</v>
      </c>
      <c r="R858" s="33">
        <v>40</v>
      </c>
      <c r="S858" s="33" t="s">
        <v>2</v>
      </c>
      <c r="T858" s="33">
        <f>IF(R858&gt;0,IF(RIGHT(Ruimtestaat[[#This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8" s="33">
        <f>IF(T858&gt;0,VLOOKUP($J858,Ruimtegroepen[],3,FALSE)*VLOOKUP($L858,Vloersoorten[],3,FALSE)*VLOOKUP($S858,Frequenties[],3,FALSE)*VLOOKUP($A858,Locaties[],3,FALSE),0)</f>
        <v>0</v>
      </c>
      <c r="V858" s="33">
        <f>Ruimtestaat[[#This Row],[Uitvoeringen werkdagen]]*Ruimtestaat[[#This Row],[Oppervlak (netto)]]</f>
        <v>3400</v>
      </c>
      <c r="W858" s="154">
        <f>IF(U858&gt;0,Ruimtestaat[[#This Row],[Prest. (m2 /jaar) werkdagen]]/Ruimtestaat[[#This Row],[Norm (m2/uur) werkdagen]],0)</f>
        <v>0</v>
      </c>
      <c r="X858" s="155">
        <f>Ruimtestaat[[#This Row],[uren / jaar werkdagen]]*Tariefsopbouw!$E$35</f>
        <v>0</v>
      </c>
      <c r="Y858" s="33"/>
      <c r="Z858" s="33">
        <f>IF(Ruimtestaat[[#This Row],[Frequentie weekend]]&gt;0,VALUE(LEFT(Y858,1))*R858,0)</f>
        <v>0</v>
      </c>
      <c r="AA858" s="97">
        <f>IF($Z858&gt;0,VLOOKUP($J858,Ruimtegroepen[],3,FALSE)*VLOOKUP($L858,Vloersoorten[],3,FALSE)*VLOOKUP($Y858,Frequenties[],3,FALSE)*VLOOKUP(Ruimtestaat[[#This Row],[Code]],Locaties[],3,FALSE),0)</f>
        <v>0</v>
      </c>
      <c r="AB858" s="97">
        <f>Ruimtestaat[[#This Row],[Uitvoeringen weekend]]*Ruimtestaat[[#This Row],[Oppervlak (netto)]]</f>
        <v>0</v>
      </c>
      <c r="AC858" s="97">
        <f>IF(AA858&gt;0,Ruimtestaat[[#This Row],[Prest. (m2 /jaar) weekend]]/Ruimtestaat[[#This Row],[Norm (m2/uur) weekend]],0)</f>
        <v>0</v>
      </c>
      <c r="AD858" s="155">
        <f>Ruimtestaat[[#This Row],[uren / jaar weekend]]*Tariefsopbouw!$D$40</f>
        <v>0</v>
      </c>
      <c r="AE858" s="154">
        <f>Ruimtestaat[[#This Row],[Prest. (m2 /jaar) weekend]]+Ruimtestaat[[#This Row],[Prest. (m2 /jaar) werkdagen]]</f>
        <v>3400</v>
      </c>
      <c r="AF858" s="154">
        <f>Ruimtestaat[[#This Row],[uren / jaar weekend]]+Ruimtestaat[[#This Row],[uren / jaar werkdagen]]</f>
        <v>0</v>
      </c>
      <c r="AG858" s="69">
        <f>Ruimtestaat[[#This Row],[kosten / jaar weekend]]+Ruimtestaat[[#This Row],[kosten / jaar werkdagen]]</f>
        <v>0</v>
      </c>
      <c r="AH858" s="69"/>
      <c r="AI858" s="256" t="str">
        <f>IF(Ruimtestaat[[#This Row],[Frequentie werkdagen]]="","",_xlfn.CONCAT(Ruimtestaat[[#This Row],[Ruimte code]],"-",Ruimtestaat[[#This Row],[Frequentie werkdagen]]," ",Ruimtestaat[[#This Row],[Vloer code]]))</f>
        <v>6-5w L</v>
      </c>
      <c r="AJ858" s="300" t="str">
        <f>_xlfn.IFNA(VLOOKUP($AI858,Programma!$F$3:$G$1107,2,0),"")</f>
        <v>_</v>
      </c>
      <c r="AK858" s="300" t="str">
        <f>_xlfn.IFNA(VLOOKUP($AI858,Programma!$F$3:$H$1107,3,0),"")</f>
        <v>_</v>
      </c>
      <c r="AL858" s="300" t="str">
        <f>_xlfn.IFNA(VLOOKUP($AI858,Programma!$F$3:$I$1107,4,0),"")</f>
        <v>_</v>
      </c>
      <c r="AM858" s="300" t="str">
        <f>_xlfn.IFNA(VLOOKUP($AI858,Programma!$F$3:$J$1107,5,0),"")</f>
        <v>5w</v>
      </c>
      <c r="AN858" s="300" t="str">
        <f>_xlfn.IFNA(VLOOKUP($AI858,Programma!$F$3:$K$1107,6,0),"")</f>
        <v>_</v>
      </c>
      <c r="AO858" s="300" t="str">
        <f>_xlfn.IFNA(VLOOKUP($AI858,Programma!$F$3:$L$1107,7,0),"")</f>
        <v>_</v>
      </c>
      <c r="AP858" s="300" t="str">
        <f>_xlfn.IFNA(VLOOKUP($AI858,Programma!$F$3:$M$1107,8,0),"")</f>
        <v>_</v>
      </c>
      <c r="AQ858" s="300" t="str">
        <f>_xlfn.IFNA(VLOOKUP($AI858,Programma!$F$3:$N$1107,9,0),"")</f>
        <v>_</v>
      </c>
      <c r="AR858" s="300" t="str">
        <f>_xlfn.IFNA(VLOOKUP($AI858,Programma!$F$3:$O$1107,10,0),"")</f>
        <v>5w</v>
      </c>
      <c r="AS858" s="300" t="str">
        <f>_xlfn.IFNA(VLOOKUP($AI858,Programma!$F$3:$P$1107,11,0),"")</f>
        <v>5w</v>
      </c>
      <c r="AT858" s="300" t="str">
        <f>_xlfn.IFNA(VLOOKUP($AI858,Programma!$F$3:$Q$1107,12,0),"")</f>
        <v>1w</v>
      </c>
      <c r="AU858" s="300" t="str">
        <f>_xlfn.IFNA(VLOOKUP($AI858,Programma!$F$3:$R$1107,13,0),"")</f>
        <v>1w</v>
      </c>
      <c r="AV858" s="300" t="str">
        <f>_xlfn.IFNA(VLOOKUP($AI858,Programma!$F$3:$S$1107,14,0),"")</f>
        <v>1m</v>
      </c>
      <c r="AW858" s="300" t="str">
        <f>_xlfn.IFNA(VLOOKUP($AI858,Programma!$F$3:$T$1107,15,0),"")</f>
        <v>2j</v>
      </c>
      <c r="AX858" s="300" t="str">
        <f>_xlfn.IFNA(VLOOKUP($AI858,Programma!$F$3:$U$1107,16,0),"")</f>
        <v>1j</v>
      </c>
      <c r="AY858" s="300" t="str">
        <f>_xlfn.IFNA(VLOOKUP($AI858,Programma!$F$3:$V$1107,17,0),"")</f>
        <v>_</v>
      </c>
      <c r="AZ858" s="300" t="str">
        <f>_xlfn.IFNA(VLOOKUP($AI858,Programma!$F$3:$W$1107,18,0),"")</f>
        <v>_</v>
      </c>
      <c r="BA858" s="300" t="str">
        <f>_xlfn.IFNA(VLOOKUP($AI858,Programma!$F$3:$X$1107,19,0),"")</f>
        <v>_</v>
      </c>
      <c r="BB858" s="300" t="str">
        <f>_xlfn.IFNA(VLOOKUP($AI858,Programma!$F$3:$Y$1107,20,0),"")</f>
        <v>_</v>
      </c>
      <c r="BC858" s="257"/>
      <c r="BD858" s="256" t="str">
        <f>IF(Ruimtestaat[[#This Row],[Frequentie weekend]]="","",_xlfn.CONCAT(Ruimtestaat[[#This Row],[Ruimte code]],"-",Ruimtestaat[[#This Row],[Frequentie weekend]]," ",Ruimtestaat[[#This Row],[Vloer code]]))</f>
        <v/>
      </c>
      <c r="BE858" s="300" t="str">
        <f>_xlfn.IFNA(VLOOKUP($BD858,Programma!$F$3:$G$1107,2,0),"")</f>
        <v/>
      </c>
      <c r="BF858" s="300" t="str">
        <f>_xlfn.IFNA(VLOOKUP($BD858,Programma!$F$3:$H$1107,3,0),"")</f>
        <v/>
      </c>
      <c r="BG858" s="300" t="str">
        <f>_xlfn.IFNA(VLOOKUP($BD858,Programma!$F$3:$I$1107,4,0),"")</f>
        <v/>
      </c>
      <c r="BH858" s="300" t="str">
        <f>_xlfn.IFNA(VLOOKUP($BD858,Programma!$F$3:$J$1107,5,0),"")</f>
        <v/>
      </c>
      <c r="BI858" s="300" t="str">
        <f>_xlfn.IFNA(VLOOKUP($BD858,Programma!$F$3:$K$1107,6,0),"")</f>
        <v/>
      </c>
      <c r="BJ858" s="300" t="str">
        <f>_xlfn.IFNA(VLOOKUP($BD858,Programma!$F$3:$L$1107,7,0),"")</f>
        <v/>
      </c>
      <c r="BK858" s="300" t="str">
        <f>_xlfn.IFNA(VLOOKUP($BD858,Programma!$F$3:$M$1107,8,0),"")</f>
        <v/>
      </c>
      <c r="BL858" s="300" t="str">
        <f>_xlfn.IFNA(VLOOKUP($BD858,Programma!$F$3:$N$1107,9,0),"")</f>
        <v/>
      </c>
      <c r="BM858" s="300" t="str">
        <f>_xlfn.IFNA(VLOOKUP($BD858,Programma!$F$3:$O$1107,10,0),"")</f>
        <v/>
      </c>
      <c r="BN858" s="300" t="str">
        <f>_xlfn.IFNA(VLOOKUP($BD858,Programma!$F$3:$P$1107,11,0),"")</f>
        <v/>
      </c>
      <c r="BO858" s="300" t="str">
        <f>_xlfn.IFNA(VLOOKUP($BD858,Programma!$F$3:$Q$1107,12,0),"")</f>
        <v/>
      </c>
      <c r="BP858" s="300" t="str">
        <f>_xlfn.IFNA(VLOOKUP($BD858,Programma!$F$3:$R$1107,13,0),"")</f>
        <v/>
      </c>
      <c r="BQ858" s="300" t="str">
        <f>_xlfn.IFNA(VLOOKUP($BD858,Programma!$F$3:$S$1107,14,0),"")</f>
        <v/>
      </c>
      <c r="BR858" s="300" t="str">
        <f>_xlfn.IFNA(VLOOKUP($BD858,Programma!$F$3:$T$1107,15,0),"")</f>
        <v/>
      </c>
      <c r="BS858" s="300" t="str">
        <f>_xlfn.IFNA(VLOOKUP($BD858,Programma!$F$3:$U$1107,16,0),"")</f>
        <v/>
      </c>
      <c r="BT858" s="300" t="str">
        <f>_xlfn.IFNA(VLOOKUP($BD858,Programma!$F$3:$V$1107,17,0),"")</f>
        <v/>
      </c>
      <c r="BU858" s="300" t="str">
        <f>_xlfn.IFNA(VLOOKUP($BD858,Programma!$F$3:$W$1107,18,0),"")</f>
        <v/>
      </c>
      <c r="BV858" s="300" t="str">
        <f>_xlfn.IFNA(VLOOKUP($BD858,Programma!$F$3:$X$1107,19,0),"")</f>
        <v/>
      </c>
      <c r="BW858" s="300" t="str">
        <f>_xlfn.IFNA(VLOOKUP($BD858,Programma!$F$3:$Y$1107,20,0),"")</f>
        <v/>
      </c>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c r="GK858" s="4"/>
      <c r="GL858" s="4"/>
      <c r="GM858" s="4"/>
      <c r="GN858" s="4"/>
      <c r="GO858" s="4"/>
      <c r="GP858" s="4"/>
      <c r="GQ858" s="4"/>
      <c r="GR858" s="4"/>
      <c r="GS858" s="4"/>
      <c r="GT858" s="4"/>
      <c r="GU858" s="4"/>
      <c r="GV858" s="4"/>
      <c r="GW858" s="4"/>
      <c r="GX858" s="4"/>
      <c r="GY858" s="4"/>
      <c r="GZ858" s="4"/>
      <c r="HA858" s="4"/>
      <c r="HB858" s="4"/>
      <c r="HC858" s="4"/>
      <c r="HD858" s="4"/>
      <c r="HE858" s="4"/>
      <c r="HF858" s="4"/>
      <c r="HG858" s="4"/>
      <c r="HH858" s="4"/>
      <c r="HI858" s="4"/>
      <c r="HJ858" s="4"/>
      <c r="HK858" s="4"/>
      <c r="HL858" s="4"/>
    </row>
    <row r="859" spans="1:220" ht="15" customHeight="1">
      <c r="A859" s="21">
        <v>8</v>
      </c>
      <c r="B859" s="157" t="str">
        <f>VLOOKUP(Ruimtestaat[[#This Row],[Code]],Locaties[[Code]:[Locatie]],2,FALSE)</f>
        <v>Dalton College</v>
      </c>
      <c r="C859" s="157" t="str">
        <f>VLOOKUP(Ruimtestaat[[#This Row],[Code]],Locaties[[#All],[Code]:[Adres]],4,FALSE)</f>
        <v>Loolaan 125</v>
      </c>
      <c r="D859" s="157" t="str">
        <f>VLOOKUP(Ruimtestaat[[#This Row],[Code]],Locaties[[#All],[Code]:[Postcode]],5,FALSE)</f>
        <v xml:space="preserve">2271 TM </v>
      </c>
      <c r="E859" s="157" t="str">
        <f>VLOOKUP(Ruimtestaat[[#This Row],[Code]],Locaties[#All],6,FALSE)</f>
        <v>Voorburg</v>
      </c>
      <c r="F859" s="62"/>
      <c r="G859" s="21" t="s">
        <v>1706</v>
      </c>
      <c r="H859" s="21" t="s">
        <v>2321</v>
      </c>
      <c r="I859" s="62" t="s">
        <v>2322</v>
      </c>
      <c r="J859" s="21">
        <v>16</v>
      </c>
      <c r="K859" s="62" t="str">
        <f>VLOOKUP(Ruimtestaat[[#This Row],[Ruimte code]],Ruimtegroepen[[#All],[Code]:[Ruimte omschrijving]],2,FALSE)</f>
        <v>Leslokalen theorie</v>
      </c>
      <c r="L859" s="33" t="s">
        <v>101</v>
      </c>
      <c r="M859" s="367" t="s">
        <v>2495</v>
      </c>
      <c r="N859" s="140">
        <v>130</v>
      </c>
      <c r="O859" s="140"/>
      <c r="P859" s="125" t="str">
        <f>VLOOKUP(Ruimtestaat[[#This Row],[Ruimte code]],Ruimtegroepen[],4,FALSE)</f>
        <v>Le</v>
      </c>
      <c r="R859" s="33">
        <v>40</v>
      </c>
      <c r="S859" s="33" t="s">
        <v>2</v>
      </c>
      <c r="T859" s="33">
        <f>IF(R859&gt;0,IF(RIGHT(Ruimtestaat[[#This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9" s="33">
        <f>IF(T859&gt;0,VLOOKUP($J859,Ruimtegroepen[],3,FALSE)*VLOOKUP($L859,Vloersoorten[],3,FALSE)*VLOOKUP($S859,Frequenties[],3,FALSE)*VLOOKUP($A859,Locaties[],3,FALSE),0)</f>
        <v>0</v>
      </c>
      <c r="V859" s="33">
        <f>Ruimtestaat[[#This Row],[Uitvoeringen werkdagen]]*Ruimtestaat[[#This Row],[Oppervlak (netto)]]</f>
        <v>26000</v>
      </c>
      <c r="W859" s="154">
        <f>IF(U859&gt;0,Ruimtestaat[[#This Row],[Prest. (m2 /jaar) werkdagen]]/Ruimtestaat[[#This Row],[Norm (m2/uur) werkdagen]],0)</f>
        <v>0</v>
      </c>
      <c r="X859" s="155">
        <f>Ruimtestaat[[#This Row],[uren / jaar werkdagen]]*Tariefsopbouw!$E$35</f>
        <v>0</v>
      </c>
      <c r="Y859" s="33"/>
      <c r="Z859" s="33">
        <f>IF(Ruimtestaat[[#This Row],[Frequentie weekend]]&gt;0,VALUE(LEFT(Y859,1))*R859,0)</f>
        <v>0</v>
      </c>
      <c r="AA859" s="97">
        <f>IF($Z859&gt;0,VLOOKUP($J859,Ruimtegroepen[],3,FALSE)*VLOOKUP($L859,Vloersoorten[],3,FALSE)*VLOOKUP($Y859,Frequenties[],3,FALSE)*VLOOKUP(Ruimtestaat[[#This Row],[Code]],Locaties[],3,FALSE),0)</f>
        <v>0</v>
      </c>
      <c r="AB859" s="97">
        <f>Ruimtestaat[[#This Row],[Uitvoeringen weekend]]*Ruimtestaat[[#This Row],[Oppervlak (netto)]]</f>
        <v>0</v>
      </c>
      <c r="AC859" s="97">
        <f>IF(AA859&gt;0,Ruimtestaat[[#This Row],[Prest. (m2 /jaar) weekend]]/Ruimtestaat[[#This Row],[Norm (m2/uur) weekend]],0)</f>
        <v>0</v>
      </c>
      <c r="AD859" s="155">
        <f>Ruimtestaat[[#This Row],[uren / jaar weekend]]*Tariefsopbouw!$D$40</f>
        <v>0</v>
      </c>
      <c r="AE859" s="154">
        <f>Ruimtestaat[[#This Row],[Prest. (m2 /jaar) weekend]]+Ruimtestaat[[#This Row],[Prest. (m2 /jaar) werkdagen]]</f>
        <v>26000</v>
      </c>
      <c r="AF859" s="154">
        <f>Ruimtestaat[[#This Row],[uren / jaar weekend]]+Ruimtestaat[[#This Row],[uren / jaar werkdagen]]</f>
        <v>0</v>
      </c>
      <c r="AG859" s="69">
        <f>Ruimtestaat[[#This Row],[kosten / jaar weekend]]+Ruimtestaat[[#This Row],[kosten / jaar werkdagen]]</f>
        <v>0</v>
      </c>
      <c r="AH859" s="69"/>
      <c r="AI859" s="256" t="str">
        <f>IF(Ruimtestaat[[#This Row],[Frequentie werkdagen]]="","",_xlfn.CONCAT(Ruimtestaat[[#This Row],[Ruimte code]],"-",Ruimtestaat[[#This Row],[Frequentie werkdagen]]," ",Ruimtestaat[[#This Row],[Vloer code]]))</f>
        <v>16-5w L</v>
      </c>
      <c r="AJ859" s="300" t="str">
        <f>_xlfn.IFNA(VLOOKUP($AI859,Programma!$F$3:$G$1107,2,0),"")</f>
        <v>_</v>
      </c>
      <c r="AK859" s="300" t="str">
        <f>_xlfn.IFNA(VLOOKUP($AI859,Programma!$F$3:$H$1107,3,0),"")</f>
        <v>_</v>
      </c>
      <c r="AL859" s="300" t="str">
        <f>_xlfn.IFNA(VLOOKUP($AI859,Programma!$F$3:$I$1107,4,0),"")</f>
        <v>4w</v>
      </c>
      <c r="AM859" s="300" t="str">
        <f>_xlfn.IFNA(VLOOKUP($AI859,Programma!$F$3:$J$1107,5,0),"")</f>
        <v>1w</v>
      </c>
      <c r="AN859" s="300" t="str">
        <f>_xlfn.IFNA(VLOOKUP($AI859,Programma!$F$3:$K$1107,6,0),"")</f>
        <v>_</v>
      </c>
      <c r="AO859" s="300" t="str">
        <f>_xlfn.IFNA(VLOOKUP($AI859,Programma!$F$3:$L$1107,7,0),"")</f>
        <v>_</v>
      </c>
      <c r="AP859" s="300" t="str">
        <f>_xlfn.IFNA(VLOOKUP($AI859,Programma!$F$3:$M$1107,8,0),"")</f>
        <v>_</v>
      </c>
      <c r="AQ859" s="300" t="str">
        <f>_xlfn.IFNA(VLOOKUP($AI859,Programma!$F$3:$N$1107,9,0),"")</f>
        <v>_</v>
      </c>
      <c r="AR859" s="300" t="str">
        <f>_xlfn.IFNA(VLOOKUP($AI859,Programma!$F$3:$O$1107,10,0),"")</f>
        <v>5w</v>
      </c>
      <c r="AS859" s="300" t="str">
        <f>_xlfn.IFNA(VLOOKUP($AI859,Programma!$F$3:$P$1107,11,0),"")</f>
        <v>5w</v>
      </c>
      <c r="AT859" s="300" t="str">
        <f>_xlfn.IFNA(VLOOKUP($AI859,Programma!$F$3:$Q$1107,12,0),"")</f>
        <v>1w</v>
      </c>
      <c r="AU859" s="300" t="str">
        <f>_xlfn.IFNA(VLOOKUP($AI859,Programma!$F$3:$R$1107,13,0),"")</f>
        <v>1w</v>
      </c>
      <c r="AV859" s="300" t="str">
        <f>_xlfn.IFNA(VLOOKUP($AI859,Programma!$F$3:$S$1107,14,0),"")</f>
        <v>1m</v>
      </c>
      <c r="AW859" s="300" t="str">
        <f>_xlfn.IFNA(VLOOKUP($AI859,Programma!$F$3:$T$1107,15,0),"")</f>
        <v>2j</v>
      </c>
      <c r="AX859" s="300" t="str">
        <f>_xlfn.IFNA(VLOOKUP($AI859,Programma!$F$3:$U$1107,16,0),"")</f>
        <v>1j</v>
      </c>
      <c r="AY859" s="300" t="str">
        <f>_xlfn.IFNA(VLOOKUP($AI859,Programma!$F$3:$V$1107,17,0),"")</f>
        <v>_</v>
      </c>
      <c r="AZ859" s="300" t="str">
        <f>_xlfn.IFNA(VLOOKUP($AI859,Programma!$F$3:$W$1107,18,0),"")</f>
        <v>_</v>
      </c>
      <c r="BA859" s="300" t="str">
        <f>_xlfn.IFNA(VLOOKUP($AI859,Programma!$F$3:$X$1107,19,0),"")</f>
        <v>_</v>
      </c>
      <c r="BB859" s="300" t="str">
        <f>_xlfn.IFNA(VLOOKUP($AI859,Programma!$F$3:$Y$1107,20,0),"")</f>
        <v>_</v>
      </c>
      <c r="BC859" s="257"/>
      <c r="BD859" s="256" t="str">
        <f>IF(Ruimtestaat[[#This Row],[Frequentie weekend]]="","",_xlfn.CONCAT(Ruimtestaat[[#This Row],[Ruimte code]],"-",Ruimtestaat[[#This Row],[Frequentie weekend]]," ",Ruimtestaat[[#This Row],[Vloer code]]))</f>
        <v/>
      </c>
      <c r="BE859" s="300" t="str">
        <f>_xlfn.IFNA(VLOOKUP($BD859,Programma!$F$3:$G$1107,2,0),"")</f>
        <v/>
      </c>
      <c r="BF859" s="300" t="str">
        <f>_xlfn.IFNA(VLOOKUP($BD859,Programma!$F$3:$H$1107,3,0),"")</f>
        <v/>
      </c>
      <c r="BG859" s="300" t="str">
        <f>_xlfn.IFNA(VLOOKUP($BD859,Programma!$F$3:$I$1107,4,0),"")</f>
        <v/>
      </c>
      <c r="BH859" s="300" t="str">
        <f>_xlfn.IFNA(VLOOKUP($BD859,Programma!$F$3:$J$1107,5,0),"")</f>
        <v/>
      </c>
      <c r="BI859" s="300" t="str">
        <f>_xlfn.IFNA(VLOOKUP($BD859,Programma!$F$3:$K$1107,6,0),"")</f>
        <v/>
      </c>
      <c r="BJ859" s="300" t="str">
        <f>_xlfn.IFNA(VLOOKUP($BD859,Programma!$F$3:$L$1107,7,0),"")</f>
        <v/>
      </c>
      <c r="BK859" s="300" t="str">
        <f>_xlfn.IFNA(VLOOKUP($BD859,Programma!$F$3:$M$1107,8,0),"")</f>
        <v/>
      </c>
      <c r="BL859" s="300" t="str">
        <f>_xlfn.IFNA(VLOOKUP($BD859,Programma!$F$3:$N$1107,9,0),"")</f>
        <v/>
      </c>
      <c r="BM859" s="300" t="str">
        <f>_xlfn.IFNA(VLOOKUP($BD859,Programma!$F$3:$O$1107,10,0),"")</f>
        <v/>
      </c>
      <c r="BN859" s="300" t="str">
        <f>_xlfn.IFNA(VLOOKUP($BD859,Programma!$F$3:$P$1107,11,0),"")</f>
        <v/>
      </c>
      <c r="BO859" s="300" t="str">
        <f>_xlfn.IFNA(VLOOKUP($BD859,Programma!$F$3:$Q$1107,12,0),"")</f>
        <v/>
      </c>
      <c r="BP859" s="300" t="str">
        <f>_xlfn.IFNA(VLOOKUP($BD859,Programma!$F$3:$R$1107,13,0),"")</f>
        <v/>
      </c>
      <c r="BQ859" s="300" t="str">
        <f>_xlfn.IFNA(VLOOKUP($BD859,Programma!$F$3:$S$1107,14,0),"")</f>
        <v/>
      </c>
      <c r="BR859" s="300" t="str">
        <f>_xlfn.IFNA(VLOOKUP($BD859,Programma!$F$3:$T$1107,15,0),"")</f>
        <v/>
      </c>
      <c r="BS859" s="300" t="str">
        <f>_xlfn.IFNA(VLOOKUP($BD859,Programma!$F$3:$U$1107,16,0),"")</f>
        <v/>
      </c>
      <c r="BT859" s="300" t="str">
        <f>_xlfn.IFNA(VLOOKUP($BD859,Programma!$F$3:$V$1107,17,0),"")</f>
        <v/>
      </c>
      <c r="BU859" s="300" t="str">
        <f>_xlfn.IFNA(VLOOKUP($BD859,Programma!$F$3:$W$1107,18,0),"")</f>
        <v/>
      </c>
      <c r="BV859" s="300" t="str">
        <f>_xlfn.IFNA(VLOOKUP($BD859,Programma!$F$3:$X$1107,19,0),"")</f>
        <v/>
      </c>
      <c r="BW859" s="300" t="str">
        <f>_xlfn.IFNA(VLOOKUP($BD859,Programma!$F$3:$Y$1107,20,0),"")</f>
        <v/>
      </c>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c r="GK859" s="4"/>
      <c r="GL859" s="4"/>
      <c r="GM859" s="4"/>
      <c r="GN859" s="4"/>
      <c r="GO859" s="4"/>
      <c r="GP859" s="4"/>
      <c r="GQ859" s="4"/>
      <c r="GR859" s="4"/>
      <c r="GS859" s="4"/>
      <c r="GT859" s="4"/>
      <c r="GU859" s="4"/>
      <c r="GV859" s="4"/>
      <c r="GW859" s="4"/>
      <c r="GX859" s="4"/>
      <c r="GY859" s="4"/>
      <c r="GZ859" s="4"/>
      <c r="HA859" s="4"/>
      <c r="HB859" s="4"/>
      <c r="HC859" s="4"/>
      <c r="HD859" s="4"/>
      <c r="HE859" s="4"/>
      <c r="HF859" s="4"/>
      <c r="HG859" s="4"/>
      <c r="HH859" s="4"/>
      <c r="HI859" s="4"/>
      <c r="HJ859" s="4"/>
      <c r="HK859" s="4"/>
      <c r="HL859" s="4"/>
    </row>
    <row r="860" spans="1:220" ht="15" customHeight="1">
      <c r="A860" s="21">
        <v>9</v>
      </c>
      <c r="B860" s="157" t="str">
        <f>VLOOKUP(Ruimtestaat[[#This Row],[Code]],Locaties[[Code]:[Locatie]],2,FALSE)</f>
        <v>Novum-Maartenshal</v>
      </c>
      <c r="C860" s="157" t="str">
        <f>VLOOKUP(Ruimtestaat[[#This Row],[Code]],Locaties[[#All],[Code]:[Adres]],4,FALSE)</f>
        <v>Marcellus Emantslaan 2a</v>
      </c>
      <c r="D860" s="157" t="str">
        <f>VLOOKUP(Ruimtestaat[[#This Row],[Code]],Locaties[[#All],[Code]:[Postcode]],5,FALSE)</f>
        <v>2247 XL</v>
      </c>
      <c r="E860" s="157" t="str">
        <f>VLOOKUP(Ruimtestaat[[#This Row],[Code]],Locaties[#All],6,FALSE)</f>
        <v>Voorburg</v>
      </c>
      <c r="F860" s="62"/>
      <c r="G860" s="21" t="s">
        <v>1632</v>
      </c>
      <c r="H860" s="21" t="s">
        <v>2323</v>
      </c>
      <c r="I860" s="62" t="s">
        <v>2324</v>
      </c>
      <c r="J860" s="21">
        <v>7</v>
      </c>
      <c r="K860" s="62" t="str">
        <f>VLOOKUP(Ruimtestaat[[#This Row],[Ruimte code]],Ruimtegroepen[[#All],[Code]:[Ruimte omschrijving]],2,FALSE)</f>
        <v>Entree</v>
      </c>
      <c r="L860" s="33" t="s">
        <v>102</v>
      </c>
      <c r="M860" s="367" t="s">
        <v>2496</v>
      </c>
      <c r="N860" s="140">
        <v>45.22</v>
      </c>
      <c r="O860" s="140"/>
      <c r="P860" s="125" t="str">
        <f>VLOOKUP(Ruimtestaat[[#This Row],[Ruimte code]],Ruimtegroepen[],4,FALSE)</f>
        <v>Ve</v>
      </c>
      <c r="R860" s="33">
        <v>40</v>
      </c>
      <c r="S860" s="33" t="s">
        <v>2</v>
      </c>
      <c r="T860" s="33">
        <f>IF(R860&gt;0,IF(RIGHT(Ruimtestaat[[#This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60" s="33">
        <f>IF(T860&gt;0,VLOOKUP($J860,Ruimtegroepen[],3,FALSE)*VLOOKUP($L860,Vloersoorten[],3,FALSE)*VLOOKUP($S860,Frequenties[],3,FALSE)*VLOOKUP($A860,Locaties[],3,FALSE),0)</f>
        <v>0</v>
      </c>
      <c r="V860" s="33">
        <f>Ruimtestaat[[#This Row],[Uitvoeringen werkdagen]]*Ruimtestaat[[#This Row],[Oppervlak (netto)]]</f>
        <v>9044</v>
      </c>
      <c r="W860" s="154">
        <f>IF(U860&gt;0,Ruimtestaat[[#This Row],[Prest. (m2 /jaar) werkdagen]]/Ruimtestaat[[#This Row],[Norm (m2/uur) werkdagen]],0)</f>
        <v>0</v>
      </c>
      <c r="X860" s="155">
        <f>Ruimtestaat[[#This Row],[uren / jaar werkdagen]]*Tariefsopbouw!$E$35</f>
        <v>0</v>
      </c>
      <c r="Y860" s="33"/>
      <c r="Z860" s="33">
        <f>IF(Ruimtestaat[[#This Row],[Frequentie weekend]]&gt;0,VALUE(LEFT(Y860,1))*R860,0)</f>
        <v>0</v>
      </c>
      <c r="AA860" s="97">
        <f>IF($Z860&gt;0,VLOOKUP($J860,Ruimtegroepen[],3,FALSE)*VLOOKUP($L860,Vloersoorten[],3,FALSE)*VLOOKUP($Y860,Frequenties[],3,FALSE)*VLOOKUP(Ruimtestaat[[#This Row],[Code]],Locaties[],3,FALSE),0)</f>
        <v>0</v>
      </c>
      <c r="AB860" s="97">
        <f>Ruimtestaat[[#This Row],[Uitvoeringen weekend]]*Ruimtestaat[[#This Row],[Oppervlak (netto)]]</f>
        <v>0</v>
      </c>
      <c r="AC860" s="97">
        <f>IF(AA860&gt;0,Ruimtestaat[[#This Row],[Prest. (m2 /jaar) weekend]]/Ruimtestaat[[#This Row],[Norm (m2/uur) weekend]],0)</f>
        <v>0</v>
      </c>
      <c r="AD860" s="155">
        <f>Ruimtestaat[[#This Row],[uren / jaar weekend]]*Tariefsopbouw!$D$40</f>
        <v>0</v>
      </c>
      <c r="AE860" s="154">
        <f>Ruimtestaat[[#This Row],[Prest. (m2 /jaar) weekend]]+Ruimtestaat[[#This Row],[Prest. (m2 /jaar) werkdagen]]</f>
        <v>9044</v>
      </c>
      <c r="AF860" s="154">
        <f>Ruimtestaat[[#This Row],[uren / jaar weekend]]+Ruimtestaat[[#This Row],[uren / jaar werkdagen]]</f>
        <v>0</v>
      </c>
      <c r="AG860" s="69">
        <f>Ruimtestaat[[#This Row],[kosten / jaar weekend]]+Ruimtestaat[[#This Row],[kosten / jaar werkdagen]]</f>
        <v>0</v>
      </c>
      <c r="AH860" s="69"/>
      <c r="AI860" s="256" t="str">
        <f>IF(Ruimtestaat[[#This Row],[Frequentie werkdagen]]="","",_xlfn.CONCAT(Ruimtestaat[[#This Row],[Ruimte code]],"-",Ruimtestaat[[#This Row],[Frequentie werkdagen]]," ",Ruimtestaat[[#This Row],[Vloer code]]))</f>
        <v>7-5w S</v>
      </c>
      <c r="AJ860" s="300" t="str">
        <f>_xlfn.IFNA(VLOOKUP($AI860,Programma!$F$3:$G$1107,2,0),"")</f>
        <v>_</v>
      </c>
      <c r="AK860" s="300" t="str">
        <f>_xlfn.IFNA(VLOOKUP($AI860,Programma!$F$3:$H$1107,3,0),"")</f>
        <v>_</v>
      </c>
      <c r="AL860" s="300" t="str">
        <f>_xlfn.IFNA(VLOOKUP($AI860,Programma!$F$3:$I$1107,4,0),"")</f>
        <v>5w</v>
      </c>
      <c r="AM860" s="300" t="str">
        <f>_xlfn.IFNA(VLOOKUP($AI860,Programma!$F$3:$J$1107,5,0),"")</f>
        <v>_</v>
      </c>
      <c r="AN860" s="300" t="str">
        <f>_xlfn.IFNA(VLOOKUP($AI860,Programma!$F$3:$K$1107,6,0),"")</f>
        <v>5w</v>
      </c>
      <c r="AO860" s="300" t="str">
        <f>_xlfn.IFNA(VLOOKUP($AI860,Programma!$F$3:$L$1107,7,0),"")</f>
        <v>_</v>
      </c>
      <c r="AP860" s="300" t="str">
        <f>_xlfn.IFNA(VLOOKUP($AI860,Programma!$F$3:$M$1107,8,0),"")</f>
        <v>_</v>
      </c>
      <c r="AQ860" s="300" t="str">
        <f>_xlfn.IFNA(VLOOKUP($AI860,Programma!$F$3:$N$1107,9,0),"")</f>
        <v>_</v>
      </c>
      <c r="AR860" s="300" t="str">
        <f>_xlfn.IFNA(VLOOKUP($AI860,Programma!$F$3:$O$1107,10,0),"")</f>
        <v>5w</v>
      </c>
      <c r="AS860" s="300" t="str">
        <f>_xlfn.IFNA(VLOOKUP($AI860,Programma!$F$3:$P$1107,11,0),"")</f>
        <v>5w</v>
      </c>
      <c r="AT860" s="300" t="str">
        <f>_xlfn.IFNA(VLOOKUP($AI860,Programma!$F$3:$Q$1107,12,0),"")</f>
        <v>1w</v>
      </c>
      <c r="AU860" s="300" t="str">
        <f>_xlfn.IFNA(VLOOKUP($AI860,Programma!$F$3:$R$1107,13,0),"")</f>
        <v>1w</v>
      </c>
      <c r="AV860" s="300" t="str">
        <f>_xlfn.IFNA(VLOOKUP($AI860,Programma!$F$3:$S$1107,14,0),"")</f>
        <v>1m</v>
      </c>
      <c r="AW860" s="300" t="str">
        <f>_xlfn.IFNA(VLOOKUP($AI860,Programma!$F$3:$T$1107,15,0),"")</f>
        <v>2j</v>
      </c>
      <c r="AX860" s="300" t="str">
        <f>_xlfn.IFNA(VLOOKUP($AI860,Programma!$F$3:$U$1107,16,0),"")</f>
        <v>1j</v>
      </c>
      <c r="AY860" s="300" t="str">
        <f>_xlfn.IFNA(VLOOKUP($AI860,Programma!$F$3:$V$1107,17,0),"")</f>
        <v>_</v>
      </c>
      <c r="AZ860" s="300" t="str">
        <f>_xlfn.IFNA(VLOOKUP($AI860,Programma!$F$3:$W$1107,18,0),"")</f>
        <v>_</v>
      </c>
      <c r="BA860" s="300" t="str">
        <f>_xlfn.IFNA(VLOOKUP($AI860,Programma!$F$3:$X$1107,19,0),"")</f>
        <v>_</v>
      </c>
      <c r="BB860" s="300" t="str">
        <f>_xlfn.IFNA(VLOOKUP($AI860,Programma!$F$3:$Y$1107,20,0),"")</f>
        <v>_</v>
      </c>
      <c r="BC860" s="257"/>
      <c r="BD860" s="256" t="str">
        <f>IF(Ruimtestaat[[#This Row],[Frequentie weekend]]="","",_xlfn.CONCAT(Ruimtestaat[[#This Row],[Ruimte code]],"-",Ruimtestaat[[#This Row],[Frequentie weekend]]," ",Ruimtestaat[[#This Row],[Vloer code]]))</f>
        <v/>
      </c>
      <c r="BE860" s="300" t="str">
        <f>_xlfn.IFNA(VLOOKUP($BD860,Programma!$F$3:$G$1107,2,0),"")</f>
        <v/>
      </c>
      <c r="BF860" s="300" t="str">
        <f>_xlfn.IFNA(VLOOKUP($BD860,Programma!$F$3:$H$1107,3,0),"")</f>
        <v/>
      </c>
      <c r="BG860" s="300" t="str">
        <f>_xlfn.IFNA(VLOOKUP($BD860,Programma!$F$3:$I$1107,4,0),"")</f>
        <v/>
      </c>
      <c r="BH860" s="300" t="str">
        <f>_xlfn.IFNA(VLOOKUP($BD860,Programma!$F$3:$J$1107,5,0),"")</f>
        <v/>
      </c>
      <c r="BI860" s="300" t="str">
        <f>_xlfn.IFNA(VLOOKUP($BD860,Programma!$F$3:$K$1107,6,0),"")</f>
        <v/>
      </c>
      <c r="BJ860" s="300" t="str">
        <f>_xlfn.IFNA(VLOOKUP($BD860,Programma!$F$3:$L$1107,7,0),"")</f>
        <v/>
      </c>
      <c r="BK860" s="300" t="str">
        <f>_xlfn.IFNA(VLOOKUP($BD860,Programma!$F$3:$M$1107,8,0),"")</f>
        <v/>
      </c>
      <c r="BL860" s="300" t="str">
        <f>_xlfn.IFNA(VLOOKUP($BD860,Programma!$F$3:$N$1107,9,0),"")</f>
        <v/>
      </c>
      <c r="BM860" s="300" t="str">
        <f>_xlfn.IFNA(VLOOKUP($BD860,Programma!$F$3:$O$1107,10,0),"")</f>
        <v/>
      </c>
      <c r="BN860" s="300" t="str">
        <f>_xlfn.IFNA(VLOOKUP($BD860,Programma!$F$3:$P$1107,11,0),"")</f>
        <v/>
      </c>
      <c r="BO860" s="300" t="str">
        <f>_xlfn.IFNA(VLOOKUP($BD860,Programma!$F$3:$Q$1107,12,0),"")</f>
        <v/>
      </c>
      <c r="BP860" s="300" t="str">
        <f>_xlfn.IFNA(VLOOKUP($BD860,Programma!$F$3:$R$1107,13,0),"")</f>
        <v/>
      </c>
      <c r="BQ860" s="300" t="str">
        <f>_xlfn.IFNA(VLOOKUP($BD860,Programma!$F$3:$S$1107,14,0),"")</f>
        <v/>
      </c>
      <c r="BR860" s="300" t="str">
        <f>_xlfn.IFNA(VLOOKUP($BD860,Programma!$F$3:$T$1107,15,0),"")</f>
        <v/>
      </c>
      <c r="BS860" s="300" t="str">
        <f>_xlfn.IFNA(VLOOKUP($BD860,Programma!$F$3:$U$1107,16,0),"")</f>
        <v/>
      </c>
      <c r="BT860" s="300" t="str">
        <f>_xlfn.IFNA(VLOOKUP($BD860,Programma!$F$3:$V$1107,17,0),"")</f>
        <v/>
      </c>
      <c r="BU860" s="300" t="str">
        <f>_xlfn.IFNA(VLOOKUP($BD860,Programma!$F$3:$W$1107,18,0),"")</f>
        <v/>
      </c>
      <c r="BV860" s="300" t="str">
        <f>_xlfn.IFNA(VLOOKUP($BD860,Programma!$F$3:$X$1107,19,0),"")</f>
        <v/>
      </c>
      <c r="BW860" s="300" t="str">
        <f>_xlfn.IFNA(VLOOKUP($BD860,Programma!$F$3:$Y$1107,20,0),"")</f>
        <v/>
      </c>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c r="GK860" s="4"/>
      <c r="GL860" s="4"/>
      <c r="GM860" s="4"/>
      <c r="GN860" s="4"/>
      <c r="GO860" s="4"/>
      <c r="GP860" s="4"/>
      <c r="GQ860" s="4"/>
      <c r="GR860" s="4"/>
      <c r="GS860" s="4"/>
      <c r="GT860" s="4"/>
      <c r="GU860" s="4"/>
      <c r="GV860" s="4"/>
      <c r="GW860" s="4"/>
      <c r="GX860" s="4"/>
      <c r="GY860" s="4"/>
      <c r="GZ860" s="4"/>
      <c r="HA860" s="4"/>
      <c r="HB860" s="4"/>
      <c r="HC860" s="4"/>
      <c r="HD860" s="4"/>
      <c r="HE860" s="4"/>
      <c r="HF860" s="4"/>
      <c r="HG860" s="4"/>
      <c r="HH860" s="4"/>
      <c r="HI860" s="4"/>
      <c r="HJ860" s="4"/>
      <c r="HK860" s="4"/>
      <c r="HL860" s="4"/>
    </row>
    <row r="861" spans="1:220" ht="15" customHeight="1">
      <c r="A861" s="21">
        <v>9</v>
      </c>
      <c r="B861" s="157" t="str">
        <f>VLOOKUP(Ruimtestaat[[#This Row],[Code]],Locaties[[Code]:[Locatie]],2,FALSE)</f>
        <v>Novum-Maartenshal</v>
      </c>
      <c r="C861" s="157" t="str">
        <f>VLOOKUP(Ruimtestaat[[#This Row],[Code]],Locaties[[#All],[Code]:[Adres]],4,FALSE)</f>
        <v>Marcellus Emantslaan 2a</v>
      </c>
      <c r="D861" s="157" t="str">
        <f>VLOOKUP(Ruimtestaat[[#This Row],[Code]],Locaties[[#All],[Code]:[Postcode]],5,FALSE)</f>
        <v>2247 XL</v>
      </c>
      <c r="E861" s="157" t="str">
        <f>VLOOKUP(Ruimtestaat[[#This Row],[Code]],Locaties[#All],6,FALSE)</f>
        <v>Voorburg</v>
      </c>
      <c r="F861" s="62"/>
      <c r="G861" s="21" t="s">
        <v>1632</v>
      </c>
      <c r="H861" s="21" t="s">
        <v>2325</v>
      </c>
      <c r="I861" s="62" t="s">
        <v>2326</v>
      </c>
      <c r="J861" s="21">
        <v>6</v>
      </c>
      <c r="K861" s="62" t="str">
        <f>VLOOKUP(Ruimtestaat[[#This Row],[Ruimte code]],Ruimtegroepen[[#All],[Code]:[Ruimte omschrijving]],2,FALSE)</f>
        <v>Gangen/hallen</v>
      </c>
      <c r="L861" s="33" t="s">
        <v>102</v>
      </c>
      <c r="M861" s="367" t="s">
        <v>2496</v>
      </c>
      <c r="N861" s="140">
        <v>28.09</v>
      </c>
      <c r="O861" s="140"/>
      <c r="P861" s="125" t="str">
        <f>VLOOKUP(Ruimtestaat[[#This Row],[Ruimte code]],Ruimtegroepen[],4,FALSE)</f>
        <v>Ve</v>
      </c>
      <c r="R861" s="33">
        <v>40</v>
      </c>
      <c r="S861" s="33" t="s">
        <v>2</v>
      </c>
      <c r="T861" s="33">
        <f>IF(R861&gt;0,IF(RIGHT(Ruimtestaat[[#This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61" s="33">
        <f>IF(T861&gt;0,VLOOKUP($J861,Ruimtegroepen[],3,FALSE)*VLOOKUP($L861,Vloersoorten[],3,FALSE)*VLOOKUP($S861,Frequenties[],3,FALSE)*VLOOKUP($A861,Locaties[],3,FALSE),0)</f>
        <v>0</v>
      </c>
      <c r="V861" s="33">
        <f>Ruimtestaat[[#This Row],[Uitvoeringen werkdagen]]*Ruimtestaat[[#This Row],[Oppervlak (netto)]]</f>
        <v>5618</v>
      </c>
      <c r="W861" s="154">
        <f>IF(U861&gt;0,Ruimtestaat[[#This Row],[Prest. (m2 /jaar) werkdagen]]/Ruimtestaat[[#This Row],[Norm (m2/uur) werkdagen]],0)</f>
        <v>0</v>
      </c>
      <c r="X861" s="155">
        <f>Ruimtestaat[[#This Row],[uren / jaar werkdagen]]*Tariefsopbouw!$E$35</f>
        <v>0</v>
      </c>
      <c r="Y861" s="33"/>
      <c r="Z861" s="33">
        <f>IF(Ruimtestaat[[#This Row],[Frequentie weekend]]&gt;0,VALUE(LEFT(Y861,1))*R861,0)</f>
        <v>0</v>
      </c>
      <c r="AA861" s="97">
        <f>IF($Z861&gt;0,VLOOKUP($J861,Ruimtegroepen[],3,FALSE)*VLOOKUP($L861,Vloersoorten[],3,FALSE)*VLOOKUP($Y861,Frequenties[],3,FALSE)*VLOOKUP(Ruimtestaat[[#This Row],[Code]],Locaties[],3,FALSE),0)</f>
        <v>0</v>
      </c>
      <c r="AB861" s="97">
        <f>Ruimtestaat[[#This Row],[Uitvoeringen weekend]]*Ruimtestaat[[#This Row],[Oppervlak (netto)]]</f>
        <v>0</v>
      </c>
      <c r="AC861" s="97">
        <f>IF(AA861&gt;0,Ruimtestaat[[#This Row],[Prest. (m2 /jaar) weekend]]/Ruimtestaat[[#This Row],[Norm (m2/uur) weekend]],0)</f>
        <v>0</v>
      </c>
      <c r="AD861" s="155">
        <f>Ruimtestaat[[#This Row],[uren / jaar weekend]]*Tariefsopbouw!$D$40</f>
        <v>0</v>
      </c>
      <c r="AE861" s="154">
        <f>Ruimtestaat[[#This Row],[Prest. (m2 /jaar) weekend]]+Ruimtestaat[[#This Row],[Prest. (m2 /jaar) werkdagen]]</f>
        <v>5618</v>
      </c>
      <c r="AF861" s="154">
        <f>Ruimtestaat[[#This Row],[uren / jaar weekend]]+Ruimtestaat[[#This Row],[uren / jaar werkdagen]]</f>
        <v>0</v>
      </c>
      <c r="AG861" s="69">
        <f>Ruimtestaat[[#This Row],[kosten / jaar weekend]]+Ruimtestaat[[#This Row],[kosten / jaar werkdagen]]</f>
        <v>0</v>
      </c>
      <c r="AH861" s="69"/>
      <c r="AI861" s="256" t="str">
        <f>IF(Ruimtestaat[[#This Row],[Frequentie werkdagen]]="","",_xlfn.CONCAT(Ruimtestaat[[#This Row],[Ruimte code]],"-",Ruimtestaat[[#This Row],[Frequentie werkdagen]]," ",Ruimtestaat[[#This Row],[Vloer code]]))</f>
        <v>6-5w S</v>
      </c>
      <c r="AJ861" s="300" t="str">
        <f>_xlfn.IFNA(VLOOKUP($AI861,Programma!$F$3:$G$1107,2,0),"")</f>
        <v>_</v>
      </c>
      <c r="AK861" s="300" t="str">
        <f>_xlfn.IFNA(VLOOKUP($AI861,Programma!$F$3:$H$1107,3,0),"")</f>
        <v>_</v>
      </c>
      <c r="AL861" s="300" t="str">
        <f>_xlfn.IFNA(VLOOKUP($AI861,Programma!$F$3:$I$1107,4,0),"")</f>
        <v>5w</v>
      </c>
      <c r="AM861" s="300" t="str">
        <f>_xlfn.IFNA(VLOOKUP($AI861,Programma!$F$3:$J$1107,5,0),"")</f>
        <v>_</v>
      </c>
      <c r="AN861" s="300" t="str">
        <f>_xlfn.IFNA(VLOOKUP($AI861,Programma!$F$3:$K$1107,6,0),"")</f>
        <v>5w</v>
      </c>
      <c r="AO861" s="300" t="str">
        <f>_xlfn.IFNA(VLOOKUP($AI861,Programma!$F$3:$L$1107,7,0),"")</f>
        <v>_</v>
      </c>
      <c r="AP861" s="300" t="str">
        <f>_xlfn.IFNA(VLOOKUP($AI861,Programma!$F$3:$M$1107,8,0),"")</f>
        <v>_</v>
      </c>
      <c r="AQ861" s="300" t="str">
        <f>_xlfn.IFNA(VLOOKUP($AI861,Programma!$F$3:$N$1107,9,0),"")</f>
        <v>_</v>
      </c>
      <c r="AR861" s="300" t="str">
        <f>_xlfn.IFNA(VLOOKUP($AI861,Programma!$F$3:$O$1107,10,0),"")</f>
        <v>5w</v>
      </c>
      <c r="AS861" s="300" t="str">
        <f>_xlfn.IFNA(VLOOKUP($AI861,Programma!$F$3:$P$1107,11,0),"")</f>
        <v>5w</v>
      </c>
      <c r="AT861" s="300" t="str">
        <f>_xlfn.IFNA(VLOOKUP($AI861,Programma!$F$3:$Q$1107,12,0),"")</f>
        <v>1w</v>
      </c>
      <c r="AU861" s="300" t="str">
        <f>_xlfn.IFNA(VLOOKUP($AI861,Programma!$F$3:$R$1107,13,0),"")</f>
        <v>1w</v>
      </c>
      <c r="AV861" s="300" t="str">
        <f>_xlfn.IFNA(VLOOKUP($AI861,Programma!$F$3:$S$1107,14,0),"")</f>
        <v>1m</v>
      </c>
      <c r="AW861" s="300" t="str">
        <f>_xlfn.IFNA(VLOOKUP($AI861,Programma!$F$3:$T$1107,15,0),"")</f>
        <v>2j</v>
      </c>
      <c r="AX861" s="300" t="str">
        <f>_xlfn.IFNA(VLOOKUP($AI861,Programma!$F$3:$U$1107,16,0),"")</f>
        <v>1j</v>
      </c>
      <c r="AY861" s="300" t="str">
        <f>_xlfn.IFNA(VLOOKUP($AI861,Programma!$F$3:$V$1107,17,0),"")</f>
        <v>_</v>
      </c>
      <c r="AZ861" s="300" t="str">
        <f>_xlfn.IFNA(VLOOKUP($AI861,Programma!$F$3:$W$1107,18,0),"")</f>
        <v>_</v>
      </c>
      <c r="BA861" s="300" t="str">
        <f>_xlfn.IFNA(VLOOKUP($AI861,Programma!$F$3:$X$1107,19,0),"")</f>
        <v>_</v>
      </c>
      <c r="BB861" s="300" t="str">
        <f>_xlfn.IFNA(VLOOKUP($AI861,Programma!$F$3:$Y$1107,20,0),"")</f>
        <v>_</v>
      </c>
      <c r="BC861" s="257"/>
      <c r="BD861" s="256" t="str">
        <f>IF(Ruimtestaat[[#This Row],[Frequentie weekend]]="","",_xlfn.CONCAT(Ruimtestaat[[#This Row],[Ruimte code]],"-",Ruimtestaat[[#This Row],[Frequentie weekend]]," ",Ruimtestaat[[#This Row],[Vloer code]]))</f>
        <v/>
      </c>
      <c r="BE861" s="300" t="str">
        <f>_xlfn.IFNA(VLOOKUP($BD861,Programma!$F$3:$G$1107,2,0),"")</f>
        <v/>
      </c>
      <c r="BF861" s="300" t="str">
        <f>_xlfn.IFNA(VLOOKUP($BD861,Programma!$F$3:$H$1107,3,0),"")</f>
        <v/>
      </c>
      <c r="BG861" s="300" t="str">
        <f>_xlfn.IFNA(VLOOKUP($BD861,Programma!$F$3:$I$1107,4,0),"")</f>
        <v/>
      </c>
      <c r="BH861" s="300" t="str">
        <f>_xlfn.IFNA(VLOOKUP($BD861,Programma!$F$3:$J$1107,5,0),"")</f>
        <v/>
      </c>
      <c r="BI861" s="300" t="str">
        <f>_xlfn.IFNA(VLOOKUP($BD861,Programma!$F$3:$K$1107,6,0),"")</f>
        <v/>
      </c>
      <c r="BJ861" s="300" t="str">
        <f>_xlfn.IFNA(VLOOKUP($BD861,Programma!$F$3:$L$1107,7,0),"")</f>
        <v/>
      </c>
      <c r="BK861" s="300" t="str">
        <f>_xlfn.IFNA(VLOOKUP($BD861,Programma!$F$3:$M$1107,8,0),"")</f>
        <v/>
      </c>
      <c r="BL861" s="300" t="str">
        <f>_xlfn.IFNA(VLOOKUP($BD861,Programma!$F$3:$N$1107,9,0),"")</f>
        <v/>
      </c>
      <c r="BM861" s="300" t="str">
        <f>_xlfn.IFNA(VLOOKUP($BD861,Programma!$F$3:$O$1107,10,0),"")</f>
        <v/>
      </c>
      <c r="BN861" s="300" t="str">
        <f>_xlfn.IFNA(VLOOKUP($BD861,Programma!$F$3:$P$1107,11,0),"")</f>
        <v/>
      </c>
      <c r="BO861" s="300" t="str">
        <f>_xlfn.IFNA(VLOOKUP($BD861,Programma!$F$3:$Q$1107,12,0),"")</f>
        <v/>
      </c>
      <c r="BP861" s="300" t="str">
        <f>_xlfn.IFNA(VLOOKUP($BD861,Programma!$F$3:$R$1107,13,0),"")</f>
        <v/>
      </c>
      <c r="BQ861" s="300" t="str">
        <f>_xlfn.IFNA(VLOOKUP($BD861,Programma!$F$3:$S$1107,14,0),"")</f>
        <v/>
      </c>
      <c r="BR861" s="300" t="str">
        <f>_xlfn.IFNA(VLOOKUP($BD861,Programma!$F$3:$T$1107,15,0),"")</f>
        <v/>
      </c>
      <c r="BS861" s="300" t="str">
        <f>_xlfn.IFNA(VLOOKUP($BD861,Programma!$F$3:$U$1107,16,0),"")</f>
        <v/>
      </c>
      <c r="BT861" s="300" t="str">
        <f>_xlfn.IFNA(VLOOKUP($BD861,Programma!$F$3:$V$1107,17,0),"")</f>
        <v/>
      </c>
      <c r="BU861" s="300" t="str">
        <f>_xlfn.IFNA(VLOOKUP($BD861,Programma!$F$3:$W$1107,18,0),"")</f>
        <v/>
      </c>
      <c r="BV861" s="300" t="str">
        <f>_xlfn.IFNA(VLOOKUP($BD861,Programma!$F$3:$X$1107,19,0),"")</f>
        <v/>
      </c>
      <c r="BW861" s="300" t="str">
        <f>_xlfn.IFNA(VLOOKUP($BD861,Programma!$F$3:$Y$1107,20,0),"")</f>
        <v/>
      </c>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c r="GK861" s="4"/>
      <c r="GL861" s="4"/>
      <c r="GM861" s="4"/>
      <c r="GN861" s="4"/>
      <c r="GO861" s="4"/>
      <c r="GP861" s="4"/>
      <c r="GQ861" s="4"/>
      <c r="GR861" s="4"/>
      <c r="GS861" s="4"/>
      <c r="GT861" s="4"/>
      <c r="GU861" s="4"/>
      <c r="GV861" s="4"/>
      <c r="GW861" s="4"/>
      <c r="GX861" s="4"/>
      <c r="GY861" s="4"/>
      <c r="GZ861" s="4"/>
      <c r="HA861" s="4"/>
      <c r="HB861" s="4"/>
      <c r="HC861" s="4"/>
      <c r="HD861" s="4"/>
      <c r="HE861" s="4"/>
      <c r="HF861" s="4"/>
      <c r="HG861" s="4"/>
      <c r="HH861" s="4"/>
      <c r="HI861" s="4"/>
      <c r="HJ861" s="4"/>
      <c r="HK861" s="4"/>
      <c r="HL861" s="4"/>
    </row>
    <row r="862" spans="1:220" ht="15" customHeight="1">
      <c r="A862" s="21">
        <v>9</v>
      </c>
      <c r="B862" s="157" t="str">
        <f>VLOOKUP(Ruimtestaat[[#This Row],[Code]],Locaties[[Code]:[Locatie]],2,FALSE)</f>
        <v>Novum-Maartenshal</v>
      </c>
      <c r="C862" s="157" t="str">
        <f>VLOOKUP(Ruimtestaat[[#This Row],[Code]],Locaties[[#All],[Code]:[Adres]],4,FALSE)</f>
        <v>Marcellus Emantslaan 2a</v>
      </c>
      <c r="D862" s="157" t="str">
        <f>VLOOKUP(Ruimtestaat[[#This Row],[Code]],Locaties[[#All],[Code]:[Postcode]],5,FALSE)</f>
        <v>2247 XL</v>
      </c>
      <c r="E862" s="157" t="str">
        <f>VLOOKUP(Ruimtestaat[[#This Row],[Code]],Locaties[#All],6,FALSE)</f>
        <v>Voorburg</v>
      </c>
      <c r="F862" s="62"/>
      <c r="G862" s="21" t="s">
        <v>1632</v>
      </c>
      <c r="H862" s="21" t="s">
        <v>2327</v>
      </c>
      <c r="I862" s="62" t="s">
        <v>2328</v>
      </c>
      <c r="J862" s="21">
        <v>7</v>
      </c>
      <c r="K862" s="62" t="str">
        <f>VLOOKUP(Ruimtestaat[[#This Row],[Ruimte code]],Ruimtegroepen[[#All],[Code]:[Ruimte omschrijving]],2,FALSE)</f>
        <v>Entree</v>
      </c>
      <c r="L862" s="33" t="s">
        <v>102</v>
      </c>
      <c r="M862" s="367" t="s">
        <v>2496</v>
      </c>
      <c r="N862" s="140">
        <v>44.06</v>
      </c>
      <c r="O862" s="140"/>
      <c r="P862" s="125" t="str">
        <f>VLOOKUP(Ruimtestaat[[#This Row],[Ruimte code]],Ruimtegroepen[],4,FALSE)</f>
        <v>Ve</v>
      </c>
      <c r="R862" s="33">
        <v>40</v>
      </c>
      <c r="S862" s="33" t="s">
        <v>2</v>
      </c>
      <c r="T862" s="33">
        <f>IF(R862&gt;0,IF(RIGHT(Ruimtestaat[[#This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62" s="33">
        <f>IF(T862&gt;0,VLOOKUP($J862,Ruimtegroepen[],3,FALSE)*VLOOKUP($L862,Vloersoorten[],3,FALSE)*VLOOKUP($S862,Frequenties[],3,FALSE)*VLOOKUP($A862,Locaties[],3,FALSE),0)</f>
        <v>0</v>
      </c>
      <c r="V862" s="33">
        <f>Ruimtestaat[[#This Row],[Uitvoeringen werkdagen]]*Ruimtestaat[[#This Row],[Oppervlak (netto)]]</f>
        <v>8812</v>
      </c>
      <c r="W862" s="154">
        <f>IF(U862&gt;0,Ruimtestaat[[#This Row],[Prest. (m2 /jaar) werkdagen]]/Ruimtestaat[[#This Row],[Norm (m2/uur) werkdagen]],0)</f>
        <v>0</v>
      </c>
      <c r="X862" s="155">
        <f>Ruimtestaat[[#This Row],[uren / jaar werkdagen]]*Tariefsopbouw!$E$35</f>
        <v>0</v>
      </c>
      <c r="Y862" s="33"/>
      <c r="Z862" s="33">
        <f>IF(Ruimtestaat[[#This Row],[Frequentie weekend]]&gt;0,VALUE(LEFT(Y862,1))*R862,0)</f>
        <v>0</v>
      </c>
      <c r="AA862" s="97">
        <f>IF($Z862&gt;0,VLOOKUP($J862,Ruimtegroepen[],3,FALSE)*VLOOKUP($L862,Vloersoorten[],3,FALSE)*VLOOKUP($Y862,Frequenties[],3,FALSE)*VLOOKUP(Ruimtestaat[[#This Row],[Code]],Locaties[],3,FALSE),0)</f>
        <v>0</v>
      </c>
      <c r="AB862" s="97">
        <f>Ruimtestaat[[#This Row],[Uitvoeringen weekend]]*Ruimtestaat[[#This Row],[Oppervlak (netto)]]</f>
        <v>0</v>
      </c>
      <c r="AC862" s="97">
        <f>IF(AA862&gt;0,Ruimtestaat[[#This Row],[Prest. (m2 /jaar) weekend]]/Ruimtestaat[[#This Row],[Norm (m2/uur) weekend]],0)</f>
        <v>0</v>
      </c>
      <c r="AD862" s="155">
        <f>Ruimtestaat[[#This Row],[uren / jaar weekend]]*Tariefsopbouw!$D$40</f>
        <v>0</v>
      </c>
      <c r="AE862" s="154">
        <f>Ruimtestaat[[#This Row],[Prest. (m2 /jaar) weekend]]+Ruimtestaat[[#This Row],[Prest. (m2 /jaar) werkdagen]]</f>
        <v>8812</v>
      </c>
      <c r="AF862" s="154">
        <f>Ruimtestaat[[#This Row],[uren / jaar weekend]]+Ruimtestaat[[#This Row],[uren / jaar werkdagen]]</f>
        <v>0</v>
      </c>
      <c r="AG862" s="69">
        <f>Ruimtestaat[[#This Row],[kosten / jaar weekend]]+Ruimtestaat[[#This Row],[kosten / jaar werkdagen]]</f>
        <v>0</v>
      </c>
      <c r="AH862" s="69"/>
      <c r="AI862" s="256" t="str">
        <f>IF(Ruimtestaat[[#This Row],[Frequentie werkdagen]]="","",_xlfn.CONCAT(Ruimtestaat[[#This Row],[Ruimte code]],"-",Ruimtestaat[[#This Row],[Frequentie werkdagen]]," ",Ruimtestaat[[#This Row],[Vloer code]]))</f>
        <v>7-5w S</v>
      </c>
      <c r="AJ862" s="300" t="str">
        <f>_xlfn.IFNA(VLOOKUP($AI862,Programma!$F$3:$G$1107,2,0),"")</f>
        <v>_</v>
      </c>
      <c r="AK862" s="300" t="str">
        <f>_xlfn.IFNA(VLOOKUP($AI862,Programma!$F$3:$H$1107,3,0),"")</f>
        <v>_</v>
      </c>
      <c r="AL862" s="300" t="str">
        <f>_xlfn.IFNA(VLOOKUP($AI862,Programma!$F$3:$I$1107,4,0),"")</f>
        <v>5w</v>
      </c>
      <c r="AM862" s="300" t="str">
        <f>_xlfn.IFNA(VLOOKUP($AI862,Programma!$F$3:$J$1107,5,0),"")</f>
        <v>_</v>
      </c>
      <c r="AN862" s="300" t="str">
        <f>_xlfn.IFNA(VLOOKUP($AI862,Programma!$F$3:$K$1107,6,0),"")</f>
        <v>5w</v>
      </c>
      <c r="AO862" s="300" t="str">
        <f>_xlfn.IFNA(VLOOKUP($AI862,Programma!$F$3:$L$1107,7,0),"")</f>
        <v>_</v>
      </c>
      <c r="AP862" s="300" t="str">
        <f>_xlfn.IFNA(VLOOKUP($AI862,Programma!$F$3:$M$1107,8,0),"")</f>
        <v>_</v>
      </c>
      <c r="AQ862" s="300" t="str">
        <f>_xlfn.IFNA(VLOOKUP($AI862,Programma!$F$3:$N$1107,9,0),"")</f>
        <v>_</v>
      </c>
      <c r="AR862" s="300" t="str">
        <f>_xlfn.IFNA(VLOOKUP($AI862,Programma!$F$3:$O$1107,10,0),"")</f>
        <v>5w</v>
      </c>
      <c r="AS862" s="300" t="str">
        <f>_xlfn.IFNA(VLOOKUP($AI862,Programma!$F$3:$P$1107,11,0),"")</f>
        <v>5w</v>
      </c>
      <c r="AT862" s="300" t="str">
        <f>_xlfn.IFNA(VLOOKUP($AI862,Programma!$F$3:$Q$1107,12,0),"")</f>
        <v>1w</v>
      </c>
      <c r="AU862" s="300" t="str">
        <f>_xlfn.IFNA(VLOOKUP($AI862,Programma!$F$3:$R$1107,13,0),"")</f>
        <v>1w</v>
      </c>
      <c r="AV862" s="300" t="str">
        <f>_xlfn.IFNA(VLOOKUP($AI862,Programma!$F$3:$S$1107,14,0),"")</f>
        <v>1m</v>
      </c>
      <c r="AW862" s="300" t="str">
        <f>_xlfn.IFNA(VLOOKUP($AI862,Programma!$F$3:$T$1107,15,0),"")</f>
        <v>2j</v>
      </c>
      <c r="AX862" s="300" t="str">
        <f>_xlfn.IFNA(VLOOKUP($AI862,Programma!$F$3:$U$1107,16,0),"")</f>
        <v>1j</v>
      </c>
      <c r="AY862" s="300" t="str">
        <f>_xlfn.IFNA(VLOOKUP($AI862,Programma!$F$3:$V$1107,17,0),"")</f>
        <v>_</v>
      </c>
      <c r="AZ862" s="300" t="str">
        <f>_xlfn.IFNA(VLOOKUP($AI862,Programma!$F$3:$W$1107,18,0),"")</f>
        <v>_</v>
      </c>
      <c r="BA862" s="300" t="str">
        <f>_xlfn.IFNA(VLOOKUP($AI862,Programma!$F$3:$X$1107,19,0),"")</f>
        <v>_</v>
      </c>
      <c r="BB862" s="300" t="str">
        <f>_xlfn.IFNA(VLOOKUP($AI862,Programma!$F$3:$Y$1107,20,0),"")</f>
        <v>_</v>
      </c>
      <c r="BC862" s="257"/>
      <c r="BD862" s="256" t="str">
        <f>IF(Ruimtestaat[[#This Row],[Frequentie weekend]]="","",_xlfn.CONCAT(Ruimtestaat[[#This Row],[Ruimte code]],"-",Ruimtestaat[[#This Row],[Frequentie weekend]]," ",Ruimtestaat[[#This Row],[Vloer code]]))</f>
        <v/>
      </c>
      <c r="BE862" s="300" t="str">
        <f>_xlfn.IFNA(VLOOKUP($BD862,Programma!$F$3:$G$1107,2,0),"")</f>
        <v/>
      </c>
      <c r="BF862" s="300" t="str">
        <f>_xlfn.IFNA(VLOOKUP($BD862,Programma!$F$3:$H$1107,3,0),"")</f>
        <v/>
      </c>
      <c r="BG862" s="300" t="str">
        <f>_xlfn.IFNA(VLOOKUP($BD862,Programma!$F$3:$I$1107,4,0),"")</f>
        <v/>
      </c>
      <c r="BH862" s="300" t="str">
        <f>_xlfn.IFNA(VLOOKUP($BD862,Programma!$F$3:$J$1107,5,0),"")</f>
        <v/>
      </c>
      <c r="BI862" s="300" t="str">
        <f>_xlfn.IFNA(VLOOKUP($BD862,Programma!$F$3:$K$1107,6,0),"")</f>
        <v/>
      </c>
      <c r="BJ862" s="300" t="str">
        <f>_xlfn.IFNA(VLOOKUP($BD862,Programma!$F$3:$L$1107,7,0),"")</f>
        <v/>
      </c>
      <c r="BK862" s="300" t="str">
        <f>_xlfn.IFNA(VLOOKUP($BD862,Programma!$F$3:$M$1107,8,0),"")</f>
        <v/>
      </c>
      <c r="BL862" s="300" t="str">
        <f>_xlfn.IFNA(VLOOKUP($BD862,Programma!$F$3:$N$1107,9,0),"")</f>
        <v/>
      </c>
      <c r="BM862" s="300" t="str">
        <f>_xlfn.IFNA(VLOOKUP($BD862,Programma!$F$3:$O$1107,10,0),"")</f>
        <v/>
      </c>
      <c r="BN862" s="300" t="str">
        <f>_xlfn.IFNA(VLOOKUP($BD862,Programma!$F$3:$P$1107,11,0),"")</f>
        <v/>
      </c>
      <c r="BO862" s="300" t="str">
        <f>_xlfn.IFNA(VLOOKUP($BD862,Programma!$F$3:$Q$1107,12,0),"")</f>
        <v/>
      </c>
      <c r="BP862" s="300" t="str">
        <f>_xlfn.IFNA(VLOOKUP($BD862,Programma!$F$3:$R$1107,13,0),"")</f>
        <v/>
      </c>
      <c r="BQ862" s="300" t="str">
        <f>_xlfn.IFNA(VLOOKUP($BD862,Programma!$F$3:$S$1107,14,0),"")</f>
        <v/>
      </c>
      <c r="BR862" s="300" t="str">
        <f>_xlfn.IFNA(VLOOKUP($BD862,Programma!$F$3:$T$1107,15,0),"")</f>
        <v/>
      </c>
      <c r="BS862" s="300" t="str">
        <f>_xlfn.IFNA(VLOOKUP($BD862,Programma!$F$3:$U$1107,16,0),"")</f>
        <v/>
      </c>
      <c r="BT862" s="300" t="str">
        <f>_xlfn.IFNA(VLOOKUP($BD862,Programma!$F$3:$V$1107,17,0),"")</f>
        <v/>
      </c>
      <c r="BU862" s="300" t="str">
        <f>_xlfn.IFNA(VLOOKUP($BD862,Programma!$F$3:$W$1107,18,0),"")</f>
        <v/>
      </c>
      <c r="BV862" s="300" t="str">
        <f>_xlfn.IFNA(VLOOKUP($BD862,Programma!$F$3:$X$1107,19,0),"")</f>
        <v/>
      </c>
      <c r="BW862" s="300" t="str">
        <f>_xlfn.IFNA(VLOOKUP($BD862,Programma!$F$3:$Y$1107,20,0),"")</f>
        <v/>
      </c>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c r="GK862" s="4"/>
      <c r="GL862" s="4"/>
      <c r="GM862" s="4"/>
      <c r="GN862" s="4"/>
      <c r="GO862" s="4"/>
      <c r="GP862" s="4"/>
      <c r="GQ862" s="4"/>
      <c r="GR862" s="4"/>
      <c r="GS862" s="4"/>
      <c r="GT862" s="4"/>
      <c r="GU862" s="4"/>
      <c r="GV862" s="4"/>
      <c r="GW862" s="4"/>
      <c r="GX862" s="4"/>
      <c r="GY862" s="4"/>
      <c r="GZ862" s="4"/>
      <c r="HA862" s="4"/>
      <c r="HB862" s="4"/>
      <c r="HC862" s="4"/>
      <c r="HD862" s="4"/>
      <c r="HE862" s="4"/>
      <c r="HF862" s="4"/>
      <c r="HG862" s="4"/>
      <c r="HH862" s="4"/>
      <c r="HI862" s="4"/>
      <c r="HJ862" s="4"/>
      <c r="HK862" s="4"/>
      <c r="HL862" s="4"/>
    </row>
    <row r="863" spans="1:220" ht="15" customHeight="1">
      <c r="A863" s="21">
        <v>9</v>
      </c>
      <c r="B863" s="157" t="str">
        <f>VLOOKUP(Ruimtestaat[[#This Row],[Code]],Locaties[[Code]:[Locatie]],2,FALSE)</f>
        <v>Novum-Maartenshal</v>
      </c>
      <c r="C863" s="157" t="str">
        <f>VLOOKUP(Ruimtestaat[[#This Row],[Code]],Locaties[[#All],[Code]:[Adres]],4,FALSE)</f>
        <v>Marcellus Emantslaan 2a</v>
      </c>
      <c r="D863" s="157" t="str">
        <f>VLOOKUP(Ruimtestaat[[#This Row],[Code]],Locaties[[#All],[Code]:[Postcode]],5,FALSE)</f>
        <v>2247 XL</v>
      </c>
      <c r="E863" s="157" t="str">
        <f>VLOOKUP(Ruimtestaat[[#This Row],[Code]],Locaties[#All],6,FALSE)</f>
        <v>Voorburg</v>
      </c>
      <c r="F863" s="62"/>
      <c r="G863" s="21" t="s">
        <v>1632</v>
      </c>
      <c r="H863" s="21" t="s">
        <v>2329</v>
      </c>
      <c r="I863" s="62" t="s">
        <v>2330</v>
      </c>
      <c r="J863" s="21">
        <v>19</v>
      </c>
      <c r="K863" s="62" t="str">
        <f>VLOOKUP(Ruimtestaat[[#This Row],[Ruimte code]],Ruimtegroepen[[#All],[Code]:[Ruimte omschrijving]],2,FALSE)</f>
        <v>kleedruimten</v>
      </c>
      <c r="L863" s="33" t="s">
        <v>102</v>
      </c>
      <c r="M863" s="367" t="s">
        <v>2496</v>
      </c>
      <c r="N863" s="140">
        <v>7.03</v>
      </c>
      <c r="O863" s="140"/>
      <c r="P863" s="125" t="str">
        <f>VLOOKUP(Ruimtestaat[[#This Row],[Ruimte code]],Ruimtegroepen[],4,FALSE)</f>
        <v>Ve</v>
      </c>
      <c r="R863" s="33">
        <v>40</v>
      </c>
      <c r="S863" s="33" t="s">
        <v>2</v>
      </c>
      <c r="T863" s="33">
        <f>IF(R863&gt;0,IF(RIGHT(Ruimtestaat[[#This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63" s="33">
        <f>IF(T863&gt;0,VLOOKUP($J863,Ruimtegroepen[],3,FALSE)*VLOOKUP($L863,Vloersoorten[],3,FALSE)*VLOOKUP($S863,Frequenties[],3,FALSE)*VLOOKUP($A863,Locaties[],3,FALSE),0)</f>
        <v>0</v>
      </c>
      <c r="V863" s="33">
        <f>Ruimtestaat[[#This Row],[Uitvoeringen werkdagen]]*Ruimtestaat[[#This Row],[Oppervlak (netto)]]</f>
        <v>1406</v>
      </c>
      <c r="W863" s="154">
        <f>IF(U863&gt;0,Ruimtestaat[[#This Row],[Prest. (m2 /jaar) werkdagen]]/Ruimtestaat[[#This Row],[Norm (m2/uur) werkdagen]],0)</f>
        <v>0</v>
      </c>
      <c r="X863" s="155">
        <f>Ruimtestaat[[#This Row],[uren / jaar werkdagen]]*Tariefsopbouw!$E$35</f>
        <v>0</v>
      </c>
      <c r="Y863" s="33"/>
      <c r="Z863" s="33">
        <f>IF(Ruimtestaat[[#This Row],[Frequentie weekend]]&gt;0,VALUE(LEFT(Y863,1))*R863,0)</f>
        <v>0</v>
      </c>
      <c r="AA863" s="97">
        <f>IF($Z863&gt;0,VLOOKUP($J863,Ruimtegroepen[],3,FALSE)*VLOOKUP($L863,Vloersoorten[],3,FALSE)*VLOOKUP($Y863,Frequenties[],3,FALSE)*VLOOKUP(Ruimtestaat[[#This Row],[Code]],Locaties[],3,FALSE),0)</f>
        <v>0</v>
      </c>
      <c r="AB863" s="97">
        <f>Ruimtestaat[[#This Row],[Uitvoeringen weekend]]*Ruimtestaat[[#This Row],[Oppervlak (netto)]]</f>
        <v>0</v>
      </c>
      <c r="AC863" s="97">
        <f>IF(AA863&gt;0,Ruimtestaat[[#This Row],[Prest. (m2 /jaar) weekend]]/Ruimtestaat[[#This Row],[Norm (m2/uur) weekend]],0)</f>
        <v>0</v>
      </c>
      <c r="AD863" s="155">
        <f>Ruimtestaat[[#This Row],[uren / jaar weekend]]*Tariefsopbouw!$D$40</f>
        <v>0</v>
      </c>
      <c r="AE863" s="154">
        <f>Ruimtestaat[[#This Row],[Prest. (m2 /jaar) weekend]]+Ruimtestaat[[#This Row],[Prest. (m2 /jaar) werkdagen]]</f>
        <v>1406</v>
      </c>
      <c r="AF863" s="154">
        <f>Ruimtestaat[[#This Row],[uren / jaar weekend]]+Ruimtestaat[[#This Row],[uren / jaar werkdagen]]</f>
        <v>0</v>
      </c>
      <c r="AG863" s="69">
        <f>Ruimtestaat[[#This Row],[kosten / jaar weekend]]+Ruimtestaat[[#This Row],[kosten / jaar werkdagen]]</f>
        <v>0</v>
      </c>
      <c r="AH863" s="69"/>
      <c r="AI863" s="256" t="str">
        <f>IF(Ruimtestaat[[#This Row],[Frequentie werkdagen]]="","",_xlfn.CONCAT(Ruimtestaat[[#This Row],[Ruimte code]],"-",Ruimtestaat[[#This Row],[Frequentie werkdagen]]," ",Ruimtestaat[[#This Row],[Vloer code]]))</f>
        <v>19-5w S</v>
      </c>
      <c r="AJ863" s="300" t="str">
        <f>_xlfn.IFNA(VLOOKUP($AI863,Programma!$F$3:$G$1107,2,0),"")</f>
        <v>_</v>
      </c>
      <c r="AK863" s="300" t="str">
        <f>_xlfn.IFNA(VLOOKUP($AI863,Programma!$F$3:$H$1107,3,0),"")</f>
        <v>_</v>
      </c>
      <c r="AL863" s="300" t="str">
        <f>_xlfn.IFNA(VLOOKUP($AI863,Programma!$F$3:$I$1107,4,0),"")</f>
        <v>5w</v>
      </c>
      <c r="AM863" s="300" t="str">
        <f>_xlfn.IFNA(VLOOKUP($AI863,Programma!$F$3:$J$1107,5,0),"")</f>
        <v>_</v>
      </c>
      <c r="AN863" s="300" t="str">
        <f>_xlfn.IFNA(VLOOKUP($AI863,Programma!$F$3:$K$1107,6,0),"")</f>
        <v>5w</v>
      </c>
      <c r="AO863" s="300" t="str">
        <f>_xlfn.IFNA(VLOOKUP($AI863,Programma!$F$3:$L$1107,7,0),"")</f>
        <v>_</v>
      </c>
      <c r="AP863" s="300" t="str">
        <f>_xlfn.IFNA(VLOOKUP($AI863,Programma!$F$3:$M$1107,8,0),"")</f>
        <v>_</v>
      </c>
      <c r="AQ863" s="300" t="str">
        <f>_xlfn.IFNA(VLOOKUP($AI863,Programma!$F$3:$N$1107,9,0),"")</f>
        <v>_</v>
      </c>
      <c r="AR863" s="300" t="str">
        <f>_xlfn.IFNA(VLOOKUP($AI863,Programma!$F$3:$O$1107,10,0),"")</f>
        <v>5w</v>
      </c>
      <c r="AS863" s="300" t="str">
        <f>_xlfn.IFNA(VLOOKUP($AI863,Programma!$F$3:$P$1107,11,0),"")</f>
        <v>5w</v>
      </c>
      <c r="AT863" s="300" t="str">
        <f>_xlfn.IFNA(VLOOKUP($AI863,Programma!$F$3:$Q$1107,12,0),"")</f>
        <v>1w</v>
      </c>
      <c r="AU863" s="300" t="str">
        <f>_xlfn.IFNA(VLOOKUP($AI863,Programma!$F$3:$R$1107,13,0),"")</f>
        <v>1w</v>
      </c>
      <c r="AV863" s="300" t="str">
        <f>_xlfn.IFNA(VLOOKUP($AI863,Programma!$F$3:$S$1107,14,0),"")</f>
        <v>1m</v>
      </c>
      <c r="AW863" s="300" t="str">
        <f>_xlfn.IFNA(VLOOKUP($AI863,Programma!$F$3:$T$1107,15,0),"")</f>
        <v>2j</v>
      </c>
      <c r="AX863" s="300" t="str">
        <f>_xlfn.IFNA(VLOOKUP($AI863,Programma!$F$3:$U$1107,16,0),"")</f>
        <v>1j</v>
      </c>
      <c r="AY863" s="300" t="str">
        <f>_xlfn.IFNA(VLOOKUP($AI863,Programma!$F$3:$V$1107,17,0),"")</f>
        <v>_</v>
      </c>
      <c r="AZ863" s="300" t="str">
        <f>_xlfn.IFNA(VLOOKUP($AI863,Programma!$F$3:$W$1107,18,0),"")</f>
        <v>_</v>
      </c>
      <c r="BA863" s="300" t="str">
        <f>_xlfn.IFNA(VLOOKUP($AI863,Programma!$F$3:$X$1107,19,0),"")</f>
        <v>_</v>
      </c>
      <c r="BB863" s="300" t="str">
        <f>_xlfn.IFNA(VLOOKUP($AI863,Programma!$F$3:$Y$1107,20,0),"")</f>
        <v>_</v>
      </c>
      <c r="BC863" s="257"/>
      <c r="BD863" s="256" t="str">
        <f>IF(Ruimtestaat[[#This Row],[Frequentie weekend]]="","",_xlfn.CONCAT(Ruimtestaat[[#This Row],[Ruimte code]],"-",Ruimtestaat[[#This Row],[Frequentie weekend]]," ",Ruimtestaat[[#This Row],[Vloer code]]))</f>
        <v/>
      </c>
      <c r="BE863" s="300" t="str">
        <f>_xlfn.IFNA(VLOOKUP($BD863,Programma!$F$3:$G$1107,2,0),"")</f>
        <v/>
      </c>
      <c r="BF863" s="300" t="str">
        <f>_xlfn.IFNA(VLOOKUP($BD863,Programma!$F$3:$H$1107,3,0),"")</f>
        <v/>
      </c>
      <c r="BG863" s="300" t="str">
        <f>_xlfn.IFNA(VLOOKUP($BD863,Programma!$F$3:$I$1107,4,0),"")</f>
        <v/>
      </c>
      <c r="BH863" s="300" t="str">
        <f>_xlfn.IFNA(VLOOKUP($BD863,Programma!$F$3:$J$1107,5,0),"")</f>
        <v/>
      </c>
      <c r="BI863" s="300" t="str">
        <f>_xlfn.IFNA(VLOOKUP($BD863,Programma!$F$3:$K$1107,6,0),"")</f>
        <v/>
      </c>
      <c r="BJ863" s="300" t="str">
        <f>_xlfn.IFNA(VLOOKUP($BD863,Programma!$F$3:$L$1107,7,0),"")</f>
        <v/>
      </c>
      <c r="BK863" s="300" t="str">
        <f>_xlfn.IFNA(VLOOKUP($BD863,Programma!$F$3:$M$1107,8,0),"")</f>
        <v/>
      </c>
      <c r="BL863" s="300" t="str">
        <f>_xlfn.IFNA(VLOOKUP($BD863,Programma!$F$3:$N$1107,9,0),"")</f>
        <v/>
      </c>
      <c r="BM863" s="300" t="str">
        <f>_xlfn.IFNA(VLOOKUP($BD863,Programma!$F$3:$O$1107,10,0),"")</f>
        <v/>
      </c>
      <c r="BN863" s="300" t="str">
        <f>_xlfn.IFNA(VLOOKUP($BD863,Programma!$F$3:$P$1107,11,0),"")</f>
        <v/>
      </c>
      <c r="BO863" s="300" t="str">
        <f>_xlfn.IFNA(VLOOKUP($BD863,Programma!$F$3:$Q$1107,12,0),"")</f>
        <v/>
      </c>
      <c r="BP863" s="300" t="str">
        <f>_xlfn.IFNA(VLOOKUP($BD863,Programma!$F$3:$R$1107,13,0),"")</f>
        <v/>
      </c>
      <c r="BQ863" s="300" t="str">
        <f>_xlfn.IFNA(VLOOKUP($BD863,Programma!$F$3:$S$1107,14,0),"")</f>
        <v/>
      </c>
      <c r="BR863" s="300" t="str">
        <f>_xlfn.IFNA(VLOOKUP($BD863,Programma!$F$3:$T$1107,15,0),"")</f>
        <v/>
      </c>
      <c r="BS863" s="300" t="str">
        <f>_xlfn.IFNA(VLOOKUP($BD863,Programma!$F$3:$U$1107,16,0),"")</f>
        <v/>
      </c>
      <c r="BT863" s="300" t="str">
        <f>_xlfn.IFNA(VLOOKUP($BD863,Programma!$F$3:$V$1107,17,0),"")</f>
        <v/>
      </c>
      <c r="BU863" s="300" t="str">
        <f>_xlfn.IFNA(VLOOKUP($BD863,Programma!$F$3:$W$1107,18,0),"")</f>
        <v/>
      </c>
      <c r="BV863" s="300" t="str">
        <f>_xlfn.IFNA(VLOOKUP($BD863,Programma!$F$3:$X$1107,19,0),"")</f>
        <v/>
      </c>
      <c r="BW863" s="300" t="str">
        <f>_xlfn.IFNA(VLOOKUP($BD863,Programma!$F$3:$Y$1107,20,0),"")</f>
        <v/>
      </c>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c r="GK863" s="4"/>
      <c r="GL863" s="4"/>
      <c r="GM863" s="4"/>
      <c r="GN863" s="4"/>
      <c r="GO863" s="4"/>
      <c r="GP863" s="4"/>
      <c r="GQ863" s="4"/>
      <c r="GR863" s="4"/>
      <c r="GS863" s="4"/>
      <c r="GT863" s="4"/>
      <c r="GU863" s="4"/>
      <c r="GV863" s="4"/>
      <c r="GW863" s="4"/>
      <c r="GX863" s="4"/>
      <c r="GY863" s="4"/>
      <c r="GZ863" s="4"/>
      <c r="HA863" s="4"/>
      <c r="HB863" s="4"/>
      <c r="HC863" s="4"/>
      <c r="HD863" s="4"/>
      <c r="HE863" s="4"/>
      <c r="HF863" s="4"/>
      <c r="HG863" s="4"/>
      <c r="HH863" s="4"/>
      <c r="HI863" s="4"/>
      <c r="HJ863" s="4"/>
      <c r="HK863" s="4"/>
      <c r="HL863" s="4"/>
    </row>
    <row r="864" spans="1:220" ht="15" customHeight="1">
      <c r="A864" s="21">
        <v>9</v>
      </c>
      <c r="B864" s="157" t="str">
        <f>VLOOKUP(Ruimtestaat[[#This Row],[Code]],Locaties[[Code]:[Locatie]],2,FALSE)</f>
        <v>Novum-Maartenshal</v>
      </c>
      <c r="C864" s="157" t="str">
        <f>VLOOKUP(Ruimtestaat[[#This Row],[Code]],Locaties[[#All],[Code]:[Adres]],4,FALSE)</f>
        <v>Marcellus Emantslaan 2a</v>
      </c>
      <c r="D864" s="157" t="str">
        <f>VLOOKUP(Ruimtestaat[[#This Row],[Code]],Locaties[[#All],[Code]:[Postcode]],5,FALSE)</f>
        <v>2247 XL</v>
      </c>
      <c r="E864" s="157" t="str">
        <f>VLOOKUP(Ruimtestaat[[#This Row],[Code]],Locaties[#All],6,FALSE)</f>
        <v>Voorburg</v>
      </c>
      <c r="F864" s="62"/>
      <c r="G864" s="21" t="s">
        <v>1632</v>
      </c>
      <c r="H864" s="21" t="s">
        <v>2331</v>
      </c>
      <c r="I864" s="62" t="s">
        <v>2332</v>
      </c>
      <c r="J864" s="21">
        <v>5</v>
      </c>
      <c r="K864" s="62" t="str">
        <f>VLOOKUP(Ruimtestaat[[#This Row],[Ruimte code]],Ruimtegroepen[[#All],[Code]:[Ruimte omschrijving]],2,FALSE)</f>
        <v>Sanitair</v>
      </c>
      <c r="L864" s="33" t="s">
        <v>102</v>
      </c>
      <c r="M864" s="367" t="s">
        <v>2496</v>
      </c>
      <c r="N864" s="140">
        <v>3.71</v>
      </c>
      <c r="O864" s="140"/>
      <c r="P864" s="125" t="str">
        <f>VLOOKUP(Ruimtestaat[[#This Row],[Ruimte code]],Ruimtegroepen[],4,FALSE)</f>
        <v>Sa</v>
      </c>
      <c r="R864" s="33">
        <v>40</v>
      </c>
      <c r="S864" s="33" t="s">
        <v>2</v>
      </c>
      <c r="T864" s="33">
        <f>IF(R864&gt;0,IF(RIGHT(Ruimtestaat[[#This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64" s="33">
        <f>IF(T864&gt;0,VLOOKUP($J864,Ruimtegroepen[],3,FALSE)*VLOOKUP($L864,Vloersoorten[],3,FALSE)*VLOOKUP($S864,Frequenties[],3,FALSE)*VLOOKUP($A864,Locaties[],3,FALSE),0)</f>
        <v>0</v>
      </c>
      <c r="V864" s="33">
        <f>Ruimtestaat[[#This Row],[Uitvoeringen werkdagen]]*Ruimtestaat[[#This Row],[Oppervlak (netto)]]</f>
        <v>742</v>
      </c>
      <c r="W864" s="154">
        <f>IF(U864&gt;0,Ruimtestaat[[#This Row],[Prest. (m2 /jaar) werkdagen]]/Ruimtestaat[[#This Row],[Norm (m2/uur) werkdagen]],0)</f>
        <v>0</v>
      </c>
      <c r="X864" s="155">
        <f>Ruimtestaat[[#This Row],[uren / jaar werkdagen]]*Tariefsopbouw!$E$35</f>
        <v>0</v>
      </c>
      <c r="Y864" s="33"/>
      <c r="Z864" s="33">
        <f>IF(Ruimtestaat[[#This Row],[Frequentie weekend]]&gt;0,VALUE(LEFT(Y864,1))*R864,0)</f>
        <v>0</v>
      </c>
      <c r="AA864" s="97">
        <f>IF($Z864&gt;0,VLOOKUP($J864,Ruimtegroepen[],3,FALSE)*VLOOKUP($L864,Vloersoorten[],3,FALSE)*VLOOKUP($Y864,Frequenties[],3,FALSE)*VLOOKUP(Ruimtestaat[[#This Row],[Code]],Locaties[],3,FALSE),0)</f>
        <v>0</v>
      </c>
      <c r="AB864" s="97">
        <f>Ruimtestaat[[#This Row],[Uitvoeringen weekend]]*Ruimtestaat[[#This Row],[Oppervlak (netto)]]</f>
        <v>0</v>
      </c>
      <c r="AC864" s="97">
        <f>IF(AA864&gt;0,Ruimtestaat[[#This Row],[Prest. (m2 /jaar) weekend]]/Ruimtestaat[[#This Row],[Norm (m2/uur) weekend]],0)</f>
        <v>0</v>
      </c>
      <c r="AD864" s="155">
        <f>Ruimtestaat[[#This Row],[uren / jaar weekend]]*Tariefsopbouw!$D$40</f>
        <v>0</v>
      </c>
      <c r="AE864" s="154">
        <f>Ruimtestaat[[#This Row],[Prest. (m2 /jaar) weekend]]+Ruimtestaat[[#This Row],[Prest. (m2 /jaar) werkdagen]]</f>
        <v>742</v>
      </c>
      <c r="AF864" s="154">
        <f>Ruimtestaat[[#This Row],[uren / jaar weekend]]+Ruimtestaat[[#This Row],[uren / jaar werkdagen]]</f>
        <v>0</v>
      </c>
      <c r="AG864" s="69">
        <f>Ruimtestaat[[#This Row],[kosten / jaar weekend]]+Ruimtestaat[[#This Row],[kosten / jaar werkdagen]]</f>
        <v>0</v>
      </c>
      <c r="AH864" s="69"/>
      <c r="AI864" s="256" t="str">
        <f>IF(Ruimtestaat[[#This Row],[Frequentie werkdagen]]="","",_xlfn.CONCAT(Ruimtestaat[[#This Row],[Ruimte code]],"-",Ruimtestaat[[#This Row],[Frequentie werkdagen]]," ",Ruimtestaat[[#This Row],[Vloer code]]))</f>
        <v>5-5w S</v>
      </c>
      <c r="AJ864" s="300" t="str">
        <f>_xlfn.IFNA(VLOOKUP($AI864,Programma!$F$3:$G$1107,2,0),"")</f>
        <v>_</v>
      </c>
      <c r="AK864" s="300" t="str">
        <f>_xlfn.IFNA(VLOOKUP($AI864,Programma!$F$3:$H$1107,3,0),"")</f>
        <v>_</v>
      </c>
      <c r="AL864" s="300" t="str">
        <f>_xlfn.IFNA(VLOOKUP($AI864,Programma!$F$3:$I$1107,4,0),"")</f>
        <v>_</v>
      </c>
      <c r="AM864" s="300" t="str">
        <f>_xlfn.IFNA(VLOOKUP($AI864,Programma!$F$3:$J$1107,5,0),"")</f>
        <v>4w</v>
      </c>
      <c r="AN864" s="300" t="str">
        <f>_xlfn.IFNA(VLOOKUP($AI864,Programma!$F$3:$K$1107,6,0),"")</f>
        <v>1w</v>
      </c>
      <c r="AO864" s="300" t="str">
        <f>_xlfn.IFNA(VLOOKUP($AI864,Programma!$F$3:$L$1107,7,0),"")</f>
        <v>_</v>
      </c>
      <c r="AP864" s="300" t="str">
        <f>_xlfn.IFNA(VLOOKUP($AI864,Programma!$F$3:$M$1107,8,0),"")</f>
        <v>_</v>
      </c>
      <c r="AQ864" s="300" t="str">
        <f>_xlfn.IFNA(VLOOKUP($AI864,Programma!$F$3:$N$1107,9,0),"")</f>
        <v>_</v>
      </c>
      <c r="AR864" s="300" t="str">
        <f>_xlfn.IFNA(VLOOKUP($AI864,Programma!$F$3:$O$1107,10,0),"")</f>
        <v>_</v>
      </c>
      <c r="AS864" s="300" t="str">
        <f>_xlfn.IFNA(VLOOKUP($AI864,Programma!$F$3:$P$1107,11,0),"")</f>
        <v>_</v>
      </c>
      <c r="AT864" s="300" t="str">
        <f>_xlfn.IFNA(VLOOKUP($AI864,Programma!$F$3:$Q$1107,12,0),"")</f>
        <v>_</v>
      </c>
      <c r="AU864" s="300" t="str">
        <f>_xlfn.IFNA(VLOOKUP($AI864,Programma!$F$3:$R$1107,13,0),"")</f>
        <v>_</v>
      </c>
      <c r="AV864" s="300" t="str">
        <f>_xlfn.IFNA(VLOOKUP($AI864,Programma!$F$3:$S$1107,14,0),"")</f>
        <v>_</v>
      </c>
      <c r="AW864" s="300" t="str">
        <f>_xlfn.IFNA(VLOOKUP($AI864,Programma!$F$3:$T$1107,15,0),"")</f>
        <v>_</v>
      </c>
      <c r="AX864" s="300" t="str">
        <f>_xlfn.IFNA(VLOOKUP($AI864,Programma!$F$3:$U$1107,16,0),"")</f>
        <v>_</v>
      </c>
      <c r="AY864" s="300" t="str">
        <f>_xlfn.IFNA(VLOOKUP($AI864,Programma!$F$3:$V$1107,17,0),"")</f>
        <v>_</v>
      </c>
      <c r="AZ864" s="300" t="str">
        <f>_xlfn.IFNA(VLOOKUP($AI864,Programma!$F$3:$W$1107,18,0),"")</f>
        <v>4w</v>
      </c>
      <c r="BA864" s="300" t="str">
        <f>_xlfn.IFNA(VLOOKUP($AI864,Programma!$F$3:$X$1107,19,0),"")</f>
        <v>1w</v>
      </c>
      <c r="BB864" s="300" t="str">
        <f>_xlfn.IFNA(VLOOKUP($AI864,Programma!$F$3:$Y$1107,20,0),"")</f>
        <v>_</v>
      </c>
      <c r="BC864" s="257"/>
      <c r="BD864" s="256" t="str">
        <f>IF(Ruimtestaat[[#This Row],[Frequentie weekend]]="","",_xlfn.CONCAT(Ruimtestaat[[#This Row],[Ruimte code]],"-",Ruimtestaat[[#This Row],[Frequentie weekend]]," ",Ruimtestaat[[#This Row],[Vloer code]]))</f>
        <v/>
      </c>
      <c r="BE864" s="300" t="str">
        <f>_xlfn.IFNA(VLOOKUP($BD864,Programma!$F$3:$G$1107,2,0),"")</f>
        <v/>
      </c>
      <c r="BF864" s="300" t="str">
        <f>_xlfn.IFNA(VLOOKUP($BD864,Programma!$F$3:$H$1107,3,0),"")</f>
        <v/>
      </c>
      <c r="BG864" s="300" t="str">
        <f>_xlfn.IFNA(VLOOKUP($BD864,Programma!$F$3:$I$1107,4,0),"")</f>
        <v/>
      </c>
      <c r="BH864" s="300" t="str">
        <f>_xlfn.IFNA(VLOOKUP($BD864,Programma!$F$3:$J$1107,5,0),"")</f>
        <v/>
      </c>
      <c r="BI864" s="300" t="str">
        <f>_xlfn.IFNA(VLOOKUP($BD864,Programma!$F$3:$K$1107,6,0),"")</f>
        <v/>
      </c>
      <c r="BJ864" s="300" t="str">
        <f>_xlfn.IFNA(VLOOKUP($BD864,Programma!$F$3:$L$1107,7,0),"")</f>
        <v/>
      </c>
      <c r="BK864" s="300" t="str">
        <f>_xlfn.IFNA(VLOOKUP($BD864,Programma!$F$3:$M$1107,8,0),"")</f>
        <v/>
      </c>
      <c r="BL864" s="300" t="str">
        <f>_xlfn.IFNA(VLOOKUP($BD864,Programma!$F$3:$N$1107,9,0),"")</f>
        <v/>
      </c>
      <c r="BM864" s="300" t="str">
        <f>_xlfn.IFNA(VLOOKUP($BD864,Programma!$F$3:$O$1107,10,0),"")</f>
        <v/>
      </c>
      <c r="BN864" s="300" t="str">
        <f>_xlfn.IFNA(VLOOKUP($BD864,Programma!$F$3:$P$1107,11,0),"")</f>
        <v/>
      </c>
      <c r="BO864" s="300" t="str">
        <f>_xlfn.IFNA(VLOOKUP($BD864,Programma!$F$3:$Q$1107,12,0),"")</f>
        <v/>
      </c>
      <c r="BP864" s="300" t="str">
        <f>_xlfn.IFNA(VLOOKUP($BD864,Programma!$F$3:$R$1107,13,0),"")</f>
        <v/>
      </c>
      <c r="BQ864" s="300" t="str">
        <f>_xlfn.IFNA(VLOOKUP($BD864,Programma!$F$3:$S$1107,14,0),"")</f>
        <v/>
      </c>
      <c r="BR864" s="300" t="str">
        <f>_xlfn.IFNA(VLOOKUP($BD864,Programma!$F$3:$T$1107,15,0),"")</f>
        <v/>
      </c>
      <c r="BS864" s="300" t="str">
        <f>_xlfn.IFNA(VLOOKUP($BD864,Programma!$F$3:$U$1107,16,0),"")</f>
        <v/>
      </c>
      <c r="BT864" s="300" t="str">
        <f>_xlfn.IFNA(VLOOKUP($BD864,Programma!$F$3:$V$1107,17,0),"")</f>
        <v/>
      </c>
      <c r="BU864" s="300" t="str">
        <f>_xlfn.IFNA(VLOOKUP($BD864,Programma!$F$3:$W$1107,18,0),"")</f>
        <v/>
      </c>
      <c r="BV864" s="300" t="str">
        <f>_xlfn.IFNA(VLOOKUP($BD864,Programma!$F$3:$X$1107,19,0),"")</f>
        <v/>
      </c>
      <c r="BW864" s="300" t="str">
        <f>_xlfn.IFNA(VLOOKUP($BD864,Programma!$F$3:$Y$1107,20,0),"")</f>
        <v/>
      </c>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c r="GK864" s="4"/>
      <c r="GL864" s="4"/>
      <c r="GM864" s="4"/>
      <c r="GN864" s="4"/>
      <c r="GO864" s="4"/>
      <c r="GP864" s="4"/>
      <c r="GQ864" s="4"/>
      <c r="GR864" s="4"/>
      <c r="GS864" s="4"/>
      <c r="GT864" s="4"/>
      <c r="GU864" s="4"/>
      <c r="GV864" s="4"/>
      <c r="GW864" s="4"/>
      <c r="GX864" s="4"/>
      <c r="GY864" s="4"/>
      <c r="GZ864" s="4"/>
      <c r="HA864" s="4"/>
      <c r="HB864" s="4"/>
      <c r="HC864" s="4"/>
      <c r="HD864" s="4"/>
      <c r="HE864" s="4"/>
      <c r="HF864" s="4"/>
      <c r="HG864" s="4"/>
      <c r="HH864" s="4"/>
      <c r="HI864" s="4"/>
      <c r="HJ864" s="4"/>
      <c r="HK864" s="4"/>
      <c r="HL864" s="4"/>
    </row>
    <row r="865" spans="1:220" ht="15" customHeight="1">
      <c r="A865" s="21">
        <v>9</v>
      </c>
      <c r="B865" s="157" t="str">
        <f>VLOOKUP(Ruimtestaat[[#This Row],[Code]],Locaties[[Code]:[Locatie]],2,FALSE)</f>
        <v>Novum-Maartenshal</v>
      </c>
      <c r="C865" s="157" t="str">
        <f>VLOOKUP(Ruimtestaat[[#This Row],[Code]],Locaties[[#All],[Code]:[Adres]],4,FALSE)</f>
        <v>Marcellus Emantslaan 2a</v>
      </c>
      <c r="D865" s="157" t="str">
        <f>VLOOKUP(Ruimtestaat[[#This Row],[Code]],Locaties[[#All],[Code]:[Postcode]],5,FALSE)</f>
        <v>2247 XL</v>
      </c>
      <c r="E865" s="157" t="str">
        <f>VLOOKUP(Ruimtestaat[[#This Row],[Code]],Locaties[#All],6,FALSE)</f>
        <v>Voorburg</v>
      </c>
      <c r="F865" s="62"/>
      <c r="G865" s="21" t="s">
        <v>1632</v>
      </c>
      <c r="H865" s="21" t="s">
        <v>2333</v>
      </c>
      <c r="I865" s="62" t="s">
        <v>2334</v>
      </c>
      <c r="J865" s="21">
        <v>20</v>
      </c>
      <c r="K865" s="62" t="str">
        <f>VLOOKUP(Ruimtestaat[[#This Row],[Ruimte code]],Ruimtegroepen[[#All],[Code]:[Ruimte omschrijving]],2,FALSE)</f>
        <v>Niet in Onderhoud</v>
      </c>
      <c r="L865" s="33" t="s">
        <v>102</v>
      </c>
      <c r="M865" s="367" t="s">
        <v>2496</v>
      </c>
      <c r="N865" s="140"/>
      <c r="O865" s="140">
        <v>4.63</v>
      </c>
      <c r="P865" s="125">
        <f>VLOOKUP(Ruimtestaat[[#This Row],[Ruimte code]],Ruimtegroepen[],4,FALSE)</f>
        <v>0</v>
      </c>
      <c r="R865" s="33"/>
      <c r="S865" s="33"/>
      <c r="T865" s="33">
        <f>IF(R865&gt;0,IF(RIGHT(Ruimtestaat[[#This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65" s="33">
        <f>IF(T865&gt;0,VLOOKUP($J865,Ruimtegroepen[],3,FALSE)*VLOOKUP($L865,Vloersoorten[],3,FALSE)*VLOOKUP($S865,Frequenties[],3,FALSE)*VLOOKUP($A865,Locaties[],3,FALSE),0)</f>
        <v>0</v>
      </c>
      <c r="V865" s="33">
        <f>Ruimtestaat[[#This Row],[Uitvoeringen werkdagen]]*Ruimtestaat[[#This Row],[Oppervlak (netto)]]</f>
        <v>0</v>
      </c>
      <c r="W865" s="154">
        <f>IF(U865&gt;0,Ruimtestaat[[#This Row],[Prest. (m2 /jaar) werkdagen]]/Ruimtestaat[[#This Row],[Norm (m2/uur) werkdagen]],0)</f>
        <v>0</v>
      </c>
      <c r="X865" s="155">
        <f>Ruimtestaat[[#This Row],[uren / jaar werkdagen]]*Tariefsopbouw!$E$35</f>
        <v>0</v>
      </c>
      <c r="Y865" s="33"/>
      <c r="Z865" s="33">
        <f>IF(Ruimtestaat[[#This Row],[Frequentie weekend]]&gt;0,VALUE(LEFT(Y865,1))*R865,0)</f>
        <v>0</v>
      </c>
      <c r="AA865" s="97">
        <f>IF($Z865&gt;0,VLOOKUP($J865,Ruimtegroepen[],3,FALSE)*VLOOKUP($L865,Vloersoorten[],3,FALSE)*VLOOKUP($Y865,Frequenties[],3,FALSE)*VLOOKUP(Ruimtestaat[[#This Row],[Code]],Locaties[],3,FALSE),0)</f>
        <v>0</v>
      </c>
      <c r="AB865" s="97">
        <f>Ruimtestaat[[#This Row],[Uitvoeringen weekend]]*Ruimtestaat[[#This Row],[Oppervlak (netto)]]</f>
        <v>0</v>
      </c>
      <c r="AC865" s="97">
        <f>IF(AA865&gt;0,Ruimtestaat[[#This Row],[Prest. (m2 /jaar) weekend]]/Ruimtestaat[[#This Row],[Norm (m2/uur) weekend]],0)</f>
        <v>0</v>
      </c>
      <c r="AD865" s="155">
        <f>Ruimtestaat[[#This Row],[uren / jaar weekend]]*Tariefsopbouw!$D$40</f>
        <v>0</v>
      </c>
      <c r="AE865" s="154">
        <f>Ruimtestaat[[#This Row],[Prest. (m2 /jaar) weekend]]+Ruimtestaat[[#This Row],[Prest. (m2 /jaar) werkdagen]]</f>
        <v>0</v>
      </c>
      <c r="AF865" s="154">
        <f>Ruimtestaat[[#This Row],[uren / jaar weekend]]+Ruimtestaat[[#This Row],[uren / jaar werkdagen]]</f>
        <v>0</v>
      </c>
      <c r="AG865" s="69">
        <f>Ruimtestaat[[#This Row],[kosten / jaar weekend]]+Ruimtestaat[[#This Row],[kosten / jaar werkdagen]]</f>
        <v>0</v>
      </c>
      <c r="AH865" s="69"/>
      <c r="AI865" s="256" t="str">
        <f>IF(Ruimtestaat[[#This Row],[Frequentie werkdagen]]="","",_xlfn.CONCAT(Ruimtestaat[[#This Row],[Ruimte code]],"-",Ruimtestaat[[#This Row],[Frequentie werkdagen]]," ",Ruimtestaat[[#This Row],[Vloer code]]))</f>
        <v/>
      </c>
      <c r="AJ865" s="300" t="str">
        <f>_xlfn.IFNA(VLOOKUP($AI865,Programma!$F$3:$G$1107,2,0),"")</f>
        <v/>
      </c>
      <c r="AK865" s="300" t="str">
        <f>_xlfn.IFNA(VLOOKUP($AI865,Programma!$F$3:$H$1107,3,0),"")</f>
        <v/>
      </c>
      <c r="AL865" s="300" t="str">
        <f>_xlfn.IFNA(VLOOKUP($AI865,Programma!$F$3:$I$1107,4,0),"")</f>
        <v/>
      </c>
      <c r="AM865" s="300" t="str">
        <f>_xlfn.IFNA(VLOOKUP($AI865,Programma!$F$3:$J$1107,5,0),"")</f>
        <v/>
      </c>
      <c r="AN865" s="300" t="str">
        <f>_xlfn.IFNA(VLOOKUP($AI865,Programma!$F$3:$K$1107,6,0),"")</f>
        <v/>
      </c>
      <c r="AO865" s="300" t="str">
        <f>_xlfn.IFNA(VLOOKUP($AI865,Programma!$F$3:$L$1107,7,0),"")</f>
        <v/>
      </c>
      <c r="AP865" s="300" t="str">
        <f>_xlfn.IFNA(VLOOKUP($AI865,Programma!$F$3:$M$1107,8,0),"")</f>
        <v/>
      </c>
      <c r="AQ865" s="300" t="str">
        <f>_xlfn.IFNA(VLOOKUP($AI865,Programma!$F$3:$N$1107,9,0),"")</f>
        <v/>
      </c>
      <c r="AR865" s="300" t="str">
        <f>_xlfn.IFNA(VLOOKUP($AI865,Programma!$F$3:$O$1107,10,0),"")</f>
        <v/>
      </c>
      <c r="AS865" s="300" t="str">
        <f>_xlfn.IFNA(VLOOKUP($AI865,Programma!$F$3:$P$1107,11,0),"")</f>
        <v/>
      </c>
      <c r="AT865" s="300" t="str">
        <f>_xlfn.IFNA(VLOOKUP($AI865,Programma!$F$3:$Q$1107,12,0),"")</f>
        <v/>
      </c>
      <c r="AU865" s="300" t="str">
        <f>_xlfn.IFNA(VLOOKUP($AI865,Programma!$F$3:$R$1107,13,0),"")</f>
        <v/>
      </c>
      <c r="AV865" s="300" t="str">
        <f>_xlfn.IFNA(VLOOKUP($AI865,Programma!$F$3:$S$1107,14,0),"")</f>
        <v/>
      </c>
      <c r="AW865" s="300" t="str">
        <f>_xlfn.IFNA(VLOOKUP($AI865,Programma!$F$3:$T$1107,15,0),"")</f>
        <v/>
      </c>
      <c r="AX865" s="300" t="str">
        <f>_xlfn.IFNA(VLOOKUP($AI865,Programma!$F$3:$U$1107,16,0),"")</f>
        <v/>
      </c>
      <c r="AY865" s="300" t="str">
        <f>_xlfn.IFNA(VLOOKUP($AI865,Programma!$F$3:$V$1107,17,0),"")</f>
        <v/>
      </c>
      <c r="AZ865" s="300" t="str">
        <f>_xlfn.IFNA(VLOOKUP($AI865,Programma!$F$3:$W$1107,18,0),"")</f>
        <v/>
      </c>
      <c r="BA865" s="300" t="str">
        <f>_xlfn.IFNA(VLOOKUP($AI865,Programma!$F$3:$X$1107,19,0),"")</f>
        <v/>
      </c>
      <c r="BB865" s="300" t="str">
        <f>_xlfn.IFNA(VLOOKUP($AI865,Programma!$F$3:$Y$1107,20,0),"")</f>
        <v/>
      </c>
      <c r="BC865" s="257"/>
      <c r="BD865" s="256" t="str">
        <f>IF(Ruimtestaat[[#This Row],[Frequentie weekend]]="","",_xlfn.CONCAT(Ruimtestaat[[#This Row],[Ruimte code]],"-",Ruimtestaat[[#This Row],[Frequentie weekend]]," ",Ruimtestaat[[#This Row],[Vloer code]]))</f>
        <v/>
      </c>
      <c r="BE865" s="300" t="str">
        <f>_xlfn.IFNA(VLOOKUP($BD865,Programma!$F$3:$G$1107,2,0),"")</f>
        <v/>
      </c>
      <c r="BF865" s="300" t="str">
        <f>_xlfn.IFNA(VLOOKUP($BD865,Programma!$F$3:$H$1107,3,0),"")</f>
        <v/>
      </c>
      <c r="BG865" s="300" t="str">
        <f>_xlfn.IFNA(VLOOKUP($BD865,Programma!$F$3:$I$1107,4,0),"")</f>
        <v/>
      </c>
      <c r="BH865" s="300" t="str">
        <f>_xlfn.IFNA(VLOOKUP($BD865,Programma!$F$3:$J$1107,5,0),"")</f>
        <v/>
      </c>
      <c r="BI865" s="300" t="str">
        <f>_xlfn.IFNA(VLOOKUP($BD865,Programma!$F$3:$K$1107,6,0),"")</f>
        <v/>
      </c>
      <c r="BJ865" s="300" t="str">
        <f>_xlfn.IFNA(VLOOKUP($BD865,Programma!$F$3:$L$1107,7,0),"")</f>
        <v/>
      </c>
      <c r="BK865" s="300" t="str">
        <f>_xlfn.IFNA(VLOOKUP($BD865,Programma!$F$3:$M$1107,8,0),"")</f>
        <v/>
      </c>
      <c r="BL865" s="300" t="str">
        <f>_xlfn.IFNA(VLOOKUP($BD865,Programma!$F$3:$N$1107,9,0),"")</f>
        <v/>
      </c>
      <c r="BM865" s="300" t="str">
        <f>_xlfn.IFNA(VLOOKUP($BD865,Programma!$F$3:$O$1107,10,0),"")</f>
        <v/>
      </c>
      <c r="BN865" s="300" t="str">
        <f>_xlfn.IFNA(VLOOKUP($BD865,Programma!$F$3:$P$1107,11,0),"")</f>
        <v/>
      </c>
      <c r="BO865" s="300" t="str">
        <f>_xlfn.IFNA(VLOOKUP($BD865,Programma!$F$3:$Q$1107,12,0),"")</f>
        <v/>
      </c>
      <c r="BP865" s="300" t="str">
        <f>_xlfn.IFNA(VLOOKUP($BD865,Programma!$F$3:$R$1107,13,0),"")</f>
        <v/>
      </c>
      <c r="BQ865" s="300" t="str">
        <f>_xlfn.IFNA(VLOOKUP($BD865,Programma!$F$3:$S$1107,14,0),"")</f>
        <v/>
      </c>
      <c r="BR865" s="300" t="str">
        <f>_xlfn.IFNA(VLOOKUP($BD865,Programma!$F$3:$T$1107,15,0),"")</f>
        <v/>
      </c>
      <c r="BS865" s="300" t="str">
        <f>_xlfn.IFNA(VLOOKUP($BD865,Programma!$F$3:$U$1107,16,0),"")</f>
        <v/>
      </c>
      <c r="BT865" s="300" t="str">
        <f>_xlfn.IFNA(VLOOKUP($BD865,Programma!$F$3:$V$1107,17,0),"")</f>
        <v/>
      </c>
      <c r="BU865" s="300" t="str">
        <f>_xlfn.IFNA(VLOOKUP($BD865,Programma!$F$3:$W$1107,18,0),"")</f>
        <v/>
      </c>
      <c r="BV865" s="300" t="str">
        <f>_xlfn.IFNA(VLOOKUP($BD865,Programma!$F$3:$X$1107,19,0),"")</f>
        <v/>
      </c>
      <c r="BW865" s="300" t="str">
        <f>_xlfn.IFNA(VLOOKUP($BD865,Programma!$F$3:$Y$1107,20,0),"")</f>
        <v/>
      </c>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c r="GK865" s="4"/>
      <c r="GL865" s="4"/>
      <c r="GM865" s="4"/>
      <c r="GN865" s="4"/>
      <c r="GO865" s="4"/>
      <c r="GP865" s="4"/>
      <c r="GQ865" s="4"/>
      <c r="GR865" s="4"/>
      <c r="GS865" s="4"/>
      <c r="GT865" s="4"/>
      <c r="GU865" s="4"/>
      <c r="GV865" s="4"/>
      <c r="GW865" s="4"/>
      <c r="GX865" s="4"/>
      <c r="GY865" s="4"/>
      <c r="GZ865" s="4"/>
      <c r="HA865" s="4"/>
      <c r="HB865" s="4"/>
      <c r="HC865" s="4"/>
      <c r="HD865" s="4"/>
      <c r="HE865" s="4"/>
      <c r="HF865" s="4"/>
      <c r="HG865" s="4"/>
      <c r="HH865" s="4"/>
      <c r="HI865" s="4"/>
      <c r="HJ865" s="4"/>
      <c r="HK865" s="4"/>
      <c r="HL865" s="4"/>
    </row>
    <row r="866" spans="1:220" ht="15" customHeight="1">
      <c r="A866" s="21">
        <v>9</v>
      </c>
      <c r="B866" s="157" t="str">
        <f>VLOOKUP(Ruimtestaat[[#This Row],[Code]],Locaties[[Code]:[Locatie]],2,FALSE)</f>
        <v>Novum-Maartenshal</v>
      </c>
      <c r="C866" s="157" t="str">
        <f>VLOOKUP(Ruimtestaat[[#This Row],[Code]],Locaties[[#All],[Code]:[Adres]],4,FALSE)</f>
        <v>Marcellus Emantslaan 2a</v>
      </c>
      <c r="D866" s="157" t="str">
        <f>VLOOKUP(Ruimtestaat[[#This Row],[Code]],Locaties[[#All],[Code]:[Postcode]],5,FALSE)</f>
        <v>2247 XL</v>
      </c>
      <c r="E866" s="157" t="str">
        <f>VLOOKUP(Ruimtestaat[[#This Row],[Code]],Locaties[#All],6,FALSE)</f>
        <v>Voorburg</v>
      </c>
      <c r="F866" s="62"/>
      <c r="G866" s="21" t="s">
        <v>1632</v>
      </c>
      <c r="H866" s="21" t="s">
        <v>2335</v>
      </c>
      <c r="I866" s="62" t="s">
        <v>2336</v>
      </c>
      <c r="J866" s="21">
        <v>5</v>
      </c>
      <c r="K866" s="62" t="str">
        <f>VLOOKUP(Ruimtestaat[[#This Row],[Ruimte code]],Ruimtegroepen[[#All],[Code]:[Ruimte omschrijving]],2,FALSE)</f>
        <v>Sanitair</v>
      </c>
      <c r="L866" s="33" t="s">
        <v>102</v>
      </c>
      <c r="M866" s="367" t="s">
        <v>2496</v>
      </c>
      <c r="N866" s="140">
        <v>2.44</v>
      </c>
      <c r="O866" s="140"/>
      <c r="P866" s="125" t="str">
        <f>VLOOKUP(Ruimtestaat[[#This Row],[Ruimte code]],Ruimtegroepen[],4,FALSE)</f>
        <v>Sa</v>
      </c>
      <c r="R866" s="33">
        <v>40</v>
      </c>
      <c r="S866" s="33" t="s">
        <v>2</v>
      </c>
      <c r="T866" s="33">
        <f>IF(R866&gt;0,IF(RIGHT(Ruimtestaat[[#This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66" s="33">
        <f>IF(T866&gt;0,VLOOKUP($J866,Ruimtegroepen[],3,FALSE)*VLOOKUP($L866,Vloersoorten[],3,FALSE)*VLOOKUP($S866,Frequenties[],3,FALSE)*VLOOKUP($A866,Locaties[],3,FALSE),0)</f>
        <v>0</v>
      </c>
      <c r="V866" s="33">
        <f>Ruimtestaat[[#This Row],[Uitvoeringen werkdagen]]*Ruimtestaat[[#This Row],[Oppervlak (netto)]]</f>
        <v>488</v>
      </c>
      <c r="W866" s="154">
        <f>IF(U866&gt;0,Ruimtestaat[[#This Row],[Prest. (m2 /jaar) werkdagen]]/Ruimtestaat[[#This Row],[Norm (m2/uur) werkdagen]],0)</f>
        <v>0</v>
      </c>
      <c r="X866" s="155">
        <f>Ruimtestaat[[#This Row],[uren / jaar werkdagen]]*Tariefsopbouw!$E$35</f>
        <v>0</v>
      </c>
      <c r="Y866" s="33"/>
      <c r="Z866" s="33">
        <f>IF(Ruimtestaat[[#This Row],[Frequentie weekend]]&gt;0,VALUE(LEFT(Y866,1))*R866,0)</f>
        <v>0</v>
      </c>
      <c r="AA866" s="97">
        <f>IF($Z866&gt;0,VLOOKUP($J866,Ruimtegroepen[],3,FALSE)*VLOOKUP($L866,Vloersoorten[],3,FALSE)*VLOOKUP($Y866,Frequenties[],3,FALSE)*VLOOKUP(Ruimtestaat[[#This Row],[Code]],Locaties[],3,FALSE),0)</f>
        <v>0</v>
      </c>
      <c r="AB866" s="97">
        <f>Ruimtestaat[[#This Row],[Uitvoeringen weekend]]*Ruimtestaat[[#This Row],[Oppervlak (netto)]]</f>
        <v>0</v>
      </c>
      <c r="AC866" s="97">
        <f>IF(AA866&gt;0,Ruimtestaat[[#This Row],[Prest. (m2 /jaar) weekend]]/Ruimtestaat[[#This Row],[Norm (m2/uur) weekend]],0)</f>
        <v>0</v>
      </c>
      <c r="AD866" s="155">
        <f>Ruimtestaat[[#This Row],[uren / jaar weekend]]*Tariefsopbouw!$D$40</f>
        <v>0</v>
      </c>
      <c r="AE866" s="154">
        <f>Ruimtestaat[[#This Row],[Prest. (m2 /jaar) weekend]]+Ruimtestaat[[#This Row],[Prest. (m2 /jaar) werkdagen]]</f>
        <v>488</v>
      </c>
      <c r="AF866" s="154">
        <f>Ruimtestaat[[#This Row],[uren / jaar weekend]]+Ruimtestaat[[#This Row],[uren / jaar werkdagen]]</f>
        <v>0</v>
      </c>
      <c r="AG866" s="69">
        <f>Ruimtestaat[[#This Row],[kosten / jaar weekend]]+Ruimtestaat[[#This Row],[kosten / jaar werkdagen]]</f>
        <v>0</v>
      </c>
      <c r="AH866" s="69"/>
      <c r="AI866" s="256" t="str">
        <f>IF(Ruimtestaat[[#This Row],[Frequentie werkdagen]]="","",_xlfn.CONCAT(Ruimtestaat[[#This Row],[Ruimte code]],"-",Ruimtestaat[[#This Row],[Frequentie werkdagen]]," ",Ruimtestaat[[#This Row],[Vloer code]]))</f>
        <v>5-5w S</v>
      </c>
      <c r="AJ866" s="300" t="str">
        <f>_xlfn.IFNA(VLOOKUP($AI866,Programma!$F$3:$G$1107,2,0),"")</f>
        <v>_</v>
      </c>
      <c r="AK866" s="300" t="str">
        <f>_xlfn.IFNA(VLOOKUP($AI866,Programma!$F$3:$H$1107,3,0),"")</f>
        <v>_</v>
      </c>
      <c r="AL866" s="300" t="str">
        <f>_xlfn.IFNA(VLOOKUP($AI866,Programma!$F$3:$I$1107,4,0),"")</f>
        <v>_</v>
      </c>
      <c r="AM866" s="300" t="str">
        <f>_xlfn.IFNA(VLOOKUP($AI866,Programma!$F$3:$J$1107,5,0),"")</f>
        <v>4w</v>
      </c>
      <c r="AN866" s="300" t="str">
        <f>_xlfn.IFNA(VLOOKUP($AI866,Programma!$F$3:$K$1107,6,0),"")</f>
        <v>1w</v>
      </c>
      <c r="AO866" s="300" t="str">
        <f>_xlfn.IFNA(VLOOKUP($AI866,Programma!$F$3:$L$1107,7,0),"")</f>
        <v>_</v>
      </c>
      <c r="AP866" s="300" t="str">
        <f>_xlfn.IFNA(VLOOKUP($AI866,Programma!$F$3:$M$1107,8,0),"")</f>
        <v>_</v>
      </c>
      <c r="AQ866" s="300" t="str">
        <f>_xlfn.IFNA(VLOOKUP($AI866,Programma!$F$3:$N$1107,9,0),"")</f>
        <v>_</v>
      </c>
      <c r="AR866" s="300" t="str">
        <f>_xlfn.IFNA(VLOOKUP($AI866,Programma!$F$3:$O$1107,10,0),"")</f>
        <v>_</v>
      </c>
      <c r="AS866" s="300" t="str">
        <f>_xlfn.IFNA(VLOOKUP($AI866,Programma!$F$3:$P$1107,11,0),"")</f>
        <v>_</v>
      </c>
      <c r="AT866" s="300" t="str">
        <f>_xlfn.IFNA(VLOOKUP($AI866,Programma!$F$3:$Q$1107,12,0),"")</f>
        <v>_</v>
      </c>
      <c r="AU866" s="300" t="str">
        <f>_xlfn.IFNA(VLOOKUP($AI866,Programma!$F$3:$R$1107,13,0),"")</f>
        <v>_</v>
      </c>
      <c r="AV866" s="300" t="str">
        <f>_xlfn.IFNA(VLOOKUP($AI866,Programma!$F$3:$S$1107,14,0),"")</f>
        <v>_</v>
      </c>
      <c r="AW866" s="300" t="str">
        <f>_xlfn.IFNA(VLOOKUP($AI866,Programma!$F$3:$T$1107,15,0),"")</f>
        <v>_</v>
      </c>
      <c r="AX866" s="300" t="str">
        <f>_xlfn.IFNA(VLOOKUP($AI866,Programma!$F$3:$U$1107,16,0),"")</f>
        <v>_</v>
      </c>
      <c r="AY866" s="300" t="str">
        <f>_xlfn.IFNA(VLOOKUP($AI866,Programma!$F$3:$V$1107,17,0),"")</f>
        <v>_</v>
      </c>
      <c r="AZ866" s="300" t="str">
        <f>_xlfn.IFNA(VLOOKUP($AI866,Programma!$F$3:$W$1107,18,0),"")</f>
        <v>4w</v>
      </c>
      <c r="BA866" s="300" t="str">
        <f>_xlfn.IFNA(VLOOKUP($AI866,Programma!$F$3:$X$1107,19,0),"")</f>
        <v>1w</v>
      </c>
      <c r="BB866" s="300" t="str">
        <f>_xlfn.IFNA(VLOOKUP($AI866,Programma!$F$3:$Y$1107,20,0),"")</f>
        <v>_</v>
      </c>
      <c r="BC866" s="257"/>
      <c r="BD866" s="256" t="str">
        <f>IF(Ruimtestaat[[#This Row],[Frequentie weekend]]="","",_xlfn.CONCAT(Ruimtestaat[[#This Row],[Ruimte code]],"-",Ruimtestaat[[#This Row],[Frequentie weekend]]," ",Ruimtestaat[[#This Row],[Vloer code]]))</f>
        <v/>
      </c>
      <c r="BE866" s="300" t="str">
        <f>_xlfn.IFNA(VLOOKUP($BD866,Programma!$F$3:$G$1107,2,0),"")</f>
        <v/>
      </c>
      <c r="BF866" s="300" t="str">
        <f>_xlfn.IFNA(VLOOKUP($BD866,Programma!$F$3:$H$1107,3,0),"")</f>
        <v/>
      </c>
      <c r="BG866" s="300" t="str">
        <f>_xlfn.IFNA(VLOOKUP($BD866,Programma!$F$3:$I$1107,4,0),"")</f>
        <v/>
      </c>
      <c r="BH866" s="300" t="str">
        <f>_xlfn.IFNA(VLOOKUP($BD866,Programma!$F$3:$J$1107,5,0),"")</f>
        <v/>
      </c>
      <c r="BI866" s="300" t="str">
        <f>_xlfn.IFNA(VLOOKUP($BD866,Programma!$F$3:$K$1107,6,0),"")</f>
        <v/>
      </c>
      <c r="BJ866" s="300" t="str">
        <f>_xlfn.IFNA(VLOOKUP($BD866,Programma!$F$3:$L$1107,7,0),"")</f>
        <v/>
      </c>
      <c r="BK866" s="300" t="str">
        <f>_xlfn.IFNA(VLOOKUP($BD866,Programma!$F$3:$M$1107,8,0),"")</f>
        <v/>
      </c>
      <c r="BL866" s="300" t="str">
        <f>_xlfn.IFNA(VLOOKUP($BD866,Programma!$F$3:$N$1107,9,0),"")</f>
        <v/>
      </c>
      <c r="BM866" s="300" t="str">
        <f>_xlfn.IFNA(VLOOKUP($BD866,Programma!$F$3:$O$1107,10,0),"")</f>
        <v/>
      </c>
      <c r="BN866" s="300" t="str">
        <f>_xlfn.IFNA(VLOOKUP($BD866,Programma!$F$3:$P$1107,11,0),"")</f>
        <v/>
      </c>
      <c r="BO866" s="300" t="str">
        <f>_xlfn.IFNA(VLOOKUP($BD866,Programma!$F$3:$Q$1107,12,0),"")</f>
        <v/>
      </c>
      <c r="BP866" s="300" t="str">
        <f>_xlfn.IFNA(VLOOKUP($BD866,Programma!$F$3:$R$1107,13,0),"")</f>
        <v/>
      </c>
      <c r="BQ866" s="300" t="str">
        <f>_xlfn.IFNA(VLOOKUP($BD866,Programma!$F$3:$S$1107,14,0),"")</f>
        <v/>
      </c>
      <c r="BR866" s="300" t="str">
        <f>_xlfn.IFNA(VLOOKUP($BD866,Programma!$F$3:$T$1107,15,0),"")</f>
        <v/>
      </c>
      <c r="BS866" s="300" t="str">
        <f>_xlfn.IFNA(VLOOKUP($BD866,Programma!$F$3:$U$1107,16,0),"")</f>
        <v/>
      </c>
      <c r="BT866" s="300" t="str">
        <f>_xlfn.IFNA(VLOOKUP($BD866,Programma!$F$3:$V$1107,17,0),"")</f>
        <v/>
      </c>
      <c r="BU866" s="300" t="str">
        <f>_xlfn.IFNA(VLOOKUP($BD866,Programma!$F$3:$W$1107,18,0),"")</f>
        <v/>
      </c>
      <c r="BV866" s="300" t="str">
        <f>_xlfn.IFNA(VLOOKUP($BD866,Programma!$F$3:$X$1107,19,0),"")</f>
        <v/>
      </c>
      <c r="BW866" s="300" t="str">
        <f>_xlfn.IFNA(VLOOKUP($BD866,Programma!$F$3:$Y$1107,20,0),"")</f>
        <v/>
      </c>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c r="GK866" s="4"/>
      <c r="GL866" s="4"/>
      <c r="GM866" s="4"/>
      <c r="GN866" s="4"/>
      <c r="GO866" s="4"/>
      <c r="GP866" s="4"/>
      <c r="GQ866" s="4"/>
      <c r="GR866" s="4"/>
      <c r="GS866" s="4"/>
      <c r="GT866" s="4"/>
      <c r="GU866" s="4"/>
      <c r="GV866" s="4"/>
      <c r="GW866" s="4"/>
      <c r="GX866" s="4"/>
      <c r="GY866" s="4"/>
      <c r="GZ866" s="4"/>
      <c r="HA866" s="4"/>
      <c r="HB866" s="4"/>
      <c r="HC866" s="4"/>
      <c r="HD866" s="4"/>
      <c r="HE866" s="4"/>
      <c r="HF866" s="4"/>
      <c r="HG866" s="4"/>
      <c r="HH866" s="4"/>
      <c r="HI866" s="4"/>
      <c r="HJ866" s="4"/>
      <c r="HK866" s="4"/>
      <c r="HL866" s="4"/>
    </row>
    <row r="867" spans="1:220" ht="15" customHeight="1">
      <c r="A867" s="21">
        <v>9</v>
      </c>
      <c r="B867" s="157" t="str">
        <f>VLOOKUP(Ruimtestaat[[#This Row],[Code]],Locaties[[Code]:[Locatie]],2,FALSE)</f>
        <v>Novum-Maartenshal</v>
      </c>
      <c r="C867" s="157" t="str">
        <f>VLOOKUP(Ruimtestaat[[#This Row],[Code]],Locaties[[#All],[Code]:[Adres]],4,FALSE)</f>
        <v>Marcellus Emantslaan 2a</v>
      </c>
      <c r="D867" s="157" t="str">
        <f>VLOOKUP(Ruimtestaat[[#This Row],[Code]],Locaties[[#All],[Code]:[Postcode]],5,FALSE)</f>
        <v>2247 XL</v>
      </c>
      <c r="E867" s="157" t="str">
        <f>VLOOKUP(Ruimtestaat[[#This Row],[Code]],Locaties[#All],6,FALSE)</f>
        <v>Voorburg</v>
      </c>
      <c r="F867" s="62"/>
      <c r="G867" s="21" t="s">
        <v>1632</v>
      </c>
      <c r="H867" s="21" t="s">
        <v>2337</v>
      </c>
      <c r="I867" s="62" t="s">
        <v>2338</v>
      </c>
      <c r="J867" s="21">
        <v>5</v>
      </c>
      <c r="K867" s="62" t="str">
        <f>VLOOKUP(Ruimtestaat[[#This Row],[Ruimte code]],Ruimtegroepen[[#All],[Code]:[Ruimte omschrijving]],2,FALSE)</f>
        <v>Sanitair</v>
      </c>
      <c r="L867" s="33" t="s">
        <v>102</v>
      </c>
      <c r="M867" s="367" t="s">
        <v>2496</v>
      </c>
      <c r="N867" s="140">
        <v>4.78</v>
      </c>
      <c r="O867" s="140"/>
      <c r="P867" s="125" t="str">
        <f>VLOOKUP(Ruimtestaat[[#This Row],[Ruimte code]],Ruimtegroepen[],4,FALSE)</f>
        <v>Sa</v>
      </c>
      <c r="R867" s="33">
        <v>40</v>
      </c>
      <c r="S867" s="33" t="s">
        <v>2</v>
      </c>
      <c r="T867" s="33">
        <f>IF(R867&gt;0,IF(RIGHT(Ruimtestaat[[#This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67" s="33">
        <f>IF(T867&gt;0,VLOOKUP($J867,Ruimtegroepen[],3,FALSE)*VLOOKUP($L867,Vloersoorten[],3,FALSE)*VLOOKUP($S867,Frequenties[],3,FALSE)*VLOOKUP($A867,Locaties[],3,FALSE),0)</f>
        <v>0</v>
      </c>
      <c r="V867" s="33">
        <f>Ruimtestaat[[#This Row],[Uitvoeringen werkdagen]]*Ruimtestaat[[#This Row],[Oppervlak (netto)]]</f>
        <v>956</v>
      </c>
      <c r="W867" s="154">
        <f>IF(U867&gt;0,Ruimtestaat[[#This Row],[Prest. (m2 /jaar) werkdagen]]/Ruimtestaat[[#This Row],[Norm (m2/uur) werkdagen]],0)</f>
        <v>0</v>
      </c>
      <c r="X867" s="155">
        <f>Ruimtestaat[[#This Row],[uren / jaar werkdagen]]*Tariefsopbouw!$E$35</f>
        <v>0</v>
      </c>
      <c r="Y867" s="33"/>
      <c r="Z867" s="33">
        <f>IF(Ruimtestaat[[#This Row],[Frequentie weekend]]&gt;0,VALUE(LEFT(Y867,1))*R867,0)</f>
        <v>0</v>
      </c>
      <c r="AA867" s="97">
        <f>IF($Z867&gt;0,VLOOKUP($J867,Ruimtegroepen[],3,FALSE)*VLOOKUP($L867,Vloersoorten[],3,FALSE)*VLOOKUP($Y867,Frequenties[],3,FALSE)*VLOOKUP(Ruimtestaat[[#This Row],[Code]],Locaties[],3,FALSE),0)</f>
        <v>0</v>
      </c>
      <c r="AB867" s="97">
        <f>Ruimtestaat[[#This Row],[Uitvoeringen weekend]]*Ruimtestaat[[#This Row],[Oppervlak (netto)]]</f>
        <v>0</v>
      </c>
      <c r="AC867" s="97">
        <f>IF(AA867&gt;0,Ruimtestaat[[#This Row],[Prest. (m2 /jaar) weekend]]/Ruimtestaat[[#This Row],[Norm (m2/uur) weekend]],0)</f>
        <v>0</v>
      </c>
      <c r="AD867" s="155">
        <f>Ruimtestaat[[#This Row],[uren / jaar weekend]]*Tariefsopbouw!$D$40</f>
        <v>0</v>
      </c>
      <c r="AE867" s="154">
        <f>Ruimtestaat[[#This Row],[Prest. (m2 /jaar) weekend]]+Ruimtestaat[[#This Row],[Prest. (m2 /jaar) werkdagen]]</f>
        <v>956</v>
      </c>
      <c r="AF867" s="154">
        <f>Ruimtestaat[[#This Row],[uren / jaar weekend]]+Ruimtestaat[[#This Row],[uren / jaar werkdagen]]</f>
        <v>0</v>
      </c>
      <c r="AG867" s="69">
        <f>Ruimtestaat[[#This Row],[kosten / jaar weekend]]+Ruimtestaat[[#This Row],[kosten / jaar werkdagen]]</f>
        <v>0</v>
      </c>
      <c r="AH867" s="69"/>
      <c r="AI867" s="256" t="str">
        <f>IF(Ruimtestaat[[#This Row],[Frequentie werkdagen]]="","",_xlfn.CONCAT(Ruimtestaat[[#This Row],[Ruimte code]],"-",Ruimtestaat[[#This Row],[Frequentie werkdagen]]," ",Ruimtestaat[[#This Row],[Vloer code]]))</f>
        <v>5-5w S</v>
      </c>
      <c r="AJ867" s="300" t="str">
        <f>_xlfn.IFNA(VLOOKUP($AI867,Programma!$F$3:$G$1107,2,0),"")</f>
        <v>_</v>
      </c>
      <c r="AK867" s="300" t="str">
        <f>_xlfn.IFNA(VLOOKUP($AI867,Programma!$F$3:$H$1107,3,0),"")</f>
        <v>_</v>
      </c>
      <c r="AL867" s="300" t="str">
        <f>_xlfn.IFNA(VLOOKUP($AI867,Programma!$F$3:$I$1107,4,0),"")</f>
        <v>_</v>
      </c>
      <c r="AM867" s="300" t="str">
        <f>_xlfn.IFNA(VLOOKUP($AI867,Programma!$F$3:$J$1107,5,0),"")</f>
        <v>4w</v>
      </c>
      <c r="AN867" s="300" t="str">
        <f>_xlfn.IFNA(VLOOKUP($AI867,Programma!$F$3:$K$1107,6,0),"")</f>
        <v>1w</v>
      </c>
      <c r="AO867" s="300" t="str">
        <f>_xlfn.IFNA(VLOOKUP($AI867,Programma!$F$3:$L$1107,7,0),"")</f>
        <v>_</v>
      </c>
      <c r="AP867" s="300" t="str">
        <f>_xlfn.IFNA(VLOOKUP($AI867,Programma!$F$3:$M$1107,8,0),"")</f>
        <v>_</v>
      </c>
      <c r="AQ867" s="300" t="str">
        <f>_xlfn.IFNA(VLOOKUP($AI867,Programma!$F$3:$N$1107,9,0),"")</f>
        <v>_</v>
      </c>
      <c r="AR867" s="300" t="str">
        <f>_xlfn.IFNA(VLOOKUP($AI867,Programma!$F$3:$O$1107,10,0),"")</f>
        <v>_</v>
      </c>
      <c r="AS867" s="300" t="str">
        <f>_xlfn.IFNA(VLOOKUP($AI867,Programma!$F$3:$P$1107,11,0),"")</f>
        <v>_</v>
      </c>
      <c r="AT867" s="300" t="str">
        <f>_xlfn.IFNA(VLOOKUP($AI867,Programma!$F$3:$Q$1107,12,0),"")</f>
        <v>_</v>
      </c>
      <c r="AU867" s="300" t="str">
        <f>_xlfn.IFNA(VLOOKUP($AI867,Programma!$F$3:$R$1107,13,0),"")</f>
        <v>_</v>
      </c>
      <c r="AV867" s="300" t="str">
        <f>_xlfn.IFNA(VLOOKUP($AI867,Programma!$F$3:$S$1107,14,0),"")</f>
        <v>_</v>
      </c>
      <c r="AW867" s="300" t="str">
        <f>_xlfn.IFNA(VLOOKUP($AI867,Programma!$F$3:$T$1107,15,0),"")</f>
        <v>_</v>
      </c>
      <c r="AX867" s="300" t="str">
        <f>_xlfn.IFNA(VLOOKUP($AI867,Programma!$F$3:$U$1107,16,0),"")</f>
        <v>_</v>
      </c>
      <c r="AY867" s="300" t="str">
        <f>_xlfn.IFNA(VLOOKUP($AI867,Programma!$F$3:$V$1107,17,0),"")</f>
        <v>_</v>
      </c>
      <c r="AZ867" s="300" t="str">
        <f>_xlfn.IFNA(VLOOKUP($AI867,Programma!$F$3:$W$1107,18,0),"")</f>
        <v>4w</v>
      </c>
      <c r="BA867" s="300" t="str">
        <f>_xlfn.IFNA(VLOOKUP($AI867,Programma!$F$3:$X$1107,19,0),"")</f>
        <v>1w</v>
      </c>
      <c r="BB867" s="300" t="str">
        <f>_xlfn.IFNA(VLOOKUP($AI867,Programma!$F$3:$Y$1107,20,0),"")</f>
        <v>_</v>
      </c>
      <c r="BC867" s="257"/>
      <c r="BD867" s="256" t="str">
        <f>IF(Ruimtestaat[[#This Row],[Frequentie weekend]]="","",_xlfn.CONCAT(Ruimtestaat[[#This Row],[Ruimte code]],"-",Ruimtestaat[[#This Row],[Frequentie weekend]]," ",Ruimtestaat[[#This Row],[Vloer code]]))</f>
        <v/>
      </c>
      <c r="BE867" s="300" t="str">
        <f>_xlfn.IFNA(VLOOKUP($BD867,Programma!$F$3:$G$1107,2,0),"")</f>
        <v/>
      </c>
      <c r="BF867" s="300" t="str">
        <f>_xlfn.IFNA(VLOOKUP($BD867,Programma!$F$3:$H$1107,3,0),"")</f>
        <v/>
      </c>
      <c r="BG867" s="300" t="str">
        <f>_xlfn.IFNA(VLOOKUP($BD867,Programma!$F$3:$I$1107,4,0),"")</f>
        <v/>
      </c>
      <c r="BH867" s="300" t="str">
        <f>_xlfn.IFNA(VLOOKUP($BD867,Programma!$F$3:$J$1107,5,0),"")</f>
        <v/>
      </c>
      <c r="BI867" s="300" t="str">
        <f>_xlfn.IFNA(VLOOKUP($BD867,Programma!$F$3:$K$1107,6,0),"")</f>
        <v/>
      </c>
      <c r="BJ867" s="300" t="str">
        <f>_xlfn.IFNA(VLOOKUP($BD867,Programma!$F$3:$L$1107,7,0),"")</f>
        <v/>
      </c>
      <c r="BK867" s="300" t="str">
        <f>_xlfn.IFNA(VLOOKUP($BD867,Programma!$F$3:$M$1107,8,0),"")</f>
        <v/>
      </c>
      <c r="BL867" s="300" t="str">
        <f>_xlfn.IFNA(VLOOKUP($BD867,Programma!$F$3:$N$1107,9,0),"")</f>
        <v/>
      </c>
      <c r="BM867" s="300" t="str">
        <f>_xlfn.IFNA(VLOOKUP($BD867,Programma!$F$3:$O$1107,10,0),"")</f>
        <v/>
      </c>
      <c r="BN867" s="300" t="str">
        <f>_xlfn.IFNA(VLOOKUP($BD867,Programma!$F$3:$P$1107,11,0),"")</f>
        <v/>
      </c>
      <c r="BO867" s="300" t="str">
        <f>_xlfn.IFNA(VLOOKUP($BD867,Programma!$F$3:$Q$1107,12,0),"")</f>
        <v/>
      </c>
      <c r="BP867" s="300" t="str">
        <f>_xlfn.IFNA(VLOOKUP($BD867,Programma!$F$3:$R$1107,13,0),"")</f>
        <v/>
      </c>
      <c r="BQ867" s="300" t="str">
        <f>_xlfn.IFNA(VLOOKUP($BD867,Programma!$F$3:$S$1107,14,0),"")</f>
        <v/>
      </c>
      <c r="BR867" s="300" t="str">
        <f>_xlfn.IFNA(VLOOKUP($BD867,Programma!$F$3:$T$1107,15,0),"")</f>
        <v/>
      </c>
      <c r="BS867" s="300" t="str">
        <f>_xlfn.IFNA(VLOOKUP($BD867,Programma!$F$3:$U$1107,16,0),"")</f>
        <v/>
      </c>
      <c r="BT867" s="300" t="str">
        <f>_xlfn.IFNA(VLOOKUP($BD867,Programma!$F$3:$V$1107,17,0),"")</f>
        <v/>
      </c>
      <c r="BU867" s="300" t="str">
        <f>_xlfn.IFNA(VLOOKUP($BD867,Programma!$F$3:$W$1107,18,0),"")</f>
        <v/>
      </c>
      <c r="BV867" s="300" t="str">
        <f>_xlfn.IFNA(VLOOKUP($BD867,Programma!$F$3:$X$1107,19,0),"")</f>
        <v/>
      </c>
      <c r="BW867" s="300" t="str">
        <f>_xlfn.IFNA(VLOOKUP($BD867,Programma!$F$3:$Y$1107,20,0),"")</f>
        <v/>
      </c>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c r="GK867" s="4"/>
      <c r="GL867" s="4"/>
      <c r="GM867" s="4"/>
      <c r="GN867" s="4"/>
      <c r="GO867" s="4"/>
      <c r="GP867" s="4"/>
      <c r="GQ867" s="4"/>
      <c r="GR867" s="4"/>
      <c r="GS867" s="4"/>
      <c r="GT867" s="4"/>
      <c r="GU867" s="4"/>
      <c r="GV867" s="4"/>
      <c r="GW867" s="4"/>
      <c r="GX867" s="4"/>
      <c r="GY867" s="4"/>
      <c r="GZ867" s="4"/>
      <c r="HA867" s="4"/>
      <c r="HB867" s="4"/>
      <c r="HC867" s="4"/>
      <c r="HD867" s="4"/>
      <c r="HE867" s="4"/>
      <c r="HF867" s="4"/>
      <c r="HG867" s="4"/>
      <c r="HH867" s="4"/>
      <c r="HI867" s="4"/>
      <c r="HJ867" s="4"/>
      <c r="HK867" s="4"/>
      <c r="HL867" s="4"/>
    </row>
    <row r="868" spans="1:220" ht="15" customHeight="1">
      <c r="A868" s="21">
        <v>9</v>
      </c>
      <c r="B868" s="157" t="str">
        <f>VLOOKUP(Ruimtestaat[[#This Row],[Code]],Locaties[[Code]:[Locatie]],2,FALSE)</f>
        <v>Novum-Maartenshal</v>
      </c>
      <c r="C868" s="157" t="str">
        <f>VLOOKUP(Ruimtestaat[[#This Row],[Code]],Locaties[[#All],[Code]:[Adres]],4,FALSE)</f>
        <v>Marcellus Emantslaan 2a</v>
      </c>
      <c r="D868" s="157" t="str">
        <f>VLOOKUP(Ruimtestaat[[#This Row],[Code]],Locaties[[#All],[Code]:[Postcode]],5,FALSE)</f>
        <v>2247 XL</v>
      </c>
      <c r="E868" s="157" t="str">
        <f>VLOOKUP(Ruimtestaat[[#This Row],[Code]],Locaties[#All],6,FALSE)</f>
        <v>Voorburg</v>
      </c>
      <c r="F868" s="62"/>
      <c r="G868" s="21" t="s">
        <v>1632</v>
      </c>
      <c r="H868" s="21" t="s">
        <v>2339</v>
      </c>
      <c r="I868" s="62" t="s">
        <v>2340</v>
      </c>
      <c r="J868" s="21">
        <v>19</v>
      </c>
      <c r="K868" s="62" t="str">
        <f>VLOOKUP(Ruimtestaat[[#This Row],[Ruimte code]],Ruimtegroepen[[#All],[Code]:[Ruimte omschrijving]],2,FALSE)</f>
        <v>kleedruimten</v>
      </c>
      <c r="L868" s="33" t="s">
        <v>102</v>
      </c>
      <c r="M868" s="367" t="s">
        <v>2496</v>
      </c>
      <c r="N868" s="140">
        <v>26.37</v>
      </c>
      <c r="O868" s="140"/>
      <c r="P868" s="125" t="str">
        <f>VLOOKUP(Ruimtestaat[[#This Row],[Ruimte code]],Ruimtegroepen[],4,FALSE)</f>
        <v>Ve</v>
      </c>
      <c r="R868" s="33">
        <v>40</v>
      </c>
      <c r="S868" s="33" t="s">
        <v>2</v>
      </c>
      <c r="T868" s="33">
        <f>IF(R868&gt;0,IF(RIGHT(Ruimtestaat[[#This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68" s="33">
        <f>IF(T868&gt;0,VLOOKUP($J868,Ruimtegroepen[],3,FALSE)*VLOOKUP($L868,Vloersoorten[],3,FALSE)*VLOOKUP($S868,Frequenties[],3,FALSE)*VLOOKUP($A868,Locaties[],3,FALSE),0)</f>
        <v>0</v>
      </c>
      <c r="V868" s="33">
        <f>Ruimtestaat[[#This Row],[Uitvoeringen werkdagen]]*Ruimtestaat[[#This Row],[Oppervlak (netto)]]</f>
        <v>5274</v>
      </c>
      <c r="W868" s="154">
        <f>IF(U868&gt;0,Ruimtestaat[[#This Row],[Prest. (m2 /jaar) werkdagen]]/Ruimtestaat[[#This Row],[Norm (m2/uur) werkdagen]],0)</f>
        <v>0</v>
      </c>
      <c r="X868" s="155">
        <f>Ruimtestaat[[#This Row],[uren / jaar werkdagen]]*Tariefsopbouw!$E$35</f>
        <v>0</v>
      </c>
      <c r="Y868" s="33"/>
      <c r="Z868" s="33">
        <f>IF(Ruimtestaat[[#This Row],[Frequentie weekend]]&gt;0,VALUE(LEFT(Y868,1))*R868,0)</f>
        <v>0</v>
      </c>
      <c r="AA868" s="97">
        <f>IF($Z868&gt;0,VLOOKUP($J868,Ruimtegroepen[],3,FALSE)*VLOOKUP($L868,Vloersoorten[],3,FALSE)*VLOOKUP($Y868,Frequenties[],3,FALSE)*VLOOKUP(Ruimtestaat[[#This Row],[Code]],Locaties[],3,FALSE),0)</f>
        <v>0</v>
      </c>
      <c r="AB868" s="97">
        <f>Ruimtestaat[[#This Row],[Uitvoeringen weekend]]*Ruimtestaat[[#This Row],[Oppervlak (netto)]]</f>
        <v>0</v>
      </c>
      <c r="AC868" s="97">
        <f>IF(AA868&gt;0,Ruimtestaat[[#This Row],[Prest. (m2 /jaar) weekend]]/Ruimtestaat[[#This Row],[Norm (m2/uur) weekend]],0)</f>
        <v>0</v>
      </c>
      <c r="AD868" s="155">
        <f>Ruimtestaat[[#This Row],[uren / jaar weekend]]*Tariefsopbouw!$D$40</f>
        <v>0</v>
      </c>
      <c r="AE868" s="154">
        <f>Ruimtestaat[[#This Row],[Prest. (m2 /jaar) weekend]]+Ruimtestaat[[#This Row],[Prest. (m2 /jaar) werkdagen]]</f>
        <v>5274</v>
      </c>
      <c r="AF868" s="154">
        <f>Ruimtestaat[[#This Row],[uren / jaar weekend]]+Ruimtestaat[[#This Row],[uren / jaar werkdagen]]</f>
        <v>0</v>
      </c>
      <c r="AG868" s="69">
        <f>Ruimtestaat[[#This Row],[kosten / jaar weekend]]+Ruimtestaat[[#This Row],[kosten / jaar werkdagen]]</f>
        <v>0</v>
      </c>
      <c r="AH868" s="69"/>
      <c r="AI868" s="256" t="str">
        <f>IF(Ruimtestaat[[#This Row],[Frequentie werkdagen]]="","",_xlfn.CONCAT(Ruimtestaat[[#This Row],[Ruimte code]],"-",Ruimtestaat[[#This Row],[Frequentie werkdagen]]," ",Ruimtestaat[[#This Row],[Vloer code]]))</f>
        <v>19-5w S</v>
      </c>
      <c r="AJ868" s="300" t="str">
        <f>_xlfn.IFNA(VLOOKUP($AI868,Programma!$F$3:$G$1107,2,0),"")</f>
        <v>_</v>
      </c>
      <c r="AK868" s="300" t="str">
        <f>_xlfn.IFNA(VLOOKUP($AI868,Programma!$F$3:$H$1107,3,0),"")</f>
        <v>_</v>
      </c>
      <c r="AL868" s="300" t="str">
        <f>_xlfn.IFNA(VLOOKUP($AI868,Programma!$F$3:$I$1107,4,0),"")</f>
        <v>5w</v>
      </c>
      <c r="AM868" s="300" t="str">
        <f>_xlfn.IFNA(VLOOKUP($AI868,Programma!$F$3:$J$1107,5,0),"")</f>
        <v>_</v>
      </c>
      <c r="AN868" s="300" t="str">
        <f>_xlfn.IFNA(VLOOKUP($AI868,Programma!$F$3:$K$1107,6,0),"")</f>
        <v>5w</v>
      </c>
      <c r="AO868" s="300" t="str">
        <f>_xlfn.IFNA(VLOOKUP($AI868,Programma!$F$3:$L$1107,7,0),"")</f>
        <v>_</v>
      </c>
      <c r="AP868" s="300" t="str">
        <f>_xlfn.IFNA(VLOOKUP($AI868,Programma!$F$3:$M$1107,8,0),"")</f>
        <v>_</v>
      </c>
      <c r="AQ868" s="300" t="str">
        <f>_xlfn.IFNA(VLOOKUP($AI868,Programma!$F$3:$N$1107,9,0),"")</f>
        <v>_</v>
      </c>
      <c r="AR868" s="300" t="str">
        <f>_xlfn.IFNA(VLOOKUP($AI868,Programma!$F$3:$O$1107,10,0),"")</f>
        <v>5w</v>
      </c>
      <c r="AS868" s="300" t="str">
        <f>_xlfn.IFNA(VLOOKUP($AI868,Programma!$F$3:$P$1107,11,0),"")</f>
        <v>5w</v>
      </c>
      <c r="AT868" s="300" t="str">
        <f>_xlfn.IFNA(VLOOKUP($AI868,Programma!$F$3:$Q$1107,12,0),"")</f>
        <v>1w</v>
      </c>
      <c r="AU868" s="300" t="str">
        <f>_xlfn.IFNA(VLOOKUP($AI868,Programma!$F$3:$R$1107,13,0),"")</f>
        <v>1w</v>
      </c>
      <c r="AV868" s="300" t="str">
        <f>_xlfn.IFNA(VLOOKUP($AI868,Programma!$F$3:$S$1107,14,0),"")</f>
        <v>1m</v>
      </c>
      <c r="AW868" s="300" t="str">
        <f>_xlfn.IFNA(VLOOKUP($AI868,Programma!$F$3:$T$1107,15,0),"")</f>
        <v>2j</v>
      </c>
      <c r="AX868" s="300" t="str">
        <f>_xlfn.IFNA(VLOOKUP($AI868,Programma!$F$3:$U$1107,16,0),"")</f>
        <v>1j</v>
      </c>
      <c r="AY868" s="300" t="str">
        <f>_xlfn.IFNA(VLOOKUP($AI868,Programma!$F$3:$V$1107,17,0),"")</f>
        <v>_</v>
      </c>
      <c r="AZ868" s="300" t="str">
        <f>_xlfn.IFNA(VLOOKUP($AI868,Programma!$F$3:$W$1107,18,0),"")</f>
        <v>_</v>
      </c>
      <c r="BA868" s="300" t="str">
        <f>_xlfn.IFNA(VLOOKUP($AI868,Programma!$F$3:$X$1107,19,0),"")</f>
        <v>_</v>
      </c>
      <c r="BB868" s="300" t="str">
        <f>_xlfn.IFNA(VLOOKUP($AI868,Programma!$F$3:$Y$1107,20,0),"")</f>
        <v>_</v>
      </c>
      <c r="BC868" s="257"/>
      <c r="BD868" s="256" t="str">
        <f>IF(Ruimtestaat[[#This Row],[Frequentie weekend]]="","",_xlfn.CONCAT(Ruimtestaat[[#This Row],[Ruimte code]],"-",Ruimtestaat[[#This Row],[Frequentie weekend]]," ",Ruimtestaat[[#This Row],[Vloer code]]))</f>
        <v/>
      </c>
      <c r="BE868" s="300" t="str">
        <f>_xlfn.IFNA(VLOOKUP($BD868,Programma!$F$3:$G$1107,2,0),"")</f>
        <v/>
      </c>
      <c r="BF868" s="300" t="str">
        <f>_xlfn.IFNA(VLOOKUP($BD868,Programma!$F$3:$H$1107,3,0),"")</f>
        <v/>
      </c>
      <c r="BG868" s="300" t="str">
        <f>_xlfn.IFNA(VLOOKUP($BD868,Programma!$F$3:$I$1107,4,0),"")</f>
        <v/>
      </c>
      <c r="BH868" s="300" t="str">
        <f>_xlfn.IFNA(VLOOKUP($BD868,Programma!$F$3:$J$1107,5,0),"")</f>
        <v/>
      </c>
      <c r="BI868" s="300" t="str">
        <f>_xlfn.IFNA(VLOOKUP($BD868,Programma!$F$3:$K$1107,6,0),"")</f>
        <v/>
      </c>
      <c r="BJ868" s="300" t="str">
        <f>_xlfn.IFNA(VLOOKUP($BD868,Programma!$F$3:$L$1107,7,0),"")</f>
        <v/>
      </c>
      <c r="BK868" s="300" t="str">
        <f>_xlfn.IFNA(VLOOKUP($BD868,Programma!$F$3:$M$1107,8,0),"")</f>
        <v/>
      </c>
      <c r="BL868" s="300" t="str">
        <f>_xlfn.IFNA(VLOOKUP($BD868,Programma!$F$3:$N$1107,9,0),"")</f>
        <v/>
      </c>
      <c r="BM868" s="300" t="str">
        <f>_xlfn.IFNA(VLOOKUP($BD868,Programma!$F$3:$O$1107,10,0),"")</f>
        <v/>
      </c>
      <c r="BN868" s="300" t="str">
        <f>_xlfn.IFNA(VLOOKUP($BD868,Programma!$F$3:$P$1107,11,0),"")</f>
        <v/>
      </c>
      <c r="BO868" s="300" t="str">
        <f>_xlfn.IFNA(VLOOKUP($BD868,Programma!$F$3:$Q$1107,12,0),"")</f>
        <v/>
      </c>
      <c r="BP868" s="300" t="str">
        <f>_xlfn.IFNA(VLOOKUP($BD868,Programma!$F$3:$R$1107,13,0),"")</f>
        <v/>
      </c>
      <c r="BQ868" s="300" t="str">
        <f>_xlfn.IFNA(VLOOKUP($BD868,Programma!$F$3:$S$1107,14,0),"")</f>
        <v/>
      </c>
      <c r="BR868" s="300" t="str">
        <f>_xlfn.IFNA(VLOOKUP($BD868,Programma!$F$3:$T$1107,15,0),"")</f>
        <v/>
      </c>
      <c r="BS868" s="300" t="str">
        <f>_xlfn.IFNA(VLOOKUP($BD868,Programma!$F$3:$U$1107,16,0),"")</f>
        <v/>
      </c>
      <c r="BT868" s="300" t="str">
        <f>_xlfn.IFNA(VLOOKUP($BD868,Programma!$F$3:$V$1107,17,0),"")</f>
        <v/>
      </c>
      <c r="BU868" s="300" t="str">
        <f>_xlfn.IFNA(VLOOKUP($BD868,Programma!$F$3:$W$1107,18,0),"")</f>
        <v/>
      </c>
      <c r="BV868" s="300" t="str">
        <f>_xlfn.IFNA(VLOOKUP($BD868,Programma!$F$3:$X$1107,19,0),"")</f>
        <v/>
      </c>
      <c r="BW868" s="300" t="str">
        <f>_xlfn.IFNA(VLOOKUP($BD868,Programma!$F$3:$Y$1107,20,0),"")</f>
        <v/>
      </c>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c r="GK868" s="4"/>
      <c r="GL868" s="4"/>
      <c r="GM868" s="4"/>
      <c r="GN868" s="4"/>
      <c r="GO868" s="4"/>
      <c r="GP868" s="4"/>
      <c r="GQ868" s="4"/>
      <c r="GR868" s="4"/>
      <c r="GS868" s="4"/>
      <c r="GT868" s="4"/>
      <c r="GU868" s="4"/>
      <c r="GV868" s="4"/>
      <c r="GW868" s="4"/>
      <c r="GX868" s="4"/>
      <c r="GY868" s="4"/>
      <c r="GZ868" s="4"/>
      <c r="HA868" s="4"/>
      <c r="HB868" s="4"/>
      <c r="HC868" s="4"/>
      <c r="HD868" s="4"/>
      <c r="HE868" s="4"/>
      <c r="HF868" s="4"/>
      <c r="HG868" s="4"/>
      <c r="HH868" s="4"/>
      <c r="HI868" s="4"/>
      <c r="HJ868" s="4"/>
      <c r="HK868" s="4"/>
      <c r="HL868" s="4"/>
    </row>
    <row r="869" spans="1:220" ht="15" customHeight="1">
      <c r="A869" s="21">
        <v>9</v>
      </c>
      <c r="B869" s="157" t="str">
        <f>VLOOKUP(Ruimtestaat[[#This Row],[Code]],Locaties[[Code]:[Locatie]],2,FALSE)</f>
        <v>Novum-Maartenshal</v>
      </c>
      <c r="C869" s="157" t="str">
        <f>VLOOKUP(Ruimtestaat[[#This Row],[Code]],Locaties[[#All],[Code]:[Adres]],4,FALSE)</f>
        <v>Marcellus Emantslaan 2a</v>
      </c>
      <c r="D869" s="157" t="str">
        <f>VLOOKUP(Ruimtestaat[[#This Row],[Code]],Locaties[[#All],[Code]:[Postcode]],5,FALSE)</f>
        <v>2247 XL</v>
      </c>
      <c r="E869" s="157" t="str">
        <f>VLOOKUP(Ruimtestaat[[#This Row],[Code]],Locaties[#All],6,FALSE)</f>
        <v>Voorburg</v>
      </c>
      <c r="F869" s="62"/>
      <c r="G869" s="21" t="s">
        <v>1632</v>
      </c>
      <c r="H869" s="21" t="s">
        <v>2341</v>
      </c>
      <c r="I869" s="62" t="s">
        <v>2342</v>
      </c>
      <c r="J869" s="21">
        <v>5</v>
      </c>
      <c r="K869" s="62" t="str">
        <f>VLOOKUP(Ruimtestaat[[#This Row],[Ruimte code]],Ruimtegroepen[[#All],[Code]:[Ruimte omschrijving]],2,FALSE)</f>
        <v>Sanitair</v>
      </c>
      <c r="L869" s="33" t="s">
        <v>102</v>
      </c>
      <c r="M869" s="367" t="s">
        <v>2496</v>
      </c>
      <c r="N869" s="140">
        <v>6.21</v>
      </c>
      <c r="O869" s="140"/>
      <c r="P869" s="125" t="str">
        <f>VLOOKUP(Ruimtestaat[[#This Row],[Ruimte code]],Ruimtegroepen[],4,FALSE)</f>
        <v>Sa</v>
      </c>
      <c r="R869" s="33">
        <v>40</v>
      </c>
      <c r="S869" s="33" t="s">
        <v>2</v>
      </c>
      <c r="T869" s="33">
        <f>IF(R869&gt;0,IF(RIGHT(Ruimtestaat[[#This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69" s="33">
        <f>IF(T869&gt;0,VLOOKUP($J869,Ruimtegroepen[],3,FALSE)*VLOOKUP($L869,Vloersoorten[],3,FALSE)*VLOOKUP($S869,Frequenties[],3,FALSE)*VLOOKUP($A869,Locaties[],3,FALSE),0)</f>
        <v>0</v>
      </c>
      <c r="V869" s="33">
        <f>Ruimtestaat[[#This Row],[Uitvoeringen werkdagen]]*Ruimtestaat[[#This Row],[Oppervlak (netto)]]</f>
        <v>1242</v>
      </c>
      <c r="W869" s="154">
        <f>IF(U869&gt;0,Ruimtestaat[[#This Row],[Prest. (m2 /jaar) werkdagen]]/Ruimtestaat[[#This Row],[Norm (m2/uur) werkdagen]],0)</f>
        <v>0</v>
      </c>
      <c r="X869" s="155">
        <f>Ruimtestaat[[#This Row],[uren / jaar werkdagen]]*Tariefsopbouw!$E$35</f>
        <v>0</v>
      </c>
      <c r="Y869" s="33"/>
      <c r="Z869" s="33">
        <f>IF(Ruimtestaat[[#This Row],[Frequentie weekend]]&gt;0,VALUE(LEFT(Y869,1))*R869,0)</f>
        <v>0</v>
      </c>
      <c r="AA869" s="97">
        <f>IF($Z869&gt;0,VLOOKUP($J869,Ruimtegroepen[],3,FALSE)*VLOOKUP($L869,Vloersoorten[],3,FALSE)*VLOOKUP($Y869,Frequenties[],3,FALSE)*VLOOKUP(Ruimtestaat[[#This Row],[Code]],Locaties[],3,FALSE),0)</f>
        <v>0</v>
      </c>
      <c r="AB869" s="97">
        <f>Ruimtestaat[[#This Row],[Uitvoeringen weekend]]*Ruimtestaat[[#This Row],[Oppervlak (netto)]]</f>
        <v>0</v>
      </c>
      <c r="AC869" s="97">
        <f>IF(AA869&gt;0,Ruimtestaat[[#This Row],[Prest. (m2 /jaar) weekend]]/Ruimtestaat[[#This Row],[Norm (m2/uur) weekend]],0)</f>
        <v>0</v>
      </c>
      <c r="AD869" s="155">
        <f>Ruimtestaat[[#This Row],[uren / jaar weekend]]*Tariefsopbouw!$D$40</f>
        <v>0</v>
      </c>
      <c r="AE869" s="154">
        <f>Ruimtestaat[[#This Row],[Prest. (m2 /jaar) weekend]]+Ruimtestaat[[#This Row],[Prest. (m2 /jaar) werkdagen]]</f>
        <v>1242</v>
      </c>
      <c r="AF869" s="154">
        <f>Ruimtestaat[[#This Row],[uren / jaar weekend]]+Ruimtestaat[[#This Row],[uren / jaar werkdagen]]</f>
        <v>0</v>
      </c>
      <c r="AG869" s="69">
        <f>Ruimtestaat[[#This Row],[kosten / jaar weekend]]+Ruimtestaat[[#This Row],[kosten / jaar werkdagen]]</f>
        <v>0</v>
      </c>
      <c r="AH869" s="69"/>
      <c r="AI869" s="256" t="str">
        <f>IF(Ruimtestaat[[#This Row],[Frequentie werkdagen]]="","",_xlfn.CONCAT(Ruimtestaat[[#This Row],[Ruimte code]],"-",Ruimtestaat[[#This Row],[Frequentie werkdagen]]," ",Ruimtestaat[[#This Row],[Vloer code]]))</f>
        <v>5-5w S</v>
      </c>
      <c r="AJ869" s="300" t="str">
        <f>_xlfn.IFNA(VLOOKUP($AI869,Programma!$F$3:$G$1107,2,0),"")</f>
        <v>_</v>
      </c>
      <c r="AK869" s="300" t="str">
        <f>_xlfn.IFNA(VLOOKUP($AI869,Programma!$F$3:$H$1107,3,0),"")</f>
        <v>_</v>
      </c>
      <c r="AL869" s="300" t="str">
        <f>_xlfn.IFNA(VLOOKUP($AI869,Programma!$F$3:$I$1107,4,0),"")</f>
        <v>_</v>
      </c>
      <c r="AM869" s="300" t="str">
        <f>_xlfn.IFNA(VLOOKUP($AI869,Programma!$F$3:$J$1107,5,0),"")</f>
        <v>4w</v>
      </c>
      <c r="AN869" s="300" t="str">
        <f>_xlfn.IFNA(VLOOKUP($AI869,Programma!$F$3:$K$1107,6,0),"")</f>
        <v>1w</v>
      </c>
      <c r="AO869" s="300" t="str">
        <f>_xlfn.IFNA(VLOOKUP($AI869,Programma!$F$3:$L$1107,7,0),"")</f>
        <v>_</v>
      </c>
      <c r="AP869" s="300" t="str">
        <f>_xlfn.IFNA(VLOOKUP($AI869,Programma!$F$3:$M$1107,8,0),"")</f>
        <v>_</v>
      </c>
      <c r="AQ869" s="300" t="str">
        <f>_xlfn.IFNA(VLOOKUP($AI869,Programma!$F$3:$N$1107,9,0),"")</f>
        <v>_</v>
      </c>
      <c r="AR869" s="300" t="str">
        <f>_xlfn.IFNA(VLOOKUP($AI869,Programma!$F$3:$O$1107,10,0),"")</f>
        <v>_</v>
      </c>
      <c r="AS869" s="300" t="str">
        <f>_xlfn.IFNA(VLOOKUP($AI869,Programma!$F$3:$P$1107,11,0),"")</f>
        <v>_</v>
      </c>
      <c r="AT869" s="300" t="str">
        <f>_xlfn.IFNA(VLOOKUP($AI869,Programma!$F$3:$Q$1107,12,0),"")</f>
        <v>_</v>
      </c>
      <c r="AU869" s="300" t="str">
        <f>_xlfn.IFNA(VLOOKUP($AI869,Programma!$F$3:$R$1107,13,0),"")</f>
        <v>_</v>
      </c>
      <c r="AV869" s="300" t="str">
        <f>_xlfn.IFNA(VLOOKUP($AI869,Programma!$F$3:$S$1107,14,0),"")</f>
        <v>_</v>
      </c>
      <c r="AW869" s="300" t="str">
        <f>_xlfn.IFNA(VLOOKUP($AI869,Programma!$F$3:$T$1107,15,0),"")</f>
        <v>_</v>
      </c>
      <c r="AX869" s="300" t="str">
        <f>_xlfn.IFNA(VLOOKUP($AI869,Programma!$F$3:$U$1107,16,0),"")</f>
        <v>_</v>
      </c>
      <c r="AY869" s="300" t="str">
        <f>_xlfn.IFNA(VLOOKUP($AI869,Programma!$F$3:$V$1107,17,0),"")</f>
        <v>_</v>
      </c>
      <c r="AZ869" s="300" t="str">
        <f>_xlfn.IFNA(VLOOKUP($AI869,Programma!$F$3:$W$1107,18,0),"")</f>
        <v>4w</v>
      </c>
      <c r="BA869" s="300" t="str">
        <f>_xlfn.IFNA(VLOOKUP($AI869,Programma!$F$3:$X$1107,19,0),"")</f>
        <v>1w</v>
      </c>
      <c r="BB869" s="300" t="str">
        <f>_xlfn.IFNA(VLOOKUP($AI869,Programma!$F$3:$Y$1107,20,0),"")</f>
        <v>_</v>
      </c>
      <c r="BC869" s="257"/>
      <c r="BD869" s="256" t="str">
        <f>IF(Ruimtestaat[[#This Row],[Frequentie weekend]]="","",_xlfn.CONCAT(Ruimtestaat[[#This Row],[Ruimte code]],"-",Ruimtestaat[[#This Row],[Frequentie weekend]]," ",Ruimtestaat[[#This Row],[Vloer code]]))</f>
        <v/>
      </c>
      <c r="BE869" s="300" t="str">
        <f>_xlfn.IFNA(VLOOKUP($BD869,Programma!$F$3:$G$1107,2,0),"")</f>
        <v/>
      </c>
      <c r="BF869" s="300" t="str">
        <f>_xlfn.IFNA(VLOOKUP($BD869,Programma!$F$3:$H$1107,3,0),"")</f>
        <v/>
      </c>
      <c r="BG869" s="300" t="str">
        <f>_xlfn.IFNA(VLOOKUP($BD869,Programma!$F$3:$I$1107,4,0),"")</f>
        <v/>
      </c>
      <c r="BH869" s="300" t="str">
        <f>_xlfn.IFNA(VLOOKUP($BD869,Programma!$F$3:$J$1107,5,0),"")</f>
        <v/>
      </c>
      <c r="BI869" s="300" t="str">
        <f>_xlfn.IFNA(VLOOKUP($BD869,Programma!$F$3:$K$1107,6,0),"")</f>
        <v/>
      </c>
      <c r="BJ869" s="300" t="str">
        <f>_xlfn.IFNA(VLOOKUP($BD869,Programma!$F$3:$L$1107,7,0),"")</f>
        <v/>
      </c>
      <c r="BK869" s="300" t="str">
        <f>_xlfn.IFNA(VLOOKUP($BD869,Programma!$F$3:$M$1107,8,0),"")</f>
        <v/>
      </c>
      <c r="BL869" s="300" t="str">
        <f>_xlfn.IFNA(VLOOKUP($BD869,Programma!$F$3:$N$1107,9,0),"")</f>
        <v/>
      </c>
      <c r="BM869" s="300" t="str">
        <f>_xlfn.IFNA(VLOOKUP($BD869,Programma!$F$3:$O$1107,10,0),"")</f>
        <v/>
      </c>
      <c r="BN869" s="300" t="str">
        <f>_xlfn.IFNA(VLOOKUP($BD869,Programma!$F$3:$P$1107,11,0),"")</f>
        <v/>
      </c>
      <c r="BO869" s="300" t="str">
        <f>_xlfn.IFNA(VLOOKUP($BD869,Programma!$F$3:$Q$1107,12,0),"")</f>
        <v/>
      </c>
      <c r="BP869" s="300" t="str">
        <f>_xlfn.IFNA(VLOOKUP($BD869,Programma!$F$3:$R$1107,13,0),"")</f>
        <v/>
      </c>
      <c r="BQ869" s="300" t="str">
        <f>_xlfn.IFNA(VLOOKUP($BD869,Programma!$F$3:$S$1107,14,0),"")</f>
        <v/>
      </c>
      <c r="BR869" s="300" t="str">
        <f>_xlfn.IFNA(VLOOKUP($BD869,Programma!$F$3:$T$1107,15,0),"")</f>
        <v/>
      </c>
      <c r="BS869" s="300" t="str">
        <f>_xlfn.IFNA(VLOOKUP($BD869,Programma!$F$3:$U$1107,16,0),"")</f>
        <v/>
      </c>
      <c r="BT869" s="300" t="str">
        <f>_xlfn.IFNA(VLOOKUP($BD869,Programma!$F$3:$V$1107,17,0),"")</f>
        <v/>
      </c>
      <c r="BU869" s="300" t="str">
        <f>_xlfn.IFNA(VLOOKUP($BD869,Programma!$F$3:$W$1107,18,0),"")</f>
        <v/>
      </c>
      <c r="BV869" s="300" t="str">
        <f>_xlfn.IFNA(VLOOKUP($BD869,Programma!$F$3:$X$1107,19,0),"")</f>
        <v/>
      </c>
      <c r="BW869" s="300" t="str">
        <f>_xlfn.IFNA(VLOOKUP($BD869,Programma!$F$3:$Y$1107,20,0),"")</f>
        <v/>
      </c>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c r="GK869" s="4"/>
      <c r="GL869" s="4"/>
      <c r="GM869" s="4"/>
      <c r="GN869" s="4"/>
      <c r="GO869" s="4"/>
      <c r="GP869" s="4"/>
      <c r="GQ869" s="4"/>
      <c r="GR869" s="4"/>
      <c r="GS869" s="4"/>
      <c r="GT869" s="4"/>
      <c r="GU869" s="4"/>
      <c r="GV869" s="4"/>
      <c r="GW869" s="4"/>
      <c r="GX869" s="4"/>
      <c r="GY869" s="4"/>
      <c r="GZ869" s="4"/>
      <c r="HA869" s="4"/>
      <c r="HB869" s="4"/>
      <c r="HC869" s="4"/>
      <c r="HD869" s="4"/>
      <c r="HE869" s="4"/>
      <c r="HF869" s="4"/>
      <c r="HG869" s="4"/>
      <c r="HH869" s="4"/>
      <c r="HI869" s="4"/>
      <c r="HJ869" s="4"/>
      <c r="HK869" s="4"/>
      <c r="HL869" s="4"/>
    </row>
    <row r="870" spans="1:220" ht="15" customHeight="1">
      <c r="A870" s="21">
        <v>9</v>
      </c>
      <c r="B870" s="157" t="str">
        <f>VLOOKUP(Ruimtestaat[[#This Row],[Code]],Locaties[[Code]:[Locatie]],2,FALSE)</f>
        <v>Novum-Maartenshal</v>
      </c>
      <c r="C870" s="157" t="str">
        <f>VLOOKUP(Ruimtestaat[[#This Row],[Code]],Locaties[[#All],[Code]:[Adres]],4,FALSE)</f>
        <v>Marcellus Emantslaan 2a</v>
      </c>
      <c r="D870" s="157" t="str">
        <f>VLOOKUP(Ruimtestaat[[#This Row],[Code]],Locaties[[#All],[Code]:[Postcode]],5,FALSE)</f>
        <v>2247 XL</v>
      </c>
      <c r="E870" s="157" t="str">
        <f>VLOOKUP(Ruimtestaat[[#This Row],[Code]],Locaties[#All],6,FALSE)</f>
        <v>Voorburg</v>
      </c>
      <c r="F870" s="62"/>
      <c r="G870" s="21" t="s">
        <v>1632</v>
      </c>
      <c r="H870" s="21" t="s">
        <v>2343</v>
      </c>
      <c r="I870" s="62" t="s">
        <v>2344</v>
      </c>
      <c r="J870" s="21">
        <v>19</v>
      </c>
      <c r="K870" s="62" t="str">
        <f>VLOOKUP(Ruimtestaat[[#This Row],[Ruimte code]],Ruimtegroepen[[#All],[Code]:[Ruimte omschrijving]],2,FALSE)</f>
        <v>kleedruimten</v>
      </c>
      <c r="L870" s="33" t="s">
        <v>102</v>
      </c>
      <c r="M870" s="367" t="s">
        <v>2496</v>
      </c>
      <c r="N870" s="140">
        <v>26.92</v>
      </c>
      <c r="O870" s="140"/>
      <c r="P870" s="125" t="str">
        <f>VLOOKUP(Ruimtestaat[[#This Row],[Ruimte code]],Ruimtegroepen[],4,FALSE)</f>
        <v>Ve</v>
      </c>
      <c r="R870" s="33">
        <v>40</v>
      </c>
      <c r="S870" s="33" t="s">
        <v>2</v>
      </c>
      <c r="T870" s="33">
        <f>IF(R870&gt;0,IF(RIGHT(Ruimtestaat[[#This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0" s="33">
        <f>IF(T870&gt;0,VLOOKUP($J870,Ruimtegroepen[],3,FALSE)*VLOOKUP($L870,Vloersoorten[],3,FALSE)*VLOOKUP($S870,Frequenties[],3,FALSE)*VLOOKUP($A870,Locaties[],3,FALSE),0)</f>
        <v>0</v>
      </c>
      <c r="V870" s="33">
        <f>Ruimtestaat[[#This Row],[Uitvoeringen werkdagen]]*Ruimtestaat[[#This Row],[Oppervlak (netto)]]</f>
        <v>5384</v>
      </c>
      <c r="W870" s="154">
        <f>IF(U870&gt;0,Ruimtestaat[[#This Row],[Prest. (m2 /jaar) werkdagen]]/Ruimtestaat[[#This Row],[Norm (m2/uur) werkdagen]],0)</f>
        <v>0</v>
      </c>
      <c r="X870" s="155">
        <f>Ruimtestaat[[#This Row],[uren / jaar werkdagen]]*Tariefsopbouw!$E$35</f>
        <v>0</v>
      </c>
      <c r="Y870" s="33"/>
      <c r="Z870" s="33">
        <f>IF(Ruimtestaat[[#This Row],[Frequentie weekend]]&gt;0,VALUE(LEFT(Y870,1))*R870,0)</f>
        <v>0</v>
      </c>
      <c r="AA870" s="97">
        <f>IF($Z870&gt;0,VLOOKUP($J870,Ruimtegroepen[],3,FALSE)*VLOOKUP($L870,Vloersoorten[],3,FALSE)*VLOOKUP($Y870,Frequenties[],3,FALSE)*VLOOKUP(Ruimtestaat[[#This Row],[Code]],Locaties[],3,FALSE),0)</f>
        <v>0</v>
      </c>
      <c r="AB870" s="97">
        <f>Ruimtestaat[[#This Row],[Uitvoeringen weekend]]*Ruimtestaat[[#This Row],[Oppervlak (netto)]]</f>
        <v>0</v>
      </c>
      <c r="AC870" s="97">
        <f>IF(AA870&gt;0,Ruimtestaat[[#This Row],[Prest. (m2 /jaar) weekend]]/Ruimtestaat[[#This Row],[Norm (m2/uur) weekend]],0)</f>
        <v>0</v>
      </c>
      <c r="AD870" s="155">
        <f>Ruimtestaat[[#This Row],[uren / jaar weekend]]*Tariefsopbouw!$D$40</f>
        <v>0</v>
      </c>
      <c r="AE870" s="154">
        <f>Ruimtestaat[[#This Row],[Prest. (m2 /jaar) weekend]]+Ruimtestaat[[#This Row],[Prest. (m2 /jaar) werkdagen]]</f>
        <v>5384</v>
      </c>
      <c r="AF870" s="154">
        <f>Ruimtestaat[[#This Row],[uren / jaar weekend]]+Ruimtestaat[[#This Row],[uren / jaar werkdagen]]</f>
        <v>0</v>
      </c>
      <c r="AG870" s="69">
        <f>Ruimtestaat[[#This Row],[kosten / jaar weekend]]+Ruimtestaat[[#This Row],[kosten / jaar werkdagen]]</f>
        <v>0</v>
      </c>
      <c r="AH870" s="69"/>
      <c r="AI870" s="256" t="str">
        <f>IF(Ruimtestaat[[#This Row],[Frequentie werkdagen]]="","",_xlfn.CONCAT(Ruimtestaat[[#This Row],[Ruimte code]],"-",Ruimtestaat[[#This Row],[Frequentie werkdagen]]," ",Ruimtestaat[[#This Row],[Vloer code]]))</f>
        <v>19-5w S</v>
      </c>
      <c r="AJ870" s="300" t="str">
        <f>_xlfn.IFNA(VLOOKUP($AI870,Programma!$F$3:$G$1107,2,0),"")</f>
        <v>_</v>
      </c>
      <c r="AK870" s="300" t="str">
        <f>_xlfn.IFNA(VLOOKUP($AI870,Programma!$F$3:$H$1107,3,0),"")</f>
        <v>_</v>
      </c>
      <c r="AL870" s="300" t="str">
        <f>_xlfn.IFNA(VLOOKUP($AI870,Programma!$F$3:$I$1107,4,0),"")</f>
        <v>5w</v>
      </c>
      <c r="AM870" s="300" t="str">
        <f>_xlfn.IFNA(VLOOKUP($AI870,Programma!$F$3:$J$1107,5,0),"")</f>
        <v>_</v>
      </c>
      <c r="AN870" s="300" t="str">
        <f>_xlfn.IFNA(VLOOKUP($AI870,Programma!$F$3:$K$1107,6,0),"")</f>
        <v>5w</v>
      </c>
      <c r="AO870" s="300" t="str">
        <f>_xlfn.IFNA(VLOOKUP($AI870,Programma!$F$3:$L$1107,7,0),"")</f>
        <v>_</v>
      </c>
      <c r="AP870" s="300" t="str">
        <f>_xlfn.IFNA(VLOOKUP($AI870,Programma!$F$3:$M$1107,8,0),"")</f>
        <v>_</v>
      </c>
      <c r="AQ870" s="300" t="str">
        <f>_xlfn.IFNA(VLOOKUP($AI870,Programma!$F$3:$N$1107,9,0),"")</f>
        <v>_</v>
      </c>
      <c r="AR870" s="300" t="str">
        <f>_xlfn.IFNA(VLOOKUP($AI870,Programma!$F$3:$O$1107,10,0),"")</f>
        <v>5w</v>
      </c>
      <c r="AS870" s="300" t="str">
        <f>_xlfn.IFNA(VLOOKUP($AI870,Programma!$F$3:$P$1107,11,0),"")</f>
        <v>5w</v>
      </c>
      <c r="AT870" s="300" t="str">
        <f>_xlfn.IFNA(VLOOKUP($AI870,Programma!$F$3:$Q$1107,12,0),"")</f>
        <v>1w</v>
      </c>
      <c r="AU870" s="300" t="str">
        <f>_xlfn.IFNA(VLOOKUP($AI870,Programma!$F$3:$R$1107,13,0),"")</f>
        <v>1w</v>
      </c>
      <c r="AV870" s="300" t="str">
        <f>_xlfn.IFNA(VLOOKUP($AI870,Programma!$F$3:$S$1107,14,0),"")</f>
        <v>1m</v>
      </c>
      <c r="AW870" s="300" t="str">
        <f>_xlfn.IFNA(VLOOKUP($AI870,Programma!$F$3:$T$1107,15,0),"")</f>
        <v>2j</v>
      </c>
      <c r="AX870" s="300" t="str">
        <f>_xlfn.IFNA(VLOOKUP($AI870,Programma!$F$3:$U$1107,16,0),"")</f>
        <v>1j</v>
      </c>
      <c r="AY870" s="300" t="str">
        <f>_xlfn.IFNA(VLOOKUP($AI870,Programma!$F$3:$V$1107,17,0),"")</f>
        <v>_</v>
      </c>
      <c r="AZ870" s="300" t="str">
        <f>_xlfn.IFNA(VLOOKUP($AI870,Programma!$F$3:$W$1107,18,0),"")</f>
        <v>_</v>
      </c>
      <c r="BA870" s="300" t="str">
        <f>_xlfn.IFNA(VLOOKUP($AI870,Programma!$F$3:$X$1107,19,0),"")</f>
        <v>_</v>
      </c>
      <c r="BB870" s="300" t="str">
        <f>_xlfn.IFNA(VLOOKUP($AI870,Programma!$F$3:$Y$1107,20,0),"")</f>
        <v>_</v>
      </c>
      <c r="BC870" s="257"/>
      <c r="BD870" s="256" t="str">
        <f>IF(Ruimtestaat[[#This Row],[Frequentie weekend]]="","",_xlfn.CONCAT(Ruimtestaat[[#This Row],[Ruimte code]],"-",Ruimtestaat[[#This Row],[Frequentie weekend]]," ",Ruimtestaat[[#This Row],[Vloer code]]))</f>
        <v/>
      </c>
      <c r="BE870" s="300" t="str">
        <f>_xlfn.IFNA(VLOOKUP($BD870,Programma!$F$3:$G$1107,2,0),"")</f>
        <v/>
      </c>
      <c r="BF870" s="300" t="str">
        <f>_xlfn.IFNA(VLOOKUP($BD870,Programma!$F$3:$H$1107,3,0),"")</f>
        <v/>
      </c>
      <c r="BG870" s="300" t="str">
        <f>_xlfn.IFNA(VLOOKUP($BD870,Programma!$F$3:$I$1107,4,0),"")</f>
        <v/>
      </c>
      <c r="BH870" s="300" t="str">
        <f>_xlfn.IFNA(VLOOKUP($BD870,Programma!$F$3:$J$1107,5,0),"")</f>
        <v/>
      </c>
      <c r="BI870" s="300" t="str">
        <f>_xlfn.IFNA(VLOOKUP($BD870,Programma!$F$3:$K$1107,6,0),"")</f>
        <v/>
      </c>
      <c r="BJ870" s="300" t="str">
        <f>_xlfn.IFNA(VLOOKUP($BD870,Programma!$F$3:$L$1107,7,0),"")</f>
        <v/>
      </c>
      <c r="BK870" s="300" t="str">
        <f>_xlfn.IFNA(VLOOKUP($BD870,Programma!$F$3:$M$1107,8,0),"")</f>
        <v/>
      </c>
      <c r="BL870" s="300" t="str">
        <f>_xlfn.IFNA(VLOOKUP($BD870,Programma!$F$3:$N$1107,9,0),"")</f>
        <v/>
      </c>
      <c r="BM870" s="300" t="str">
        <f>_xlfn.IFNA(VLOOKUP($BD870,Programma!$F$3:$O$1107,10,0),"")</f>
        <v/>
      </c>
      <c r="BN870" s="300" t="str">
        <f>_xlfn.IFNA(VLOOKUP($BD870,Programma!$F$3:$P$1107,11,0),"")</f>
        <v/>
      </c>
      <c r="BO870" s="300" t="str">
        <f>_xlfn.IFNA(VLOOKUP($BD870,Programma!$F$3:$Q$1107,12,0),"")</f>
        <v/>
      </c>
      <c r="BP870" s="300" t="str">
        <f>_xlfn.IFNA(VLOOKUP($BD870,Programma!$F$3:$R$1107,13,0),"")</f>
        <v/>
      </c>
      <c r="BQ870" s="300" t="str">
        <f>_xlfn.IFNA(VLOOKUP($BD870,Programma!$F$3:$S$1107,14,0),"")</f>
        <v/>
      </c>
      <c r="BR870" s="300" t="str">
        <f>_xlfn.IFNA(VLOOKUP($BD870,Programma!$F$3:$T$1107,15,0),"")</f>
        <v/>
      </c>
      <c r="BS870" s="300" t="str">
        <f>_xlfn.IFNA(VLOOKUP($BD870,Programma!$F$3:$U$1107,16,0),"")</f>
        <v/>
      </c>
      <c r="BT870" s="300" t="str">
        <f>_xlfn.IFNA(VLOOKUP($BD870,Programma!$F$3:$V$1107,17,0),"")</f>
        <v/>
      </c>
      <c r="BU870" s="300" t="str">
        <f>_xlfn.IFNA(VLOOKUP($BD870,Programma!$F$3:$W$1107,18,0),"")</f>
        <v/>
      </c>
      <c r="BV870" s="300" t="str">
        <f>_xlfn.IFNA(VLOOKUP($BD870,Programma!$F$3:$X$1107,19,0),"")</f>
        <v/>
      </c>
      <c r="BW870" s="300" t="str">
        <f>_xlfn.IFNA(VLOOKUP($BD870,Programma!$F$3:$Y$1107,20,0),"")</f>
        <v/>
      </c>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c r="GK870" s="4"/>
      <c r="GL870" s="4"/>
      <c r="GM870" s="4"/>
      <c r="GN870" s="4"/>
      <c r="GO870" s="4"/>
      <c r="GP870" s="4"/>
      <c r="GQ870" s="4"/>
      <c r="GR870" s="4"/>
      <c r="GS870" s="4"/>
      <c r="GT870" s="4"/>
      <c r="GU870" s="4"/>
      <c r="GV870" s="4"/>
      <c r="GW870" s="4"/>
      <c r="GX870" s="4"/>
      <c r="GY870" s="4"/>
      <c r="GZ870" s="4"/>
      <c r="HA870" s="4"/>
      <c r="HB870" s="4"/>
      <c r="HC870" s="4"/>
      <c r="HD870" s="4"/>
      <c r="HE870" s="4"/>
      <c r="HF870" s="4"/>
      <c r="HG870" s="4"/>
      <c r="HH870" s="4"/>
      <c r="HI870" s="4"/>
      <c r="HJ870" s="4"/>
      <c r="HK870" s="4"/>
      <c r="HL870" s="4"/>
    </row>
    <row r="871" spans="1:220" ht="15" customHeight="1">
      <c r="A871" s="21">
        <v>9</v>
      </c>
      <c r="B871" s="157" t="str">
        <f>VLOOKUP(Ruimtestaat[[#This Row],[Code]],Locaties[[Code]:[Locatie]],2,FALSE)</f>
        <v>Novum-Maartenshal</v>
      </c>
      <c r="C871" s="157" t="str">
        <f>VLOOKUP(Ruimtestaat[[#This Row],[Code]],Locaties[[#All],[Code]:[Adres]],4,FALSE)</f>
        <v>Marcellus Emantslaan 2a</v>
      </c>
      <c r="D871" s="157" t="str">
        <f>VLOOKUP(Ruimtestaat[[#This Row],[Code]],Locaties[[#All],[Code]:[Postcode]],5,FALSE)</f>
        <v>2247 XL</v>
      </c>
      <c r="E871" s="157" t="str">
        <f>VLOOKUP(Ruimtestaat[[#This Row],[Code]],Locaties[#All],6,FALSE)</f>
        <v>Voorburg</v>
      </c>
      <c r="F871" s="62"/>
      <c r="G871" s="21" t="s">
        <v>1632</v>
      </c>
      <c r="H871" s="21" t="s">
        <v>2345</v>
      </c>
      <c r="I871" s="62" t="s">
        <v>2346</v>
      </c>
      <c r="J871" s="21">
        <v>5</v>
      </c>
      <c r="K871" s="62" t="str">
        <f>VLOOKUP(Ruimtestaat[[#This Row],[Ruimte code]],Ruimtegroepen[[#All],[Code]:[Ruimte omschrijving]],2,FALSE)</f>
        <v>Sanitair</v>
      </c>
      <c r="L871" s="33" t="s">
        <v>102</v>
      </c>
      <c r="M871" s="367" t="s">
        <v>2496</v>
      </c>
      <c r="N871" s="140">
        <v>6.21</v>
      </c>
      <c r="O871" s="140"/>
      <c r="P871" s="125" t="str">
        <f>VLOOKUP(Ruimtestaat[[#This Row],[Ruimte code]],Ruimtegroepen[],4,FALSE)</f>
        <v>Sa</v>
      </c>
      <c r="R871" s="33">
        <v>40</v>
      </c>
      <c r="S871" s="33" t="s">
        <v>2</v>
      </c>
      <c r="T871" s="33">
        <f>IF(R871&gt;0,IF(RIGHT(Ruimtestaat[[#This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1" s="33">
        <f>IF(T871&gt;0,VLOOKUP($J871,Ruimtegroepen[],3,FALSE)*VLOOKUP($L871,Vloersoorten[],3,FALSE)*VLOOKUP($S871,Frequenties[],3,FALSE)*VLOOKUP($A871,Locaties[],3,FALSE),0)</f>
        <v>0</v>
      </c>
      <c r="V871" s="33">
        <f>Ruimtestaat[[#This Row],[Uitvoeringen werkdagen]]*Ruimtestaat[[#This Row],[Oppervlak (netto)]]</f>
        <v>1242</v>
      </c>
      <c r="W871" s="154">
        <f>IF(U871&gt;0,Ruimtestaat[[#This Row],[Prest. (m2 /jaar) werkdagen]]/Ruimtestaat[[#This Row],[Norm (m2/uur) werkdagen]],0)</f>
        <v>0</v>
      </c>
      <c r="X871" s="155">
        <f>Ruimtestaat[[#This Row],[uren / jaar werkdagen]]*Tariefsopbouw!$E$35</f>
        <v>0</v>
      </c>
      <c r="Y871" s="33"/>
      <c r="Z871" s="33">
        <f>IF(Ruimtestaat[[#This Row],[Frequentie weekend]]&gt;0,VALUE(LEFT(Y871,1))*R871,0)</f>
        <v>0</v>
      </c>
      <c r="AA871" s="97">
        <f>IF($Z871&gt;0,VLOOKUP($J871,Ruimtegroepen[],3,FALSE)*VLOOKUP($L871,Vloersoorten[],3,FALSE)*VLOOKUP($Y871,Frequenties[],3,FALSE)*VLOOKUP(Ruimtestaat[[#This Row],[Code]],Locaties[],3,FALSE),0)</f>
        <v>0</v>
      </c>
      <c r="AB871" s="97">
        <f>Ruimtestaat[[#This Row],[Uitvoeringen weekend]]*Ruimtestaat[[#This Row],[Oppervlak (netto)]]</f>
        <v>0</v>
      </c>
      <c r="AC871" s="97">
        <f>IF(AA871&gt;0,Ruimtestaat[[#This Row],[Prest. (m2 /jaar) weekend]]/Ruimtestaat[[#This Row],[Norm (m2/uur) weekend]],0)</f>
        <v>0</v>
      </c>
      <c r="AD871" s="155">
        <f>Ruimtestaat[[#This Row],[uren / jaar weekend]]*Tariefsopbouw!$D$40</f>
        <v>0</v>
      </c>
      <c r="AE871" s="154">
        <f>Ruimtestaat[[#This Row],[Prest. (m2 /jaar) weekend]]+Ruimtestaat[[#This Row],[Prest. (m2 /jaar) werkdagen]]</f>
        <v>1242</v>
      </c>
      <c r="AF871" s="154">
        <f>Ruimtestaat[[#This Row],[uren / jaar weekend]]+Ruimtestaat[[#This Row],[uren / jaar werkdagen]]</f>
        <v>0</v>
      </c>
      <c r="AG871" s="69">
        <f>Ruimtestaat[[#This Row],[kosten / jaar weekend]]+Ruimtestaat[[#This Row],[kosten / jaar werkdagen]]</f>
        <v>0</v>
      </c>
      <c r="AH871" s="69"/>
      <c r="AI871" s="256" t="str">
        <f>IF(Ruimtestaat[[#This Row],[Frequentie werkdagen]]="","",_xlfn.CONCAT(Ruimtestaat[[#This Row],[Ruimte code]],"-",Ruimtestaat[[#This Row],[Frequentie werkdagen]]," ",Ruimtestaat[[#This Row],[Vloer code]]))</f>
        <v>5-5w S</v>
      </c>
      <c r="AJ871" s="300" t="str">
        <f>_xlfn.IFNA(VLOOKUP($AI871,Programma!$F$3:$G$1107,2,0),"")</f>
        <v>_</v>
      </c>
      <c r="AK871" s="300" t="str">
        <f>_xlfn.IFNA(VLOOKUP($AI871,Programma!$F$3:$H$1107,3,0),"")</f>
        <v>_</v>
      </c>
      <c r="AL871" s="300" t="str">
        <f>_xlfn.IFNA(VLOOKUP($AI871,Programma!$F$3:$I$1107,4,0),"")</f>
        <v>_</v>
      </c>
      <c r="AM871" s="300" t="str">
        <f>_xlfn.IFNA(VLOOKUP($AI871,Programma!$F$3:$J$1107,5,0),"")</f>
        <v>4w</v>
      </c>
      <c r="AN871" s="300" t="str">
        <f>_xlfn.IFNA(VLOOKUP($AI871,Programma!$F$3:$K$1107,6,0),"")</f>
        <v>1w</v>
      </c>
      <c r="AO871" s="300" t="str">
        <f>_xlfn.IFNA(VLOOKUP($AI871,Programma!$F$3:$L$1107,7,0),"")</f>
        <v>_</v>
      </c>
      <c r="AP871" s="300" t="str">
        <f>_xlfn.IFNA(VLOOKUP($AI871,Programma!$F$3:$M$1107,8,0),"")</f>
        <v>_</v>
      </c>
      <c r="AQ871" s="300" t="str">
        <f>_xlfn.IFNA(VLOOKUP($AI871,Programma!$F$3:$N$1107,9,0),"")</f>
        <v>_</v>
      </c>
      <c r="AR871" s="300" t="str">
        <f>_xlfn.IFNA(VLOOKUP($AI871,Programma!$F$3:$O$1107,10,0),"")</f>
        <v>_</v>
      </c>
      <c r="AS871" s="300" t="str">
        <f>_xlfn.IFNA(VLOOKUP($AI871,Programma!$F$3:$P$1107,11,0),"")</f>
        <v>_</v>
      </c>
      <c r="AT871" s="300" t="str">
        <f>_xlfn.IFNA(VLOOKUP($AI871,Programma!$F$3:$Q$1107,12,0),"")</f>
        <v>_</v>
      </c>
      <c r="AU871" s="300" t="str">
        <f>_xlfn.IFNA(VLOOKUP($AI871,Programma!$F$3:$R$1107,13,0),"")</f>
        <v>_</v>
      </c>
      <c r="AV871" s="300" t="str">
        <f>_xlfn.IFNA(VLOOKUP($AI871,Programma!$F$3:$S$1107,14,0),"")</f>
        <v>_</v>
      </c>
      <c r="AW871" s="300" t="str">
        <f>_xlfn.IFNA(VLOOKUP($AI871,Programma!$F$3:$T$1107,15,0),"")</f>
        <v>_</v>
      </c>
      <c r="AX871" s="300" t="str">
        <f>_xlfn.IFNA(VLOOKUP($AI871,Programma!$F$3:$U$1107,16,0),"")</f>
        <v>_</v>
      </c>
      <c r="AY871" s="300" t="str">
        <f>_xlfn.IFNA(VLOOKUP($AI871,Programma!$F$3:$V$1107,17,0),"")</f>
        <v>_</v>
      </c>
      <c r="AZ871" s="300" t="str">
        <f>_xlfn.IFNA(VLOOKUP($AI871,Programma!$F$3:$W$1107,18,0),"")</f>
        <v>4w</v>
      </c>
      <c r="BA871" s="300" t="str">
        <f>_xlfn.IFNA(VLOOKUP($AI871,Programma!$F$3:$X$1107,19,0),"")</f>
        <v>1w</v>
      </c>
      <c r="BB871" s="300" t="str">
        <f>_xlfn.IFNA(VLOOKUP($AI871,Programma!$F$3:$Y$1107,20,0),"")</f>
        <v>_</v>
      </c>
      <c r="BC871" s="257"/>
      <c r="BD871" s="256" t="str">
        <f>IF(Ruimtestaat[[#This Row],[Frequentie weekend]]="","",_xlfn.CONCAT(Ruimtestaat[[#This Row],[Ruimte code]],"-",Ruimtestaat[[#This Row],[Frequentie weekend]]," ",Ruimtestaat[[#This Row],[Vloer code]]))</f>
        <v/>
      </c>
      <c r="BE871" s="300" t="str">
        <f>_xlfn.IFNA(VLOOKUP($BD871,Programma!$F$3:$G$1107,2,0),"")</f>
        <v/>
      </c>
      <c r="BF871" s="300" t="str">
        <f>_xlfn.IFNA(VLOOKUP($BD871,Programma!$F$3:$H$1107,3,0),"")</f>
        <v/>
      </c>
      <c r="BG871" s="300" t="str">
        <f>_xlfn.IFNA(VLOOKUP($BD871,Programma!$F$3:$I$1107,4,0),"")</f>
        <v/>
      </c>
      <c r="BH871" s="300" t="str">
        <f>_xlfn.IFNA(VLOOKUP($BD871,Programma!$F$3:$J$1107,5,0),"")</f>
        <v/>
      </c>
      <c r="BI871" s="300" t="str">
        <f>_xlfn.IFNA(VLOOKUP($BD871,Programma!$F$3:$K$1107,6,0),"")</f>
        <v/>
      </c>
      <c r="BJ871" s="300" t="str">
        <f>_xlfn.IFNA(VLOOKUP($BD871,Programma!$F$3:$L$1107,7,0),"")</f>
        <v/>
      </c>
      <c r="BK871" s="300" t="str">
        <f>_xlfn.IFNA(VLOOKUP($BD871,Programma!$F$3:$M$1107,8,0),"")</f>
        <v/>
      </c>
      <c r="BL871" s="300" t="str">
        <f>_xlfn.IFNA(VLOOKUP($BD871,Programma!$F$3:$N$1107,9,0),"")</f>
        <v/>
      </c>
      <c r="BM871" s="300" t="str">
        <f>_xlfn.IFNA(VLOOKUP($BD871,Programma!$F$3:$O$1107,10,0),"")</f>
        <v/>
      </c>
      <c r="BN871" s="300" t="str">
        <f>_xlfn.IFNA(VLOOKUP($BD871,Programma!$F$3:$P$1107,11,0),"")</f>
        <v/>
      </c>
      <c r="BO871" s="300" t="str">
        <f>_xlfn.IFNA(VLOOKUP($BD871,Programma!$F$3:$Q$1107,12,0),"")</f>
        <v/>
      </c>
      <c r="BP871" s="300" t="str">
        <f>_xlfn.IFNA(VLOOKUP($BD871,Programma!$F$3:$R$1107,13,0),"")</f>
        <v/>
      </c>
      <c r="BQ871" s="300" t="str">
        <f>_xlfn.IFNA(VLOOKUP($BD871,Programma!$F$3:$S$1107,14,0),"")</f>
        <v/>
      </c>
      <c r="BR871" s="300" t="str">
        <f>_xlfn.IFNA(VLOOKUP($BD871,Programma!$F$3:$T$1107,15,0),"")</f>
        <v/>
      </c>
      <c r="BS871" s="300" t="str">
        <f>_xlfn.IFNA(VLOOKUP($BD871,Programma!$F$3:$U$1107,16,0),"")</f>
        <v/>
      </c>
      <c r="BT871" s="300" t="str">
        <f>_xlfn.IFNA(VLOOKUP($BD871,Programma!$F$3:$V$1107,17,0),"")</f>
        <v/>
      </c>
      <c r="BU871" s="300" t="str">
        <f>_xlfn.IFNA(VLOOKUP($BD871,Programma!$F$3:$W$1107,18,0),"")</f>
        <v/>
      </c>
      <c r="BV871" s="300" t="str">
        <f>_xlfn.IFNA(VLOOKUP($BD871,Programma!$F$3:$X$1107,19,0),"")</f>
        <v/>
      </c>
      <c r="BW871" s="300" t="str">
        <f>_xlfn.IFNA(VLOOKUP($BD871,Programma!$F$3:$Y$1107,20,0),"")</f>
        <v/>
      </c>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c r="GK871" s="4"/>
      <c r="GL871" s="4"/>
      <c r="GM871" s="4"/>
      <c r="GN871" s="4"/>
      <c r="GO871" s="4"/>
      <c r="GP871" s="4"/>
      <c r="GQ871" s="4"/>
      <c r="GR871" s="4"/>
      <c r="GS871" s="4"/>
      <c r="GT871" s="4"/>
      <c r="GU871" s="4"/>
      <c r="GV871" s="4"/>
      <c r="GW871" s="4"/>
      <c r="GX871" s="4"/>
      <c r="GY871" s="4"/>
      <c r="GZ871" s="4"/>
      <c r="HA871" s="4"/>
      <c r="HB871" s="4"/>
      <c r="HC871" s="4"/>
      <c r="HD871" s="4"/>
      <c r="HE871" s="4"/>
      <c r="HF871" s="4"/>
      <c r="HG871" s="4"/>
      <c r="HH871" s="4"/>
      <c r="HI871" s="4"/>
      <c r="HJ871" s="4"/>
      <c r="HK871" s="4"/>
      <c r="HL871" s="4"/>
    </row>
    <row r="872" spans="1:220" ht="15" customHeight="1">
      <c r="A872" s="21">
        <v>9</v>
      </c>
      <c r="B872" s="157" t="str">
        <f>VLOOKUP(Ruimtestaat[[#This Row],[Code]],Locaties[[Code]:[Locatie]],2,FALSE)</f>
        <v>Novum-Maartenshal</v>
      </c>
      <c r="C872" s="157" t="str">
        <f>VLOOKUP(Ruimtestaat[[#This Row],[Code]],Locaties[[#All],[Code]:[Adres]],4,FALSE)</f>
        <v>Marcellus Emantslaan 2a</v>
      </c>
      <c r="D872" s="157" t="str">
        <f>VLOOKUP(Ruimtestaat[[#This Row],[Code]],Locaties[[#All],[Code]:[Postcode]],5,FALSE)</f>
        <v>2247 XL</v>
      </c>
      <c r="E872" s="157" t="str">
        <f>VLOOKUP(Ruimtestaat[[#This Row],[Code]],Locaties[#All],6,FALSE)</f>
        <v>Voorburg</v>
      </c>
      <c r="F872" s="62"/>
      <c r="G872" s="21" t="s">
        <v>1632</v>
      </c>
      <c r="H872" s="21" t="s">
        <v>2347</v>
      </c>
      <c r="I872" s="62" t="s">
        <v>2348</v>
      </c>
      <c r="J872" s="21">
        <v>19</v>
      </c>
      <c r="K872" s="62" t="str">
        <f>VLOOKUP(Ruimtestaat[[#This Row],[Ruimte code]],Ruimtegroepen[[#All],[Code]:[Ruimte omschrijving]],2,FALSE)</f>
        <v>kleedruimten</v>
      </c>
      <c r="L872" s="33" t="s">
        <v>102</v>
      </c>
      <c r="M872" s="367" t="s">
        <v>2496</v>
      </c>
      <c r="N872" s="140">
        <v>26.6</v>
      </c>
      <c r="O872" s="140"/>
      <c r="P872" s="125" t="str">
        <f>VLOOKUP(Ruimtestaat[[#This Row],[Ruimte code]],Ruimtegroepen[],4,FALSE)</f>
        <v>Ve</v>
      </c>
      <c r="R872" s="33">
        <v>40</v>
      </c>
      <c r="S872" s="33" t="s">
        <v>2</v>
      </c>
      <c r="T872" s="33">
        <f>IF(R872&gt;0,IF(RIGHT(Ruimtestaat[[#This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2" s="33">
        <f>IF(T872&gt;0,VLOOKUP($J872,Ruimtegroepen[],3,FALSE)*VLOOKUP($L872,Vloersoorten[],3,FALSE)*VLOOKUP($S872,Frequenties[],3,FALSE)*VLOOKUP($A872,Locaties[],3,FALSE),0)</f>
        <v>0</v>
      </c>
      <c r="V872" s="33">
        <f>Ruimtestaat[[#This Row],[Uitvoeringen werkdagen]]*Ruimtestaat[[#This Row],[Oppervlak (netto)]]</f>
        <v>5320</v>
      </c>
      <c r="W872" s="154">
        <f>IF(U872&gt;0,Ruimtestaat[[#This Row],[Prest. (m2 /jaar) werkdagen]]/Ruimtestaat[[#This Row],[Norm (m2/uur) werkdagen]],0)</f>
        <v>0</v>
      </c>
      <c r="X872" s="155">
        <f>Ruimtestaat[[#This Row],[uren / jaar werkdagen]]*Tariefsopbouw!$E$35</f>
        <v>0</v>
      </c>
      <c r="Y872" s="33"/>
      <c r="Z872" s="33">
        <f>IF(Ruimtestaat[[#This Row],[Frequentie weekend]]&gt;0,VALUE(LEFT(Y872,1))*R872,0)</f>
        <v>0</v>
      </c>
      <c r="AA872" s="97">
        <f>IF($Z872&gt;0,VLOOKUP($J872,Ruimtegroepen[],3,FALSE)*VLOOKUP($L872,Vloersoorten[],3,FALSE)*VLOOKUP($Y872,Frequenties[],3,FALSE)*VLOOKUP(Ruimtestaat[[#This Row],[Code]],Locaties[],3,FALSE),0)</f>
        <v>0</v>
      </c>
      <c r="AB872" s="97">
        <f>Ruimtestaat[[#This Row],[Uitvoeringen weekend]]*Ruimtestaat[[#This Row],[Oppervlak (netto)]]</f>
        <v>0</v>
      </c>
      <c r="AC872" s="97">
        <f>IF(AA872&gt;0,Ruimtestaat[[#This Row],[Prest. (m2 /jaar) weekend]]/Ruimtestaat[[#This Row],[Norm (m2/uur) weekend]],0)</f>
        <v>0</v>
      </c>
      <c r="AD872" s="155">
        <f>Ruimtestaat[[#This Row],[uren / jaar weekend]]*Tariefsopbouw!$D$40</f>
        <v>0</v>
      </c>
      <c r="AE872" s="154">
        <f>Ruimtestaat[[#This Row],[Prest. (m2 /jaar) weekend]]+Ruimtestaat[[#This Row],[Prest. (m2 /jaar) werkdagen]]</f>
        <v>5320</v>
      </c>
      <c r="AF872" s="154">
        <f>Ruimtestaat[[#This Row],[uren / jaar weekend]]+Ruimtestaat[[#This Row],[uren / jaar werkdagen]]</f>
        <v>0</v>
      </c>
      <c r="AG872" s="69">
        <f>Ruimtestaat[[#This Row],[kosten / jaar weekend]]+Ruimtestaat[[#This Row],[kosten / jaar werkdagen]]</f>
        <v>0</v>
      </c>
      <c r="AH872" s="69"/>
      <c r="AI872" s="256" t="str">
        <f>IF(Ruimtestaat[[#This Row],[Frequentie werkdagen]]="","",_xlfn.CONCAT(Ruimtestaat[[#This Row],[Ruimte code]],"-",Ruimtestaat[[#This Row],[Frequentie werkdagen]]," ",Ruimtestaat[[#This Row],[Vloer code]]))</f>
        <v>19-5w S</v>
      </c>
      <c r="AJ872" s="300" t="str">
        <f>_xlfn.IFNA(VLOOKUP($AI872,Programma!$F$3:$G$1107,2,0),"")</f>
        <v>_</v>
      </c>
      <c r="AK872" s="300" t="str">
        <f>_xlfn.IFNA(VLOOKUP($AI872,Programma!$F$3:$H$1107,3,0),"")</f>
        <v>_</v>
      </c>
      <c r="AL872" s="300" t="str">
        <f>_xlfn.IFNA(VLOOKUP($AI872,Programma!$F$3:$I$1107,4,0),"")</f>
        <v>5w</v>
      </c>
      <c r="AM872" s="300" t="str">
        <f>_xlfn.IFNA(VLOOKUP($AI872,Programma!$F$3:$J$1107,5,0),"")</f>
        <v>_</v>
      </c>
      <c r="AN872" s="300" t="str">
        <f>_xlfn.IFNA(VLOOKUP($AI872,Programma!$F$3:$K$1107,6,0),"")</f>
        <v>5w</v>
      </c>
      <c r="AO872" s="300" t="str">
        <f>_xlfn.IFNA(VLOOKUP($AI872,Programma!$F$3:$L$1107,7,0),"")</f>
        <v>_</v>
      </c>
      <c r="AP872" s="300" t="str">
        <f>_xlfn.IFNA(VLOOKUP($AI872,Programma!$F$3:$M$1107,8,0),"")</f>
        <v>_</v>
      </c>
      <c r="AQ872" s="300" t="str">
        <f>_xlfn.IFNA(VLOOKUP($AI872,Programma!$F$3:$N$1107,9,0),"")</f>
        <v>_</v>
      </c>
      <c r="AR872" s="300" t="str">
        <f>_xlfn.IFNA(VLOOKUP($AI872,Programma!$F$3:$O$1107,10,0),"")</f>
        <v>5w</v>
      </c>
      <c r="AS872" s="300" t="str">
        <f>_xlfn.IFNA(VLOOKUP($AI872,Programma!$F$3:$P$1107,11,0),"")</f>
        <v>5w</v>
      </c>
      <c r="AT872" s="300" t="str">
        <f>_xlfn.IFNA(VLOOKUP($AI872,Programma!$F$3:$Q$1107,12,0),"")</f>
        <v>1w</v>
      </c>
      <c r="AU872" s="300" t="str">
        <f>_xlfn.IFNA(VLOOKUP($AI872,Programma!$F$3:$R$1107,13,0),"")</f>
        <v>1w</v>
      </c>
      <c r="AV872" s="300" t="str">
        <f>_xlfn.IFNA(VLOOKUP($AI872,Programma!$F$3:$S$1107,14,0),"")</f>
        <v>1m</v>
      </c>
      <c r="AW872" s="300" t="str">
        <f>_xlfn.IFNA(VLOOKUP($AI872,Programma!$F$3:$T$1107,15,0),"")</f>
        <v>2j</v>
      </c>
      <c r="AX872" s="300" t="str">
        <f>_xlfn.IFNA(VLOOKUP($AI872,Programma!$F$3:$U$1107,16,0),"")</f>
        <v>1j</v>
      </c>
      <c r="AY872" s="300" t="str">
        <f>_xlfn.IFNA(VLOOKUP($AI872,Programma!$F$3:$V$1107,17,0),"")</f>
        <v>_</v>
      </c>
      <c r="AZ872" s="300" t="str">
        <f>_xlfn.IFNA(VLOOKUP($AI872,Programma!$F$3:$W$1107,18,0),"")</f>
        <v>_</v>
      </c>
      <c r="BA872" s="300" t="str">
        <f>_xlfn.IFNA(VLOOKUP($AI872,Programma!$F$3:$X$1107,19,0),"")</f>
        <v>_</v>
      </c>
      <c r="BB872" s="300" t="str">
        <f>_xlfn.IFNA(VLOOKUP($AI872,Programma!$F$3:$Y$1107,20,0),"")</f>
        <v>_</v>
      </c>
      <c r="BC872" s="257"/>
      <c r="BD872" s="256" t="str">
        <f>IF(Ruimtestaat[[#This Row],[Frequentie weekend]]="","",_xlfn.CONCAT(Ruimtestaat[[#This Row],[Ruimte code]],"-",Ruimtestaat[[#This Row],[Frequentie weekend]]," ",Ruimtestaat[[#This Row],[Vloer code]]))</f>
        <v/>
      </c>
      <c r="BE872" s="300" t="str">
        <f>_xlfn.IFNA(VLOOKUP($BD872,Programma!$F$3:$G$1107,2,0),"")</f>
        <v/>
      </c>
      <c r="BF872" s="300" t="str">
        <f>_xlfn.IFNA(VLOOKUP($BD872,Programma!$F$3:$H$1107,3,0),"")</f>
        <v/>
      </c>
      <c r="BG872" s="300" t="str">
        <f>_xlfn.IFNA(VLOOKUP($BD872,Programma!$F$3:$I$1107,4,0),"")</f>
        <v/>
      </c>
      <c r="BH872" s="300" t="str">
        <f>_xlfn.IFNA(VLOOKUP($BD872,Programma!$F$3:$J$1107,5,0),"")</f>
        <v/>
      </c>
      <c r="BI872" s="300" t="str">
        <f>_xlfn.IFNA(VLOOKUP($BD872,Programma!$F$3:$K$1107,6,0),"")</f>
        <v/>
      </c>
      <c r="BJ872" s="300" t="str">
        <f>_xlfn.IFNA(VLOOKUP($BD872,Programma!$F$3:$L$1107,7,0),"")</f>
        <v/>
      </c>
      <c r="BK872" s="300" t="str">
        <f>_xlfn.IFNA(VLOOKUP($BD872,Programma!$F$3:$M$1107,8,0),"")</f>
        <v/>
      </c>
      <c r="BL872" s="300" t="str">
        <f>_xlfn.IFNA(VLOOKUP($BD872,Programma!$F$3:$N$1107,9,0),"")</f>
        <v/>
      </c>
      <c r="BM872" s="300" t="str">
        <f>_xlfn.IFNA(VLOOKUP($BD872,Programma!$F$3:$O$1107,10,0),"")</f>
        <v/>
      </c>
      <c r="BN872" s="300" t="str">
        <f>_xlfn.IFNA(VLOOKUP($BD872,Programma!$F$3:$P$1107,11,0),"")</f>
        <v/>
      </c>
      <c r="BO872" s="300" t="str">
        <f>_xlfn.IFNA(VLOOKUP($BD872,Programma!$F$3:$Q$1107,12,0),"")</f>
        <v/>
      </c>
      <c r="BP872" s="300" t="str">
        <f>_xlfn.IFNA(VLOOKUP($BD872,Programma!$F$3:$R$1107,13,0),"")</f>
        <v/>
      </c>
      <c r="BQ872" s="300" t="str">
        <f>_xlfn.IFNA(VLOOKUP($BD872,Programma!$F$3:$S$1107,14,0),"")</f>
        <v/>
      </c>
      <c r="BR872" s="300" t="str">
        <f>_xlfn.IFNA(VLOOKUP($BD872,Programma!$F$3:$T$1107,15,0),"")</f>
        <v/>
      </c>
      <c r="BS872" s="300" t="str">
        <f>_xlfn.IFNA(VLOOKUP($BD872,Programma!$F$3:$U$1107,16,0),"")</f>
        <v/>
      </c>
      <c r="BT872" s="300" t="str">
        <f>_xlfn.IFNA(VLOOKUP($BD872,Programma!$F$3:$V$1107,17,0),"")</f>
        <v/>
      </c>
      <c r="BU872" s="300" t="str">
        <f>_xlfn.IFNA(VLOOKUP($BD872,Programma!$F$3:$W$1107,18,0),"")</f>
        <v/>
      </c>
      <c r="BV872" s="300" t="str">
        <f>_xlfn.IFNA(VLOOKUP($BD872,Programma!$F$3:$X$1107,19,0),"")</f>
        <v/>
      </c>
      <c r="BW872" s="300" t="str">
        <f>_xlfn.IFNA(VLOOKUP($BD872,Programma!$F$3:$Y$1107,20,0),"")</f>
        <v/>
      </c>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c r="GK872" s="4"/>
      <c r="GL872" s="4"/>
      <c r="GM872" s="4"/>
      <c r="GN872" s="4"/>
      <c r="GO872" s="4"/>
      <c r="GP872" s="4"/>
      <c r="GQ872" s="4"/>
      <c r="GR872" s="4"/>
      <c r="GS872" s="4"/>
      <c r="GT872" s="4"/>
      <c r="GU872" s="4"/>
      <c r="GV872" s="4"/>
      <c r="GW872" s="4"/>
      <c r="GX872" s="4"/>
      <c r="GY872" s="4"/>
      <c r="GZ872" s="4"/>
      <c r="HA872" s="4"/>
      <c r="HB872" s="4"/>
      <c r="HC872" s="4"/>
      <c r="HD872" s="4"/>
      <c r="HE872" s="4"/>
      <c r="HF872" s="4"/>
      <c r="HG872" s="4"/>
      <c r="HH872" s="4"/>
      <c r="HI872" s="4"/>
      <c r="HJ872" s="4"/>
      <c r="HK872" s="4"/>
      <c r="HL872" s="4"/>
    </row>
    <row r="873" spans="1:220" ht="15" customHeight="1">
      <c r="A873" s="21">
        <v>9</v>
      </c>
      <c r="B873" s="157" t="str">
        <f>VLOOKUP(Ruimtestaat[[#This Row],[Code]],Locaties[[Code]:[Locatie]],2,FALSE)</f>
        <v>Novum-Maartenshal</v>
      </c>
      <c r="C873" s="157" t="str">
        <f>VLOOKUP(Ruimtestaat[[#This Row],[Code]],Locaties[[#All],[Code]:[Adres]],4,FALSE)</f>
        <v>Marcellus Emantslaan 2a</v>
      </c>
      <c r="D873" s="157" t="str">
        <f>VLOOKUP(Ruimtestaat[[#This Row],[Code]],Locaties[[#All],[Code]:[Postcode]],5,FALSE)</f>
        <v>2247 XL</v>
      </c>
      <c r="E873" s="157" t="str">
        <f>VLOOKUP(Ruimtestaat[[#This Row],[Code]],Locaties[#All],6,FALSE)</f>
        <v>Voorburg</v>
      </c>
      <c r="F873" s="62"/>
      <c r="G873" s="21" t="s">
        <v>1632</v>
      </c>
      <c r="H873" s="21" t="s">
        <v>2349</v>
      </c>
      <c r="I873" s="62" t="s">
        <v>2350</v>
      </c>
      <c r="J873" s="21">
        <v>5</v>
      </c>
      <c r="K873" s="62" t="str">
        <f>VLOOKUP(Ruimtestaat[[#This Row],[Ruimte code]],Ruimtegroepen[[#All],[Code]:[Ruimte omschrijving]],2,FALSE)</f>
        <v>Sanitair</v>
      </c>
      <c r="L873" s="33" t="s">
        <v>102</v>
      </c>
      <c r="M873" s="367" t="s">
        <v>2496</v>
      </c>
      <c r="N873" s="140">
        <v>5.75</v>
      </c>
      <c r="O873" s="140"/>
      <c r="P873" s="125" t="str">
        <f>VLOOKUP(Ruimtestaat[[#This Row],[Ruimte code]],Ruimtegroepen[],4,FALSE)</f>
        <v>Sa</v>
      </c>
      <c r="R873" s="33">
        <v>40</v>
      </c>
      <c r="S873" s="33" t="s">
        <v>2</v>
      </c>
      <c r="T873" s="33">
        <f>IF(R873&gt;0,IF(RIGHT(Ruimtestaat[[#This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3" s="33">
        <f>IF(T873&gt;0,VLOOKUP($J873,Ruimtegroepen[],3,FALSE)*VLOOKUP($L873,Vloersoorten[],3,FALSE)*VLOOKUP($S873,Frequenties[],3,FALSE)*VLOOKUP($A873,Locaties[],3,FALSE),0)</f>
        <v>0</v>
      </c>
      <c r="V873" s="33">
        <f>Ruimtestaat[[#This Row],[Uitvoeringen werkdagen]]*Ruimtestaat[[#This Row],[Oppervlak (netto)]]</f>
        <v>1150</v>
      </c>
      <c r="W873" s="154">
        <f>IF(U873&gt;0,Ruimtestaat[[#This Row],[Prest. (m2 /jaar) werkdagen]]/Ruimtestaat[[#This Row],[Norm (m2/uur) werkdagen]],0)</f>
        <v>0</v>
      </c>
      <c r="X873" s="155">
        <f>Ruimtestaat[[#This Row],[uren / jaar werkdagen]]*Tariefsopbouw!$E$35</f>
        <v>0</v>
      </c>
      <c r="Y873" s="33"/>
      <c r="Z873" s="33">
        <f>IF(Ruimtestaat[[#This Row],[Frequentie weekend]]&gt;0,VALUE(LEFT(Y873,1))*R873,0)</f>
        <v>0</v>
      </c>
      <c r="AA873" s="97">
        <f>IF($Z873&gt;0,VLOOKUP($J873,Ruimtegroepen[],3,FALSE)*VLOOKUP($L873,Vloersoorten[],3,FALSE)*VLOOKUP($Y873,Frequenties[],3,FALSE)*VLOOKUP(Ruimtestaat[[#This Row],[Code]],Locaties[],3,FALSE),0)</f>
        <v>0</v>
      </c>
      <c r="AB873" s="97">
        <f>Ruimtestaat[[#This Row],[Uitvoeringen weekend]]*Ruimtestaat[[#This Row],[Oppervlak (netto)]]</f>
        <v>0</v>
      </c>
      <c r="AC873" s="97">
        <f>IF(AA873&gt;0,Ruimtestaat[[#This Row],[Prest. (m2 /jaar) weekend]]/Ruimtestaat[[#This Row],[Norm (m2/uur) weekend]],0)</f>
        <v>0</v>
      </c>
      <c r="AD873" s="155">
        <f>Ruimtestaat[[#This Row],[uren / jaar weekend]]*Tariefsopbouw!$D$40</f>
        <v>0</v>
      </c>
      <c r="AE873" s="154">
        <f>Ruimtestaat[[#This Row],[Prest. (m2 /jaar) weekend]]+Ruimtestaat[[#This Row],[Prest. (m2 /jaar) werkdagen]]</f>
        <v>1150</v>
      </c>
      <c r="AF873" s="154">
        <f>Ruimtestaat[[#This Row],[uren / jaar weekend]]+Ruimtestaat[[#This Row],[uren / jaar werkdagen]]</f>
        <v>0</v>
      </c>
      <c r="AG873" s="69">
        <f>Ruimtestaat[[#This Row],[kosten / jaar weekend]]+Ruimtestaat[[#This Row],[kosten / jaar werkdagen]]</f>
        <v>0</v>
      </c>
      <c r="AH873" s="69"/>
      <c r="AI873" s="256" t="str">
        <f>IF(Ruimtestaat[[#This Row],[Frequentie werkdagen]]="","",_xlfn.CONCAT(Ruimtestaat[[#This Row],[Ruimte code]],"-",Ruimtestaat[[#This Row],[Frequentie werkdagen]]," ",Ruimtestaat[[#This Row],[Vloer code]]))</f>
        <v>5-5w S</v>
      </c>
      <c r="AJ873" s="300" t="str">
        <f>_xlfn.IFNA(VLOOKUP($AI873,Programma!$F$3:$G$1107,2,0),"")</f>
        <v>_</v>
      </c>
      <c r="AK873" s="300" t="str">
        <f>_xlfn.IFNA(VLOOKUP($AI873,Programma!$F$3:$H$1107,3,0),"")</f>
        <v>_</v>
      </c>
      <c r="AL873" s="300" t="str">
        <f>_xlfn.IFNA(VLOOKUP($AI873,Programma!$F$3:$I$1107,4,0),"")</f>
        <v>_</v>
      </c>
      <c r="AM873" s="300" t="str">
        <f>_xlfn.IFNA(VLOOKUP($AI873,Programma!$F$3:$J$1107,5,0),"")</f>
        <v>4w</v>
      </c>
      <c r="AN873" s="300" t="str">
        <f>_xlfn.IFNA(VLOOKUP($AI873,Programma!$F$3:$K$1107,6,0),"")</f>
        <v>1w</v>
      </c>
      <c r="AO873" s="300" t="str">
        <f>_xlfn.IFNA(VLOOKUP($AI873,Programma!$F$3:$L$1107,7,0),"")</f>
        <v>_</v>
      </c>
      <c r="AP873" s="300" t="str">
        <f>_xlfn.IFNA(VLOOKUP($AI873,Programma!$F$3:$M$1107,8,0),"")</f>
        <v>_</v>
      </c>
      <c r="AQ873" s="300" t="str">
        <f>_xlfn.IFNA(VLOOKUP($AI873,Programma!$F$3:$N$1107,9,0),"")</f>
        <v>_</v>
      </c>
      <c r="AR873" s="300" t="str">
        <f>_xlfn.IFNA(VLOOKUP($AI873,Programma!$F$3:$O$1107,10,0),"")</f>
        <v>_</v>
      </c>
      <c r="AS873" s="300" t="str">
        <f>_xlfn.IFNA(VLOOKUP($AI873,Programma!$F$3:$P$1107,11,0),"")</f>
        <v>_</v>
      </c>
      <c r="AT873" s="300" t="str">
        <f>_xlfn.IFNA(VLOOKUP($AI873,Programma!$F$3:$Q$1107,12,0),"")</f>
        <v>_</v>
      </c>
      <c r="AU873" s="300" t="str">
        <f>_xlfn.IFNA(VLOOKUP($AI873,Programma!$F$3:$R$1107,13,0),"")</f>
        <v>_</v>
      </c>
      <c r="AV873" s="300" t="str">
        <f>_xlfn.IFNA(VLOOKUP($AI873,Programma!$F$3:$S$1107,14,0),"")</f>
        <v>_</v>
      </c>
      <c r="AW873" s="300" t="str">
        <f>_xlfn.IFNA(VLOOKUP($AI873,Programma!$F$3:$T$1107,15,0),"")</f>
        <v>_</v>
      </c>
      <c r="AX873" s="300" t="str">
        <f>_xlfn.IFNA(VLOOKUP($AI873,Programma!$F$3:$U$1107,16,0),"")</f>
        <v>_</v>
      </c>
      <c r="AY873" s="300" t="str">
        <f>_xlfn.IFNA(VLOOKUP($AI873,Programma!$F$3:$V$1107,17,0),"")</f>
        <v>_</v>
      </c>
      <c r="AZ873" s="300" t="str">
        <f>_xlfn.IFNA(VLOOKUP($AI873,Programma!$F$3:$W$1107,18,0),"")</f>
        <v>4w</v>
      </c>
      <c r="BA873" s="300" t="str">
        <f>_xlfn.IFNA(VLOOKUP($AI873,Programma!$F$3:$X$1107,19,0),"")</f>
        <v>1w</v>
      </c>
      <c r="BB873" s="300" t="str">
        <f>_xlfn.IFNA(VLOOKUP($AI873,Programma!$F$3:$Y$1107,20,0),"")</f>
        <v>_</v>
      </c>
      <c r="BC873" s="257"/>
      <c r="BD873" s="256" t="str">
        <f>IF(Ruimtestaat[[#This Row],[Frequentie weekend]]="","",_xlfn.CONCAT(Ruimtestaat[[#This Row],[Ruimte code]],"-",Ruimtestaat[[#This Row],[Frequentie weekend]]," ",Ruimtestaat[[#This Row],[Vloer code]]))</f>
        <v/>
      </c>
      <c r="BE873" s="300" t="str">
        <f>_xlfn.IFNA(VLOOKUP($BD873,Programma!$F$3:$G$1107,2,0),"")</f>
        <v/>
      </c>
      <c r="BF873" s="300" t="str">
        <f>_xlfn.IFNA(VLOOKUP($BD873,Programma!$F$3:$H$1107,3,0),"")</f>
        <v/>
      </c>
      <c r="BG873" s="300" t="str">
        <f>_xlfn.IFNA(VLOOKUP($BD873,Programma!$F$3:$I$1107,4,0),"")</f>
        <v/>
      </c>
      <c r="BH873" s="300" t="str">
        <f>_xlfn.IFNA(VLOOKUP($BD873,Programma!$F$3:$J$1107,5,0),"")</f>
        <v/>
      </c>
      <c r="BI873" s="300" t="str">
        <f>_xlfn.IFNA(VLOOKUP($BD873,Programma!$F$3:$K$1107,6,0),"")</f>
        <v/>
      </c>
      <c r="BJ873" s="300" t="str">
        <f>_xlfn.IFNA(VLOOKUP($BD873,Programma!$F$3:$L$1107,7,0),"")</f>
        <v/>
      </c>
      <c r="BK873" s="300" t="str">
        <f>_xlfn.IFNA(VLOOKUP($BD873,Programma!$F$3:$M$1107,8,0),"")</f>
        <v/>
      </c>
      <c r="BL873" s="300" t="str">
        <f>_xlfn.IFNA(VLOOKUP($BD873,Programma!$F$3:$N$1107,9,0),"")</f>
        <v/>
      </c>
      <c r="BM873" s="300" t="str">
        <f>_xlfn.IFNA(VLOOKUP($BD873,Programma!$F$3:$O$1107,10,0),"")</f>
        <v/>
      </c>
      <c r="BN873" s="300" t="str">
        <f>_xlfn.IFNA(VLOOKUP($BD873,Programma!$F$3:$P$1107,11,0),"")</f>
        <v/>
      </c>
      <c r="BO873" s="300" t="str">
        <f>_xlfn.IFNA(VLOOKUP($BD873,Programma!$F$3:$Q$1107,12,0),"")</f>
        <v/>
      </c>
      <c r="BP873" s="300" t="str">
        <f>_xlfn.IFNA(VLOOKUP($BD873,Programma!$F$3:$R$1107,13,0),"")</f>
        <v/>
      </c>
      <c r="BQ873" s="300" t="str">
        <f>_xlfn.IFNA(VLOOKUP($BD873,Programma!$F$3:$S$1107,14,0),"")</f>
        <v/>
      </c>
      <c r="BR873" s="300" t="str">
        <f>_xlfn.IFNA(VLOOKUP($BD873,Programma!$F$3:$T$1107,15,0),"")</f>
        <v/>
      </c>
      <c r="BS873" s="300" t="str">
        <f>_xlfn.IFNA(VLOOKUP($BD873,Programma!$F$3:$U$1107,16,0),"")</f>
        <v/>
      </c>
      <c r="BT873" s="300" t="str">
        <f>_xlfn.IFNA(VLOOKUP($BD873,Programma!$F$3:$V$1107,17,0),"")</f>
        <v/>
      </c>
      <c r="BU873" s="300" t="str">
        <f>_xlfn.IFNA(VLOOKUP($BD873,Programma!$F$3:$W$1107,18,0),"")</f>
        <v/>
      </c>
      <c r="BV873" s="300" t="str">
        <f>_xlfn.IFNA(VLOOKUP($BD873,Programma!$F$3:$X$1107,19,0),"")</f>
        <v/>
      </c>
      <c r="BW873" s="300" t="str">
        <f>_xlfn.IFNA(VLOOKUP($BD873,Programma!$F$3:$Y$1107,20,0),"")</f>
        <v/>
      </c>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c r="GK873" s="4"/>
      <c r="GL873" s="4"/>
      <c r="GM873" s="4"/>
      <c r="GN873" s="4"/>
      <c r="GO873" s="4"/>
      <c r="GP873" s="4"/>
      <c r="GQ873" s="4"/>
      <c r="GR873" s="4"/>
      <c r="GS873" s="4"/>
      <c r="GT873" s="4"/>
      <c r="GU873" s="4"/>
      <c r="GV873" s="4"/>
      <c r="GW873" s="4"/>
      <c r="GX873" s="4"/>
      <c r="GY873" s="4"/>
      <c r="GZ873" s="4"/>
      <c r="HA873" s="4"/>
      <c r="HB873" s="4"/>
      <c r="HC873" s="4"/>
      <c r="HD873" s="4"/>
      <c r="HE873" s="4"/>
      <c r="HF873" s="4"/>
      <c r="HG873" s="4"/>
      <c r="HH873" s="4"/>
      <c r="HI873" s="4"/>
      <c r="HJ873" s="4"/>
      <c r="HK873" s="4"/>
      <c r="HL873" s="4"/>
    </row>
    <row r="874" spans="1:220" ht="15" customHeight="1">
      <c r="A874" s="21">
        <v>9</v>
      </c>
      <c r="B874" s="157" t="str">
        <f>VLOOKUP(Ruimtestaat[[#This Row],[Code]],Locaties[[Code]:[Locatie]],2,FALSE)</f>
        <v>Novum-Maartenshal</v>
      </c>
      <c r="C874" s="157" t="str">
        <f>VLOOKUP(Ruimtestaat[[#This Row],[Code]],Locaties[[#All],[Code]:[Adres]],4,FALSE)</f>
        <v>Marcellus Emantslaan 2a</v>
      </c>
      <c r="D874" s="157" t="str">
        <f>VLOOKUP(Ruimtestaat[[#This Row],[Code]],Locaties[[#All],[Code]:[Postcode]],5,FALSE)</f>
        <v>2247 XL</v>
      </c>
      <c r="E874" s="157" t="str">
        <f>VLOOKUP(Ruimtestaat[[#This Row],[Code]],Locaties[#All],6,FALSE)</f>
        <v>Voorburg</v>
      </c>
      <c r="F874" s="62"/>
      <c r="G874" s="21" t="s">
        <v>1632</v>
      </c>
      <c r="H874" s="21" t="s">
        <v>2351</v>
      </c>
      <c r="I874" s="62" t="s">
        <v>1763</v>
      </c>
      <c r="J874" s="21">
        <v>20</v>
      </c>
      <c r="K874" s="62" t="str">
        <f>VLOOKUP(Ruimtestaat[[#This Row],[Ruimte code]],Ruimtegroepen[[#All],[Code]:[Ruimte omschrijving]],2,FALSE)</f>
        <v>Niet in Onderhoud</v>
      </c>
      <c r="L874" s="33" t="s">
        <v>102</v>
      </c>
      <c r="M874" s="367" t="s">
        <v>2496</v>
      </c>
      <c r="N874" s="140"/>
      <c r="O874" s="140">
        <v>1.72</v>
      </c>
      <c r="P874" s="125">
        <f>VLOOKUP(Ruimtestaat[[#This Row],[Ruimte code]],Ruimtegroepen[],4,FALSE)</f>
        <v>0</v>
      </c>
      <c r="R874" s="33"/>
      <c r="S874" s="33"/>
      <c r="T874" s="33">
        <f>IF(R874&gt;0,IF(RIGHT(Ruimtestaat[[#This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74" s="33">
        <f>IF(T874&gt;0,VLOOKUP($J874,Ruimtegroepen[],3,FALSE)*VLOOKUP($L874,Vloersoorten[],3,FALSE)*VLOOKUP($S874,Frequenties[],3,FALSE)*VLOOKUP($A874,Locaties[],3,FALSE),0)</f>
        <v>0</v>
      </c>
      <c r="V874" s="33">
        <f>Ruimtestaat[[#This Row],[Uitvoeringen werkdagen]]*Ruimtestaat[[#This Row],[Oppervlak (netto)]]</f>
        <v>0</v>
      </c>
      <c r="W874" s="154">
        <f>IF(U874&gt;0,Ruimtestaat[[#This Row],[Prest. (m2 /jaar) werkdagen]]/Ruimtestaat[[#This Row],[Norm (m2/uur) werkdagen]],0)</f>
        <v>0</v>
      </c>
      <c r="X874" s="155">
        <f>Ruimtestaat[[#This Row],[uren / jaar werkdagen]]*Tariefsopbouw!$E$35</f>
        <v>0</v>
      </c>
      <c r="Y874" s="33"/>
      <c r="Z874" s="33">
        <f>IF(Ruimtestaat[[#This Row],[Frequentie weekend]]&gt;0,VALUE(LEFT(Y874,1))*R874,0)</f>
        <v>0</v>
      </c>
      <c r="AA874" s="97">
        <f>IF($Z874&gt;0,VLOOKUP($J874,Ruimtegroepen[],3,FALSE)*VLOOKUP($L874,Vloersoorten[],3,FALSE)*VLOOKUP($Y874,Frequenties[],3,FALSE)*VLOOKUP(Ruimtestaat[[#This Row],[Code]],Locaties[],3,FALSE),0)</f>
        <v>0</v>
      </c>
      <c r="AB874" s="97">
        <f>Ruimtestaat[[#This Row],[Uitvoeringen weekend]]*Ruimtestaat[[#This Row],[Oppervlak (netto)]]</f>
        <v>0</v>
      </c>
      <c r="AC874" s="97">
        <f>IF(AA874&gt;0,Ruimtestaat[[#This Row],[Prest. (m2 /jaar) weekend]]/Ruimtestaat[[#This Row],[Norm (m2/uur) weekend]],0)</f>
        <v>0</v>
      </c>
      <c r="AD874" s="155">
        <f>Ruimtestaat[[#This Row],[uren / jaar weekend]]*Tariefsopbouw!$D$40</f>
        <v>0</v>
      </c>
      <c r="AE874" s="154">
        <f>Ruimtestaat[[#This Row],[Prest. (m2 /jaar) weekend]]+Ruimtestaat[[#This Row],[Prest. (m2 /jaar) werkdagen]]</f>
        <v>0</v>
      </c>
      <c r="AF874" s="154">
        <f>Ruimtestaat[[#This Row],[uren / jaar weekend]]+Ruimtestaat[[#This Row],[uren / jaar werkdagen]]</f>
        <v>0</v>
      </c>
      <c r="AG874" s="69">
        <f>Ruimtestaat[[#This Row],[kosten / jaar weekend]]+Ruimtestaat[[#This Row],[kosten / jaar werkdagen]]</f>
        <v>0</v>
      </c>
      <c r="AH874" s="69"/>
      <c r="AI874" s="256" t="str">
        <f>IF(Ruimtestaat[[#This Row],[Frequentie werkdagen]]="","",_xlfn.CONCAT(Ruimtestaat[[#This Row],[Ruimte code]],"-",Ruimtestaat[[#This Row],[Frequentie werkdagen]]," ",Ruimtestaat[[#This Row],[Vloer code]]))</f>
        <v/>
      </c>
      <c r="AJ874" s="300" t="str">
        <f>_xlfn.IFNA(VLOOKUP($AI874,Programma!$F$3:$G$1107,2,0),"")</f>
        <v/>
      </c>
      <c r="AK874" s="300" t="str">
        <f>_xlfn.IFNA(VLOOKUP($AI874,Programma!$F$3:$H$1107,3,0),"")</f>
        <v/>
      </c>
      <c r="AL874" s="300" t="str">
        <f>_xlfn.IFNA(VLOOKUP($AI874,Programma!$F$3:$I$1107,4,0),"")</f>
        <v/>
      </c>
      <c r="AM874" s="300" t="str">
        <f>_xlfn.IFNA(VLOOKUP($AI874,Programma!$F$3:$J$1107,5,0),"")</f>
        <v/>
      </c>
      <c r="AN874" s="300" t="str">
        <f>_xlfn.IFNA(VLOOKUP($AI874,Programma!$F$3:$K$1107,6,0),"")</f>
        <v/>
      </c>
      <c r="AO874" s="300" t="str">
        <f>_xlfn.IFNA(VLOOKUP($AI874,Programma!$F$3:$L$1107,7,0),"")</f>
        <v/>
      </c>
      <c r="AP874" s="300" t="str">
        <f>_xlfn.IFNA(VLOOKUP($AI874,Programma!$F$3:$M$1107,8,0),"")</f>
        <v/>
      </c>
      <c r="AQ874" s="300" t="str">
        <f>_xlfn.IFNA(VLOOKUP($AI874,Programma!$F$3:$N$1107,9,0),"")</f>
        <v/>
      </c>
      <c r="AR874" s="300" t="str">
        <f>_xlfn.IFNA(VLOOKUP($AI874,Programma!$F$3:$O$1107,10,0),"")</f>
        <v/>
      </c>
      <c r="AS874" s="300" t="str">
        <f>_xlfn.IFNA(VLOOKUP($AI874,Programma!$F$3:$P$1107,11,0),"")</f>
        <v/>
      </c>
      <c r="AT874" s="300" t="str">
        <f>_xlfn.IFNA(VLOOKUP($AI874,Programma!$F$3:$Q$1107,12,0),"")</f>
        <v/>
      </c>
      <c r="AU874" s="300" t="str">
        <f>_xlfn.IFNA(VLOOKUP($AI874,Programma!$F$3:$R$1107,13,0),"")</f>
        <v/>
      </c>
      <c r="AV874" s="300" t="str">
        <f>_xlfn.IFNA(VLOOKUP($AI874,Programma!$F$3:$S$1107,14,0),"")</f>
        <v/>
      </c>
      <c r="AW874" s="300" t="str">
        <f>_xlfn.IFNA(VLOOKUP($AI874,Programma!$F$3:$T$1107,15,0),"")</f>
        <v/>
      </c>
      <c r="AX874" s="300" t="str">
        <f>_xlfn.IFNA(VLOOKUP($AI874,Programma!$F$3:$U$1107,16,0),"")</f>
        <v/>
      </c>
      <c r="AY874" s="300" t="str">
        <f>_xlfn.IFNA(VLOOKUP($AI874,Programma!$F$3:$V$1107,17,0),"")</f>
        <v/>
      </c>
      <c r="AZ874" s="300" t="str">
        <f>_xlfn.IFNA(VLOOKUP($AI874,Programma!$F$3:$W$1107,18,0),"")</f>
        <v/>
      </c>
      <c r="BA874" s="300" t="str">
        <f>_xlfn.IFNA(VLOOKUP($AI874,Programma!$F$3:$X$1107,19,0),"")</f>
        <v/>
      </c>
      <c r="BB874" s="300" t="str">
        <f>_xlfn.IFNA(VLOOKUP($AI874,Programma!$F$3:$Y$1107,20,0),"")</f>
        <v/>
      </c>
      <c r="BC874" s="257"/>
      <c r="BD874" s="256" t="str">
        <f>IF(Ruimtestaat[[#This Row],[Frequentie weekend]]="","",_xlfn.CONCAT(Ruimtestaat[[#This Row],[Ruimte code]],"-",Ruimtestaat[[#This Row],[Frequentie weekend]]," ",Ruimtestaat[[#This Row],[Vloer code]]))</f>
        <v/>
      </c>
      <c r="BE874" s="300" t="str">
        <f>_xlfn.IFNA(VLOOKUP($BD874,Programma!$F$3:$G$1107,2,0),"")</f>
        <v/>
      </c>
      <c r="BF874" s="300" t="str">
        <f>_xlfn.IFNA(VLOOKUP($BD874,Programma!$F$3:$H$1107,3,0),"")</f>
        <v/>
      </c>
      <c r="BG874" s="300" t="str">
        <f>_xlfn.IFNA(VLOOKUP($BD874,Programma!$F$3:$I$1107,4,0),"")</f>
        <v/>
      </c>
      <c r="BH874" s="300" t="str">
        <f>_xlfn.IFNA(VLOOKUP($BD874,Programma!$F$3:$J$1107,5,0),"")</f>
        <v/>
      </c>
      <c r="BI874" s="300" t="str">
        <f>_xlfn.IFNA(VLOOKUP($BD874,Programma!$F$3:$K$1107,6,0),"")</f>
        <v/>
      </c>
      <c r="BJ874" s="300" t="str">
        <f>_xlfn.IFNA(VLOOKUP($BD874,Programma!$F$3:$L$1107,7,0),"")</f>
        <v/>
      </c>
      <c r="BK874" s="300" t="str">
        <f>_xlfn.IFNA(VLOOKUP($BD874,Programma!$F$3:$M$1107,8,0),"")</f>
        <v/>
      </c>
      <c r="BL874" s="300" t="str">
        <f>_xlfn.IFNA(VLOOKUP($BD874,Programma!$F$3:$N$1107,9,0),"")</f>
        <v/>
      </c>
      <c r="BM874" s="300" t="str">
        <f>_xlfn.IFNA(VLOOKUP($BD874,Programma!$F$3:$O$1107,10,0),"")</f>
        <v/>
      </c>
      <c r="BN874" s="300" t="str">
        <f>_xlfn.IFNA(VLOOKUP($BD874,Programma!$F$3:$P$1107,11,0),"")</f>
        <v/>
      </c>
      <c r="BO874" s="300" t="str">
        <f>_xlfn.IFNA(VLOOKUP($BD874,Programma!$F$3:$Q$1107,12,0),"")</f>
        <v/>
      </c>
      <c r="BP874" s="300" t="str">
        <f>_xlfn.IFNA(VLOOKUP($BD874,Programma!$F$3:$R$1107,13,0),"")</f>
        <v/>
      </c>
      <c r="BQ874" s="300" t="str">
        <f>_xlfn.IFNA(VLOOKUP($BD874,Programma!$F$3:$S$1107,14,0),"")</f>
        <v/>
      </c>
      <c r="BR874" s="300" t="str">
        <f>_xlfn.IFNA(VLOOKUP($BD874,Programma!$F$3:$T$1107,15,0),"")</f>
        <v/>
      </c>
      <c r="BS874" s="300" t="str">
        <f>_xlfn.IFNA(VLOOKUP($BD874,Programma!$F$3:$U$1107,16,0),"")</f>
        <v/>
      </c>
      <c r="BT874" s="300" t="str">
        <f>_xlfn.IFNA(VLOOKUP($BD874,Programma!$F$3:$V$1107,17,0),"")</f>
        <v/>
      </c>
      <c r="BU874" s="300" t="str">
        <f>_xlfn.IFNA(VLOOKUP($BD874,Programma!$F$3:$W$1107,18,0),"")</f>
        <v/>
      </c>
      <c r="BV874" s="300" t="str">
        <f>_xlfn.IFNA(VLOOKUP($BD874,Programma!$F$3:$X$1107,19,0),"")</f>
        <v/>
      </c>
      <c r="BW874" s="300" t="str">
        <f>_xlfn.IFNA(VLOOKUP($BD874,Programma!$F$3:$Y$1107,20,0),"")</f>
        <v/>
      </c>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c r="GK874" s="4"/>
      <c r="GL874" s="4"/>
      <c r="GM874" s="4"/>
      <c r="GN874" s="4"/>
      <c r="GO874" s="4"/>
      <c r="GP874" s="4"/>
      <c r="GQ874" s="4"/>
      <c r="GR874" s="4"/>
      <c r="GS874" s="4"/>
      <c r="GT874" s="4"/>
      <c r="GU874" s="4"/>
      <c r="GV874" s="4"/>
      <c r="GW874" s="4"/>
      <c r="GX874" s="4"/>
      <c r="GY874" s="4"/>
      <c r="GZ874" s="4"/>
      <c r="HA874" s="4"/>
      <c r="HB874" s="4"/>
      <c r="HC874" s="4"/>
      <c r="HD874" s="4"/>
      <c r="HE874" s="4"/>
      <c r="HF874" s="4"/>
      <c r="HG874" s="4"/>
      <c r="HH874" s="4"/>
      <c r="HI874" s="4"/>
      <c r="HJ874" s="4"/>
      <c r="HK874" s="4"/>
      <c r="HL874" s="4"/>
    </row>
    <row r="875" spans="1:220" ht="15" customHeight="1">
      <c r="A875" s="21">
        <v>9</v>
      </c>
      <c r="B875" s="157" t="str">
        <f>VLOOKUP(Ruimtestaat[[#This Row],[Code]],Locaties[[Code]:[Locatie]],2,FALSE)</f>
        <v>Novum-Maartenshal</v>
      </c>
      <c r="C875" s="157" t="str">
        <f>VLOOKUP(Ruimtestaat[[#This Row],[Code]],Locaties[[#All],[Code]:[Adres]],4,FALSE)</f>
        <v>Marcellus Emantslaan 2a</v>
      </c>
      <c r="D875" s="157" t="str">
        <f>VLOOKUP(Ruimtestaat[[#This Row],[Code]],Locaties[[#All],[Code]:[Postcode]],5,FALSE)</f>
        <v>2247 XL</v>
      </c>
      <c r="E875" s="157" t="str">
        <f>VLOOKUP(Ruimtestaat[[#This Row],[Code]],Locaties[#All],6,FALSE)</f>
        <v>Voorburg</v>
      </c>
      <c r="F875" s="62"/>
      <c r="G875" s="21" t="s">
        <v>1632</v>
      </c>
      <c r="H875" s="21" t="s">
        <v>2352</v>
      </c>
      <c r="I875" s="62" t="s">
        <v>2353</v>
      </c>
      <c r="J875" s="21">
        <v>5</v>
      </c>
      <c r="K875" s="62" t="str">
        <f>VLOOKUP(Ruimtestaat[[#This Row],[Ruimte code]],Ruimtegroepen[[#All],[Code]:[Ruimte omschrijving]],2,FALSE)</f>
        <v>Sanitair</v>
      </c>
      <c r="L875" s="33" t="s">
        <v>102</v>
      </c>
      <c r="M875" s="367" t="s">
        <v>2496</v>
      </c>
      <c r="N875" s="140">
        <v>5.0599999999999996</v>
      </c>
      <c r="O875" s="140"/>
      <c r="P875" s="125" t="str">
        <f>VLOOKUP(Ruimtestaat[[#This Row],[Ruimte code]],Ruimtegroepen[],4,FALSE)</f>
        <v>Sa</v>
      </c>
      <c r="R875" s="33">
        <v>40</v>
      </c>
      <c r="S875" s="33" t="s">
        <v>2</v>
      </c>
      <c r="T875" s="33">
        <f>IF(R875&gt;0,IF(RIGHT(Ruimtestaat[[#This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5" s="33">
        <f>IF(T875&gt;0,VLOOKUP($J875,Ruimtegroepen[],3,FALSE)*VLOOKUP($L875,Vloersoorten[],3,FALSE)*VLOOKUP($S875,Frequenties[],3,FALSE)*VLOOKUP($A875,Locaties[],3,FALSE),0)</f>
        <v>0</v>
      </c>
      <c r="V875" s="33">
        <f>Ruimtestaat[[#This Row],[Uitvoeringen werkdagen]]*Ruimtestaat[[#This Row],[Oppervlak (netto)]]</f>
        <v>1011.9999999999999</v>
      </c>
      <c r="W875" s="154">
        <f>IF(U875&gt;0,Ruimtestaat[[#This Row],[Prest. (m2 /jaar) werkdagen]]/Ruimtestaat[[#This Row],[Norm (m2/uur) werkdagen]],0)</f>
        <v>0</v>
      </c>
      <c r="X875" s="155">
        <f>Ruimtestaat[[#This Row],[uren / jaar werkdagen]]*Tariefsopbouw!$E$35</f>
        <v>0</v>
      </c>
      <c r="Y875" s="33"/>
      <c r="Z875" s="33">
        <f>IF(Ruimtestaat[[#This Row],[Frequentie weekend]]&gt;0,VALUE(LEFT(Y875,1))*R875,0)</f>
        <v>0</v>
      </c>
      <c r="AA875" s="97">
        <f>IF($Z875&gt;0,VLOOKUP($J875,Ruimtegroepen[],3,FALSE)*VLOOKUP($L875,Vloersoorten[],3,FALSE)*VLOOKUP($Y875,Frequenties[],3,FALSE)*VLOOKUP(Ruimtestaat[[#This Row],[Code]],Locaties[],3,FALSE),0)</f>
        <v>0</v>
      </c>
      <c r="AB875" s="97">
        <f>Ruimtestaat[[#This Row],[Uitvoeringen weekend]]*Ruimtestaat[[#This Row],[Oppervlak (netto)]]</f>
        <v>0</v>
      </c>
      <c r="AC875" s="97">
        <f>IF(AA875&gt;0,Ruimtestaat[[#This Row],[Prest. (m2 /jaar) weekend]]/Ruimtestaat[[#This Row],[Norm (m2/uur) weekend]],0)</f>
        <v>0</v>
      </c>
      <c r="AD875" s="155">
        <f>Ruimtestaat[[#This Row],[uren / jaar weekend]]*Tariefsopbouw!$D$40</f>
        <v>0</v>
      </c>
      <c r="AE875" s="154">
        <f>Ruimtestaat[[#This Row],[Prest. (m2 /jaar) weekend]]+Ruimtestaat[[#This Row],[Prest. (m2 /jaar) werkdagen]]</f>
        <v>1011.9999999999999</v>
      </c>
      <c r="AF875" s="154">
        <f>Ruimtestaat[[#This Row],[uren / jaar weekend]]+Ruimtestaat[[#This Row],[uren / jaar werkdagen]]</f>
        <v>0</v>
      </c>
      <c r="AG875" s="69">
        <f>Ruimtestaat[[#This Row],[kosten / jaar weekend]]+Ruimtestaat[[#This Row],[kosten / jaar werkdagen]]</f>
        <v>0</v>
      </c>
      <c r="AH875" s="69"/>
      <c r="AI875" s="256" t="str">
        <f>IF(Ruimtestaat[[#This Row],[Frequentie werkdagen]]="","",_xlfn.CONCAT(Ruimtestaat[[#This Row],[Ruimte code]],"-",Ruimtestaat[[#This Row],[Frequentie werkdagen]]," ",Ruimtestaat[[#This Row],[Vloer code]]))</f>
        <v>5-5w S</v>
      </c>
      <c r="AJ875" s="300" t="str">
        <f>_xlfn.IFNA(VLOOKUP($AI875,Programma!$F$3:$G$1107,2,0),"")</f>
        <v>_</v>
      </c>
      <c r="AK875" s="300" t="str">
        <f>_xlfn.IFNA(VLOOKUP($AI875,Programma!$F$3:$H$1107,3,0),"")</f>
        <v>_</v>
      </c>
      <c r="AL875" s="300" t="str">
        <f>_xlfn.IFNA(VLOOKUP($AI875,Programma!$F$3:$I$1107,4,0),"")</f>
        <v>_</v>
      </c>
      <c r="AM875" s="300" t="str">
        <f>_xlfn.IFNA(VLOOKUP($AI875,Programma!$F$3:$J$1107,5,0),"")</f>
        <v>4w</v>
      </c>
      <c r="AN875" s="300" t="str">
        <f>_xlfn.IFNA(VLOOKUP($AI875,Programma!$F$3:$K$1107,6,0),"")</f>
        <v>1w</v>
      </c>
      <c r="AO875" s="300" t="str">
        <f>_xlfn.IFNA(VLOOKUP($AI875,Programma!$F$3:$L$1107,7,0),"")</f>
        <v>_</v>
      </c>
      <c r="AP875" s="300" t="str">
        <f>_xlfn.IFNA(VLOOKUP($AI875,Programma!$F$3:$M$1107,8,0),"")</f>
        <v>_</v>
      </c>
      <c r="AQ875" s="300" t="str">
        <f>_xlfn.IFNA(VLOOKUP($AI875,Programma!$F$3:$N$1107,9,0),"")</f>
        <v>_</v>
      </c>
      <c r="AR875" s="300" t="str">
        <f>_xlfn.IFNA(VLOOKUP($AI875,Programma!$F$3:$O$1107,10,0),"")</f>
        <v>_</v>
      </c>
      <c r="AS875" s="300" t="str">
        <f>_xlfn.IFNA(VLOOKUP($AI875,Programma!$F$3:$P$1107,11,0),"")</f>
        <v>_</v>
      </c>
      <c r="AT875" s="300" t="str">
        <f>_xlfn.IFNA(VLOOKUP($AI875,Programma!$F$3:$Q$1107,12,0),"")</f>
        <v>_</v>
      </c>
      <c r="AU875" s="300" t="str">
        <f>_xlfn.IFNA(VLOOKUP($AI875,Programma!$F$3:$R$1107,13,0),"")</f>
        <v>_</v>
      </c>
      <c r="AV875" s="300" t="str">
        <f>_xlfn.IFNA(VLOOKUP($AI875,Programma!$F$3:$S$1107,14,0),"")</f>
        <v>_</v>
      </c>
      <c r="AW875" s="300" t="str">
        <f>_xlfn.IFNA(VLOOKUP($AI875,Programma!$F$3:$T$1107,15,0),"")</f>
        <v>_</v>
      </c>
      <c r="AX875" s="300" t="str">
        <f>_xlfn.IFNA(VLOOKUP($AI875,Programma!$F$3:$U$1107,16,0),"")</f>
        <v>_</v>
      </c>
      <c r="AY875" s="300" t="str">
        <f>_xlfn.IFNA(VLOOKUP($AI875,Programma!$F$3:$V$1107,17,0),"")</f>
        <v>_</v>
      </c>
      <c r="AZ875" s="300" t="str">
        <f>_xlfn.IFNA(VLOOKUP($AI875,Programma!$F$3:$W$1107,18,0),"")</f>
        <v>4w</v>
      </c>
      <c r="BA875" s="300" t="str">
        <f>_xlfn.IFNA(VLOOKUP($AI875,Programma!$F$3:$X$1107,19,0),"")</f>
        <v>1w</v>
      </c>
      <c r="BB875" s="300" t="str">
        <f>_xlfn.IFNA(VLOOKUP($AI875,Programma!$F$3:$Y$1107,20,0),"")</f>
        <v>_</v>
      </c>
      <c r="BC875" s="257"/>
      <c r="BD875" s="256" t="str">
        <f>IF(Ruimtestaat[[#This Row],[Frequentie weekend]]="","",_xlfn.CONCAT(Ruimtestaat[[#This Row],[Ruimte code]],"-",Ruimtestaat[[#This Row],[Frequentie weekend]]," ",Ruimtestaat[[#This Row],[Vloer code]]))</f>
        <v/>
      </c>
      <c r="BE875" s="300" t="str">
        <f>_xlfn.IFNA(VLOOKUP($BD875,Programma!$F$3:$G$1107,2,0),"")</f>
        <v/>
      </c>
      <c r="BF875" s="300" t="str">
        <f>_xlfn.IFNA(VLOOKUP($BD875,Programma!$F$3:$H$1107,3,0),"")</f>
        <v/>
      </c>
      <c r="BG875" s="300" t="str">
        <f>_xlfn.IFNA(VLOOKUP($BD875,Programma!$F$3:$I$1107,4,0),"")</f>
        <v/>
      </c>
      <c r="BH875" s="300" t="str">
        <f>_xlfn.IFNA(VLOOKUP($BD875,Programma!$F$3:$J$1107,5,0),"")</f>
        <v/>
      </c>
      <c r="BI875" s="300" t="str">
        <f>_xlfn.IFNA(VLOOKUP($BD875,Programma!$F$3:$K$1107,6,0),"")</f>
        <v/>
      </c>
      <c r="BJ875" s="300" t="str">
        <f>_xlfn.IFNA(VLOOKUP($BD875,Programma!$F$3:$L$1107,7,0),"")</f>
        <v/>
      </c>
      <c r="BK875" s="300" t="str">
        <f>_xlfn.IFNA(VLOOKUP($BD875,Programma!$F$3:$M$1107,8,0),"")</f>
        <v/>
      </c>
      <c r="BL875" s="300" t="str">
        <f>_xlfn.IFNA(VLOOKUP($BD875,Programma!$F$3:$N$1107,9,0),"")</f>
        <v/>
      </c>
      <c r="BM875" s="300" t="str">
        <f>_xlfn.IFNA(VLOOKUP($BD875,Programma!$F$3:$O$1107,10,0),"")</f>
        <v/>
      </c>
      <c r="BN875" s="300" t="str">
        <f>_xlfn.IFNA(VLOOKUP($BD875,Programma!$F$3:$P$1107,11,0),"")</f>
        <v/>
      </c>
      <c r="BO875" s="300" t="str">
        <f>_xlfn.IFNA(VLOOKUP($BD875,Programma!$F$3:$Q$1107,12,0),"")</f>
        <v/>
      </c>
      <c r="BP875" s="300" t="str">
        <f>_xlfn.IFNA(VLOOKUP($BD875,Programma!$F$3:$R$1107,13,0),"")</f>
        <v/>
      </c>
      <c r="BQ875" s="300" t="str">
        <f>_xlfn.IFNA(VLOOKUP($BD875,Programma!$F$3:$S$1107,14,0),"")</f>
        <v/>
      </c>
      <c r="BR875" s="300" t="str">
        <f>_xlfn.IFNA(VLOOKUP($BD875,Programma!$F$3:$T$1107,15,0),"")</f>
        <v/>
      </c>
      <c r="BS875" s="300" t="str">
        <f>_xlfn.IFNA(VLOOKUP($BD875,Programma!$F$3:$U$1107,16,0),"")</f>
        <v/>
      </c>
      <c r="BT875" s="300" t="str">
        <f>_xlfn.IFNA(VLOOKUP($BD875,Programma!$F$3:$V$1107,17,0),"")</f>
        <v/>
      </c>
      <c r="BU875" s="300" t="str">
        <f>_xlfn.IFNA(VLOOKUP($BD875,Programma!$F$3:$W$1107,18,0),"")</f>
        <v/>
      </c>
      <c r="BV875" s="300" t="str">
        <f>_xlfn.IFNA(VLOOKUP($BD875,Programma!$F$3:$X$1107,19,0),"")</f>
        <v/>
      </c>
      <c r="BW875" s="300" t="str">
        <f>_xlfn.IFNA(VLOOKUP($BD875,Programma!$F$3:$Y$1107,20,0),"")</f>
        <v/>
      </c>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c r="GK875" s="4"/>
      <c r="GL875" s="4"/>
      <c r="GM875" s="4"/>
      <c r="GN875" s="4"/>
      <c r="GO875" s="4"/>
      <c r="GP875" s="4"/>
      <c r="GQ875" s="4"/>
      <c r="GR875" s="4"/>
      <c r="GS875" s="4"/>
      <c r="GT875" s="4"/>
      <c r="GU875" s="4"/>
      <c r="GV875" s="4"/>
      <c r="GW875" s="4"/>
      <c r="GX875" s="4"/>
      <c r="GY875" s="4"/>
      <c r="GZ875" s="4"/>
      <c r="HA875" s="4"/>
      <c r="HB875" s="4"/>
      <c r="HC875" s="4"/>
      <c r="HD875" s="4"/>
      <c r="HE875" s="4"/>
      <c r="HF875" s="4"/>
      <c r="HG875" s="4"/>
      <c r="HH875" s="4"/>
      <c r="HI875" s="4"/>
      <c r="HJ875" s="4"/>
      <c r="HK875" s="4"/>
      <c r="HL875" s="4"/>
    </row>
    <row r="876" spans="1:220" ht="15" customHeight="1">
      <c r="A876" s="21">
        <v>9</v>
      </c>
      <c r="B876" s="157" t="str">
        <f>VLOOKUP(Ruimtestaat[[#This Row],[Code]],Locaties[[Code]:[Locatie]],2,FALSE)</f>
        <v>Novum-Maartenshal</v>
      </c>
      <c r="C876" s="157" t="str">
        <f>VLOOKUP(Ruimtestaat[[#This Row],[Code]],Locaties[[#All],[Code]:[Adres]],4,FALSE)</f>
        <v>Marcellus Emantslaan 2a</v>
      </c>
      <c r="D876" s="157" t="str">
        <f>VLOOKUP(Ruimtestaat[[#This Row],[Code]],Locaties[[#All],[Code]:[Postcode]],5,FALSE)</f>
        <v>2247 XL</v>
      </c>
      <c r="E876" s="157" t="str">
        <f>VLOOKUP(Ruimtestaat[[#This Row],[Code]],Locaties[#All],6,FALSE)</f>
        <v>Voorburg</v>
      </c>
      <c r="F876" s="62"/>
      <c r="G876" s="21" t="s">
        <v>1632</v>
      </c>
      <c r="H876" s="21" t="s">
        <v>2354</v>
      </c>
      <c r="I876" s="62" t="s">
        <v>2355</v>
      </c>
      <c r="J876" s="21">
        <v>19</v>
      </c>
      <c r="K876" s="62" t="str">
        <f>VLOOKUP(Ruimtestaat[[#This Row],[Ruimte code]],Ruimtegroepen[[#All],[Code]:[Ruimte omschrijving]],2,FALSE)</f>
        <v>kleedruimten</v>
      </c>
      <c r="L876" s="33" t="s">
        <v>102</v>
      </c>
      <c r="M876" s="367" t="s">
        <v>2496</v>
      </c>
      <c r="N876" s="140">
        <v>26.53</v>
      </c>
      <c r="O876" s="140"/>
      <c r="P876" s="125" t="str">
        <f>VLOOKUP(Ruimtestaat[[#This Row],[Ruimte code]],Ruimtegroepen[],4,FALSE)</f>
        <v>Ve</v>
      </c>
      <c r="R876" s="33">
        <v>40</v>
      </c>
      <c r="S876" s="33" t="s">
        <v>2</v>
      </c>
      <c r="T876" s="33">
        <f>IF(R876&gt;0,IF(RIGHT(Ruimtestaat[[#This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6" s="33">
        <f>IF(T876&gt;0,VLOOKUP($J876,Ruimtegroepen[],3,FALSE)*VLOOKUP($L876,Vloersoorten[],3,FALSE)*VLOOKUP($S876,Frequenties[],3,FALSE)*VLOOKUP($A876,Locaties[],3,FALSE),0)</f>
        <v>0</v>
      </c>
      <c r="V876" s="33">
        <f>Ruimtestaat[[#This Row],[Uitvoeringen werkdagen]]*Ruimtestaat[[#This Row],[Oppervlak (netto)]]</f>
        <v>5306</v>
      </c>
      <c r="W876" s="154">
        <f>IF(U876&gt;0,Ruimtestaat[[#This Row],[Prest. (m2 /jaar) werkdagen]]/Ruimtestaat[[#This Row],[Norm (m2/uur) werkdagen]],0)</f>
        <v>0</v>
      </c>
      <c r="X876" s="155">
        <f>Ruimtestaat[[#This Row],[uren / jaar werkdagen]]*Tariefsopbouw!$E$35</f>
        <v>0</v>
      </c>
      <c r="Y876" s="33"/>
      <c r="Z876" s="33">
        <f>IF(Ruimtestaat[[#This Row],[Frequentie weekend]]&gt;0,VALUE(LEFT(Y876,1))*R876,0)</f>
        <v>0</v>
      </c>
      <c r="AA876" s="97">
        <f>IF($Z876&gt;0,VLOOKUP($J876,Ruimtegroepen[],3,FALSE)*VLOOKUP($L876,Vloersoorten[],3,FALSE)*VLOOKUP($Y876,Frequenties[],3,FALSE)*VLOOKUP(Ruimtestaat[[#This Row],[Code]],Locaties[],3,FALSE),0)</f>
        <v>0</v>
      </c>
      <c r="AB876" s="97">
        <f>Ruimtestaat[[#This Row],[Uitvoeringen weekend]]*Ruimtestaat[[#This Row],[Oppervlak (netto)]]</f>
        <v>0</v>
      </c>
      <c r="AC876" s="97">
        <f>IF(AA876&gt;0,Ruimtestaat[[#This Row],[Prest. (m2 /jaar) weekend]]/Ruimtestaat[[#This Row],[Norm (m2/uur) weekend]],0)</f>
        <v>0</v>
      </c>
      <c r="AD876" s="155">
        <f>Ruimtestaat[[#This Row],[uren / jaar weekend]]*Tariefsopbouw!$D$40</f>
        <v>0</v>
      </c>
      <c r="AE876" s="154">
        <f>Ruimtestaat[[#This Row],[Prest. (m2 /jaar) weekend]]+Ruimtestaat[[#This Row],[Prest. (m2 /jaar) werkdagen]]</f>
        <v>5306</v>
      </c>
      <c r="AF876" s="154">
        <f>Ruimtestaat[[#This Row],[uren / jaar weekend]]+Ruimtestaat[[#This Row],[uren / jaar werkdagen]]</f>
        <v>0</v>
      </c>
      <c r="AG876" s="69">
        <f>Ruimtestaat[[#This Row],[kosten / jaar weekend]]+Ruimtestaat[[#This Row],[kosten / jaar werkdagen]]</f>
        <v>0</v>
      </c>
      <c r="AH876" s="69"/>
      <c r="AI876" s="256" t="str">
        <f>IF(Ruimtestaat[[#This Row],[Frequentie werkdagen]]="","",_xlfn.CONCAT(Ruimtestaat[[#This Row],[Ruimte code]],"-",Ruimtestaat[[#This Row],[Frequentie werkdagen]]," ",Ruimtestaat[[#This Row],[Vloer code]]))</f>
        <v>19-5w S</v>
      </c>
      <c r="AJ876" s="300" t="str">
        <f>_xlfn.IFNA(VLOOKUP($AI876,Programma!$F$3:$G$1107,2,0),"")</f>
        <v>_</v>
      </c>
      <c r="AK876" s="300" t="str">
        <f>_xlfn.IFNA(VLOOKUP($AI876,Programma!$F$3:$H$1107,3,0),"")</f>
        <v>_</v>
      </c>
      <c r="AL876" s="300" t="str">
        <f>_xlfn.IFNA(VLOOKUP($AI876,Programma!$F$3:$I$1107,4,0),"")</f>
        <v>5w</v>
      </c>
      <c r="AM876" s="300" t="str">
        <f>_xlfn.IFNA(VLOOKUP($AI876,Programma!$F$3:$J$1107,5,0),"")</f>
        <v>_</v>
      </c>
      <c r="AN876" s="300" t="str">
        <f>_xlfn.IFNA(VLOOKUP($AI876,Programma!$F$3:$K$1107,6,0),"")</f>
        <v>5w</v>
      </c>
      <c r="AO876" s="300" t="str">
        <f>_xlfn.IFNA(VLOOKUP($AI876,Programma!$F$3:$L$1107,7,0),"")</f>
        <v>_</v>
      </c>
      <c r="AP876" s="300" t="str">
        <f>_xlfn.IFNA(VLOOKUP($AI876,Programma!$F$3:$M$1107,8,0),"")</f>
        <v>_</v>
      </c>
      <c r="AQ876" s="300" t="str">
        <f>_xlfn.IFNA(VLOOKUP($AI876,Programma!$F$3:$N$1107,9,0),"")</f>
        <v>_</v>
      </c>
      <c r="AR876" s="300" t="str">
        <f>_xlfn.IFNA(VLOOKUP($AI876,Programma!$F$3:$O$1107,10,0),"")</f>
        <v>5w</v>
      </c>
      <c r="AS876" s="300" t="str">
        <f>_xlfn.IFNA(VLOOKUP($AI876,Programma!$F$3:$P$1107,11,0),"")</f>
        <v>5w</v>
      </c>
      <c r="AT876" s="300" t="str">
        <f>_xlfn.IFNA(VLOOKUP($AI876,Programma!$F$3:$Q$1107,12,0),"")</f>
        <v>1w</v>
      </c>
      <c r="AU876" s="300" t="str">
        <f>_xlfn.IFNA(VLOOKUP($AI876,Programma!$F$3:$R$1107,13,0),"")</f>
        <v>1w</v>
      </c>
      <c r="AV876" s="300" t="str">
        <f>_xlfn.IFNA(VLOOKUP($AI876,Programma!$F$3:$S$1107,14,0),"")</f>
        <v>1m</v>
      </c>
      <c r="AW876" s="300" t="str">
        <f>_xlfn.IFNA(VLOOKUP($AI876,Programma!$F$3:$T$1107,15,0),"")</f>
        <v>2j</v>
      </c>
      <c r="AX876" s="300" t="str">
        <f>_xlfn.IFNA(VLOOKUP($AI876,Programma!$F$3:$U$1107,16,0),"")</f>
        <v>1j</v>
      </c>
      <c r="AY876" s="300" t="str">
        <f>_xlfn.IFNA(VLOOKUP($AI876,Programma!$F$3:$V$1107,17,0),"")</f>
        <v>_</v>
      </c>
      <c r="AZ876" s="300" t="str">
        <f>_xlfn.IFNA(VLOOKUP($AI876,Programma!$F$3:$W$1107,18,0),"")</f>
        <v>_</v>
      </c>
      <c r="BA876" s="300" t="str">
        <f>_xlfn.IFNA(VLOOKUP($AI876,Programma!$F$3:$X$1107,19,0),"")</f>
        <v>_</v>
      </c>
      <c r="BB876" s="300" t="str">
        <f>_xlfn.IFNA(VLOOKUP($AI876,Programma!$F$3:$Y$1107,20,0),"")</f>
        <v>_</v>
      </c>
      <c r="BC876" s="257"/>
      <c r="BD876" s="256" t="str">
        <f>IF(Ruimtestaat[[#This Row],[Frequentie weekend]]="","",_xlfn.CONCAT(Ruimtestaat[[#This Row],[Ruimte code]],"-",Ruimtestaat[[#This Row],[Frequentie weekend]]," ",Ruimtestaat[[#This Row],[Vloer code]]))</f>
        <v/>
      </c>
      <c r="BE876" s="300" t="str">
        <f>_xlfn.IFNA(VLOOKUP($BD876,Programma!$F$3:$G$1107,2,0),"")</f>
        <v/>
      </c>
      <c r="BF876" s="300" t="str">
        <f>_xlfn.IFNA(VLOOKUP($BD876,Programma!$F$3:$H$1107,3,0),"")</f>
        <v/>
      </c>
      <c r="BG876" s="300" t="str">
        <f>_xlfn.IFNA(VLOOKUP($BD876,Programma!$F$3:$I$1107,4,0),"")</f>
        <v/>
      </c>
      <c r="BH876" s="300" t="str">
        <f>_xlfn.IFNA(VLOOKUP($BD876,Programma!$F$3:$J$1107,5,0),"")</f>
        <v/>
      </c>
      <c r="BI876" s="300" t="str">
        <f>_xlfn.IFNA(VLOOKUP($BD876,Programma!$F$3:$K$1107,6,0),"")</f>
        <v/>
      </c>
      <c r="BJ876" s="300" t="str">
        <f>_xlfn.IFNA(VLOOKUP($BD876,Programma!$F$3:$L$1107,7,0),"")</f>
        <v/>
      </c>
      <c r="BK876" s="300" t="str">
        <f>_xlfn.IFNA(VLOOKUP($BD876,Programma!$F$3:$M$1107,8,0),"")</f>
        <v/>
      </c>
      <c r="BL876" s="300" t="str">
        <f>_xlfn.IFNA(VLOOKUP($BD876,Programma!$F$3:$N$1107,9,0),"")</f>
        <v/>
      </c>
      <c r="BM876" s="300" t="str">
        <f>_xlfn.IFNA(VLOOKUP($BD876,Programma!$F$3:$O$1107,10,0),"")</f>
        <v/>
      </c>
      <c r="BN876" s="300" t="str">
        <f>_xlfn.IFNA(VLOOKUP($BD876,Programma!$F$3:$P$1107,11,0),"")</f>
        <v/>
      </c>
      <c r="BO876" s="300" t="str">
        <f>_xlfn.IFNA(VLOOKUP($BD876,Programma!$F$3:$Q$1107,12,0),"")</f>
        <v/>
      </c>
      <c r="BP876" s="300" t="str">
        <f>_xlfn.IFNA(VLOOKUP($BD876,Programma!$F$3:$R$1107,13,0),"")</f>
        <v/>
      </c>
      <c r="BQ876" s="300" t="str">
        <f>_xlfn.IFNA(VLOOKUP($BD876,Programma!$F$3:$S$1107,14,0),"")</f>
        <v/>
      </c>
      <c r="BR876" s="300" t="str">
        <f>_xlfn.IFNA(VLOOKUP($BD876,Programma!$F$3:$T$1107,15,0),"")</f>
        <v/>
      </c>
      <c r="BS876" s="300" t="str">
        <f>_xlfn.IFNA(VLOOKUP($BD876,Programma!$F$3:$U$1107,16,0),"")</f>
        <v/>
      </c>
      <c r="BT876" s="300" t="str">
        <f>_xlfn.IFNA(VLOOKUP($BD876,Programma!$F$3:$V$1107,17,0),"")</f>
        <v/>
      </c>
      <c r="BU876" s="300" t="str">
        <f>_xlfn.IFNA(VLOOKUP($BD876,Programma!$F$3:$W$1107,18,0),"")</f>
        <v/>
      </c>
      <c r="BV876" s="300" t="str">
        <f>_xlfn.IFNA(VLOOKUP($BD876,Programma!$F$3:$X$1107,19,0),"")</f>
        <v/>
      </c>
      <c r="BW876" s="300" t="str">
        <f>_xlfn.IFNA(VLOOKUP($BD876,Programma!$F$3:$Y$1107,20,0),"")</f>
        <v/>
      </c>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c r="GK876" s="4"/>
      <c r="GL876" s="4"/>
      <c r="GM876" s="4"/>
      <c r="GN876" s="4"/>
      <c r="GO876" s="4"/>
      <c r="GP876" s="4"/>
      <c r="GQ876" s="4"/>
      <c r="GR876" s="4"/>
      <c r="GS876" s="4"/>
      <c r="GT876" s="4"/>
      <c r="GU876" s="4"/>
      <c r="GV876" s="4"/>
      <c r="GW876" s="4"/>
      <c r="GX876" s="4"/>
      <c r="GY876" s="4"/>
      <c r="GZ876" s="4"/>
      <c r="HA876" s="4"/>
      <c r="HB876" s="4"/>
      <c r="HC876" s="4"/>
      <c r="HD876" s="4"/>
      <c r="HE876" s="4"/>
      <c r="HF876" s="4"/>
      <c r="HG876" s="4"/>
      <c r="HH876" s="4"/>
      <c r="HI876" s="4"/>
      <c r="HJ876" s="4"/>
      <c r="HK876" s="4"/>
      <c r="HL876" s="4"/>
    </row>
    <row r="877" spans="1:220" ht="15" customHeight="1">
      <c r="A877" s="21">
        <v>9</v>
      </c>
      <c r="B877" s="157" t="str">
        <f>VLOOKUP(Ruimtestaat[[#This Row],[Code]],Locaties[[Code]:[Locatie]],2,FALSE)</f>
        <v>Novum-Maartenshal</v>
      </c>
      <c r="C877" s="157" t="str">
        <f>VLOOKUP(Ruimtestaat[[#This Row],[Code]],Locaties[[#All],[Code]:[Adres]],4,FALSE)</f>
        <v>Marcellus Emantslaan 2a</v>
      </c>
      <c r="D877" s="157" t="str">
        <f>VLOOKUP(Ruimtestaat[[#This Row],[Code]],Locaties[[#All],[Code]:[Postcode]],5,FALSE)</f>
        <v>2247 XL</v>
      </c>
      <c r="E877" s="157" t="str">
        <f>VLOOKUP(Ruimtestaat[[#This Row],[Code]],Locaties[#All],6,FALSE)</f>
        <v>Voorburg</v>
      </c>
      <c r="F877" s="62"/>
      <c r="G877" s="21" t="s">
        <v>1632</v>
      </c>
      <c r="H877" s="21" t="s">
        <v>2356</v>
      </c>
      <c r="I877" s="62" t="s">
        <v>1921</v>
      </c>
      <c r="J877" s="21">
        <v>5</v>
      </c>
      <c r="K877" s="62" t="str">
        <f>VLOOKUP(Ruimtestaat[[#This Row],[Ruimte code]],Ruimtegroepen[[#All],[Code]:[Ruimte omschrijving]],2,FALSE)</f>
        <v>Sanitair</v>
      </c>
      <c r="L877" s="33" t="s">
        <v>102</v>
      </c>
      <c r="M877" s="367" t="s">
        <v>2496</v>
      </c>
      <c r="N877" s="140">
        <v>4.7699999999999996</v>
      </c>
      <c r="O877" s="140"/>
      <c r="P877" s="125" t="str">
        <f>VLOOKUP(Ruimtestaat[[#This Row],[Ruimte code]],Ruimtegroepen[],4,FALSE)</f>
        <v>Sa</v>
      </c>
      <c r="R877" s="33">
        <v>40</v>
      </c>
      <c r="S877" s="33" t="s">
        <v>2</v>
      </c>
      <c r="T877" s="33">
        <f>IF(R877&gt;0,IF(RIGHT(Ruimtestaat[[#This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7" s="33">
        <f>IF(T877&gt;0,VLOOKUP($J877,Ruimtegroepen[],3,FALSE)*VLOOKUP($L877,Vloersoorten[],3,FALSE)*VLOOKUP($S877,Frequenties[],3,FALSE)*VLOOKUP($A877,Locaties[],3,FALSE),0)</f>
        <v>0</v>
      </c>
      <c r="V877" s="33">
        <f>Ruimtestaat[[#This Row],[Uitvoeringen werkdagen]]*Ruimtestaat[[#This Row],[Oppervlak (netto)]]</f>
        <v>953.99999999999989</v>
      </c>
      <c r="W877" s="154">
        <f>IF(U877&gt;0,Ruimtestaat[[#This Row],[Prest. (m2 /jaar) werkdagen]]/Ruimtestaat[[#This Row],[Norm (m2/uur) werkdagen]],0)</f>
        <v>0</v>
      </c>
      <c r="X877" s="155">
        <f>Ruimtestaat[[#This Row],[uren / jaar werkdagen]]*Tariefsopbouw!$E$35</f>
        <v>0</v>
      </c>
      <c r="Y877" s="33"/>
      <c r="Z877" s="33">
        <f>IF(Ruimtestaat[[#This Row],[Frequentie weekend]]&gt;0,VALUE(LEFT(Y877,1))*R877,0)</f>
        <v>0</v>
      </c>
      <c r="AA877" s="97">
        <f>IF($Z877&gt;0,VLOOKUP($J877,Ruimtegroepen[],3,FALSE)*VLOOKUP($L877,Vloersoorten[],3,FALSE)*VLOOKUP($Y877,Frequenties[],3,FALSE)*VLOOKUP(Ruimtestaat[[#This Row],[Code]],Locaties[],3,FALSE),0)</f>
        <v>0</v>
      </c>
      <c r="AB877" s="97">
        <f>Ruimtestaat[[#This Row],[Uitvoeringen weekend]]*Ruimtestaat[[#This Row],[Oppervlak (netto)]]</f>
        <v>0</v>
      </c>
      <c r="AC877" s="97">
        <f>IF(AA877&gt;0,Ruimtestaat[[#This Row],[Prest. (m2 /jaar) weekend]]/Ruimtestaat[[#This Row],[Norm (m2/uur) weekend]],0)</f>
        <v>0</v>
      </c>
      <c r="AD877" s="155">
        <f>Ruimtestaat[[#This Row],[uren / jaar weekend]]*Tariefsopbouw!$D$40</f>
        <v>0</v>
      </c>
      <c r="AE877" s="154">
        <f>Ruimtestaat[[#This Row],[Prest. (m2 /jaar) weekend]]+Ruimtestaat[[#This Row],[Prest. (m2 /jaar) werkdagen]]</f>
        <v>953.99999999999989</v>
      </c>
      <c r="AF877" s="154">
        <f>Ruimtestaat[[#This Row],[uren / jaar weekend]]+Ruimtestaat[[#This Row],[uren / jaar werkdagen]]</f>
        <v>0</v>
      </c>
      <c r="AG877" s="69">
        <f>Ruimtestaat[[#This Row],[kosten / jaar weekend]]+Ruimtestaat[[#This Row],[kosten / jaar werkdagen]]</f>
        <v>0</v>
      </c>
      <c r="AH877" s="69"/>
      <c r="AI877" s="256" t="str">
        <f>IF(Ruimtestaat[[#This Row],[Frequentie werkdagen]]="","",_xlfn.CONCAT(Ruimtestaat[[#This Row],[Ruimte code]],"-",Ruimtestaat[[#This Row],[Frequentie werkdagen]]," ",Ruimtestaat[[#This Row],[Vloer code]]))</f>
        <v>5-5w S</v>
      </c>
      <c r="AJ877" s="300" t="str">
        <f>_xlfn.IFNA(VLOOKUP($AI877,Programma!$F$3:$G$1107,2,0),"")</f>
        <v>_</v>
      </c>
      <c r="AK877" s="300" t="str">
        <f>_xlfn.IFNA(VLOOKUP($AI877,Programma!$F$3:$H$1107,3,0),"")</f>
        <v>_</v>
      </c>
      <c r="AL877" s="300" t="str">
        <f>_xlfn.IFNA(VLOOKUP($AI877,Programma!$F$3:$I$1107,4,0),"")</f>
        <v>_</v>
      </c>
      <c r="AM877" s="300" t="str">
        <f>_xlfn.IFNA(VLOOKUP($AI877,Programma!$F$3:$J$1107,5,0),"")</f>
        <v>4w</v>
      </c>
      <c r="AN877" s="300" t="str">
        <f>_xlfn.IFNA(VLOOKUP($AI877,Programma!$F$3:$K$1107,6,0),"")</f>
        <v>1w</v>
      </c>
      <c r="AO877" s="300" t="str">
        <f>_xlfn.IFNA(VLOOKUP($AI877,Programma!$F$3:$L$1107,7,0),"")</f>
        <v>_</v>
      </c>
      <c r="AP877" s="300" t="str">
        <f>_xlfn.IFNA(VLOOKUP($AI877,Programma!$F$3:$M$1107,8,0),"")</f>
        <v>_</v>
      </c>
      <c r="AQ877" s="300" t="str">
        <f>_xlfn.IFNA(VLOOKUP($AI877,Programma!$F$3:$N$1107,9,0),"")</f>
        <v>_</v>
      </c>
      <c r="AR877" s="300" t="str">
        <f>_xlfn.IFNA(VLOOKUP($AI877,Programma!$F$3:$O$1107,10,0),"")</f>
        <v>_</v>
      </c>
      <c r="AS877" s="300" t="str">
        <f>_xlfn.IFNA(VLOOKUP($AI877,Programma!$F$3:$P$1107,11,0),"")</f>
        <v>_</v>
      </c>
      <c r="AT877" s="300" t="str">
        <f>_xlfn.IFNA(VLOOKUP($AI877,Programma!$F$3:$Q$1107,12,0),"")</f>
        <v>_</v>
      </c>
      <c r="AU877" s="300" t="str">
        <f>_xlfn.IFNA(VLOOKUP($AI877,Programma!$F$3:$R$1107,13,0),"")</f>
        <v>_</v>
      </c>
      <c r="AV877" s="300" t="str">
        <f>_xlfn.IFNA(VLOOKUP($AI877,Programma!$F$3:$S$1107,14,0),"")</f>
        <v>_</v>
      </c>
      <c r="AW877" s="300" t="str">
        <f>_xlfn.IFNA(VLOOKUP($AI877,Programma!$F$3:$T$1107,15,0),"")</f>
        <v>_</v>
      </c>
      <c r="AX877" s="300" t="str">
        <f>_xlfn.IFNA(VLOOKUP($AI877,Programma!$F$3:$U$1107,16,0),"")</f>
        <v>_</v>
      </c>
      <c r="AY877" s="300" t="str">
        <f>_xlfn.IFNA(VLOOKUP($AI877,Programma!$F$3:$V$1107,17,0),"")</f>
        <v>_</v>
      </c>
      <c r="AZ877" s="300" t="str">
        <f>_xlfn.IFNA(VLOOKUP($AI877,Programma!$F$3:$W$1107,18,0),"")</f>
        <v>4w</v>
      </c>
      <c r="BA877" s="300" t="str">
        <f>_xlfn.IFNA(VLOOKUP($AI877,Programma!$F$3:$X$1107,19,0),"")</f>
        <v>1w</v>
      </c>
      <c r="BB877" s="300" t="str">
        <f>_xlfn.IFNA(VLOOKUP($AI877,Programma!$F$3:$Y$1107,20,0),"")</f>
        <v>_</v>
      </c>
      <c r="BC877" s="257"/>
      <c r="BD877" s="256" t="str">
        <f>IF(Ruimtestaat[[#This Row],[Frequentie weekend]]="","",_xlfn.CONCAT(Ruimtestaat[[#This Row],[Ruimte code]],"-",Ruimtestaat[[#This Row],[Frequentie weekend]]," ",Ruimtestaat[[#This Row],[Vloer code]]))</f>
        <v/>
      </c>
      <c r="BE877" s="300" t="str">
        <f>_xlfn.IFNA(VLOOKUP($BD877,Programma!$F$3:$G$1107,2,0),"")</f>
        <v/>
      </c>
      <c r="BF877" s="300" t="str">
        <f>_xlfn.IFNA(VLOOKUP($BD877,Programma!$F$3:$H$1107,3,0),"")</f>
        <v/>
      </c>
      <c r="BG877" s="300" t="str">
        <f>_xlfn.IFNA(VLOOKUP($BD877,Programma!$F$3:$I$1107,4,0),"")</f>
        <v/>
      </c>
      <c r="BH877" s="300" t="str">
        <f>_xlfn.IFNA(VLOOKUP($BD877,Programma!$F$3:$J$1107,5,0),"")</f>
        <v/>
      </c>
      <c r="BI877" s="300" t="str">
        <f>_xlfn.IFNA(VLOOKUP($BD877,Programma!$F$3:$K$1107,6,0),"")</f>
        <v/>
      </c>
      <c r="BJ877" s="300" t="str">
        <f>_xlfn.IFNA(VLOOKUP($BD877,Programma!$F$3:$L$1107,7,0),"")</f>
        <v/>
      </c>
      <c r="BK877" s="300" t="str">
        <f>_xlfn.IFNA(VLOOKUP($BD877,Programma!$F$3:$M$1107,8,0),"")</f>
        <v/>
      </c>
      <c r="BL877" s="300" t="str">
        <f>_xlfn.IFNA(VLOOKUP($BD877,Programma!$F$3:$N$1107,9,0),"")</f>
        <v/>
      </c>
      <c r="BM877" s="300" t="str">
        <f>_xlfn.IFNA(VLOOKUP($BD877,Programma!$F$3:$O$1107,10,0),"")</f>
        <v/>
      </c>
      <c r="BN877" s="300" t="str">
        <f>_xlfn.IFNA(VLOOKUP($BD877,Programma!$F$3:$P$1107,11,0),"")</f>
        <v/>
      </c>
      <c r="BO877" s="300" t="str">
        <f>_xlfn.IFNA(VLOOKUP($BD877,Programma!$F$3:$Q$1107,12,0),"")</f>
        <v/>
      </c>
      <c r="BP877" s="300" t="str">
        <f>_xlfn.IFNA(VLOOKUP($BD877,Programma!$F$3:$R$1107,13,0),"")</f>
        <v/>
      </c>
      <c r="BQ877" s="300" t="str">
        <f>_xlfn.IFNA(VLOOKUP($BD877,Programma!$F$3:$S$1107,14,0),"")</f>
        <v/>
      </c>
      <c r="BR877" s="300" t="str">
        <f>_xlfn.IFNA(VLOOKUP($BD877,Programma!$F$3:$T$1107,15,0),"")</f>
        <v/>
      </c>
      <c r="BS877" s="300" t="str">
        <f>_xlfn.IFNA(VLOOKUP($BD877,Programma!$F$3:$U$1107,16,0),"")</f>
        <v/>
      </c>
      <c r="BT877" s="300" t="str">
        <f>_xlfn.IFNA(VLOOKUP($BD877,Programma!$F$3:$V$1107,17,0),"")</f>
        <v/>
      </c>
      <c r="BU877" s="300" t="str">
        <f>_xlfn.IFNA(VLOOKUP($BD877,Programma!$F$3:$W$1107,18,0),"")</f>
        <v/>
      </c>
      <c r="BV877" s="300" t="str">
        <f>_xlfn.IFNA(VLOOKUP($BD877,Programma!$F$3:$X$1107,19,0),"")</f>
        <v/>
      </c>
      <c r="BW877" s="300" t="str">
        <f>_xlfn.IFNA(VLOOKUP($BD877,Programma!$F$3:$Y$1107,20,0),"")</f>
        <v/>
      </c>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c r="GK877" s="4"/>
      <c r="GL877" s="4"/>
      <c r="GM877" s="4"/>
      <c r="GN877" s="4"/>
      <c r="GO877" s="4"/>
      <c r="GP877" s="4"/>
      <c r="GQ877" s="4"/>
      <c r="GR877" s="4"/>
      <c r="GS877" s="4"/>
      <c r="GT877" s="4"/>
      <c r="GU877" s="4"/>
      <c r="GV877" s="4"/>
      <c r="GW877" s="4"/>
      <c r="GX877" s="4"/>
      <c r="GY877" s="4"/>
      <c r="GZ877" s="4"/>
      <c r="HA877" s="4"/>
      <c r="HB877" s="4"/>
      <c r="HC877" s="4"/>
      <c r="HD877" s="4"/>
      <c r="HE877" s="4"/>
      <c r="HF877" s="4"/>
      <c r="HG877" s="4"/>
      <c r="HH877" s="4"/>
      <c r="HI877" s="4"/>
      <c r="HJ877" s="4"/>
      <c r="HK877" s="4"/>
      <c r="HL877" s="4"/>
    </row>
    <row r="878" spans="1:220" ht="15" customHeight="1">
      <c r="A878" s="21">
        <v>9</v>
      </c>
      <c r="B878" s="157" t="str">
        <f>VLOOKUP(Ruimtestaat[[#This Row],[Code]],Locaties[[Code]:[Locatie]],2,FALSE)</f>
        <v>Novum-Maartenshal</v>
      </c>
      <c r="C878" s="157" t="str">
        <f>VLOOKUP(Ruimtestaat[[#This Row],[Code]],Locaties[[#All],[Code]:[Adres]],4,FALSE)</f>
        <v>Marcellus Emantslaan 2a</v>
      </c>
      <c r="D878" s="157" t="str">
        <f>VLOOKUP(Ruimtestaat[[#This Row],[Code]],Locaties[[#All],[Code]:[Postcode]],5,FALSE)</f>
        <v>2247 XL</v>
      </c>
      <c r="E878" s="157" t="str">
        <f>VLOOKUP(Ruimtestaat[[#This Row],[Code]],Locaties[#All],6,FALSE)</f>
        <v>Voorburg</v>
      </c>
      <c r="F878" s="62"/>
      <c r="G878" s="21" t="s">
        <v>1632</v>
      </c>
      <c r="H878" s="21" t="s">
        <v>2357</v>
      </c>
      <c r="I878" s="62" t="s">
        <v>2358</v>
      </c>
      <c r="J878" s="21">
        <v>19</v>
      </c>
      <c r="K878" s="62" t="str">
        <f>VLOOKUP(Ruimtestaat[[#This Row],[Ruimte code]],Ruimtegroepen[[#All],[Code]:[Ruimte omschrijving]],2,FALSE)</f>
        <v>kleedruimten</v>
      </c>
      <c r="L878" s="33" t="s">
        <v>102</v>
      </c>
      <c r="M878" s="367" t="s">
        <v>2496</v>
      </c>
      <c r="N878" s="140">
        <v>26.23</v>
      </c>
      <c r="O878" s="140"/>
      <c r="P878" s="125" t="str">
        <f>VLOOKUP(Ruimtestaat[[#This Row],[Ruimte code]],Ruimtegroepen[],4,FALSE)</f>
        <v>Ve</v>
      </c>
      <c r="R878" s="33">
        <v>40</v>
      </c>
      <c r="S878" s="33" t="s">
        <v>2</v>
      </c>
      <c r="T878" s="33">
        <f>IF(R878&gt;0,IF(RIGHT(Ruimtestaat[[#This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8" s="33">
        <f>IF(T878&gt;0,VLOOKUP($J878,Ruimtegroepen[],3,FALSE)*VLOOKUP($L878,Vloersoorten[],3,FALSE)*VLOOKUP($S878,Frequenties[],3,FALSE)*VLOOKUP($A878,Locaties[],3,FALSE),0)</f>
        <v>0</v>
      </c>
      <c r="V878" s="33">
        <f>Ruimtestaat[[#This Row],[Uitvoeringen werkdagen]]*Ruimtestaat[[#This Row],[Oppervlak (netto)]]</f>
        <v>5246</v>
      </c>
      <c r="W878" s="154">
        <f>IF(U878&gt;0,Ruimtestaat[[#This Row],[Prest. (m2 /jaar) werkdagen]]/Ruimtestaat[[#This Row],[Norm (m2/uur) werkdagen]],0)</f>
        <v>0</v>
      </c>
      <c r="X878" s="155">
        <f>Ruimtestaat[[#This Row],[uren / jaar werkdagen]]*Tariefsopbouw!$E$35</f>
        <v>0</v>
      </c>
      <c r="Y878" s="33"/>
      <c r="Z878" s="33">
        <f>IF(Ruimtestaat[[#This Row],[Frequentie weekend]]&gt;0,VALUE(LEFT(Y878,1))*R878,0)</f>
        <v>0</v>
      </c>
      <c r="AA878" s="97">
        <f>IF($Z878&gt;0,VLOOKUP($J878,Ruimtegroepen[],3,FALSE)*VLOOKUP($L878,Vloersoorten[],3,FALSE)*VLOOKUP($Y878,Frequenties[],3,FALSE)*VLOOKUP(Ruimtestaat[[#This Row],[Code]],Locaties[],3,FALSE),0)</f>
        <v>0</v>
      </c>
      <c r="AB878" s="97">
        <f>Ruimtestaat[[#This Row],[Uitvoeringen weekend]]*Ruimtestaat[[#This Row],[Oppervlak (netto)]]</f>
        <v>0</v>
      </c>
      <c r="AC878" s="97">
        <f>IF(AA878&gt;0,Ruimtestaat[[#This Row],[Prest. (m2 /jaar) weekend]]/Ruimtestaat[[#This Row],[Norm (m2/uur) weekend]],0)</f>
        <v>0</v>
      </c>
      <c r="AD878" s="155">
        <f>Ruimtestaat[[#This Row],[uren / jaar weekend]]*Tariefsopbouw!$D$40</f>
        <v>0</v>
      </c>
      <c r="AE878" s="154">
        <f>Ruimtestaat[[#This Row],[Prest. (m2 /jaar) weekend]]+Ruimtestaat[[#This Row],[Prest. (m2 /jaar) werkdagen]]</f>
        <v>5246</v>
      </c>
      <c r="AF878" s="154">
        <f>Ruimtestaat[[#This Row],[uren / jaar weekend]]+Ruimtestaat[[#This Row],[uren / jaar werkdagen]]</f>
        <v>0</v>
      </c>
      <c r="AG878" s="69">
        <f>Ruimtestaat[[#This Row],[kosten / jaar weekend]]+Ruimtestaat[[#This Row],[kosten / jaar werkdagen]]</f>
        <v>0</v>
      </c>
      <c r="AH878" s="69"/>
      <c r="AI878" s="256" t="str">
        <f>IF(Ruimtestaat[[#This Row],[Frequentie werkdagen]]="","",_xlfn.CONCAT(Ruimtestaat[[#This Row],[Ruimte code]],"-",Ruimtestaat[[#This Row],[Frequentie werkdagen]]," ",Ruimtestaat[[#This Row],[Vloer code]]))</f>
        <v>19-5w S</v>
      </c>
      <c r="AJ878" s="300" t="str">
        <f>_xlfn.IFNA(VLOOKUP($AI878,Programma!$F$3:$G$1107,2,0),"")</f>
        <v>_</v>
      </c>
      <c r="AK878" s="300" t="str">
        <f>_xlfn.IFNA(VLOOKUP($AI878,Programma!$F$3:$H$1107,3,0),"")</f>
        <v>_</v>
      </c>
      <c r="AL878" s="300" t="str">
        <f>_xlfn.IFNA(VLOOKUP($AI878,Programma!$F$3:$I$1107,4,0),"")</f>
        <v>5w</v>
      </c>
      <c r="AM878" s="300" t="str">
        <f>_xlfn.IFNA(VLOOKUP($AI878,Programma!$F$3:$J$1107,5,0),"")</f>
        <v>_</v>
      </c>
      <c r="AN878" s="300" t="str">
        <f>_xlfn.IFNA(VLOOKUP($AI878,Programma!$F$3:$K$1107,6,0),"")</f>
        <v>5w</v>
      </c>
      <c r="AO878" s="300" t="str">
        <f>_xlfn.IFNA(VLOOKUP($AI878,Programma!$F$3:$L$1107,7,0),"")</f>
        <v>_</v>
      </c>
      <c r="AP878" s="300" t="str">
        <f>_xlfn.IFNA(VLOOKUP($AI878,Programma!$F$3:$M$1107,8,0),"")</f>
        <v>_</v>
      </c>
      <c r="AQ878" s="300" t="str">
        <f>_xlfn.IFNA(VLOOKUP($AI878,Programma!$F$3:$N$1107,9,0),"")</f>
        <v>_</v>
      </c>
      <c r="AR878" s="300" t="str">
        <f>_xlfn.IFNA(VLOOKUP($AI878,Programma!$F$3:$O$1107,10,0),"")</f>
        <v>5w</v>
      </c>
      <c r="AS878" s="300" t="str">
        <f>_xlfn.IFNA(VLOOKUP($AI878,Programma!$F$3:$P$1107,11,0),"")</f>
        <v>5w</v>
      </c>
      <c r="AT878" s="300" t="str">
        <f>_xlfn.IFNA(VLOOKUP($AI878,Programma!$F$3:$Q$1107,12,0),"")</f>
        <v>1w</v>
      </c>
      <c r="AU878" s="300" t="str">
        <f>_xlfn.IFNA(VLOOKUP($AI878,Programma!$F$3:$R$1107,13,0),"")</f>
        <v>1w</v>
      </c>
      <c r="AV878" s="300" t="str">
        <f>_xlfn.IFNA(VLOOKUP($AI878,Programma!$F$3:$S$1107,14,0),"")</f>
        <v>1m</v>
      </c>
      <c r="AW878" s="300" t="str">
        <f>_xlfn.IFNA(VLOOKUP($AI878,Programma!$F$3:$T$1107,15,0),"")</f>
        <v>2j</v>
      </c>
      <c r="AX878" s="300" t="str">
        <f>_xlfn.IFNA(VLOOKUP($AI878,Programma!$F$3:$U$1107,16,0),"")</f>
        <v>1j</v>
      </c>
      <c r="AY878" s="300" t="str">
        <f>_xlfn.IFNA(VLOOKUP($AI878,Programma!$F$3:$V$1107,17,0),"")</f>
        <v>_</v>
      </c>
      <c r="AZ878" s="300" t="str">
        <f>_xlfn.IFNA(VLOOKUP($AI878,Programma!$F$3:$W$1107,18,0),"")</f>
        <v>_</v>
      </c>
      <c r="BA878" s="300" t="str">
        <f>_xlfn.IFNA(VLOOKUP($AI878,Programma!$F$3:$X$1107,19,0),"")</f>
        <v>_</v>
      </c>
      <c r="BB878" s="300" t="str">
        <f>_xlfn.IFNA(VLOOKUP($AI878,Programma!$F$3:$Y$1107,20,0),"")</f>
        <v>_</v>
      </c>
      <c r="BC878" s="257"/>
      <c r="BD878" s="256" t="str">
        <f>IF(Ruimtestaat[[#This Row],[Frequentie weekend]]="","",_xlfn.CONCAT(Ruimtestaat[[#This Row],[Ruimte code]],"-",Ruimtestaat[[#This Row],[Frequentie weekend]]," ",Ruimtestaat[[#This Row],[Vloer code]]))</f>
        <v/>
      </c>
      <c r="BE878" s="300" t="str">
        <f>_xlfn.IFNA(VLOOKUP($BD878,Programma!$F$3:$G$1107,2,0),"")</f>
        <v/>
      </c>
      <c r="BF878" s="300" t="str">
        <f>_xlfn.IFNA(VLOOKUP($BD878,Programma!$F$3:$H$1107,3,0),"")</f>
        <v/>
      </c>
      <c r="BG878" s="300" t="str">
        <f>_xlfn.IFNA(VLOOKUP($BD878,Programma!$F$3:$I$1107,4,0),"")</f>
        <v/>
      </c>
      <c r="BH878" s="300" t="str">
        <f>_xlfn.IFNA(VLOOKUP($BD878,Programma!$F$3:$J$1107,5,0),"")</f>
        <v/>
      </c>
      <c r="BI878" s="300" t="str">
        <f>_xlfn.IFNA(VLOOKUP($BD878,Programma!$F$3:$K$1107,6,0),"")</f>
        <v/>
      </c>
      <c r="BJ878" s="300" t="str">
        <f>_xlfn.IFNA(VLOOKUP($BD878,Programma!$F$3:$L$1107,7,0),"")</f>
        <v/>
      </c>
      <c r="BK878" s="300" t="str">
        <f>_xlfn.IFNA(VLOOKUP($BD878,Programma!$F$3:$M$1107,8,0),"")</f>
        <v/>
      </c>
      <c r="BL878" s="300" t="str">
        <f>_xlfn.IFNA(VLOOKUP($BD878,Programma!$F$3:$N$1107,9,0),"")</f>
        <v/>
      </c>
      <c r="BM878" s="300" t="str">
        <f>_xlfn.IFNA(VLOOKUP($BD878,Programma!$F$3:$O$1107,10,0),"")</f>
        <v/>
      </c>
      <c r="BN878" s="300" t="str">
        <f>_xlfn.IFNA(VLOOKUP($BD878,Programma!$F$3:$P$1107,11,0),"")</f>
        <v/>
      </c>
      <c r="BO878" s="300" t="str">
        <f>_xlfn.IFNA(VLOOKUP($BD878,Programma!$F$3:$Q$1107,12,0),"")</f>
        <v/>
      </c>
      <c r="BP878" s="300" t="str">
        <f>_xlfn.IFNA(VLOOKUP($BD878,Programma!$F$3:$R$1107,13,0),"")</f>
        <v/>
      </c>
      <c r="BQ878" s="300" t="str">
        <f>_xlfn.IFNA(VLOOKUP($BD878,Programma!$F$3:$S$1107,14,0),"")</f>
        <v/>
      </c>
      <c r="BR878" s="300" t="str">
        <f>_xlfn.IFNA(VLOOKUP($BD878,Programma!$F$3:$T$1107,15,0),"")</f>
        <v/>
      </c>
      <c r="BS878" s="300" t="str">
        <f>_xlfn.IFNA(VLOOKUP($BD878,Programma!$F$3:$U$1107,16,0),"")</f>
        <v/>
      </c>
      <c r="BT878" s="300" t="str">
        <f>_xlfn.IFNA(VLOOKUP($BD878,Programma!$F$3:$V$1107,17,0),"")</f>
        <v/>
      </c>
      <c r="BU878" s="300" t="str">
        <f>_xlfn.IFNA(VLOOKUP($BD878,Programma!$F$3:$W$1107,18,0),"")</f>
        <v/>
      </c>
      <c r="BV878" s="300" t="str">
        <f>_xlfn.IFNA(VLOOKUP($BD878,Programma!$F$3:$X$1107,19,0),"")</f>
        <v/>
      </c>
      <c r="BW878" s="300" t="str">
        <f>_xlfn.IFNA(VLOOKUP($BD878,Programma!$F$3:$Y$1107,20,0),"")</f>
        <v/>
      </c>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c r="GK878" s="4"/>
      <c r="GL878" s="4"/>
      <c r="GM878" s="4"/>
      <c r="GN878" s="4"/>
      <c r="GO878" s="4"/>
      <c r="GP878" s="4"/>
      <c r="GQ878" s="4"/>
      <c r="GR878" s="4"/>
      <c r="GS878" s="4"/>
      <c r="GT878" s="4"/>
      <c r="GU878" s="4"/>
      <c r="GV878" s="4"/>
      <c r="GW878" s="4"/>
      <c r="GX878" s="4"/>
      <c r="GY878" s="4"/>
      <c r="GZ878" s="4"/>
      <c r="HA878" s="4"/>
      <c r="HB878" s="4"/>
      <c r="HC878" s="4"/>
      <c r="HD878" s="4"/>
      <c r="HE878" s="4"/>
      <c r="HF878" s="4"/>
      <c r="HG878" s="4"/>
      <c r="HH878" s="4"/>
      <c r="HI878" s="4"/>
      <c r="HJ878" s="4"/>
      <c r="HK878" s="4"/>
      <c r="HL878" s="4"/>
    </row>
    <row r="879" spans="1:220" ht="15" customHeight="1">
      <c r="A879" s="21">
        <v>9</v>
      </c>
      <c r="B879" s="157" t="str">
        <f>VLOOKUP(Ruimtestaat[[#This Row],[Code]],Locaties[[Code]:[Locatie]],2,FALSE)</f>
        <v>Novum-Maartenshal</v>
      </c>
      <c r="C879" s="157" t="str">
        <f>VLOOKUP(Ruimtestaat[[#This Row],[Code]],Locaties[[#All],[Code]:[Adres]],4,FALSE)</f>
        <v>Marcellus Emantslaan 2a</v>
      </c>
      <c r="D879" s="157" t="str">
        <f>VLOOKUP(Ruimtestaat[[#This Row],[Code]],Locaties[[#All],[Code]:[Postcode]],5,FALSE)</f>
        <v>2247 XL</v>
      </c>
      <c r="E879" s="157" t="str">
        <f>VLOOKUP(Ruimtestaat[[#This Row],[Code]],Locaties[#All],6,FALSE)</f>
        <v>Voorburg</v>
      </c>
      <c r="F879" s="62"/>
      <c r="G879" s="21" t="s">
        <v>1632</v>
      </c>
      <c r="H879" s="21" t="s">
        <v>2359</v>
      </c>
      <c r="I879" s="62" t="s">
        <v>2360</v>
      </c>
      <c r="J879" s="21">
        <v>5</v>
      </c>
      <c r="K879" s="62" t="str">
        <f>VLOOKUP(Ruimtestaat[[#This Row],[Ruimte code]],Ruimtegroepen[[#All],[Code]:[Ruimte omschrijving]],2,FALSE)</f>
        <v>Sanitair</v>
      </c>
      <c r="L879" s="33" t="s">
        <v>102</v>
      </c>
      <c r="M879" s="367" t="s">
        <v>2496</v>
      </c>
      <c r="N879" s="140">
        <v>5.4</v>
      </c>
      <c r="O879" s="140"/>
      <c r="P879" s="125" t="str">
        <f>VLOOKUP(Ruimtestaat[[#This Row],[Ruimte code]],Ruimtegroepen[],4,FALSE)</f>
        <v>Sa</v>
      </c>
      <c r="R879" s="33">
        <v>40</v>
      </c>
      <c r="S879" s="33" t="s">
        <v>2</v>
      </c>
      <c r="T879" s="33">
        <f>IF(R879&gt;0,IF(RIGHT(Ruimtestaat[[#This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9" s="33">
        <f>IF(T879&gt;0,VLOOKUP($J879,Ruimtegroepen[],3,FALSE)*VLOOKUP($L879,Vloersoorten[],3,FALSE)*VLOOKUP($S879,Frequenties[],3,FALSE)*VLOOKUP($A879,Locaties[],3,FALSE),0)</f>
        <v>0</v>
      </c>
      <c r="V879" s="33">
        <f>Ruimtestaat[[#This Row],[Uitvoeringen werkdagen]]*Ruimtestaat[[#This Row],[Oppervlak (netto)]]</f>
        <v>1080</v>
      </c>
      <c r="W879" s="154">
        <f>IF(U879&gt;0,Ruimtestaat[[#This Row],[Prest. (m2 /jaar) werkdagen]]/Ruimtestaat[[#This Row],[Norm (m2/uur) werkdagen]],0)</f>
        <v>0</v>
      </c>
      <c r="X879" s="155">
        <f>Ruimtestaat[[#This Row],[uren / jaar werkdagen]]*Tariefsopbouw!$E$35</f>
        <v>0</v>
      </c>
      <c r="Y879" s="33"/>
      <c r="Z879" s="33">
        <f>IF(Ruimtestaat[[#This Row],[Frequentie weekend]]&gt;0,VALUE(LEFT(Y879,1))*R879,0)</f>
        <v>0</v>
      </c>
      <c r="AA879" s="97">
        <f>IF($Z879&gt;0,VLOOKUP($J879,Ruimtegroepen[],3,FALSE)*VLOOKUP($L879,Vloersoorten[],3,FALSE)*VLOOKUP($Y879,Frequenties[],3,FALSE)*VLOOKUP(Ruimtestaat[[#This Row],[Code]],Locaties[],3,FALSE),0)</f>
        <v>0</v>
      </c>
      <c r="AB879" s="97">
        <f>Ruimtestaat[[#This Row],[Uitvoeringen weekend]]*Ruimtestaat[[#This Row],[Oppervlak (netto)]]</f>
        <v>0</v>
      </c>
      <c r="AC879" s="97">
        <f>IF(AA879&gt;0,Ruimtestaat[[#This Row],[Prest. (m2 /jaar) weekend]]/Ruimtestaat[[#This Row],[Norm (m2/uur) weekend]],0)</f>
        <v>0</v>
      </c>
      <c r="AD879" s="155">
        <f>Ruimtestaat[[#This Row],[uren / jaar weekend]]*Tariefsopbouw!$D$40</f>
        <v>0</v>
      </c>
      <c r="AE879" s="154">
        <f>Ruimtestaat[[#This Row],[Prest. (m2 /jaar) weekend]]+Ruimtestaat[[#This Row],[Prest. (m2 /jaar) werkdagen]]</f>
        <v>1080</v>
      </c>
      <c r="AF879" s="154">
        <f>Ruimtestaat[[#This Row],[uren / jaar weekend]]+Ruimtestaat[[#This Row],[uren / jaar werkdagen]]</f>
        <v>0</v>
      </c>
      <c r="AG879" s="69">
        <f>Ruimtestaat[[#This Row],[kosten / jaar weekend]]+Ruimtestaat[[#This Row],[kosten / jaar werkdagen]]</f>
        <v>0</v>
      </c>
      <c r="AH879" s="69"/>
      <c r="AI879" s="256" t="str">
        <f>IF(Ruimtestaat[[#This Row],[Frequentie werkdagen]]="","",_xlfn.CONCAT(Ruimtestaat[[#This Row],[Ruimte code]],"-",Ruimtestaat[[#This Row],[Frequentie werkdagen]]," ",Ruimtestaat[[#This Row],[Vloer code]]))</f>
        <v>5-5w S</v>
      </c>
      <c r="AJ879" s="300" t="str">
        <f>_xlfn.IFNA(VLOOKUP($AI879,Programma!$F$3:$G$1107,2,0),"")</f>
        <v>_</v>
      </c>
      <c r="AK879" s="300" t="str">
        <f>_xlfn.IFNA(VLOOKUP($AI879,Programma!$F$3:$H$1107,3,0),"")</f>
        <v>_</v>
      </c>
      <c r="AL879" s="300" t="str">
        <f>_xlfn.IFNA(VLOOKUP($AI879,Programma!$F$3:$I$1107,4,0),"")</f>
        <v>_</v>
      </c>
      <c r="AM879" s="300" t="str">
        <f>_xlfn.IFNA(VLOOKUP($AI879,Programma!$F$3:$J$1107,5,0),"")</f>
        <v>4w</v>
      </c>
      <c r="AN879" s="300" t="str">
        <f>_xlfn.IFNA(VLOOKUP($AI879,Programma!$F$3:$K$1107,6,0),"")</f>
        <v>1w</v>
      </c>
      <c r="AO879" s="300" t="str">
        <f>_xlfn.IFNA(VLOOKUP($AI879,Programma!$F$3:$L$1107,7,0),"")</f>
        <v>_</v>
      </c>
      <c r="AP879" s="300" t="str">
        <f>_xlfn.IFNA(VLOOKUP($AI879,Programma!$F$3:$M$1107,8,0),"")</f>
        <v>_</v>
      </c>
      <c r="AQ879" s="300" t="str">
        <f>_xlfn.IFNA(VLOOKUP($AI879,Programma!$F$3:$N$1107,9,0),"")</f>
        <v>_</v>
      </c>
      <c r="AR879" s="300" t="str">
        <f>_xlfn.IFNA(VLOOKUP($AI879,Programma!$F$3:$O$1107,10,0),"")</f>
        <v>_</v>
      </c>
      <c r="AS879" s="300" t="str">
        <f>_xlfn.IFNA(VLOOKUP($AI879,Programma!$F$3:$P$1107,11,0),"")</f>
        <v>_</v>
      </c>
      <c r="AT879" s="300" t="str">
        <f>_xlfn.IFNA(VLOOKUP($AI879,Programma!$F$3:$Q$1107,12,0),"")</f>
        <v>_</v>
      </c>
      <c r="AU879" s="300" t="str">
        <f>_xlfn.IFNA(VLOOKUP($AI879,Programma!$F$3:$R$1107,13,0),"")</f>
        <v>_</v>
      </c>
      <c r="AV879" s="300" t="str">
        <f>_xlfn.IFNA(VLOOKUP($AI879,Programma!$F$3:$S$1107,14,0),"")</f>
        <v>_</v>
      </c>
      <c r="AW879" s="300" t="str">
        <f>_xlfn.IFNA(VLOOKUP($AI879,Programma!$F$3:$T$1107,15,0),"")</f>
        <v>_</v>
      </c>
      <c r="AX879" s="300" t="str">
        <f>_xlfn.IFNA(VLOOKUP($AI879,Programma!$F$3:$U$1107,16,0),"")</f>
        <v>_</v>
      </c>
      <c r="AY879" s="300" t="str">
        <f>_xlfn.IFNA(VLOOKUP($AI879,Programma!$F$3:$V$1107,17,0),"")</f>
        <v>_</v>
      </c>
      <c r="AZ879" s="300" t="str">
        <f>_xlfn.IFNA(VLOOKUP($AI879,Programma!$F$3:$W$1107,18,0),"")</f>
        <v>4w</v>
      </c>
      <c r="BA879" s="300" t="str">
        <f>_xlfn.IFNA(VLOOKUP($AI879,Programma!$F$3:$X$1107,19,0),"")</f>
        <v>1w</v>
      </c>
      <c r="BB879" s="300" t="str">
        <f>_xlfn.IFNA(VLOOKUP($AI879,Programma!$F$3:$Y$1107,20,0),"")</f>
        <v>_</v>
      </c>
      <c r="BC879" s="257"/>
      <c r="BD879" s="256" t="str">
        <f>IF(Ruimtestaat[[#This Row],[Frequentie weekend]]="","",_xlfn.CONCAT(Ruimtestaat[[#This Row],[Ruimte code]],"-",Ruimtestaat[[#This Row],[Frequentie weekend]]," ",Ruimtestaat[[#This Row],[Vloer code]]))</f>
        <v/>
      </c>
      <c r="BE879" s="300" t="str">
        <f>_xlfn.IFNA(VLOOKUP($BD879,Programma!$F$3:$G$1107,2,0),"")</f>
        <v/>
      </c>
      <c r="BF879" s="300" t="str">
        <f>_xlfn.IFNA(VLOOKUP($BD879,Programma!$F$3:$H$1107,3,0),"")</f>
        <v/>
      </c>
      <c r="BG879" s="300" t="str">
        <f>_xlfn.IFNA(VLOOKUP($BD879,Programma!$F$3:$I$1107,4,0),"")</f>
        <v/>
      </c>
      <c r="BH879" s="300" t="str">
        <f>_xlfn.IFNA(VLOOKUP($BD879,Programma!$F$3:$J$1107,5,0),"")</f>
        <v/>
      </c>
      <c r="BI879" s="300" t="str">
        <f>_xlfn.IFNA(VLOOKUP($BD879,Programma!$F$3:$K$1107,6,0),"")</f>
        <v/>
      </c>
      <c r="BJ879" s="300" t="str">
        <f>_xlfn.IFNA(VLOOKUP($BD879,Programma!$F$3:$L$1107,7,0),"")</f>
        <v/>
      </c>
      <c r="BK879" s="300" t="str">
        <f>_xlfn.IFNA(VLOOKUP($BD879,Programma!$F$3:$M$1107,8,0),"")</f>
        <v/>
      </c>
      <c r="BL879" s="300" t="str">
        <f>_xlfn.IFNA(VLOOKUP($BD879,Programma!$F$3:$N$1107,9,0),"")</f>
        <v/>
      </c>
      <c r="BM879" s="300" t="str">
        <f>_xlfn.IFNA(VLOOKUP($BD879,Programma!$F$3:$O$1107,10,0),"")</f>
        <v/>
      </c>
      <c r="BN879" s="300" t="str">
        <f>_xlfn.IFNA(VLOOKUP($BD879,Programma!$F$3:$P$1107,11,0),"")</f>
        <v/>
      </c>
      <c r="BO879" s="300" t="str">
        <f>_xlfn.IFNA(VLOOKUP($BD879,Programma!$F$3:$Q$1107,12,0),"")</f>
        <v/>
      </c>
      <c r="BP879" s="300" t="str">
        <f>_xlfn.IFNA(VLOOKUP($BD879,Programma!$F$3:$R$1107,13,0),"")</f>
        <v/>
      </c>
      <c r="BQ879" s="300" t="str">
        <f>_xlfn.IFNA(VLOOKUP($BD879,Programma!$F$3:$S$1107,14,0),"")</f>
        <v/>
      </c>
      <c r="BR879" s="300" t="str">
        <f>_xlfn.IFNA(VLOOKUP($BD879,Programma!$F$3:$T$1107,15,0),"")</f>
        <v/>
      </c>
      <c r="BS879" s="300" t="str">
        <f>_xlfn.IFNA(VLOOKUP($BD879,Programma!$F$3:$U$1107,16,0),"")</f>
        <v/>
      </c>
      <c r="BT879" s="300" t="str">
        <f>_xlfn.IFNA(VLOOKUP($BD879,Programma!$F$3:$V$1107,17,0),"")</f>
        <v/>
      </c>
      <c r="BU879" s="300" t="str">
        <f>_xlfn.IFNA(VLOOKUP($BD879,Programma!$F$3:$W$1107,18,0),"")</f>
        <v/>
      </c>
      <c r="BV879" s="300" t="str">
        <f>_xlfn.IFNA(VLOOKUP($BD879,Programma!$F$3:$X$1107,19,0),"")</f>
        <v/>
      </c>
      <c r="BW879" s="300" t="str">
        <f>_xlfn.IFNA(VLOOKUP($BD879,Programma!$F$3:$Y$1107,20,0),"")</f>
        <v/>
      </c>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c r="GK879" s="4"/>
      <c r="GL879" s="4"/>
      <c r="GM879" s="4"/>
      <c r="GN879" s="4"/>
      <c r="GO879" s="4"/>
      <c r="GP879" s="4"/>
      <c r="GQ879" s="4"/>
      <c r="GR879" s="4"/>
      <c r="GS879" s="4"/>
      <c r="GT879" s="4"/>
      <c r="GU879" s="4"/>
      <c r="GV879" s="4"/>
      <c r="GW879" s="4"/>
      <c r="GX879" s="4"/>
      <c r="GY879" s="4"/>
      <c r="GZ879" s="4"/>
      <c r="HA879" s="4"/>
      <c r="HB879" s="4"/>
      <c r="HC879" s="4"/>
      <c r="HD879" s="4"/>
      <c r="HE879" s="4"/>
      <c r="HF879" s="4"/>
      <c r="HG879" s="4"/>
      <c r="HH879" s="4"/>
      <c r="HI879" s="4"/>
      <c r="HJ879" s="4"/>
      <c r="HK879" s="4"/>
      <c r="HL879" s="4"/>
    </row>
    <row r="880" spans="1:220" ht="15" customHeight="1">
      <c r="A880" s="21">
        <v>9</v>
      </c>
      <c r="B880" s="157" t="str">
        <f>VLOOKUP(Ruimtestaat[[#This Row],[Code]],Locaties[[Code]:[Locatie]],2,FALSE)</f>
        <v>Novum-Maartenshal</v>
      </c>
      <c r="C880" s="157" t="str">
        <f>VLOOKUP(Ruimtestaat[[#This Row],[Code]],Locaties[[#All],[Code]:[Adres]],4,FALSE)</f>
        <v>Marcellus Emantslaan 2a</v>
      </c>
      <c r="D880" s="157" t="str">
        <f>VLOOKUP(Ruimtestaat[[#This Row],[Code]],Locaties[[#All],[Code]:[Postcode]],5,FALSE)</f>
        <v>2247 XL</v>
      </c>
      <c r="E880" s="157" t="str">
        <f>VLOOKUP(Ruimtestaat[[#This Row],[Code]],Locaties[#All],6,FALSE)</f>
        <v>Voorburg</v>
      </c>
      <c r="F880" s="62"/>
      <c r="G880" s="21" t="s">
        <v>1632</v>
      </c>
      <c r="H880" s="21" t="s">
        <v>2361</v>
      </c>
      <c r="I880" s="62" t="s">
        <v>1763</v>
      </c>
      <c r="J880" s="21">
        <v>20</v>
      </c>
      <c r="K880" s="62" t="str">
        <f>VLOOKUP(Ruimtestaat[[#This Row],[Ruimte code]],Ruimtegroepen[[#All],[Code]:[Ruimte omschrijving]],2,FALSE)</f>
        <v>Niet in Onderhoud</v>
      </c>
      <c r="L880" s="33" t="s">
        <v>102</v>
      </c>
      <c r="M880" s="367" t="s">
        <v>2496</v>
      </c>
      <c r="N880" s="140"/>
      <c r="O880" s="140">
        <v>1.36</v>
      </c>
      <c r="P880" s="125">
        <f>VLOOKUP(Ruimtestaat[[#This Row],[Ruimte code]],Ruimtegroepen[],4,FALSE)</f>
        <v>0</v>
      </c>
      <c r="R880" s="33"/>
      <c r="S880" s="33"/>
      <c r="T880" s="33">
        <f>IF(R880&gt;0,IF(RIGHT(Ruimtestaat[[#This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80" s="33">
        <f>IF(T880&gt;0,VLOOKUP($J880,Ruimtegroepen[],3,FALSE)*VLOOKUP($L880,Vloersoorten[],3,FALSE)*VLOOKUP($S880,Frequenties[],3,FALSE)*VLOOKUP($A880,Locaties[],3,FALSE),0)</f>
        <v>0</v>
      </c>
      <c r="V880" s="33">
        <f>Ruimtestaat[[#This Row],[Uitvoeringen werkdagen]]*Ruimtestaat[[#This Row],[Oppervlak (netto)]]</f>
        <v>0</v>
      </c>
      <c r="W880" s="154">
        <f>IF(U880&gt;0,Ruimtestaat[[#This Row],[Prest. (m2 /jaar) werkdagen]]/Ruimtestaat[[#This Row],[Norm (m2/uur) werkdagen]],0)</f>
        <v>0</v>
      </c>
      <c r="X880" s="155">
        <f>Ruimtestaat[[#This Row],[uren / jaar werkdagen]]*Tariefsopbouw!$E$35</f>
        <v>0</v>
      </c>
      <c r="Y880" s="33"/>
      <c r="Z880" s="33">
        <f>IF(Ruimtestaat[[#This Row],[Frequentie weekend]]&gt;0,VALUE(LEFT(Y880,1))*R880,0)</f>
        <v>0</v>
      </c>
      <c r="AA880" s="97">
        <f>IF($Z880&gt;0,VLOOKUP($J880,Ruimtegroepen[],3,FALSE)*VLOOKUP($L880,Vloersoorten[],3,FALSE)*VLOOKUP($Y880,Frequenties[],3,FALSE)*VLOOKUP(Ruimtestaat[[#This Row],[Code]],Locaties[],3,FALSE),0)</f>
        <v>0</v>
      </c>
      <c r="AB880" s="97">
        <f>Ruimtestaat[[#This Row],[Uitvoeringen weekend]]*Ruimtestaat[[#This Row],[Oppervlak (netto)]]</f>
        <v>0</v>
      </c>
      <c r="AC880" s="97">
        <f>IF(AA880&gt;0,Ruimtestaat[[#This Row],[Prest. (m2 /jaar) weekend]]/Ruimtestaat[[#This Row],[Norm (m2/uur) weekend]],0)</f>
        <v>0</v>
      </c>
      <c r="AD880" s="155">
        <f>Ruimtestaat[[#This Row],[uren / jaar weekend]]*Tariefsopbouw!$D$40</f>
        <v>0</v>
      </c>
      <c r="AE880" s="154">
        <f>Ruimtestaat[[#This Row],[Prest. (m2 /jaar) weekend]]+Ruimtestaat[[#This Row],[Prest. (m2 /jaar) werkdagen]]</f>
        <v>0</v>
      </c>
      <c r="AF880" s="154">
        <f>Ruimtestaat[[#This Row],[uren / jaar weekend]]+Ruimtestaat[[#This Row],[uren / jaar werkdagen]]</f>
        <v>0</v>
      </c>
      <c r="AG880" s="69">
        <f>Ruimtestaat[[#This Row],[kosten / jaar weekend]]+Ruimtestaat[[#This Row],[kosten / jaar werkdagen]]</f>
        <v>0</v>
      </c>
      <c r="AH880" s="69"/>
      <c r="AI880" s="256" t="str">
        <f>IF(Ruimtestaat[[#This Row],[Frequentie werkdagen]]="","",_xlfn.CONCAT(Ruimtestaat[[#This Row],[Ruimte code]],"-",Ruimtestaat[[#This Row],[Frequentie werkdagen]]," ",Ruimtestaat[[#This Row],[Vloer code]]))</f>
        <v/>
      </c>
      <c r="AJ880" s="300" t="str">
        <f>_xlfn.IFNA(VLOOKUP($AI880,Programma!$F$3:$G$1107,2,0),"")</f>
        <v/>
      </c>
      <c r="AK880" s="300" t="str">
        <f>_xlfn.IFNA(VLOOKUP($AI880,Programma!$F$3:$H$1107,3,0),"")</f>
        <v/>
      </c>
      <c r="AL880" s="300" t="str">
        <f>_xlfn.IFNA(VLOOKUP($AI880,Programma!$F$3:$I$1107,4,0),"")</f>
        <v/>
      </c>
      <c r="AM880" s="300" t="str">
        <f>_xlfn.IFNA(VLOOKUP($AI880,Programma!$F$3:$J$1107,5,0),"")</f>
        <v/>
      </c>
      <c r="AN880" s="300" t="str">
        <f>_xlfn.IFNA(VLOOKUP($AI880,Programma!$F$3:$K$1107,6,0),"")</f>
        <v/>
      </c>
      <c r="AO880" s="300" t="str">
        <f>_xlfn.IFNA(VLOOKUP($AI880,Programma!$F$3:$L$1107,7,0),"")</f>
        <v/>
      </c>
      <c r="AP880" s="300" t="str">
        <f>_xlfn.IFNA(VLOOKUP($AI880,Programma!$F$3:$M$1107,8,0),"")</f>
        <v/>
      </c>
      <c r="AQ880" s="300" t="str">
        <f>_xlfn.IFNA(VLOOKUP($AI880,Programma!$F$3:$N$1107,9,0),"")</f>
        <v/>
      </c>
      <c r="AR880" s="300" t="str">
        <f>_xlfn.IFNA(VLOOKUP($AI880,Programma!$F$3:$O$1107,10,0),"")</f>
        <v/>
      </c>
      <c r="AS880" s="300" t="str">
        <f>_xlfn.IFNA(VLOOKUP($AI880,Programma!$F$3:$P$1107,11,0),"")</f>
        <v/>
      </c>
      <c r="AT880" s="300" t="str">
        <f>_xlfn.IFNA(VLOOKUP($AI880,Programma!$F$3:$Q$1107,12,0),"")</f>
        <v/>
      </c>
      <c r="AU880" s="300" t="str">
        <f>_xlfn.IFNA(VLOOKUP($AI880,Programma!$F$3:$R$1107,13,0),"")</f>
        <v/>
      </c>
      <c r="AV880" s="300" t="str">
        <f>_xlfn.IFNA(VLOOKUP($AI880,Programma!$F$3:$S$1107,14,0),"")</f>
        <v/>
      </c>
      <c r="AW880" s="300" t="str">
        <f>_xlfn.IFNA(VLOOKUP($AI880,Programma!$F$3:$T$1107,15,0),"")</f>
        <v/>
      </c>
      <c r="AX880" s="300" t="str">
        <f>_xlfn.IFNA(VLOOKUP($AI880,Programma!$F$3:$U$1107,16,0),"")</f>
        <v/>
      </c>
      <c r="AY880" s="300" t="str">
        <f>_xlfn.IFNA(VLOOKUP($AI880,Programma!$F$3:$V$1107,17,0),"")</f>
        <v/>
      </c>
      <c r="AZ880" s="300" t="str">
        <f>_xlfn.IFNA(VLOOKUP($AI880,Programma!$F$3:$W$1107,18,0),"")</f>
        <v/>
      </c>
      <c r="BA880" s="300" t="str">
        <f>_xlfn.IFNA(VLOOKUP($AI880,Programma!$F$3:$X$1107,19,0),"")</f>
        <v/>
      </c>
      <c r="BB880" s="300" t="str">
        <f>_xlfn.IFNA(VLOOKUP($AI880,Programma!$F$3:$Y$1107,20,0),"")</f>
        <v/>
      </c>
      <c r="BC880" s="257"/>
      <c r="BD880" s="256" t="str">
        <f>IF(Ruimtestaat[[#This Row],[Frequentie weekend]]="","",_xlfn.CONCAT(Ruimtestaat[[#This Row],[Ruimte code]],"-",Ruimtestaat[[#This Row],[Frequentie weekend]]," ",Ruimtestaat[[#This Row],[Vloer code]]))</f>
        <v/>
      </c>
      <c r="BE880" s="300" t="str">
        <f>_xlfn.IFNA(VLOOKUP($BD880,Programma!$F$3:$G$1107,2,0),"")</f>
        <v/>
      </c>
      <c r="BF880" s="300" t="str">
        <f>_xlfn.IFNA(VLOOKUP($BD880,Programma!$F$3:$H$1107,3,0),"")</f>
        <v/>
      </c>
      <c r="BG880" s="300" t="str">
        <f>_xlfn.IFNA(VLOOKUP($BD880,Programma!$F$3:$I$1107,4,0),"")</f>
        <v/>
      </c>
      <c r="BH880" s="300" t="str">
        <f>_xlfn.IFNA(VLOOKUP($BD880,Programma!$F$3:$J$1107,5,0),"")</f>
        <v/>
      </c>
      <c r="BI880" s="300" t="str">
        <f>_xlfn.IFNA(VLOOKUP($BD880,Programma!$F$3:$K$1107,6,0),"")</f>
        <v/>
      </c>
      <c r="BJ880" s="300" t="str">
        <f>_xlfn.IFNA(VLOOKUP($BD880,Programma!$F$3:$L$1107,7,0),"")</f>
        <v/>
      </c>
      <c r="BK880" s="300" t="str">
        <f>_xlfn.IFNA(VLOOKUP($BD880,Programma!$F$3:$M$1107,8,0),"")</f>
        <v/>
      </c>
      <c r="BL880" s="300" t="str">
        <f>_xlfn.IFNA(VLOOKUP($BD880,Programma!$F$3:$N$1107,9,0),"")</f>
        <v/>
      </c>
      <c r="BM880" s="300" t="str">
        <f>_xlfn.IFNA(VLOOKUP($BD880,Programma!$F$3:$O$1107,10,0),"")</f>
        <v/>
      </c>
      <c r="BN880" s="300" t="str">
        <f>_xlfn.IFNA(VLOOKUP($BD880,Programma!$F$3:$P$1107,11,0),"")</f>
        <v/>
      </c>
      <c r="BO880" s="300" t="str">
        <f>_xlfn.IFNA(VLOOKUP($BD880,Programma!$F$3:$Q$1107,12,0),"")</f>
        <v/>
      </c>
      <c r="BP880" s="300" t="str">
        <f>_xlfn.IFNA(VLOOKUP($BD880,Programma!$F$3:$R$1107,13,0),"")</f>
        <v/>
      </c>
      <c r="BQ880" s="300" t="str">
        <f>_xlfn.IFNA(VLOOKUP($BD880,Programma!$F$3:$S$1107,14,0),"")</f>
        <v/>
      </c>
      <c r="BR880" s="300" t="str">
        <f>_xlfn.IFNA(VLOOKUP($BD880,Programma!$F$3:$T$1107,15,0),"")</f>
        <v/>
      </c>
      <c r="BS880" s="300" t="str">
        <f>_xlfn.IFNA(VLOOKUP($BD880,Programma!$F$3:$U$1107,16,0),"")</f>
        <v/>
      </c>
      <c r="BT880" s="300" t="str">
        <f>_xlfn.IFNA(VLOOKUP($BD880,Programma!$F$3:$V$1107,17,0),"")</f>
        <v/>
      </c>
      <c r="BU880" s="300" t="str">
        <f>_xlfn.IFNA(VLOOKUP($BD880,Programma!$F$3:$W$1107,18,0),"")</f>
        <v/>
      </c>
      <c r="BV880" s="300" t="str">
        <f>_xlfn.IFNA(VLOOKUP($BD880,Programma!$F$3:$X$1107,19,0),"")</f>
        <v/>
      </c>
      <c r="BW880" s="300" t="str">
        <f>_xlfn.IFNA(VLOOKUP($BD880,Programma!$F$3:$Y$1107,20,0),"")</f>
        <v/>
      </c>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c r="GK880" s="4"/>
      <c r="GL880" s="4"/>
      <c r="GM880" s="4"/>
      <c r="GN880" s="4"/>
      <c r="GO880" s="4"/>
      <c r="GP880" s="4"/>
      <c r="GQ880" s="4"/>
      <c r="GR880" s="4"/>
      <c r="GS880" s="4"/>
      <c r="GT880" s="4"/>
      <c r="GU880" s="4"/>
      <c r="GV880" s="4"/>
      <c r="GW880" s="4"/>
      <c r="GX880" s="4"/>
      <c r="GY880" s="4"/>
      <c r="GZ880" s="4"/>
      <c r="HA880" s="4"/>
      <c r="HB880" s="4"/>
      <c r="HC880" s="4"/>
      <c r="HD880" s="4"/>
      <c r="HE880" s="4"/>
      <c r="HF880" s="4"/>
      <c r="HG880" s="4"/>
      <c r="HH880" s="4"/>
      <c r="HI880" s="4"/>
      <c r="HJ880" s="4"/>
      <c r="HK880" s="4"/>
      <c r="HL880" s="4"/>
    </row>
    <row r="881" spans="1:220" ht="15" customHeight="1">
      <c r="A881" s="21">
        <v>9</v>
      </c>
      <c r="B881" s="157" t="str">
        <f>VLOOKUP(Ruimtestaat[[#This Row],[Code]],Locaties[[Code]:[Locatie]],2,FALSE)</f>
        <v>Novum-Maartenshal</v>
      </c>
      <c r="C881" s="157" t="str">
        <f>VLOOKUP(Ruimtestaat[[#This Row],[Code]],Locaties[[#All],[Code]:[Adres]],4,FALSE)</f>
        <v>Marcellus Emantslaan 2a</v>
      </c>
      <c r="D881" s="157" t="str">
        <f>VLOOKUP(Ruimtestaat[[#This Row],[Code]],Locaties[[#All],[Code]:[Postcode]],5,FALSE)</f>
        <v>2247 XL</v>
      </c>
      <c r="E881" s="157" t="str">
        <f>VLOOKUP(Ruimtestaat[[#This Row],[Code]],Locaties[#All],6,FALSE)</f>
        <v>Voorburg</v>
      </c>
      <c r="F881" s="62"/>
      <c r="G881" s="21" t="s">
        <v>1632</v>
      </c>
      <c r="H881" s="21" t="s">
        <v>2362</v>
      </c>
      <c r="I881" s="62" t="s">
        <v>2363</v>
      </c>
      <c r="J881" s="21">
        <v>19</v>
      </c>
      <c r="K881" s="62" t="str">
        <f>VLOOKUP(Ruimtestaat[[#This Row],[Ruimte code]],Ruimtegroepen[[#All],[Code]:[Ruimte omschrijving]],2,FALSE)</f>
        <v>kleedruimten</v>
      </c>
      <c r="L881" s="33" t="s">
        <v>102</v>
      </c>
      <c r="M881" s="367" t="s">
        <v>2496</v>
      </c>
      <c r="N881" s="140">
        <v>25.37</v>
      </c>
      <c r="O881" s="140"/>
      <c r="P881" s="125" t="str">
        <f>VLOOKUP(Ruimtestaat[[#This Row],[Ruimte code]],Ruimtegroepen[],4,FALSE)</f>
        <v>Ve</v>
      </c>
      <c r="R881" s="33">
        <v>40</v>
      </c>
      <c r="S881" s="33" t="s">
        <v>2</v>
      </c>
      <c r="T881" s="33">
        <f>IF(R881&gt;0,IF(RIGHT(Ruimtestaat[[#This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1" s="33">
        <f>IF(T881&gt;0,VLOOKUP($J881,Ruimtegroepen[],3,FALSE)*VLOOKUP($L881,Vloersoorten[],3,FALSE)*VLOOKUP($S881,Frequenties[],3,FALSE)*VLOOKUP($A881,Locaties[],3,FALSE),0)</f>
        <v>0</v>
      </c>
      <c r="V881" s="33">
        <f>Ruimtestaat[[#This Row],[Uitvoeringen werkdagen]]*Ruimtestaat[[#This Row],[Oppervlak (netto)]]</f>
        <v>5074</v>
      </c>
      <c r="W881" s="154">
        <f>IF(U881&gt;0,Ruimtestaat[[#This Row],[Prest. (m2 /jaar) werkdagen]]/Ruimtestaat[[#This Row],[Norm (m2/uur) werkdagen]],0)</f>
        <v>0</v>
      </c>
      <c r="X881" s="155">
        <f>Ruimtestaat[[#This Row],[uren / jaar werkdagen]]*Tariefsopbouw!$E$35</f>
        <v>0</v>
      </c>
      <c r="Y881" s="33"/>
      <c r="Z881" s="33">
        <f>IF(Ruimtestaat[[#This Row],[Frequentie weekend]]&gt;0,VALUE(LEFT(Y881,1))*R881,0)</f>
        <v>0</v>
      </c>
      <c r="AA881" s="97">
        <f>IF($Z881&gt;0,VLOOKUP($J881,Ruimtegroepen[],3,FALSE)*VLOOKUP($L881,Vloersoorten[],3,FALSE)*VLOOKUP($Y881,Frequenties[],3,FALSE)*VLOOKUP(Ruimtestaat[[#This Row],[Code]],Locaties[],3,FALSE),0)</f>
        <v>0</v>
      </c>
      <c r="AB881" s="97">
        <f>Ruimtestaat[[#This Row],[Uitvoeringen weekend]]*Ruimtestaat[[#This Row],[Oppervlak (netto)]]</f>
        <v>0</v>
      </c>
      <c r="AC881" s="97">
        <f>IF(AA881&gt;0,Ruimtestaat[[#This Row],[Prest. (m2 /jaar) weekend]]/Ruimtestaat[[#This Row],[Norm (m2/uur) weekend]],0)</f>
        <v>0</v>
      </c>
      <c r="AD881" s="155">
        <f>Ruimtestaat[[#This Row],[uren / jaar weekend]]*Tariefsopbouw!$D$40</f>
        <v>0</v>
      </c>
      <c r="AE881" s="154">
        <f>Ruimtestaat[[#This Row],[Prest. (m2 /jaar) weekend]]+Ruimtestaat[[#This Row],[Prest. (m2 /jaar) werkdagen]]</f>
        <v>5074</v>
      </c>
      <c r="AF881" s="154">
        <f>Ruimtestaat[[#This Row],[uren / jaar weekend]]+Ruimtestaat[[#This Row],[uren / jaar werkdagen]]</f>
        <v>0</v>
      </c>
      <c r="AG881" s="69">
        <f>Ruimtestaat[[#This Row],[kosten / jaar weekend]]+Ruimtestaat[[#This Row],[kosten / jaar werkdagen]]</f>
        <v>0</v>
      </c>
      <c r="AH881" s="69"/>
      <c r="AI881" s="256" t="str">
        <f>IF(Ruimtestaat[[#This Row],[Frequentie werkdagen]]="","",_xlfn.CONCAT(Ruimtestaat[[#This Row],[Ruimte code]],"-",Ruimtestaat[[#This Row],[Frequentie werkdagen]]," ",Ruimtestaat[[#This Row],[Vloer code]]))</f>
        <v>19-5w S</v>
      </c>
      <c r="AJ881" s="300" t="str">
        <f>_xlfn.IFNA(VLOOKUP($AI881,Programma!$F$3:$G$1107,2,0),"")</f>
        <v>_</v>
      </c>
      <c r="AK881" s="300" t="str">
        <f>_xlfn.IFNA(VLOOKUP($AI881,Programma!$F$3:$H$1107,3,0),"")</f>
        <v>_</v>
      </c>
      <c r="AL881" s="300" t="str">
        <f>_xlfn.IFNA(VLOOKUP($AI881,Programma!$F$3:$I$1107,4,0),"")</f>
        <v>5w</v>
      </c>
      <c r="AM881" s="300" t="str">
        <f>_xlfn.IFNA(VLOOKUP($AI881,Programma!$F$3:$J$1107,5,0),"")</f>
        <v>_</v>
      </c>
      <c r="AN881" s="300" t="str">
        <f>_xlfn.IFNA(VLOOKUP($AI881,Programma!$F$3:$K$1107,6,0),"")</f>
        <v>5w</v>
      </c>
      <c r="AO881" s="300" t="str">
        <f>_xlfn.IFNA(VLOOKUP($AI881,Programma!$F$3:$L$1107,7,0),"")</f>
        <v>_</v>
      </c>
      <c r="AP881" s="300" t="str">
        <f>_xlfn.IFNA(VLOOKUP($AI881,Programma!$F$3:$M$1107,8,0),"")</f>
        <v>_</v>
      </c>
      <c r="AQ881" s="300" t="str">
        <f>_xlfn.IFNA(VLOOKUP($AI881,Programma!$F$3:$N$1107,9,0),"")</f>
        <v>_</v>
      </c>
      <c r="AR881" s="300" t="str">
        <f>_xlfn.IFNA(VLOOKUP($AI881,Programma!$F$3:$O$1107,10,0),"")</f>
        <v>5w</v>
      </c>
      <c r="AS881" s="300" t="str">
        <f>_xlfn.IFNA(VLOOKUP($AI881,Programma!$F$3:$P$1107,11,0),"")</f>
        <v>5w</v>
      </c>
      <c r="AT881" s="300" t="str">
        <f>_xlfn.IFNA(VLOOKUP($AI881,Programma!$F$3:$Q$1107,12,0),"")</f>
        <v>1w</v>
      </c>
      <c r="AU881" s="300" t="str">
        <f>_xlfn.IFNA(VLOOKUP($AI881,Programma!$F$3:$R$1107,13,0),"")</f>
        <v>1w</v>
      </c>
      <c r="AV881" s="300" t="str">
        <f>_xlfn.IFNA(VLOOKUP($AI881,Programma!$F$3:$S$1107,14,0),"")</f>
        <v>1m</v>
      </c>
      <c r="AW881" s="300" t="str">
        <f>_xlfn.IFNA(VLOOKUP($AI881,Programma!$F$3:$T$1107,15,0),"")</f>
        <v>2j</v>
      </c>
      <c r="AX881" s="300" t="str">
        <f>_xlfn.IFNA(VLOOKUP($AI881,Programma!$F$3:$U$1107,16,0),"")</f>
        <v>1j</v>
      </c>
      <c r="AY881" s="300" t="str">
        <f>_xlfn.IFNA(VLOOKUP($AI881,Programma!$F$3:$V$1107,17,0),"")</f>
        <v>_</v>
      </c>
      <c r="AZ881" s="300" t="str">
        <f>_xlfn.IFNA(VLOOKUP($AI881,Programma!$F$3:$W$1107,18,0),"")</f>
        <v>_</v>
      </c>
      <c r="BA881" s="300" t="str">
        <f>_xlfn.IFNA(VLOOKUP($AI881,Programma!$F$3:$X$1107,19,0),"")</f>
        <v>_</v>
      </c>
      <c r="BB881" s="300" t="str">
        <f>_xlfn.IFNA(VLOOKUP($AI881,Programma!$F$3:$Y$1107,20,0),"")</f>
        <v>_</v>
      </c>
      <c r="BC881" s="257"/>
      <c r="BD881" s="256" t="str">
        <f>IF(Ruimtestaat[[#This Row],[Frequentie weekend]]="","",_xlfn.CONCAT(Ruimtestaat[[#This Row],[Ruimte code]],"-",Ruimtestaat[[#This Row],[Frequentie weekend]]," ",Ruimtestaat[[#This Row],[Vloer code]]))</f>
        <v/>
      </c>
      <c r="BE881" s="300" t="str">
        <f>_xlfn.IFNA(VLOOKUP($BD881,Programma!$F$3:$G$1107,2,0),"")</f>
        <v/>
      </c>
      <c r="BF881" s="300" t="str">
        <f>_xlfn.IFNA(VLOOKUP($BD881,Programma!$F$3:$H$1107,3,0),"")</f>
        <v/>
      </c>
      <c r="BG881" s="300" t="str">
        <f>_xlfn.IFNA(VLOOKUP($BD881,Programma!$F$3:$I$1107,4,0),"")</f>
        <v/>
      </c>
      <c r="BH881" s="300" t="str">
        <f>_xlfn.IFNA(VLOOKUP($BD881,Programma!$F$3:$J$1107,5,0),"")</f>
        <v/>
      </c>
      <c r="BI881" s="300" t="str">
        <f>_xlfn.IFNA(VLOOKUP($BD881,Programma!$F$3:$K$1107,6,0),"")</f>
        <v/>
      </c>
      <c r="BJ881" s="300" t="str">
        <f>_xlfn.IFNA(VLOOKUP($BD881,Programma!$F$3:$L$1107,7,0),"")</f>
        <v/>
      </c>
      <c r="BK881" s="300" t="str">
        <f>_xlfn.IFNA(VLOOKUP($BD881,Programma!$F$3:$M$1107,8,0),"")</f>
        <v/>
      </c>
      <c r="BL881" s="300" t="str">
        <f>_xlfn.IFNA(VLOOKUP($BD881,Programma!$F$3:$N$1107,9,0),"")</f>
        <v/>
      </c>
      <c r="BM881" s="300" t="str">
        <f>_xlfn.IFNA(VLOOKUP($BD881,Programma!$F$3:$O$1107,10,0),"")</f>
        <v/>
      </c>
      <c r="BN881" s="300" t="str">
        <f>_xlfn.IFNA(VLOOKUP($BD881,Programma!$F$3:$P$1107,11,0),"")</f>
        <v/>
      </c>
      <c r="BO881" s="300" t="str">
        <f>_xlfn.IFNA(VLOOKUP($BD881,Programma!$F$3:$Q$1107,12,0),"")</f>
        <v/>
      </c>
      <c r="BP881" s="300" t="str">
        <f>_xlfn.IFNA(VLOOKUP($BD881,Programma!$F$3:$R$1107,13,0),"")</f>
        <v/>
      </c>
      <c r="BQ881" s="300" t="str">
        <f>_xlfn.IFNA(VLOOKUP($BD881,Programma!$F$3:$S$1107,14,0),"")</f>
        <v/>
      </c>
      <c r="BR881" s="300" t="str">
        <f>_xlfn.IFNA(VLOOKUP($BD881,Programma!$F$3:$T$1107,15,0),"")</f>
        <v/>
      </c>
      <c r="BS881" s="300" t="str">
        <f>_xlfn.IFNA(VLOOKUP($BD881,Programma!$F$3:$U$1107,16,0),"")</f>
        <v/>
      </c>
      <c r="BT881" s="300" t="str">
        <f>_xlfn.IFNA(VLOOKUP($BD881,Programma!$F$3:$V$1107,17,0),"")</f>
        <v/>
      </c>
      <c r="BU881" s="300" t="str">
        <f>_xlfn.IFNA(VLOOKUP($BD881,Programma!$F$3:$W$1107,18,0),"")</f>
        <v/>
      </c>
      <c r="BV881" s="300" t="str">
        <f>_xlfn.IFNA(VLOOKUP($BD881,Programma!$F$3:$X$1107,19,0),"")</f>
        <v/>
      </c>
      <c r="BW881" s="300" t="str">
        <f>_xlfn.IFNA(VLOOKUP($BD881,Programma!$F$3:$Y$1107,20,0),"")</f>
        <v/>
      </c>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c r="GK881" s="4"/>
      <c r="GL881" s="4"/>
      <c r="GM881" s="4"/>
      <c r="GN881" s="4"/>
      <c r="GO881" s="4"/>
      <c r="GP881" s="4"/>
      <c r="GQ881" s="4"/>
      <c r="GR881" s="4"/>
      <c r="GS881" s="4"/>
      <c r="GT881" s="4"/>
      <c r="GU881" s="4"/>
      <c r="GV881" s="4"/>
      <c r="GW881" s="4"/>
      <c r="GX881" s="4"/>
      <c r="GY881" s="4"/>
      <c r="GZ881" s="4"/>
      <c r="HA881" s="4"/>
      <c r="HB881" s="4"/>
      <c r="HC881" s="4"/>
      <c r="HD881" s="4"/>
      <c r="HE881" s="4"/>
      <c r="HF881" s="4"/>
      <c r="HG881" s="4"/>
      <c r="HH881" s="4"/>
      <c r="HI881" s="4"/>
      <c r="HJ881" s="4"/>
      <c r="HK881" s="4"/>
      <c r="HL881" s="4"/>
    </row>
    <row r="882" spans="1:220" ht="15" customHeight="1">
      <c r="A882" s="21">
        <v>9</v>
      </c>
      <c r="B882" s="157" t="str">
        <f>VLOOKUP(Ruimtestaat[[#This Row],[Code]],Locaties[[Code]:[Locatie]],2,FALSE)</f>
        <v>Novum-Maartenshal</v>
      </c>
      <c r="C882" s="157" t="str">
        <f>VLOOKUP(Ruimtestaat[[#This Row],[Code]],Locaties[[#All],[Code]:[Adres]],4,FALSE)</f>
        <v>Marcellus Emantslaan 2a</v>
      </c>
      <c r="D882" s="157" t="str">
        <f>VLOOKUP(Ruimtestaat[[#This Row],[Code]],Locaties[[#All],[Code]:[Postcode]],5,FALSE)</f>
        <v>2247 XL</v>
      </c>
      <c r="E882" s="157" t="str">
        <f>VLOOKUP(Ruimtestaat[[#This Row],[Code]],Locaties[#All],6,FALSE)</f>
        <v>Voorburg</v>
      </c>
      <c r="F882" s="62"/>
      <c r="G882" s="21" t="s">
        <v>1632</v>
      </c>
      <c r="H882" s="21" t="s">
        <v>2364</v>
      </c>
      <c r="I882" s="62" t="s">
        <v>2365</v>
      </c>
      <c r="J882" s="21">
        <v>5</v>
      </c>
      <c r="K882" s="62" t="str">
        <f>VLOOKUP(Ruimtestaat[[#This Row],[Ruimte code]],Ruimtegroepen[[#All],[Code]:[Ruimte omschrijving]],2,FALSE)</f>
        <v>Sanitair</v>
      </c>
      <c r="L882" s="33" t="s">
        <v>102</v>
      </c>
      <c r="M882" s="367" t="s">
        <v>2496</v>
      </c>
      <c r="N882" s="140">
        <v>4.7699999999999996</v>
      </c>
      <c r="O882" s="140"/>
      <c r="P882" s="125" t="str">
        <f>VLOOKUP(Ruimtestaat[[#This Row],[Ruimte code]],Ruimtegroepen[],4,FALSE)</f>
        <v>Sa</v>
      </c>
      <c r="R882" s="33">
        <v>40</v>
      </c>
      <c r="S882" s="33" t="s">
        <v>2</v>
      </c>
      <c r="T882" s="33">
        <f>IF(R882&gt;0,IF(RIGHT(Ruimtestaat[[#This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2" s="33">
        <f>IF(T882&gt;0,VLOOKUP($J882,Ruimtegroepen[],3,FALSE)*VLOOKUP($L882,Vloersoorten[],3,FALSE)*VLOOKUP($S882,Frequenties[],3,FALSE)*VLOOKUP($A882,Locaties[],3,FALSE),0)</f>
        <v>0</v>
      </c>
      <c r="V882" s="33">
        <f>Ruimtestaat[[#This Row],[Uitvoeringen werkdagen]]*Ruimtestaat[[#This Row],[Oppervlak (netto)]]</f>
        <v>953.99999999999989</v>
      </c>
      <c r="W882" s="154">
        <f>IF(U882&gt;0,Ruimtestaat[[#This Row],[Prest. (m2 /jaar) werkdagen]]/Ruimtestaat[[#This Row],[Norm (m2/uur) werkdagen]],0)</f>
        <v>0</v>
      </c>
      <c r="X882" s="155">
        <f>Ruimtestaat[[#This Row],[uren / jaar werkdagen]]*Tariefsopbouw!$E$35</f>
        <v>0</v>
      </c>
      <c r="Y882" s="33"/>
      <c r="Z882" s="33">
        <f>IF(Ruimtestaat[[#This Row],[Frequentie weekend]]&gt;0,VALUE(LEFT(Y882,1))*R882,0)</f>
        <v>0</v>
      </c>
      <c r="AA882" s="97">
        <f>IF($Z882&gt;0,VLOOKUP($J882,Ruimtegroepen[],3,FALSE)*VLOOKUP($L882,Vloersoorten[],3,FALSE)*VLOOKUP($Y882,Frequenties[],3,FALSE)*VLOOKUP(Ruimtestaat[[#This Row],[Code]],Locaties[],3,FALSE),0)</f>
        <v>0</v>
      </c>
      <c r="AB882" s="97">
        <f>Ruimtestaat[[#This Row],[Uitvoeringen weekend]]*Ruimtestaat[[#This Row],[Oppervlak (netto)]]</f>
        <v>0</v>
      </c>
      <c r="AC882" s="97">
        <f>IF(AA882&gt;0,Ruimtestaat[[#This Row],[Prest. (m2 /jaar) weekend]]/Ruimtestaat[[#This Row],[Norm (m2/uur) weekend]],0)</f>
        <v>0</v>
      </c>
      <c r="AD882" s="155">
        <f>Ruimtestaat[[#This Row],[uren / jaar weekend]]*Tariefsopbouw!$D$40</f>
        <v>0</v>
      </c>
      <c r="AE882" s="154">
        <f>Ruimtestaat[[#This Row],[Prest. (m2 /jaar) weekend]]+Ruimtestaat[[#This Row],[Prest. (m2 /jaar) werkdagen]]</f>
        <v>953.99999999999989</v>
      </c>
      <c r="AF882" s="154">
        <f>Ruimtestaat[[#This Row],[uren / jaar weekend]]+Ruimtestaat[[#This Row],[uren / jaar werkdagen]]</f>
        <v>0</v>
      </c>
      <c r="AG882" s="69">
        <f>Ruimtestaat[[#This Row],[kosten / jaar weekend]]+Ruimtestaat[[#This Row],[kosten / jaar werkdagen]]</f>
        <v>0</v>
      </c>
      <c r="AH882" s="69"/>
      <c r="AI882" s="256" t="str">
        <f>IF(Ruimtestaat[[#This Row],[Frequentie werkdagen]]="","",_xlfn.CONCAT(Ruimtestaat[[#This Row],[Ruimte code]],"-",Ruimtestaat[[#This Row],[Frequentie werkdagen]]," ",Ruimtestaat[[#This Row],[Vloer code]]))</f>
        <v>5-5w S</v>
      </c>
      <c r="AJ882" s="300" t="str">
        <f>_xlfn.IFNA(VLOOKUP($AI882,Programma!$F$3:$G$1107,2,0),"")</f>
        <v>_</v>
      </c>
      <c r="AK882" s="300" t="str">
        <f>_xlfn.IFNA(VLOOKUP($AI882,Programma!$F$3:$H$1107,3,0),"")</f>
        <v>_</v>
      </c>
      <c r="AL882" s="300" t="str">
        <f>_xlfn.IFNA(VLOOKUP($AI882,Programma!$F$3:$I$1107,4,0),"")</f>
        <v>_</v>
      </c>
      <c r="AM882" s="300" t="str">
        <f>_xlfn.IFNA(VLOOKUP($AI882,Programma!$F$3:$J$1107,5,0),"")</f>
        <v>4w</v>
      </c>
      <c r="AN882" s="300" t="str">
        <f>_xlfn.IFNA(VLOOKUP($AI882,Programma!$F$3:$K$1107,6,0),"")</f>
        <v>1w</v>
      </c>
      <c r="AO882" s="300" t="str">
        <f>_xlfn.IFNA(VLOOKUP($AI882,Programma!$F$3:$L$1107,7,0),"")</f>
        <v>_</v>
      </c>
      <c r="AP882" s="300" t="str">
        <f>_xlfn.IFNA(VLOOKUP($AI882,Programma!$F$3:$M$1107,8,0),"")</f>
        <v>_</v>
      </c>
      <c r="AQ882" s="300" t="str">
        <f>_xlfn.IFNA(VLOOKUP($AI882,Programma!$F$3:$N$1107,9,0),"")</f>
        <v>_</v>
      </c>
      <c r="AR882" s="300" t="str">
        <f>_xlfn.IFNA(VLOOKUP($AI882,Programma!$F$3:$O$1107,10,0),"")</f>
        <v>_</v>
      </c>
      <c r="AS882" s="300" t="str">
        <f>_xlfn.IFNA(VLOOKUP($AI882,Programma!$F$3:$P$1107,11,0),"")</f>
        <v>_</v>
      </c>
      <c r="AT882" s="300" t="str">
        <f>_xlfn.IFNA(VLOOKUP($AI882,Programma!$F$3:$Q$1107,12,0),"")</f>
        <v>_</v>
      </c>
      <c r="AU882" s="300" t="str">
        <f>_xlfn.IFNA(VLOOKUP($AI882,Programma!$F$3:$R$1107,13,0),"")</f>
        <v>_</v>
      </c>
      <c r="AV882" s="300" t="str">
        <f>_xlfn.IFNA(VLOOKUP($AI882,Programma!$F$3:$S$1107,14,0),"")</f>
        <v>_</v>
      </c>
      <c r="AW882" s="300" t="str">
        <f>_xlfn.IFNA(VLOOKUP($AI882,Programma!$F$3:$T$1107,15,0),"")</f>
        <v>_</v>
      </c>
      <c r="AX882" s="300" t="str">
        <f>_xlfn.IFNA(VLOOKUP($AI882,Programma!$F$3:$U$1107,16,0),"")</f>
        <v>_</v>
      </c>
      <c r="AY882" s="300" t="str">
        <f>_xlfn.IFNA(VLOOKUP($AI882,Programma!$F$3:$V$1107,17,0),"")</f>
        <v>_</v>
      </c>
      <c r="AZ882" s="300" t="str">
        <f>_xlfn.IFNA(VLOOKUP($AI882,Programma!$F$3:$W$1107,18,0),"")</f>
        <v>4w</v>
      </c>
      <c r="BA882" s="300" t="str">
        <f>_xlfn.IFNA(VLOOKUP($AI882,Programma!$F$3:$X$1107,19,0),"")</f>
        <v>1w</v>
      </c>
      <c r="BB882" s="300" t="str">
        <f>_xlfn.IFNA(VLOOKUP($AI882,Programma!$F$3:$Y$1107,20,0),"")</f>
        <v>_</v>
      </c>
      <c r="BC882" s="257"/>
      <c r="BD882" s="256" t="str">
        <f>IF(Ruimtestaat[[#This Row],[Frequentie weekend]]="","",_xlfn.CONCAT(Ruimtestaat[[#This Row],[Ruimte code]],"-",Ruimtestaat[[#This Row],[Frequentie weekend]]," ",Ruimtestaat[[#This Row],[Vloer code]]))</f>
        <v/>
      </c>
      <c r="BE882" s="300" t="str">
        <f>_xlfn.IFNA(VLOOKUP($BD882,Programma!$F$3:$G$1107,2,0),"")</f>
        <v/>
      </c>
      <c r="BF882" s="300" t="str">
        <f>_xlfn.IFNA(VLOOKUP($BD882,Programma!$F$3:$H$1107,3,0),"")</f>
        <v/>
      </c>
      <c r="BG882" s="300" t="str">
        <f>_xlfn.IFNA(VLOOKUP($BD882,Programma!$F$3:$I$1107,4,0),"")</f>
        <v/>
      </c>
      <c r="BH882" s="300" t="str">
        <f>_xlfn.IFNA(VLOOKUP($BD882,Programma!$F$3:$J$1107,5,0),"")</f>
        <v/>
      </c>
      <c r="BI882" s="300" t="str">
        <f>_xlfn.IFNA(VLOOKUP($BD882,Programma!$F$3:$K$1107,6,0),"")</f>
        <v/>
      </c>
      <c r="BJ882" s="300" t="str">
        <f>_xlfn.IFNA(VLOOKUP($BD882,Programma!$F$3:$L$1107,7,0),"")</f>
        <v/>
      </c>
      <c r="BK882" s="300" t="str">
        <f>_xlfn.IFNA(VLOOKUP($BD882,Programma!$F$3:$M$1107,8,0),"")</f>
        <v/>
      </c>
      <c r="BL882" s="300" t="str">
        <f>_xlfn.IFNA(VLOOKUP($BD882,Programma!$F$3:$N$1107,9,0),"")</f>
        <v/>
      </c>
      <c r="BM882" s="300" t="str">
        <f>_xlfn.IFNA(VLOOKUP($BD882,Programma!$F$3:$O$1107,10,0),"")</f>
        <v/>
      </c>
      <c r="BN882" s="300" t="str">
        <f>_xlfn.IFNA(VLOOKUP($BD882,Programma!$F$3:$P$1107,11,0),"")</f>
        <v/>
      </c>
      <c r="BO882" s="300" t="str">
        <f>_xlfn.IFNA(VLOOKUP($BD882,Programma!$F$3:$Q$1107,12,0),"")</f>
        <v/>
      </c>
      <c r="BP882" s="300" t="str">
        <f>_xlfn.IFNA(VLOOKUP($BD882,Programma!$F$3:$R$1107,13,0),"")</f>
        <v/>
      </c>
      <c r="BQ882" s="300" t="str">
        <f>_xlfn.IFNA(VLOOKUP($BD882,Programma!$F$3:$S$1107,14,0),"")</f>
        <v/>
      </c>
      <c r="BR882" s="300" t="str">
        <f>_xlfn.IFNA(VLOOKUP($BD882,Programma!$F$3:$T$1107,15,0),"")</f>
        <v/>
      </c>
      <c r="BS882" s="300" t="str">
        <f>_xlfn.IFNA(VLOOKUP($BD882,Programma!$F$3:$U$1107,16,0),"")</f>
        <v/>
      </c>
      <c r="BT882" s="300" t="str">
        <f>_xlfn.IFNA(VLOOKUP($BD882,Programma!$F$3:$V$1107,17,0),"")</f>
        <v/>
      </c>
      <c r="BU882" s="300" t="str">
        <f>_xlfn.IFNA(VLOOKUP($BD882,Programma!$F$3:$W$1107,18,0),"")</f>
        <v/>
      </c>
      <c r="BV882" s="300" t="str">
        <f>_xlfn.IFNA(VLOOKUP($BD882,Programma!$F$3:$X$1107,19,0),"")</f>
        <v/>
      </c>
      <c r="BW882" s="300" t="str">
        <f>_xlfn.IFNA(VLOOKUP($BD882,Programma!$F$3:$Y$1107,20,0),"")</f>
        <v/>
      </c>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c r="GK882" s="4"/>
      <c r="GL882" s="4"/>
      <c r="GM882" s="4"/>
      <c r="GN882" s="4"/>
      <c r="GO882" s="4"/>
      <c r="GP882" s="4"/>
      <c r="GQ882" s="4"/>
      <c r="GR882" s="4"/>
      <c r="GS882" s="4"/>
      <c r="GT882" s="4"/>
      <c r="GU882" s="4"/>
      <c r="GV882" s="4"/>
      <c r="GW882" s="4"/>
      <c r="GX882" s="4"/>
      <c r="GY882" s="4"/>
      <c r="GZ882" s="4"/>
      <c r="HA882" s="4"/>
      <c r="HB882" s="4"/>
      <c r="HC882" s="4"/>
      <c r="HD882" s="4"/>
      <c r="HE882" s="4"/>
      <c r="HF882" s="4"/>
      <c r="HG882" s="4"/>
      <c r="HH882" s="4"/>
      <c r="HI882" s="4"/>
      <c r="HJ882" s="4"/>
      <c r="HK882" s="4"/>
      <c r="HL882" s="4"/>
    </row>
    <row r="883" spans="1:220" ht="15" customHeight="1">
      <c r="A883" s="21">
        <v>9</v>
      </c>
      <c r="B883" s="157" t="str">
        <f>VLOOKUP(Ruimtestaat[[#This Row],[Code]],Locaties[[Code]:[Locatie]],2,FALSE)</f>
        <v>Novum-Maartenshal</v>
      </c>
      <c r="C883" s="157" t="str">
        <f>VLOOKUP(Ruimtestaat[[#This Row],[Code]],Locaties[[#All],[Code]:[Adres]],4,FALSE)</f>
        <v>Marcellus Emantslaan 2a</v>
      </c>
      <c r="D883" s="157" t="str">
        <f>VLOOKUP(Ruimtestaat[[#This Row],[Code]],Locaties[[#All],[Code]:[Postcode]],5,FALSE)</f>
        <v>2247 XL</v>
      </c>
      <c r="E883" s="157" t="str">
        <f>VLOOKUP(Ruimtestaat[[#This Row],[Code]],Locaties[#All],6,FALSE)</f>
        <v>Voorburg</v>
      </c>
      <c r="F883" s="62"/>
      <c r="G883" s="21" t="s">
        <v>1632</v>
      </c>
      <c r="H883" s="21" t="s">
        <v>2366</v>
      </c>
      <c r="I883" s="62" t="s">
        <v>2367</v>
      </c>
      <c r="J883" s="21">
        <v>5</v>
      </c>
      <c r="K883" s="62" t="str">
        <f>VLOOKUP(Ruimtestaat[[#This Row],[Ruimte code]],Ruimtegroepen[[#All],[Code]:[Ruimte omschrijving]],2,FALSE)</f>
        <v>Sanitair</v>
      </c>
      <c r="L883" s="33" t="s">
        <v>102</v>
      </c>
      <c r="M883" s="367" t="s">
        <v>2496</v>
      </c>
      <c r="N883" s="140">
        <v>2.39</v>
      </c>
      <c r="O883" s="140"/>
      <c r="P883" s="125" t="str">
        <f>VLOOKUP(Ruimtestaat[[#This Row],[Ruimte code]],Ruimtegroepen[],4,FALSE)</f>
        <v>Sa</v>
      </c>
      <c r="R883" s="33">
        <v>40</v>
      </c>
      <c r="S883" s="33" t="s">
        <v>2</v>
      </c>
      <c r="T883" s="33">
        <f>IF(R883&gt;0,IF(RIGHT(Ruimtestaat[[#This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3" s="33">
        <f>IF(T883&gt;0,VLOOKUP($J883,Ruimtegroepen[],3,FALSE)*VLOOKUP($L883,Vloersoorten[],3,FALSE)*VLOOKUP($S883,Frequenties[],3,FALSE)*VLOOKUP($A883,Locaties[],3,FALSE),0)</f>
        <v>0</v>
      </c>
      <c r="V883" s="33">
        <f>Ruimtestaat[[#This Row],[Uitvoeringen werkdagen]]*Ruimtestaat[[#This Row],[Oppervlak (netto)]]</f>
        <v>478</v>
      </c>
      <c r="W883" s="154">
        <f>IF(U883&gt;0,Ruimtestaat[[#This Row],[Prest. (m2 /jaar) werkdagen]]/Ruimtestaat[[#This Row],[Norm (m2/uur) werkdagen]],0)</f>
        <v>0</v>
      </c>
      <c r="X883" s="155">
        <f>Ruimtestaat[[#This Row],[uren / jaar werkdagen]]*Tariefsopbouw!$E$35</f>
        <v>0</v>
      </c>
      <c r="Y883" s="33"/>
      <c r="Z883" s="33">
        <f>IF(Ruimtestaat[[#This Row],[Frequentie weekend]]&gt;0,VALUE(LEFT(Y883,1))*R883,0)</f>
        <v>0</v>
      </c>
      <c r="AA883" s="97">
        <f>IF($Z883&gt;0,VLOOKUP($J883,Ruimtegroepen[],3,FALSE)*VLOOKUP($L883,Vloersoorten[],3,FALSE)*VLOOKUP($Y883,Frequenties[],3,FALSE)*VLOOKUP(Ruimtestaat[[#This Row],[Code]],Locaties[],3,FALSE),0)</f>
        <v>0</v>
      </c>
      <c r="AB883" s="97">
        <f>Ruimtestaat[[#This Row],[Uitvoeringen weekend]]*Ruimtestaat[[#This Row],[Oppervlak (netto)]]</f>
        <v>0</v>
      </c>
      <c r="AC883" s="97">
        <f>IF(AA883&gt;0,Ruimtestaat[[#This Row],[Prest. (m2 /jaar) weekend]]/Ruimtestaat[[#This Row],[Norm (m2/uur) weekend]],0)</f>
        <v>0</v>
      </c>
      <c r="AD883" s="155">
        <f>Ruimtestaat[[#This Row],[uren / jaar weekend]]*Tariefsopbouw!$D$40</f>
        <v>0</v>
      </c>
      <c r="AE883" s="154">
        <f>Ruimtestaat[[#This Row],[Prest. (m2 /jaar) weekend]]+Ruimtestaat[[#This Row],[Prest. (m2 /jaar) werkdagen]]</f>
        <v>478</v>
      </c>
      <c r="AF883" s="154">
        <f>Ruimtestaat[[#This Row],[uren / jaar weekend]]+Ruimtestaat[[#This Row],[uren / jaar werkdagen]]</f>
        <v>0</v>
      </c>
      <c r="AG883" s="69">
        <f>Ruimtestaat[[#This Row],[kosten / jaar weekend]]+Ruimtestaat[[#This Row],[kosten / jaar werkdagen]]</f>
        <v>0</v>
      </c>
      <c r="AH883" s="69"/>
      <c r="AI883" s="256" t="str">
        <f>IF(Ruimtestaat[[#This Row],[Frequentie werkdagen]]="","",_xlfn.CONCAT(Ruimtestaat[[#This Row],[Ruimte code]],"-",Ruimtestaat[[#This Row],[Frequentie werkdagen]]," ",Ruimtestaat[[#This Row],[Vloer code]]))</f>
        <v>5-5w S</v>
      </c>
      <c r="AJ883" s="300" t="str">
        <f>_xlfn.IFNA(VLOOKUP($AI883,Programma!$F$3:$G$1107,2,0),"")</f>
        <v>_</v>
      </c>
      <c r="AK883" s="300" t="str">
        <f>_xlfn.IFNA(VLOOKUP($AI883,Programma!$F$3:$H$1107,3,0),"")</f>
        <v>_</v>
      </c>
      <c r="AL883" s="300" t="str">
        <f>_xlfn.IFNA(VLOOKUP($AI883,Programma!$F$3:$I$1107,4,0),"")</f>
        <v>_</v>
      </c>
      <c r="AM883" s="300" t="str">
        <f>_xlfn.IFNA(VLOOKUP($AI883,Programma!$F$3:$J$1107,5,0),"")</f>
        <v>4w</v>
      </c>
      <c r="AN883" s="300" t="str">
        <f>_xlfn.IFNA(VLOOKUP($AI883,Programma!$F$3:$K$1107,6,0),"")</f>
        <v>1w</v>
      </c>
      <c r="AO883" s="300" t="str">
        <f>_xlfn.IFNA(VLOOKUP($AI883,Programma!$F$3:$L$1107,7,0),"")</f>
        <v>_</v>
      </c>
      <c r="AP883" s="300" t="str">
        <f>_xlfn.IFNA(VLOOKUP($AI883,Programma!$F$3:$M$1107,8,0),"")</f>
        <v>_</v>
      </c>
      <c r="AQ883" s="300" t="str">
        <f>_xlfn.IFNA(VLOOKUP($AI883,Programma!$F$3:$N$1107,9,0),"")</f>
        <v>_</v>
      </c>
      <c r="AR883" s="300" t="str">
        <f>_xlfn.IFNA(VLOOKUP($AI883,Programma!$F$3:$O$1107,10,0),"")</f>
        <v>_</v>
      </c>
      <c r="AS883" s="300" t="str">
        <f>_xlfn.IFNA(VLOOKUP($AI883,Programma!$F$3:$P$1107,11,0),"")</f>
        <v>_</v>
      </c>
      <c r="AT883" s="300" t="str">
        <f>_xlfn.IFNA(VLOOKUP($AI883,Programma!$F$3:$Q$1107,12,0),"")</f>
        <v>_</v>
      </c>
      <c r="AU883" s="300" t="str">
        <f>_xlfn.IFNA(VLOOKUP($AI883,Programma!$F$3:$R$1107,13,0),"")</f>
        <v>_</v>
      </c>
      <c r="AV883" s="300" t="str">
        <f>_xlfn.IFNA(VLOOKUP($AI883,Programma!$F$3:$S$1107,14,0),"")</f>
        <v>_</v>
      </c>
      <c r="AW883" s="300" t="str">
        <f>_xlfn.IFNA(VLOOKUP($AI883,Programma!$F$3:$T$1107,15,0),"")</f>
        <v>_</v>
      </c>
      <c r="AX883" s="300" t="str">
        <f>_xlfn.IFNA(VLOOKUP($AI883,Programma!$F$3:$U$1107,16,0),"")</f>
        <v>_</v>
      </c>
      <c r="AY883" s="300" t="str">
        <f>_xlfn.IFNA(VLOOKUP($AI883,Programma!$F$3:$V$1107,17,0),"")</f>
        <v>_</v>
      </c>
      <c r="AZ883" s="300" t="str">
        <f>_xlfn.IFNA(VLOOKUP($AI883,Programma!$F$3:$W$1107,18,0),"")</f>
        <v>4w</v>
      </c>
      <c r="BA883" s="300" t="str">
        <f>_xlfn.IFNA(VLOOKUP($AI883,Programma!$F$3:$X$1107,19,0),"")</f>
        <v>1w</v>
      </c>
      <c r="BB883" s="300" t="str">
        <f>_xlfn.IFNA(VLOOKUP($AI883,Programma!$F$3:$Y$1107,20,0),"")</f>
        <v>_</v>
      </c>
      <c r="BC883" s="257"/>
      <c r="BD883" s="256" t="str">
        <f>IF(Ruimtestaat[[#This Row],[Frequentie weekend]]="","",_xlfn.CONCAT(Ruimtestaat[[#This Row],[Ruimte code]],"-",Ruimtestaat[[#This Row],[Frequentie weekend]]," ",Ruimtestaat[[#This Row],[Vloer code]]))</f>
        <v/>
      </c>
      <c r="BE883" s="300" t="str">
        <f>_xlfn.IFNA(VLOOKUP($BD883,Programma!$F$3:$G$1107,2,0),"")</f>
        <v/>
      </c>
      <c r="BF883" s="300" t="str">
        <f>_xlfn.IFNA(VLOOKUP($BD883,Programma!$F$3:$H$1107,3,0),"")</f>
        <v/>
      </c>
      <c r="BG883" s="300" t="str">
        <f>_xlfn.IFNA(VLOOKUP($BD883,Programma!$F$3:$I$1107,4,0),"")</f>
        <v/>
      </c>
      <c r="BH883" s="300" t="str">
        <f>_xlfn.IFNA(VLOOKUP($BD883,Programma!$F$3:$J$1107,5,0),"")</f>
        <v/>
      </c>
      <c r="BI883" s="300" t="str">
        <f>_xlfn.IFNA(VLOOKUP($BD883,Programma!$F$3:$K$1107,6,0),"")</f>
        <v/>
      </c>
      <c r="BJ883" s="300" t="str">
        <f>_xlfn.IFNA(VLOOKUP($BD883,Programma!$F$3:$L$1107,7,0),"")</f>
        <v/>
      </c>
      <c r="BK883" s="300" t="str">
        <f>_xlfn.IFNA(VLOOKUP($BD883,Programma!$F$3:$M$1107,8,0),"")</f>
        <v/>
      </c>
      <c r="BL883" s="300" t="str">
        <f>_xlfn.IFNA(VLOOKUP($BD883,Programma!$F$3:$N$1107,9,0),"")</f>
        <v/>
      </c>
      <c r="BM883" s="300" t="str">
        <f>_xlfn.IFNA(VLOOKUP($BD883,Programma!$F$3:$O$1107,10,0),"")</f>
        <v/>
      </c>
      <c r="BN883" s="300" t="str">
        <f>_xlfn.IFNA(VLOOKUP($BD883,Programma!$F$3:$P$1107,11,0),"")</f>
        <v/>
      </c>
      <c r="BO883" s="300" t="str">
        <f>_xlfn.IFNA(VLOOKUP($BD883,Programma!$F$3:$Q$1107,12,0),"")</f>
        <v/>
      </c>
      <c r="BP883" s="300" t="str">
        <f>_xlfn.IFNA(VLOOKUP($BD883,Programma!$F$3:$R$1107,13,0),"")</f>
        <v/>
      </c>
      <c r="BQ883" s="300" t="str">
        <f>_xlfn.IFNA(VLOOKUP($BD883,Programma!$F$3:$S$1107,14,0),"")</f>
        <v/>
      </c>
      <c r="BR883" s="300" t="str">
        <f>_xlfn.IFNA(VLOOKUP($BD883,Programma!$F$3:$T$1107,15,0),"")</f>
        <v/>
      </c>
      <c r="BS883" s="300" t="str">
        <f>_xlfn.IFNA(VLOOKUP($BD883,Programma!$F$3:$U$1107,16,0),"")</f>
        <v/>
      </c>
      <c r="BT883" s="300" t="str">
        <f>_xlfn.IFNA(VLOOKUP($BD883,Programma!$F$3:$V$1107,17,0),"")</f>
        <v/>
      </c>
      <c r="BU883" s="300" t="str">
        <f>_xlfn.IFNA(VLOOKUP($BD883,Programma!$F$3:$W$1107,18,0),"")</f>
        <v/>
      </c>
      <c r="BV883" s="300" t="str">
        <f>_xlfn.IFNA(VLOOKUP($BD883,Programma!$F$3:$X$1107,19,0),"")</f>
        <v/>
      </c>
      <c r="BW883" s="300" t="str">
        <f>_xlfn.IFNA(VLOOKUP($BD883,Programma!$F$3:$Y$1107,20,0),"")</f>
        <v/>
      </c>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c r="GK883" s="4"/>
      <c r="GL883" s="4"/>
      <c r="GM883" s="4"/>
      <c r="GN883" s="4"/>
      <c r="GO883" s="4"/>
      <c r="GP883" s="4"/>
      <c r="GQ883" s="4"/>
      <c r="GR883" s="4"/>
      <c r="GS883" s="4"/>
      <c r="GT883" s="4"/>
      <c r="GU883" s="4"/>
      <c r="GV883" s="4"/>
      <c r="GW883" s="4"/>
      <c r="GX883" s="4"/>
      <c r="GY883" s="4"/>
      <c r="GZ883" s="4"/>
      <c r="HA883" s="4"/>
      <c r="HB883" s="4"/>
      <c r="HC883" s="4"/>
      <c r="HD883" s="4"/>
      <c r="HE883" s="4"/>
      <c r="HF883" s="4"/>
      <c r="HG883" s="4"/>
      <c r="HH883" s="4"/>
      <c r="HI883" s="4"/>
      <c r="HJ883" s="4"/>
      <c r="HK883" s="4"/>
      <c r="HL883" s="4"/>
    </row>
    <row r="884" spans="1:220" ht="15" customHeight="1">
      <c r="A884" s="21">
        <v>9</v>
      </c>
      <c r="B884" s="157" t="str">
        <f>VLOOKUP(Ruimtestaat[[#This Row],[Code]],Locaties[[Code]:[Locatie]],2,FALSE)</f>
        <v>Novum-Maartenshal</v>
      </c>
      <c r="C884" s="157" t="str">
        <f>VLOOKUP(Ruimtestaat[[#This Row],[Code]],Locaties[[#All],[Code]:[Adres]],4,FALSE)</f>
        <v>Marcellus Emantslaan 2a</v>
      </c>
      <c r="D884" s="157" t="str">
        <f>VLOOKUP(Ruimtestaat[[#This Row],[Code]],Locaties[[#All],[Code]:[Postcode]],5,FALSE)</f>
        <v>2247 XL</v>
      </c>
      <c r="E884" s="157" t="str">
        <f>VLOOKUP(Ruimtestaat[[#This Row],[Code]],Locaties[#All],6,FALSE)</f>
        <v>Voorburg</v>
      </c>
      <c r="F884" s="62"/>
      <c r="G884" s="21" t="s">
        <v>1632</v>
      </c>
      <c r="H884" s="21" t="s">
        <v>2368</v>
      </c>
      <c r="I884" s="62" t="s">
        <v>1747</v>
      </c>
      <c r="J884" s="21">
        <v>20</v>
      </c>
      <c r="K884" s="62" t="str">
        <f>VLOOKUP(Ruimtestaat[[#This Row],[Ruimte code]],Ruimtegroepen[[#All],[Code]:[Ruimte omschrijving]],2,FALSE)</f>
        <v>Niet in Onderhoud</v>
      </c>
      <c r="L884" s="33" t="s">
        <v>102</v>
      </c>
      <c r="M884" s="367" t="s">
        <v>2496</v>
      </c>
      <c r="N884" s="140"/>
      <c r="O884" s="140">
        <v>4.3099999999999996</v>
      </c>
      <c r="P884" s="125">
        <f>VLOOKUP(Ruimtestaat[[#This Row],[Ruimte code]],Ruimtegroepen[],4,FALSE)</f>
        <v>0</v>
      </c>
      <c r="R884" s="33"/>
      <c r="S884" s="33"/>
      <c r="T884" s="33">
        <f>IF(R884&gt;0,IF(RIGHT(Ruimtestaat[[#This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84" s="33">
        <f>IF(T884&gt;0,VLOOKUP($J884,Ruimtegroepen[],3,FALSE)*VLOOKUP($L884,Vloersoorten[],3,FALSE)*VLOOKUP($S884,Frequenties[],3,FALSE)*VLOOKUP($A884,Locaties[],3,FALSE),0)</f>
        <v>0</v>
      </c>
      <c r="V884" s="33">
        <f>Ruimtestaat[[#This Row],[Uitvoeringen werkdagen]]*Ruimtestaat[[#This Row],[Oppervlak (netto)]]</f>
        <v>0</v>
      </c>
      <c r="W884" s="154">
        <f>IF(U884&gt;0,Ruimtestaat[[#This Row],[Prest. (m2 /jaar) werkdagen]]/Ruimtestaat[[#This Row],[Norm (m2/uur) werkdagen]],0)</f>
        <v>0</v>
      </c>
      <c r="X884" s="155">
        <f>Ruimtestaat[[#This Row],[uren / jaar werkdagen]]*Tariefsopbouw!$E$35</f>
        <v>0</v>
      </c>
      <c r="Y884" s="33"/>
      <c r="Z884" s="33">
        <f>IF(Ruimtestaat[[#This Row],[Frequentie weekend]]&gt;0,VALUE(LEFT(Y884,1))*R884,0)</f>
        <v>0</v>
      </c>
      <c r="AA884" s="97">
        <f>IF($Z884&gt;0,VLOOKUP($J884,Ruimtegroepen[],3,FALSE)*VLOOKUP($L884,Vloersoorten[],3,FALSE)*VLOOKUP($Y884,Frequenties[],3,FALSE)*VLOOKUP(Ruimtestaat[[#This Row],[Code]],Locaties[],3,FALSE),0)</f>
        <v>0</v>
      </c>
      <c r="AB884" s="97">
        <f>Ruimtestaat[[#This Row],[Uitvoeringen weekend]]*Ruimtestaat[[#This Row],[Oppervlak (netto)]]</f>
        <v>0</v>
      </c>
      <c r="AC884" s="97">
        <f>IF(AA884&gt;0,Ruimtestaat[[#This Row],[Prest. (m2 /jaar) weekend]]/Ruimtestaat[[#This Row],[Norm (m2/uur) weekend]],0)</f>
        <v>0</v>
      </c>
      <c r="AD884" s="155">
        <f>Ruimtestaat[[#This Row],[uren / jaar weekend]]*Tariefsopbouw!$D$40</f>
        <v>0</v>
      </c>
      <c r="AE884" s="154">
        <f>Ruimtestaat[[#This Row],[Prest. (m2 /jaar) weekend]]+Ruimtestaat[[#This Row],[Prest. (m2 /jaar) werkdagen]]</f>
        <v>0</v>
      </c>
      <c r="AF884" s="154">
        <f>Ruimtestaat[[#This Row],[uren / jaar weekend]]+Ruimtestaat[[#This Row],[uren / jaar werkdagen]]</f>
        <v>0</v>
      </c>
      <c r="AG884" s="69">
        <f>Ruimtestaat[[#This Row],[kosten / jaar weekend]]+Ruimtestaat[[#This Row],[kosten / jaar werkdagen]]</f>
        <v>0</v>
      </c>
      <c r="AH884" s="69"/>
      <c r="AI884" s="256" t="str">
        <f>IF(Ruimtestaat[[#This Row],[Frequentie werkdagen]]="","",_xlfn.CONCAT(Ruimtestaat[[#This Row],[Ruimte code]],"-",Ruimtestaat[[#This Row],[Frequentie werkdagen]]," ",Ruimtestaat[[#This Row],[Vloer code]]))</f>
        <v/>
      </c>
      <c r="AJ884" s="300" t="str">
        <f>_xlfn.IFNA(VLOOKUP($AI884,Programma!$F$3:$G$1107,2,0),"")</f>
        <v/>
      </c>
      <c r="AK884" s="300" t="str">
        <f>_xlfn.IFNA(VLOOKUP($AI884,Programma!$F$3:$H$1107,3,0),"")</f>
        <v/>
      </c>
      <c r="AL884" s="300" t="str">
        <f>_xlfn.IFNA(VLOOKUP($AI884,Programma!$F$3:$I$1107,4,0),"")</f>
        <v/>
      </c>
      <c r="AM884" s="300" t="str">
        <f>_xlfn.IFNA(VLOOKUP($AI884,Programma!$F$3:$J$1107,5,0),"")</f>
        <v/>
      </c>
      <c r="AN884" s="300" t="str">
        <f>_xlfn.IFNA(VLOOKUP($AI884,Programma!$F$3:$K$1107,6,0),"")</f>
        <v/>
      </c>
      <c r="AO884" s="300" t="str">
        <f>_xlfn.IFNA(VLOOKUP($AI884,Programma!$F$3:$L$1107,7,0),"")</f>
        <v/>
      </c>
      <c r="AP884" s="300" t="str">
        <f>_xlfn.IFNA(VLOOKUP($AI884,Programma!$F$3:$M$1107,8,0),"")</f>
        <v/>
      </c>
      <c r="AQ884" s="300" t="str">
        <f>_xlfn.IFNA(VLOOKUP($AI884,Programma!$F$3:$N$1107,9,0),"")</f>
        <v/>
      </c>
      <c r="AR884" s="300" t="str">
        <f>_xlfn.IFNA(VLOOKUP($AI884,Programma!$F$3:$O$1107,10,0),"")</f>
        <v/>
      </c>
      <c r="AS884" s="300" t="str">
        <f>_xlfn.IFNA(VLOOKUP($AI884,Programma!$F$3:$P$1107,11,0),"")</f>
        <v/>
      </c>
      <c r="AT884" s="300" t="str">
        <f>_xlfn.IFNA(VLOOKUP($AI884,Programma!$F$3:$Q$1107,12,0),"")</f>
        <v/>
      </c>
      <c r="AU884" s="300" t="str">
        <f>_xlfn.IFNA(VLOOKUP($AI884,Programma!$F$3:$R$1107,13,0),"")</f>
        <v/>
      </c>
      <c r="AV884" s="300" t="str">
        <f>_xlfn.IFNA(VLOOKUP($AI884,Programma!$F$3:$S$1107,14,0),"")</f>
        <v/>
      </c>
      <c r="AW884" s="300" t="str">
        <f>_xlfn.IFNA(VLOOKUP($AI884,Programma!$F$3:$T$1107,15,0),"")</f>
        <v/>
      </c>
      <c r="AX884" s="300" t="str">
        <f>_xlfn.IFNA(VLOOKUP($AI884,Programma!$F$3:$U$1107,16,0),"")</f>
        <v/>
      </c>
      <c r="AY884" s="300" t="str">
        <f>_xlfn.IFNA(VLOOKUP($AI884,Programma!$F$3:$V$1107,17,0),"")</f>
        <v/>
      </c>
      <c r="AZ884" s="300" t="str">
        <f>_xlfn.IFNA(VLOOKUP($AI884,Programma!$F$3:$W$1107,18,0),"")</f>
        <v/>
      </c>
      <c r="BA884" s="300" t="str">
        <f>_xlfn.IFNA(VLOOKUP($AI884,Programma!$F$3:$X$1107,19,0),"")</f>
        <v/>
      </c>
      <c r="BB884" s="300" t="str">
        <f>_xlfn.IFNA(VLOOKUP($AI884,Programma!$F$3:$Y$1107,20,0),"")</f>
        <v/>
      </c>
      <c r="BC884" s="257"/>
      <c r="BD884" s="256" t="str">
        <f>IF(Ruimtestaat[[#This Row],[Frequentie weekend]]="","",_xlfn.CONCAT(Ruimtestaat[[#This Row],[Ruimte code]],"-",Ruimtestaat[[#This Row],[Frequentie weekend]]," ",Ruimtestaat[[#This Row],[Vloer code]]))</f>
        <v/>
      </c>
      <c r="BE884" s="300" t="str">
        <f>_xlfn.IFNA(VLOOKUP($BD884,Programma!$F$3:$G$1107,2,0),"")</f>
        <v/>
      </c>
      <c r="BF884" s="300" t="str">
        <f>_xlfn.IFNA(VLOOKUP($BD884,Programma!$F$3:$H$1107,3,0),"")</f>
        <v/>
      </c>
      <c r="BG884" s="300" t="str">
        <f>_xlfn.IFNA(VLOOKUP($BD884,Programma!$F$3:$I$1107,4,0),"")</f>
        <v/>
      </c>
      <c r="BH884" s="300" t="str">
        <f>_xlfn.IFNA(VLOOKUP($BD884,Programma!$F$3:$J$1107,5,0),"")</f>
        <v/>
      </c>
      <c r="BI884" s="300" t="str">
        <f>_xlfn.IFNA(VLOOKUP($BD884,Programma!$F$3:$K$1107,6,0),"")</f>
        <v/>
      </c>
      <c r="BJ884" s="300" t="str">
        <f>_xlfn.IFNA(VLOOKUP($BD884,Programma!$F$3:$L$1107,7,0),"")</f>
        <v/>
      </c>
      <c r="BK884" s="300" t="str">
        <f>_xlfn.IFNA(VLOOKUP($BD884,Programma!$F$3:$M$1107,8,0),"")</f>
        <v/>
      </c>
      <c r="BL884" s="300" t="str">
        <f>_xlfn.IFNA(VLOOKUP($BD884,Programma!$F$3:$N$1107,9,0),"")</f>
        <v/>
      </c>
      <c r="BM884" s="300" t="str">
        <f>_xlfn.IFNA(VLOOKUP($BD884,Programma!$F$3:$O$1107,10,0),"")</f>
        <v/>
      </c>
      <c r="BN884" s="300" t="str">
        <f>_xlfn.IFNA(VLOOKUP($BD884,Programma!$F$3:$P$1107,11,0),"")</f>
        <v/>
      </c>
      <c r="BO884" s="300" t="str">
        <f>_xlfn.IFNA(VLOOKUP($BD884,Programma!$F$3:$Q$1107,12,0),"")</f>
        <v/>
      </c>
      <c r="BP884" s="300" t="str">
        <f>_xlfn.IFNA(VLOOKUP($BD884,Programma!$F$3:$R$1107,13,0),"")</f>
        <v/>
      </c>
      <c r="BQ884" s="300" t="str">
        <f>_xlfn.IFNA(VLOOKUP($BD884,Programma!$F$3:$S$1107,14,0),"")</f>
        <v/>
      </c>
      <c r="BR884" s="300" t="str">
        <f>_xlfn.IFNA(VLOOKUP($BD884,Programma!$F$3:$T$1107,15,0),"")</f>
        <v/>
      </c>
      <c r="BS884" s="300" t="str">
        <f>_xlfn.IFNA(VLOOKUP($BD884,Programma!$F$3:$U$1107,16,0),"")</f>
        <v/>
      </c>
      <c r="BT884" s="300" t="str">
        <f>_xlfn.IFNA(VLOOKUP($BD884,Programma!$F$3:$V$1107,17,0),"")</f>
        <v/>
      </c>
      <c r="BU884" s="300" t="str">
        <f>_xlfn.IFNA(VLOOKUP($BD884,Programma!$F$3:$W$1107,18,0),"")</f>
        <v/>
      </c>
      <c r="BV884" s="300" t="str">
        <f>_xlfn.IFNA(VLOOKUP($BD884,Programma!$F$3:$X$1107,19,0),"")</f>
        <v/>
      </c>
      <c r="BW884" s="300" t="str">
        <f>_xlfn.IFNA(VLOOKUP($BD884,Programma!$F$3:$Y$1107,20,0),"")</f>
        <v/>
      </c>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c r="GK884" s="4"/>
      <c r="GL884" s="4"/>
      <c r="GM884" s="4"/>
      <c r="GN884" s="4"/>
      <c r="GO884" s="4"/>
      <c r="GP884" s="4"/>
      <c r="GQ884" s="4"/>
      <c r="GR884" s="4"/>
      <c r="GS884" s="4"/>
      <c r="GT884" s="4"/>
      <c r="GU884" s="4"/>
      <c r="GV884" s="4"/>
      <c r="GW884" s="4"/>
      <c r="GX884" s="4"/>
      <c r="GY884" s="4"/>
      <c r="GZ884" s="4"/>
      <c r="HA884" s="4"/>
      <c r="HB884" s="4"/>
      <c r="HC884" s="4"/>
      <c r="HD884" s="4"/>
      <c r="HE884" s="4"/>
      <c r="HF884" s="4"/>
      <c r="HG884" s="4"/>
      <c r="HH884" s="4"/>
      <c r="HI884" s="4"/>
      <c r="HJ884" s="4"/>
      <c r="HK884" s="4"/>
      <c r="HL884" s="4"/>
    </row>
    <row r="885" spans="1:220" ht="15" customHeight="1">
      <c r="A885" s="21">
        <v>9</v>
      </c>
      <c r="B885" s="157" t="str">
        <f>VLOOKUP(Ruimtestaat[[#This Row],[Code]],Locaties[[Code]:[Locatie]],2,FALSE)</f>
        <v>Novum-Maartenshal</v>
      </c>
      <c r="C885" s="157" t="str">
        <f>VLOOKUP(Ruimtestaat[[#This Row],[Code]],Locaties[[#All],[Code]:[Adres]],4,FALSE)</f>
        <v>Marcellus Emantslaan 2a</v>
      </c>
      <c r="D885" s="157" t="str">
        <f>VLOOKUP(Ruimtestaat[[#This Row],[Code]],Locaties[[#All],[Code]:[Postcode]],5,FALSE)</f>
        <v>2247 XL</v>
      </c>
      <c r="E885" s="157" t="str">
        <f>VLOOKUP(Ruimtestaat[[#This Row],[Code]],Locaties[#All],6,FALSE)</f>
        <v>Voorburg</v>
      </c>
      <c r="F885" s="62"/>
      <c r="G885" s="21" t="s">
        <v>1632</v>
      </c>
      <c r="H885" s="21" t="s">
        <v>2369</v>
      </c>
      <c r="I885" s="62" t="s">
        <v>2370</v>
      </c>
      <c r="J885" s="21">
        <v>5</v>
      </c>
      <c r="K885" s="62" t="str">
        <f>VLOOKUP(Ruimtestaat[[#This Row],[Ruimte code]],Ruimtegroepen[[#All],[Code]:[Ruimte omschrijving]],2,FALSE)</f>
        <v>Sanitair</v>
      </c>
      <c r="L885" s="33" t="s">
        <v>102</v>
      </c>
      <c r="M885" s="367" t="s">
        <v>2496</v>
      </c>
      <c r="N885" s="140">
        <v>5.04</v>
      </c>
      <c r="O885" s="140"/>
      <c r="P885" s="125" t="str">
        <f>VLOOKUP(Ruimtestaat[[#This Row],[Ruimte code]],Ruimtegroepen[],4,FALSE)</f>
        <v>Sa</v>
      </c>
      <c r="R885" s="33">
        <v>40</v>
      </c>
      <c r="S885" s="33" t="s">
        <v>2</v>
      </c>
      <c r="T885" s="33">
        <f>IF(R885&gt;0,IF(RIGHT(Ruimtestaat[[#This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5" s="33">
        <f>IF(T885&gt;0,VLOOKUP($J885,Ruimtegroepen[],3,FALSE)*VLOOKUP($L885,Vloersoorten[],3,FALSE)*VLOOKUP($S885,Frequenties[],3,FALSE)*VLOOKUP($A885,Locaties[],3,FALSE),0)</f>
        <v>0</v>
      </c>
      <c r="V885" s="33">
        <f>Ruimtestaat[[#This Row],[Uitvoeringen werkdagen]]*Ruimtestaat[[#This Row],[Oppervlak (netto)]]</f>
        <v>1008</v>
      </c>
      <c r="W885" s="154">
        <f>IF(U885&gt;0,Ruimtestaat[[#This Row],[Prest. (m2 /jaar) werkdagen]]/Ruimtestaat[[#This Row],[Norm (m2/uur) werkdagen]],0)</f>
        <v>0</v>
      </c>
      <c r="X885" s="155">
        <f>Ruimtestaat[[#This Row],[uren / jaar werkdagen]]*Tariefsopbouw!$E$35</f>
        <v>0</v>
      </c>
      <c r="Y885" s="33"/>
      <c r="Z885" s="33">
        <f>IF(Ruimtestaat[[#This Row],[Frequentie weekend]]&gt;0,VALUE(LEFT(Y885,1))*R885,0)</f>
        <v>0</v>
      </c>
      <c r="AA885" s="97">
        <f>IF($Z885&gt;0,VLOOKUP($J885,Ruimtegroepen[],3,FALSE)*VLOOKUP($L885,Vloersoorten[],3,FALSE)*VLOOKUP($Y885,Frequenties[],3,FALSE)*VLOOKUP(Ruimtestaat[[#This Row],[Code]],Locaties[],3,FALSE),0)</f>
        <v>0</v>
      </c>
      <c r="AB885" s="97">
        <f>Ruimtestaat[[#This Row],[Uitvoeringen weekend]]*Ruimtestaat[[#This Row],[Oppervlak (netto)]]</f>
        <v>0</v>
      </c>
      <c r="AC885" s="97">
        <f>IF(AA885&gt;0,Ruimtestaat[[#This Row],[Prest. (m2 /jaar) weekend]]/Ruimtestaat[[#This Row],[Norm (m2/uur) weekend]],0)</f>
        <v>0</v>
      </c>
      <c r="AD885" s="155">
        <f>Ruimtestaat[[#This Row],[uren / jaar weekend]]*Tariefsopbouw!$D$40</f>
        <v>0</v>
      </c>
      <c r="AE885" s="154">
        <f>Ruimtestaat[[#This Row],[Prest. (m2 /jaar) weekend]]+Ruimtestaat[[#This Row],[Prest. (m2 /jaar) werkdagen]]</f>
        <v>1008</v>
      </c>
      <c r="AF885" s="154">
        <f>Ruimtestaat[[#This Row],[uren / jaar weekend]]+Ruimtestaat[[#This Row],[uren / jaar werkdagen]]</f>
        <v>0</v>
      </c>
      <c r="AG885" s="69">
        <f>Ruimtestaat[[#This Row],[kosten / jaar weekend]]+Ruimtestaat[[#This Row],[kosten / jaar werkdagen]]</f>
        <v>0</v>
      </c>
      <c r="AH885" s="69"/>
      <c r="AI885" s="256" t="str">
        <f>IF(Ruimtestaat[[#This Row],[Frequentie werkdagen]]="","",_xlfn.CONCAT(Ruimtestaat[[#This Row],[Ruimte code]],"-",Ruimtestaat[[#This Row],[Frequentie werkdagen]]," ",Ruimtestaat[[#This Row],[Vloer code]]))</f>
        <v>5-5w S</v>
      </c>
      <c r="AJ885" s="300" t="str">
        <f>_xlfn.IFNA(VLOOKUP($AI885,Programma!$F$3:$G$1107,2,0),"")</f>
        <v>_</v>
      </c>
      <c r="AK885" s="300" t="str">
        <f>_xlfn.IFNA(VLOOKUP($AI885,Programma!$F$3:$H$1107,3,0),"")</f>
        <v>_</v>
      </c>
      <c r="AL885" s="300" t="str">
        <f>_xlfn.IFNA(VLOOKUP($AI885,Programma!$F$3:$I$1107,4,0),"")</f>
        <v>_</v>
      </c>
      <c r="AM885" s="300" t="str">
        <f>_xlfn.IFNA(VLOOKUP($AI885,Programma!$F$3:$J$1107,5,0),"")</f>
        <v>4w</v>
      </c>
      <c r="AN885" s="300" t="str">
        <f>_xlfn.IFNA(VLOOKUP($AI885,Programma!$F$3:$K$1107,6,0),"")</f>
        <v>1w</v>
      </c>
      <c r="AO885" s="300" t="str">
        <f>_xlfn.IFNA(VLOOKUP($AI885,Programma!$F$3:$L$1107,7,0),"")</f>
        <v>_</v>
      </c>
      <c r="AP885" s="300" t="str">
        <f>_xlfn.IFNA(VLOOKUP($AI885,Programma!$F$3:$M$1107,8,0),"")</f>
        <v>_</v>
      </c>
      <c r="AQ885" s="300" t="str">
        <f>_xlfn.IFNA(VLOOKUP($AI885,Programma!$F$3:$N$1107,9,0),"")</f>
        <v>_</v>
      </c>
      <c r="AR885" s="300" t="str">
        <f>_xlfn.IFNA(VLOOKUP($AI885,Programma!$F$3:$O$1107,10,0),"")</f>
        <v>_</v>
      </c>
      <c r="AS885" s="300" t="str">
        <f>_xlfn.IFNA(VLOOKUP($AI885,Programma!$F$3:$P$1107,11,0),"")</f>
        <v>_</v>
      </c>
      <c r="AT885" s="300" t="str">
        <f>_xlfn.IFNA(VLOOKUP($AI885,Programma!$F$3:$Q$1107,12,0),"")</f>
        <v>_</v>
      </c>
      <c r="AU885" s="300" t="str">
        <f>_xlfn.IFNA(VLOOKUP($AI885,Programma!$F$3:$R$1107,13,0),"")</f>
        <v>_</v>
      </c>
      <c r="AV885" s="300" t="str">
        <f>_xlfn.IFNA(VLOOKUP($AI885,Programma!$F$3:$S$1107,14,0),"")</f>
        <v>_</v>
      </c>
      <c r="AW885" s="300" t="str">
        <f>_xlfn.IFNA(VLOOKUP($AI885,Programma!$F$3:$T$1107,15,0),"")</f>
        <v>_</v>
      </c>
      <c r="AX885" s="300" t="str">
        <f>_xlfn.IFNA(VLOOKUP($AI885,Programma!$F$3:$U$1107,16,0),"")</f>
        <v>_</v>
      </c>
      <c r="AY885" s="300" t="str">
        <f>_xlfn.IFNA(VLOOKUP($AI885,Programma!$F$3:$V$1107,17,0),"")</f>
        <v>_</v>
      </c>
      <c r="AZ885" s="300" t="str">
        <f>_xlfn.IFNA(VLOOKUP($AI885,Programma!$F$3:$W$1107,18,0),"")</f>
        <v>4w</v>
      </c>
      <c r="BA885" s="300" t="str">
        <f>_xlfn.IFNA(VLOOKUP($AI885,Programma!$F$3:$X$1107,19,0),"")</f>
        <v>1w</v>
      </c>
      <c r="BB885" s="300" t="str">
        <f>_xlfn.IFNA(VLOOKUP($AI885,Programma!$F$3:$Y$1107,20,0),"")</f>
        <v>_</v>
      </c>
      <c r="BC885" s="257"/>
      <c r="BD885" s="256" t="str">
        <f>IF(Ruimtestaat[[#This Row],[Frequentie weekend]]="","",_xlfn.CONCAT(Ruimtestaat[[#This Row],[Ruimte code]],"-",Ruimtestaat[[#This Row],[Frequentie weekend]]," ",Ruimtestaat[[#This Row],[Vloer code]]))</f>
        <v/>
      </c>
      <c r="BE885" s="300" t="str">
        <f>_xlfn.IFNA(VLOOKUP($BD885,Programma!$F$3:$G$1107,2,0),"")</f>
        <v/>
      </c>
      <c r="BF885" s="300" t="str">
        <f>_xlfn.IFNA(VLOOKUP($BD885,Programma!$F$3:$H$1107,3,0),"")</f>
        <v/>
      </c>
      <c r="BG885" s="300" t="str">
        <f>_xlfn.IFNA(VLOOKUP($BD885,Programma!$F$3:$I$1107,4,0),"")</f>
        <v/>
      </c>
      <c r="BH885" s="300" t="str">
        <f>_xlfn.IFNA(VLOOKUP($BD885,Programma!$F$3:$J$1107,5,0),"")</f>
        <v/>
      </c>
      <c r="BI885" s="300" t="str">
        <f>_xlfn.IFNA(VLOOKUP($BD885,Programma!$F$3:$K$1107,6,0),"")</f>
        <v/>
      </c>
      <c r="BJ885" s="300" t="str">
        <f>_xlfn.IFNA(VLOOKUP($BD885,Programma!$F$3:$L$1107,7,0),"")</f>
        <v/>
      </c>
      <c r="BK885" s="300" t="str">
        <f>_xlfn.IFNA(VLOOKUP($BD885,Programma!$F$3:$M$1107,8,0),"")</f>
        <v/>
      </c>
      <c r="BL885" s="300" t="str">
        <f>_xlfn.IFNA(VLOOKUP($BD885,Programma!$F$3:$N$1107,9,0),"")</f>
        <v/>
      </c>
      <c r="BM885" s="300" t="str">
        <f>_xlfn.IFNA(VLOOKUP($BD885,Programma!$F$3:$O$1107,10,0),"")</f>
        <v/>
      </c>
      <c r="BN885" s="300" t="str">
        <f>_xlfn.IFNA(VLOOKUP($BD885,Programma!$F$3:$P$1107,11,0),"")</f>
        <v/>
      </c>
      <c r="BO885" s="300" t="str">
        <f>_xlfn.IFNA(VLOOKUP($BD885,Programma!$F$3:$Q$1107,12,0),"")</f>
        <v/>
      </c>
      <c r="BP885" s="300" t="str">
        <f>_xlfn.IFNA(VLOOKUP($BD885,Programma!$F$3:$R$1107,13,0),"")</f>
        <v/>
      </c>
      <c r="BQ885" s="300" t="str">
        <f>_xlfn.IFNA(VLOOKUP($BD885,Programma!$F$3:$S$1107,14,0),"")</f>
        <v/>
      </c>
      <c r="BR885" s="300" t="str">
        <f>_xlfn.IFNA(VLOOKUP($BD885,Programma!$F$3:$T$1107,15,0),"")</f>
        <v/>
      </c>
      <c r="BS885" s="300" t="str">
        <f>_xlfn.IFNA(VLOOKUP($BD885,Programma!$F$3:$U$1107,16,0),"")</f>
        <v/>
      </c>
      <c r="BT885" s="300" t="str">
        <f>_xlfn.IFNA(VLOOKUP($BD885,Programma!$F$3:$V$1107,17,0),"")</f>
        <v/>
      </c>
      <c r="BU885" s="300" t="str">
        <f>_xlfn.IFNA(VLOOKUP($BD885,Programma!$F$3:$W$1107,18,0),"")</f>
        <v/>
      </c>
      <c r="BV885" s="300" t="str">
        <f>_xlfn.IFNA(VLOOKUP($BD885,Programma!$F$3:$X$1107,19,0),"")</f>
        <v/>
      </c>
      <c r="BW885" s="300" t="str">
        <f>_xlfn.IFNA(VLOOKUP($BD885,Programma!$F$3:$Y$1107,20,0),"")</f>
        <v/>
      </c>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c r="GK885" s="4"/>
      <c r="GL885" s="4"/>
      <c r="GM885" s="4"/>
      <c r="GN885" s="4"/>
      <c r="GO885" s="4"/>
      <c r="GP885" s="4"/>
      <c r="GQ885" s="4"/>
      <c r="GR885" s="4"/>
      <c r="GS885" s="4"/>
      <c r="GT885" s="4"/>
      <c r="GU885" s="4"/>
      <c r="GV885" s="4"/>
      <c r="GW885" s="4"/>
      <c r="GX885" s="4"/>
      <c r="GY885" s="4"/>
      <c r="GZ885" s="4"/>
      <c r="HA885" s="4"/>
      <c r="HB885" s="4"/>
      <c r="HC885" s="4"/>
      <c r="HD885" s="4"/>
      <c r="HE885" s="4"/>
      <c r="HF885" s="4"/>
      <c r="HG885" s="4"/>
      <c r="HH885" s="4"/>
      <c r="HI885" s="4"/>
      <c r="HJ885" s="4"/>
      <c r="HK885" s="4"/>
      <c r="HL885" s="4"/>
    </row>
    <row r="886" spans="1:220" ht="15" customHeight="1">
      <c r="A886" s="21">
        <v>9</v>
      </c>
      <c r="B886" s="157" t="str">
        <f>VLOOKUP(Ruimtestaat[[#This Row],[Code]],Locaties[[Code]:[Locatie]],2,FALSE)</f>
        <v>Novum-Maartenshal</v>
      </c>
      <c r="C886" s="157" t="str">
        <f>VLOOKUP(Ruimtestaat[[#This Row],[Code]],Locaties[[#All],[Code]:[Adres]],4,FALSE)</f>
        <v>Marcellus Emantslaan 2a</v>
      </c>
      <c r="D886" s="157" t="str">
        <f>VLOOKUP(Ruimtestaat[[#This Row],[Code]],Locaties[[#All],[Code]:[Postcode]],5,FALSE)</f>
        <v>2247 XL</v>
      </c>
      <c r="E886" s="157" t="str">
        <f>VLOOKUP(Ruimtestaat[[#This Row],[Code]],Locaties[#All],6,FALSE)</f>
        <v>Voorburg</v>
      </c>
      <c r="F886" s="62"/>
      <c r="G886" s="21" t="s">
        <v>1632</v>
      </c>
      <c r="H886" s="21" t="s">
        <v>2371</v>
      </c>
      <c r="I886" s="62" t="s">
        <v>2372</v>
      </c>
      <c r="J886" s="21">
        <v>19</v>
      </c>
      <c r="K886" s="62" t="str">
        <f>VLOOKUP(Ruimtestaat[[#This Row],[Ruimte code]],Ruimtegroepen[[#All],[Code]:[Ruimte omschrijving]],2,FALSE)</f>
        <v>kleedruimten</v>
      </c>
      <c r="L886" s="33" t="s">
        <v>102</v>
      </c>
      <c r="M886" s="367" t="s">
        <v>2496</v>
      </c>
      <c r="N886" s="140">
        <v>7.19</v>
      </c>
      <c r="O886" s="140"/>
      <c r="P886" s="125" t="str">
        <f>VLOOKUP(Ruimtestaat[[#This Row],[Ruimte code]],Ruimtegroepen[],4,FALSE)</f>
        <v>Ve</v>
      </c>
      <c r="R886" s="33">
        <v>40</v>
      </c>
      <c r="S886" s="33" t="s">
        <v>2</v>
      </c>
      <c r="T886" s="33">
        <f>IF(R886&gt;0,IF(RIGHT(Ruimtestaat[[#This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6" s="33">
        <f>IF(T886&gt;0,VLOOKUP($J886,Ruimtegroepen[],3,FALSE)*VLOOKUP($L886,Vloersoorten[],3,FALSE)*VLOOKUP($S886,Frequenties[],3,FALSE)*VLOOKUP($A886,Locaties[],3,FALSE),0)</f>
        <v>0</v>
      </c>
      <c r="V886" s="33">
        <f>Ruimtestaat[[#This Row],[Uitvoeringen werkdagen]]*Ruimtestaat[[#This Row],[Oppervlak (netto)]]</f>
        <v>1438</v>
      </c>
      <c r="W886" s="154">
        <f>IF(U886&gt;0,Ruimtestaat[[#This Row],[Prest. (m2 /jaar) werkdagen]]/Ruimtestaat[[#This Row],[Norm (m2/uur) werkdagen]],0)</f>
        <v>0</v>
      </c>
      <c r="X886" s="155">
        <f>Ruimtestaat[[#This Row],[uren / jaar werkdagen]]*Tariefsopbouw!$E$35</f>
        <v>0</v>
      </c>
      <c r="Y886" s="33"/>
      <c r="Z886" s="33">
        <f>IF(Ruimtestaat[[#This Row],[Frequentie weekend]]&gt;0,VALUE(LEFT(Y886,1))*R886,0)</f>
        <v>0</v>
      </c>
      <c r="AA886" s="97">
        <f>IF($Z886&gt;0,VLOOKUP($J886,Ruimtegroepen[],3,FALSE)*VLOOKUP($L886,Vloersoorten[],3,FALSE)*VLOOKUP($Y886,Frequenties[],3,FALSE)*VLOOKUP(Ruimtestaat[[#This Row],[Code]],Locaties[],3,FALSE),0)</f>
        <v>0</v>
      </c>
      <c r="AB886" s="97">
        <f>Ruimtestaat[[#This Row],[Uitvoeringen weekend]]*Ruimtestaat[[#This Row],[Oppervlak (netto)]]</f>
        <v>0</v>
      </c>
      <c r="AC886" s="97">
        <f>IF(AA886&gt;0,Ruimtestaat[[#This Row],[Prest. (m2 /jaar) weekend]]/Ruimtestaat[[#This Row],[Norm (m2/uur) weekend]],0)</f>
        <v>0</v>
      </c>
      <c r="AD886" s="155">
        <f>Ruimtestaat[[#This Row],[uren / jaar weekend]]*Tariefsopbouw!$D$40</f>
        <v>0</v>
      </c>
      <c r="AE886" s="154">
        <f>Ruimtestaat[[#This Row],[Prest. (m2 /jaar) weekend]]+Ruimtestaat[[#This Row],[Prest. (m2 /jaar) werkdagen]]</f>
        <v>1438</v>
      </c>
      <c r="AF886" s="154">
        <f>Ruimtestaat[[#This Row],[uren / jaar weekend]]+Ruimtestaat[[#This Row],[uren / jaar werkdagen]]</f>
        <v>0</v>
      </c>
      <c r="AG886" s="69">
        <f>Ruimtestaat[[#This Row],[kosten / jaar weekend]]+Ruimtestaat[[#This Row],[kosten / jaar werkdagen]]</f>
        <v>0</v>
      </c>
      <c r="AH886" s="69"/>
      <c r="AI886" s="256" t="str">
        <f>IF(Ruimtestaat[[#This Row],[Frequentie werkdagen]]="","",_xlfn.CONCAT(Ruimtestaat[[#This Row],[Ruimte code]],"-",Ruimtestaat[[#This Row],[Frequentie werkdagen]]," ",Ruimtestaat[[#This Row],[Vloer code]]))</f>
        <v>19-5w S</v>
      </c>
      <c r="AJ886" s="300" t="str">
        <f>_xlfn.IFNA(VLOOKUP($AI886,Programma!$F$3:$G$1107,2,0),"")</f>
        <v>_</v>
      </c>
      <c r="AK886" s="300" t="str">
        <f>_xlfn.IFNA(VLOOKUP($AI886,Programma!$F$3:$H$1107,3,0),"")</f>
        <v>_</v>
      </c>
      <c r="AL886" s="300" t="str">
        <f>_xlfn.IFNA(VLOOKUP($AI886,Programma!$F$3:$I$1107,4,0),"")</f>
        <v>5w</v>
      </c>
      <c r="AM886" s="300" t="str">
        <f>_xlfn.IFNA(VLOOKUP($AI886,Programma!$F$3:$J$1107,5,0),"")</f>
        <v>_</v>
      </c>
      <c r="AN886" s="300" t="str">
        <f>_xlfn.IFNA(VLOOKUP($AI886,Programma!$F$3:$K$1107,6,0),"")</f>
        <v>5w</v>
      </c>
      <c r="AO886" s="300" t="str">
        <f>_xlfn.IFNA(VLOOKUP($AI886,Programma!$F$3:$L$1107,7,0),"")</f>
        <v>_</v>
      </c>
      <c r="AP886" s="300" t="str">
        <f>_xlfn.IFNA(VLOOKUP($AI886,Programma!$F$3:$M$1107,8,0),"")</f>
        <v>_</v>
      </c>
      <c r="AQ886" s="300" t="str">
        <f>_xlfn.IFNA(VLOOKUP($AI886,Programma!$F$3:$N$1107,9,0),"")</f>
        <v>_</v>
      </c>
      <c r="AR886" s="300" t="str">
        <f>_xlfn.IFNA(VLOOKUP($AI886,Programma!$F$3:$O$1107,10,0),"")</f>
        <v>5w</v>
      </c>
      <c r="AS886" s="300" t="str">
        <f>_xlfn.IFNA(VLOOKUP($AI886,Programma!$F$3:$P$1107,11,0),"")</f>
        <v>5w</v>
      </c>
      <c r="AT886" s="300" t="str">
        <f>_xlfn.IFNA(VLOOKUP($AI886,Programma!$F$3:$Q$1107,12,0),"")</f>
        <v>1w</v>
      </c>
      <c r="AU886" s="300" t="str">
        <f>_xlfn.IFNA(VLOOKUP($AI886,Programma!$F$3:$R$1107,13,0),"")</f>
        <v>1w</v>
      </c>
      <c r="AV886" s="300" t="str">
        <f>_xlfn.IFNA(VLOOKUP($AI886,Programma!$F$3:$S$1107,14,0),"")</f>
        <v>1m</v>
      </c>
      <c r="AW886" s="300" t="str">
        <f>_xlfn.IFNA(VLOOKUP($AI886,Programma!$F$3:$T$1107,15,0),"")</f>
        <v>2j</v>
      </c>
      <c r="AX886" s="300" t="str">
        <f>_xlfn.IFNA(VLOOKUP($AI886,Programma!$F$3:$U$1107,16,0),"")</f>
        <v>1j</v>
      </c>
      <c r="AY886" s="300" t="str">
        <f>_xlfn.IFNA(VLOOKUP($AI886,Programma!$F$3:$V$1107,17,0),"")</f>
        <v>_</v>
      </c>
      <c r="AZ886" s="300" t="str">
        <f>_xlfn.IFNA(VLOOKUP($AI886,Programma!$F$3:$W$1107,18,0),"")</f>
        <v>_</v>
      </c>
      <c r="BA886" s="300" t="str">
        <f>_xlfn.IFNA(VLOOKUP($AI886,Programma!$F$3:$X$1107,19,0),"")</f>
        <v>_</v>
      </c>
      <c r="BB886" s="300" t="str">
        <f>_xlfn.IFNA(VLOOKUP($AI886,Programma!$F$3:$Y$1107,20,0),"")</f>
        <v>_</v>
      </c>
      <c r="BC886" s="257"/>
      <c r="BD886" s="256" t="str">
        <f>IF(Ruimtestaat[[#This Row],[Frequentie weekend]]="","",_xlfn.CONCAT(Ruimtestaat[[#This Row],[Ruimte code]],"-",Ruimtestaat[[#This Row],[Frequentie weekend]]," ",Ruimtestaat[[#This Row],[Vloer code]]))</f>
        <v/>
      </c>
      <c r="BE886" s="300" t="str">
        <f>_xlfn.IFNA(VLOOKUP($BD886,Programma!$F$3:$G$1107,2,0),"")</f>
        <v/>
      </c>
      <c r="BF886" s="300" t="str">
        <f>_xlfn.IFNA(VLOOKUP($BD886,Programma!$F$3:$H$1107,3,0),"")</f>
        <v/>
      </c>
      <c r="BG886" s="300" t="str">
        <f>_xlfn.IFNA(VLOOKUP($BD886,Programma!$F$3:$I$1107,4,0),"")</f>
        <v/>
      </c>
      <c r="BH886" s="300" t="str">
        <f>_xlfn.IFNA(VLOOKUP($BD886,Programma!$F$3:$J$1107,5,0),"")</f>
        <v/>
      </c>
      <c r="BI886" s="300" t="str">
        <f>_xlfn.IFNA(VLOOKUP($BD886,Programma!$F$3:$K$1107,6,0),"")</f>
        <v/>
      </c>
      <c r="BJ886" s="300" t="str">
        <f>_xlfn.IFNA(VLOOKUP($BD886,Programma!$F$3:$L$1107,7,0),"")</f>
        <v/>
      </c>
      <c r="BK886" s="300" t="str">
        <f>_xlfn.IFNA(VLOOKUP($BD886,Programma!$F$3:$M$1107,8,0),"")</f>
        <v/>
      </c>
      <c r="BL886" s="300" t="str">
        <f>_xlfn.IFNA(VLOOKUP($BD886,Programma!$F$3:$N$1107,9,0),"")</f>
        <v/>
      </c>
      <c r="BM886" s="300" t="str">
        <f>_xlfn.IFNA(VLOOKUP($BD886,Programma!$F$3:$O$1107,10,0),"")</f>
        <v/>
      </c>
      <c r="BN886" s="300" t="str">
        <f>_xlfn.IFNA(VLOOKUP($BD886,Programma!$F$3:$P$1107,11,0),"")</f>
        <v/>
      </c>
      <c r="BO886" s="300" t="str">
        <f>_xlfn.IFNA(VLOOKUP($BD886,Programma!$F$3:$Q$1107,12,0),"")</f>
        <v/>
      </c>
      <c r="BP886" s="300" t="str">
        <f>_xlfn.IFNA(VLOOKUP($BD886,Programma!$F$3:$R$1107,13,0),"")</f>
        <v/>
      </c>
      <c r="BQ886" s="300" t="str">
        <f>_xlfn.IFNA(VLOOKUP($BD886,Programma!$F$3:$S$1107,14,0),"")</f>
        <v/>
      </c>
      <c r="BR886" s="300" t="str">
        <f>_xlfn.IFNA(VLOOKUP($BD886,Programma!$F$3:$T$1107,15,0),"")</f>
        <v/>
      </c>
      <c r="BS886" s="300" t="str">
        <f>_xlfn.IFNA(VLOOKUP($BD886,Programma!$F$3:$U$1107,16,0),"")</f>
        <v/>
      </c>
      <c r="BT886" s="300" t="str">
        <f>_xlfn.IFNA(VLOOKUP($BD886,Programma!$F$3:$V$1107,17,0),"")</f>
        <v/>
      </c>
      <c r="BU886" s="300" t="str">
        <f>_xlfn.IFNA(VLOOKUP($BD886,Programma!$F$3:$W$1107,18,0),"")</f>
        <v/>
      </c>
      <c r="BV886" s="300" t="str">
        <f>_xlfn.IFNA(VLOOKUP($BD886,Programma!$F$3:$X$1107,19,0),"")</f>
        <v/>
      </c>
      <c r="BW886" s="300" t="str">
        <f>_xlfn.IFNA(VLOOKUP($BD886,Programma!$F$3:$Y$1107,20,0),"")</f>
        <v/>
      </c>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c r="GK886" s="4"/>
      <c r="GL886" s="4"/>
      <c r="GM886" s="4"/>
      <c r="GN886" s="4"/>
      <c r="GO886" s="4"/>
      <c r="GP886" s="4"/>
      <c r="GQ886" s="4"/>
      <c r="GR886" s="4"/>
      <c r="GS886" s="4"/>
      <c r="GT886" s="4"/>
      <c r="GU886" s="4"/>
      <c r="GV886" s="4"/>
      <c r="GW886" s="4"/>
      <c r="GX886" s="4"/>
      <c r="GY886" s="4"/>
      <c r="GZ886" s="4"/>
      <c r="HA886" s="4"/>
      <c r="HB886" s="4"/>
      <c r="HC886" s="4"/>
      <c r="HD886" s="4"/>
      <c r="HE886" s="4"/>
      <c r="HF886" s="4"/>
      <c r="HG886" s="4"/>
      <c r="HH886" s="4"/>
      <c r="HI886" s="4"/>
      <c r="HJ886" s="4"/>
      <c r="HK886" s="4"/>
      <c r="HL886" s="4"/>
    </row>
    <row r="887" spans="1:220" ht="15" customHeight="1">
      <c r="A887" s="21">
        <v>9</v>
      </c>
      <c r="B887" s="157" t="str">
        <f>VLOOKUP(Ruimtestaat[[#This Row],[Code]],Locaties[[Code]:[Locatie]],2,FALSE)</f>
        <v>Novum-Maartenshal</v>
      </c>
      <c r="C887" s="157" t="str">
        <f>VLOOKUP(Ruimtestaat[[#This Row],[Code]],Locaties[[#All],[Code]:[Adres]],4,FALSE)</f>
        <v>Marcellus Emantslaan 2a</v>
      </c>
      <c r="D887" s="157" t="str">
        <f>VLOOKUP(Ruimtestaat[[#This Row],[Code]],Locaties[[#All],[Code]:[Postcode]],5,FALSE)</f>
        <v>2247 XL</v>
      </c>
      <c r="E887" s="157" t="str">
        <f>VLOOKUP(Ruimtestaat[[#This Row],[Code]],Locaties[#All],6,FALSE)</f>
        <v>Voorburg</v>
      </c>
      <c r="F887" s="62"/>
      <c r="G887" s="21" t="s">
        <v>1632</v>
      </c>
      <c r="H887" s="21" t="s">
        <v>2373</v>
      </c>
      <c r="I887" s="62" t="s">
        <v>2374</v>
      </c>
      <c r="J887" s="21">
        <v>18</v>
      </c>
      <c r="K887" s="62" t="str">
        <f>VLOOKUP(Ruimtestaat[[#This Row],[Ruimte code]],Ruimtegroepen[[#All],[Code]:[Ruimte omschrijving]],2,FALSE)</f>
        <v>Gymzaal</v>
      </c>
      <c r="L887" s="33" t="s">
        <v>103</v>
      </c>
      <c r="M887" s="367" t="s">
        <v>2508</v>
      </c>
      <c r="N887" s="140">
        <v>346.19</v>
      </c>
      <c r="O887" s="140"/>
      <c r="P887" s="125" t="str">
        <f>VLOOKUP(Ruimtestaat[[#This Row],[Ruimte code]],Ruimtegroepen[],4,FALSE)</f>
        <v>Sp</v>
      </c>
      <c r="R887" s="33">
        <v>40</v>
      </c>
      <c r="S887" s="33" t="s">
        <v>2</v>
      </c>
      <c r="T887" s="33">
        <f>IF(R887&gt;0,IF(RIGHT(Ruimtestaat[[#This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7" s="33">
        <f>IF(T887&gt;0,VLOOKUP($J887,Ruimtegroepen[],3,FALSE)*VLOOKUP($L887,Vloersoorten[],3,FALSE)*VLOOKUP($S887,Frequenties[],3,FALSE)*VLOOKUP($A887,Locaties[],3,FALSE),0)</f>
        <v>0</v>
      </c>
      <c r="V887" s="33">
        <f>Ruimtestaat[[#This Row],[Uitvoeringen werkdagen]]*Ruimtestaat[[#This Row],[Oppervlak (netto)]]</f>
        <v>69238</v>
      </c>
      <c r="W887" s="154">
        <f>IF(U887&gt;0,Ruimtestaat[[#This Row],[Prest. (m2 /jaar) werkdagen]]/Ruimtestaat[[#This Row],[Norm (m2/uur) werkdagen]],0)</f>
        <v>0</v>
      </c>
      <c r="X887" s="155">
        <f>Ruimtestaat[[#This Row],[uren / jaar werkdagen]]*Tariefsopbouw!$E$35</f>
        <v>0</v>
      </c>
      <c r="Y887" s="33"/>
      <c r="Z887" s="33">
        <f>IF(Ruimtestaat[[#This Row],[Frequentie weekend]]&gt;0,VALUE(LEFT(Y887,1))*R887,0)</f>
        <v>0</v>
      </c>
      <c r="AA887" s="97">
        <f>IF($Z887&gt;0,VLOOKUP($J887,Ruimtegroepen[],3,FALSE)*VLOOKUP($L887,Vloersoorten[],3,FALSE)*VLOOKUP($Y887,Frequenties[],3,FALSE)*VLOOKUP(Ruimtestaat[[#This Row],[Code]],Locaties[],3,FALSE),0)</f>
        <v>0</v>
      </c>
      <c r="AB887" s="97">
        <f>Ruimtestaat[[#This Row],[Uitvoeringen weekend]]*Ruimtestaat[[#This Row],[Oppervlak (netto)]]</f>
        <v>0</v>
      </c>
      <c r="AC887" s="97">
        <f>IF(AA887&gt;0,Ruimtestaat[[#This Row],[Prest. (m2 /jaar) weekend]]/Ruimtestaat[[#This Row],[Norm (m2/uur) weekend]],0)</f>
        <v>0</v>
      </c>
      <c r="AD887" s="155">
        <f>Ruimtestaat[[#This Row],[uren / jaar weekend]]*Tariefsopbouw!$D$40</f>
        <v>0</v>
      </c>
      <c r="AE887" s="154">
        <f>Ruimtestaat[[#This Row],[Prest. (m2 /jaar) weekend]]+Ruimtestaat[[#This Row],[Prest. (m2 /jaar) werkdagen]]</f>
        <v>69238</v>
      </c>
      <c r="AF887" s="154">
        <f>Ruimtestaat[[#This Row],[uren / jaar weekend]]+Ruimtestaat[[#This Row],[uren / jaar werkdagen]]</f>
        <v>0</v>
      </c>
      <c r="AG887" s="69">
        <f>Ruimtestaat[[#This Row],[kosten / jaar weekend]]+Ruimtestaat[[#This Row],[kosten / jaar werkdagen]]</f>
        <v>0</v>
      </c>
      <c r="AH887" s="69"/>
      <c r="AI887" s="256" t="str">
        <f>IF(Ruimtestaat[[#This Row],[Frequentie werkdagen]]="","",_xlfn.CONCAT(Ruimtestaat[[#This Row],[Ruimte code]],"-",Ruimtestaat[[#This Row],[Frequentie werkdagen]]," ",Ruimtestaat[[#This Row],[Vloer code]]))</f>
        <v>18-5w P</v>
      </c>
      <c r="AJ887" s="300" t="str">
        <f>_xlfn.IFNA(VLOOKUP($AI887,Programma!$F$3:$G$1107,2,0),"")</f>
        <v>_</v>
      </c>
      <c r="AK887" s="300" t="str">
        <f>_xlfn.IFNA(VLOOKUP($AI887,Programma!$F$3:$H$1107,3,0),"")</f>
        <v>_</v>
      </c>
      <c r="AL887" s="300" t="str">
        <f>_xlfn.IFNA(VLOOKUP($AI887,Programma!$F$3:$I$1107,4,0),"")</f>
        <v>4w</v>
      </c>
      <c r="AM887" s="300" t="str">
        <f>_xlfn.IFNA(VLOOKUP($AI887,Programma!$F$3:$J$1107,5,0),"")</f>
        <v>1w</v>
      </c>
      <c r="AN887" s="300" t="str">
        <f>_xlfn.IFNA(VLOOKUP($AI887,Programma!$F$3:$K$1107,6,0),"")</f>
        <v>4j</v>
      </c>
      <c r="AO887" s="300" t="str">
        <f>_xlfn.IFNA(VLOOKUP($AI887,Programma!$F$3:$L$1107,7,0),"")</f>
        <v>_</v>
      </c>
      <c r="AP887" s="300" t="str">
        <f>_xlfn.IFNA(VLOOKUP($AI887,Programma!$F$3:$M$1107,8,0),"")</f>
        <v>_</v>
      </c>
      <c r="AQ887" s="300" t="str">
        <f>_xlfn.IFNA(VLOOKUP($AI887,Programma!$F$3:$N$1107,9,0),"")</f>
        <v>_</v>
      </c>
      <c r="AR887" s="300" t="str">
        <f>_xlfn.IFNA(VLOOKUP($AI887,Programma!$F$3:$O$1107,10,0),"")</f>
        <v>5w</v>
      </c>
      <c r="AS887" s="300" t="str">
        <f>_xlfn.IFNA(VLOOKUP($AI887,Programma!$F$3:$P$1107,11,0),"")</f>
        <v>5w</v>
      </c>
      <c r="AT887" s="300" t="str">
        <f>_xlfn.IFNA(VLOOKUP($AI887,Programma!$F$3:$Q$1107,12,0),"")</f>
        <v>5w</v>
      </c>
      <c r="AU887" s="300" t="str">
        <f>_xlfn.IFNA(VLOOKUP($AI887,Programma!$F$3:$R$1107,13,0),"")</f>
        <v>5w</v>
      </c>
      <c r="AV887" s="300" t="str">
        <f>_xlfn.IFNA(VLOOKUP($AI887,Programma!$F$3:$S$1107,14,0),"")</f>
        <v>1m</v>
      </c>
      <c r="AW887" s="300" t="str">
        <f>_xlfn.IFNA(VLOOKUP($AI887,Programma!$F$3:$T$1107,15,0),"")</f>
        <v>2j</v>
      </c>
      <c r="AX887" s="300" t="str">
        <f>_xlfn.IFNA(VLOOKUP($AI887,Programma!$F$3:$U$1107,16,0),"")</f>
        <v>1j</v>
      </c>
      <c r="AY887" s="300" t="str">
        <f>_xlfn.IFNA(VLOOKUP($AI887,Programma!$F$3:$V$1107,17,0),"")</f>
        <v>_</v>
      </c>
      <c r="AZ887" s="300" t="str">
        <f>_xlfn.IFNA(VLOOKUP($AI887,Programma!$F$3:$W$1107,18,0),"")</f>
        <v>_</v>
      </c>
      <c r="BA887" s="300" t="str">
        <f>_xlfn.IFNA(VLOOKUP($AI887,Programma!$F$3:$X$1107,19,0),"")</f>
        <v>_</v>
      </c>
      <c r="BB887" s="300" t="str">
        <f>_xlfn.IFNA(VLOOKUP($AI887,Programma!$F$3:$Y$1107,20,0),"")</f>
        <v>_</v>
      </c>
      <c r="BC887" s="257"/>
      <c r="BD887" s="256" t="str">
        <f>IF(Ruimtestaat[[#This Row],[Frequentie weekend]]="","",_xlfn.CONCAT(Ruimtestaat[[#This Row],[Ruimte code]],"-",Ruimtestaat[[#This Row],[Frequentie weekend]]," ",Ruimtestaat[[#This Row],[Vloer code]]))</f>
        <v/>
      </c>
      <c r="BE887" s="300" t="str">
        <f>_xlfn.IFNA(VLOOKUP($BD887,Programma!$F$3:$G$1107,2,0),"")</f>
        <v/>
      </c>
      <c r="BF887" s="300" t="str">
        <f>_xlfn.IFNA(VLOOKUP($BD887,Programma!$F$3:$H$1107,3,0),"")</f>
        <v/>
      </c>
      <c r="BG887" s="300" t="str">
        <f>_xlfn.IFNA(VLOOKUP($BD887,Programma!$F$3:$I$1107,4,0),"")</f>
        <v/>
      </c>
      <c r="BH887" s="300" t="str">
        <f>_xlfn.IFNA(VLOOKUP($BD887,Programma!$F$3:$J$1107,5,0),"")</f>
        <v/>
      </c>
      <c r="BI887" s="300" t="str">
        <f>_xlfn.IFNA(VLOOKUP($BD887,Programma!$F$3:$K$1107,6,0),"")</f>
        <v/>
      </c>
      <c r="BJ887" s="300" t="str">
        <f>_xlfn.IFNA(VLOOKUP($BD887,Programma!$F$3:$L$1107,7,0),"")</f>
        <v/>
      </c>
      <c r="BK887" s="300" t="str">
        <f>_xlfn.IFNA(VLOOKUP($BD887,Programma!$F$3:$M$1107,8,0),"")</f>
        <v/>
      </c>
      <c r="BL887" s="300" t="str">
        <f>_xlfn.IFNA(VLOOKUP($BD887,Programma!$F$3:$N$1107,9,0),"")</f>
        <v/>
      </c>
      <c r="BM887" s="300" t="str">
        <f>_xlfn.IFNA(VLOOKUP($BD887,Programma!$F$3:$O$1107,10,0),"")</f>
        <v/>
      </c>
      <c r="BN887" s="300" t="str">
        <f>_xlfn.IFNA(VLOOKUP($BD887,Programma!$F$3:$P$1107,11,0),"")</f>
        <v/>
      </c>
      <c r="BO887" s="300" t="str">
        <f>_xlfn.IFNA(VLOOKUP($BD887,Programma!$F$3:$Q$1107,12,0),"")</f>
        <v/>
      </c>
      <c r="BP887" s="300" t="str">
        <f>_xlfn.IFNA(VLOOKUP($BD887,Programma!$F$3:$R$1107,13,0),"")</f>
        <v/>
      </c>
      <c r="BQ887" s="300" t="str">
        <f>_xlfn.IFNA(VLOOKUP($BD887,Programma!$F$3:$S$1107,14,0),"")</f>
        <v/>
      </c>
      <c r="BR887" s="300" t="str">
        <f>_xlfn.IFNA(VLOOKUP($BD887,Programma!$F$3:$T$1107,15,0),"")</f>
        <v/>
      </c>
      <c r="BS887" s="300" t="str">
        <f>_xlfn.IFNA(VLOOKUP($BD887,Programma!$F$3:$U$1107,16,0),"")</f>
        <v/>
      </c>
      <c r="BT887" s="300" t="str">
        <f>_xlfn.IFNA(VLOOKUP($BD887,Programma!$F$3:$V$1107,17,0),"")</f>
        <v/>
      </c>
      <c r="BU887" s="300" t="str">
        <f>_xlfn.IFNA(VLOOKUP($BD887,Programma!$F$3:$W$1107,18,0),"")</f>
        <v/>
      </c>
      <c r="BV887" s="300" t="str">
        <f>_xlfn.IFNA(VLOOKUP($BD887,Programma!$F$3:$X$1107,19,0),"")</f>
        <v/>
      </c>
      <c r="BW887" s="300" t="str">
        <f>_xlfn.IFNA(VLOOKUP($BD887,Programma!$F$3:$Y$1107,20,0),"")</f>
        <v/>
      </c>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c r="GK887" s="4"/>
      <c r="GL887" s="4"/>
      <c r="GM887" s="4"/>
      <c r="GN887" s="4"/>
      <c r="GO887" s="4"/>
      <c r="GP887" s="4"/>
      <c r="GQ887" s="4"/>
      <c r="GR887" s="4"/>
      <c r="GS887" s="4"/>
      <c r="GT887" s="4"/>
      <c r="GU887" s="4"/>
      <c r="GV887" s="4"/>
      <c r="GW887" s="4"/>
      <c r="GX887" s="4"/>
      <c r="GY887" s="4"/>
      <c r="GZ887" s="4"/>
      <c r="HA887" s="4"/>
      <c r="HB887" s="4"/>
      <c r="HC887" s="4"/>
      <c r="HD887" s="4"/>
      <c r="HE887" s="4"/>
      <c r="HF887" s="4"/>
      <c r="HG887" s="4"/>
      <c r="HH887" s="4"/>
      <c r="HI887" s="4"/>
      <c r="HJ887" s="4"/>
      <c r="HK887" s="4"/>
      <c r="HL887" s="4"/>
    </row>
    <row r="888" spans="1:220" ht="15" customHeight="1">
      <c r="A888" s="21">
        <v>9</v>
      </c>
      <c r="B888" s="157" t="str">
        <f>VLOOKUP(Ruimtestaat[[#This Row],[Code]],Locaties[[Code]:[Locatie]],2,FALSE)</f>
        <v>Novum-Maartenshal</v>
      </c>
      <c r="C888" s="157" t="str">
        <f>VLOOKUP(Ruimtestaat[[#This Row],[Code]],Locaties[[#All],[Code]:[Adres]],4,FALSE)</f>
        <v>Marcellus Emantslaan 2a</v>
      </c>
      <c r="D888" s="157" t="str">
        <f>VLOOKUP(Ruimtestaat[[#This Row],[Code]],Locaties[[#All],[Code]:[Postcode]],5,FALSE)</f>
        <v>2247 XL</v>
      </c>
      <c r="E888" s="157" t="str">
        <f>VLOOKUP(Ruimtestaat[[#This Row],[Code]],Locaties[#All],6,FALSE)</f>
        <v>Voorburg</v>
      </c>
      <c r="F888" s="62"/>
      <c r="G888" s="21" t="s">
        <v>1632</v>
      </c>
      <c r="H888" s="21" t="s">
        <v>2375</v>
      </c>
      <c r="I888" s="62" t="s">
        <v>2376</v>
      </c>
      <c r="J888" s="21">
        <v>18</v>
      </c>
      <c r="K888" s="62" t="str">
        <f>VLOOKUP(Ruimtestaat[[#This Row],[Ruimte code]],Ruimtegroepen[[#All],[Code]:[Ruimte omschrijving]],2,FALSE)</f>
        <v>Gymzaal</v>
      </c>
      <c r="L888" s="33" t="s">
        <v>103</v>
      </c>
      <c r="M888" s="367" t="s">
        <v>2508</v>
      </c>
      <c r="N888" s="140">
        <v>340.26</v>
      </c>
      <c r="O888" s="140"/>
      <c r="P888" s="125" t="str">
        <f>VLOOKUP(Ruimtestaat[[#This Row],[Ruimte code]],Ruimtegroepen[],4,FALSE)</f>
        <v>Sp</v>
      </c>
      <c r="R888" s="33">
        <v>40</v>
      </c>
      <c r="S888" s="33" t="s">
        <v>2</v>
      </c>
      <c r="T888" s="33">
        <f>IF(R888&gt;0,IF(RIGHT(Ruimtestaat[[#This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8" s="33">
        <f>IF(T888&gt;0,VLOOKUP($J888,Ruimtegroepen[],3,FALSE)*VLOOKUP($L888,Vloersoorten[],3,FALSE)*VLOOKUP($S888,Frequenties[],3,FALSE)*VLOOKUP($A888,Locaties[],3,FALSE),0)</f>
        <v>0</v>
      </c>
      <c r="V888" s="33">
        <f>Ruimtestaat[[#This Row],[Uitvoeringen werkdagen]]*Ruimtestaat[[#This Row],[Oppervlak (netto)]]</f>
        <v>68052</v>
      </c>
      <c r="W888" s="154">
        <f>IF(U888&gt;0,Ruimtestaat[[#This Row],[Prest. (m2 /jaar) werkdagen]]/Ruimtestaat[[#This Row],[Norm (m2/uur) werkdagen]],0)</f>
        <v>0</v>
      </c>
      <c r="X888" s="155">
        <f>Ruimtestaat[[#This Row],[uren / jaar werkdagen]]*Tariefsopbouw!$E$35</f>
        <v>0</v>
      </c>
      <c r="Y888" s="33"/>
      <c r="Z888" s="33">
        <f>IF(Ruimtestaat[[#This Row],[Frequentie weekend]]&gt;0,VALUE(LEFT(Y888,1))*R888,0)</f>
        <v>0</v>
      </c>
      <c r="AA888" s="97">
        <f>IF($Z888&gt;0,VLOOKUP($J888,Ruimtegroepen[],3,FALSE)*VLOOKUP($L888,Vloersoorten[],3,FALSE)*VLOOKUP($Y888,Frequenties[],3,FALSE)*VLOOKUP(Ruimtestaat[[#This Row],[Code]],Locaties[],3,FALSE),0)</f>
        <v>0</v>
      </c>
      <c r="AB888" s="97">
        <f>Ruimtestaat[[#This Row],[Uitvoeringen weekend]]*Ruimtestaat[[#This Row],[Oppervlak (netto)]]</f>
        <v>0</v>
      </c>
      <c r="AC888" s="97">
        <f>IF(AA888&gt;0,Ruimtestaat[[#This Row],[Prest. (m2 /jaar) weekend]]/Ruimtestaat[[#This Row],[Norm (m2/uur) weekend]],0)</f>
        <v>0</v>
      </c>
      <c r="AD888" s="155">
        <f>Ruimtestaat[[#This Row],[uren / jaar weekend]]*Tariefsopbouw!$D$40</f>
        <v>0</v>
      </c>
      <c r="AE888" s="154">
        <f>Ruimtestaat[[#This Row],[Prest. (m2 /jaar) weekend]]+Ruimtestaat[[#This Row],[Prest. (m2 /jaar) werkdagen]]</f>
        <v>68052</v>
      </c>
      <c r="AF888" s="154">
        <f>Ruimtestaat[[#This Row],[uren / jaar weekend]]+Ruimtestaat[[#This Row],[uren / jaar werkdagen]]</f>
        <v>0</v>
      </c>
      <c r="AG888" s="69">
        <f>Ruimtestaat[[#This Row],[kosten / jaar weekend]]+Ruimtestaat[[#This Row],[kosten / jaar werkdagen]]</f>
        <v>0</v>
      </c>
      <c r="AH888" s="69"/>
      <c r="AI888" s="256" t="str">
        <f>IF(Ruimtestaat[[#This Row],[Frequentie werkdagen]]="","",_xlfn.CONCAT(Ruimtestaat[[#This Row],[Ruimte code]],"-",Ruimtestaat[[#This Row],[Frequentie werkdagen]]," ",Ruimtestaat[[#This Row],[Vloer code]]))</f>
        <v>18-5w P</v>
      </c>
      <c r="AJ888" s="300" t="str">
        <f>_xlfn.IFNA(VLOOKUP($AI888,Programma!$F$3:$G$1107,2,0),"")</f>
        <v>_</v>
      </c>
      <c r="AK888" s="300" t="str">
        <f>_xlfn.IFNA(VLOOKUP($AI888,Programma!$F$3:$H$1107,3,0),"")</f>
        <v>_</v>
      </c>
      <c r="AL888" s="300" t="str">
        <f>_xlfn.IFNA(VLOOKUP($AI888,Programma!$F$3:$I$1107,4,0),"")</f>
        <v>4w</v>
      </c>
      <c r="AM888" s="300" t="str">
        <f>_xlfn.IFNA(VLOOKUP($AI888,Programma!$F$3:$J$1107,5,0),"")</f>
        <v>1w</v>
      </c>
      <c r="AN888" s="300" t="str">
        <f>_xlfn.IFNA(VLOOKUP($AI888,Programma!$F$3:$K$1107,6,0),"")</f>
        <v>4j</v>
      </c>
      <c r="AO888" s="300" t="str">
        <f>_xlfn.IFNA(VLOOKUP($AI888,Programma!$F$3:$L$1107,7,0),"")</f>
        <v>_</v>
      </c>
      <c r="AP888" s="300" t="str">
        <f>_xlfn.IFNA(VLOOKUP($AI888,Programma!$F$3:$M$1107,8,0),"")</f>
        <v>_</v>
      </c>
      <c r="AQ888" s="300" t="str">
        <f>_xlfn.IFNA(VLOOKUP($AI888,Programma!$F$3:$N$1107,9,0),"")</f>
        <v>_</v>
      </c>
      <c r="AR888" s="300" t="str">
        <f>_xlfn.IFNA(VLOOKUP($AI888,Programma!$F$3:$O$1107,10,0),"")</f>
        <v>5w</v>
      </c>
      <c r="AS888" s="300" t="str">
        <f>_xlfn.IFNA(VLOOKUP($AI888,Programma!$F$3:$P$1107,11,0),"")</f>
        <v>5w</v>
      </c>
      <c r="AT888" s="300" t="str">
        <f>_xlfn.IFNA(VLOOKUP($AI888,Programma!$F$3:$Q$1107,12,0),"")</f>
        <v>5w</v>
      </c>
      <c r="AU888" s="300" t="str">
        <f>_xlfn.IFNA(VLOOKUP($AI888,Programma!$F$3:$R$1107,13,0),"")</f>
        <v>5w</v>
      </c>
      <c r="AV888" s="300" t="str">
        <f>_xlfn.IFNA(VLOOKUP($AI888,Programma!$F$3:$S$1107,14,0),"")</f>
        <v>1m</v>
      </c>
      <c r="AW888" s="300" t="str">
        <f>_xlfn.IFNA(VLOOKUP($AI888,Programma!$F$3:$T$1107,15,0),"")</f>
        <v>2j</v>
      </c>
      <c r="AX888" s="300" t="str">
        <f>_xlfn.IFNA(VLOOKUP($AI888,Programma!$F$3:$U$1107,16,0),"")</f>
        <v>1j</v>
      </c>
      <c r="AY888" s="300" t="str">
        <f>_xlfn.IFNA(VLOOKUP($AI888,Programma!$F$3:$V$1107,17,0),"")</f>
        <v>_</v>
      </c>
      <c r="AZ888" s="300" t="str">
        <f>_xlfn.IFNA(VLOOKUP($AI888,Programma!$F$3:$W$1107,18,0),"")</f>
        <v>_</v>
      </c>
      <c r="BA888" s="300" t="str">
        <f>_xlfn.IFNA(VLOOKUP($AI888,Programma!$F$3:$X$1107,19,0),"")</f>
        <v>_</v>
      </c>
      <c r="BB888" s="300" t="str">
        <f>_xlfn.IFNA(VLOOKUP($AI888,Programma!$F$3:$Y$1107,20,0),"")</f>
        <v>_</v>
      </c>
      <c r="BC888" s="257"/>
      <c r="BD888" s="256" t="str">
        <f>IF(Ruimtestaat[[#This Row],[Frequentie weekend]]="","",_xlfn.CONCAT(Ruimtestaat[[#This Row],[Ruimte code]],"-",Ruimtestaat[[#This Row],[Frequentie weekend]]," ",Ruimtestaat[[#This Row],[Vloer code]]))</f>
        <v/>
      </c>
      <c r="BE888" s="300" t="str">
        <f>_xlfn.IFNA(VLOOKUP($BD888,Programma!$F$3:$G$1107,2,0),"")</f>
        <v/>
      </c>
      <c r="BF888" s="300" t="str">
        <f>_xlfn.IFNA(VLOOKUP($BD888,Programma!$F$3:$H$1107,3,0),"")</f>
        <v/>
      </c>
      <c r="BG888" s="300" t="str">
        <f>_xlfn.IFNA(VLOOKUP($BD888,Programma!$F$3:$I$1107,4,0),"")</f>
        <v/>
      </c>
      <c r="BH888" s="300" t="str">
        <f>_xlfn.IFNA(VLOOKUP($BD888,Programma!$F$3:$J$1107,5,0),"")</f>
        <v/>
      </c>
      <c r="BI888" s="300" t="str">
        <f>_xlfn.IFNA(VLOOKUP($BD888,Programma!$F$3:$K$1107,6,0),"")</f>
        <v/>
      </c>
      <c r="BJ888" s="300" t="str">
        <f>_xlfn.IFNA(VLOOKUP($BD888,Programma!$F$3:$L$1107,7,0),"")</f>
        <v/>
      </c>
      <c r="BK888" s="300" t="str">
        <f>_xlfn.IFNA(VLOOKUP($BD888,Programma!$F$3:$M$1107,8,0),"")</f>
        <v/>
      </c>
      <c r="BL888" s="300" t="str">
        <f>_xlfn.IFNA(VLOOKUP($BD888,Programma!$F$3:$N$1107,9,0),"")</f>
        <v/>
      </c>
      <c r="BM888" s="300" t="str">
        <f>_xlfn.IFNA(VLOOKUP($BD888,Programma!$F$3:$O$1107,10,0),"")</f>
        <v/>
      </c>
      <c r="BN888" s="300" t="str">
        <f>_xlfn.IFNA(VLOOKUP($BD888,Programma!$F$3:$P$1107,11,0),"")</f>
        <v/>
      </c>
      <c r="BO888" s="300" t="str">
        <f>_xlfn.IFNA(VLOOKUP($BD888,Programma!$F$3:$Q$1107,12,0),"")</f>
        <v/>
      </c>
      <c r="BP888" s="300" t="str">
        <f>_xlfn.IFNA(VLOOKUP($BD888,Programma!$F$3:$R$1107,13,0),"")</f>
        <v/>
      </c>
      <c r="BQ888" s="300" t="str">
        <f>_xlfn.IFNA(VLOOKUP($BD888,Programma!$F$3:$S$1107,14,0),"")</f>
        <v/>
      </c>
      <c r="BR888" s="300" t="str">
        <f>_xlfn.IFNA(VLOOKUP($BD888,Programma!$F$3:$T$1107,15,0),"")</f>
        <v/>
      </c>
      <c r="BS888" s="300" t="str">
        <f>_xlfn.IFNA(VLOOKUP($BD888,Programma!$F$3:$U$1107,16,0),"")</f>
        <v/>
      </c>
      <c r="BT888" s="300" t="str">
        <f>_xlfn.IFNA(VLOOKUP($BD888,Programma!$F$3:$V$1107,17,0),"")</f>
        <v/>
      </c>
      <c r="BU888" s="300" t="str">
        <f>_xlfn.IFNA(VLOOKUP($BD888,Programma!$F$3:$W$1107,18,0),"")</f>
        <v/>
      </c>
      <c r="BV888" s="300" t="str">
        <f>_xlfn.IFNA(VLOOKUP($BD888,Programma!$F$3:$X$1107,19,0),"")</f>
        <v/>
      </c>
      <c r="BW888" s="300" t="str">
        <f>_xlfn.IFNA(VLOOKUP($BD888,Programma!$F$3:$Y$1107,20,0),"")</f>
        <v/>
      </c>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c r="GK888" s="4"/>
      <c r="GL888" s="4"/>
      <c r="GM888" s="4"/>
      <c r="GN888" s="4"/>
      <c r="GO888" s="4"/>
      <c r="GP888" s="4"/>
      <c r="GQ888" s="4"/>
      <c r="GR888" s="4"/>
      <c r="GS888" s="4"/>
      <c r="GT888" s="4"/>
      <c r="GU888" s="4"/>
      <c r="GV888" s="4"/>
      <c r="GW888" s="4"/>
      <c r="GX888" s="4"/>
      <c r="GY888" s="4"/>
      <c r="GZ888" s="4"/>
      <c r="HA888" s="4"/>
      <c r="HB888" s="4"/>
      <c r="HC888" s="4"/>
      <c r="HD888" s="4"/>
      <c r="HE888" s="4"/>
      <c r="HF888" s="4"/>
      <c r="HG888" s="4"/>
      <c r="HH888" s="4"/>
      <c r="HI888" s="4"/>
      <c r="HJ888" s="4"/>
      <c r="HK888" s="4"/>
      <c r="HL888" s="4"/>
    </row>
    <row r="889" spans="1:220" ht="15" customHeight="1">
      <c r="A889" s="21">
        <v>9</v>
      </c>
      <c r="B889" s="157" t="str">
        <f>VLOOKUP(Ruimtestaat[[#This Row],[Code]],Locaties[[Code]:[Locatie]],2,FALSE)</f>
        <v>Novum-Maartenshal</v>
      </c>
      <c r="C889" s="157" t="str">
        <f>VLOOKUP(Ruimtestaat[[#This Row],[Code]],Locaties[[#All],[Code]:[Adres]],4,FALSE)</f>
        <v>Marcellus Emantslaan 2a</v>
      </c>
      <c r="D889" s="157" t="str">
        <f>VLOOKUP(Ruimtestaat[[#This Row],[Code]],Locaties[[#All],[Code]:[Postcode]],5,FALSE)</f>
        <v>2247 XL</v>
      </c>
      <c r="E889" s="157" t="str">
        <f>VLOOKUP(Ruimtestaat[[#This Row],[Code]],Locaties[#All],6,FALSE)</f>
        <v>Voorburg</v>
      </c>
      <c r="F889" s="62"/>
      <c r="G889" s="21" t="s">
        <v>1632</v>
      </c>
      <c r="H889" s="21" t="s">
        <v>2377</v>
      </c>
      <c r="I889" s="62" t="s">
        <v>2378</v>
      </c>
      <c r="J889" s="21">
        <v>18</v>
      </c>
      <c r="K889" s="62" t="str">
        <f>VLOOKUP(Ruimtestaat[[#This Row],[Ruimte code]],Ruimtegroepen[[#All],[Code]:[Ruimte omschrijving]],2,FALSE)</f>
        <v>Gymzaal</v>
      </c>
      <c r="L889" s="33" t="s">
        <v>103</v>
      </c>
      <c r="M889" s="367" t="s">
        <v>2508</v>
      </c>
      <c r="N889" s="140">
        <v>346.19</v>
      </c>
      <c r="O889" s="140"/>
      <c r="P889" s="125" t="str">
        <f>VLOOKUP(Ruimtestaat[[#This Row],[Ruimte code]],Ruimtegroepen[],4,FALSE)</f>
        <v>Sp</v>
      </c>
      <c r="R889" s="33">
        <v>40</v>
      </c>
      <c r="S889" s="33" t="s">
        <v>2</v>
      </c>
      <c r="T889" s="33">
        <f>IF(R889&gt;0,IF(RIGHT(Ruimtestaat[[#This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9" s="33">
        <f>IF(T889&gt;0,VLOOKUP($J889,Ruimtegroepen[],3,FALSE)*VLOOKUP($L889,Vloersoorten[],3,FALSE)*VLOOKUP($S889,Frequenties[],3,FALSE)*VLOOKUP($A889,Locaties[],3,FALSE),0)</f>
        <v>0</v>
      </c>
      <c r="V889" s="33">
        <f>Ruimtestaat[[#This Row],[Uitvoeringen werkdagen]]*Ruimtestaat[[#This Row],[Oppervlak (netto)]]</f>
        <v>69238</v>
      </c>
      <c r="W889" s="154">
        <f>IF(U889&gt;0,Ruimtestaat[[#This Row],[Prest. (m2 /jaar) werkdagen]]/Ruimtestaat[[#This Row],[Norm (m2/uur) werkdagen]],0)</f>
        <v>0</v>
      </c>
      <c r="X889" s="155">
        <f>Ruimtestaat[[#This Row],[uren / jaar werkdagen]]*Tariefsopbouw!$E$35</f>
        <v>0</v>
      </c>
      <c r="Y889" s="33"/>
      <c r="Z889" s="33">
        <f>IF(Ruimtestaat[[#This Row],[Frequentie weekend]]&gt;0,VALUE(LEFT(Y889,1))*R889,0)</f>
        <v>0</v>
      </c>
      <c r="AA889" s="97">
        <f>IF($Z889&gt;0,VLOOKUP($J889,Ruimtegroepen[],3,FALSE)*VLOOKUP($L889,Vloersoorten[],3,FALSE)*VLOOKUP($Y889,Frequenties[],3,FALSE)*VLOOKUP(Ruimtestaat[[#This Row],[Code]],Locaties[],3,FALSE),0)</f>
        <v>0</v>
      </c>
      <c r="AB889" s="97">
        <f>Ruimtestaat[[#This Row],[Uitvoeringen weekend]]*Ruimtestaat[[#This Row],[Oppervlak (netto)]]</f>
        <v>0</v>
      </c>
      <c r="AC889" s="97">
        <f>IF(AA889&gt;0,Ruimtestaat[[#This Row],[Prest. (m2 /jaar) weekend]]/Ruimtestaat[[#This Row],[Norm (m2/uur) weekend]],0)</f>
        <v>0</v>
      </c>
      <c r="AD889" s="155">
        <f>Ruimtestaat[[#This Row],[uren / jaar weekend]]*Tariefsopbouw!$D$40</f>
        <v>0</v>
      </c>
      <c r="AE889" s="154">
        <f>Ruimtestaat[[#This Row],[Prest. (m2 /jaar) weekend]]+Ruimtestaat[[#This Row],[Prest. (m2 /jaar) werkdagen]]</f>
        <v>69238</v>
      </c>
      <c r="AF889" s="154">
        <f>Ruimtestaat[[#This Row],[uren / jaar weekend]]+Ruimtestaat[[#This Row],[uren / jaar werkdagen]]</f>
        <v>0</v>
      </c>
      <c r="AG889" s="69">
        <f>Ruimtestaat[[#This Row],[kosten / jaar weekend]]+Ruimtestaat[[#This Row],[kosten / jaar werkdagen]]</f>
        <v>0</v>
      </c>
      <c r="AH889" s="69"/>
      <c r="AI889" s="256" t="str">
        <f>IF(Ruimtestaat[[#This Row],[Frequentie werkdagen]]="","",_xlfn.CONCAT(Ruimtestaat[[#This Row],[Ruimte code]],"-",Ruimtestaat[[#This Row],[Frequentie werkdagen]]," ",Ruimtestaat[[#This Row],[Vloer code]]))</f>
        <v>18-5w P</v>
      </c>
      <c r="AJ889" s="300" t="str">
        <f>_xlfn.IFNA(VLOOKUP($AI889,Programma!$F$3:$G$1107,2,0),"")</f>
        <v>_</v>
      </c>
      <c r="AK889" s="300" t="str">
        <f>_xlfn.IFNA(VLOOKUP($AI889,Programma!$F$3:$H$1107,3,0),"")</f>
        <v>_</v>
      </c>
      <c r="AL889" s="300" t="str">
        <f>_xlfn.IFNA(VLOOKUP($AI889,Programma!$F$3:$I$1107,4,0),"")</f>
        <v>4w</v>
      </c>
      <c r="AM889" s="300" t="str">
        <f>_xlfn.IFNA(VLOOKUP($AI889,Programma!$F$3:$J$1107,5,0),"")</f>
        <v>1w</v>
      </c>
      <c r="AN889" s="300" t="str">
        <f>_xlfn.IFNA(VLOOKUP($AI889,Programma!$F$3:$K$1107,6,0),"")</f>
        <v>4j</v>
      </c>
      <c r="AO889" s="300" t="str">
        <f>_xlfn.IFNA(VLOOKUP($AI889,Programma!$F$3:$L$1107,7,0),"")</f>
        <v>_</v>
      </c>
      <c r="AP889" s="300" t="str">
        <f>_xlfn.IFNA(VLOOKUP($AI889,Programma!$F$3:$M$1107,8,0),"")</f>
        <v>_</v>
      </c>
      <c r="AQ889" s="300" t="str">
        <f>_xlfn.IFNA(VLOOKUP($AI889,Programma!$F$3:$N$1107,9,0),"")</f>
        <v>_</v>
      </c>
      <c r="AR889" s="300" t="str">
        <f>_xlfn.IFNA(VLOOKUP($AI889,Programma!$F$3:$O$1107,10,0),"")</f>
        <v>5w</v>
      </c>
      <c r="AS889" s="300" t="str">
        <f>_xlfn.IFNA(VLOOKUP($AI889,Programma!$F$3:$P$1107,11,0),"")</f>
        <v>5w</v>
      </c>
      <c r="AT889" s="300" t="str">
        <f>_xlfn.IFNA(VLOOKUP($AI889,Programma!$F$3:$Q$1107,12,0),"")</f>
        <v>5w</v>
      </c>
      <c r="AU889" s="300" t="str">
        <f>_xlfn.IFNA(VLOOKUP($AI889,Programma!$F$3:$R$1107,13,0),"")</f>
        <v>5w</v>
      </c>
      <c r="AV889" s="300" t="str">
        <f>_xlfn.IFNA(VLOOKUP($AI889,Programma!$F$3:$S$1107,14,0),"")</f>
        <v>1m</v>
      </c>
      <c r="AW889" s="300" t="str">
        <f>_xlfn.IFNA(VLOOKUP($AI889,Programma!$F$3:$T$1107,15,0),"")</f>
        <v>2j</v>
      </c>
      <c r="AX889" s="300" t="str">
        <f>_xlfn.IFNA(VLOOKUP($AI889,Programma!$F$3:$U$1107,16,0),"")</f>
        <v>1j</v>
      </c>
      <c r="AY889" s="300" t="str">
        <f>_xlfn.IFNA(VLOOKUP($AI889,Programma!$F$3:$V$1107,17,0),"")</f>
        <v>_</v>
      </c>
      <c r="AZ889" s="300" t="str">
        <f>_xlfn.IFNA(VLOOKUP($AI889,Programma!$F$3:$W$1107,18,0),"")</f>
        <v>_</v>
      </c>
      <c r="BA889" s="300" t="str">
        <f>_xlfn.IFNA(VLOOKUP($AI889,Programma!$F$3:$X$1107,19,0),"")</f>
        <v>_</v>
      </c>
      <c r="BB889" s="300" t="str">
        <f>_xlfn.IFNA(VLOOKUP($AI889,Programma!$F$3:$Y$1107,20,0),"")</f>
        <v>_</v>
      </c>
      <c r="BC889" s="257"/>
      <c r="BD889" s="256" t="str">
        <f>IF(Ruimtestaat[[#This Row],[Frequentie weekend]]="","",_xlfn.CONCAT(Ruimtestaat[[#This Row],[Ruimte code]],"-",Ruimtestaat[[#This Row],[Frequentie weekend]]," ",Ruimtestaat[[#This Row],[Vloer code]]))</f>
        <v/>
      </c>
      <c r="BE889" s="300" t="str">
        <f>_xlfn.IFNA(VLOOKUP($BD889,Programma!$F$3:$G$1107,2,0),"")</f>
        <v/>
      </c>
      <c r="BF889" s="300" t="str">
        <f>_xlfn.IFNA(VLOOKUP($BD889,Programma!$F$3:$H$1107,3,0),"")</f>
        <v/>
      </c>
      <c r="BG889" s="300" t="str">
        <f>_xlfn.IFNA(VLOOKUP($BD889,Programma!$F$3:$I$1107,4,0),"")</f>
        <v/>
      </c>
      <c r="BH889" s="300" t="str">
        <f>_xlfn.IFNA(VLOOKUP($BD889,Programma!$F$3:$J$1107,5,0),"")</f>
        <v/>
      </c>
      <c r="BI889" s="300" t="str">
        <f>_xlfn.IFNA(VLOOKUP($BD889,Programma!$F$3:$K$1107,6,0),"")</f>
        <v/>
      </c>
      <c r="BJ889" s="300" t="str">
        <f>_xlfn.IFNA(VLOOKUP($BD889,Programma!$F$3:$L$1107,7,0),"")</f>
        <v/>
      </c>
      <c r="BK889" s="300" t="str">
        <f>_xlfn.IFNA(VLOOKUP($BD889,Programma!$F$3:$M$1107,8,0),"")</f>
        <v/>
      </c>
      <c r="BL889" s="300" t="str">
        <f>_xlfn.IFNA(VLOOKUP($BD889,Programma!$F$3:$N$1107,9,0),"")</f>
        <v/>
      </c>
      <c r="BM889" s="300" t="str">
        <f>_xlfn.IFNA(VLOOKUP($BD889,Programma!$F$3:$O$1107,10,0),"")</f>
        <v/>
      </c>
      <c r="BN889" s="300" t="str">
        <f>_xlfn.IFNA(VLOOKUP($BD889,Programma!$F$3:$P$1107,11,0),"")</f>
        <v/>
      </c>
      <c r="BO889" s="300" t="str">
        <f>_xlfn.IFNA(VLOOKUP($BD889,Programma!$F$3:$Q$1107,12,0),"")</f>
        <v/>
      </c>
      <c r="BP889" s="300" t="str">
        <f>_xlfn.IFNA(VLOOKUP($BD889,Programma!$F$3:$R$1107,13,0),"")</f>
        <v/>
      </c>
      <c r="BQ889" s="300" t="str">
        <f>_xlfn.IFNA(VLOOKUP($BD889,Programma!$F$3:$S$1107,14,0),"")</f>
        <v/>
      </c>
      <c r="BR889" s="300" t="str">
        <f>_xlfn.IFNA(VLOOKUP($BD889,Programma!$F$3:$T$1107,15,0),"")</f>
        <v/>
      </c>
      <c r="BS889" s="300" t="str">
        <f>_xlfn.IFNA(VLOOKUP($BD889,Programma!$F$3:$U$1107,16,0),"")</f>
        <v/>
      </c>
      <c r="BT889" s="300" t="str">
        <f>_xlfn.IFNA(VLOOKUP($BD889,Programma!$F$3:$V$1107,17,0),"")</f>
        <v/>
      </c>
      <c r="BU889" s="300" t="str">
        <f>_xlfn.IFNA(VLOOKUP($BD889,Programma!$F$3:$W$1107,18,0),"")</f>
        <v/>
      </c>
      <c r="BV889" s="300" t="str">
        <f>_xlfn.IFNA(VLOOKUP($BD889,Programma!$F$3:$X$1107,19,0),"")</f>
        <v/>
      </c>
      <c r="BW889" s="300" t="str">
        <f>_xlfn.IFNA(VLOOKUP($BD889,Programma!$F$3:$Y$1107,20,0),"")</f>
        <v/>
      </c>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c r="GK889" s="4"/>
      <c r="GL889" s="4"/>
      <c r="GM889" s="4"/>
      <c r="GN889" s="4"/>
      <c r="GO889" s="4"/>
      <c r="GP889" s="4"/>
      <c r="GQ889" s="4"/>
      <c r="GR889" s="4"/>
      <c r="GS889" s="4"/>
      <c r="GT889" s="4"/>
      <c r="GU889" s="4"/>
      <c r="GV889" s="4"/>
      <c r="GW889" s="4"/>
      <c r="GX889" s="4"/>
      <c r="GY889" s="4"/>
      <c r="GZ889" s="4"/>
      <c r="HA889" s="4"/>
      <c r="HB889" s="4"/>
      <c r="HC889" s="4"/>
      <c r="HD889" s="4"/>
      <c r="HE889" s="4"/>
      <c r="HF889" s="4"/>
      <c r="HG889" s="4"/>
      <c r="HH889" s="4"/>
      <c r="HI889" s="4"/>
      <c r="HJ889" s="4"/>
      <c r="HK889" s="4"/>
      <c r="HL889" s="4"/>
    </row>
    <row r="890" spans="1:220" ht="15" customHeight="1">
      <c r="A890" s="21">
        <v>9</v>
      </c>
      <c r="B890" s="157" t="str">
        <f>VLOOKUP(Ruimtestaat[[#This Row],[Code]],Locaties[[Code]:[Locatie]],2,FALSE)</f>
        <v>Novum-Maartenshal</v>
      </c>
      <c r="C890" s="157" t="str">
        <f>VLOOKUP(Ruimtestaat[[#This Row],[Code]],Locaties[[#All],[Code]:[Adres]],4,FALSE)</f>
        <v>Marcellus Emantslaan 2a</v>
      </c>
      <c r="D890" s="157" t="str">
        <f>VLOOKUP(Ruimtestaat[[#This Row],[Code]],Locaties[[#All],[Code]:[Postcode]],5,FALSE)</f>
        <v>2247 XL</v>
      </c>
      <c r="E890" s="157" t="str">
        <f>VLOOKUP(Ruimtestaat[[#This Row],[Code]],Locaties[#All],6,FALSE)</f>
        <v>Voorburg</v>
      </c>
      <c r="F890" s="62"/>
      <c r="G890" s="21" t="s">
        <v>1632</v>
      </c>
      <c r="H890" s="21" t="s">
        <v>2379</v>
      </c>
      <c r="I890" s="62" t="s">
        <v>2380</v>
      </c>
      <c r="J890" s="21">
        <v>17</v>
      </c>
      <c r="K890" s="62" t="str">
        <f>VLOOKUP(Ruimtestaat[[#This Row],[Ruimte code]],Ruimtegroepen[[#All],[Code]:[Ruimte omschrijving]],2,FALSE)</f>
        <v>Toestelberging</v>
      </c>
      <c r="L890" s="33" t="s">
        <v>103</v>
      </c>
      <c r="M890" s="367" t="s">
        <v>2508</v>
      </c>
      <c r="N890" s="140">
        <v>55.58</v>
      </c>
      <c r="O890" s="140"/>
      <c r="P890" s="125" t="str">
        <f>VLOOKUP(Ruimtestaat[[#This Row],[Ruimte code]],Ruimtegroepen[],4,FALSE)</f>
        <v>Ve</v>
      </c>
      <c r="R890" s="33">
        <v>40</v>
      </c>
      <c r="S890" s="33" t="s">
        <v>16</v>
      </c>
      <c r="T890" s="33">
        <f>IF(R890&gt;0,IF(RIGHT(Ruimtestaat[[#This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890" s="33">
        <f>IF(T890&gt;0,VLOOKUP($J890,Ruimtegroepen[],3,FALSE)*VLOOKUP($L890,Vloersoorten[],3,FALSE)*VLOOKUP($S890,Frequenties[],3,FALSE)*VLOOKUP($A890,Locaties[],3,FALSE),0)</f>
        <v>0</v>
      </c>
      <c r="V890" s="33">
        <f>Ruimtestaat[[#This Row],[Uitvoeringen werkdagen]]*Ruimtestaat[[#This Row],[Oppervlak (netto)]]</f>
        <v>666.96</v>
      </c>
      <c r="W890" s="154">
        <f>IF(U890&gt;0,Ruimtestaat[[#This Row],[Prest. (m2 /jaar) werkdagen]]/Ruimtestaat[[#This Row],[Norm (m2/uur) werkdagen]],0)</f>
        <v>0</v>
      </c>
      <c r="X890" s="155">
        <f>Ruimtestaat[[#This Row],[uren / jaar werkdagen]]*Tariefsopbouw!$E$35</f>
        <v>0</v>
      </c>
      <c r="Y890" s="33"/>
      <c r="Z890" s="33">
        <f>IF(Ruimtestaat[[#This Row],[Frequentie weekend]]&gt;0,VALUE(LEFT(Y890,1))*R890,0)</f>
        <v>0</v>
      </c>
      <c r="AA890" s="97">
        <f>IF($Z890&gt;0,VLOOKUP($J890,Ruimtegroepen[],3,FALSE)*VLOOKUP($L890,Vloersoorten[],3,FALSE)*VLOOKUP($Y890,Frequenties[],3,FALSE)*VLOOKUP(Ruimtestaat[[#This Row],[Code]],Locaties[],3,FALSE),0)</f>
        <v>0</v>
      </c>
      <c r="AB890" s="97">
        <f>Ruimtestaat[[#This Row],[Uitvoeringen weekend]]*Ruimtestaat[[#This Row],[Oppervlak (netto)]]</f>
        <v>0</v>
      </c>
      <c r="AC890" s="97">
        <f>IF(AA890&gt;0,Ruimtestaat[[#This Row],[Prest. (m2 /jaar) weekend]]/Ruimtestaat[[#This Row],[Norm (m2/uur) weekend]],0)</f>
        <v>0</v>
      </c>
      <c r="AD890" s="155">
        <f>Ruimtestaat[[#This Row],[uren / jaar weekend]]*Tariefsopbouw!$D$40</f>
        <v>0</v>
      </c>
      <c r="AE890" s="154">
        <f>Ruimtestaat[[#This Row],[Prest. (m2 /jaar) weekend]]+Ruimtestaat[[#This Row],[Prest. (m2 /jaar) werkdagen]]</f>
        <v>666.96</v>
      </c>
      <c r="AF890" s="154">
        <f>Ruimtestaat[[#This Row],[uren / jaar weekend]]+Ruimtestaat[[#This Row],[uren / jaar werkdagen]]</f>
        <v>0</v>
      </c>
      <c r="AG890" s="69">
        <f>Ruimtestaat[[#This Row],[kosten / jaar weekend]]+Ruimtestaat[[#This Row],[kosten / jaar werkdagen]]</f>
        <v>0</v>
      </c>
      <c r="AH890" s="69"/>
      <c r="AI890" s="256" t="str">
        <f>IF(Ruimtestaat[[#This Row],[Frequentie werkdagen]]="","",_xlfn.CONCAT(Ruimtestaat[[#This Row],[Ruimte code]],"-",Ruimtestaat[[#This Row],[Frequentie werkdagen]]," ",Ruimtestaat[[#This Row],[Vloer code]]))</f>
        <v>17-1m P</v>
      </c>
      <c r="AJ890" s="300" t="str">
        <f>_xlfn.IFNA(VLOOKUP($AI890,Programma!$F$3:$G$1107,2,0),"")</f>
        <v>_</v>
      </c>
      <c r="AK890" s="300" t="str">
        <f>_xlfn.IFNA(VLOOKUP($AI890,Programma!$F$3:$H$1107,3,0),"")</f>
        <v>_</v>
      </c>
      <c r="AL890" s="300" t="str">
        <f>_xlfn.IFNA(VLOOKUP($AI890,Programma!$F$3:$I$1107,4,0),"")</f>
        <v>1m</v>
      </c>
      <c r="AM890" s="300" t="str">
        <f>_xlfn.IFNA(VLOOKUP($AI890,Programma!$F$3:$J$1107,5,0),"")</f>
        <v>_</v>
      </c>
      <c r="AN890" s="300" t="str">
        <f>_xlfn.IFNA(VLOOKUP($AI890,Programma!$F$3:$K$1107,6,0),"")</f>
        <v>4j</v>
      </c>
      <c r="AO890" s="300" t="str">
        <f>_xlfn.IFNA(VLOOKUP($AI890,Programma!$F$3:$L$1107,7,0),"")</f>
        <v>_</v>
      </c>
      <c r="AP890" s="300" t="str">
        <f>_xlfn.IFNA(VLOOKUP($AI890,Programma!$F$3:$M$1107,8,0),"")</f>
        <v>_</v>
      </c>
      <c r="AQ890" s="300" t="str">
        <f>_xlfn.IFNA(VLOOKUP($AI890,Programma!$F$3:$N$1107,9,0),"")</f>
        <v>_</v>
      </c>
      <c r="AR890" s="300" t="str">
        <f>_xlfn.IFNA(VLOOKUP($AI890,Programma!$F$3:$O$1107,10,0),"")</f>
        <v>1m</v>
      </c>
      <c r="AS890" s="300" t="str">
        <f>_xlfn.IFNA(VLOOKUP($AI890,Programma!$F$3:$P$1107,11,0),"")</f>
        <v>1m</v>
      </c>
      <c r="AT890" s="300" t="str">
        <f>_xlfn.IFNA(VLOOKUP($AI890,Programma!$F$3:$Q$1107,12,0),"")</f>
        <v>1m</v>
      </c>
      <c r="AU890" s="300" t="str">
        <f>_xlfn.IFNA(VLOOKUP($AI890,Programma!$F$3:$R$1107,13,0),"")</f>
        <v>1m</v>
      </c>
      <c r="AV890" s="300" t="str">
        <f>_xlfn.IFNA(VLOOKUP($AI890,Programma!$F$3:$S$1107,14,0),"")</f>
        <v>1m</v>
      </c>
      <c r="AW890" s="300" t="str">
        <f>_xlfn.IFNA(VLOOKUP($AI890,Programma!$F$3:$T$1107,15,0),"")</f>
        <v>2j</v>
      </c>
      <c r="AX890" s="300" t="str">
        <f>_xlfn.IFNA(VLOOKUP($AI890,Programma!$F$3:$U$1107,16,0),"")</f>
        <v>1j</v>
      </c>
      <c r="AY890" s="300" t="str">
        <f>_xlfn.IFNA(VLOOKUP($AI890,Programma!$F$3:$V$1107,17,0),"")</f>
        <v>_</v>
      </c>
      <c r="AZ890" s="300" t="str">
        <f>_xlfn.IFNA(VLOOKUP($AI890,Programma!$F$3:$W$1107,18,0),"")</f>
        <v>_</v>
      </c>
      <c r="BA890" s="300" t="str">
        <f>_xlfn.IFNA(VLOOKUP($AI890,Programma!$F$3:$X$1107,19,0),"")</f>
        <v>_</v>
      </c>
      <c r="BB890" s="300" t="str">
        <f>_xlfn.IFNA(VLOOKUP($AI890,Programma!$F$3:$Y$1107,20,0),"")</f>
        <v>_</v>
      </c>
      <c r="BC890" s="257"/>
      <c r="BD890" s="256" t="str">
        <f>IF(Ruimtestaat[[#This Row],[Frequentie weekend]]="","",_xlfn.CONCAT(Ruimtestaat[[#This Row],[Ruimte code]],"-",Ruimtestaat[[#This Row],[Frequentie weekend]]," ",Ruimtestaat[[#This Row],[Vloer code]]))</f>
        <v/>
      </c>
      <c r="BE890" s="300" t="str">
        <f>_xlfn.IFNA(VLOOKUP($BD890,Programma!$F$3:$G$1107,2,0),"")</f>
        <v/>
      </c>
      <c r="BF890" s="300" t="str">
        <f>_xlfn.IFNA(VLOOKUP($BD890,Programma!$F$3:$H$1107,3,0),"")</f>
        <v/>
      </c>
      <c r="BG890" s="300" t="str">
        <f>_xlfn.IFNA(VLOOKUP($BD890,Programma!$F$3:$I$1107,4,0),"")</f>
        <v/>
      </c>
      <c r="BH890" s="300" t="str">
        <f>_xlfn.IFNA(VLOOKUP($BD890,Programma!$F$3:$J$1107,5,0),"")</f>
        <v/>
      </c>
      <c r="BI890" s="300" t="str">
        <f>_xlfn.IFNA(VLOOKUP($BD890,Programma!$F$3:$K$1107,6,0),"")</f>
        <v/>
      </c>
      <c r="BJ890" s="300" t="str">
        <f>_xlfn.IFNA(VLOOKUP($BD890,Programma!$F$3:$L$1107,7,0),"")</f>
        <v/>
      </c>
      <c r="BK890" s="300" t="str">
        <f>_xlfn.IFNA(VLOOKUP($BD890,Programma!$F$3:$M$1107,8,0),"")</f>
        <v/>
      </c>
      <c r="BL890" s="300" t="str">
        <f>_xlfn.IFNA(VLOOKUP($BD890,Programma!$F$3:$N$1107,9,0),"")</f>
        <v/>
      </c>
      <c r="BM890" s="300" t="str">
        <f>_xlfn.IFNA(VLOOKUP($BD890,Programma!$F$3:$O$1107,10,0),"")</f>
        <v/>
      </c>
      <c r="BN890" s="300" t="str">
        <f>_xlfn.IFNA(VLOOKUP($BD890,Programma!$F$3:$P$1107,11,0),"")</f>
        <v/>
      </c>
      <c r="BO890" s="300" t="str">
        <f>_xlfn.IFNA(VLOOKUP($BD890,Programma!$F$3:$Q$1107,12,0),"")</f>
        <v/>
      </c>
      <c r="BP890" s="300" t="str">
        <f>_xlfn.IFNA(VLOOKUP($BD890,Programma!$F$3:$R$1107,13,0),"")</f>
        <v/>
      </c>
      <c r="BQ890" s="300" t="str">
        <f>_xlfn.IFNA(VLOOKUP($BD890,Programma!$F$3:$S$1107,14,0),"")</f>
        <v/>
      </c>
      <c r="BR890" s="300" t="str">
        <f>_xlfn.IFNA(VLOOKUP($BD890,Programma!$F$3:$T$1107,15,0),"")</f>
        <v/>
      </c>
      <c r="BS890" s="300" t="str">
        <f>_xlfn.IFNA(VLOOKUP($BD890,Programma!$F$3:$U$1107,16,0),"")</f>
        <v/>
      </c>
      <c r="BT890" s="300" t="str">
        <f>_xlfn.IFNA(VLOOKUP($BD890,Programma!$F$3:$V$1107,17,0),"")</f>
        <v/>
      </c>
      <c r="BU890" s="300" t="str">
        <f>_xlfn.IFNA(VLOOKUP($BD890,Programma!$F$3:$W$1107,18,0),"")</f>
        <v/>
      </c>
      <c r="BV890" s="300" t="str">
        <f>_xlfn.IFNA(VLOOKUP($BD890,Programma!$F$3:$X$1107,19,0),"")</f>
        <v/>
      </c>
      <c r="BW890" s="300" t="str">
        <f>_xlfn.IFNA(VLOOKUP($BD890,Programma!$F$3:$Y$1107,20,0),"")</f>
        <v/>
      </c>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c r="GK890" s="4"/>
      <c r="GL890" s="4"/>
      <c r="GM890" s="4"/>
      <c r="GN890" s="4"/>
      <c r="GO890" s="4"/>
      <c r="GP890" s="4"/>
      <c r="GQ890" s="4"/>
      <c r="GR890" s="4"/>
      <c r="GS890" s="4"/>
      <c r="GT890" s="4"/>
      <c r="GU890" s="4"/>
      <c r="GV890" s="4"/>
      <c r="GW890" s="4"/>
      <c r="GX890" s="4"/>
      <c r="GY890" s="4"/>
      <c r="GZ890" s="4"/>
      <c r="HA890" s="4"/>
      <c r="HB890" s="4"/>
      <c r="HC890" s="4"/>
      <c r="HD890" s="4"/>
      <c r="HE890" s="4"/>
      <c r="HF890" s="4"/>
      <c r="HG890" s="4"/>
      <c r="HH890" s="4"/>
      <c r="HI890" s="4"/>
      <c r="HJ890" s="4"/>
      <c r="HK890" s="4"/>
      <c r="HL890" s="4"/>
    </row>
    <row r="891" spans="1:220" ht="15" customHeight="1">
      <c r="A891" s="21">
        <v>9</v>
      </c>
      <c r="B891" s="157" t="str">
        <f>VLOOKUP(Ruimtestaat[[#This Row],[Code]],Locaties[[Code]:[Locatie]],2,FALSE)</f>
        <v>Novum-Maartenshal</v>
      </c>
      <c r="C891" s="157" t="str">
        <f>VLOOKUP(Ruimtestaat[[#This Row],[Code]],Locaties[[#All],[Code]:[Adres]],4,FALSE)</f>
        <v>Marcellus Emantslaan 2a</v>
      </c>
      <c r="D891" s="157" t="str">
        <f>VLOOKUP(Ruimtestaat[[#This Row],[Code]],Locaties[[#All],[Code]:[Postcode]],5,FALSE)</f>
        <v>2247 XL</v>
      </c>
      <c r="E891" s="157" t="str">
        <f>VLOOKUP(Ruimtestaat[[#This Row],[Code]],Locaties[#All],6,FALSE)</f>
        <v>Voorburg</v>
      </c>
      <c r="F891" s="62"/>
      <c r="G891" s="21" t="s">
        <v>1632</v>
      </c>
      <c r="H891" s="21" t="s">
        <v>2381</v>
      </c>
      <c r="I891" s="62" t="s">
        <v>2382</v>
      </c>
      <c r="J891" s="21">
        <v>17</v>
      </c>
      <c r="K891" s="62" t="str">
        <f>VLOOKUP(Ruimtestaat[[#This Row],[Ruimte code]],Ruimtegroepen[[#All],[Code]:[Ruimte omschrijving]],2,FALSE)</f>
        <v>Toestelberging</v>
      </c>
      <c r="L891" s="33" t="s">
        <v>103</v>
      </c>
      <c r="M891" s="367" t="s">
        <v>2508</v>
      </c>
      <c r="N891" s="140">
        <v>63.2</v>
      </c>
      <c r="O891" s="140"/>
      <c r="P891" s="125" t="str">
        <f>VLOOKUP(Ruimtestaat[[#This Row],[Ruimte code]],Ruimtegroepen[],4,FALSE)</f>
        <v>Ve</v>
      </c>
      <c r="R891" s="33">
        <v>40</v>
      </c>
      <c r="S891" s="33" t="s">
        <v>16</v>
      </c>
      <c r="T891" s="33">
        <f>IF(R891&gt;0,IF(RIGHT(Ruimtestaat[[#This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891" s="33">
        <f>IF(T891&gt;0,VLOOKUP($J891,Ruimtegroepen[],3,FALSE)*VLOOKUP($L891,Vloersoorten[],3,FALSE)*VLOOKUP($S891,Frequenties[],3,FALSE)*VLOOKUP($A891,Locaties[],3,FALSE),0)</f>
        <v>0</v>
      </c>
      <c r="V891" s="33">
        <f>Ruimtestaat[[#This Row],[Uitvoeringen werkdagen]]*Ruimtestaat[[#This Row],[Oppervlak (netto)]]</f>
        <v>758.40000000000009</v>
      </c>
      <c r="W891" s="154">
        <f>IF(U891&gt;0,Ruimtestaat[[#This Row],[Prest. (m2 /jaar) werkdagen]]/Ruimtestaat[[#This Row],[Norm (m2/uur) werkdagen]],0)</f>
        <v>0</v>
      </c>
      <c r="X891" s="155">
        <f>Ruimtestaat[[#This Row],[uren / jaar werkdagen]]*Tariefsopbouw!$E$35</f>
        <v>0</v>
      </c>
      <c r="Y891" s="33"/>
      <c r="Z891" s="33">
        <f>IF(Ruimtestaat[[#This Row],[Frequentie weekend]]&gt;0,VALUE(LEFT(Y891,1))*R891,0)</f>
        <v>0</v>
      </c>
      <c r="AA891" s="97">
        <f>IF($Z891&gt;0,VLOOKUP($J891,Ruimtegroepen[],3,FALSE)*VLOOKUP($L891,Vloersoorten[],3,FALSE)*VLOOKUP($Y891,Frequenties[],3,FALSE)*VLOOKUP(Ruimtestaat[[#This Row],[Code]],Locaties[],3,FALSE),0)</f>
        <v>0</v>
      </c>
      <c r="AB891" s="97">
        <f>Ruimtestaat[[#This Row],[Uitvoeringen weekend]]*Ruimtestaat[[#This Row],[Oppervlak (netto)]]</f>
        <v>0</v>
      </c>
      <c r="AC891" s="97">
        <f>IF(AA891&gt;0,Ruimtestaat[[#This Row],[Prest. (m2 /jaar) weekend]]/Ruimtestaat[[#This Row],[Norm (m2/uur) weekend]],0)</f>
        <v>0</v>
      </c>
      <c r="AD891" s="155">
        <f>Ruimtestaat[[#This Row],[uren / jaar weekend]]*Tariefsopbouw!$D$40</f>
        <v>0</v>
      </c>
      <c r="AE891" s="154">
        <f>Ruimtestaat[[#This Row],[Prest. (m2 /jaar) weekend]]+Ruimtestaat[[#This Row],[Prest. (m2 /jaar) werkdagen]]</f>
        <v>758.40000000000009</v>
      </c>
      <c r="AF891" s="154">
        <f>Ruimtestaat[[#This Row],[uren / jaar weekend]]+Ruimtestaat[[#This Row],[uren / jaar werkdagen]]</f>
        <v>0</v>
      </c>
      <c r="AG891" s="69">
        <f>Ruimtestaat[[#This Row],[kosten / jaar weekend]]+Ruimtestaat[[#This Row],[kosten / jaar werkdagen]]</f>
        <v>0</v>
      </c>
      <c r="AH891" s="69"/>
      <c r="AI891" s="256" t="str">
        <f>IF(Ruimtestaat[[#This Row],[Frequentie werkdagen]]="","",_xlfn.CONCAT(Ruimtestaat[[#This Row],[Ruimte code]],"-",Ruimtestaat[[#This Row],[Frequentie werkdagen]]," ",Ruimtestaat[[#This Row],[Vloer code]]))</f>
        <v>17-1m P</v>
      </c>
      <c r="AJ891" s="300" t="str">
        <f>_xlfn.IFNA(VLOOKUP($AI891,Programma!$F$3:$G$1107,2,0),"")</f>
        <v>_</v>
      </c>
      <c r="AK891" s="300" t="str">
        <f>_xlfn.IFNA(VLOOKUP($AI891,Programma!$F$3:$H$1107,3,0),"")</f>
        <v>_</v>
      </c>
      <c r="AL891" s="300" t="str">
        <f>_xlfn.IFNA(VLOOKUP($AI891,Programma!$F$3:$I$1107,4,0),"")</f>
        <v>1m</v>
      </c>
      <c r="AM891" s="300" t="str">
        <f>_xlfn.IFNA(VLOOKUP($AI891,Programma!$F$3:$J$1107,5,0),"")</f>
        <v>_</v>
      </c>
      <c r="AN891" s="300" t="str">
        <f>_xlfn.IFNA(VLOOKUP($AI891,Programma!$F$3:$K$1107,6,0),"")</f>
        <v>4j</v>
      </c>
      <c r="AO891" s="300" t="str">
        <f>_xlfn.IFNA(VLOOKUP($AI891,Programma!$F$3:$L$1107,7,0),"")</f>
        <v>_</v>
      </c>
      <c r="AP891" s="300" t="str">
        <f>_xlfn.IFNA(VLOOKUP($AI891,Programma!$F$3:$M$1107,8,0),"")</f>
        <v>_</v>
      </c>
      <c r="AQ891" s="300" t="str">
        <f>_xlfn.IFNA(VLOOKUP($AI891,Programma!$F$3:$N$1107,9,0),"")</f>
        <v>_</v>
      </c>
      <c r="AR891" s="300" t="str">
        <f>_xlfn.IFNA(VLOOKUP($AI891,Programma!$F$3:$O$1107,10,0),"")</f>
        <v>1m</v>
      </c>
      <c r="AS891" s="300" t="str">
        <f>_xlfn.IFNA(VLOOKUP($AI891,Programma!$F$3:$P$1107,11,0),"")</f>
        <v>1m</v>
      </c>
      <c r="AT891" s="300" t="str">
        <f>_xlfn.IFNA(VLOOKUP($AI891,Programma!$F$3:$Q$1107,12,0),"")</f>
        <v>1m</v>
      </c>
      <c r="AU891" s="300" t="str">
        <f>_xlfn.IFNA(VLOOKUP($AI891,Programma!$F$3:$R$1107,13,0),"")</f>
        <v>1m</v>
      </c>
      <c r="AV891" s="300" t="str">
        <f>_xlfn.IFNA(VLOOKUP($AI891,Programma!$F$3:$S$1107,14,0),"")</f>
        <v>1m</v>
      </c>
      <c r="AW891" s="300" t="str">
        <f>_xlfn.IFNA(VLOOKUP($AI891,Programma!$F$3:$T$1107,15,0),"")</f>
        <v>2j</v>
      </c>
      <c r="AX891" s="300" t="str">
        <f>_xlfn.IFNA(VLOOKUP($AI891,Programma!$F$3:$U$1107,16,0),"")</f>
        <v>1j</v>
      </c>
      <c r="AY891" s="300" t="str">
        <f>_xlfn.IFNA(VLOOKUP($AI891,Programma!$F$3:$V$1107,17,0),"")</f>
        <v>_</v>
      </c>
      <c r="AZ891" s="300" t="str">
        <f>_xlfn.IFNA(VLOOKUP($AI891,Programma!$F$3:$W$1107,18,0),"")</f>
        <v>_</v>
      </c>
      <c r="BA891" s="300" t="str">
        <f>_xlfn.IFNA(VLOOKUP($AI891,Programma!$F$3:$X$1107,19,0),"")</f>
        <v>_</v>
      </c>
      <c r="BB891" s="300" t="str">
        <f>_xlfn.IFNA(VLOOKUP($AI891,Programma!$F$3:$Y$1107,20,0),"")</f>
        <v>_</v>
      </c>
      <c r="BC891" s="257"/>
      <c r="BD891" s="256" t="str">
        <f>IF(Ruimtestaat[[#This Row],[Frequentie weekend]]="","",_xlfn.CONCAT(Ruimtestaat[[#This Row],[Ruimte code]],"-",Ruimtestaat[[#This Row],[Frequentie weekend]]," ",Ruimtestaat[[#This Row],[Vloer code]]))</f>
        <v/>
      </c>
      <c r="BE891" s="300" t="str">
        <f>_xlfn.IFNA(VLOOKUP($BD891,Programma!$F$3:$G$1107,2,0),"")</f>
        <v/>
      </c>
      <c r="BF891" s="300" t="str">
        <f>_xlfn.IFNA(VLOOKUP($BD891,Programma!$F$3:$H$1107,3,0),"")</f>
        <v/>
      </c>
      <c r="BG891" s="300" t="str">
        <f>_xlfn.IFNA(VLOOKUP($BD891,Programma!$F$3:$I$1107,4,0),"")</f>
        <v/>
      </c>
      <c r="BH891" s="300" t="str">
        <f>_xlfn.IFNA(VLOOKUP($BD891,Programma!$F$3:$J$1107,5,0),"")</f>
        <v/>
      </c>
      <c r="BI891" s="300" t="str">
        <f>_xlfn.IFNA(VLOOKUP($BD891,Programma!$F$3:$K$1107,6,0),"")</f>
        <v/>
      </c>
      <c r="BJ891" s="300" t="str">
        <f>_xlfn.IFNA(VLOOKUP($BD891,Programma!$F$3:$L$1107,7,0),"")</f>
        <v/>
      </c>
      <c r="BK891" s="300" t="str">
        <f>_xlfn.IFNA(VLOOKUP($BD891,Programma!$F$3:$M$1107,8,0),"")</f>
        <v/>
      </c>
      <c r="BL891" s="300" t="str">
        <f>_xlfn.IFNA(VLOOKUP($BD891,Programma!$F$3:$N$1107,9,0),"")</f>
        <v/>
      </c>
      <c r="BM891" s="300" t="str">
        <f>_xlfn.IFNA(VLOOKUP($BD891,Programma!$F$3:$O$1107,10,0),"")</f>
        <v/>
      </c>
      <c r="BN891" s="300" t="str">
        <f>_xlfn.IFNA(VLOOKUP($BD891,Programma!$F$3:$P$1107,11,0),"")</f>
        <v/>
      </c>
      <c r="BO891" s="300" t="str">
        <f>_xlfn.IFNA(VLOOKUP($BD891,Programma!$F$3:$Q$1107,12,0),"")</f>
        <v/>
      </c>
      <c r="BP891" s="300" t="str">
        <f>_xlfn.IFNA(VLOOKUP($BD891,Programma!$F$3:$R$1107,13,0),"")</f>
        <v/>
      </c>
      <c r="BQ891" s="300" t="str">
        <f>_xlfn.IFNA(VLOOKUP($BD891,Programma!$F$3:$S$1107,14,0),"")</f>
        <v/>
      </c>
      <c r="BR891" s="300" t="str">
        <f>_xlfn.IFNA(VLOOKUP($BD891,Programma!$F$3:$T$1107,15,0),"")</f>
        <v/>
      </c>
      <c r="BS891" s="300" t="str">
        <f>_xlfn.IFNA(VLOOKUP($BD891,Programma!$F$3:$U$1107,16,0),"")</f>
        <v/>
      </c>
      <c r="BT891" s="300" t="str">
        <f>_xlfn.IFNA(VLOOKUP($BD891,Programma!$F$3:$V$1107,17,0),"")</f>
        <v/>
      </c>
      <c r="BU891" s="300" t="str">
        <f>_xlfn.IFNA(VLOOKUP($BD891,Programma!$F$3:$W$1107,18,0),"")</f>
        <v/>
      </c>
      <c r="BV891" s="300" t="str">
        <f>_xlfn.IFNA(VLOOKUP($BD891,Programma!$F$3:$X$1107,19,0),"")</f>
        <v/>
      </c>
      <c r="BW891" s="300" t="str">
        <f>_xlfn.IFNA(VLOOKUP($BD891,Programma!$F$3:$Y$1107,20,0),"")</f>
        <v/>
      </c>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c r="GK891" s="4"/>
      <c r="GL891" s="4"/>
      <c r="GM891" s="4"/>
      <c r="GN891" s="4"/>
      <c r="GO891" s="4"/>
      <c r="GP891" s="4"/>
      <c r="GQ891" s="4"/>
      <c r="GR891" s="4"/>
      <c r="GS891" s="4"/>
      <c r="GT891" s="4"/>
      <c r="GU891" s="4"/>
      <c r="GV891" s="4"/>
      <c r="GW891" s="4"/>
      <c r="GX891" s="4"/>
      <c r="GY891" s="4"/>
      <c r="GZ891" s="4"/>
      <c r="HA891" s="4"/>
      <c r="HB891" s="4"/>
      <c r="HC891" s="4"/>
      <c r="HD891" s="4"/>
      <c r="HE891" s="4"/>
      <c r="HF891" s="4"/>
      <c r="HG891" s="4"/>
      <c r="HH891" s="4"/>
      <c r="HI891" s="4"/>
      <c r="HJ891" s="4"/>
      <c r="HK891" s="4"/>
      <c r="HL891" s="4"/>
    </row>
    <row r="892" spans="1:220" ht="15" customHeight="1">
      <c r="A892" s="21">
        <v>9</v>
      </c>
      <c r="B892" s="157" t="str">
        <f>VLOOKUP(Ruimtestaat[[#This Row],[Code]],Locaties[[Code]:[Locatie]],2,FALSE)</f>
        <v>Novum-Maartenshal</v>
      </c>
      <c r="C892" s="157" t="str">
        <f>VLOOKUP(Ruimtestaat[[#This Row],[Code]],Locaties[[#All],[Code]:[Adres]],4,FALSE)</f>
        <v>Marcellus Emantslaan 2a</v>
      </c>
      <c r="D892" s="157" t="str">
        <f>VLOOKUP(Ruimtestaat[[#This Row],[Code]],Locaties[[#All],[Code]:[Postcode]],5,FALSE)</f>
        <v>2247 XL</v>
      </c>
      <c r="E892" s="157" t="str">
        <f>VLOOKUP(Ruimtestaat[[#This Row],[Code]],Locaties[#All],6,FALSE)</f>
        <v>Voorburg</v>
      </c>
      <c r="F892" s="62"/>
      <c r="G892" s="21" t="s">
        <v>1632</v>
      </c>
      <c r="H892" s="21" t="s">
        <v>2383</v>
      </c>
      <c r="I892" s="62" t="s">
        <v>2384</v>
      </c>
      <c r="J892" s="21">
        <v>17</v>
      </c>
      <c r="K892" s="62" t="str">
        <f>VLOOKUP(Ruimtestaat[[#This Row],[Ruimte code]],Ruimtegroepen[[#All],[Code]:[Ruimte omschrijving]],2,FALSE)</f>
        <v>Toestelberging</v>
      </c>
      <c r="L892" s="33" t="s">
        <v>103</v>
      </c>
      <c r="M892" s="367" t="s">
        <v>2508</v>
      </c>
      <c r="N892" s="140">
        <v>55.71</v>
      </c>
      <c r="O892" s="140"/>
      <c r="P892" s="125" t="str">
        <f>VLOOKUP(Ruimtestaat[[#This Row],[Ruimte code]],Ruimtegroepen[],4,FALSE)</f>
        <v>Ve</v>
      </c>
      <c r="R892" s="33">
        <v>40</v>
      </c>
      <c r="S892" s="33" t="s">
        <v>16</v>
      </c>
      <c r="T892" s="33">
        <f>IF(R892&gt;0,IF(RIGHT(Ruimtestaat[[#This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892" s="33">
        <f>IF(T892&gt;0,VLOOKUP($J892,Ruimtegroepen[],3,FALSE)*VLOOKUP($L892,Vloersoorten[],3,FALSE)*VLOOKUP($S892,Frequenties[],3,FALSE)*VLOOKUP($A892,Locaties[],3,FALSE),0)</f>
        <v>0</v>
      </c>
      <c r="V892" s="33">
        <f>Ruimtestaat[[#This Row],[Uitvoeringen werkdagen]]*Ruimtestaat[[#This Row],[Oppervlak (netto)]]</f>
        <v>668.52</v>
      </c>
      <c r="W892" s="154">
        <f>IF(U892&gt;0,Ruimtestaat[[#This Row],[Prest. (m2 /jaar) werkdagen]]/Ruimtestaat[[#This Row],[Norm (m2/uur) werkdagen]],0)</f>
        <v>0</v>
      </c>
      <c r="X892" s="155">
        <f>Ruimtestaat[[#This Row],[uren / jaar werkdagen]]*Tariefsopbouw!$E$35</f>
        <v>0</v>
      </c>
      <c r="Y892" s="33"/>
      <c r="Z892" s="33">
        <f>IF(Ruimtestaat[[#This Row],[Frequentie weekend]]&gt;0,VALUE(LEFT(Y892,1))*R892,0)</f>
        <v>0</v>
      </c>
      <c r="AA892" s="97">
        <f>IF($Z892&gt;0,VLOOKUP($J892,Ruimtegroepen[],3,FALSE)*VLOOKUP($L892,Vloersoorten[],3,FALSE)*VLOOKUP($Y892,Frequenties[],3,FALSE)*VLOOKUP(Ruimtestaat[[#This Row],[Code]],Locaties[],3,FALSE),0)</f>
        <v>0</v>
      </c>
      <c r="AB892" s="97">
        <f>Ruimtestaat[[#This Row],[Uitvoeringen weekend]]*Ruimtestaat[[#This Row],[Oppervlak (netto)]]</f>
        <v>0</v>
      </c>
      <c r="AC892" s="97">
        <f>IF(AA892&gt;0,Ruimtestaat[[#This Row],[Prest. (m2 /jaar) weekend]]/Ruimtestaat[[#This Row],[Norm (m2/uur) weekend]],0)</f>
        <v>0</v>
      </c>
      <c r="AD892" s="155">
        <f>Ruimtestaat[[#This Row],[uren / jaar weekend]]*Tariefsopbouw!$D$40</f>
        <v>0</v>
      </c>
      <c r="AE892" s="154">
        <f>Ruimtestaat[[#This Row],[Prest. (m2 /jaar) weekend]]+Ruimtestaat[[#This Row],[Prest. (m2 /jaar) werkdagen]]</f>
        <v>668.52</v>
      </c>
      <c r="AF892" s="154">
        <f>Ruimtestaat[[#This Row],[uren / jaar weekend]]+Ruimtestaat[[#This Row],[uren / jaar werkdagen]]</f>
        <v>0</v>
      </c>
      <c r="AG892" s="69">
        <f>Ruimtestaat[[#This Row],[kosten / jaar weekend]]+Ruimtestaat[[#This Row],[kosten / jaar werkdagen]]</f>
        <v>0</v>
      </c>
      <c r="AH892" s="69"/>
      <c r="AI892" s="256" t="str">
        <f>IF(Ruimtestaat[[#This Row],[Frequentie werkdagen]]="","",_xlfn.CONCAT(Ruimtestaat[[#This Row],[Ruimte code]],"-",Ruimtestaat[[#This Row],[Frequentie werkdagen]]," ",Ruimtestaat[[#This Row],[Vloer code]]))</f>
        <v>17-1m P</v>
      </c>
      <c r="AJ892" s="300" t="str">
        <f>_xlfn.IFNA(VLOOKUP($AI892,Programma!$F$3:$G$1107,2,0),"")</f>
        <v>_</v>
      </c>
      <c r="AK892" s="300" t="str">
        <f>_xlfn.IFNA(VLOOKUP($AI892,Programma!$F$3:$H$1107,3,0),"")</f>
        <v>_</v>
      </c>
      <c r="AL892" s="300" t="str">
        <f>_xlfn.IFNA(VLOOKUP($AI892,Programma!$F$3:$I$1107,4,0),"")</f>
        <v>1m</v>
      </c>
      <c r="AM892" s="300" t="str">
        <f>_xlfn.IFNA(VLOOKUP($AI892,Programma!$F$3:$J$1107,5,0),"")</f>
        <v>_</v>
      </c>
      <c r="AN892" s="300" t="str">
        <f>_xlfn.IFNA(VLOOKUP($AI892,Programma!$F$3:$K$1107,6,0),"")</f>
        <v>4j</v>
      </c>
      <c r="AO892" s="300" t="str">
        <f>_xlfn.IFNA(VLOOKUP($AI892,Programma!$F$3:$L$1107,7,0),"")</f>
        <v>_</v>
      </c>
      <c r="AP892" s="300" t="str">
        <f>_xlfn.IFNA(VLOOKUP($AI892,Programma!$F$3:$M$1107,8,0),"")</f>
        <v>_</v>
      </c>
      <c r="AQ892" s="300" t="str">
        <f>_xlfn.IFNA(VLOOKUP($AI892,Programma!$F$3:$N$1107,9,0),"")</f>
        <v>_</v>
      </c>
      <c r="AR892" s="300" t="str">
        <f>_xlfn.IFNA(VLOOKUP($AI892,Programma!$F$3:$O$1107,10,0),"")</f>
        <v>1m</v>
      </c>
      <c r="AS892" s="300" t="str">
        <f>_xlfn.IFNA(VLOOKUP($AI892,Programma!$F$3:$P$1107,11,0),"")</f>
        <v>1m</v>
      </c>
      <c r="AT892" s="300" t="str">
        <f>_xlfn.IFNA(VLOOKUP($AI892,Programma!$F$3:$Q$1107,12,0),"")</f>
        <v>1m</v>
      </c>
      <c r="AU892" s="300" t="str">
        <f>_xlfn.IFNA(VLOOKUP($AI892,Programma!$F$3:$R$1107,13,0),"")</f>
        <v>1m</v>
      </c>
      <c r="AV892" s="300" t="str">
        <f>_xlfn.IFNA(VLOOKUP($AI892,Programma!$F$3:$S$1107,14,0),"")</f>
        <v>1m</v>
      </c>
      <c r="AW892" s="300" t="str">
        <f>_xlfn.IFNA(VLOOKUP($AI892,Programma!$F$3:$T$1107,15,0),"")</f>
        <v>2j</v>
      </c>
      <c r="AX892" s="300" t="str">
        <f>_xlfn.IFNA(VLOOKUP($AI892,Programma!$F$3:$U$1107,16,0),"")</f>
        <v>1j</v>
      </c>
      <c r="AY892" s="300" t="str">
        <f>_xlfn.IFNA(VLOOKUP($AI892,Programma!$F$3:$V$1107,17,0),"")</f>
        <v>_</v>
      </c>
      <c r="AZ892" s="300" t="str">
        <f>_xlfn.IFNA(VLOOKUP($AI892,Programma!$F$3:$W$1107,18,0),"")</f>
        <v>_</v>
      </c>
      <c r="BA892" s="300" t="str">
        <f>_xlfn.IFNA(VLOOKUP($AI892,Programma!$F$3:$X$1107,19,0),"")</f>
        <v>_</v>
      </c>
      <c r="BB892" s="300" t="str">
        <f>_xlfn.IFNA(VLOOKUP($AI892,Programma!$F$3:$Y$1107,20,0),"")</f>
        <v>_</v>
      </c>
      <c r="BC892" s="257"/>
      <c r="BD892" s="256" t="str">
        <f>IF(Ruimtestaat[[#This Row],[Frequentie weekend]]="","",_xlfn.CONCAT(Ruimtestaat[[#This Row],[Ruimte code]],"-",Ruimtestaat[[#This Row],[Frequentie weekend]]," ",Ruimtestaat[[#This Row],[Vloer code]]))</f>
        <v/>
      </c>
      <c r="BE892" s="300" t="str">
        <f>_xlfn.IFNA(VLOOKUP($BD892,Programma!$F$3:$G$1107,2,0),"")</f>
        <v/>
      </c>
      <c r="BF892" s="300" t="str">
        <f>_xlfn.IFNA(VLOOKUP($BD892,Programma!$F$3:$H$1107,3,0),"")</f>
        <v/>
      </c>
      <c r="BG892" s="300" t="str">
        <f>_xlfn.IFNA(VLOOKUP($BD892,Programma!$F$3:$I$1107,4,0),"")</f>
        <v/>
      </c>
      <c r="BH892" s="300" t="str">
        <f>_xlfn.IFNA(VLOOKUP($BD892,Programma!$F$3:$J$1107,5,0),"")</f>
        <v/>
      </c>
      <c r="BI892" s="300" t="str">
        <f>_xlfn.IFNA(VLOOKUP($BD892,Programma!$F$3:$K$1107,6,0),"")</f>
        <v/>
      </c>
      <c r="BJ892" s="300" t="str">
        <f>_xlfn.IFNA(VLOOKUP($BD892,Programma!$F$3:$L$1107,7,0),"")</f>
        <v/>
      </c>
      <c r="BK892" s="300" t="str">
        <f>_xlfn.IFNA(VLOOKUP($BD892,Programma!$F$3:$M$1107,8,0),"")</f>
        <v/>
      </c>
      <c r="BL892" s="300" t="str">
        <f>_xlfn.IFNA(VLOOKUP($BD892,Programma!$F$3:$N$1107,9,0),"")</f>
        <v/>
      </c>
      <c r="BM892" s="300" t="str">
        <f>_xlfn.IFNA(VLOOKUP($BD892,Programma!$F$3:$O$1107,10,0),"")</f>
        <v/>
      </c>
      <c r="BN892" s="300" t="str">
        <f>_xlfn.IFNA(VLOOKUP($BD892,Programma!$F$3:$P$1107,11,0),"")</f>
        <v/>
      </c>
      <c r="BO892" s="300" t="str">
        <f>_xlfn.IFNA(VLOOKUP($BD892,Programma!$F$3:$Q$1107,12,0),"")</f>
        <v/>
      </c>
      <c r="BP892" s="300" t="str">
        <f>_xlfn.IFNA(VLOOKUP($BD892,Programma!$F$3:$R$1107,13,0),"")</f>
        <v/>
      </c>
      <c r="BQ892" s="300" t="str">
        <f>_xlfn.IFNA(VLOOKUP($BD892,Programma!$F$3:$S$1107,14,0),"")</f>
        <v/>
      </c>
      <c r="BR892" s="300" t="str">
        <f>_xlfn.IFNA(VLOOKUP($BD892,Programma!$F$3:$T$1107,15,0),"")</f>
        <v/>
      </c>
      <c r="BS892" s="300" t="str">
        <f>_xlfn.IFNA(VLOOKUP($BD892,Programma!$F$3:$U$1107,16,0),"")</f>
        <v/>
      </c>
      <c r="BT892" s="300" t="str">
        <f>_xlfn.IFNA(VLOOKUP($BD892,Programma!$F$3:$V$1107,17,0),"")</f>
        <v/>
      </c>
      <c r="BU892" s="300" t="str">
        <f>_xlfn.IFNA(VLOOKUP($BD892,Programma!$F$3:$W$1107,18,0),"")</f>
        <v/>
      </c>
      <c r="BV892" s="300" t="str">
        <f>_xlfn.IFNA(VLOOKUP($BD892,Programma!$F$3:$X$1107,19,0),"")</f>
        <v/>
      </c>
      <c r="BW892" s="300" t="str">
        <f>_xlfn.IFNA(VLOOKUP($BD892,Programma!$F$3:$Y$1107,20,0),"")</f>
        <v/>
      </c>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c r="GK892" s="4"/>
      <c r="GL892" s="4"/>
      <c r="GM892" s="4"/>
      <c r="GN892" s="4"/>
      <c r="GO892" s="4"/>
      <c r="GP892" s="4"/>
      <c r="GQ892" s="4"/>
      <c r="GR892" s="4"/>
      <c r="GS892" s="4"/>
      <c r="GT892" s="4"/>
      <c r="GU892" s="4"/>
      <c r="GV892" s="4"/>
      <c r="GW892" s="4"/>
      <c r="GX892" s="4"/>
      <c r="GY892" s="4"/>
      <c r="GZ892" s="4"/>
      <c r="HA892" s="4"/>
      <c r="HB892" s="4"/>
      <c r="HC892" s="4"/>
      <c r="HD892" s="4"/>
      <c r="HE892" s="4"/>
      <c r="HF892" s="4"/>
      <c r="HG892" s="4"/>
      <c r="HH892" s="4"/>
      <c r="HI892" s="4"/>
      <c r="HJ892" s="4"/>
      <c r="HK892" s="4"/>
      <c r="HL892" s="4"/>
    </row>
    <row r="893" spans="1:220" ht="15" customHeight="1">
      <c r="A893" s="21">
        <v>9</v>
      </c>
      <c r="B893" s="157" t="str">
        <f>VLOOKUP(Ruimtestaat[[#This Row],[Code]],Locaties[[Code]:[Locatie]],2,FALSE)</f>
        <v>Novum-Maartenshal</v>
      </c>
      <c r="C893" s="157" t="str">
        <f>VLOOKUP(Ruimtestaat[[#This Row],[Code]],Locaties[[#All],[Code]:[Adres]],4,FALSE)</f>
        <v>Marcellus Emantslaan 2a</v>
      </c>
      <c r="D893" s="157" t="str">
        <f>VLOOKUP(Ruimtestaat[[#This Row],[Code]],Locaties[[#All],[Code]:[Postcode]],5,FALSE)</f>
        <v>2247 XL</v>
      </c>
      <c r="E893" s="157" t="str">
        <f>VLOOKUP(Ruimtestaat[[#This Row],[Code]],Locaties[#All],6,FALSE)</f>
        <v>Voorburg</v>
      </c>
      <c r="F893" s="62"/>
      <c r="G893" s="21" t="s">
        <v>1624</v>
      </c>
      <c r="H893" s="21" t="s">
        <v>1654</v>
      </c>
      <c r="I893" s="62" t="s">
        <v>2385</v>
      </c>
      <c r="J893" s="21">
        <v>10</v>
      </c>
      <c r="K893" s="62" t="str">
        <f>VLOOKUP(Ruimtestaat[[#This Row],[Ruimte code]],Ruimtegroepen[[#All],[Code]:[Ruimte omschrijving]],2,FALSE)</f>
        <v>Trappenhuizen/lift</v>
      </c>
      <c r="L893" s="33" t="s">
        <v>102</v>
      </c>
      <c r="M893" s="367" t="s">
        <v>2496</v>
      </c>
      <c r="N893" s="140">
        <v>4.5599999999999996</v>
      </c>
      <c r="O893" s="140">
        <v>1.5</v>
      </c>
      <c r="P893" s="125" t="str">
        <f>VLOOKUP(Ruimtestaat[[#This Row],[Ruimte code]],Ruimtegroepen[],4,FALSE)</f>
        <v>Ve</v>
      </c>
      <c r="R893" s="33">
        <v>40</v>
      </c>
      <c r="S893" s="33" t="s">
        <v>2</v>
      </c>
      <c r="T893" s="33">
        <f>IF(R893&gt;0,IF(RIGHT(Ruimtestaat[[#This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93" s="33">
        <f>IF(T893&gt;0,VLOOKUP($J893,Ruimtegroepen[],3,FALSE)*VLOOKUP($L893,Vloersoorten[],3,FALSE)*VLOOKUP($S893,Frequenties[],3,FALSE)*VLOOKUP($A893,Locaties[],3,FALSE),0)</f>
        <v>0</v>
      </c>
      <c r="V893" s="33">
        <f>Ruimtestaat[[#This Row],[Uitvoeringen werkdagen]]*Ruimtestaat[[#This Row],[Oppervlak (netto)]]</f>
        <v>911.99999999999989</v>
      </c>
      <c r="W893" s="154">
        <f>IF(U893&gt;0,Ruimtestaat[[#This Row],[Prest. (m2 /jaar) werkdagen]]/Ruimtestaat[[#This Row],[Norm (m2/uur) werkdagen]],0)</f>
        <v>0</v>
      </c>
      <c r="X893" s="155">
        <f>Ruimtestaat[[#This Row],[uren / jaar werkdagen]]*Tariefsopbouw!$E$35</f>
        <v>0</v>
      </c>
      <c r="Y893" s="33"/>
      <c r="Z893" s="33">
        <f>IF(Ruimtestaat[[#This Row],[Frequentie weekend]]&gt;0,VALUE(LEFT(Y893,1))*R893,0)</f>
        <v>0</v>
      </c>
      <c r="AA893" s="97">
        <f>IF($Z893&gt;0,VLOOKUP($J893,Ruimtegroepen[],3,FALSE)*VLOOKUP($L893,Vloersoorten[],3,FALSE)*VLOOKUP($Y893,Frequenties[],3,FALSE)*VLOOKUP(Ruimtestaat[[#This Row],[Code]],Locaties[],3,FALSE),0)</f>
        <v>0</v>
      </c>
      <c r="AB893" s="97">
        <f>Ruimtestaat[[#This Row],[Uitvoeringen weekend]]*Ruimtestaat[[#This Row],[Oppervlak (netto)]]</f>
        <v>0</v>
      </c>
      <c r="AC893" s="97">
        <f>IF(AA893&gt;0,Ruimtestaat[[#This Row],[Prest. (m2 /jaar) weekend]]/Ruimtestaat[[#This Row],[Norm (m2/uur) weekend]],0)</f>
        <v>0</v>
      </c>
      <c r="AD893" s="155">
        <f>Ruimtestaat[[#This Row],[uren / jaar weekend]]*Tariefsopbouw!$D$40</f>
        <v>0</v>
      </c>
      <c r="AE893" s="154">
        <f>Ruimtestaat[[#This Row],[Prest. (m2 /jaar) weekend]]+Ruimtestaat[[#This Row],[Prest. (m2 /jaar) werkdagen]]</f>
        <v>911.99999999999989</v>
      </c>
      <c r="AF893" s="154">
        <f>Ruimtestaat[[#This Row],[uren / jaar weekend]]+Ruimtestaat[[#This Row],[uren / jaar werkdagen]]</f>
        <v>0</v>
      </c>
      <c r="AG893" s="69">
        <f>Ruimtestaat[[#This Row],[kosten / jaar weekend]]+Ruimtestaat[[#This Row],[kosten / jaar werkdagen]]</f>
        <v>0</v>
      </c>
      <c r="AH893" s="69"/>
      <c r="AI893" s="256" t="str">
        <f>IF(Ruimtestaat[[#This Row],[Frequentie werkdagen]]="","",_xlfn.CONCAT(Ruimtestaat[[#This Row],[Ruimte code]],"-",Ruimtestaat[[#This Row],[Frequentie werkdagen]]," ",Ruimtestaat[[#This Row],[Vloer code]]))</f>
        <v>10-5w S</v>
      </c>
      <c r="AJ893" s="300" t="str">
        <f>_xlfn.IFNA(VLOOKUP($AI893,Programma!$F$3:$G$1107,2,0),"")</f>
        <v>_</v>
      </c>
      <c r="AK893" s="300" t="str">
        <f>_xlfn.IFNA(VLOOKUP($AI893,Programma!$F$3:$H$1107,3,0),"")</f>
        <v>_</v>
      </c>
      <c r="AL893" s="300" t="str">
        <f>_xlfn.IFNA(VLOOKUP($AI893,Programma!$F$3:$I$1107,4,0),"")</f>
        <v>4w</v>
      </c>
      <c r="AM893" s="300" t="str">
        <f>_xlfn.IFNA(VLOOKUP($AI893,Programma!$F$3:$J$1107,5,0),"")</f>
        <v>1w</v>
      </c>
      <c r="AN893" s="300" t="str">
        <f>_xlfn.IFNA(VLOOKUP($AI893,Programma!$F$3:$K$1107,6,0),"")</f>
        <v>4j</v>
      </c>
      <c r="AO893" s="300" t="str">
        <f>_xlfn.IFNA(VLOOKUP($AI893,Programma!$F$3:$L$1107,7,0),"")</f>
        <v>_</v>
      </c>
      <c r="AP893" s="300" t="str">
        <f>_xlfn.IFNA(VLOOKUP($AI893,Programma!$F$3:$M$1107,8,0),"")</f>
        <v>_</v>
      </c>
      <c r="AQ893" s="300" t="str">
        <f>_xlfn.IFNA(VLOOKUP($AI893,Programma!$F$3:$N$1107,9,0),"")</f>
        <v>_</v>
      </c>
      <c r="AR893" s="300" t="str">
        <f>_xlfn.IFNA(VLOOKUP($AI893,Programma!$F$3:$O$1107,10,0),"")</f>
        <v>5w</v>
      </c>
      <c r="AS893" s="300" t="str">
        <f>_xlfn.IFNA(VLOOKUP($AI893,Programma!$F$3:$P$1107,11,0),"")</f>
        <v>5w</v>
      </c>
      <c r="AT893" s="300" t="str">
        <f>_xlfn.IFNA(VLOOKUP($AI893,Programma!$F$3:$Q$1107,12,0),"")</f>
        <v>1w</v>
      </c>
      <c r="AU893" s="300" t="str">
        <f>_xlfn.IFNA(VLOOKUP($AI893,Programma!$F$3:$R$1107,13,0),"")</f>
        <v>1w</v>
      </c>
      <c r="AV893" s="300" t="str">
        <f>_xlfn.IFNA(VLOOKUP($AI893,Programma!$F$3:$S$1107,14,0),"")</f>
        <v>1m</v>
      </c>
      <c r="AW893" s="300" t="str">
        <f>_xlfn.IFNA(VLOOKUP($AI893,Programma!$F$3:$T$1107,15,0),"")</f>
        <v>2j</v>
      </c>
      <c r="AX893" s="300" t="str">
        <f>_xlfn.IFNA(VLOOKUP($AI893,Programma!$F$3:$U$1107,16,0),"")</f>
        <v>1j</v>
      </c>
      <c r="AY893" s="300" t="str">
        <f>_xlfn.IFNA(VLOOKUP($AI893,Programma!$F$3:$V$1107,17,0),"")</f>
        <v>_</v>
      </c>
      <c r="AZ893" s="300" t="str">
        <f>_xlfn.IFNA(VLOOKUP($AI893,Programma!$F$3:$W$1107,18,0),"")</f>
        <v>_</v>
      </c>
      <c r="BA893" s="300" t="str">
        <f>_xlfn.IFNA(VLOOKUP($AI893,Programma!$F$3:$X$1107,19,0),"")</f>
        <v>_</v>
      </c>
      <c r="BB893" s="300" t="str">
        <f>_xlfn.IFNA(VLOOKUP($AI893,Programma!$F$3:$Y$1107,20,0),"")</f>
        <v>_</v>
      </c>
      <c r="BC893" s="257"/>
      <c r="BD893" s="256" t="str">
        <f>IF(Ruimtestaat[[#This Row],[Frequentie weekend]]="","",_xlfn.CONCAT(Ruimtestaat[[#This Row],[Ruimte code]],"-",Ruimtestaat[[#This Row],[Frequentie weekend]]," ",Ruimtestaat[[#This Row],[Vloer code]]))</f>
        <v/>
      </c>
      <c r="BE893" s="300" t="str">
        <f>_xlfn.IFNA(VLOOKUP($BD893,Programma!$F$3:$G$1107,2,0),"")</f>
        <v/>
      </c>
      <c r="BF893" s="300" t="str">
        <f>_xlfn.IFNA(VLOOKUP($BD893,Programma!$F$3:$H$1107,3,0),"")</f>
        <v/>
      </c>
      <c r="BG893" s="300" t="str">
        <f>_xlfn.IFNA(VLOOKUP($BD893,Programma!$F$3:$I$1107,4,0),"")</f>
        <v/>
      </c>
      <c r="BH893" s="300" t="str">
        <f>_xlfn.IFNA(VLOOKUP($BD893,Programma!$F$3:$J$1107,5,0),"")</f>
        <v/>
      </c>
      <c r="BI893" s="300" t="str">
        <f>_xlfn.IFNA(VLOOKUP($BD893,Programma!$F$3:$K$1107,6,0),"")</f>
        <v/>
      </c>
      <c r="BJ893" s="300" t="str">
        <f>_xlfn.IFNA(VLOOKUP($BD893,Programma!$F$3:$L$1107,7,0),"")</f>
        <v/>
      </c>
      <c r="BK893" s="300" t="str">
        <f>_xlfn.IFNA(VLOOKUP($BD893,Programma!$F$3:$M$1107,8,0),"")</f>
        <v/>
      </c>
      <c r="BL893" s="300" t="str">
        <f>_xlfn.IFNA(VLOOKUP($BD893,Programma!$F$3:$N$1107,9,0),"")</f>
        <v/>
      </c>
      <c r="BM893" s="300" t="str">
        <f>_xlfn.IFNA(VLOOKUP($BD893,Programma!$F$3:$O$1107,10,0),"")</f>
        <v/>
      </c>
      <c r="BN893" s="300" t="str">
        <f>_xlfn.IFNA(VLOOKUP($BD893,Programma!$F$3:$P$1107,11,0),"")</f>
        <v/>
      </c>
      <c r="BO893" s="300" t="str">
        <f>_xlfn.IFNA(VLOOKUP($BD893,Programma!$F$3:$Q$1107,12,0),"")</f>
        <v/>
      </c>
      <c r="BP893" s="300" t="str">
        <f>_xlfn.IFNA(VLOOKUP($BD893,Programma!$F$3:$R$1107,13,0),"")</f>
        <v/>
      </c>
      <c r="BQ893" s="300" t="str">
        <f>_xlfn.IFNA(VLOOKUP($BD893,Programma!$F$3:$S$1107,14,0),"")</f>
        <v/>
      </c>
      <c r="BR893" s="300" t="str">
        <f>_xlfn.IFNA(VLOOKUP($BD893,Programma!$F$3:$T$1107,15,0),"")</f>
        <v/>
      </c>
      <c r="BS893" s="300" t="str">
        <f>_xlfn.IFNA(VLOOKUP($BD893,Programma!$F$3:$U$1107,16,0),"")</f>
        <v/>
      </c>
      <c r="BT893" s="300" t="str">
        <f>_xlfn.IFNA(VLOOKUP($BD893,Programma!$F$3:$V$1107,17,0),"")</f>
        <v/>
      </c>
      <c r="BU893" s="300" t="str">
        <f>_xlfn.IFNA(VLOOKUP($BD893,Programma!$F$3:$W$1107,18,0),"")</f>
        <v/>
      </c>
      <c r="BV893" s="300" t="str">
        <f>_xlfn.IFNA(VLOOKUP($BD893,Programma!$F$3:$X$1107,19,0),"")</f>
        <v/>
      </c>
      <c r="BW893" s="300" t="str">
        <f>_xlfn.IFNA(VLOOKUP($BD893,Programma!$F$3:$Y$1107,20,0),"")</f>
        <v/>
      </c>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c r="GK893" s="4"/>
      <c r="GL893" s="4"/>
      <c r="GM893" s="4"/>
      <c r="GN893" s="4"/>
      <c r="GO893" s="4"/>
      <c r="GP893" s="4"/>
      <c r="GQ893" s="4"/>
      <c r="GR893" s="4"/>
      <c r="GS893" s="4"/>
      <c r="GT893" s="4"/>
      <c r="GU893" s="4"/>
      <c r="GV893" s="4"/>
      <c r="GW893" s="4"/>
      <c r="GX893" s="4"/>
      <c r="GY893" s="4"/>
      <c r="GZ893" s="4"/>
      <c r="HA893" s="4"/>
      <c r="HB893" s="4"/>
      <c r="HC893" s="4"/>
      <c r="HD893" s="4"/>
      <c r="HE893" s="4"/>
      <c r="HF893" s="4"/>
      <c r="HG893" s="4"/>
      <c r="HH893" s="4"/>
      <c r="HI893" s="4"/>
      <c r="HJ893" s="4"/>
      <c r="HK893" s="4"/>
      <c r="HL893" s="4"/>
    </row>
    <row r="894" spans="1:220" ht="15" customHeight="1">
      <c r="A894" s="21">
        <v>9</v>
      </c>
      <c r="B894" s="157" t="str">
        <f>VLOOKUP(Ruimtestaat[[#This Row],[Code]],Locaties[[Code]:[Locatie]],2,FALSE)</f>
        <v>Novum-Maartenshal</v>
      </c>
      <c r="C894" s="157" t="str">
        <f>VLOOKUP(Ruimtestaat[[#This Row],[Code]],Locaties[[#All],[Code]:[Adres]],4,FALSE)</f>
        <v>Marcellus Emantslaan 2a</v>
      </c>
      <c r="D894" s="157" t="str">
        <f>VLOOKUP(Ruimtestaat[[#This Row],[Code]],Locaties[[#All],[Code]:[Postcode]],5,FALSE)</f>
        <v>2247 XL</v>
      </c>
      <c r="E894" s="157" t="str">
        <f>VLOOKUP(Ruimtestaat[[#This Row],[Code]],Locaties[#All],6,FALSE)</f>
        <v>Voorburg</v>
      </c>
      <c r="F894" s="62"/>
      <c r="G894" s="21" t="s">
        <v>1624</v>
      </c>
      <c r="H894" s="21" t="s">
        <v>1656</v>
      </c>
      <c r="I894" s="62" t="s">
        <v>2386</v>
      </c>
      <c r="J894" s="21">
        <v>8</v>
      </c>
      <c r="K894" s="62" t="str">
        <f>VLOOKUP(Ruimtestaat[[#This Row],[Ruimte code]],Ruimtegroepen[[#All],[Code]:[Ruimte omschrijving]],2,FALSE)</f>
        <v>Mediatheek / OLC</v>
      </c>
      <c r="L894" s="33" t="s">
        <v>102</v>
      </c>
      <c r="M894" s="367" t="s">
        <v>2496</v>
      </c>
      <c r="N894" s="140">
        <v>133.34</v>
      </c>
      <c r="O894" s="140">
        <v>57.2</v>
      </c>
      <c r="P894" s="125" t="str">
        <f>VLOOKUP(Ruimtestaat[[#This Row],[Ruimte code]],Ruimtegroepen[],4,FALSE)</f>
        <v>Le</v>
      </c>
      <c r="R894" s="33">
        <v>40</v>
      </c>
      <c r="S894" s="33" t="s">
        <v>2</v>
      </c>
      <c r="T894" s="33">
        <f>IF(R894&gt;0,IF(RIGHT(Ruimtestaat[[#This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94" s="33">
        <f>IF(T894&gt;0,VLOOKUP($J894,Ruimtegroepen[],3,FALSE)*VLOOKUP($L894,Vloersoorten[],3,FALSE)*VLOOKUP($S894,Frequenties[],3,FALSE)*VLOOKUP($A894,Locaties[],3,FALSE),0)</f>
        <v>0</v>
      </c>
      <c r="V894" s="33">
        <f>Ruimtestaat[[#This Row],[Uitvoeringen werkdagen]]*Ruimtestaat[[#This Row],[Oppervlak (netto)]]</f>
        <v>26668</v>
      </c>
      <c r="W894" s="154">
        <f>IF(U894&gt;0,Ruimtestaat[[#This Row],[Prest. (m2 /jaar) werkdagen]]/Ruimtestaat[[#This Row],[Norm (m2/uur) werkdagen]],0)</f>
        <v>0</v>
      </c>
      <c r="X894" s="155">
        <f>Ruimtestaat[[#This Row],[uren / jaar werkdagen]]*Tariefsopbouw!$E$35</f>
        <v>0</v>
      </c>
      <c r="Y894" s="33"/>
      <c r="Z894" s="33">
        <f>IF(Ruimtestaat[[#This Row],[Frequentie weekend]]&gt;0,VALUE(LEFT(Y894,1))*R894,0)</f>
        <v>0</v>
      </c>
      <c r="AA894" s="97">
        <f>IF($Z894&gt;0,VLOOKUP($J894,Ruimtegroepen[],3,FALSE)*VLOOKUP($L894,Vloersoorten[],3,FALSE)*VLOOKUP($Y894,Frequenties[],3,FALSE)*VLOOKUP(Ruimtestaat[[#This Row],[Code]],Locaties[],3,FALSE),0)</f>
        <v>0</v>
      </c>
      <c r="AB894" s="97">
        <f>Ruimtestaat[[#This Row],[Uitvoeringen weekend]]*Ruimtestaat[[#This Row],[Oppervlak (netto)]]</f>
        <v>0</v>
      </c>
      <c r="AC894" s="97">
        <f>IF(AA894&gt;0,Ruimtestaat[[#This Row],[Prest. (m2 /jaar) weekend]]/Ruimtestaat[[#This Row],[Norm (m2/uur) weekend]],0)</f>
        <v>0</v>
      </c>
      <c r="AD894" s="155">
        <f>Ruimtestaat[[#This Row],[uren / jaar weekend]]*Tariefsopbouw!$D$40</f>
        <v>0</v>
      </c>
      <c r="AE894" s="154">
        <f>Ruimtestaat[[#This Row],[Prest. (m2 /jaar) weekend]]+Ruimtestaat[[#This Row],[Prest. (m2 /jaar) werkdagen]]</f>
        <v>26668</v>
      </c>
      <c r="AF894" s="154">
        <f>Ruimtestaat[[#This Row],[uren / jaar weekend]]+Ruimtestaat[[#This Row],[uren / jaar werkdagen]]</f>
        <v>0</v>
      </c>
      <c r="AG894" s="69">
        <f>Ruimtestaat[[#This Row],[kosten / jaar weekend]]+Ruimtestaat[[#This Row],[kosten / jaar werkdagen]]</f>
        <v>0</v>
      </c>
      <c r="AH894" s="69"/>
      <c r="AI894" s="256" t="str">
        <f>IF(Ruimtestaat[[#This Row],[Frequentie werkdagen]]="","",_xlfn.CONCAT(Ruimtestaat[[#This Row],[Ruimte code]],"-",Ruimtestaat[[#This Row],[Frequentie werkdagen]]," ",Ruimtestaat[[#This Row],[Vloer code]]))</f>
        <v>8-5w S</v>
      </c>
      <c r="AJ894" s="300" t="str">
        <f>_xlfn.IFNA(VLOOKUP($AI894,Programma!$F$3:$G$1107,2,0),"")</f>
        <v>_</v>
      </c>
      <c r="AK894" s="300" t="str">
        <f>_xlfn.IFNA(VLOOKUP($AI894,Programma!$F$3:$H$1107,3,0),"")</f>
        <v>_</v>
      </c>
      <c r="AL894" s="300" t="str">
        <f>_xlfn.IFNA(VLOOKUP($AI894,Programma!$F$3:$I$1107,4,0),"")</f>
        <v>4w</v>
      </c>
      <c r="AM894" s="300" t="str">
        <f>_xlfn.IFNA(VLOOKUP($AI894,Programma!$F$3:$J$1107,5,0),"")</f>
        <v>1w</v>
      </c>
      <c r="AN894" s="300" t="str">
        <f>_xlfn.IFNA(VLOOKUP($AI894,Programma!$F$3:$K$1107,6,0),"")</f>
        <v>4j</v>
      </c>
      <c r="AO894" s="300" t="str">
        <f>_xlfn.IFNA(VLOOKUP($AI894,Programma!$F$3:$L$1107,7,0),"")</f>
        <v>_</v>
      </c>
      <c r="AP894" s="300" t="str">
        <f>_xlfn.IFNA(VLOOKUP($AI894,Programma!$F$3:$M$1107,8,0),"")</f>
        <v>_</v>
      </c>
      <c r="AQ894" s="300" t="str">
        <f>_xlfn.IFNA(VLOOKUP($AI894,Programma!$F$3:$N$1107,9,0),"")</f>
        <v>_</v>
      </c>
      <c r="AR894" s="300" t="str">
        <f>_xlfn.IFNA(VLOOKUP($AI894,Programma!$F$3:$O$1107,10,0),"")</f>
        <v>5w</v>
      </c>
      <c r="AS894" s="300" t="str">
        <f>_xlfn.IFNA(VLOOKUP($AI894,Programma!$F$3:$P$1107,11,0),"")</f>
        <v>5w</v>
      </c>
      <c r="AT894" s="300" t="str">
        <f>_xlfn.IFNA(VLOOKUP($AI894,Programma!$F$3:$Q$1107,12,0),"")</f>
        <v>1w</v>
      </c>
      <c r="AU894" s="300" t="str">
        <f>_xlfn.IFNA(VLOOKUP($AI894,Programma!$F$3:$R$1107,13,0),"")</f>
        <v>1w</v>
      </c>
      <c r="AV894" s="300" t="str">
        <f>_xlfn.IFNA(VLOOKUP($AI894,Programma!$F$3:$S$1107,14,0),"")</f>
        <v>1m</v>
      </c>
      <c r="AW894" s="300" t="str">
        <f>_xlfn.IFNA(VLOOKUP($AI894,Programma!$F$3:$T$1107,15,0),"")</f>
        <v>2j</v>
      </c>
      <c r="AX894" s="300" t="str">
        <f>_xlfn.IFNA(VLOOKUP($AI894,Programma!$F$3:$U$1107,16,0),"")</f>
        <v>1j</v>
      </c>
      <c r="AY894" s="300" t="str">
        <f>_xlfn.IFNA(VLOOKUP($AI894,Programma!$F$3:$V$1107,17,0),"")</f>
        <v>_</v>
      </c>
      <c r="AZ894" s="300" t="str">
        <f>_xlfn.IFNA(VLOOKUP($AI894,Programma!$F$3:$W$1107,18,0),"")</f>
        <v>_</v>
      </c>
      <c r="BA894" s="300" t="str">
        <f>_xlfn.IFNA(VLOOKUP($AI894,Programma!$F$3:$X$1107,19,0),"")</f>
        <v>_</v>
      </c>
      <c r="BB894" s="300" t="str">
        <f>_xlfn.IFNA(VLOOKUP($AI894,Programma!$F$3:$Y$1107,20,0),"")</f>
        <v>_</v>
      </c>
      <c r="BC894" s="257"/>
      <c r="BD894" s="256" t="str">
        <f>IF(Ruimtestaat[[#This Row],[Frequentie weekend]]="","",_xlfn.CONCAT(Ruimtestaat[[#This Row],[Ruimte code]],"-",Ruimtestaat[[#This Row],[Frequentie weekend]]," ",Ruimtestaat[[#This Row],[Vloer code]]))</f>
        <v/>
      </c>
      <c r="BE894" s="300" t="str">
        <f>_xlfn.IFNA(VLOOKUP($BD894,Programma!$F$3:$G$1107,2,0),"")</f>
        <v/>
      </c>
      <c r="BF894" s="300" t="str">
        <f>_xlfn.IFNA(VLOOKUP($BD894,Programma!$F$3:$H$1107,3,0),"")</f>
        <v/>
      </c>
      <c r="BG894" s="300" t="str">
        <f>_xlfn.IFNA(VLOOKUP($BD894,Programma!$F$3:$I$1107,4,0),"")</f>
        <v/>
      </c>
      <c r="BH894" s="300" t="str">
        <f>_xlfn.IFNA(VLOOKUP($BD894,Programma!$F$3:$J$1107,5,0),"")</f>
        <v/>
      </c>
      <c r="BI894" s="300" t="str">
        <f>_xlfn.IFNA(VLOOKUP($BD894,Programma!$F$3:$K$1107,6,0),"")</f>
        <v/>
      </c>
      <c r="BJ894" s="300" t="str">
        <f>_xlfn.IFNA(VLOOKUP($BD894,Programma!$F$3:$L$1107,7,0),"")</f>
        <v/>
      </c>
      <c r="BK894" s="300" t="str">
        <f>_xlfn.IFNA(VLOOKUP($BD894,Programma!$F$3:$M$1107,8,0),"")</f>
        <v/>
      </c>
      <c r="BL894" s="300" t="str">
        <f>_xlfn.IFNA(VLOOKUP($BD894,Programma!$F$3:$N$1107,9,0),"")</f>
        <v/>
      </c>
      <c r="BM894" s="300" t="str">
        <f>_xlfn.IFNA(VLOOKUP($BD894,Programma!$F$3:$O$1107,10,0),"")</f>
        <v/>
      </c>
      <c r="BN894" s="300" t="str">
        <f>_xlfn.IFNA(VLOOKUP($BD894,Programma!$F$3:$P$1107,11,0),"")</f>
        <v/>
      </c>
      <c r="BO894" s="300" t="str">
        <f>_xlfn.IFNA(VLOOKUP($BD894,Programma!$F$3:$Q$1107,12,0),"")</f>
        <v/>
      </c>
      <c r="BP894" s="300" t="str">
        <f>_xlfn.IFNA(VLOOKUP($BD894,Programma!$F$3:$R$1107,13,0),"")</f>
        <v/>
      </c>
      <c r="BQ894" s="300" t="str">
        <f>_xlfn.IFNA(VLOOKUP($BD894,Programma!$F$3:$S$1107,14,0),"")</f>
        <v/>
      </c>
      <c r="BR894" s="300" t="str">
        <f>_xlfn.IFNA(VLOOKUP($BD894,Programma!$F$3:$T$1107,15,0),"")</f>
        <v/>
      </c>
      <c r="BS894" s="300" t="str">
        <f>_xlfn.IFNA(VLOOKUP($BD894,Programma!$F$3:$U$1107,16,0),"")</f>
        <v/>
      </c>
      <c r="BT894" s="300" t="str">
        <f>_xlfn.IFNA(VLOOKUP($BD894,Programma!$F$3:$V$1107,17,0),"")</f>
        <v/>
      </c>
      <c r="BU894" s="300" t="str">
        <f>_xlfn.IFNA(VLOOKUP($BD894,Programma!$F$3:$W$1107,18,0),"")</f>
        <v/>
      </c>
      <c r="BV894" s="300" t="str">
        <f>_xlfn.IFNA(VLOOKUP($BD894,Programma!$F$3:$X$1107,19,0),"")</f>
        <v/>
      </c>
      <c r="BW894" s="300" t="str">
        <f>_xlfn.IFNA(VLOOKUP($BD894,Programma!$F$3:$Y$1107,20,0),"")</f>
        <v/>
      </c>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c r="GK894" s="4"/>
      <c r="GL894" s="4"/>
      <c r="GM894" s="4"/>
      <c r="GN894" s="4"/>
      <c r="GO894" s="4"/>
      <c r="GP894" s="4"/>
      <c r="GQ894" s="4"/>
      <c r="GR894" s="4"/>
      <c r="GS894" s="4"/>
      <c r="GT894" s="4"/>
      <c r="GU894" s="4"/>
      <c r="GV894" s="4"/>
      <c r="GW894" s="4"/>
      <c r="GX894" s="4"/>
      <c r="GY894" s="4"/>
      <c r="GZ894" s="4"/>
      <c r="HA894" s="4"/>
      <c r="HB894" s="4"/>
      <c r="HC894" s="4"/>
      <c r="HD894" s="4"/>
      <c r="HE894" s="4"/>
      <c r="HF894" s="4"/>
      <c r="HG894" s="4"/>
      <c r="HH894" s="4"/>
      <c r="HI894" s="4"/>
      <c r="HJ894" s="4"/>
      <c r="HK894" s="4"/>
      <c r="HL894" s="4"/>
    </row>
    <row r="895" spans="1:220" ht="15" customHeight="1">
      <c r="A895" s="21">
        <v>9</v>
      </c>
      <c r="B895" s="157" t="str">
        <f>VLOOKUP(Ruimtestaat[[#This Row],[Code]],Locaties[[Code]:[Locatie]],2,FALSE)</f>
        <v>Novum-Maartenshal</v>
      </c>
      <c r="C895" s="157" t="str">
        <f>VLOOKUP(Ruimtestaat[[#This Row],[Code]],Locaties[[#All],[Code]:[Adres]],4,FALSE)</f>
        <v>Marcellus Emantslaan 2a</v>
      </c>
      <c r="D895" s="157" t="str">
        <f>VLOOKUP(Ruimtestaat[[#This Row],[Code]],Locaties[[#All],[Code]:[Postcode]],5,FALSE)</f>
        <v>2247 XL</v>
      </c>
      <c r="E895" s="157" t="str">
        <f>VLOOKUP(Ruimtestaat[[#This Row],[Code]],Locaties[#All],6,FALSE)</f>
        <v>Voorburg</v>
      </c>
      <c r="F895" s="62"/>
      <c r="G895" s="21" t="s">
        <v>1624</v>
      </c>
      <c r="H895" s="21" t="s">
        <v>1658</v>
      </c>
      <c r="I895" s="62" t="s">
        <v>1747</v>
      </c>
      <c r="J895" s="21">
        <v>20</v>
      </c>
      <c r="K895" s="62" t="str">
        <f>VLOOKUP(Ruimtestaat[[#This Row],[Ruimte code]],Ruimtegroepen[[#All],[Code]:[Ruimte omschrijving]],2,FALSE)</f>
        <v>Niet in Onderhoud</v>
      </c>
      <c r="L895" s="33" t="s">
        <v>102</v>
      </c>
      <c r="M895" s="367" t="s">
        <v>2496</v>
      </c>
      <c r="N895" s="140"/>
      <c r="O895" s="140">
        <v>39.42</v>
      </c>
      <c r="P895" s="125">
        <f>VLOOKUP(Ruimtestaat[[#This Row],[Ruimte code]],Ruimtegroepen[],4,FALSE)</f>
        <v>0</v>
      </c>
      <c r="R895" s="33"/>
      <c r="S895" s="33"/>
      <c r="T895" s="33">
        <f>IF(R895&gt;0,IF(RIGHT(Ruimtestaat[[#This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95" s="33">
        <f>IF(T895&gt;0,VLOOKUP($J895,Ruimtegroepen[],3,FALSE)*VLOOKUP($L895,Vloersoorten[],3,FALSE)*VLOOKUP($S895,Frequenties[],3,FALSE)*VLOOKUP($A895,Locaties[],3,FALSE),0)</f>
        <v>0</v>
      </c>
      <c r="V895" s="33">
        <f>Ruimtestaat[[#This Row],[Uitvoeringen werkdagen]]*Ruimtestaat[[#This Row],[Oppervlak (netto)]]</f>
        <v>0</v>
      </c>
      <c r="W895" s="154">
        <f>IF(U895&gt;0,Ruimtestaat[[#This Row],[Prest. (m2 /jaar) werkdagen]]/Ruimtestaat[[#This Row],[Norm (m2/uur) werkdagen]],0)</f>
        <v>0</v>
      </c>
      <c r="X895" s="155">
        <f>Ruimtestaat[[#This Row],[uren / jaar werkdagen]]*Tariefsopbouw!$E$35</f>
        <v>0</v>
      </c>
      <c r="Y895" s="33"/>
      <c r="Z895" s="33">
        <f>IF(Ruimtestaat[[#This Row],[Frequentie weekend]]&gt;0,VALUE(LEFT(Y895,1))*R895,0)</f>
        <v>0</v>
      </c>
      <c r="AA895" s="97">
        <f>IF($Z895&gt;0,VLOOKUP($J895,Ruimtegroepen[],3,FALSE)*VLOOKUP($L895,Vloersoorten[],3,FALSE)*VLOOKUP($Y895,Frequenties[],3,FALSE)*VLOOKUP(Ruimtestaat[[#This Row],[Code]],Locaties[],3,FALSE),0)</f>
        <v>0</v>
      </c>
      <c r="AB895" s="97">
        <f>Ruimtestaat[[#This Row],[Uitvoeringen weekend]]*Ruimtestaat[[#This Row],[Oppervlak (netto)]]</f>
        <v>0</v>
      </c>
      <c r="AC895" s="97">
        <f>IF(AA895&gt;0,Ruimtestaat[[#This Row],[Prest. (m2 /jaar) weekend]]/Ruimtestaat[[#This Row],[Norm (m2/uur) weekend]],0)</f>
        <v>0</v>
      </c>
      <c r="AD895" s="155">
        <f>Ruimtestaat[[#This Row],[uren / jaar weekend]]*Tariefsopbouw!$D$40</f>
        <v>0</v>
      </c>
      <c r="AE895" s="154">
        <f>Ruimtestaat[[#This Row],[Prest. (m2 /jaar) weekend]]+Ruimtestaat[[#This Row],[Prest. (m2 /jaar) werkdagen]]</f>
        <v>0</v>
      </c>
      <c r="AF895" s="154">
        <f>Ruimtestaat[[#This Row],[uren / jaar weekend]]+Ruimtestaat[[#This Row],[uren / jaar werkdagen]]</f>
        <v>0</v>
      </c>
      <c r="AG895" s="69">
        <f>Ruimtestaat[[#This Row],[kosten / jaar weekend]]+Ruimtestaat[[#This Row],[kosten / jaar werkdagen]]</f>
        <v>0</v>
      </c>
      <c r="AH895" s="69"/>
      <c r="AI895" s="256" t="str">
        <f>IF(Ruimtestaat[[#This Row],[Frequentie werkdagen]]="","",_xlfn.CONCAT(Ruimtestaat[[#This Row],[Ruimte code]],"-",Ruimtestaat[[#This Row],[Frequentie werkdagen]]," ",Ruimtestaat[[#This Row],[Vloer code]]))</f>
        <v/>
      </c>
      <c r="AJ895" s="300" t="str">
        <f>_xlfn.IFNA(VLOOKUP($AI895,Programma!$F$3:$G$1107,2,0),"")</f>
        <v/>
      </c>
      <c r="AK895" s="300" t="str">
        <f>_xlfn.IFNA(VLOOKUP($AI895,Programma!$F$3:$H$1107,3,0),"")</f>
        <v/>
      </c>
      <c r="AL895" s="300" t="str">
        <f>_xlfn.IFNA(VLOOKUP($AI895,Programma!$F$3:$I$1107,4,0),"")</f>
        <v/>
      </c>
      <c r="AM895" s="300" t="str">
        <f>_xlfn.IFNA(VLOOKUP($AI895,Programma!$F$3:$J$1107,5,0),"")</f>
        <v/>
      </c>
      <c r="AN895" s="300" t="str">
        <f>_xlfn.IFNA(VLOOKUP($AI895,Programma!$F$3:$K$1107,6,0),"")</f>
        <v/>
      </c>
      <c r="AO895" s="300" t="str">
        <f>_xlfn.IFNA(VLOOKUP($AI895,Programma!$F$3:$L$1107,7,0),"")</f>
        <v/>
      </c>
      <c r="AP895" s="300" t="str">
        <f>_xlfn.IFNA(VLOOKUP($AI895,Programma!$F$3:$M$1107,8,0),"")</f>
        <v/>
      </c>
      <c r="AQ895" s="300" t="str">
        <f>_xlfn.IFNA(VLOOKUP($AI895,Programma!$F$3:$N$1107,9,0),"")</f>
        <v/>
      </c>
      <c r="AR895" s="300" t="str">
        <f>_xlfn.IFNA(VLOOKUP($AI895,Programma!$F$3:$O$1107,10,0),"")</f>
        <v/>
      </c>
      <c r="AS895" s="300" t="str">
        <f>_xlfn.IFNA(VLOOKUP($AI895,Programma!$F$3:$P$1107,11,0),"")</f>
        <v/>
      </c>
      <c r="AT895" s="300" t="str">
        <f>_xlfn.IFNA(VLOOKUP($AI895,Programma!$F$3:$Q$1107,12,0),"")</f>
        <v/>
      </c>
      <c r="AU895" s="300" t="str">
        <f>_xlfn.IFNA(VLOOKUP($AI895,Programma!$F$3:$R$1107,13,0),"")</f>
        <v/>
      </c>
      <c r="AV895" s="300" t="str">
        <f>_xlfn.IFNA(VLOOKUP($AI895,Programma!$F$3:$S$1107,14,0),"")</f>
        <v/>
      </c>
      <c r="AW895" s="300" t="str">
        <f>_xlfn.IFNA(VLOOKUP($AI895,Programma!$F$3:$T$1107,15,0),"")</f>
        <v/>
      </c>
      <c r="AX895" s="300" t="str">
        <f>_xlfn.IFNA(VLOOKUP($AI895,Programma!$F$3:$U$1107,16,0),"")</f>
        <v/>
      </c>
      <c r="AY895" s="300" t="str">
        <f>_xlfn.IFNA(VLOOKUP($AI895,Programma!$F$3:$V$1107,17,0),"")</f>
        <v/>
      </c>
      <c r="AZ895" s="300" t="str">
        <f>_xlfn.IFNA(VLOOKUP($AI895,Programma!$F$3:$W$1107,18,0),"")</f>
        <v/>
      </c>
      <c r="BA895" s="300" t="str">
        <f>_xlfn.IFNA(VLOOKUP($AI895,Programma!$F$3:$X$1107,19,0),"")</f>
        <v/>
      </c>
      <c r="BB895" s="300" t="str">
        <f>_xlfn.IFNA(VLOOKUP($AI895,Programma!$F$3:$Y$1107,20,0),"")</f>
        <v/>
      </c>
      <c r="BC895" s="257"/>
      <c r="BD895" s="256" t="str">
        <f>IF(Ruimtestaat[[#This Row],[Frequentie weekend]]="","",_xlfn.CONCAT(Ruimtestaat[[#This Row],[Ruimte code]],"-",Ruimtestaat[[#This Row],[Frequentie weekend]]," ",Ruimtestaat[[#This Row],[Vloer code]]))</f>
        <v/>
      </c>
      <c r="BE895" s="300" t="str">
        <f>_xlfn.IFNA(VLOOKUP($BD895,Programma!$F$3:$G$1107,2,0),"")</f>
        <v/>
      </c>
      <c r="BF895" s="300" t="str">
        <f>_xlfn.IFNA(VLOOKUP($BD895,Programma!$F$3:$H$1107,3,0),"")</f>
        <v/>
      </c>
      <c r="BG895" s="300" t="str">
        <f>_xlfn.IFNA(VLOOKUP($BD895,Programma!$F$3:$I$1107,4,0),"")</f>
        <v/>
      </c>
      <c r="BH895" s="300" t="str">
        <f>_xlfn.IFNA(VLOOKUP($BD895,Programma!$F$3:$J$1107,5,0),"")</f>
        <v/>
      </c>
      <c r="BI895" s="300" t="str">
        <f>_xlfn.IFNA(VLOOKUP($BD895,Programma!$F$3:$K$1107,6,0),"")</f>
        <v/>
      </c>
      <c r="BJ895" s="300" t="str">
        <f>_xlfn.IFNA(VLOOKUP($BD895,Programma!$F$3:$L$1107,7,0),"")</f>
        <v/>
      </c>
      <c r="BK895" s="300" t="str">
        <f>_xlfn.IFNA(VLOOKUP($BD895,Programma!$F$3:$M$1107,8,0),"")</f>
        <v/>
      </c>
      <c r="BL895" s="300" t="str">
        <f>_xlfn.IFNA(VLOOKUP($BD895,Programma!$F$3:$N$1107,9,0),"")</f>
        <v/>
      </c>
      <c r="BM895" s="300" t="str">
        <f>_xlfn.IFNA(VLOOKUP($BD895,Programma!$F$3:$O$1107,10,0),"")</f>
        <v/>
      </c>
      <c r="BN895" s="300" t="str">
        <f>_xlfn.IFNA(VLOOKUP($BD895,Programma!$F$3:$P$1107,11,0),"")</f>
        <v/>
      </c>
      <c r="BO895" s="300" t="str">
        <f>_xlfn.IFNA(VLOOKUP($BD895,Programma!$F$3:$Q$1107,12,0),"")</f>
        <v/>
      </c>
      <c r="BP895" s="300" t="str">
        <f>_xlfn.IFNA(VLOOKUP($BD895,Programma!$F$3:$R$1107,13,0),"")</f>
        <v/>
      </c>
      <c r="BQ895" s="300" t="str">
        <f>_xlfn.IFNA(VLOOKUP($BD895,Programma!$F$3:$S$1107,14,0),"")</f>
        <v/>
      </c>
      <c r="BR895" s="300" t="str">
        <f>_xlfn.IFNA(VLOOKUP($BD895,Programma!$F$3:$T$1107,15,0),"")</f>
        <v/>
      </c>
      <c r="BS895" s="300" t="str">
        <f>_xlfn.IFNA(VLOOKUP($BD895,Programma!$F$3:$U$1107,16,0),"")</f>
        <v/>
      </c>
      <c r="BT895" s="300" t="str">
        <f>_xlfn.IFNA(VLOOKUP($BD895,Programma!$F$3:$V$1107,17,0),"")</f>
        <v/>
      </c>
      <c r="BU895" s="300" t="str">
        <f>_xlfn.IFNA(VLOOKUP($BD895,Programma!$F$3:$W$1107,18,0),"")</f>
        <v/>
      </c>
      <c r="BV895" s="300" t="str">
        <f>_xlfn.IFNA(VLOOKUP($BD895,Programma!$F$3:$X$1107,19,0),"")</f>
        <v/>
      </c>
      <c r="BW895" s="300" t="str">
        <f>_xlfn.IFNA(VLOOKUP($BD895,Programma!$F$3:$Y$1107,20,0),"")</f>
        <v/>
      </c>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c r="GK895" s="4"/>
      <c r="GL895" s="4"/>
      <c r="GM895" s="4"/>
      <c r="GN895" s="4"/>
      <c r="GO895" s="4"/>
      <c r="GP895" s="4"/>
      <c r="GQ895" s="4"/>
      <c r="GR895" s="4"/>
      <c r="GS895" s="4"/>
      <c r="GT895" s="4"/>
      <c r="GU895" s="4"/>
      <c r="GV895" s="4"/>
      <c r="GW895" s="4"/>
      <c r="GX895" s="4"/>
      <c r="GY895" s="4"/>
      <c r="GZ895" s="4"/>
      <c r="HA895" s="4"/>
      <c r="HB895" s="4"/>
      <c r="HC895" s="4"/>
      <c r="HD895" s="4"/>
      <c r="HE895" s="4"/>
      <c r="HF895" s="4"/>
      <c r="HG895" s="4"/>
      <c r="HH895" s="4"/>
      <c r="HI895" s="4"/>
      <c r="HJ895" s="4"/>
      <c r="HK895" s="4"/>
      <c r="HL895" s="4"/>
    </row>
    <row r="896" spans="1:220" ht="15" customHeight="1">
      <c r="A896" s="21">
        <v>9</v>
      </c>
      <c r="B896" s="157" t="str">
        <f>VLOOKUP(Ruimtestaat[[#This Row],[Code]],Locaties[[Code]:[Locatie]],2,FALSE)</f>
        <v>Novum-Maartenshal</v>
      </c>
      <c r="C896" s="157" t="str">
        <f>VLOOKUP(Ruimtestaat[[#This Row],[Code]],Locaties[[#All],[Code]:[Adres]],4,FALSE)</f>
        <v>Marcellus Emantslaan 2a</v>
      </c>
      <c r="D896" s="157" t="str">
        <f>VLOOKUP(Ruimtestaat[[#This Row],[Code]],Locaties[[#All],[Code]:[Postcode]],5,FALSE)</f>
        <v>2247 XL</v>
      </c>
      <c r="E896" s="157" t="str">
        <f>VLOOKUP(Ruimtestaat[[#This Row],[Code]],Locaties[#All],6,FALSE)</f>
        <v>Voorburg</v>
      </c>
      <c r="F896" s="62"/>
      <c r="G896" s="21" t="s">
        <v>1624</v>
      </c>
      <c r="H896" s="21" t="s">
        <v>1659</v>
      </c>
      <c r="I896" s="62" t="s">
        <v>1747</v>
      </c>
      <c r="J896" s="21">
        <v>20</v>
      </c>
      <c r="K896" s="62" t="str">
        <f>VLOOKUP(Ruimtestaat[[#This Row],[Ruimte code]],Ruimtegroepen[[#All],[Code]:[Ruimte omschrijving]],2,FALSE)</f>
        <v>Niet in Onderhoud</v>
      </c>
      <c r="L896" s="33" t="s">
        <v>102</v>
      </c>
      <c r="M896" s="367" t="s">
        <v>2496</v>
      </c>
      <c r="N896" s="140"/>
      <c r="O896" s="140">
        <v>14.73</v>
      </c>
      <c r="P896" s="125">
        <f>VLOOKUP(Ruimtestaat[[#This Row],[Ruimte code]],Ruimtegroepen[],4,FALSE)</f>
        <v>0</v>
      </c>
      <c r="R896" s="33"/>
      <c r="S896" s="33"/>
      <c r="T896" s="33">
        <f>IF(R896&gt;0,IF(RIGHT(Ruimtestaat[[#This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96" s="33">
        <f>IF(T896&gt;0,VLOOKUP($J896,Ruimtegroepen[],3,FALSE)*VLOOKUP($L896,Vloersoorten[],3,FALSE)*VLOOKUP($S896,Frequenties[],3,FALSE)*VLOOKUP($A896,Locaties[],3,FALSE),0)</f>
        <v>0</v>
      </c>
      <c r="V896" s="33">
        <f>Ruimtestaat[[#This Row],[Uitvoeringen werkdagen]]*Ruimtestaat[[#This Row],[Oppervlak (netto)]]</f>
        <v>0</v>
      </c>
      <c r="W896" s="154">
        <f>IF(U896&gt;0,Ruimtestaat[[#This Row],[Prest. (m2 /jaar) werkdagen]]/Ruimtestaat[[#This Row],[Norm (m2/uur) werkdagen]],0)</f>
        <v>0</v>
      </c>
      <c r="X896" s="155">
        <f>Ruimtestaat[[#This Row],[uren / jaar werkdagen]]*Tariefsopbouw!$E$35</f>
        <v>0</v>
      </c>
      <c r="Y896" s="33"/>
      <c r="Z896" s="33">
        <f>IF(Ruimtestaat[[#This Row],[Frequentie weekend]]&gt;0,VALUE(LEFT(Y896,1))*R896,0)</f>
        <v>0</v>
      </c>
      <c r="AA896" s="97">
        <f>IF($Z896&gt;0,VLOOKUP($J896,Ruimtegroepen[],3,FALSE)*VLOOKUP($L896,Vloersoorten[],3,FALSE)*VLOOKUP($Y896,Frequenties[],3,FALSE)*VLOOKUP(Ruimtestaat[[#This Row],[Code]],Locaties[],3,FALSE),0)</f>
        <v>0</v>
      </c>
      <c r="AB896" s="97">
        <f>Ruimtestaat[[#This Row],[Uitvoeringen weekend]]*Ruimtestaat[[#This Row],[Oppervlak (netto)]]</f>
        <v>0</v>
      </c>
      <c r="AC896" s="97">
        <f>IF(AA896&gt;0,Ruimtestaat[[#This Row],[Prest. (m2 /jaar) weekend]]/Ruimtestaat[[#This Row],[Norm (m2/uur) weekend]],0)</f>
        <v>0</v>
      </c>
      <c r="AD896" s="155">
        <f>Ruimtestaat[[#This Row],[uren / jaar weekend]]*Tariefsopbouw!$D$40</f>
        <v>0</v>
      </c>
      <c r="AE896" s="154">
        <f>Ruimtestaat[[#This Row],[Prest. (m2 /jaar) weekend]]+Ruimtestaat[[#This Row],[Prest. (m2 /jaar) werkdagen]]</f>
        <v>0</v>
      </c>
      <c r="AF896" s="154">
        <f>Ruimtestaat[[#This Row],[uren / jaar weekend]]+Ruimtestaat[[#This Row],[uren / jaar werkdagen]]</f>
        <v>0</v>
      </c>
      <c r="AG896" s="69">
        <f>Ruimtestaat[[#This Row],[kosten / jaar weekend]]+Ruimtestaat[[#This Row],[kosten / jaar werkdagen]]</f>
        <v>0</v>
      </c>
      <c r="AH896" s="69"/>
      <c r="AI896" s="256" t="str">
        <f>IF(Ruimtestaat[[#This Row],[Frequentie werkdagen]]="","",_xlfn.CONCAT(Ruimtestaat[[#This Row],[Ruimte code]],"-",Ruimtestaat[[#This Row],[Frequentie werkdagen]]," ",Ruimtestaat[[#This Row],[Vloer code]]))</f>
        <v/>
      </c>
      <c r="AJ896" s="300" t="str">
        <f>_xlfn.IFNA(VLOOKUP($AI896,Programma!$F$3:$G$1107,2,0),"")</f>
        <v/>
      </c>
      <c r="AK896" s="300" t="str">
        <f>_xlfn.IFNA(VLOOKUP($AI896,Programma!$F$3:$H$1107,3,0),"")</f>
        <v/>
      </c>
      <c r="AL896" s="300" t="str">
        <f>_xlfn.IFNA(VLOOKUP($AI896,Programma!$F$3:$I$1107,4,0),"")</f>
        <v/>
      </c>
      <c r="AM896" s="300" t="str">
        <f>_xlfn.IFNA(VLOOKUP($AI896,Programma!$F$3:$J$1107,5,0),"")</f>
        <v/>
      </c>
      <c r="AN896" s="300" t="str">
        <f>_xlfn.IFNA(VLOOKUP($AI896,Programma!$F$3:$K$1107,6,0),"")</f>
        <v/>
      </c>
      <c r="AO896" s="300" t="str">
        <f>_xlfn.IFNA(VLOOKUP($AI896,Programma!$F$3:$L$1107,7,0),"")</f>
        <v/>
      </c>
      <c r="AP896" s="300" t="str">
        <f>_xlfn.IFNA(VLOOKUP($AI896,Programma!$F$3:$M$1107,8,0),"")</f>
        <v/>
      </c>
      <c r="AQ896" s="300" t="str">
        <f>_xlfn.IFNA(VLOOKUP($AI896,Programma!$F$3:$N$1107,9,0),"")</f>
        <v/>
      </c>
      <c r="AR896" s="300" t="str">
        <f>_xlfn.IFNA(VLOOKUP($AI896,Programma!$F$3:$O$1107,10,0),"")</f>
        <v/>
      </c>
      <c r="AS896" s="300" t="str">
        <f>_xlfn.IFNA(VLOOKUP($AI896,Programma!$F$3:$P$1107,11,0),"")</f>
        <v/>
      </c>
      <c r="AT896" s="300" t="str">
        <f>_xlfn.IFNA(VLOOKUP($AI896,Programma!$F$3:$Q$1107,12,0),"")</f>
        <v/>
      </c>
      <c r="AU896" s="300" t="str">
        <f>_xlfn.IFNA(VLOOKUP($AI896,Programma!$F$3:$R$1107,13,0),"")</f>
        <v/>
      </c>
      <c r="AV896" s="300" t="str">
        <f>_xlfn.IFNA(VLOOKUP($AI896,Programma!$F$3:$S$1107,14,0),"")</f>
        <v/>
      </c>
      <c r="AW896" s="300" t="str">
        <f>_xlfn.IFNA(VLOOKUP($AI896,Programma!$F$3:$T$1107,15,0),"")</f>
        <v/>
      </c>
      <c r="AX896" s="300" t="str">
        <f>_xlfn.IFNA(VLOOKUP($AI896,Programma!$F$3:$U$1107,16,0),"")</f>
        <v/>
      </c>
      <c r="AY896" s="300" t="str">
        <f>_xlfn.IFNA(VLOOKUP($AI896,Programma!$F$3:$V$1107,17,0),"")</f>
        <v/>
      </c>
      <c r="AZ896" s="300" t="str">
        <f>_xlfn.IFNA(VLOOKUP($AI896,Programma!$F$3:$W$1107,18,0),"")</f>
        <v/>
      </c>
      <c r="BA896" s="300" t="str">
        <f>_xlfn.IFNA(VLOOKUP($AI896,Programma!$F$3:$X$1107,19,0),"")</f>
        <v/>
      </c>
      <c r="BB896" s="300" t="str">
        <f>_xlfn.IFNA(VLOOKUP($AI896,Programma!$F$3:$Y$1107,20,0),"")</f>
        <v/>
      </c>
      <c r="BC896" s="257"/>
      <c r="BD896" s="256" t="str">
        <f>IF(Ruimtestaat[[#This Row],[Frequentie weekend]]="","",_xlfn.CONCAT(Ruimtestaat[[#This Row],[Ruimte code]],"-",Ruimtestaat[[#This Row],[Frequentie weekend]]," ",Ruimtestaat[[#This Row],[Vloer code]]))</f>
        <v/>
      </c>
      <c r="BE896" s="300" t="str">
        <f>_xlfn.IFNA(VLOOKUP($BD896,Programma!$F$3:$G$1107,2,0),"")</f>
        <v/>
      </c>
      <c r="BF896" s="300" t="str">
        <f>_xlfn.IFNA(VLOOKUP($BD896,Programma!$F$3:$H$1107,3,0),"")</f>
        <v/>
      </c>
      <c r="BG896" s="300" t="str">
        <f>_xlfn.IFNA(VLOOKUP($BD896,Programma!$F$3:$I$1107,4,0),"")</f>
        <v/>
      </c>
      <c r="BH896" s="300" t="str">
        <f>_xlfn.IFNA(VLOOKUP($BD896,Programma!$F$3:$J$1107,5,0),"")</f>
        <v/>
      </c>
      <c r="BI896" s="300" t="str">
        <f>_xlfn.IFNA(VLOOKUP($BD896,Programma!$F$3:$K$1107,6,0),"")</f>
        <v/>
      </c>
      <c r="BJ896" s="300" t="str">
        <f>_xlfn.IFNA(VLOOKUP($BD896,Programma!$F$3:$L$1107,7,0),"")</f>
        <v/>
      </c>
      <c r="BK896" s="300" t="str">
        <f>_xlfn.IFNA(VLOOKUP($BD896,Programma!$F$3:$M$1107,8,0),"")</f>
        <v/>
      </c>
      <c r="BL896" s="300" t="str">
        <f>_xlfn.IFNA(VLOOKUP($BD896,Programma!$F$3:$N$1107,9,0),"")</f>
        <v/>
      </c>
      <c r="BM896" s="300" t="str">
        <f>_xlfn.IFNA(VLOOKUP($BD896,Programma!$F$3:$O$1107,10,0),"")</f>
        <v/>
      </c>
      <c r="BN896" s="300" t="str">
        <f>_xlfn.IFNA(VLOOKUP($BD896,Programma!$F$3:$P$1107,11,0),"")</f>
        <v/>
      </c>
      <c r="BO896" s="300" t="str">
        <f>_xlfn.IFNA(VLOOKUP($BD896,Programma!$F$3:$Q$1107,12,0),"")</f>
        <v/>
      </c>
      <c r="BP896" s="300" t="str">
        <f>_xlfn.IFNA(VLOOKUP($BD896,Programma!$F$3:$R$1107,13,0),"")</f>
        <v/>
      </c>
      <c r="BQ896" s="300" t="str">
        <f>_xlfn.IFNA(VLOOKUP($BD896,Programma!$F$3:$S$1107,14,0),"")</f>
        <v/>
      </c>
      <c r="BR896" s="300" t="str">
        <f>_xlfn.IFNA(VLOOKUP($BD896,Programma!$F$3:$T$1107,15,0),"")</f>
        <v/>
      </c>
      <c r="BS896" s="300" t="str">
        <f>_xlfn.IFNA(VLOOKUP($BD896,Programma!$F$3:$U$1107,16,0),"")</f>
        <v/>
      </c>
      <c r="BT896" s="300" t="str">
        <f>_xlfn.IFNA(VLOOKUP($BD896,Programma!$F$3:$V$1107,17,0),"")</f>
        <v/>
      </c>
      <c r="BU896" s="300" t="str">
        <f>_xlfn.IFNA(VLOOKUP($BD896,Programma!$F$3:$W$1107,18,0),"")</f>
        <v/>
      </c>
      <c r="BV896" s="300" t="str">
        <f>_xlfn.IFNA(VLOOKUP($BD896,Programma!$F$3:$X$1107,19,0),"")</f>
        <v/>
      </c>
      <c r="BW896" s="300" t="str">
        <f>_xlfn.IFNA(VLOOKUP($BD896,Programma!$F$3:$Y$1107,20,0),"")</f>
        <v/>
      </c>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c r="GK896" s="4"/>
      <c r="GL896" s="4"/>
      <c r="GM896" s="4"/>
      <c r="GN896" s="4"/>
      <c r="GO896" s="4"/>
      <c r="GP896" s="4"/>
      <c r="GQ896" s="4"/>
      <c r="GR896" s="4"/>
      <c r="GS896" s="4"/>
      <c r="GT896" s="4"/>
      <c r="GU896" s="4"/>
      <c r="GV896" s="4"/>
      <c r="GW896" s="4"/>
      <c r="GX896" s="4"/>
      <c r="GY896" s="4"/>
      <c r="GZ896" s="4"/>
      <c r="HA896" s="4"/>
      <c r="HB896" s="4"/>
      <c r="HC896" s="4"/>
      <c r="HD896" s="4"/>
      <c r="HE896" s="4"/>
      <c r="HF896" s="4"/>
      <c r="HG896" s="4"/>
      <c r="HH896" s="4"/>
      <c r="HI896" s="4"/>
      <c r="HJ896" s="4"/>
      <c r="HK896" s="4"/>
      <c r="HL896" s="4"/>
    </row>
    <row r="897" spans="1:220" ht="15" customHeight="1">
      <c r="A897" s="21">
        <v>10</v>
      </c>
      <c r="B897" s="157" t="str">
        <f>VLOOKUP(Ruimtestaat[[#This Row],[Code]],Locaties[[Code]:[Locatie]],2,FALSE)</f>
        <v>Veurs Voorburg vmbo</v>
      </c>
      <c r="C897" s="157" t="str">
        <f>VLOOKUP(Ruimtestaat[[#This Row],[Code]],Locaties[[#All],[Code]:[Adres]],4,FALSE)</f>
        <v>Delflandlaan 4</v>
      </c>
      <c r="D897" s="157" t="str">
        <f>VLOOKUP(Ruimtestaat[[#This Row],[Code]],Locaties[[#All],[Code]:[Postcode]],5,FALSE)</f>
        <v>2273 CS</v>
      </c>
      <c r="E897" s="157" t="str">
        <f>VLOOKUP(Ruimtestaat[[#This Row],[Code]],Locaties[#All],6,FALSE)</f>
        <v>Voorburg</v>
      </c>
      <c r="F897" s="62"/>
      <c r="G897" s="21" t="s">
        <v>1749</v>
      </c>
      <c r="H897" s="21" t="s">
        <v>2323</v>
      </c>
      <c r="I897" s="62" t="s">
        <v>2387</v>
      </c>
      <c r="J897" s="21">
        <v>7</v>
      </c>
      <c r="K897" s="62" t="str">
        <f>VLOOKUP(Ruimtestaat[[#This Row],[Ruimte code]],Ruimtegroepen[[#All],[Code]:[Ruimte omschrijving]],2,FALSE)</f>
        <v>Entree</v>
      </c>
      <c r="L897" s="33" t="s">
        <v>100</v>
      </c>
      <c r="M897" s="367" t="s">
        <v>2500</v>
      </c>
      <c r="N897" s="140">
        <v>10.6</v>
      </c>
      <c r="O897" s="140"/>
      <c r="P897" s="125" t="str">
        <f>VLOOKUP(Ruimtestaat[[#This Row],[Ruimte code]],Ruimtegroepen[],4,FALSE)</f>
        <v>Ve</v>
      </c>
      <c r="R897" s="33">
        <v>40</v>
      </c>
      <c r="S897" s="33" t="s">
        <v>2</v>
      </c>
      <c r="T897" s="33">
        <f>IF(R897&gt;0,IF(RIGHT(Ruimtestaat[[#This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97" s="33">
        <f>IF(T897&gt;0,VLOOKUP($J897,Ruimtegroepen[],3,FALSE)*VLOOKUP($L897,Vloersoorten[],3,FALSE)*VLOOKUP($S897,Frequenties[],3,FALSE)*VLOOKUP($A897,Locaties[],3,FALSE),0)</f>
        <v>0</v>
      </c>
      <c r="V897" s="33">
        <f>Ruimtestaat[[#This Row],[Uitvoeringen werkdagen]]*Ruimtestaat[[#This Row],[Oppervlak (netto)]]</f>
        <v>2120</v>
      </c>
      <c r="W897" s="154">
        <f>IF(U897&gt;0,Ruimtestaat[[#This Row],[Prest. (m2 /jaar) werkdagen]]/Ruimtestaat[[#This Row],[Norm (m2/uur) werkdagen]],0)</f>
        <v>0</v>
      </c>
      <c r="X897" s="155">
        <f>Ruimtestaat[[#This Row],[uren / jaar werkdagen]]*Tariefsopbouw!$E$35</f>
        <v>0</v>
      </c>
      <c r="Y897" s="33"/>
      <c r="Z897" s="33">
        <f>IF(Ruimtestaat[[#This Row],[Frequentie weekend]]&gt;0,VALUE(LEFT(Y897,1))*R897,0)</f>
        <v>0</v>
      </c>
      <c r="AA897" s="97">
        <f>IF($Z897&gt;0,VLOOKUP($J897,Ruimtegroepen[],3,FALSE)*VLOOKUP($L897,Vloersoorten[],3,FALSE)*VLOOKUP($Y897,Frequenties[],3,FALSE)*VLOOKUP(Ruimtestaat[[#This Row],[Code]],Locaties[],3,FALSE),0)</f>
        <v>0</v>
      </c>
      <c r="AB897" s="97">
        <f>Ruimtestaat[[#This Row],[Uitvoeringen weekend]]*Ruimtestaat[[#This Row],[Oppervlak (netto)]]</f>
        <v>0</v>
      </c>
      <c r="AC897" s="97">
        <f>IF(AA897&gt;0,Ruimtestaat[[#This Row],[Prest. (m2 /jaar) weekend]]/Ruimtestaat[[#This Row],[Norm (m2/uur) weekend]],0)</f>
        <v>0</v>
      </c>
      <c r="AD897" s="155">
        <f>Ruimtestaat[[#This Row],[uren / jaar weekend]]*Tariefsopbouw!$D$40</f>
        <v>0</v>
      </c>
      <c r="AE897" s="154">
        <f>Ruimtestaat[[#This Row],[Prest. (m2 /jaar) weekend]]+Ruimtestaat[[#This Row],[Prest. (m2 /jaar) werkdagen]]</f>
        <v>2120</v>
      </c>
      <c r="AF897" s="154">
        <f>Ruimtestaat[[#This Row],[uren / jaar weekend]]+Ruimtestaat[[#This Row],[uren / jaar werkdagen]]</f>
        <v>0</v>
      </c>
      <c r="AG897" s="69">
        <f>Ruimtestaat[[#This Row],[kosten / jaar weekend]]+Ruimtestaat[[#This Row],[kosten / jaar werkdagen]]</f>
        <v>0</v>
      </c>
      <c r="AH897" s="69"/>
      <c r="AI897" s="256" t="str">
        <f>IF(Ruimtestaat[[#This Row],[Frequentie werkdagen]]="","",_xlfn.CONCAT(Ruimtestaat[[#This Row],[Ruimte code]],"-",Ruimtestaat[[#This Row],[Frequentie werkdagen]]," ",Ruimtestaat[[#This Row],[Vloer code]]))</f>
        <v>7-5w T</v>
      </c>
      <c r="AJ897" s="300" t="str">
        <f>_xlfn.IFNA(VLOOKUP($AI897,Programma!$F$3:$G$1107,2,0),"")</f>
        <v>_</v>
      </c>
      <c r="AK897" s="300" t="str">
        <f>_xlfn.IFNA(VLOOKUP($AI897,Programma!$F$3:$H$1107,3,0),"")</f>
        <v>5w</v>
      </c>
      <c r="AL897" s="300" t="str">
        <f>_xlfn.IFNA(VLOOKUP($AI897,Programma!$F$3:$I$1107,4,0),"")</f>
        <v>_</v>
      </c>
      <c r="AM897" s="300" t="str">
        <f>_xlfn.IFNA(VLOOKUP($AI897,Programma!$F$3:$J$1107,5,0),"")</f>
        <v>_</v>
      </c>
      <c r="AN897" s="300" t="str">
        <f>_xlfn.IFNA(VLOOKUP($AI897,Programma!$F$3:$K$1107,6,0),"")</f>
        <v>_</v>
      </c>
      <c r="AO897" s="300" t="str">
        <f>_xlfn.IFNA(VLOOKUP($AI897,Programma!$F$3:$L$1107,7,0),"")</f>
        <v>_</v>
      </c>
      <c r="AP897" s="300" t="str">
        <f>_xlfn.IFNA(VLOOKUP($AI897,Programma!$F$3:$M$1107,8,0),"")</f>
        <v>_</v>
      </c>
      <c r="AQ897" s="300" t="str">
        <f>_xlfn.IFNA(VLOOKUP($AI897,Programma!$F$3:$N$1107,9,0),"")</f>
        <v>_</v>
      </c>
      <c r="AR897" s="300" t="str">
        <f>_xlfn.IFNA(VLOOKUP($AI897,Programma!$F$3:$O$1107,10,0),"")</f>
        <v>5w</v>
      </c>
      <c r="AS897" s="300" t="str">
        <f>_xlfn.IFNA(VLOOKUP($AI897,Programma!$F$3:$P$1107,11,0),"")</f>
        <v>5w</v>
      </c>
      <c r="AT897" s="300" t="str">
        <f>_xlfn.IFNA(VLOOKUP($AI897,Programma!$F$3:$Q$1107,12,0),"")</f>
        <v>1w</v>
      </c>
      <c r="AU897" s="300" t="str">
        <f>_xlfn.IFNA(VLOOKUP($AI897,Programma!$F$3:$R$1107,13,0),"")</f>
        <v>1w</v>
      </c>
      <c r="AV897" s="300" t="str">
        <f>_xlfn.IFNA(VLOOKUP($AI897,Programma!$F$3:$S$1107,14,0),"")</f>
        <v>1m</v>
      </c>
      <c r="AW897" s="300" t="str">
        <f>_xlfn.IFNA(VLOOKUP($AI897,Programma!$F$3:$T$1107,15,0),"")</f>
        <v>2j</v>
      </c>
      <c r="AX897" s="300" t="str">
        <f>_xlfn.IFNA(VLOOKUP($AI897,Programma!$F$3:$U$1107,16,0),"")</f>
        <v>1j</v>
      </c>
      <c r="AY897" s="300" t="str">
        <f>_xlfn.IFNA(VLOOKUP($AI897,Programma!$F$3:$V$1107,17,0),"")</f>
        <v>_</v>
      </c>
      <c r="AZ897" s="300" t="str">
        <f>_xlfn.IFNA(VLOOKUP($AI897,Programma!$F$3:$W$1107,18,0),"")</f>
        <v>_</v>
      </c>
      <c r="BA897" s="300" t="str">
        <f>_xlfn.IFNA(VLOOKUP($AI897,Programma!$F$3:$X$1107,19,0),"")</f>
        <v>_</v>
      </c>
      <c r="BB897" s="300" t="str">
        <f>_xlfn.IFNA(VLOOKUP($AI897,Programma!$F$3:$Y$1107,20,0),"")</f>
        <v>_</v>
      </c>
      <c r="BC897" s="257"/>
      <c r="BD897" s="256" t="str">
        <f>IF(Ruimtestaat[[#This Row],[Frequentie weekend]]="","",_xlfn.CONCAT(Ruimtestaat[[#This Row],[Ruimte code]],"-",Ruimtestaat[[#This Row],[Frequentie weekend]]," ",Ruimtestaat[[#This Row],[Vloer code]]))</f>
        <v/>
      </c>
      <c r="BE897" s="300" t="str">
        <f>_xlfn.IFNA(VLOOKUP($BD897,Programma!$F$3:$G$1107,2,0),"")</f>
        <v/>
      </c>
      <c r="BF897" s="300" t="str">
        <f>_xlfn.IFNA(VLOOKUP($BD897,Programma!$F$3:$H$1107,3,0),"")</f>
        <v/>
      </c>
      <c r="BG897" s="300" t="str">
        <f>_xlfn.IFNA(VLOOKUP($BD897,Programma!$F$3:$I$1107,4,0),"")</f>
        <v/>
      </c>
      <c r="BH897" s="300" t="str">
        <f>_xlfn.IFNA(VLOOKUP($BD897,Programma!$F$3:$J$1107,5,0),"")</f>
        <v/>
      </c>
      <c r="BI897" s="300" t="str">
        <f>_xlfn.IFNA(VLOOKUP($BD897,Programma!$F$3:$K$1107,6,0),"")</f>
        <v/>
      </c>
      <c r="BJ897" s="300" t="str">
        <f>_xlfn.IFNA(VLOOKUP($BD897,Programma!$F$3:$L$1107,7,0),"")</f>
        <v/>
      </c>
      <c r="BK897" s="300" t="str">
        <f>_xlfn.IFNA(VLOOKUP($BD897,Programma!$F$3:$M$1107,8,0),"")</f>
        <v/>
      </c>
      <c r="BL897" s="300" t="str">
        <f>_xlfn.IFNA(VLOOKUP($BD897,Programma!$F$3:$N$1107,9,0),"")</f>
        <v/>
      </c>
      <c r="BM897" s="300" t="str">
        <f>_xlfn.IFNA(VLOOKUP($BD897,Programma!$F$3:$O$1107,10,0),"")</f>
        <v/>
      </c>
      <c r="BN897" s="300" t="str">
        <f>_xlfn.IFNA(VLOOKUP($BD897,Programma!$F$3:$P$1107,11,0),"")</f>
        <v/>
      </c>
      <c r="BO897" s="300" t="str">
        <f>_xlfn.IFNA(VLOOKUP($BD897,Programma!$F$3:$Q$1107,12,0),"")</f>
        <v/>
      </c>
      <c r="BP897" s="300" t="str">
        <f>_xlfn.IFNA(VLOOKUP($BD897,Programma!$F$3:$R$1107,13,0),"")</f>
        <v/>
      </c>
      <c r="BQ897" s="300" t="str">
        <f>_xlfn.IFNA(VLOOKUP($BD897,Programma!$F$3:$S$1107,14,0),"")</f>
        <v/>
      </c>
      <c r="BR897" s="300" t="str">
        <f>_xlfn.IFNA(VLOOKUP($BD897,Programma!$F$3:$T$1107,15,0),"")</f>
        <v/>
      </c>
      <c r="BS897" s="300" t="str">
        <f>_xlfn.IFNA(VLOOKUP($BD897,Programma!$F$3:$U$1107,16,0),"")</f>
        <v/>
      </c>
      <c r="BT897" s="300" t="str">
        <f>_xlfn.IFNA(VLOOKUP($BD897,Programma!$F$3:$V$1107,17,0),"")</f>
        <v/>
      </c>
      <c r="BU897" s="300" t="str">
        <f>_xlfn.IFNA(VLOOKUP($BD897,Programma!$F$3:$W$1107,18,0),"")</f>
        <v/>
      </c>
      <c r="BV897" s="300" t="str">
        <f>_xlfn.IFNA(VLOOKUP($BD897,Programma!$F$3:$X$1107,19,0),"")</f>
        <v/>
      </c>
      <c r="BW897" s="300" t="str">
        <f>_xlfn.IFNA(VLOOKUP($BD897,Programma!$F$3:$Y$1107,20,0),"")</f>
        <v/>
      </c>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c r="GK897" s="4"/>
      <c r="GL897" s="4"/>
      <c r="GM897" s="4"/>
      <c r="GN897" s="4"/>
      <c r="GO897" s="4"/>
      <c r="GP897" s="4"/>
      <c r="GQ897" s="4"/>
      <c r="GR897" s="4"/>
      <c r="GS897" s="4"/>
      <c r="GT897" s="4"/>
      <c r="GU897" s="4"/>
      <c r="GV897" s="4"/>
      <c r="GW897" s="4"/>
      <c r="GX897" s="4"/>
      <c r="GY897" s="4"/>
      <c r="GZ897" s="4"/>
      <c r="HA897" s="4"/>
      <c r="HB897" s="4"/>
      <c r="HC897" s="4"/>
      <c r="HD897" s="4"/>
      <c r="HE897" s="4"/>
      <c r="HF897" s="4"/>
      <c r="HG897" s="4"/>
      <c r="HH897" s="4"/>
      <c r="HI897" s="4"/>
      <c r="HJ897" s="4"/>
      <c r="HK897" s="4"/>
      <c r="HL897" s="4"/>
    </row>
    <row r="898" spans="1:220" ht="15" customHeight="1">
      <c r="A898" s="21">
        <v>10</v>
      </c>
      <c r="B898" s="157" t="str">
        <f>VLOOKUP(Ruimtestaat[[#This Row],[Code]],Locaties[[Code]:[Locatie]],2,FALSE)</f>
        <v>Veurs Voorburg vmbo</v>
      </c>
      <c r="C898" s="157" t="str">
        <f>VLOOKUP(Ruimtestaat[[#This Row],[Code]],Locaties[[#All],[Code]:[Adres]],4,FALSE)</f>
        <v>Delflandlaan 4</v>
      </c>
      <c r="D898" s="157" t="str">
        <f>VLOOKUP(Ruimtestaat[[#This Row],[Code]],Locaties[[#All],[Code]:[Postcode]],5,FALSE)</f>
        <v>2273 CS</v>
      </c>
      <c r="E898" s="157" t="str">
        <f>VLOOKUP(Ruimtestaat[[#This Row],[Code]],Locaties[#All],6,FALSE)</f>
        <v>Voorburg</v>
      </c>
      <c r="F898" s="62"/>
      <c r="G898" s="21" t="s">
        <v>1749</v>
      </c>
      <c r="H898" s="21" t="s">
        <v>2325</v>
      </c>
      <c r="I898" s="62" t="s">
        <v>2388</v>
      </c>
      <c r="J898" s="21">
        <v>4</v>
      </c>
      <c r="K898" s="62" t="str">
        <f>VLOOKUP(Ruimtestaat[[#This Row],[Ruimte code]],Ruimtegroepen[[#All],[Code]:[Ruimte omschrijving]],2,FALSE)</f>
        <v>Vergader/spreekkamers</v>
      </c>
      <c r="L898" s="33" t="s">
        <v>101</v>
      </c>
      <c r="M898" s="367" t="s">
        <v>2506</v>
      </c>
      <c r="N898" s="140">
        <v>9.8000000000000007</v>
      </c>
      <c r="O898" s="140"/>
      <c r="P898" s="125" t="str">
        <f>VLOOKUP(Ruimtestaat[[#This Row],[Ruimte code]],Ruimtegroepen[],4,FALSE)</f>
        <v>Bu</v>
      </c>
      <c r="R898" s="33">
        <v>40</v>
      </c>
      <c r="S898" s="33" t="s">
        <v>18</v>
      </c>
      <c r="T898" s="33">
        <f>IF(R898&gt;0,IF(RIGHT(Ruimtestaat[[#This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898" s="33">
        <f>IF(T898&gt;0,VLOOKUP($J898,Ruimtegroepen[],3,FALSE)*VLOOKUP($L898,Vloersoorten[],3,FALSE)*VLOOKUP($S898,Frequenties[],3,FALSE)*VLOOKUP($A898,Locaties[],3,FALSE),0)</f>
        <v>0</v>
      </c>
      <c r="V898" s="33">
        <f>Ruimtestaat[[#This Row],[Uitvoeringen werkdagen]]*Ruimtestaat[[#This Row],[Oppervlak (netto)]]</f>
        <v>1176</v>
      </c>
      <c r="W898" s="154">
        <f>IF(U898&gt;0,Ruimtestaat[[#This Row],[Prest. (m2 /jaar) werkdagen]]/Ruimtestaat[[#This Row],[Norm (m2/uur) werkdagen]],0)</f>
        <v>0</v>
      </c>
      <c r="X898" s="155">
        <f>Ruimtestaat[[#This Row],[uren / jaar werkdagen]]*Tariefsopbouw!$E$35</f>
        <v>0</v>
      </c>
      <c r="Y898" s="33"/>
      <c r="Z898" s="33">
        <f>IF(Ruimtestaat[[#This Row],[Frequentie weekend]]&gt;0,VALUE(LEFT(Y898,1))*R898,0)</f>
        <v>0</v>
      </c>
      <c r="AA898" s="97">
        <f>IF($Z898&gt;0,VLOOKUP($J898,Ruimtegroepen[],3,FALSE)*VLOOKUP($L898,Vloersoorten[],3,FALSE)*VLOOKUP($Y898,Frequenties[],3,FALSE)*VLOOKUP(Ruimtestaat[[#This Row],[Code]],Locaties[],3,FALSE),0)</f>
        <v>0</v>
      </c>
      <c r="AB898" s="97">
        <f>Ruimtestaat[[#This Row],[Uitvoeringen weekend]]*Ruimtestaat[[#This Row],[Oppervlak (netto)]]</f>
        <v>0</v>
      </c>
      <c r="AC898" s="97">
        <f>IF(AA898&gt;0,Ruimtestaat[[#This Row],[Prest. (m2 /jaar) weekend]]/Ruimtestaat[[#This Row],[Norm (m2/uur) weekend]],0)</f>
        <v>0</v>
      </c>
      <c r="AD898" s="155">
        <f>Ruimtestaat[[#This Row],[uren / jaar weekend]]*Tariefsopbouw!$D$40</f>
        <v>0</v>
      </c>
      <c r="AE898" s="154">
        <f>Ruimtestaat[[#This Row],[Prest. (m2 /jaar) weekend]]+Ruimtestaat[[#This Row],[Prest. (m2 /jaar) werkdagen]]</f>
        <v>1176</v>
      </c>
      <c r="AF898" s="154">
        <f>Ruimtestaat[[#This Row],[uren / jaar weekend]]+Ruimtestaat[[#This Row],[uren / jaar werkdagen]]</f>
        <v>0</v>
      </c>
      <c r="AG898" s="69">
        <f>Ruimtestaat[[#This Row],[kosten / jaar weekend]]+Ruimtestaat[[#This Row],[kosten / jaar werkdagen]]</f>
        <v>0</v>
      </c>
      <c r="AH898" s="69"/>
      <c r="AI898" s="256" t="str">
        <f>IF(Ruimtestaat[[#This Row],[Frequentie werkdagen]]="","",_xlfn.CONCAT(Ruimtestaat[[#This Row],[Ruimte code]],"-",Ruimtestaat[[#This Row],[Frequentie werkdagen]]," ",Ruimtestaat[[#This Row],[Vloer code]]))</f>
        <v>4-3w L</v>
      </c>
      <c r="AJ898" s="300" t="str">
        <f>_xlfn.IFNA(VLOOKUP($AI898,Programma!$F$3:$G$1107,2,0),"")</f>
        <v>_</v>
      </c>
      <c r="AK898" s="300" t="str">
        <f>_xlfn.IFNA(VLOOKUP($AI898,Programma!$F$3:$H$1107,3,0),"")</f>
        <v>_</v>
      </c>
      <c r="AL898" s="300" t="str">
        <f>_xlfn.IFNA(VLOOKUP($AI898,Programma!$F$3:$I$1107,4,0),"")</f>
        <v>2w</v>
      </c>
      <c r="AM898" s="300" t="str">
        <f>_xlfn.IFNA(VLOOKUP($AI898,Programma!$F$3:$J$1107,5,0),"")</f>
        <v>1w</v>
      </c>
      <c r="AN898" s="300" t="str">
        <f>_xlfn.IFNA(VLOOKUP($AI898,Programma!$F$3:$K$1107,6,0),"")</f>
        <v>_</v>
      </c>
      <c r="AO898" s="300" t="str">
        <f>_xlfn.IFNA(VLOOKUP($AI898,Programma!$F$3:$L$1107,7,0),"")</f>
        <v>_</v>
      </c>
      <c r="AP898" s="300" t="str">
        <f>_xlfn.IFNA(VLOOKUP($AI898,Programma!$F$3:$M$1107,8,0),"")</f>
        <v>_</v>
      </c>
      <c r="AQ898" s="300" t="str">
        <f>_xlfn.IFNA(VLOOKUP($AI898,Programma!$F$3:$N$1107,9,0),"")</f>
        <v>_</v>
      </c>
      <c r="AR898" s="300" t="str">
        <f>_xlfn.IFNA(VLOOKUP($AI898,Programma!$F$3:$O$1107,10,0),"")</f>
        <v>3w</v>
      </c>
      <c r="AS898" s="300" t="str">
        <f>_xlfn.IFNA(VLOOKUP($AI898,Programma!$F$3:$P$1107,11,0),"")</f>
        <v>3w</v>
      </c>
      <c r="AT898" s="300" t="str">
        <f>_xlfn.IFNA(VLOOKUP($AI898,Programma!$F$3:$Q$1107,12,0),"")</f>
        <v>1w</v>
      </c>
      <c r="AU898" s="300" t="str">
        <f>_xlfn.IFNA(VLOOKUP($AI898,Programma!$F$3:$R$1107,13,0),"")</f>
        <v>1w</v>
      </c>
      <c r="AV898" s="300" t="str">
        <f>_xlfn.IFNA(VLOOKUP($AI898,Programma!$F$3:$S$1107,14,0),"")</f>
        <v>1m</v>
      </c>
      <c r="AW898" s="300" t="str">
        <f>_xlfn.IFNA(VLOOKUP($AI898,Programma!$F$3:$T$1107,15,0),"")</f>
        <v>2j</v>
      </c>
      <c r="AX898" s="300" t="str">
        <f>_xlfn.IFNA(VLOOKUP($AI898,Programma!$F$3:$U$1107,16,0),"")</f>
        <v>1j</v>
      </c>
      <c r="AY898" s="300" t="str">
        <f>_xlfn.IFNA(VLOOKUP($AI898,Programma!$F$3:$V$1107,17,0),"")</f>
        <v>_</v>
      </c>
      <c r="AZ898" s="300" t="str">
        <f>_xlfn.IFNA(VLOOKUP($AI898,Programma!$F$3:$W$1107,18,0),"")</f>
        <v>_</v>
      </c>
      <c r="BA898" s="300" t="str">
        <f>_xlfn.IFNA(VLOOKUP($AI898,Programma!$F$3:$X$1107,19,0),"")</f>
        <v>_</v>
      </c>
      <c r="BB898" s="300" t="str">
        <f>_xlfn.IFNA(VLOOKUP($AI898,Programma!$F$3:$Y$1107,20,0),"")</f>
        <v>_</v>
      </c>
      <c r="BC898" s="257"/>
      <c r="BD898" s="256" t="str">
        <f>IF(Ruimtestaat[[#This Row],[Frequentie weekend]]="","",_xlfn.CONCAT(Ruimtestaat[[#This Row],[Ruimte code]],"-",Ruimtestaat[[#This Row],[Frequentie weekend]]," ",Ruimtestaat[[#This Row],[Vloer code]]))</f>
        <v/>
      </c>
      <c r="BE898" s="300" t="str">
        <f>_xlfn.IFNA(VLOOKUP($BD898,Programma!$F$3:$G$1107,2,0),"")</f>
        <v/>
      </c>
      <c r="BF898" s="300" t="str">
        <f>_xlfn.IFNA(VLOOKUP($BD898,Programma!$F$3:$H$1107,3,0),"")</f>
        <v/>
      </c>
      <c r="BG898" s="300" t="str">
        <f>_xlfn.IFNA(VLOOKUP($BD898,Programma!$F$3:$I$1107,4,0),"")</f>
        <v/>
      </c>
      <c r="BH898" s="300" t="str">
        <f>_xlfn.IFNA(VLOOKUP($BD898,Programma!$F$3:$J$1107,5,0),"")</f>
        <v/>
      </c>
      <c r="BI898" s="300" t="str">
        <f>_xlfn.IFNA(VLOOKUP($BD898,Programma!$F$3:$K$1107,6,0),"")</f>
        <v/>
      </c>
      <c r="BJ898" s="300" t="str">
        <f>_xlfn.IFNA(VLOOKUP($BD898,Programma!$F$3:$L$1107,7,0),"")</f>
        <v/>
      </c>
      <c r="BK898" s="300" t="str">
        <f>_xlfn.IFNA(VLOOKUP($BD898,Programma!$F$3:$M$1107,8,0),"")</f>
        <v/>
      </c>
      <c r="BL898" s="300" t="str">
        <f>_xlfn.IFNA(VLOOKUP($BD898,Programma!$F$3:$N$1107,9,0),"")</f>
        <v/>
      </c>
      <c r="BM898" s="300" t="str">
        <f>_xlfn.IFNA(VLOOKUP($BD898,Programma!$F$3:$O$1107,10,0),"")</f>
        <v/>
      </c>
      <c r="BN898" s="300" t="str">
        <f>_xlfn.IFNA(VLOOKUP($BD898,Programma!$F$3:$P$1107,11,0),"")</f>
        <v/>
      </c>
      <c r="BO898" s="300" t="str">
        <f>_xlfn.IFNA(VLOOKUP($BD898,Programma!$F$3:$Q$1107,12,0),"")</f>
        <v/>
      </c>
      <c r="BP898" s="300" t="str">
        <f>_xlfn.IFNA(VLOOKUP($BD898,Programma!$F$3:$R$1107,13,0),"")</f>
        <v/>
      </c>
      <c r="BQ898" s="300" t="str">
        <f>_xlfn.IFNA(VLOOKUP($BD898,Programma!$F$3:$S$1107,14,0),"")</f>
        <v/>
      </c>
      <c r="BR898" s="300" t="str">
        <f>_xlfn.IFNA(VLOOKUP($BD898,Programma!$F$3:$T$1107,15,0),"")</f>
        <v/>
      </c>
      <c r="BS898" s="300" t="str">
        <f>_xlfn.IFNA(VLOOKUP($BD898,Programma!$F$3:$U$1107,16,0),"")</f>
        <v/>
      </c>
      <c r="BT898" s="300" t="str">
        <f>_xlfn.IFNA(VLOOKUP($BD898,Programma!$F$3:$V$1107,17,0),"")</f>
        <v/>
      </c>
      <c r="BU898" s="300" t="str">
        <f>_xlfn.IFNA(VLOOKUP($BD898,Programma!$F$3:$W$1107,18,0),"")</f>
        <v/>
      </c>
      <c r="BV898" s="300" t="str">
        <f>_xlfn.IFNA(VLOOKUP($BD898,Programma!$F$3:$X$1107,19,0),"")</f>
        <v/>
      </c>
      <c r="BW898" s="300" t="str">
        <f>_xlfn.IFNA(VLOOKUP($BD898,Programma!$F$3:$Y$1107,20,0),"")</f>
        <v/>
      </c>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c r="GK898" s="4"/>
      <c r="GL898" s="4"/>
      <c r="GM898" s="4"/>
      <c r="GN898" s="4"/>
      <c r="GO898" s="4"/>
      <c r="GP898" s="4"/>
      <c r="GQ898" s="4"/>
      <c r="GR898" s="4"/>
      <c r="GS898" s="4"/>
      <c r="GT898" s="4"/>
      <c r="GU898" s="4"/>
      <c r="GV898" s="4"/>
      <c r="GW898" s="4"/>
      <c r="GX898" s="4"/>
      <c r="GY898" s="4"/>
      <c r="GZ898" s="4"/>
      <c r="HA898" s="4"/>
      <c r="HB898" s="4"/>
      <c r="HC898" s="4"/>
      <c r="HD898" s="4"/>
      <c r="HE898" s="4"/>
      <c r="HF898" s="4"/>
      <c r="HG898" s="4"/>
      <c r="HH898" s="4"/>
      <c r="HI898" s="4"/>
      <c r="HJ898" s="4"/>
      <c r="HK898" s="4"/>
      <c r="HL898" s="4"/>
    </row>
    <row r="899" spans="1:220" ht="15" customHeight="1">
      <c r="A899" s="21">
        <v>10</v>
      </c>
      <c r="B899" s="157" t="str">
        <f>VLOOKUP(Ruimtestaat[[#This Row],[Code]],Locaties[[Code]:[Locatie]],2,FALSE)</f>
        <v>Veurs Voorburg vmbo</v>
      </c>
      <c r="C899" s="157" t="str">
        <f>VLOOKUP(Ruimtestaat[[#This Row],[Code]],Locaties[[#All],[Code]:[Adres]],4,FALSE)</f>
        <v>Delflandlaan 4</v>
      </c>
      <c r="D899" s="157" t="str">
        <f>VLOOKUP(Ruimtestaat[[#This Row],[Code]],Locaties[[#All],[Code]:[Postcode]],5,FALSE)</f>
        <v>2273 CS</v>
      </c>
      <c r="E899" s="157" t="str">
        <f>VLOOKUP(Ruimtestaat[[#This Row],[Code]],Locaties[#All],6,FALSE)</f>
        <v>Voorburg</v>
      </c>
      <c r="F899" s="62"/>
      <c r="G899" s="21" t="s">
        <v>1749</v>
      </c>
      <c r="H899" s="21" t="s">
        <v>2327</v>
      </c>
      <c r="I899" s="62" t="s">
        <v>2389</v>
      </c>
      <c r="J899" s="21">
        <v>2</v>
      </c>
      <c r="K899" s="62" t="str">
        <f>VLOOKUP(Ruimtestaat[[#This Row],[Ruimte code]],Ruimtegroepen[[#All],[Code]:[Ruimte omschrijving]],2,FALSE)</f>
        <v>Kantoren</v>
      </c>
      <c r="L899" s="33" t="s">
        <v>101</v>
      </c>
      <c r="M899" s="367" t="s">
        <v>2506</v>
      </c>
      <c r="N899" s="140">
        <v>20.6</v>
      </c>
      <c r="O899" s="140"/>
      <c r="P899" s="125" t="str">
        <f>VLOOKUP(Ruimtestaat[[#This Row],[Ruimte code]],Ruimtegroepen[],4,FALSE)</f>
        <v>Bu</v>
      </c>
      <c r="R899" s="33">
        <v>42</v>
      </c>
      <c r="S899" s="33" t="s">
        <v>18</v>
      </c>
      <c r="T899" s="33">
        <f>IF(R899&gt;0,IF(RIGHT(Ruimtestaat[[#This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99" s="33">
        <f>IF(T899&gt;0,VLOOKUP($J899,Ruimtegroepen[],3,FALSE)*VLOOKUP($L899,Vloersoorten[],3,FALSE)*VLOOKUP($S899,Frequenties[],3,FALSE)*VLOOKUP($A899,Locaties[],3,FALSE),0)</f>
        <v>0</v>
      </c>
      <c r="V899" s="33">
        <f>Ruimtestaat[[#This Row],[Uitvoeringen werkdagen]]*Ruimtestaat[[#This Row],[Oppervlak (netto)]]</f>
        <v>2595.6000000000004</v>
      </c>
      <c r="W899" s="154">
        <f>IF(U899&gt;0,Ruimtestaat[[#This Row],[Prest. (m2 /jaar) werkdagen]]/Ruimtestaat[[#This Row],[Norm (m2/uur) werkdagen]],0)</f>
        <v>0</v>
      </c>
      <c r="X899" s="155">
        <f>Ruimtestaat[[#This Row],[uren / jaar werkdagen]]*Tariefsopbouw!$E$35</f>
        <v>0</v>
      </c>
      <c r="Y899" s="33"/>
      <c r="Z899" s="33">
        <f>IF(Ruimtestaat[[#This Row],[Frequentie weekend]]&gt;0,VALUE(LEFT(Y899,1))*R899,0)</f>
        <v>0</v>
      </c>
      <c r="AA899" s="97">
        <f>IF($Z899&gt;0,VLOOKUP($J899,Ruimtegroepen[],3,FALSE)*VLOOKUP($L899,Vloersoorten[],3,FALSE)*VLOOKUP($Y899,Frequenties[],3,FALSE)*VLOOKUP(Ruimtestaat[[#This Row],[Code]],Locaties[],3,FALSE),0)</f>
        <v>0</v>
      </c>
      <c r="AB899" s="97">
        <f>Ruimtestaat[[#This Row],[Uitvoeringen weekend]]*Ruimtestaat[[#This Row],[Oppervlak (netto)]]</f>
        <v>0</v>
      </c>
      <c r="AC899" s="97">
        <f>IF(AA899&gt;0,Ruimtestaat[[#This Row],[Prest. (m2 /jaar) weekend]]/Ruimtestaat[[#This Row],[Norm (m2/uur) weekend]],0)</f>
        <v>0</v>
      </c>
      <c r="AD899" s="155">
        <f>Ruimtestaat[[#This Row],[uren / jaar weekend]]*Tariefsopbouw!$D$40</f>
        <v>0</v>
      </c>
      <c r="AE899" s="154">
        <f>Ruimtestaat[[#This Row],[Prest. (m2 /jaar) weekend]]+Ruimtestaat[[#This Row],[Prest. (m2 /jaar) werkdagen]]</f>
        <v>2595.6000000000004</v>
      </c>
      <c r="AF899" s="154">
        <f>Ruimtestaat[[#This Row],[uren / jaar weekend]]+Ruimtestaat[[#This Row],[uren / jaar werkdagen]]</f>
        <v>0</v>
      </c>
      <c r="AG899" s="69">
        <f>Ruimtestaat[[#This Row],[kosten / jaar weekend]]+Ruimtestaat[[#This Row],[kosten / jaar werkdagen]]</f>
        <v>0</v>
      </c>
      <c r="AH899" s="69"/>
      <c r="AI899" s="256" t="str">
        <f>IF(Ruimtestaat[[#This Row],[Frequentie werkdagen]]="","",_xlfn.CONCAT(Ruimtestaat[[#This Row],[Ruimte code]],"-",Ruimtestaat[[#This Row],[Frequentie werkdagen]]," ",Ruimtestaat[[#This Row],[Vloer code]]))</f>
        <v>2-3w L</v>
      </c>
      <c r="AJ899" s="300" t="str">
        <f>_xlfn.IFNA(VLOOKUP($AI899,Programma!$F$3:$G$1107,2,0),"")</f>
        <v>_</v>
      </c>
      <c r="AK899" s="300" t="str">
        <f>_xlfn.IFNA(VLOOKUP($AI899,Programma!$F$3:$H$1107,3,0),"")</f>
        <v>_</v>
      </c>
      <c r="AL899" s="300" t="str">
        <f>_xlfn.IFNA(VLOOKUP($AI899,Programma!$F$3:$I$1107,4,0),"")</f>
        <v>2w</v>
      </c>
      <c r="AM899" s="300" t="str">
        <f>_xlfn.IFNA(VLOOKUP($AI899,Programma!$F$3:$J$1107,5,0),"")</f>
        <v>1w</v>
      </c>
      <c r="AN899" s="300" t="str">
        <f>_xlfn.IFNA(VLOOKUP($AI899,Programma!$F$3:$K$1107,6,0),"")</f>
        <v>_</v>
      </c>
      <c r="AO899" s="300" t="str">
        <f>_xlfn.IFNA(VLOOKUP($AI899,Programma!$F$3:$L$1107,7,0),"")</f>
        <v>_</v>
      </c>
      <c r="AP899" s="300" t="str">
        <f>_xlfn.IFNA(VLOOKUP($AI899,Programma!$F$3:$M$1107,8,0),"")</f>
        <v>_</v>
      </c>
      <c r="AQ899" s="300" t="str">
        <f>_xlfn.IFNA(VLOOKUP($AI899,Programma!$F$3:$N$1107,9,0),"")</f>
        <v>_</v>
      </c>
      <c r="AR899" s="300" t="str">
        <f>_xlfn.IFNA(VLOOKUP($AI899,Programma!$F$3:$O$1107,10,0),"")</f>
        <v>3w</v>
      </c>
      <c r="AS899" s="300" t="str">
        <f>_xlfn.IFNA(VLOOKUP($AI899,Programma!$F$3:$P$1107,11,0),"")</f>
        <v>3w</v>
      </c>
      <c r="AT899" s="300" t="str">
        <f>_xlfn.IFNA(VLOOKUP($AI899,Programma!$F$3:$Q$1107,12,0),"")</f>
        <v>1w</v>
      </c>
      <c r="AU899" s="300" t="str">
        <f>_xlfn.IFNA(VLOOKUP($AI899,Programma!$F$3:$R$1107,13,0),"")</f>
        <v>1w</v>
      </c>
      <c r="AV899" s="300" t="str">
        <f>_xlfn.IFNA(VLOOKUP($AI899,Programma!$F$3:$S$1107,14,0),"")</f>
        <v>1m</v>
      </c>
      <c r="AW899" s="300" t="str">
        <f>_xlfn.IFNA(VLOOKUP($AI899,Programma!$F$3:$T$1107,15,0),"")</f>
        <v>2j</v>
      </c>
      <c r="AX899" s="300" t="str">
        <f>_xlfn.IFNA(VLOOKUP($AI899,Programma!$F$3:$U$1107,16,0),"")</f>
        <v>1j</v>
      </c>
      <c r="AY899" s="300" t="str">
        <f>_xlfn.IFNA(VLOOKUP($AI899,Programma!$F$3:$V$1107,17,0),"")</f>
        <v>_</v>
      </c>
      <c r="AZ899" s="300" t="str">
        <f>_xlfn.IFNA(VLOOKUP($AI899,Programma!$F$3:$W$1107,18,0),"")</f>
        <v>_</v>
      </c>
      <c r="BA899" s="300" t="str">
        <f>_xlfn.IFNA(VLOOKUP($AI899,Programma!$F$3:$X$1107,19,0),"")</f>
        <v>_</v>
      </c>
      <c r="BB899" s="300" t="str">
        <f>_xlfn.IFNA(VLOOKUP($AI899,Programma!$F$3:$Y$1107,20,0),"")</f>
        <v>_</v>
      </c>
      <c r="BC899" s="257"/>
      <c r="BD899" s="256" t="str">
        <f>IF(Ruimtestaat[[#This Row],[Frequentie weekend]]="","",_xlfn.CONCAT(Ruimtestaat[[#This Row],[Ruimte code]],"-",Ruimtestaat[[#This Row],[Frequentie weekend]]," ",Ruimtestaat[[#This Row],[Vloer code]]))</f>
        <v/>
      </c>
      <c r="BE899" s="300" t="str">
        <f>_xlfn.IFNA(VLOOKUP($BD899,Programma!$F$3:$G$1107,2,0),"")</f>
        <v/>
      </c>
      <c r="BF899" s="300" t="str">
        <f>_xlfn.IFNA(VLOOKUP($BD899,Programma!$F$3:$H$1107,3,0),"")</f>
        <v/>
      </c>
      <c r="BG899" s="300" t="str">
        <f>_xlfn.IFNA(VLOOKUP($BD899,Programma!$F$3:$I$1107,4,0),"")</f>
        <v/>
      </c>
      <c r="BH899" s="300" t="str">
        <f>_xlfn.IFNA(VLOOKUP($BD899,Programma!$F$3:$J$1107,5,0),"")</f>
        <v/>
      </c>
      <c r="BI899" s="300" t="str">
        <f>_xlfn.IFNA(VLOOKUP($BD899,Programma!$F$3:$K$1107,6,0),"")</f>
        <v/>
      </c>
      <c r="BJ899" s="300" t="str">
        <f>_xlfn.IFNA(VLOOKUP($BD899,Programma!$F$3:$L$1107,7,0),"")</f>
        <v/>
      </c>
      <c r="BK899" s="300" t="str">
        <f>_xlfn.IFNA(VLOOKUP($BD899,Programma!$F$3:$M$1107,8,0),"")</f>
        <v/>
      </c>
      <c r="BL899" s="300" t="str">
        <f>_xlfn.IFNA(VLOOKUP($BD899,Programma!$F$3:$N$1107,9,0),"")</f>
        <v/>
      </c>
      <c r="BM899" s="300" t="str">
        <f>_xlfn.IFNA(VLOOKUP($BD899,Programma!$F$3:$O$1107,10,0),"")</f>
        <v/>
      </c>
      <c r="BN899" s="300" t="str">
        <f>_xlfn.IFNA(VLOOKUP($BD899,Programma!$F$3:$P$1107,11,0),"")</f>
        <v/>
      </c>
      <c r="BO899" s="300" t="str">
        <f>_xlfn.IFNA(VLOOKUP($BD899,Programma!$F$3:$Q$1107,12,0),"")</f>
        <v/>
      </c>
      <c r="BP899" s="300" t="str">
        <f>_xlfn.IFNA(VLOOKUP($BD899,Programma!$F$3:$R$1107,13,0),"")</f>
        <v/>
      </c>
      <c r="BQ899" s="300" t="str">
        <f>_xlfn.IFNA(VLOOKUP($BD899,Programma!$F$3:$S$1107,14,0),"")</f>
        <v/>
      </c>
      <c r="BR899" s="300" t="str">
        <f>_xlfn.IFNA(VLOOKUP($BD899,Programma!$F$3:$T$1107,15,0),"")</f>
        <v/>
      </c>
      <c r="BS899" s="300" t="str">
        <f>_xlfn.IFNA(VLOOKUP($BD899,Programma!$F$3:$U$1107,16,0),"")</f>
        <v/>
      </c>
      <c r="BT899" s="300" t="str">
        <f>_xlfn.IFNA(VLOOKUP($BD899,Programma!$F$3:$V$1107,17,0),"")</f>
        <v/>
      </c>
      <c r="BU899" s="300" t="str">
        <f>_xlfn.IFNA(VLOOKUP($BD899,Programma!$F$3:$W$1107,18,0),"")</f>
        <v/>
      </c>
      <c r="BV899" s="300" t="str">
        <f>_xlfn.IFNA(VLOOKUP($BD899,Programma!$F$3:$X$1107,19,0),"")</f>
        <v/>
      </c>
      <c r="BW899" s="300" t="str">
        <f>_xlfn.IFNA(VLOOKUP($BD899,Programma!$F$3:$Y$1107,20,0),"")</f>
        <v/>
      </c>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c r="GK899" s="4"/>
      <c r="GL899" s="4"/>
      <c r="GM899" s="4"/>
      <c r="GN899" s="4"/>
      <c r="GO899" s="4"/>
      <c r="GP899" s="4"/>
      <c r="GQ899" s="4"/>
      <c r="GR899" s="4"/>
      <c r="GS899" s="4"/>
      <c r="GT899" s="4"/>
      <c r="GU899" s="4"/>
      <c r="GV899" s="4"/>
      <c r="GW899" s="4"/>
      <c r="GX899" s="4"/>
      <c r="GY899" s="4"/>
      <c r="GZ899" s="4"/>
      <c r="HA899" s="4"/>
      <c r="HB899" s="4"/>
      <c r="HC899" s="4"/>
      <c r="HD899" s="4"/>
      <c r="HE899" s="4"/>
      <c r="HF899" s="4"/>
      <c r="HG899" s="4"/>
      <c r="HH899" s="4"/>
      <c r="HI899" s="4"/>
      <c r="HJ899" s="4"/>
      <c r="HK899" s="4"/>
      <c r="HL899" s="4"/>
    </row>
    <row r="900" spans="1:220" ht="15" customHeight="1">
      <c r="A900" s="21">
        <v>10</v>
      </c>
      <c r="B900" s="157" t="str">
        <f>VLOOKUP(Ruimtestaat[[#This Row],[Code]],Locaties[[Code]:[Locatie]],2,FALSE)</f>
        <v>Veurs Voorburg vmbo</v>
      </c>
      <c r="C900" s="157" t="str">
        <f>VLOOKUP(Ruimtestaat[[#This Row],[Code]],Locaties[[#All],[Code]:[Adres]],4,FALSE)</f>
        <v>Delflandlaan 4</v>
      </c>
      <c r="D900" s="157" t="str">
        <f>VLOOKUP(Ruimtestaat[[#This Row],[Code]],Locaties[[#All],[Code]:[Postcode]],5,FALSE)</f>
        <v>2273 CS</v>
      </c>
      <c r="E900" s="157" t="str">
        <f>VLOOKUP(Ruimtestaat[[#This Row],[Code]],Locaties[#All],6,FALSE)</f>
        <v>Voorburg</v>
      </c>
      <c r="F900" s="62"/>
      <c r="G900" s="21" t="s">
        <v>1749</v>
      </c>
      <c r="H900" s="21" t="s">
        <v>2329</v>
      </c>
      <c r="I900" s="62" t="s">
        <v>1763</v>
      </c>
      <c r="J900" s="21">
        <v>20</v>
      </c>
      <c r="K900" s="62" t="str">
        <f>VLOOKUP(Ruimtestaat[[#This Row],[Ruimte code]],Ruimtegroepen[[#All],[Code]:[Ruimte omschrijving]],2,FALSE)</f>
        <v>Niet in Onderhoud</v>
      </c>
      <c r="L900" s="33" t="s">
        <v>103</v>
      </c>
      <c r="M900" s="367" t="s">
        <v>2496</v>
      </c>
      <c r="N900" s="140"/>
      <c r="O900" s="140">
        <v>4</v>
      </c>
      <c r="P900" s="125">
        <f>VLOOKUP(Ruimtestaat[[#This Row],[Ruimte code]],Ruimtegroepen[],4,FALSE)</f>
        <v>0</v>
      </c>
      <c r="R900" s="33"/>
      <c r="S900" s="33"/>
      <c r="T900" s="33">
        <f>IF(R900&gt;0,IF(RIGHT(Ruimtestaat[[#This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00" s="33">
        <f>IF(T900&gt;0,VLOOKUP($J900,Ruimtegroepen[],3,FALSE)*VLOOKUP($L900,Vloersoorten[],3,FALSE)*VLOOKUP($S900,Frequenties[],3,FALSE)*VLOOKUP($A900,Locaties[],3,FALSE),0)</f>
        <v>0</v>
      </c>
      <c r="V900" s="33">
        <f>Ruimtestaat[[#This Row],[Uitvoeringen werkdagen]]*Ruimtestaat[[#This Row],[Oppervlak (netto)]]</f>
        <v>0</v>
      </c>
      <c r="W900" s="154">
        <f>IF(U900&gt;0,Ruimtestaat[[#This Row],[Prest. (m2 /jaar) werkdagen]]/Ruimtestaat[[#This Row],[Norm (m2/uur) werkdagen]],0)</f>
        <v>0</v>
      </c>
      <c r="X900" s="155">
        <f>Ruimtestaat[[#This Row],[uren / jaar werkdagen]]*Tariefsopbouw!$E$35</f>
        <v>0</v>
      </c>
      <c r="Y900" s="33"/>
      <c r="Z900" s="33">
        <f>IF(Ruimtestaat[[#This Row],[Frequentie weekend]]&gt;0,VALUE(LEFT(Y900,1))*R900,0)</f>
        <v>0</v>
      </c>
      <c r="AA900" s="97">
        <f>IF($Z900&gt;0,VLOOKUP($J900,Ruimtegroepen[],3,FALSE)*VLOOKUP($L900,Vloersoorten[],3,FALSE)*VLOOKUP($Y900,Frequenties[],3,FALSE)*VLOOKUP(Ruimtestaat[[#This Row],[Code]],Locaties[],3,FALSE),0)</f>
        <v>0</v>
      </c>
      <c r="AB900" s="97">
        <f>Ruimtestaat[[#This Row],[Uitvoeringen weekend]]*Ruimtestaat[[#This Row],[Oppervlak (netto)]]</f>
        <v>0</v>
      </c>
      <c r="AC900" s="97">
        <f>IF(AA900&gt;0,Ruimtestaat[[#This Row],[Prest. (m2 /jaar) weekend]]/Ruimtestaat[[#This Row],[Norm (m2/uur) weekend]],0)</f>
        <v>0</v>
      </c>
      <c r="AD900" s="155">
        <f>Ruimtestaat[[#This Row],[uren / jaar weekend]]*Tariefsopbouw!$D$40</f>
        <v>0</v>
      </c>
      <c r="AE900" s="154">
        <f>Ruimtestaat[[#This Row],[Prest. (m2 /jaar) weekend]]+Ruimtestaat[[#This Row],[Prest. (m2 /jaar) werkdagen]]</f>
        <v>0</v>
      </c>
      <c r="AF900" s="154">
        <f>Ruimtestaat[[#This Row],[uren / jaar weekend]]+Ruimtestaat[[#This Row],[uren / jaar werkdagen]]</f>
        <v>0</v>
      </c>
      <c r="AG900" s="69">
        <f>Ruimtestaat[[#This Row],[kosten / jaar weekend]]+Ruimtestaat[[#This Row],[kosten / jaar werkdagen]]</f>
        <v>0</v>
      </c>
      <c r="AH900" s="69"/>
      <c r="AI900" s="256" t="str">
        <f>IF(Ruimtestaat[[#This Row],[Frequentie werkdagen]]="","",_xlfn.CONCAT(Ruimtestaat[[#This Row],[Ruimte code]],"-",Ruimtestaat[[#This Row],[Frequentie werkdagen]]," ",Ruimtestaat[[#This Row],[Vloer code]]))</f>
        <v/>
      </c>
      <c r="AJ900" s="300" t="str">
        <f>_xlfn.IFNA(VLOOKUP($AI900,Programma!$F$3:$G$1107,2,0),"")</f>
        <v/>
      </c>
      <c r="AK900" s="300" t="str">
        <f>_xlfn.IFNA(VLOOKUP($AI900,Programma!$F$3:$H$1107,3,0),"")</f>
        <v/>
      </c>
      <c r="AL900" s="300" t="str">
        <f>_xlfn.IFNA(VLOOKUP($AI900,Programma!$F$3:$I$1107,4,0),"")</f>
        <v/>
      </c>
      <c r="AM900" s="300" t="str">
        <f>_xlfn.IFNA(VLOOKUP($AI900,Programma!$F$3:$J$1107,5,0),"")</f>
        <v/>
      </c>
      <c r="AN900" s="300" t="str">
        <f>_xlfn.IFNA(VLOOKUP($AI900,Programma!$F$3:$K$1107,6,0),"")</f>
        <v/>
      </c>
      <c r="AO900" s="300" t="str">
        <f>_xlfn.IFNA(VLOOKUP($AI900,Programma!$F$3:$L$1107,7,0),"")</f>
        <v/>
      </c>
      <c r="AP900" s="300" t="str">
        <f>_xlfn.IFNA(VLOOKUP($AI900,Programma!$F$3:$M$1107,8,0),"")</f>
        <v/>
      </c>
      <c r="AQ900" s="300" t="str">
        <f>_xlfn.IFNA(VLOOKUP($AI900,Programma!$F$3:$N$1107,9,0),"")</f>
        <v/>
      </c>
      <c r="AR900" s="300" t="str">
        <f>_xlfn.IFNA(VLOOKUP($AI900,Programma!$F$3:$O$1107,10,0),"")</f>
        <v/>
      </c>
      <c r="AS900" s="300" t="str">
        <f>_xlfn.IFNA(VLOOKUP($AI900,Programma!$F$3:$P$1107,11,0),"")</f>
        <v/>
      </c>
      <c r="AT900" s="300" t="str">
        <f>_xlfn.IFNA(VLOOKUP($AI900,Programma!$F$3:$Q$1107,12,0),"")</f>
        <v/>
      </c>
      <c r="AU900" s="300" t="str">
        <f>_xlfn.IFNA(VLOOKUP($AI900,Programma!$F$3:$R$1107,13,0),"")</f>
        <v/>
      </c>
      <c r="AV900" s="300" t="str">
        <f>_xlfn.IFNA(VLOOKUP($AI900,Programma!$F$3:$S$1107,14,0),"")</f>
        <v/>
      </c>
      <c r="AW900" s="300" t="str">
        <f>_xlfn.IFNA(VLOOKUP($AI900,Programma!$F$3:$T$1107,15,0),"")</f>
        <v/>
      </c>
      <c r="AX900" s="300" t="str">
        <f>_xlfn.IFNA(VLOOKUP($AI900,Programma!$F$3:$U$1107,16,0),"")</f>
        <v/>
      </c>
      <c r="AY900" s="300" t="str">
        <f>_xlfn.IFNA(VLOOKUP($AI900,Programma!$F$3:$V$1107,17,0),"")</f>
        <v/>
      </c>
      <c r="AZ900" s="300" t="str">
        <f>_xlfn.IFNA(VLOOKUP($AI900,Programma!$F$3:$W$1107,18,0),"")</f>
        <v/>
      </c>
      <c r="BA900" s="300" t="str">
        <f>_xlfn.IFNA(VLOOKUP($AI900,Programma!$F$3:$X$1107,19,0),"")</f>
        <v/>
      </c>
      <c r="BB900" s="300" t="str">
        <f>_xlfn.IFNA(VLOOKUP($AI900,Programma!$F$3:$Y$1107,20,0),"")</f>
        <v/>
      </c>
      <c r="BC900" s="257"/>
      <c r="BD900" s="256" t="str">
        <f>IF(Ruimtestaat[[#This Row],[Frequentie weekend]]="","",_xlfn.CONCAT(Ruimtestaat[[#This Row],[Ruimte code]],"-",Ruimtestaat[[#This Row],[Frequentie weekend]]," ",Ruimtestaat[[#This Row],[Vloer code]]))</f>
        <v/>
      </c>
      <c r="BE900" s="300" t="str">
        <f>_xlfn.IFNA(VLOOKUP($BD900,Programma!$F$3:$G$1107,2,0),"")</f>
        <v/>
      </c>
      <c r="BF900" s="300" t="str">
        <f>_xlfn.IFNA(VLOOKUP($BD900,Programma!$F$3:$H$1107,3,0),"")</f>
        <v/>
      </c>
      <c r="BG900" s="300" t="str">
        <f>_xlfn.IFNA(VLOOKUP($BD900,Programma!$F$3:$I$1107,4,0),"")</f>
        <v/>
      </c>
      <c r="BH900" s="300" t="str">
        <f>_xlfn.IFNA(VLOOKUP($BD900,Programma!$F$3:$J$1107,5,0),"")</f>
        <v/>
      </c>
      <c r="BI900" s="300" t="str">
        <f>_xlfn.IFNA(VLOOKUP($BD900,Programma!$F$3:$K$1107,6,0),"")</f>
        <v/>
      </c>
      <c r="BJ900" s="300" t="str">
        <f>_xlfn.IFNA(VLOOKUP($BD900,Programma!$F$3:$L$1107,7,0),"")</f>
        <v/>
      </c>
      <c r="BK900" s="300" t="str">
        <f>_xlfn.IFNA(VLOOKUP($BD900,Programma!$F$3:$M$1107,8,0),"")</f>
        <v/>
      </c>
      <c r="BL900" s="300" t="str">
        <f>_xlfn.IFNA(VLOOKUP($BD900,Programma!$F$3:$N$1107,9,0),"")</f>
        <v/>
      </c>
      <c r="BM900" s="300" t="str">
        <f>_xlfn.IFNA(VLOOKUP($BD900,Programma!$F$3:$O$1107,10,0),"")</f>
        <v/>
      </c>
      <c r="BN900" s="300" t="str">
        <f>_xlfn.IFNA(VLOOKUP($BD900,Programma!$F$3:$P$1107,11,0),"")</f>
        <v/>
      </c>
      <c r="BO900" s="300" t="str">
        <f>_xlfn.IFNA(VLOOKUP($BD900,Programma!$F$3:$Q$1107,12,0),"")</f>
        <v/>
      </c>
      <c r="BP900" s="300" t="str">
        <f>_xlfn.IFNA(VLOOKUP($BD900,Programma!$F$3:$R$1107,13,0),"")</f>
        <v/>
      </c>
      <c r="BQ900" s="300" t="str">
        <f>_xlfn.IFNA(VLOOKUP($BD900,Programma!$F$3:$S$1107,14,0),"")</f>
        <v/>
      </c>
      <c r="BR900" s="300" t="str">
        <f>_xlfn.IFNA(VLOOKUP($BD900,Programma!$F$3:$T$1107,15,0),"")</f>
        <v/>
      </c>
      <c r="BS900" s="300" t="str">
        <f>_xlfn.IFNA(VLOOKUP($BD900,Programma!$F$3:$U$1107,16,0),"")</f>
        <v/>
      </c>
      <c r="BT900" s="300" t="str">
        <f>_xlfn.IFNA(VLOOKUP($BD900,Programma!$F$3:$V$1107,17,0),"")</f>
        <v/>
      </c>
      <c r="BU900" s="300" t="str">
        <f>_xlfn.IFNA(VLOOKUP($BD900,Programma!$F$3:$W$1107,18,0),"")</f>
        <v/>
      </c>
      <c r="BV900" s="300" t="str">
        <f>_xlfn.IFNA(VLOOKUP($BD900,Programma!$F$3:$X$1107,19,0),"")</f>
        <v/>
      </c>
      <c r="BW900" s="300" t="str">
        <f>_xlfn.IFNA(VLOOKUP($BD900,Programma!$F$3:$Y$1107,20,0),"")</f>
        <v/>
      </c>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c r="GK900" s="4"/>
      <c r="GL900" s="4"/>
      <c r="GM900" s="4"/>
      <c r="GN900" s="4"/>
      <c r="GO900" s="4"/>
      <c r="GP900" s="4"/>
      <c r="GQ900" s="4"/>
      <c r="GR900" s="4"/>
      <c r="GS900" s="4"/>
      <c r="GT900" s="4"/>
      <c r="GU900" s="4"/>
      <c r="GV900" s="4"/>
      <c r="GW900" s="4"/>
      <c r="GX900" s="4"/>
      <c r="GY900" s="4"/>
      <c r="GZ900" s="4"/>
      <c r="HA900" s="4"/>
      <c r="HB900" s="4"/>
      <c r="HC900" s="4"/>
      <c r="HD900" s="4"/>
      <c r="HE900" s="4"/>
      <c r="HF900" s="4"/>
      <c r="HG900" s="4"/>
      <c r="HH900" s="4"/>
      <c r="HI900" s="4"/>
      <c r="HJ900" s="4"/>
      <c r="HK900" s="4"/>
      <c r="HL900" s="4"/>
    </row>
    <row r="901" spans="1:220" ht="15" customHeight="1">
      <c r="A901" s="21">
        <v>10</v>
      </c>
      <c r="B901" s="157" t="str">
        <f>VLOOKUP(Ruimtestaat[[#This Row],[Code]],Locaties[[Code]:[Locatie]],2,FALSE)</f>
        <v>Veurs Voorburg vmbo</v>
      </c>
      <c r="C901" s="157" t="str">
        <f>VLOOKUP(Ruimtestaat[[#This Row],[Code]],Locaties[[#All],[Code]:[Adres]],4,FALSE)</f>
        <v>Delflandlaan 4</v>
      </c>
      <c r="D901" s="157" t="str">
        <f>VLOOKUP(Ruimtestaat[[#This Row],[Code]],Locaties[[#All],[Code]:[Postcode]],5,FALSE)</f>
        <v>2273 CS</v>
      </c>
      <c r="E901" s="157" t="str">
        <f>VLOOKUP(Ruimtestaat[[#This Row],[Code]],Locaties[#All],6,FALSE)</f>
        <v>Voorburg</v>
      </c>
      <c r="F901" s="62"/>
      <c r="G901" s="21" t="s">
        <v>1749</v>
      </c>
      <c r="H901" s="21" t="s">
        <v>2331</v>
      </c>
      <c r="I901" s="62" t="s">
        <v>2390</v>
      </c>
      <c r="J901" s="21">
        <v>5</v>
      </c>
      <c r="K901" s="62" t="str">
        <f>VLOOKUP(Ruimtestaat[[#This Row],[Ruimte code]],Ruimtegroepen[[#All],[Code]:[Ruimte omschrijving]],2,FALSE)</f>
        <v>Sanitair</v>
      </c>
      <c r="L901" s="33" t="s">
        <v>103</v>
      </c>
      <c r="M901" s="367" t="s">
        <v>2496</v>
      </c>
      <c r="N901" s="140">
        <v>4.3</v>
      </c>
      <c r="O901" s="140"/>
      <c r="P901" s="125" t="str">
        <f>VLOOKUP(Ruimtestaat[[#This Row],[Ruimte code]],Ruimtegroepen[],4,FALSE)</f>
        <v>Sa</v>
      </c>
      <c r="R901" s="33">
        <v>40</v>
      </c>
      <c r="S901" s="33" t="s">
        <v>2</v>
      </c>
      <c r="T901" s="33">
        <f>IF(R901&gt;0,IF(RIGHT(Ruimtestaat[[#This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01" s="33">
        <f>IF(T901&gt;0,VLOOKUP($J901,Ruimtegroepen[],3,FALSE)*VLOOKUP($L901,Vloersoorten[],3,FALSE)*VLOOKUP($S901,Frequenties[],3,FALSE)*VLOOKUP($A901,Locaties[],3,FALSE),0)</f>
        <v>0</v>
      </c>
      <c r="V901" s="33">
        <f>Ruimtestaat[[#This Row],[Uitvoeringen werkdagen]]*Ruimtestaat[[#This Row],[Oppervlak (netto)]]</f>
        <v>860</v>
      </c>
      <c r="W901" s="154">
        <f>IF(U901&gt;0,Ruimtestaat[[#This Row],[Prest. (m2 /jaar) werkdagen]]/Ruimtestaat[[#This Row],[Norm (m2/uur) werkdagen]],0)</f>
        <v>0</v>
      </c>
      <c r="X901" s="155">
        <f>Ruimtestaat[[#This Row],[uren / jaar werkdagen]]*Tariefsopbouw!$E$35</f>
        <v>0</v>
      </c>
      <c r="Y901" s="33"/>
      <c r="Z901" s="33">
        <f>IF(Ruimtestaat[[#This Row],[Frequentie weekend]]&gt;0,VALUE(LEFT(Y901,1))*R901,0)</f>
        <v>0</v>
      </c>
      <c r="AA901" s="97">
        <f>IF($Z901&gt;0,VLOOKUP($J901,Ruimtegroepen[],3,FALSE)*VLOOKUP($L901,Vloersoorten[],3,FALSE)*VLOOKUP($Y901,Frequenties[],3,FALSE)*VLOOKUP(Ruimtestaat[[#This Row],[Code]],Locaties[],3,FALSE),0)</f>
        <v>0</v>
      </c>
      <c r="AB901" s="97">
        <f>Ruimtestaat[[#This Row],[Uitvoeringen weekend]]*Ruimtestaat[[#This Row],[Oppervlak (netto)]]</f>
        <v>0</v>
      </c>
      <c r="AC901" s="97">
        <f>IF(AA901&gt;0,Ruimtestaat[[#This Row],[Prest. (m2 /jaar) weekend]]/Ruimtestaat[[#This Row],[Norm (m2/uur) weekend]],0)</f>
        <v>0</v>
      </c>
      <c r="AD901" s="155">
        <f>Ruimtestaat[[#This Row],[uren / jaar weekend]]*Tariefsopbouw!$D$40</f>
        <v>0</v>
      </c>
      <c r="AE901" s="154">
        <f>Ruimtestaat[[#This Row],[Prest. (m2 /jaar) weekend]]+Ruimtestaat[[#This Row],[Prest. (m2 /jaar) werkdagen]]</f>
        <v>860</v>
      </c>
      <c r="AF901" s="154">
        <f>Ruimtestaat[[#This Row],[uren / jaar weekend]]+Ruimtestaat[[#This Row],[uren / jaar werkdagen]]</f>
        <v>0</v>
      </c>
      <c r="AG901" s="69">
        <f>Ruimtestaat[[#This Row],[kosten / jaar weekend]]+Ruimtestaat[[#This Row],[kosten / jaar werkdagen]]</f>
        <v>0</v>
      </c>
      <c r="AH901" s="69"/>
      <c r="AI901" s="256" t="str">
        <f>IF(Ruimtestaat[[#This Row],[Frequentie werkdagen]]="","",_xlfn.CONCAT(Ruimtestaat[[#This Row],[Ruimte code]],"-",Ruimtestaat[[#This Row],[Frequentie werkdagen]]," ",Ruimtestaat[[#This Row],[Vloer code]]))</f>
        <v>5-5w P</v>
      </c>
      <c r="AJ901" s="300" t="str">
        <f>_xlfn.IFNA(VLOOKUP($AI901,Programma!$F$3:$G$1107,2,0),"")</f>
        <v>_</v>
      </c>
      <c r="AK901" s="300" t="str">
        <f>_xlfn.IFNA(VLOOKUP($AI901,Programma!$F$3:$H$1107,3,0),"")</f>
        <v>_</v>
      </c>
      <c r="AL901" s="300" t="str">
        <f>_xlfn.IFNA(VLOOKUP($AI901,Programma!$F$3:$I$1107,4,0),"")</f>
        <v>_</v>
      </c>
      <c r="AM901" s="300" t="str">
        <f>_xlfn.IFNA(VLOOKUP($AI901,Programma!$F$3:$J$1107,5,0),"")</f>
        <v>4w</v>
      </c>
      <c r="AN901" s="300" t="str">
        <f>_xlfn.IFNA(VLOOKUP($AI901,Programma!$F$3:$K$1107,6,0),"")</f>
        <v>1w</v>
      </c>
      <c r="AO901" s="300" t="str">
        <f>_xlfn.IFNA(VLOOKUP($AI901,Programma!$F$3:$L$1107,7,0),"")</f>
        <v>_</v>
      </c>
      <c r="AP901" s="300" t="str">
        <f>_xlfn.IFNA(VLOOKUP($AI901,Programma!$F$3:$M$1107,8,0),"")</f>
        <v>_</v>
      </c>
      <c r="AQ901" s="300" t="str">
        <f>_xlfn.IFNA(VLOOKUP($AI901,Programma!$F$3:$N$1107,9,0),"")</f>
        <v>_</v>
      </c>
      <c r="AR901" s="300" t="str">
        <f>_xlfn.IFNA(VLOOKUP($AI901,Programma!$F$3:$O$1107,10,0),"")</f>
        <v>_</v>
      </c>
      <c r="AS901" s="300" t="str">
        <f>_xlfn.IFNA(VLOOKUP($AI901,Programma!$F$3:$P$1107,11,0),"")</f>
        <v>_</v>
      </c>
      <c r="AT901" s="300" t="str">
        <f>_xlfn.IFNA(VLOOKUP($AI901,Programma!$F$3:$Q$1107,12,0),"")</f>
        <v>_</v>
      </c>
      <c r="AU901" s="300" t="str">
        <f>_xlfn.IFNA(VLOOKUP($AI901,Programma!$F$3:$R$1107,13,0),"")</f>
        <v>_</v>
      </c>
      <c r="AV901" s="300" t="str">
        <f>_xlfn.IFNA(VLOOKUP($AI901,Programma!$F$3:$S$1107,14,0),"")</f>
        <v>_</v>
      </c>
      <c r="AW901" s="300" t="str">
        <f>_xlfn.IFNA(VLOOKUP($AI901,Programma!$F$3:$T$1107,15,0),"")</f>
        <v>_</v>
      </c>
      <c r="AX901" s="300" t="str">
        <f>_xlfn.IFNA(VLOOKUP($AI901,Programma!$F$3:$U$1107,16,0),"")</f>
        <v>_</v>
      </c>
      <c r="AY901" s="300" t="str">
        <f>_xlfn.IFNA(VLOOKUP($AI901,Programma!$F$3:$V$1107,17,0),"")</f>
        <v>_</v>
      </c>
      <c r="AZ901" s="300" t="str">
        <f>_xlfn.IFNA(VLOOKUP($AI901,Programma!$F$3:$W$1107,18,0),"")</f>
        <v>4w</v>
      </c>
      <c r="BA901" s="300" t="str">
        <f>_xlfn.IFNA(VLOOKUP($AI901,Programma!$F$3:$X$1107,19,0),"")</f>
        <v>1w</v>
      </c>
      <c r="BB901" s="300" t="str">
        <f>_xlfn.IFNA(VLOOKUP($AI901,Programma!$F$3:$Y$1107,20,0),"")</f>
        <v>_</v>
      </c>
      <c r="BC901" s="257"/>
      <c r="BD901" s="256" t="str">
        <f>IF(Ruimtestaat[[#This Row],[Frequentie weekend]]="","",_xlfn.CONCAT(Ruimtestaat[[#This Row],[Ruimte code]],"-",Ruimtestaat[[#This Row],[Frequentie weekend]]," ",Ruimtestaat[[#This Row],[Vloer code]]))</f>
        <v/>
      </c>
      <c r="BE901" s="300" t="str">
        <f>_xlfn.IFNA(VLOOKUP($BD901,Programma!$F$3:$G$1107,2,0),"")</f>
        <v/>
      </c>
      <c r="BF901" s="300" t="str">
        <f>_xlfn.IFNA(VLOOKUP($BD901,Programma!$F$3:$H$1107,3,0),"")</f>
        <v/>
      </c>
      <c r="BG901" s="300" t="str">
        <f>_xlfn.IFNA(VLOOKUP($BD901,Programma!$F$3:$I$1107,4,0),"")</f>
        <v/>
      </c>
      <c r="BH901" s="300" t="str">
        <f>_xlfn.IFNA(VLOOKUP($BD901,Programma!$F$3:$J$1107,5,0),"")</f>
        <v/>
      </c>
      <c r="BI901" s="300" t="str">
        <f>_xlfn.IFNA(VLOOKUP($BD901,Programma!$F$3:$K$1107,6,0),"")</f>
        <v/>
      </c>
      <c r="BJ901" s="300" t="str">
        <f>_xlfn.IFNA(VLOOKUP($BD901,Programma!$F$3:$L$1107,7,0),"")</f>
        <v/>
      </c>
      <c r="BK901" s="300" t="str">
        <f>_xlfn.IFNA(VLOOKUP($BD901,Programma!$F$3:$M$1107,8,0),"")</f>
        <v/>
      </c>
      <c r="BL901" s="300" t="str">
        <f>_xlfn.IFNA(VLOOKUP($BD901,Programma!$F$3:$N$1107,9,0),"")</f>
        <v/>
      </c>
      <c r="BM901" s="300" t="str">
        <f>_xlfn.IFNA(VLOOKUP($BD901,Programma!$F$3:$O$1107,10,0),"")</f>
        <v/>
      </c>
      <c r="BN901" s="300" t="str">
        <f>_xlfn.IFNA(VLOOKUP($BD901,Programma!$F$3:$P$1107,11,0),"")</f>
        <v/>
      </c>
      <c r="BO901" s="300" t="str">
        <f>_xlfn.IFNA(VLOOKUP($BD901,Programma!$F$3:$Q$1107,12,0),"")</f>
        <v/>
      </c>
      <c r="BP901" s="300" t="str">
        <f>_xlfn.IFNA(VLOOKUP($BD901,Programma!$F$3:$R$1107,13,0),"")</f>
        <v/>
      </c>
      <c r="BQ901" s="300" t="str">
        <f>_xlfn.IFNA(VLOOKUP($BD901,Programma!$F$3:$S$1107,14,0),"")</f>
        <v/>
      </c>
      <c r="BR901" s="300" t="str">
        <f>_xlfn.IFNA(VLOOKUP($BD901,Programma!$F$3:$T$1107,15,0),"")</f>
        <v/>
      </c>
      <c r="BS901" s="300" t="str">
        <f>_xlfn.IFNA(VLOOKUP($BD901,Programma!$F$3:$U$1107,16,0),"")</f>
        <v/>
      </c>
      <c r="BT901" s="300" t="str">
        <f>_xlfn.IFNA(VLOOKUP($BD901,Programma!$F$3:$V$1107,17,0),"")</f>
        <v/>
      </c>
      <c r="BU901" s="300" t="str">
        <f>_xlfn.IFNA(VLOOKUP($BD901,Programma!$F$3:$W$1107,18,0),"")</f>
        <v/>
      </c>
      <c r="BV901" s="300" t="str">
        <f>_xlfn.IFNA(VLOOKUP($BD901,Programma!$F$3:$X$1107,19,0),"")</f>
        <v/>
      </c>
      <c r="BW901" s="300" t="str">
        <f>_xlfn.IFNA(VLOOKUP($BD901,Programma!$F$3:$Y$1107,20,0),"")</f>
        <v/>
      </c>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c r="GK901" s="4"/>
      <c r="GL901" s="4"/>
      <c r="GM901" s="4"/>
      <c r="GN901" s="4"/>
      <c r="GO901" s="4"/>
      <c r="GP901" s="4"/>
      <c r="GQ901" s="4"/>
      <c r="GR901" s="4"/>
      <c r="GS901" s="4"/>
      <c r="GT901" s="4"/>
      <c r="GU901" s="4"/>
      <c r="GV901" s="4"/>
      <c r="GW901" s="4"/>
      <c r="GX901" s="4"/>
      <c r="GY901" s="4"/>
      <c r="GZ901" s="4"/>
      <c r="HA901" s="4"/>
      <c r="HB901" s="4"/>
      <c r="HC901" s="4"/>
      <c r="HD901" s="4"/>
      <c r="HE901" s="4"/>
      <c r="HF901" s="4"/>
      <c r="HG901" s="4"/>
      <c r="HH901" s="4"/>
      <c r="HI901" s="4"/>
      <c r="HJ901" s="4"/>
      <c r="HK901" s="4"/>
      <c r="HL901" s="4"/>
    </row>
    <row r="902" spans="1:220" ht="15" customHeight="1">
      <c r="A902" s="21">
        <v>10</v>
      </c>
      <c r="B902" s="157" t="str">
        <f>VLOOKUP(Ruimtestaat[[#This Row],[Code]],Locaties[[Code]:[Locatie]],2,FALSE)</f>
        <v>Veurs Voorburg vmbo</v>
      </c>
      <c r="C902" s="157" t="str">
        <f>VLOOKUP(Ruimtestaat[[#This Row],[Code]],Locaties[[#All],[Code]:[Adres]],4,FALSE)</f>
        <v>Delflandlaan 4</v>
      </c>
      <c r="D902" s="157" t="str">
        <f>VLOOKUP(Ruimtestaat[[#This Row],[Code]],Locaties[[#All],[Code]:[Postcode]],5,FALSE)</f>
        <v>2273 CS</v>
      </c>
      <c r="E902" s="157" t="str">
        <f>VLOOKUP(Ruimtestaat[[#This Row],[Code]],Locaties[#All],6,FALSE)</f>
        <v>Voorburg</v>
      </c>
      <c r="F902" s="62"/>
      <c r="G902" s="21" t="s">
        <v>1749</v>
      </c>
      <c r="H902" s="21" t="s">
        <v>2333</v>
      </c>
      <c r="I902" s="62" t="s">
        <v>2391</v>
      </c>
      <c r="J902" s="21">
        <v>20</v>
      </c>
      <c r="K902" s="62" t="str">
        <f>VLOOKUP(Ruimtestaat[[#This Row],[Ruimte code]],Ruimtegroepen[[#All],[Code]:[Ruimte omschrijving]],2,FALSE)</f>
        <v>Niet in Onderhoud</v>
      </c>
      <c r="L902" s="33" t="s">
        <v>101</v>
      </c>
      <c r="M902" s="367" t="s">
        <v>2506</v>
      </c>
      <c r="N902" s="140"/>
      <c r="O902" s="140">
        <v>4.4000000000000004</v>
      </c>
      <c r="P902" s="125">
        <f>VLOOKUP(Ruimtestaat[[#This Row],[Ruimte code]],Ruimtegroepen[],4,FALSE)</f>
        <v>0</v>
      </c>
      <c r="R902" s="33"/>
      <c r="S902" s="33"/>
      <c r="T902" s="33">
        <f>IF(R902&gt;0,IF(RIGHT(Ruimtestaat[[#This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02" s="33">
        <f>IF(T902&gt;0,VLOOKUP($J902,Ruimtegroepen[],3,FALSE)*VLOOKUP($L902,Vloersoorten[],3,FALSE)*VLOOKUP($S902,Frequenties[],3,FALSE)*VLOOKUP($A902,Locaties[],3,FALSE),0)</f>
        <v>0</v>
      </c>
      <c r="V902" s="33">
        <f>Ruimtestaat[[#This Row],[Uitvoeringen werkdagen]]*Ruimtestaat[[#This Row],[Oppervlak (netto)]]</f>
        <v>0</v>
      </c>
      <c r="W902" s="154">
        <f>IF(U902&gt;0,Ruimtestaat[[#This Row],[Prest. (m2 /jaar) werkdagen]]/Ruimtestaat[[#This Row],[Norm (m2/uur) werkdagen]],0)</f>
        <v>0</v>
      </c>
      <c r="X902" s="155">
        <f>Ruimtestaat[[#This Row],[uren / jaar werkdagen]]*Tariefsopbouw!$E$35</f>
        <v>0</v>
      </c>
      <c r="Y902" s="33"/>
      <c r="Z902" s="33">
        <f>IF(Ruimtestaat[[#This Row],[Frequentie weekend]]&gt;0,VALUE(LEFT(Y902,1))*R902,0)</f>
        <v>0</v>
      </c>
      <c r="AA902" s="97">
        <f>IF($Z902&gt;0,VLOOKUP($J902,Ruimtegroepen[],3,FALSE)*VLOOKUP($L902,Vloersoorten[],3,FALSE)*VLOOKUP($Y902,Frequenties[],3,FALSE)*VLOOKUP(Ruimtestaat[[#This Row],[Code]],Locaties[],3,FALSE),0)</f>
        <v>0</v>
      </c>
      <c r="AB902" s="97">
        <f>Ruimtestaat[[#This Row],[Uitvoeringen weekend]]*Ruimtestaat[[#This Row],[Oppervlak (netto)]]</f>
        <v>0</v>
      </c>
      <c r="AC902" s="97">
        <f>IF(AA902&gt;0,Ruimtestaat[[#This Row],[Prest. (m2 /jaar) weekend]]/Ruimtestaat[[#This Row],[Norm (m2/uur) weekend]],0)</f>
        <v>0</v>
      </c>
      <c r="AD902" s="155">
        <f>Ruimtestaat[[#This Row],[uren / jaar weekend]]*Tariefsopbouw!$D$40</f>
        <v>0</v>
      </c>
      <c r="AE902" s="154">
        <f>Ruimtestaat[[#This Row],[Prest. (m2 /jaar) weekend]]+Ruimtestaat[[#This Row],[Prest. (m2 /jaar) werkdagen]]</f>
        <v>0</v>
      </c>
      <c r="AF902" s="154">
        <f>Ruimtestaat[[#This Row],[uren / jaar weekend]]+Ruimtestaat[[#This Row],[uren / jaar werkdagen]]</f>
        <v>0</v>
      </c>
      <c r="AG902" s="69">
        <f>Ruimtestaat[[#This Row],[kosten / jaar weekend]]+Ruimtestaat[[#This Row],[kosten / jaar werkdagen]]</f>
        <v>0</v>
      </c>
      <c r="AH902" s="69"/>
      <c r="AI902" s="256" t="str">
        <f>IF(Ruimtestaat[[#This Row],[Frequentie werkdagen]]="","",_xlfn.CONCAT(Ruimtestaat[[#This Row],[Ruimte code]],"-",Ruimtestaat[[#This Row],[Frequentie werkdagen]]," ",Ruimtestaat[[#This Row],[Vloer code]]))</f>
        <v/>
      </c>
      <c r="AJ902" s="300" t="str">
        <f>_xlfn.IFNA(VLOOKUP($AI902,Programma!$F$3:$G$1107,2,0),"")</f>
        <v/>
      </c>
      <c r="AK902" s="300" t="str">
        <f>_xlfn.IFNA(VLOOKUP($AI902,Programma!$F$3:$H$1107,3,0),"")</f>
        <v/>
      </c>
      <c r="AL902" s="300" t="str">
        <f>_xlfn.IFNA(VLOOKUP($AI902,Programma!$F$3:$I$1107,4,0),"")</f>
        <v/>
      </c>
      <c r="AM902" s="300" t="str">
        <f>_xlfn.IFNA(VLOOKUP($AI902,Programma!$F$3:$J$1107,5,0),"")</f>
        <v/>
      </c>
      <c r="AN902" s="300" t="str">
        <f>_xlfn.IFNA(VLOOKUP($AI902,Programma!$F$3:$K$1107,6,0),"")</f>
        <v/>
      </c>
      <c r="AO902" s="300" t="str">
        <f>_xlfn.IFNA(VLOOKUP($AI902,Programma!$F$3:$L$1107,7,0),"")</f>
        <v/>
      </c>
      <c r="AP902" s="300" t="str">
        <f>_xlfn.IFNA(VLOOKUP($AI902,Programma!$F$3:$M$1107,8,0),"")</f>
        <v/>
      </c>
      <c r="AQ902" s="300" t="str">
        <f>_xlfn.IFNA(VLOOKUP($AI902,Programma!$F$3:$N$1107,9,0),"")</f>
        <v/>
      </c>
      <c r="AR902" s="300" t="str">
        <f>_xlfn.IFNA(VLOOKUP($AI902,Programma!$F$3:$O$1107,10,0),"")</f>
        <v/>
      </c>
      <c r="AS902" s="300" t="str">
        <f>_xlfn.IFNA(VLOOKUP($AI902,Programma!$F$3:$P$1107,11,0),"")</f>
        <v/>
      </c>
      <c r="AT902" s="300" t="str">
        <f>_xlfn.IFNA(VLOOKUP($AI902,Programma!$F$3:$Q$1107,12,0),"")</f>
        <v/>
      </c>
      <c r="AU902" s="300" t="str">
        <f>_xlfn.IFNA(VLOOKUP($AI902,Programma!$F$3:$R$1107,13,0),"")</f>
        <v/>
      </c>
      <c r="AV902" s="300" t="str">
        <f>_xlfn.IFNA(VLOOKUP($AI902,Programma!$F$3:$S$1107,14,0),"")</f>
        <v/>
      </c>
      <c r="AW902" s="300" t="str">
        <f>_xlfn.IFNA(VLOOKUP($AI902,Programma!$F$3:$T$1107,15,0),"")</f>
        <v/>
      </c>
      <c r="AX902" s="300" t="str">
        <f>_xlfn.IFNA(VLOOKUP($AI902,Programma!$F$3:$U$1107,16,0),"")</f>
        <v/>
      </c>
      <c r="AY902" s="300" t="str">
        <f>_xlfn.IFNA(VLOOKUP($AI902,Programma!$F$3:$V$1107,17,0),"")</f>
        <v/>
      </c>
      <c r="AZ902" s="300" t="str">
        <f>_xlfn.IFNA(VLOOKUP($AI902,Programma!$F$3:$W$1107,18,0),"")</f>
        <v/>
      </c>
      <c r="BA902" s="300" t="str">
        <f>_xlfn.IFNA(VLOOKUP($AI902,Programma!$F$3:$X$1107,19,0),"")</f>
        <v/>
      </c>
      <c r="BB902" s="300" t="str">
        <f>_xlfn.IFNA(VLOOKUP($AI902,Programma!$F$3:$Y$1107,20,0),"")</f>
        <v/>
      </c>
      <c r="BC902" s="257"/>
      <c r="BD902" s="256" t="str">
        <f>IF(Ruimtestaat[[#This Row],[Frequentie weekend]]="","",_xlfn.CONCAT(Ruimtestaat[[#This Row],[Ruimte code]],"-",Ruimtestaat[[#This Row],[Frequentie weekend]]," ",Ruimtestaat[[#This Row],[Vloer code]]))</f>
        <v/>
      </c>
      <c r="BE902" s="300" t="str">
        <f>_xlfn.IFNA(VLOOKUP($BD902,Programma!$F$3:$G$1107,2,0),"")</f>
        <v/>
      </c>
      <c r="BF902" s="300" t="str">
        <f>_xlfn.IFNA(VLOOKUP($BD902,Programma!$F$3:$H$1107,3,0),"")</f>
        <v/>
      </c>
      <c r="BG902" s="300" t="str">
        <f>_xlfn.IFNA(VLOOKUP($BD902,Programma!$F$3:$I$1107,4,0),"")</f>
        <v/>
      </c>
      <c r="BH902" s="300" t="str">
        <f>_xlfn.IFNA(VLOOKUP($BD902,Programma!$F$3:$J$1107,5,0),"")</f>
        <v/>
      </c>
      <c r="BI902" s="300" t="str">
        <f>_xlfn.IFNA(VLOOKUP($BD902,Programma!$F$3:$K$1107,6,0),"")</f>
        <v/>
      </c>
      <c r="BJ902" s="300" t="str">
        <f>_xlfn.IFNA(VLOOKUP($BD902,Programma!$F$3:$L$1107,7,0),"")</f>
        <v/>
      </c>
      <c r="BK902" s="300" t="str">
        <f>_xlfn.IFNA(VLOOKUP($BD902,Programma!$F$3:$M$1107,8,0),"")</f>
        <v/>
      </c>
      <c r="BL902" s="300" t="str">
        <f>_xlfn.IFNA(VLOOKUP($BD902,Programma!$F$3:$N$1107,9,0),"")</f>
        <v/>
      </c>
      <c r="BM902" s="300" t="str">
        <f>_xlfn.IFNA(VLOOKUP($BD902,Programma!$F$3:$O$1107,10,0),"")</f>
        <v/>
      </c>
      <c r="BN902" s="300" t="str">
        <f>_xlfn.IFNA(VLOOKUP($BD902,Programma!$F$3:$P$1107,11,0),"")</f>
        <v/>
      </c>
      <c r="BO902" s="300" t="str">
        <f>_xlfn.IFNA(VLOOKUP($BD902,Programma!$F$3:$Q$1107,12,0),"")</f>
        <v/>
      </c>
      <c r="BP902" s="300" t="str">
        <f>_xlfn.IFNA(VLOOKUP($BD902,Programma!$F$3:$R$1107,13,0),"")</f>
        <v/>
      </c>
      <c r="BQ902" s="300" t="str">
        <f>_xlfn.IFNA(VLOOKUP($BD902,Programma!$F$3:$S$1107,14,0),"")</f>
        <v/>
      </c>
      <c r="BR902" s="300" t="str">
        <f>_xlfn.IFNA(VLOOKUP($BD902,Programma!$F$3:$T$1107,15,0),"")</f>
        <v/>
      </c>
      <c r="BS902" s="300" t="str">
        <f>_xlfn.IFNA(VLOOKUP($BD902,Programma!$F$3:$U$1107,16,0),"")</f>
        <v/>
      </c>
      <c r="BT902" s="300" t="str">
        <f>_xlfn.IFNA(VLOOKUP($BD902,Programma!$F$3:$V$1107,17,0),"")</f>
        <v/>
      </c>
      <c r="BU902" s="300" t="str">
        <f>_xlfn.IFNA(VLOOKUP($BD902,Programma!$F$3:$W$1107,18,0),"")</f>
        <v/>
      </c>
      <c r="BV902" s="300" t="str">
        <f>_xlfn.IFNA(VLOOKUP($BD902,Programma!$F$3:$X$1107,19,0),"")</f>
        <v/>
      </c>
      <c r="BW902" s="300" t="str">
        <f>_xlfn.IFNA(VLOOKUP($BD902,Programma!$F$3:$Y$1107,20,0),"")</f>
        <v/>
      </c>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c r="GK902" s="4"/>
      <c r="GL902" s="4"/>
      <c r="GM902" s="4"/>
      <c r="GN902" s="4"/>
      <c r="GO902" s="4"/>
      <c r="GP902" s="4"/>
      <c r="GQ902" s="4"/>
      <c r="GR902" s="4"/>
      <c r="GS902" s="4"/>
      <c r="GT902" s="4"/>
      <c r="GU902" s="4"/>
      <c r="GV902" s="4"/>
      <c r="GW902" s="4"/>
      <c r="GX902" s="4"/>
      <c r="GY902" s="4"/>
      <c r="GZ902" s="4"/>
      <c r="HA902" s="4"/>
      <c r="HB902" s="4"/>
      <c r="HC902" s="4"/>
      <c r="HD902" s="4"/>
      <c r="HE902" s="4"/>
      <c r="HF902" s="4"/>
      <c r="HG902" s="4"/>
      <c r="HH902" s="4"/>
      <c r="HI902" s="4"/>
      <c r="HJ902" s="4"/>
      <c r="HK902" s="4"/>
      <c r="HL902" s="4"/>
    </row>
    <row r="903" spans="1:220" ht="15" customHeight="1">
      <c r="A903" s="21">
        <v>10</v>
      </c>
      <c r="B903" s="157" t="str">
        <f>VLOOKUP(Ruimtestaat[[#This Row],[Code]],Locaties[[Code]:[Locatie]],2,FALSE)</f>
        <v>Veurs Voorburg vmbo</v>
      </c>
      <c r="C903" s="157" t="str">
        <f>VLOOKUP(Ruimtestaat[[#This Row],[Code]],Locaties[[#All],[Code]:[Adres]],4,FALSE)</f>
        <v>Delflandlaan 4</v>
      </c>
      <c r="D903" s="157" t="str">
        <f>VLOOKUP(Ruimtestaat[[#This Row],[Code]],Locaties[[#All],[Code]:[Postcode]],5,FALSE)</f>
        <v>2273 CS</v>
      </c>
      <c r="E903" s="157" t="str">
        <f>VLOOKUP(Ruimtestaat[[#This Row],[Code]],Locaties[#All],6,FALSE)</f>
        <v>Voorburg</v>
      </c>
      <c r="F903" s="62"/>
      <c r="G903" s="21" t="s">
        <v>1749</v>
      </c>
      <c r="H903" s="21" t="s">
        <v>2335</v>
      </c>
      <c r="I903" s="62" t="s">
        <v>2392</v>
      </c>
      <c r="J903" s="21">
        <v>14</v>
      </c>
      <c r="K903" s="62" t="str">
        <f>VLOOKUP(Ruimtestaat[[#This Row],[Ruimte code]],Ruimtegroepen[[#All],[Code]:[Ruimte omschrijving]],2,FALSE)</f>
        <v>Praktijklokalen binas/zorg</v>
      </c>
      <c r="L903" s="33" t="s">
        <v>103</v>
      </c>
      <c r="M903" s="367" t="s">
        <v>2527</v>
      </c>
      <c r="N903" s="140">
        <v>53.4</v>
      </c>
      <c r="O903" s="140"/>
      <c r="P903" s="125" t="str">
        <f>VLOOKUP(Ruimtestaat[[#This Row],[Ruimte code]],Ruimtegroepen[],4,FALSE)</f>
        <v>Le</v>
      </c>
      <c r="R903" s="33">
        <v>40</v>
      </c>
      <c r="S903" s="33" t="s">
        <v>2</v>
      </c>
      <c r="T903" s="33">
        <f>IF(R903&gt;0,IF(RIGHT(Ruimtestaat[[#This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03" s="33">
        <f>IF(T903&gt;0,VLOOKUP($J903,Ruimtegroepen[],3,FALSE)*VLOOKUP($L903,Vloersoorten[],3,FALSE)*VLOOKUP($S903,Frequenties[],3,FALSE)*VLOOKUP($A903,Locaties[],3,FALSE),0)</f>
        <v>0</v>
      </c>
      <c r="V903" s="33">
        <f>Ruimtestaat[[#This Row],[Uitvoeringen werkdagen]]*Ruimtestaat[[#This Row],[Oppervlak (netto)]]</f>
        <v>10680</v>
      </c>
      <c r="W903" s="154">
        <f>IF(U903&gt;0,Ruimtestaat[[#This Row],[Prest. (m2 /jaar) werkdagen]]/Ruimtestaat[[#This Row],[Norm (m2/uur) werkdagen]],0)</f>
        <v>0</v>
      </c>
      <c r="X903" s="155">
        <f>Ruimtestaat[[#This Row],[uren / jaar werkdagen]]*Tariefsopbouw!$E$35</f>
        <v>0</v>
      </c>
      <c r="Y903" s="33"/>
      <c r="Z903" s="33">
        <f>IF(Ruimtestaat[[#This Row],[Frequentie weekend]]&gt;0,VALUE(LEFT(Y903,1))*R903,0)</f>
        <v>0</v>
      </c>
      <c r="AA903" s="97">
        <f>IF($Z903&gt;0,VLOOKUP($J903,Ruimtegroepen[],3,FALSE)*VLOOKUP($L903,Vloersoorten[],3,FALSE)*VLOOKUP($Y903,Frequenties[],3,FALSE)*VLOOKUP(Ruimtestaat[[#This Row],[Code]],Locaties[],3,FALSE),0)</f>
        <v>0</v>
      </c>
      <c r="AB903" s="97">
        <f>Ruimtestaat[[#This Row],[Uitvoeringen weekend]]*Ruimtestaat[[#This Row],[Oppervlak (netto)]]</f>
        <v>0</v>
      </c>
      <c r="AC903" s="97">
        <f>IF(AA903&gt;0,Ruimtestaat[[#This Row],[Prest. (m2 /jaar) weekend]]/Ruimtestaat[[#This Row],[Norm (m2/uur) weekend]],0)</f>
        <v>0</v>
      </c>
      <c r="AD903" s="155">
        <f>Ruimtestaat[[#This Row],[uren / jaar weekend]]*Tariefsopbouw!$D$40</f>
        <v>0</v>
      </c>
      <c r="AE903" s="154">
        <f>Ruimtestaat[[#This Row],[Prest. (m2 /jaar) weekend]]+Ruimtestaat[[#This Row],[Prest. (m2 /jaar) werkdagen]]</f>
        <v>10680</v>
      </c>
      <c r="AF903" s="154">
        <f>Ruimtestaat[[#This Row],[uren / jaar weekend]]+Ruimtestaat[[#This Row],[uren / jaar werkdagen]]</f>
        <v>0</v>
      </c>
      <c r="AG903" s="69">
        <f>Ruimtestaat[[#This Row],[kosten / jaar weekend]]+Ruimtestaat[[#This Row],[kosten / jaar werkdagen]]</f>
        <v>0</v>
      </c>
      <c r="AH903" s="69"/>
      <c r="AI903" s="256" t="str">
        <f>IF(Ruimtestaat[[#This Row],[Frequentie werkdagen]]="","",_xlfn.CONCAT(Ruimtestaat[[#This Row],[Ruimte code]],"-",Ruimtestaat[[#This Row],[Frequentie werkdagen]]," ",Ruimtestaat[[#This Row],[Vloer code]]))</f>
        <v>14-5w P</v>
      </c>
      <c r="AJ903" s="300" t="str">
        <f>_xlfn.IFNA(VLOOKUP($AI903,Programma!$F$3:$G$1107,2,0),"")</f>
        <v>_</v>
      </c>
      <c r="AK903" s="300" t="str">
        <f>_xlfn.IFNA(VLOOKUP($AI903,Programma!$F$3:$H$1107,3,0),"")</f>
        <v>_</v>
      </c>
      <c r="AL903" s="300" t="str">
        <f>_xlfn.IFNA(VLOOKUP($AI903,Programma!$F$3:$I$1107,4,0),"")</f>
        <v>5w</v>
      </c>
      <c r="AM903" s="300" t="str">
        <f>_xlfn.IFNA(VLOOKUP($AI903,Programma!$F$3:$J$1107,5,0),"")</f>
        <v>_</v>
      </c>
      <c r="AN903" s="300" t="str">
        <f>_xlfn.IFNA(VLOOKUP($AI903,Programma!$F$3:$K$1107,6,0),"")</f>
        <v>5w</v>
      </c>
      <c r="AO903" s="300" t="str">
        <f>_xlfn.IFNA(VLOOKUP($AI903,Programma!$F$3:$L$1107,7,0),"")</f>
        <v>_</v>
      </c>
      <c r="AP903" s="300" t="str">
        <f>_xlfn.IFNA(VLOOKUP($AI903,Programma!$F$3:$M$1107,8,0),"")</f>
        <v>_</v>
      </c>
      <c r="AQ903" s="300" t="str">
        <f>_xlfn.IFNA(VLOOKUP($AI903,Programma!$F$3:$N$1107,9,0),"")</f>
        <v>_</v>
      </c>
      <c r="AR903" s="300" t="str">
        <f>_xlfn.IFNA(VLOOKUP($AI903,Programma!$F$3:$O$1107,10,0),"")</f>
        <v>5w</v>
      </c>
      <c r="AS903" s="300" t="str">
        <f>_xlfn.IFNA(VLOOKUP($AI903,Programma!$F$3:$P$1107,11,0),"")</f>
        <v>5w</v>
      </c>
      <c r="AT903" s="300" t="str">
        <f>_xlfn.IFNA(VLOOKUP($AI903,Programma!$F$3:$Q$1107,12,0),"")</f>
        <v>1w</v>
      </c>
      <c r="AU903" s="300" t="str">
        <f>_xlfn.IFNA(VLOOKUP($AI903,Programma!$F$3:$R$1107,13,0),"")</f>
        <v>1w</v>
      </c>
      <c r="AV903" s="300" t="str">
        <f>_xlfn.IFNA(VLOOKUP($AI903,Programma!$F$3:$S$1107,14,0),"")</f>
        <v>1m</v>
      </c>
      <c r="AW903" s="300" t="str">
        <f>_xlfn.IFNA(VLOOKUP($AI903,Programma!$F$3:$T$1107,15,0),"")</f>
        <v>2j</v>
      </c>
      <c r="AX903" s="300" t="str">
        <f>_xlfn.IFNA(VLOOKUP($AI903,Programma!$F$3:$U$1107,16,0),"")</f>
        <v>1j</v>
      </c>
      <c r="AY903" s="300" t="str">
        <f>_xlfn.IFNA(VLOOKUP($AI903,Programma!$F$3:$V$1107,17,0),"")</f>
        <v>_</v>
      </c>
      <c r="AZ903" s="300" t="str">
        <f>_xlfn.IFNA(VLOOKUP($AI903,Programma!$F$3:$W$1107,18,0),"")</f>
        <v>_</v>
      </c>
      <c r="BA903" s="300" t="str">
        <f>_xlfn.IFNA(VLOOKUP($AI903,Programma!$F$3:$X$1107,19,0),"")</f>
        <v>_</v>
      </c>
      <c r="BB903" s="300" t="str">
        <f>_xlfn.IFNA(VLOOKUP($AI903,Programma!$F$3:$Y$1107,20,0),"")</f>
        <v>_</v>
      </c>
      <c r="BC903" s="257"/>
      <c r="BD903" s="256" t="str">
        <f>IF(Ruimtestaat[[#This Row],[Frequentie weekend]]="","",_xlfn.CONCAT(Ruimtestaat[[#This Row],[Ruimte code]],"-",Ruimtestaat[[#This Row],[Frequentie weekend]]," ",Ruimtestaat[[#This Row],[Vloer code]]))</f>
        <v/>
      </c>
      <c r="BE903" s="300" t="str">
        <f>_xlfn.IFNA(VLOOKUP($BD903,Programma!$F$3:$G$1107,2,0),"")</f>
        <v/>
      </c>
      <c r="BF903" s="300" t="str">
        <f>_xlfn.IFNA(VLOOKUP($BD903,Programma!$F$3:$H$1107,3,0),"")</f>
        <v/>
      </c>
      <c r="BG903" s="300" t="str">
        <f>_xlfn.IFNA(VLOOKUP($BD903,Programma!$F$3:$I$1107,4,0),"")</f>
        <v/>
      </c>
      <c r="BH903" s="300" t="str">
        <f>_xlfn.IFNA(VLOOKUP($BD903,Programma!$F$3:$J$1107,5,0),"")</f>
        <v/>
      </c>
      <c r="BI903" s="300" t="str">
        <f>_xlfn.IFNA(VLOOKUP($BD903,Programma!$F$3:$K$1107,6,0),"")</f>
        <v/>
      </c>
      <c r="BJ903" s="300" t="str">
        <f>_xlfn.IFNA(VLOOKUP($BD903,Programma!$F$3:$L$1107,7,0),"")</f>
        <v/>
      </c>
      <c r="BK903" s="300" t="str">
        <f>_xlfn.IFNA(VLOOKUP($BD903,Programma!$F$3:$M$1107,8,0),"")</f>
        <v/>
      </c>
      <c r="BL903" s="300" t="str">
        <f>_xlfn.IFNA(VLOOKUP($BD903,Programma!$F$3:$N$1107,9,0),"")</f>
        <v/>
      </c>
      <c r="BM903" s="300" t="str">
        <f>_xlfn.IFNA(VLOOKUP($BD903,Programma!$F$3:$O$1107,10,0),"")</f>
        <v/>
      </c>
      <c r="BN903" s="300" t="str">
        <f>_xlfn.IFNA(VLOOKUP($BD903,Programma!$F$3:$P$1107,11,0),"")</f>
        <v/>
      </c>
      <c r="BO903" s="300" t="str">
        <f>_xlfn.IFNA(VLOOKUP($BD903,Programma!$F$3:$Q$1107,12,0),"")</f>
        <v/>
      </c>
      <c r="BP903" s="300" t="str">
        <f>_xlfn.IFNA(VLOOKUP($BD903,Programma!$F$3:$R$1107,13,0),"")</f>
        <v/>
      </c>
      <c r="BQ903" s="300" t="str">
        <f>_xlfn.IFNA(VLOOKUP($BD903,Programma!$F$3:$S$1107,14,0),"")</f>
        <v/>
      </c>
      <c r="BR903" s="300" t="str">
        <f>_xlfn.IFNA(VLOOKUP($BD903,Programma!$F$3:$T$1107,15,0),"")</f>
        <v/>
      </c>
      <c r="BS903" s="300" t="str">
        <f>_xlfn.IFNA(VLOOKUP($BD903,Programma!$F$3:$U$1107,16,0),"")</f>
        <v/>
      </c>
      <c r="BT903" s="300" t="str">
        <f>_xlfn.IFNA(VLOOKUP($BD903,Programma!$F$3:$V$1107,17,0),"")</f>
        <v/>
      </c>
      <c r="BU903" s="300" t="str">
        <f>_xlfn.IFNA(VLOOKUP($BD903,Programma!$F$3:$W$1107,18,0),"")</f>
        <v/>
      </c>
      <c r="BV903" s="300" t="str">
        <f>_xlfn.IFNA(VLOOKUP($BD903,Programma!$F$3:$X$1107,19,0),"")</f>
        <v/>
      </c>
      <c r="BW903" s="300" t="str">
        <f>_xlfn.IFNA(VLOOKUP($BD903,Programma!$F$3:$Y$1107,20,0),"")</f>
        <v/>
      </c>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c r="GK903" s="4"/>
      <c r="GL903" s="4"/>
      <c r="GM903" s="4"/>
      <c r="GN903" s="4"/>
      <c r="GO903" s="4"/>
      <c r="GP903" s="4"/>
      <c r="GQ903" s="4"/>
      <c r="GR903" s="4"/>
      <c r="GS903" s="4"/>
      <c r="GT903" s="4"/>
      <c r="GU903" s="4"/>
      <c r="GV903" s="4"/>
      <c r="GW903" s="4"/>
      <c r="GX903" s="4"/>
      <c r="GY903" s="4"/>
      <c r="GZ903" s="4"/>
      <c r="HA903" s="4"/>
      <c r="HB903" s="4"/>
      <c r="HC903" s="4"/>
      <c r="HD903" s="4"/>
      <c r="HE903" s="4"/>
      <c r="HF903" s="4"/>
      <c r="HG903" s="4"/>
      <c r="HH903" s="4"/>
      <c r="HI903" s="4"/>
      <c r="HJ903" s="4"/>
      <c r="HK903" s="4"/>
      <c r="HL903" s="4"/>
    </row>
    <row r="904" spans="1:220" ht="15" customHeight="1">
      <c r="A904" s="21">
        <v>10</v>
      </c>
      <c r="B904" s="157" t="str">
        <f>VLOOKUP(Ruimtestaat[[#This Row],[Code]],Locaties[[Code]:[Locatie]],2,FALSE)</f>
        <v>Veurs Voorburg vmbo</v>
      </c>
      <c r="C904" s="157" t="str">
        <f>VLOOKUP(Ruimtestaat[[#This Row],[Code]],Locaties[[#All],[Code]:[Adres]],4,FALSE)</f>
        <v>Delflandlaan 4</v>
      </c>
      <c r="D904" s="157" t="str">
        <f>VLOOKUP(Ruimtestaat[[#This Row],[Code]],Locaties[[#All],[Code]:[Postcode]],5,FALSE)</f>
        <v>2273 CS</v>
      </c>
      <c r="E904" s="157" t="str">
        <f>VLOOKUP(Ruimtestaat[[#This Row],[Code]],Locaties[#All],6,FALSE)</f>
        <v>Voorburg</v>
      </c>
      <c r="F904" s="62"/>
      <c r="G904" s="21" t="s">
        <v>1749</v>
      </c>
      <c r="H904" s="21" t="s">
        <v>2337</v>
      </c>
      <c r="I904" s="62" t="s">
        <v>2393</v>
      </c>
      <c r="J904" s="21">
        <v>11</v>
      </c>
      <c r="K904" s="62" t="str">
        <f>VLOOKUP(Ruimtestaat[[#This Row],[Ruimte code]],Ruimtegroepen[[#All],[Code]:[Ruimte omschrijving]],2,FALSE)</f>
        <v>Kooklokaal/leskeuken</v>
      </c>
      <c r="L904" s="33" t="s">
        <v>103</v>
      </c>
      <c r="M904" s="367" t="s">
        <v>2527</v>
      </c>
      <c r="N904" s="140">
        <v>85.2</v>
      </c>
      <c r="O904" s="140"/>
      <c r="P904" s="125" t="str">
        <f>VLOOKUP(Ruimtestaat[[#This Row],[Ruimte code]],Ruimtegroepen[],4,FALSE)</f>
        <v>Le</v>
      </c>
      <c r="R904" s="33">
        <v>40</v>
      </c>
      <c r="S904" s="33" t="s">
        <v>2</v>
      </c>
      <c r="T904" s="33">
        <f>IF(R904&gt;0,IF(RIGHT(Ruimtestaat[[#This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04" s="33">
        <f>IF(T904&gt;0,VLOOKUP($J904,Ruimtegroepen[],3,FALSE)*VLOOKUP($L904,Vloersoorten[],3,FALSE)*VLOOKUP($S904,Frequenties[],3,FALSE)*VLOOKUP($A904,Locaties[],3,FALSE),0)</f>
        <v>0</v>
      </c>
      <c r="V904" s="33">
        <f>Ruimtestaat[[#This Row],[Uitvoeringen werkdagen]]*Ruimtestaat[[#This Row],[Oppervlak (netto)]]</f>
        <v>17040</v>
      </c>
      <c r="W904" s="154">
        <f>IF(U904&gt;0,Ruimtestaat[[#This Row],[Prest. (m2 /jaar) werkdagen]]/Ruimtestaat[[#This Row],[Norm (m2/uur) werkdagen]],0)</f>
        <v>0</v>
      </c>
      <c r="X904" s="155">
        <f>Ruimtestaat[[#This Row],[uren / jaar werkdagen]]*Tariefsopbouw!$E$35</f>
        <v>0</v>
      </c>
      <c r="Y904" s="33"/>
      <c r="Z904" s="33">
        <f>IF(Ruimtestaat[[#This Row],[Frequentie weekend]]&gt;0,VALUE(LEFT(Y904,1))*R904,0)</f>
        <v>0</v>
      </c>
      <c r="AA904" s="97">
        <f>IF($Z904&gt;0,VLOOKUP($J904,Ruimtegroepen[],3,FALSE)*VLOOKUP($L904,Vloersoorten[],3,FALSE)*VLOOKUP($Y904,Frequenties[],3,FALSE)*VLOOKUP(Ruimtestaat[[#This Row],[Code]],Locaties[],3,FALSE),0)</f>
        <v>0</v>
      </c>
      <c r="AB904" s="97">
        <f>Ruimtestaat[[#This Row],[Uitvoeringen weekend]]*Ruimtestaat[[#This Row],[Oppervlak (netto)]]</f>
        <v>0</v>
      </c>
      <c r="AC904" s="97">
        <f>IF(AA904&gt;0,Ruimtestaat[[#This Row],[Prest. (m2 /jaar) weekend]]/Ruimtestaat[[#This Row],[Norm (m2/uur) weekend]],0)</f>
        <v>0</v>
      </c>
      <c r="AD904" s="155">
        <f>Ruimtestaat[[#This Row],[uren / jaar weekend]]*Tariefsopbouw!$D$40</f>
        <v>0</v>
      </c>
      <c r="AE904" s="154">
        <f>Ruimtestaat[[#This Row],[Prest. (m2 /jaar) weekend]]+Ruimtestaat[[#This Row],[Prest. (m2 /jaar) werkdagen]]</f>
        <v>17040</v>
      </c>
      <c r="AF904" s="154">
        <f>Ruimtestaat[[#This Row],[uren / jaar weekend]]+Ruimtestaat[[#This Row],[uren / jaar werkdagen]]</f>
        <v>0</v>
      </c>
      <c r="AG904" s="69">
        <f>Ruimtestaat[[#This Row],[kosten / jaar weekend]]+Ruimtestaat[[#This Row],[kosten / jaar werkdagen]]</f>
        <v>0</v>
      </c>
      <c r="AH904" s="69"/>
      <c r="AI904" s="256" t="str">
        <f>IF(Ruimtestaat[[#This Row],[Frequentie werkdagen]]="","",_xlfn.CONCAT(Ruimtestaat[[#This Row],[Ruimte code]],"-",Ruimtestaat[[#This Row],[Frequentie werkdagen]]," ",Ruimtestaat[[#This Row],[Vloer code]]))</f>
        <v>11-5w P</v>
      </c>
      <c r="AJ904" s="300" t="str">
        <f>_xlfn.IFNA(VLOOKUP($AI904,Programma!$F$3:$G$1107,2,0),"")</f>
        <v>_</v>
      </c>
      <c r="AK904" s="300" t="str">
        <f>_xlfn.IFNA(VLOOKUP($AI904,Programma!$F$3:$H$1107,3,0),"")</f>
        <v>_</v>
      </c>
      <c r="AL904" s="300" t="str">
        <f>_xlfn.IFNA(VLOOKUP($AI904,Programma!$F$3:$I$1107,4,0),"")</f>
        <v>5w</v>
      </c>
      <c r="AM904" s="300" t="str">
        <f>_xlfn.IFNA(VLOOKUP($AI904,Programma!$F$3:$J$1107,5,0),"")</f>
        <v>_</v>
      </c>
      <c r="AN904" s="300" t="str">
        <f>_xlfn.IFNA(VLOOKUP($AI904,Programma!$F$3:$K$1107,6,0),"")</f>
        <v>5w</v>
      </c>
      <c r="AO904" s="300" t="str">
        <f>_xlfn.IFNA(VLOOKUP($AI904,Programma!$F$3:$L$1107,7,0),"")</f>
        <v>_</v>
      </c>
      <c r="AP904" s="300" t="str">
        <f>_xlfn.IFNA(VLOOKUP($AI904,Programma!$F$3:$M$1107,8,0),"")</f>
        <v>_</v>
      </c>
      <c r="AQ904" s="300" t="str">
        <f>_xlfn.IFNA(VLOOKUP($AI904,Programma!$F$3:$N$1107,9,0),"")</f>
        <v>_</v>
      </c>
      <c r="AR904" s="300" t="str">
        <f>_xlfn.IFNA(VLOOKUP($AI904,Programma!$F$3:$O$1107,10,0),"")</f>
        <v>5w</v>
      </c>
      <c r="AS904" s="300" t="str">
        <f>_xlfn.IFNA(VLOOKUP($AI904,Programma!$F$3:$P$1107,11,0),"")</f>
        <v>5w</v>
      </c>
      <c r="AT904" s="300" t="str">
        <f>_xlfn.IFNA(VLOOKUP($AI904,Programma!$F$3:$Q$1107,12,0),"")</f>
        <v>1w</v>
      </c>
      <c r="AU904" s="300" t="str">
        <f>_xlfn.IFNA(VLOOKUP($AI904,Programma!$F$3:$R$1107,13,0),"")</f>
        <v>1w</v>
      </c>
      <c r="AV904" s="300" t="str">
        <f>_xlfn.IFNA(VLOOKUP($AI904,Programma!$F$3:$S$1107,14,0),"")</f>
        <v>1m</v>
      </c>
      <c r="AW904" s="300" t="str">
        <f>_xlfn.IFNA(VLOOKUP($AI904,Programma!$F$3:$T$1107,15,0),"")</f>
        <v>2j</v>
      </c>
      <c r="AX904" s="300" t="str">
        <f>_xlfn.IFNA(VLOOKUP($AI904,Programma!$F$3:$U$1107,16,0),"")</f>
        <v>1j</v>
      </c>
      <c r="AY904" s="300" t="str">
        <f>_xlfn.IFNA(VLOOKUP($AI904,Programma!$F$3:$V$1107,17,0),"")</f>
        <v>_</v>
      </c>
      <c r="AZ904" s="300" t="str">
        <f>_xlfn.IFNA(VLOOKUP($AI904,Programma!$F$3:$W$1107,18,0),"")</f>
        <v>_</v>
      </c>
      <c r="BA904" s="300" t="str">
        <f>_xlfn.IFNA(VLOOKUP($AI904,Programma!$F$3:$X$1107,19,0),"")</f>
        <v>_</v>
      </c>
      <c r="BB904" s="300" t="str">
        <f>_xlfn.IFNA(VLOOKUP($AI904,Programma!$F$3:$Y$1107,20,0),"")</f>
        <v>_</v>
      </c>
      <c r="BC904" s="257"/>
      <c r="BD904" s="256" t="str">
        <f>IF(Ruimtestaat[[#This Row],[Frequentie weekend]]="","",_xlfn.CONCAT(Ruimtestaat[[#This Row],[Ruimte code]],"-",Ruimtestaat[[#This Row],[Frequentie weekend]]," ",Ruimtestaat[[#This Row],[Vloer code]]))</f>
        <v/>
      </c>
      <c r="BE904" s="300" t="str">
        <f>_xlfn.IFNA(VLOOKUP($BD904,Programma!$F$3:$G$1107,2,0),"")</f>
        <v/>
      </c>
      <c r="BF904" s="300" t="str">
        <f>_xlfn.IFNA(VLOOKUP($BD904,Programma!$F$3:$H$1107,3,0),"")</f>
        <v/>
      </c>
      <c r="BG904" s="300" t="str">
        <f>_xlfn.IFNA(VLOOKUP($BD904,Programma!$F$3:$I$1107,4,0),"")</f>
        <v/>
      </c>
      <c r="BH904" s="300" t="str">
        <f>_xlfn.IFNA(VLOOKUP($BD904,Programma!$F$3:$J$1107,5,0),"")</f>
        <v/>
      </c>
      <c r="BI904" s="300" t="str">
        <f>_xlfn.IFNA(VLOOKUP($BD904,Programma!$F$3:$K$1107,6,0),"")</f>
        <v/>
      </c>
      <c r="BJ904" s="300" t="str">
        <f>_xlfn.IFNA(VLOOKUP($BD904,Programma!$F$3:$L$1107,7,0),"")</f>
        <v/>
      </c>
      <c r="BK904" s="300" t="str">
        <f>_xlfn.IFNA(VLOOKUP($BD904,Programma!$F$3:$M$1107,8,0),"")</f>
        <v/>
      </c>
      <c r="BL904" s="300" t="str">
        <f>_xlfn.IFNA(VLOOKUP($BD904,Programma!$F$3:$N$1107,9,0),"")</f>
        <v/>
      </c>
      <c r="BM904" s="300" t="str">
        <f>_xlfn.IFNA(VLOOKUP($BD904,Programma!$F$3:$O$1107,10,0),"")</f>
        <v/>
      </c>
      <c r="BN904" s="300" t="str">
        <f>_xlfn.IFNA(VLOOKUP($BD904,Programma!$F$3:$P$1107,11,0),"")</f>
        <v/>
      </c>
      <c r="BO904" s="300" t="str">
        <f>_xlfn.IFNA(VLOOKUP($BD904,Programma!$F$3:$Q$1107,12,0),"")</f>
        <v/>
      </c>
      <c r="BP904" s="300" t="str">
        <f>_xlfn.IFNA(VLOOKUP($BD904,Programma!$F$3:$R$1107,13,0),"")</f>
        <v/>
      </c>
      <c r="BQ904" s="300" t="str">
        <f>_xlfn.IFNA(VLOOKUP($BD904,Programma!$F$3:$S$1107,14,0),"")</f>
        <v/>
      </c>
      <c r="BR904" s="300" t="str">
        <f>_xlfn.IFNA(VLOOKUP($BD904,Programma!$F$3:$T$1107,15,0),"")</f>
        <v/>
      </c>
      <c r="BS904" s="300" t="str">
        <f>_xlfn.IFNA(VLOOKUP($BD904,Programma!$F$3:$U$1107,16,0),"")</f>
        <v/>
      </c>
      <c r="BT904" s="300" t="str">
        <f>_xlfn.IFNA(VLOOKUP($BD904,Programma!$F$3:$V$1107,17,0),"")</f>
        <v/>
      </c>
      <c r="BU904" s="300" t="str">
        <f>_xlfn.IFNA(VLOOKUP($BD904,Programma!$F$3:$W$1107,18,0),"")</f>
        <v/>
      </c>
      <c r="BV904" s="300" t="str">
        <f>_xlfn.IFNA(VLOOKUP($BD904,Programma!$F$3:$X$1107,19,0),"")</f>
        <v/>
      </c>
      <c r="BW904" s="300" t="str">
        <f>_xlfn.IFNA(VLOOKUP($BD904,Programma!$F$3:$Y$1107,20,0),"")</f>
        <v/>
      </c>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c r="GK904" s="4"/>
      <c r="GL904" s="4"/>
      <c r="GM904" s="4"/>
      <c r="GN904" s="4"/>
      <c r="GO904" s="4"/>
      <c r="GP904" s="4"/>
      <c r="GQ904" s="4"/>
      <c r="GR904" s="4"/>
      <c r="GS904" s="4"/>
      <c r="GT904" s="4"/>
      <c r="GU904" s="4"/>
      <c r="GV904" s="4"/>
      <c r="GW904" s="4"/>
      <c r="GX904" s="4"/>
      <c r="GY904" s="4"/>
      <c r="GZ904" s="4"/>
      <c r="HA904" s="4"/>
      <c r="HB904" s="4"/>
      <c r="HC904" s="4"/>
      <c r="HD904" s="4"/>
      <c r="HE904" s="4"/>
      <c r="HF904" s="4"/>
      <c r="HG904" s="4"/>
      <c r="HH904" s="4"/>
      <c r="HI904" s="4"/>
      <c r="HJ904" s="4"/>
      <c r="HK904" s="4"/>
      <c r="HL904" s="4"/>
    </row>
    <row r="905" spans="1:220" ht="15" customHeight="1">
      <c r="A905" s="21">
        <v>10</v>
      </c>
      <c r="B905" s="157" t="str">
        <f>VLOOKUP(Ruimtestaat[[#This Row],[Code]],Locaties[[Code]:[Locatie]],2,FALSE)</f>
        <v>Veurs Voorburg vmbo</v>
      </c>
      <c r="C905" s="157" t="str">
        <f>VLOOKUP(Ruimtestaat[[#This Row],[Code]],Locaties[[#All],[Code]:[Adres]],4,FALSE)</f>
        <v>Delflandlaan 4</v>
      </c>
      <c r="D905" s="157" t="str">
        <f>VLOOKUP(Ruimtestaat[[#This Row],[Code]],Locaties[[#All],[Code]:[Postcode]],5,FALSE)</f>
        <v>2273 CS</v>
      </c>
      <c r="E905" s="157" t="str">
        <f>VLOOKUP(Ruimtestaat[[#This Row],[Code]],Locaties[#All],6,FALSE)</f>
        <v>Voorburg</v>
      </c>
      <c r="F905" s="62"/>
      <c r="G905" s="21" t="s">
        <v>1749</v>
      </c>
      <c r="H905" s="21" t="s">
        <v>2394</v>
      </c>
      <c r="I905" s="62" t="s">
        <v>1805</v>
      </c>
      <c r="J905" s="21">
        <v>10</v>
      </c>
      <c r="K905" s="62" t="str">
        <f>VLOOKUP(Ruimtestaat[[#This Row],[Ruimte code]],Ruimtegroepen[[#All],[Code]:[Ruimte omschrijving]],2,FALSE)</f>
        <v>Trappenhuizen/lift</v>
      </c>
      <c r="L905" s="33" t="s">
        <v>101</v>
      </c>
      <c r="M905" s="367" t="s">
        <v>2506</v>
      </c>
      <c r="N905" s="140">
        <v>15.6</v>
      </c>
      <c r="O905" s="140"/>
      <c r="P905" s="125" t="str">
        <f>VLOOKUP(Ruimtestaat[[#This Row],[Ruimte code]],Ruimtegroepen[],4,FALSE)</f>
        <v>Ve</v>
      </c>
      <c r="R905" s="33">
        <v>40</v>
      </c>
      <c r="S905" s="33" t="s">
        <v>2</v>
      </c>
      <c r="T905" s="33">
        <f>IF(R905&gt;0,IF(RIGHT(Ruimtestaat[[#This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05" s="33">
        <f>IF(T905&gt;0,VLOOKUP($J905,Ruimtegroepen[],3,FALSE)*VLOOKUP($L905,Vloersoorten[],3,FALSE)*VLOOKUP($S905,Frequenties[],3,FALSE)*VLOOKUP($A905,Locaties[],3,FALSE),0)</f>
        <v>0</v>
      </c>
      <c r="V905" s="33">
        <f>Ruimtestaat[[#This Row],[Uitvoeringen werkdagen]]*Ruimtestaat[[#This Row],[Oppervlak (netto)]]</f>
        <v>3120</v>
      </c>
      <c r="W905" s="154">
        <f>IF(U905&gt;0,Ruimtestaat[[#This Row],[Prest. (m2 /jaar) werkdagen]]/Ruimtestaat[[#This Row],[Norm (m2/uur) werkdagen]],0)</f>
        <v>0</v>
      </c>
      <c r="X905" s="155">
        <f>Ruimtestaat[[#This Row],[uren / jaar werkdagen]]*Tariefsopbouw!$E$35</f>
        <v>0</v>
      </c>
      <c r="Y905" s="33"/>
      <c r="Z905" s="33">
        <f>IF(Ruimtestaat[[#This Row],[Frequentie weekend]]&gt;0,VALUE(LEFT(Y905,1))*R905,0)</f>
        <v>0</v>
      </c>
      <c r="AA905" s="97">
        <f>IF($Z905&gt;0,VLOOKUP($J905,Ruimtegroepen[],3,FALSE)*VLOOKUP($L905,Vloersoorten[],3,FALSE)*VLOOKUP($Y905,Frequenties[],3,FALSE)*VLOOKUP(Ruimtestaat[[#This Row],[Code]],Locaties[],3,FALSE),0)</f>
        <v>0</v>
      </c>
      <c r="AB905" s="97">
        <f>Ruimtestaat[[#This Row],[Uitvoeringen weekend]]*Ruimtestaat[[#This Row],[Oppervlak (netto)]]</f>
        <v>0</v>
      </c>
      <c r="AC905" s="97">
        <f>IF(AA905&gt;0,Ruimtestaat[[#This Row],[Prest. (m2 /jaar) weekend]]/Ruimtestaat[[#This Row],[Norm (m2/uur) weekend]],0)</f>
        <v>0</v>
      </c>
      <c r="AD905" s="155">
        <f>Ruimtestaat[[#This Row],[uren / jaar weekend]]*Tariefsopbouw!$D$40</f>
        <v>0</v>
      </c>
      <c r="AE905" s="154">
        <f>Ruimtestaat[[#This Row],[Prest. (m2 /jaar) weekend]]+Ruimtestaat[[#This Row],[Prest. (m2 /jaar) werkdagen]]</f>
        <v>3120</v>
      </c>
      <c r="AF905" s="154">
        <f>Ruimtestaat[[#This Row],[uren / jaar weekend]]+Ruimtestaat[[#This Row],[uren / jaar werkdagen]]</f>
        <v>0</v>
      </c>
      <c r="AG905" s="69">
        <f>Ruimtestaat[[#This Row],[kosten / jaar weekend]]+Ruimtestaat[[#This Row],[kosten / jaar werkdagen]]</f>
        <v>0</v>
      </c>
      <c r="AH905" s="69"/>
      <c r="AI905" s="256" t="str">
        <f>IF(Ruimtestaat[[#This Row],[Frequentie werkdagen]]="","",_xlfn.CONCAT(Ruimtestaat[[#This Row],[Ruimte code]],"-",Ruimtestaat[[#This Row],[Frequentie werkdagen]]," ",Ruimtestaat[[#This Row],[Vloer code]]))</f>
        <v>10-5w L</v>
      </c>
      <c r="AJ905" s="300" t="str">
        <f>_xlfn.IFNA(VLOOKUP($AI905,Programma!$F$3:$G$1107,2,0),"")</f>
        <v>_</v>
      </c>
      <c r="AK905" s="300" t="str">
        <f>_xlfn.IFNA(VLOOKUP($AI905,Programma!$F$3:$H$1107,3,0),"")</f>
        <v>_</v>
      </c>
      <c r="AL905" s="300" t="str">
        <f>_xlfn.IFNA(VLOOKUP($AI905,Programma!$F$3:$I$1107,4,0),"")</f>
        <v>4w</v>
      </c>
      <c r="AM905" s="300" t="str">
        <f>_xlfn.IFNA(VLOOKUP($AI905,Programma!$F$3:$J$1107,5,0),"")</f>
        <v>1w</v>
      </c>
      <c r="AN905" s="300" t="str">
        <f>_xlfn.IFNA(VLOOKUP($AI905,Programma!$F$3:$K$1107,6,0),"")</f>
        <v>_</v>
      </c>
      <c r="AO905" s="300" t="str">
        <f>_xlfn.IFNA(VLOOKUP($AI905,Programma!$F$3:$L$1107,7,0),"")</f>
        <v>_</v>
      </c>
      <c r="AP905" s="300" t="str">
        <f>_xlfn.IFNA(VLOOKUP($AI905,Programma!$F$3:$M$1107,8,0),"")</f>
        <v>_</v>
      </c>
      <c r="AQ905" s="300" t="str">
        <f>_xlfn.IFNA(VLOOKUP($AI905,Programma!$F$3:$N$1107,9,0),"")</f>
        <v>_</v>
      </c>
      <c r="AR905" s="300" t="str">
        <f>_xlfn.IFNA(VLOOKUP($AI905,Programma!$F$3:$O$1107,10,0),"")</f>
        <v>5w</v>
      </c>
      <c r="AS905" s="300" t="str">
        <f>_xlfn.IFNA(VLOOKUP($AI905,Programma!$F$3:$P$1107,11,0),"")</f>
        <v>5w</v>
      </c>
      <c r="AT905" s="300" t="str">
        <f>_xlfn.IFNA(VLOOKUP($AI905,Programma!$F$3:$Q$1107,12,0),"")</f>
        <v>1w</v>
      </c>
      <c r="AU905" s="300" t="str">
        <f>_xlfn.IFNA(VLOOKUP($AI905,Programma!$F$3:$R$1107,13,0),"")</f>
        <v>1w</v>
      </c>
      <c r="AV905" s="300" t="str">
        <f>_xlfn.IFNA(VLOOKUP($AI905,Programma!$F$3:$S$1107,14,0),"")</f>
        <v>1m</v>
      </c>
      <c r="AW905" s="300" t="str">
        <f>_xlfn.IFNA(VLOOKUP($AI905,Programma!$F$3:$T$1107,15,0),"")</f>
        <v>2j</v>
      </c>
      <c r="AX905" s="300" t="str">
        <f>_xlfn.IFNA(VLOOKUP($AI905,Programma!$F$3:$U$1107,16,0),"")</f>
        <v>1j</v>
      </c>
      <c r="AY905" s="300" t="str">
        <f>_xlfn.IFNA(VLOOKUP($AI905,Programma!$F$3:$V$1107,17,0),"")</f>
        <v>_</v>
      </c>
      <c r="AZ905" s="300" t="str">
        <f>_xlfn.IFNA(VLOOKUP($AI905,Programma!$F$3:$W$1107,18,0),"")</f>
        <v>_</v>
      </c>
      <c r="BA905" s="300" t="str">
        <f>_xlfn.IFNA(VLOOKUP($AI905,Programma!$F$3:$X$1107,19,0),"")</f>
        <v>_</v>
      </c>
      <c r="BB905" s="300" t="str">
        <f>_xlfn.IFNA(VLOOKUP($AI905,Programma!$F$3:$Y$1107,20,0),"")</f>
        <v>_</v>
      </c>
      <c r="BC905" s="257"/>
      <c r="BD905" s="256" t="str">
        <f>IF(Ruimtestaat[[#This Row],[Frequentie weekend]]="","",_xlfn.CONCAT(Ruimtestaat[[#This Row],[Ruimte code]],"-",Ruimtestaat[[#This Row],[Frequentie weekend]]," ",Ruimtestaat[[#This Row],[Vloer code]]))</f>
        <v/>
      </c>
      <c r="BE905" s="300" t="str">
        <f>_xlfn.IFNA(VLOOKUP($BD905,Programma!$F$3:$G$1107,2,0),"")</f>
        <v/>
      </c>
      <c r="BF905" s="300" t="str">
        <f>_xlfn.IFNA(VLOOKUP($BD905,Programma!$F$3:$H$1107,3,0),"")</f>
        <v/>
      </c>
      <c r="BG905" s="300" t="str">
        <f>_xlfn.IFNA(VLOOKUP($BD905,Programma!$F$3:$I$1107,4,0),"")</f>
        <v/>
      </c>
      <c r="BH905" s="300" t="str">
        <f>_xlfn.IFNA(VLOOKUP($BD905,Programma!$F$3:$J$1107,5,0),"")</f>
        <v/>
      </c>
      <c r="BI905" s="300" t="str">
        <f>_xlfn.IFNA(VLOOKUP($BD905,Programma!$F$3:$K$1107,6,0),"")</f>
        <v/>
      </c>
      <c r="BJ905" s="300" t="str">
        <f>_xlfn.IFNA(VLOOKUP($BD905,Programma!$F$3:$L$1107,7,0),"")</f>
        <v/>
      </c>
      <c r="BK905" s="300" t="str">
        <f>_xlfn.IFNA(VLOOKUP($BD905,Programma!$F$3:$M$1107,8,0),"")</f>
        <v/>
      </c>
      <c r="BL905" s="300" t="str">
        <f>_xlfn.IFNA(VLOOKUP($BD905,Programma!$F$3:$N$1107,9,0),"")</f>
        <v/>
      </c>
      <c r="BM905" s="300" t="str">
        <f>_xlfn.IFNA(VLOOKUP($BD905,Programma!$F$3:$O$1107,10,0),"")</f>
        <v/>
      </c>
      <c r="BN905" s="300" t="str">
        <f>_xlfn.IFNA(VLOOKUP($BD905,Programma!$F$3:$P$1107,11,0),"")</f>
        <v/>
      </c>
      <c r="BO905" s="300" t="str">
        <f>_xlfn.IFNA(VLOOKUP($BD905,Programma!$F$3:$Q$1107,12,0),"")</f>
        <v/>
      </c>
      <c r="BP905" s="300" t="str">
        <f>_xlfn.IFNA(VLOOKUP($BD905,Programma!$F$3:$R$1107,13,0),"")</f>
        <v/>
      </c>
      <c r="BQ905" s="300" t="str">
        <f>_xlfn.IFNA(VLOOKUP($BD905,Programma!$F$3:$S$1107,14,0),"")</f>
        <v/>
      </c>
      <c r="BR905" s="300" t="str">
        <f>_xlfn.IFNA(VLOOKUP($BD905,Programma!$F$3:$T$1107,15,0),"")</f>
        <v/>
      </c>
      <c r="BS905" s="300" t="str">
        <f>_xlfn.IFNA(VLOOKUP($BD905,Programma!$F$3:$U$1107,16,0),"")</f>
        <v/>
      </c>
      <c r="BT905" s="300" t="str">
        <f>_xlfn.IFNA(VLOOKUP($BD905,Programma!$F$3:$V$1107,17,0),"")</f>
        <v/>
      </c>
      <c r="BU905" s="300" t="str">
        <f>_xlfn.IFNA(VLOOKUP($BD905,Programma!$F$3:$W$1107,18,0),"")</f>
        <v/>
      </c>
      <c r="BV905" s="300" t="str">
        <f>_xlfn.IFNA(VLOOKUP($BD905,Programma!$F$3:$X$1107,19,0),"")</f>
        <v/>
      </c>
      <c r="BW905" s="300" t="str">
        <f>_xlfn.IFNA(VLOOKUP($BD905,Programma!$F$3:$Y$1107,20,0),"")</f>
        <v/>
      </c>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c r="GK905" s="4"/>
      <c r="GL905" s="4"/>
      <c r="GM905" s="4"/>
      <c r="GN905" s="4"/>
      <c r="GO905" s="4"/>
      <c r="GP905" s="4"/>
      <c r="GQ905" s="4"/>
      <c r="GR905" s="4"/>
      <c r="GS905" s="4"/>
      <c r="GT905" s="4"/>
      <c r="GU905" s="4"/>
      <c r="GV905" s="4"/>
      <c r="GW905" s="4"/>
      <c r="GX905" s="4"/>
      <c r="GY905" s="4"/>
      <c r="GZ905" s="4"/>
      <c r="HA905" s="4"/>
      <c r="HB905" s="4"/>
      <c r="HC905" s="4"/>
      <c r="HD905" s="4"/>
      <c r="HE905" s="4"/>
      <c r="HF905" s="4"/>
      <c r="HG905" s="4"/>
      <c r="HH905" s="4"/>
      <c r="HI905" s="4"/>
      <c r="HJ905" s="4"/>
      <c r="HK905" s="4"/>
      <c r="HL905" s="4"/>
    </row>
    <row r="906" spans="1:220" ht="15" customHeight="1">
      <c r="A906" s="21">
        <v>10</v>
      </c>
      <c r="B906" s="157" t="str">
        <f>VLOOKUP(Ruimtestaat[[#This Row],[Code]],Locaties[[Code]:[Locatie]],2,FALSE)</f>
        <v>Veurs Voorburg vmbo</v>
      </c>
      <c r="C906" s="157" t="str">
        <f>VLOOKUP(Ruimtestaat[[#This Row],[Code]],Locaties[[#All],[Code]:[Adres]],4,FALSE)</f>
        <v>Delflandlaan 4</v>
      </c>
      <c r="D906" s="157" t="str">
        <f>VLOOKUP(Ruimtestaat[[#This Row],[Code]],Locaties[[#All],[Code]:[Postcode]],5,FALSE)</f>
        <v>2273 CS</v>
      </c>
      <c r="E906" s="157" t="str">
        <f>VLOOKUP(Ruimtestaat[[#This Row],[Code]],Locaties[#All],6,FALSE)</f>
        <v>Voorburg</v>
      </c>
      <c r="F906" s="62"/>
      <c r="G906" s="21" t="s">
        <v>1749</v>
      </c>
      <c r="H906" s="21" t="s">
        <v>2395</v>
      </c>
      <c r="I906" s="62" t="s">
        <v>38</v>
      </c>
      <c r="J906" s="21">
        <v>7</v>
      </c>
      <c r="K906" s="62" t="str">
        <f>VLOOKUP(Ruimtestaat[[#This Row],[Ruimte code]],Ruimtegroepen[[#All],[Code]:[Ruimte omschrijving]],2,FALSE)</f>
        <v>Entree</v>
      </c>
      <c r="L906" s="33" t="s">
        <v>100</v>
      </c>
      <c r="M906" s="367" t="s">
        <v>2500</v>
      </c>
      <c r="N906" s="140">
        <v>4.8</v>
      </c>
      <c r="O906" s="140"/>
      <c r="P906" s="125" t="str">
        <f>VLOOKUP(Ruimtestaat[[#This Row],[Ruimte code]],Ruimtegroepen[],4,FALSE)</f>
        <v>Ve</v>
      </c>
      <c r="R906" s="33">
        <v>40</v>
      </c>
      <c r="S906" s="33" t="s">
        <v>2</v>
      </c>
      <c r="T906" s="33">
        <f>IF(R906&gt;0,IF(RIGHT(Ruimtestaat[[#This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06" s="33">
        <f>IF(T906&gt;0,VLOOKUP($J906,Ruimtegroepen[],3,FALSE)*VLOOKUP($L906,Vloersoorten[],3,FALSE)*VLOOKUP($S906,Frequenties[],3,FALSE)*VLOOKUP($A906,Locaties[],3,FALSE),0)</f>
        <v>0</v>
      </c>
      <c r="V906" s="33">
        <f>Ruimtestaat[[#This Row],[Uitvoeringen werkdagen]]*Ruimtestaat[[#This Row],[Oppervlak (netto)]]</f>
        <v>960</v>
      </c>
      <c r="W906" s="154">
        <f>IF(U906&gt;0,Ruimtestaat[[#This Row],[Prest. (m2 /jaar) werkdagen]]/Ruimtestaat[[#This Row],[Norm (m2/uur) werkdagen]],0)</f>
        <v>0</v>
      </c>
      <c r="X906" s="155">
        <f>Ruimtestaat[[#This Row],[uren / jaar werkdagen]]*Tariefsopbouw!$E$35</f>
        <v>0</v>
      </c>
      <c r="Y906" s="33"/>
      <c r="Z906" s="33">
        <f>IF(Ruimtestaat[[#This Row],[Frequentie weekend]]&gt;0,VALUE(LEFT(Y906,1))*R906,0)</f>
        <v>0</v>
      </c>
      <c r="AA906" s="97">
        <f>IF($Z906&gt;0,VLOOKUP($J906,Ruimtegroepen[],3,FALSE)*VLOOKUP($L906,Vloersoorten[],3,FALSE)*VLOOKUP($Y906,Frequenties[],3,FALSE)*VLOOKUP(Ruimtestaat[[#This Row],[Code]],Locaties[],3,FALSE),0)</f>
        <v>0</v>
      </c>
      <c r="AB906" s="97">
        <f>Ruimtestaat[[#This Row],[Uitvoeringen weekend]]*Ruimtestaat[[#This Row],[Oppervlak (netto)]]</f>
        <v>0</v>
      </c>
      <c r="AC906" s="97">
        <f>IF(AA906&gt;0,Ruimtestaat[[#This Row],[Prest. (m2 /jaar) weekend]]/Ruimtestaat[[#This Row],[Norm (m2/uur) weekend]],0)</f>
        <v>0</v>
      </c>
      <c r="AD906" s="155">
        <f>Ruimtestaat[[#This Row],[uren / jaar weekend]]*Tariefsopbouw!$D$40</f>
        <v>0</v>
      </c>
      <c r="AE906" s="154">
        <f>Ruimtestaat[[#This Row],[Prest. (m2 /jaar) weekend]]+Ruimtestaat[[#This Row],[Prest. (m2 /jaar) werkdagen]]</f>
        <v>960</v>
      </c>
      <c r="AF906" s="154">
        <f>Ruimtestaat[[#This Row],[uren / jaar weekend]]+Ruimtestaat[[#This Row],[uren / jaar werkdagen]]</f>
        <v>0</v>
      </c>
      <c r="AG906" s="69">
        <f>Ruimtestaat[[#This Row],[kosten / jaar weekend]]+Ruimtestaat[[#This Row],[kosten / jaar werkdagen]]</f>
        <v>0</v>
      </c>
      <c r="AH906" s="69"/>
      <c r="AI906" s="256" t="str">
        <f>IF(Ruimtestaat[[#This Row],[Frequentie werkdagen]]="","",_xlfn.CONCAT(Ruimtestaat[[#This Row],[Ruimte code]],"-",Ruimtestaat[[#This Row],[Frequentie werkdagen]]," ",Ruimtestaat[[#This Row],[Vloer code]]))</f>
        <v>7-5w T</v>
      </c>
      <c r="AJ906" s="300" t="str">
        <f>_xlfn.IFNA(VLOOKUP($AI906,Programma!$F$3:$G$1107,2,0),"")</f>
        <v>_</v>
      </c>
      <c r="AK906" s="300" t="str">
        <f>_xlfn.IFNA(VLOOKUP($AI906,Programma!$F$3:$H$1107,3,0),"")</f>
        <v>5w</v>
      </c>
      <c r="AL906" s="300" t="str">
        <f>_xlfn.IFNA(VLOOKUP($AI906,Programma!$F$3:$I$1107,4,0),"")</f>
        <v>_</v>
      </c>
      <c r="AM906" s="300" t="str">
        <f>_xlfn.IFNA(VLOOKUP($AI906,Programma!$F$3:$J$1107,5,0),"")</f>
        <v>_</v>
      </c>
      <c r="AN906" s="300" t="str">
        <f>_xlfn.IFNA(VLOOKUP($AI906,Programma!$F$3:$K$1107,6,0),"")</f>
        <v>_</v>
      </c>
      <c r="AO906" s="300" t="str">
        <f>_xlfn.IFNA(VLOOKUP($AI906,Programma!$F$3:$L$1107,7,0),"")</f>
        <v>_</v>
      </c>
      <c r="AP906" s="300" t="str">
        <f>_xlfn.IFNA(VLOOKUP($AI906,Programma!$F$3:$M$1107,8,0),"")</f>
        <v>_</v>
      </c>
      <c r="AQ906" s="300" t="str">
        <f>_xlfn.IFNA(VLOOKUP($AI906,Programma!$F$3:$N$1107,9,0),"")</f>
        <v>_</v>
      </c>
      <c r="AR906" s="300" t="str">
        <f>_xlfn.IFNA(VLOOKUP($AI906,Programma!$F$3:$O$1107,10,0),"")</f>
        <v>5w</v>
      </c>
      <c r="AS906" s="300" t="str">
        <f>_xlfn.IFNA(VLOOKUP($AI906,Programma!$F$3:$P$1107,11,0),"")</f>
        <v>5w</v>
      </c>
      <c r="AT906" s="300" t="str">
        <f>_xlfn.IFNA(VLOOKUP($AI906,Programma!$F$3:$Q$1107,12,0),"")</f>
        <v>1w</v>
      </c>
      <c r="AU906" s="300" t="str">
        <f>_xlfn.IFNA(VLOOKUP($AI906,Programma!$F$3:$R$1107,13,0),"")</f>
        <v>1w</v>
      </c>
      <c r="AV906" s="300" t="str">
        <f>_xlfn.IFNA(VLOOKUP($AI906,Programma!$F$3:$S$1107,14,0),"")</f>
        <v>1m</v>
      </c>
      <c r="AW906" s="300" t="str">
        <f>_xlfn.IFNA(VLOOKUP($AI906,Programma!$F$3:$T$1107,15,0),"")</f>
        <v>2j</v>
      </c>
      <c r="AX906" s="300" t="str">
        <f>_xlfn.IFNA(VLOOKUP($AI906,Programma!$F$3:$U$1107,16,0),"")</f>
        <v>1j</v>
      </c>
      <c r="AY906" s="300" t="str">
        <f>_xlfn.IFNA(VLOOKUP($AI906,Programma!$F$3:$V$1107,17,0),"")</f>
        <v>_</v>
      </c>
      <c r="AZ906" s="300" t="str">
        <f>_xlfn.IFNA(VLOOKUP($AI906,Programma!$F$3:$W$1107,18,0),"")</f>
        <v>_</v>
      </c>
      <c r="BA906" s="300" t="str">
        <f>_xlfn.IFNA(VLOOKUP($AI906,Programma!$F$3:$X$1107,19,0),"")</f>
        <v>_</v>
      </c>
      <c r="BB906" s="300" t="str">
        <f>_xlfn.IFNA(VLOOKUP($AI906,Programma!$F$3:$Y$1107,20,0),"")</f>
        <v>_</v>
      </c>
      <c r="BC906" s="257"/>
      <c r="BD906" s="256" t="str">
        <f>IF(Ruimtestaat[[#This Row],[Frequentie weekend]]="","",_xlfn.CONCAT(Ruimtestaat[[#This Row],[Ruimte code]],"-",Ruimtestaat[[#This Row],[Frequentie weekend]]," ",Ruimtestaat[[#This Row],[Vloer code]]))</f>
        <v/>
      </c>
      <c r="BE906" s="300" t="str">
        <f>_xlfn.IFNA(VLOOKUP($BD906,Programma!$F$3:$G$1107,2,0),"")</f>
        <v/>
      </c>
      <c r="BF906" s="300" t="str">
        <f>_xlfn.IFNA(VLOOKUP($BD906,Programma!$F$3:$H$1107,3,0),"")</f>
        <v/>
      </c>
      <c r="BG906" s="300" t="str">
        <f>_xlfn.IFNA(VLOOKUP($BD906,Programma!$F$3:$I$1107,4,0),"")</f>
        <v/>
      </c>
      <c r="BH906" s="300" t="str">
        <f>_xlfn.IFNA(VLOOKUP($BD906,Programma!$F$3:$J$1107,5,0),"")</f>
        <v/>
      </c>
      <c r="BI906" s="300" t="str">
        <f>_xlfn.IFNA(VLOOKUP($BD906,Programma!$F$3:$K$1107,6,0),"")</f>
        <v/>
      </c>
      <c r="BJ906" s="300" t="str">
        <f>_xlfn.IFNA(VLOOKUP($BD906,Programma!$F$3:$L$1107,7,0),"")</f>
        <v/>
      </c>
      <c r="BK906" s="300" t="str">
        <f>_xlfn.IFNA(VLOOKUP($BD906,Programma!$F$3:$M$1107,8,0),"")</f>
        <v/>
      </c>
      <c r="BL906" s="300" t="str">
        <f>_xlfn.IFNA(VLOOKUP($BD906,Programma!$F$3:$N$1107,9,0),"")</f>
        <v/>
      </c>
      <c r="BM906" s="300" t="str">
        <f>_xlfn.IFNA(VLOOKUP($BD906,Programma!$F$3:$O$1107,10,0),"")</f>
        <v/>
      </c>
      <c r="BN906" s="300" t="str">
        <f>_xlfn.IFNA(VLOOKUP($BD906,Programma!$F$3:$P$1107,11,0),"")</f>
        <v/>
      </c>
      <c r="BO906" s="300" t="str">
        <f>_xlfn.IFNA(VLOOKUP($BD906,Programma!$F$3:$Q$1107,12,0),"")</f>
        <v/>
      </c>
      <c r="BP906" s="300" t="str">
        <f>_xlfn.IFNA(VLOOKUP($BD906,Programma!$F$3:$R$1107,13,0),"")</f>
        <v/>
      </c>
      <c r="BQ906" s="300" t="str">
        <f>_xlfn.IFNA(VLOOKUP($BD906,Programma!$F$3:$S$1107,14,0),"")</f>
        <v/>
      </c>
      <c r="BR906" s="300" t="str">
        <f>_xlfn.IFNA(VLOOKUP($BD906,Programma!$F$3:$T$1107,15,0),"")</f>
        <v/>
      </c>
      <c r="BS906" s="300" t="str">
        <f>_xlfn.IFNA(VLOOKUP($BD906,Programma!$F$3:$U$1107,16,0),"")</f>
        <v/>
      </c>
      <c r="BT906" s="300" t="str">
        <f>_xlfn.IFNA(VLOOKUP($BD906,Programma!$F$3:$V$1107,17,0),"")</f>
        <v/>
      </c>
      <c r="BU906" s="300" t="str">
        <f>_xlfn.IFNA(VLOOKUP($BD906,Programma!$F$3:$W$1107,18,0),"")</f>
        <v/>
      </c>
      <c r="BV906" s="300" t="str">
        <f>_xlfn.IFNA(VLOOKUP($BD906,Programma!$F$3:$X$1107,19,0),"")</f>
        <v/>
      </c>
      <c r="BW906" s="300" t="str">
        <f>_xlfn.IFNA(VLOOKUP($BD906,Programma!$F$3:$Y$1107,20,0),"")</f>
        <v/>
      </c>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c r="GK906" s="4"/>
      <c r="GL906" s="4"/>
      <c r="GM906" s="4"/>
      <c r="GN906" s="4"/>
      <c r="GO906" s="4"/>
      <c r="GP906" s="4"/>
      <c r="GQ906" s="4"/>
      <c r="GR906" s="4"/>
      <c r="GS906" s="4"/>
      <c r="GT906" s="4"/>
      <c r="GU906" s="4"/>
      <c r="GV906" s="4"/>
      <c r="GW906" s="4"/>
      <c r="GX906" s="4"/>
      <c r="GY906" s="4"/>
      <c r="GZ906" s="4"/>
      <c r="HA906" s="4"/>
      <c r="HB906" s="4"/>
      <c r="HC906" s="4"/>
      <c r="HD906" s="4"/>
      <c r="HE906" s="4"/>
      <c r="HF906" s="4"/>
      <c r="HG906" s="4"/>
      <c r="HH906" s="4"/>
      <c r="HI906" s="4"/>
      <c r="HJ906" s="4"/>
      <c r="HK906" s="4"/>
      <c r="HL906" s="4"/>
    </row>
    <row r="907" spans="1:220" ht="15" customHeight="1">
      <c r="A907" s="21">
        <v>10</v>
      </c>
      <c r="B907" s="157" t="str">
        <f>VLOOKUP(Ruimtestaat[[#This Row],[Code]],Locaties[[Code]:[Locatie]],2,FALSE)</f>
        <v>Veurs Voorburg vmbo</v>
      </c>
      <c r="C907" s="157" t="str">
        <f>VLOOKUP(Ruimtestaat[[#This Row],[Code]],Locaties[[#All],[Code]:[Adres]],4,FALSE)</f>
        <v>Delflandlaan 4</v>
      </c>
      <c r="D907" s="157" t="str">
        <f>VLOOKUP(Ruimtestaat[[#This Row],[Code]],Locaties[[#All],[Code]:[Postcode]],5,FALSE)</f>
        <v>2273 CS</v>
      </c>
      <c r="E907" s="157" t="str">
        <f>VLOOKUP(Ruimtestaat[[#This Row],[Code]],Locaties[#All],6,FALSE)</f>
        <v>Voorburg</v>
      </c>
      <c r="F907" s="62"/>
      <c r="G907" s="21" t="s">
        <v>1749</v>
      </c>
      <c r="H907" s="21" t="s">
        <v>2396</v>
      </c>
      <c r="I907" s="62" t="s">
        <v>2397</v>
      </c>
      <c r="J907" s="21">
        <v>8</v>
      </c>
      <c r="K907" s="62" t="str">
        <f>VLOOKUP(Ruimtestaat[[#This Row],[Ruimte code]],Ruimtegroepen[[#All],[Code]:[Ruimte omschrijving]],2,FALSE)</f>
        <v>Mediatheek / OLC</v>
      </c>
      <c r="L907" s="33" t="s">
        <v>101</v>
      </c>
      <c r="M907" s="367" t="s">
        <v>2506</v>
      </c>
      <c r="N907" s="140">
        <v>14.9</v>
      </c>
      <c r="O907" s="140"/>
      <c r="P907" s="125" t="str">
        <f>VLOOKUP(Ruimtestaat[[#This Row],[Ruimte code]],Ruimtegroepen[],4,FALSE)</f>
        <v>Le</v>
      </c>
      <c r="R907" s="33">
        <v>40</v>
      </c>
      <c r="S907" s="33" t="s">
        <v>2</v>
      </c>
      <c r="T907" s="33">
        <f>IF(R907&gt;0,IF(RIGHT(Ruimtestaat[[#This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07" s="33">
        <f>IF(T907&gt;0,VLOOKUP($J907,Ruimtegroepen[],3,FALSE)*VLOOKUP($L907,Vloersoorten[],3,FALSE)*VLOOKUP($S907,Frequenties[],3,FALSE)*VLOOKUP($A907,Locaties[],3,FALSE),0)</f>
        <v>0</v>
      </c>
      <c r="V907" s="33">
        <f>Ruimtestaat[[#This Row],[Uitvoeringen werkdagen]]*Ruimtestaat[[#This Row],[Oppervlak (netto)]]</f>
        <v>2980</v>
      </c>
      <c r="W907" s="154">
        <f>IF(U907&gt;0,Ruimtestaat[[#This Row],[Prest. (m2 /jaar) werkdagen]]/Ruimtestaat[[#This Row],[Norm (m2/uur) werkdagen]],0)</f>
        <v>0</v>
      </c>
      <c r="X907" s="155">
        <f>Ruimtestaat[[#This Row],[uren / jaar werkdagen]]*Tariefsopbouw!$E$35</f>
        <v>0</v>
      </c>
      <c r="Y907" s="33"/>
      <c r="Z907" s="33">
        <f>IF(Ruimtestaat[[#This Row],[Frequentie weekend]]&gt;0,VALUE(LEFT(Y907,1))*R907,0)</f>
        <v>0</v>
      </c>
      <c r="AA907" s="97">
        <f>IF($Z907&gt;0,VLOOKUP($J907,Ruimtegroepen[],3,FALSE)*VLOOKUP($L907,Vloersoorten[],3,FALSE)*VLOOKUP($Y907,Frequenties[],3,FALSE)*VLOOKUP(Ruimtestaat[[#This Row],[Code]],Locaties[],3,FALSE),0)</f>
        <v>0</v>
      </c>
      <c r="AB907" s="97">
        <f>Ruimtestaat[[#This Row],[Uitvoeringen weekend]]*Ruimtestaat[[#This Row],[Oppervlak (netto)]]</f>
        <v>0</v>
      </c>
      <c r="AC907" s="97">
        <f>IF(AA907&gt;0,Ruimtestaat[[#This Row],[Prest. (m2 /jaar) weekend]]/Ruimtestaat[[#This Row],[Norm (m2/uur) weekend]],0)</f>
        <v>0</v>
      </c>
      <c r="AD907" s="155">
        <f>Ruimtestaat[[#This Row],[uren / jaar weekend]]*Tariefsopbouw!$D$40</f>
        <v>0</v>
      </c>
      <c r="AE907" s="154">
        <f>Ruimtestaat[[#This Row],[Prest. (m2 /jaar) weekend]]+Ruimtestaat[[#This Row],[Prest. (m2 /jaar) werkdagen]]</f>
        <v>2980</v>
      </c>
      <c r="AF907" s="154">
        <f>Ruimtestaat[[#This Row],[uren / jaar weekend]]+Ruimtestaat[[#This Row],[uren / jaar werkdagen]]</f>
        <v>0</v>
      </c>
      <c r="AG907" s="69">
        <f>Ruimtestaat[[#This Row],[kosten / jaar weekend]]+Ruimtestaat[[#This Row],[kosten / jaar werkdagen]]</f>
        <v>0</v>
      </c>
      <c r="AH907" s="69"/>
      <c r="AI907" s="256" t="str">
        <f>IF(Ruimtestaat[[#This Row],[Frequentie werkdagen]]="","",_xlfn.CONCAT(Ruimtestaat[[#This Row],[Ruimte code]],"-",Ruimtestaat[[#This Row],[Frequentie werkdagen]]," ",Ruimtestaat[[#This Row],[Vloer code]]))</f>
        <v>8-5w L</v>
      </c>
      <c r="AJ907" s="300" t="str">
        <f>_xlfn.IFNA(VLOOKUP($AI907,Programma!$F$3:$G$1107,2,0),"")</f>
        <v>_</v>
      </c>
      <c r="AK907" s="300" t="str">
        <f>_xlfn.IFNA(VLOOKUP($AI907,Programma!$F$3:$H$1107,3,0),"")</f>
        <v>_</v>
      </c>
      <c r="AL907" s="300" t="str">
        <f>_xlfn.IFNA(VLOOKUP($AI907,Programma!$F$3:$I$1107,4,0),"")</f>
        <v>4w</v>
      </c>
      <c r="AM907" s="300" t="str">
        <f>_xlfn.IFNA(VLOOKUP($AI907,Programma!$F$3:$J$1107,5,0),"")</f>
        <v>1w</v>
      </c>
      <c r="AN907" s="300" t="str">
        <f>_xlfn.IFNA(VLOOKUP($AI907,Programma!$F$3:$K$1107,6,0),"")</f>
        <v>_</v>
      </c>
      <c r="AO907" s="300" t="str">
        <f>_xlfn.IFNA(VLOOKUP($AI907,Programma!$F$3:$L$1107,7,0),"")</f>
        <v>_</v>
      </c>
      <c r="AP907" s="300" t="str">
        <f>_xlfn.IFNA(VLOOKUP($AI907,Programma!$F$3:$M$1107,8,0),"")</f>
        <v>_</v>
      </c>
      <c r="AQ907" s="300" t="str">
        <f>_xlfn.IFNA(VLOOKUP($AI907,Programma!$F$3:$N$1107,9,0),"")</f>
        <v>_</v>
      </c>
      <c r="AR907" s="300" t="str">
        <f>_xlfn.IFNA(VLOOKUP($AI907,Programma!$F$3:$O$1107,10,0),"")</f>
        <v>5w</v>
      </c>
      <c r="AS907" s="300" t="str">
        <f>_xlfn.IFNA(VLOOKUP($AI907,Programma!$F$3:$P$1107,11,0),"")</f>
        <v>5w</v>
      </c>
      <c r="AT907" s="300" t="str">
        <f>_xlfn.IFNA(VLOOKUP($AI907,Programma!$F$3:$Q$1107,12,0),"")</f>
        <v>1w</v>
      </c>
      <c r="AU907" s="300" t="str">
        <f>_xlfn.IFNA(VLOOKUP($AI907,Programma!$F$3:$R$1107,13,0),"")</f>
        <v>1w</v>
      </c>
      <c r="AV907" s="300" t="str">
        <f>_xlfn.IFNA(VLOOKUP($AI907,Programma!$F$3:$S$1107,14,0),"")</f>
        <v>1m</v>
      </c>
      <c r="AW907" s="300" t="str">
        <f>_xlfn.IFNA(VLOOKUP($AI907,Programma!$F$3:$T$1107,15,0),"")</f>
        <v>2j</v>
      </c>
      <c r="AX907" s="300" t="str">
        <f>_xlfn.IFNA(VLOOKUP($AI907,Programma!$F$3:$U$1107,16,0),"")</f>
        <v>1j</v>
      </c>
      <c r="AY907" s="300" t="str">
        <f>_xlfn.IFNA(VLOOKUP($AI907,Programma!$F$3:$V$1107,17,0),"")</f>
        <v>_</v>
      </c>
      <c r="AZ907" s="300" t="str">
        <f>_xlfn.IFNA(VLOOKUP($AI907,Programma!$F$3:$W$1107,18,0),"")</f>
        <v>_</v>
      </c>
      <c r="BA907" s="300" t="str">
        <f>_xlfn.IFNA(VLOOKUP($AI907,Programma!$F$3:$X$1107,19,0),"")</f>
        <v>_</v>
      </c>
      <c r="BB907" s="300" t="str">
        <f>_xlfn.IFNA(VLOOKUP($AI907,Programma!$F$3:$Y$1107,20,0),"")</f>
        <v>_</v>
      </c>
      <c r="BC907" s="257"/>
      <c r="BD907" s="256" t="str">
        <f>IF(Ruimtestaat[[#This Row],[Frequentie weekend]]="","",_xlfn.CONCAT(Ruimtestaat[[#This Row],[Ruimte code]],"-",Ruimtestaat[[#This Row],[Frequentie weekend]]," ",Ruimtestaat[[#This Row],[Vloer code]]))</f>
        <v/>
      </c>
      <c r="BE907" s="300" t="str">
        <f>_xlfn.IFNA(VLOOKUP($BD907,Programma!$F$3:$G$1107,2,0),"")</f>
        <v/>
      </c>
      <c r="BF907" s="300" t="str">
        <f>_xlfn.IFNA(VLOOKUP($BD907,Programma!$F$3:$H$1107,3,0),"")</f>
        <v/>
      </c>
      <c r="BG907" s="300" t="str">
        <f>_xlfn.IFNA(VLOOKUP($BD907,Programma!$F$3:$I$1107,4,0),"")</f>
        <v/>
      </c>
      <c r="BH907" s="300" t="str">
        <f>_xlfn.IFNA(VLOOKUP($BD907,Programma!$F$3:$J$1107,5,0),"")</f>
        <v/>
      </c>
      <c r="BI907" s="300" t="str">
        <f>_xlfn.IFNA(VLOOKUP($BD907,Programma!$F$3:$K$1107,6,0),"")</f>
        <v/>
      </c>
      <c r="BJ907" s="300" t="str">
        <f>_xlfn.IFNA(VLOOKUP($BD907,Programma!$F$3:$L$1107,7,0),"")</f>
        <v/>
      </c>
      <c r="BK907" s="300" t="str">
        <f>_xlfn.IFNA(VLOOKUP($BD907,Programma!$F$3:$M$1107,8,0),"")</f>
        <v/>
      </c>
      <c r="BL907" s="300" t="str">
        <f>_xlfn.IFNA(VLOOKUP($BD907,Programma!$F$3:$N$1107,9,0),"")</f>
        <v/>
      </c>
      <c r="BM907" s="300" t="str">
        <f>_xlfn.IFNA(VLOOKUP($BD907,Programma!$F$3:$O$1107,10,0),"")</f>
        <v/>
      </c>
      <c r="BN907" s="300" t="str">
        <f>_xlfn.IFNA(VLOOKUP($BD907,Programma!$F$3:$P$1107,11,0),"")</f>
        <v/>
      </c>
      <c r="BO907" s="300" t="str">
        <f>_xlfn.IFNA(VLOOKUP($BD907,Programma!$F$3:$Q$1107,12,0),"")</f>
        <v/>
      </c>
      <c r="BP907" s="300" t="str">
        <f>_xlfn.IFNA(VLOOKUP($BD907,Programma!$F$3:$R$1107,13,0),"")</f>
        <v/>
      </c>
      <c r="BQ907" s="300" t="str">
        <f>_xlfn.IFNA(VLOOKUP($BD907,Programma!$F$3:$S$1107,14,0),"")</f>
        <v/>
      </c>
      <c r="BR907" s="300" t="str">
        <f>_xlfn.IFNA(VLOOKUP($BD907,Programma!$F$3:$T$1107,15,0),"")</f>
        <v/>
      </c>
      <c r="BS907" s="300" t="str">
        <f>_xlfn.IFNA(VLOOKUP($BD907,Programma!$F$3:$U$1107,16,0),"")</f>
        <v/>
      </c>
      <c r="BT907" s="300" t="str">
        <f>_xlfn.IFNA(VLOOKUP($BD907,Programma!$F$3:$V$1107,17,0),"")</f>
        <v/>
      </c>
      <c r="BU907" s="300" t="str">
        <f>_xlfn.IFNA(VLOOKUP($BD907,Programma!$F$3:$W$1107,18,0),"")</f>
        <v/>
      </c>
      <c r="BV907" s="300" t="str">
        <f>_xlfn.IFNA(VLOOKUP($BD907,Programma!$F$3:$X$1107,19,0),"")</f>
        <v/>
      </c>
      <c r="BW907" s="300" t="str">
        <f>_xlfn.IFNA(VLOOKUP($BD907,Programma!$F$3:$Y$1107,20,0),"")</f>
        <v/>
      </c>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c r="GK907" s="4"/>
      <c r="GL907" s="4"/>
      <c r="GM907" s="4"/>
      <c r="GN907" s="4"/>
      <c r="GO907" s="4"/>
      <c r="GP907" s="4"/>
      <c r="GQ907" s="4"/>
      <c r="GR907" s="4"/>
      <c r="GS907" s="4"/>
      <c r="GT907" s="4"/>
      <c r="GU907" s="4"/>
      <c r="GV907" s="4"/>
      <c r="GW907" s="4"/>
      <c r="GX907" s="4"/>
      <c r="GY907" s="4"/>
      <c r="GZ907" s="4"/>
      <c r="HA907" s="4"/>
      <c r="HB907" s="4"/>
      <c r="HC907" s="4"/>
      <c r="HD907" s="4"/>
      <c r="HE907" s="4"/>
      <c r="HF907" s="4"/>
      <c r="HG907" s="4"/>
      <c r="HH907" s="4"/>
      <c r="HI907" s="4"/>
      <c r="HJ907" s="4"/>
      <c r="HK907" s="4"/>
      <c r="HL907" s="4"/>
    </row>
    <row r="908" spans="1:220" ht="15" customHeight="1">
      <c r="A908" s="21">
        <v>10</v>
      </c>
      <c r="B908" s="157" t="str">
        <f>VLOOKUP(Ruimtestaat[[#This Row],[Code]],Locaties[[Code]:[Locatie]],2,FALSE)</f>
        <v>Veurs Voorburg vmbo</v>
      </c>
      <c r="C908" s="157" t="str">
        <f>VLOOKUP(Ruimtestaat[[#This Row],[Code]],Locaties[[#All],[Code]:[Adres]],4,FALSE)</f>
        <v>Delflandlaan 4</v>
      </c>
      <c r="D908" s="157" t="str">
        <f>VLOOKUP(Ruimtestaat[[#This Row],[Code]],Locaties[[#All],[Code]:[Postcode]],5,FALSE)</f>
        <v>2273 CS</v>
      </c>
      <c r="E908" s="157" t="str">
        <f>VLOOKUP(Ruimtestaat[[#This Row],[Code]],Locaties[#All],6,FALSE)</f>
        <v>Voorburg</v>
      </c>
      <c r="F908" s="62"/>
      <c r="G908" s="21" t="s">
        <v>1749</v>
      </c>
      <c r="H908" s="21" t="s">
        <v>2351</v>
      </c>
      <c r="I908" s="62" t="s">
        <v>2398</v>
      </c>
      <c r="J908" s="21">
        <v>14</v>
      </c>
      <c r="K908" s="62" t="str">
        <f>VLOOKUP(Ruimtestaat[[#This Row],[Ruimte code]],Ruimtegroepen[[#All],[Code]:[Ruimte omschrijving]],2,FALSE)</f>
        <v>Praktijklokalen binas/zorg</v>
      </c>
      <c r="L908" s="33" t="s">
        <v>103</v>
      </c>
      <c r="M908" s="367" t="s">
        <v>2528</v>
      </c>
      <c r="N908" s="140">
        <v>20.5</v>
      </c>
      <c r="O908" s="140"/>
      <c r="P908" s="125" t="str">
        <f>VLOOKUP(Ruimtestaat[[#This Row],[Ruimte code]],Ruimtegroepen[],4,FALSE)</f>
        <v>Le</v>
      </c>
      <c r="R908" s="33">
        <v>40</v>
      </c>
      <c r="S908" s="33" t="s">
        <v>2</v>
      </c>
      <c r="T908" s="33">
        <f>IF(R908&gt;0,IF(RIGHT(Ruimtestaat[[#This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08" s="33">
        <f>IF(T908&gt;0,VLOOKUP($J908,Ruimtegroepen[],3,FALSE)*VLOOKUP($L908,Vloersoorten[],3,FALSE)*VLOOKUP($S908,Frequenties[],3,FALSE)*VLOOKUP($A908,Locaties[],3,FALSE),0)</f>
        <v>0</v>
      </c>
      <c r="V908" s="33">
        <f>Ruimtestaat[[#This Row],[Uitvoeringen werkdagen]]*Ruimtestaat[[#This Row],[Oppervlak (netto)]]</f>
        <v>4100</v>
      </c>
      <c r="W908" s="154">
        <f>IF(U908&gt;0,Ruimtestaat[[#This Row],[Prest. (m2 /jaar) werkdagen]]/Ruimtestaat[[#This Row],[Norm (m2/uur) werkdagen]],0)</f>
        <v>0</v>
      </c>
      <c r="X908" s="155">
        <f>Ruimtestaat[[#This Row],[uren / jaar werkdagen]]*Tariefsopbouw!$E$35</f>
        <v>0</v>
      </c>
      <c r="Y908" s="33"/>
      <c r="Z908" s="33">
        <f>IF(Ruimtestaat[[#This Row],[Frequentie weekend]]&gt;0,VALUE(LEFT(Y908,1))*R908,0)</f>
        <v>0</v>
      </c>
      <c r="AA908" s="97">
        <f>IF($Z908&gt;0,VLOOKUP($J908,Ruimtegroepen[],3,FALSE)*VLOOKUP($L908,Vloersoorten[],3,FALSE)*VLOOKUP($Y908,Frequenties[],3,FALSE)*VLOOKUP(Ruimtestaat[[#This Row],[Code]],Locaties[],3,FALSE),0)</f>
        <v>0</v>
      </c>
      <c r="AB908" s="97">
        <f>Ruimtestaat[[#This Row],[Uitvoeringen weekend]]*Ruimtestaat[[#This Row],[Oppervlak (netto)]]</f>
        <v>0</v>
      </c>
      <c r="AC908" s="97">
        <f>IF(AA908&gt;0,Ruimtestaat[[#This Row],[Prest. (m2 /jaar) weekend]]/Ruimtestaat[[#This Row],[Norm (m2/uur) weekend]],0)</f>
        <v>0</v>
      </c>
      <c r="AD908" s="155">
        <f>Ruimtestaat[[#This Row],[uren / jaar weekend]]*Tariefsopbouw!$D$40</f>
        <v>0</v>
      </c>
      <c r="AE908" s="154">
        <f>Ruimtestaat[[#This Row],[Prest. (m2 /jaar) weekend]]+Ruimtestaat[[#This Row],[Prest. (m2 /jaar) werkdagen]]</f>
        <v>4100</v>
      </c>
      <c r="AF908" s="154">
        <f>Ruimtestaat[[#This Row],[uren / jaar weekend]]+Ruimtestaat[[#This Row],[uren / jaar werkdagen]]</f>
        <v>0</v>
      </c>
      <c r="AG908" s="69">
        <f>Ruimtestaat[[#This Row],[kosten / jaar weekend]]+Ruimtestaat[[#This Row],[kosten / jaar werkdagen]]</f>
        <v>0</v>
      </c>
      <c r="AH908" s="69"/>
      <c r="AI908" s="256" t="str">
        <f>IF(Ruimtestaat[[#This Row],[Frequentie werkdagen]]="","",_xlfn.CONCAT(Ruimtestaat[[#This Row],[Ruimte code]],"-",Ruimtestaat[[#This Row],[Frequentie werkdagen]]," ",Ruimtestaat[[#This Row],[Vloer code]]))</f>
        <v>14-5w P</v>
      </c>
      <c r="AJ908" s="300" t="str">
        <f>_xlfn.IFNA(VLOOKUP($AI908,Programma!$F$3:$G$1107,2,0),"")</f>
        <v>_</v>
      </c>
      <c r="AK908" s="300" t="str">
        <f>_xlfn.IFNA(VLOOKUP($AI908,Programma!$F$3:$H$1107,3,0),"")</f>
        <v>_</v>
      </c>
      <c r="AL908" s="300" t="str">
        <f>_xlfn.IFNA(VLOOKUP($AI908,Programma!$F$3:$I$1107,4,0),"")</f>
        <v>5w</v>
      </c>
      <c r="AM908" s="300" t="str">
        <f>_xlfn.IFNA(VLOOKUP($AI908,Programma!$F$3:$J$1107,5,0),"")</f>
        <v>_</v>
      </c>
      <c r="AN908" s="300" t="str">
        <f>_xlfn.IFNA(VLOOKUP($AI908,Programma!$F$3:$K$1107,6,0),"")</f>
        <v>5w</v>
      </c>
      <c r="AO908" s="300" t="str">
        <f>_xlfn.IFNA(VLOOKUP($AI908,Programma!$F$3:$L$1107,7,0),"")</f>
        <v>_</v>
      </c>
      <c r="AP908" s="300" t="str">
        <f>_xlfn.IFNA(VLOOKUP($AI908,Programma!$F$3:$M$1107,8,0),"")</f>
        <v>_</v>
      </c>
      <c r="AQ908" s="300" t="str">
        <f>_xlfn.IFNA(VLOOKUP($AI908,Programma!$F$3:$N$1107,9,0),"")</f>
        <v>_</v>
      </c>
      <c r="AR908" s="300" t="str">
        <f>_xlfn.IFNA(VLOOKUP($AI908,Programma!$F$3:$O$1107,10,0),"")</f>
        <v>5w</v>
      </c>
      <c r="AS908" s="300" t="str">
        <f>_xlfn.IFNA(VLOOKUP($AI908,Programma!$F$3:$P$1107,11,0),"")</f>
        <v>5w</v>
      </c>
      <c r="AT908" s="300" t="str">
        <f>_xlfn.IFNA(VLOOKUP($AI908,Programma!$F$3:$Q$1107,12,0),"")</f>
        <v>1w</v>
      </c>
      <c r="AU908" s="300" t="str">
        <f>_xlfn.IFNA(VLOOKUP($AI908,Programma!$F$3:$R$1107,13,0),"")</f>
        <v>1w</v>
      </c>
      <c r="AV908" s="300" t="str">
        <f>_xlfn.IFNA(VLOOKUP($AI908,Programma!$F$3:$S$1107,14,0),"")</f>
        <v>1m</v>
      </c>
      <c r="AW908" s="300" t="str">
        <f>_xlfn.IFNA(VLOOKUP($AI908,Programma!$F$3:$T$1107,15,0),"")</f>
        <v>2j</v>
      </c>
      <c r="AX908" s="300" t="str">
        <f>_xlfn.IFNA(VLOOKUP($AI908,Programma!$F$3:$U$1107,16,0),"")</f>
        <v>1j</v>
      </c>
      <c r="AY908" s="300" t="str">
        <f>_xlfn.IFNA(VLOOKUP($AI908,Programma!$F$3:$V$1107,17,0),"")</f>
        <v>_</v>
      </c>
      <c r="AZ908" s="300" t="str">
        <f>_xlfn.IFNA(VLOOKUP($AI908,Programma!$F$3:$W$1107,18,0),"")</f>
        <v>_</v>
      </c>
      <c r="BA908" s="300" t="str">
        <f>_xlfn.IFNA(VLOOKUP($AI908,Programma!$F$3:$X$1107,19,0),"")</f>
        <v>_</v>
      </c>
      <c r="BB908" s="300" t="str">
        <f>_xlfn.IFNA(VLOOKUP($AI908,Programma!$F$3:$Y$1107,20,0),"")</f>
        <v>_</v>
      </c>
      <c r="BC908" s="257"/>
      <c r="BD908" s="256" t="str">
        <f>IF(Ruimtestaat[[#This Row],[Frequentie weekend]]="","",_xlfn.CONCAT(Ruimtestaat[[#This Row],[Ruimte code]],"-",Ruimtestaat[[#This Row],[Frequentie weekend]]," ",Ruimtestaat[[#This Row],[Vloer code]]))</f>
        <v/>
      </c>
      <c r="BE908" s="300" t="str">
        <f>_xlfn.IFNA(VLOOKUP($BD908,Programma!$F$3:$G$1107,2,0),"")</f>
        <v/>
      </c>
      <c r="BF908" s="300" t="str">
        <f>_xlfn.IFNA(VLOOKUP($BD908,Programma!$F$3:$H$1107,3,0),"")</f>
        <v/>
      </c>
      <c r="BG908" s="300" t="str">
        <f>_xlfn.IFNA(VLOOKUP($BD908,Programma!$F$3:$I$1107,4,0),"")</f>
        <v/>
      </c>
      <c r="BH908" s="300" t="str">
        <f>_xlfn.IFNA(VLOOKUP($BD908,Programma!$F$3:$J$1107,5,0),"")</f>
        <v/>
      </c>
      <c r="BI908" s="300" t="str">
        <f>_xlfn.IFNA(VLOOKUP($BD908,Programma!$F$3:$K$1107,6,0),"")</f>
        <v/>
      </c>
      <c r="BJ908" s="300" t="str">
        <f>_xlfn.IFNA(VLOOKUP($BD908,Programma!$F$3:$L$1107,7,0),"")</f>
        <v/>
      </c>
      <c r="BK908" s="300" t="str">
        <f>_xlfn.IFNA(VLOOKUP($BD908,Programma!$F$3:$M$1107,8,0),"")</f>
        <v/>
      </c>
      <c r="BL908" s="300" t="str">
        <f>_xlfn.IFNA(VLOOKUP($BD908,Programma!$F$3:$N$1107,9,0),"")</f>
        <v/>
      </c>
      <c r="BM908" s="300" t="str">
        <f>_xlfn.IFNA(VLOOKUP($BD908,Programma!$F$3:$O$1107,10,0),"")</f>
        <v/>
      </c>
      <c r="BN908" s="300" t="str">
        <f>_xlfn.IFNA(VLOOKUP($BD908,Programma!$F$3:$P$1107,11,0),"")</f>
        <v/>
      </c>
      <c r="BO908" s="300" t="str">
        <f>_xlfn.IFNA(VLOOKUP($BD908,Programma!$F$3:$Q$1107,12,0),"")</f>
        <v/>
      </c>
      <c r="BP908" s="300" t="str">
        <f>_xlfn.IFNA(VLOOKUP($BD908,Programma!$F$3:$R$1107,13,0),"")</f>
        <v/>
      </c>
      <c r="BQ908" s="300" t="str">
        <f>_xlfn.IFNA(VLOOKUP($BD908,Programma!$F$3:$S$1107,14,0),"")</f>
        <v/>
      </c>
      <c r="BR908" s="300" t="str">
        <f>_xlfn.IFNA(VLOOKUP($BD908,Programma!$F$3:$T$1107,15,0),"")</f>
        <v/>
      </c>
      <c r="BS908" s="300" t="str">
        <f>_xlfn.IFNA(VLOOKUP($BD908,Programma!$F$3:$U$1107,16,0),"")</f>
        <v/>
      </c>
      <c r="BT908" s="300" t="str">
        <f>_xlfn.IFNA(VLOOKUP($BD908,Programma!$F$3:$V$1107,17,0),"")</f>
        <v/>
      </c>
      <c r="BU908" s="300" t="str">
        <f>_xlfn.IFNA(VLOOKUP($BD908,Programma!$F$3:$W$1107,18,0),"")</f>
        <v/>
      </c>
      <c r="BV908" s="300" t="str">
        <f>_xlfn.IFNA(VLOOKUP($BD908,Programma!$F$3:$X$1107,19,0),"")</f>
        <v/>
      </c>
      <c r="BW908" s="300" t="str">
        <f>_xlfn.IFNA(VLOOKUP($BD908,Programma!$F$3:$Y$1107,20,0),"")</f>
        <v/>
      </c>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c r="DE908" s="4"/>
      <c r="DF908" s="4"/>
      <c r="DG908" s="4"/>
      <c r="DH908" s="4"/>
      <c r="DI908" s="4"/>
      <c r="DJ908" s="4"/>
      <c r="DK908" s="4"/>
      <c r="DL908" s="4"/>
      <c r="DM908" s="4"/>
      <c r="DN908" s="4"/>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4"/>
      <c r="EO908" s="4"/>
      <c r="EP908" s="4"/>
      <c r="EQ908" s="4"/>
      <c r="ER908" s="4"/>
      <c r="ES908" s="4"/>
      <c r="ET908" s="4"/>
      <c r="EU908" s="4"/>
      <c r="EV908" s="4"/>
      <c r="EW908" s="4"/>
      <c r="EX908" s="4"/>
      <c r="EY908" s="4"/>
      <c r="EZ908" s="4"/>
      <c r="FA908" s="4"/>
      <c r="FB908" s="4"/>
      <c r="FC908" s="4"/>
      <c r="FD908" s="4"/>
      <c r="FE908" s="4"/>
      <c r="FF908" s="4"/>
      <c r="FG908" s="4"/>
      <c r="FH908" s="4"/>
      <c r="FI908" s="4"/>
      <c r="FJ908" s="4"/>
      <c r="FK908" s="4"/>
      <c r="FL908" s="4"/>
      <c r="FM908" s="4"/>
      <c r="FN908" s="4"/>
      <c r="FO908" s="4"/>
      <c r="FP908" s="4"/>
      <c r="FQ908" s="4"/>
      <c r="FR908" s="4"/>
      <c r="FS908" s="4"/>
      <c r="FT908" s="4"/>
      <c r="FU908" s="4"/>
      <c r="FV908" s="4"/>
      <c r="FW908" s="4"/>
      <c r="FX908" s="4"/>
      <c r="FY908" s="4"/>
      <c r="FZ908" s="4"/>
      <c r="GA908" s="4"/>
      <c r="GB908" s="4"/>
      <c r="GC908" s="4"/>
      <c r="GD908" s="4"/>
      <c r="GE908" s="4"/>
      <c r="GF908" s="4"/>
      <c r="GG908" s="4"/>
      <c r="GH908" s="4"/>
      <c r="GI908" s="4"/>
      <c r="GJ908" s="4"/>
      <c r="GK908" s="4"/>
      <c r="GL908" s="4"/>
      <c r="GM908" s="4"/>
      <c r="GN908" s="4"/>
      <c r="GO908" s="4"/>
      <c r="GP908" s="4"/>
      <c r="GQ908" s="4"/>
      <c r="GR908" s="4"/>
      <c r="GS908" s="4"/>
      <c r="GT908" s="4"/>
      <c r="GU908" s="4"/>
      <c r="GV908" s="4"/>
      <c r="GW908" s="4"/>
      <c r="GX908" s="4"/>
      <c r="GY908" s="4"/>
      <c r="GZ908" s="4"/>
      <c r="HA908" s="4"/>
      <c r="HB908" s="4"/>
      <c r="HC908" s="4"/>
      <c r="HD908" s="4"/>
      <c r="HE908" s="4"/>
      <c r="HF908" s="4"/>
      <c r="HG908" s="4"/>
      <c r="HH908" s="4"/>
      <c r="HI908" s="4"/>
      <c r="HJ908" s="4"/>
      <c r="HK908" s="4"/>
      <c r="HL908" s="4"/>
    </row>
    <row r="909" spans="1:220" ht="15" customHeight="1">
      <c r="A909" s="21">
        <v>10</v>
      </c>
      <c r="B909" s="157" t="str">
        <f>VLOOKUP(Ruimtestaat[[#This Row],[Code]],Locaties[[Code]:[Locatie]],2,FALSE)</f>
        <v>Veurs Voorburg vmbo</v>
      </c>
      <c r="C909" s="157" t="str">
        <f>VLOOKUP(Ruimtestaat[[#This Row],[Code]],Locaties[[#All],[Code]:[Adres]],4,FALSE)</f>
        <v>Delflandlaan 4</v>
      </c>
      <c r="D909" s="157" t="str">
        <f>VLOOKUP(Ruimtestaat[[#This Row],[Code]],Locaties[[#All],[Code]:[Postcode]],5,FALSE)</f>
        <v>2273 CS</v>
      </c>
      <c r="E909" s="157" t="str">
        <f>VLOOKUP(Ruimtestaat[[#This Row],[Code]],Locaties[#All],6,FALSE)</f>
        <v>Voorburg</v>
      </c>
      <c r="F909" s="62"/>
      <c r="G909" s="21" t="s">
        <v>1749</v>
      </c>
      <c r="H909" s="21" t="s">
        <v>2352</v>
      </c>
      <c r="I909" s="62" t="s">
        <v>2399</v>
      </c>
      <c r="J909" s="21">
        <v>11</v>
      </c>
      <c r="K909" s="62" t="str">
        <f>VLOOKUP(Ruimtestaat[[#This Row],[Ruimte code]],Ruimtegroepen[[#All],[Code]:[Ruimte omschrijving]],2,FALSE)</f>
        <v>Kooklokaal/leskeuken</v>
      </c>
      <c r="L909" s="33" t="s">
        <v>103</v>
      </c>
      <c r="M909" s="367" t="s">
        <v>2528</v>
      </c>
      <c r="N909" s="140">
        <v>60.9</v>
      </c>
      <c r="O909" s="140"/>
      <c r="P909" s="125" t="str">
        <f>VLOOKUP(Ruimtestaat[[#This Row],[Ruimte code]],Ruimtegroepen[],4,FALSE)</f>
        <v>Le</v>
      </c>
      <c r="R909" s="33">
        <v>40</v>
      </c>
      <c r="S909" s="33" t="s">
        <v>2</v>
      </c>
      <c r="T909" s="33">
        <f>IF(R909&gt;0,IF(RIGHT(Ruimtestaat[[#This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09" s="33">
        <f>IF(T909&gt;0,VLOOKUP($J909,Ruimtegroepen[],3,FALSE)*VLOOKUP($L909,Vloersoorten[],3,FALSE)*VLOOKUP($S909,Frequenties[],3,FALSE)*VLOOKUP($A909,Locaties[],3,FALSE),0)</f>
        <v>0</v>
      </c>
      <c r="V909" s="33">
        <f>Ruimtestaat[[#This Row],[Uitvoeringen werkdagen]]*Ruimtestaat[[#This Row],[Oppervlak (netto)]]</f>
        <v>12180</v>
      </c>
      <c r="W909" s="154">
        <f>IF(U909&gt;0,Ruimtestaat[[#This Row],[Prest. (m2 /jaar) werkdagen]]/Ruimtestaat[[#This Row],[Norm (m2/uur) werkdagen]],0)</f>
        <v>0</v>
      </c>
      <c r="X909" s="155">
        <f>Ruimtestaat[[#This Row],[uren / jaar werkdagen]]*Tariefsopbouw!$E$35</f>
        <v>0</v>
      </c>
      <c r="Y909" s="33"/>
      <c r="Z909" s="33">
        <f>IF(Ruimtestaat[[#This Row],[Frequentie weekend]]&gt;0,VALUE(LEFT(Y909,1))*R909,0)</f>
        <v>0</v>
      </c>
      <c r="AA909" s="97">
        <f>IF($Z909&gt;0,VLOOKUP($J909,Ruimtegroepen[],3,FALSE)*VLOOKUP($L909,Vloersoorten[],3,FALSE)*VLOOKUP($Y909,Frequenties[],3,FALSE)*VLOOKUP(Ruimtestaat[[#This Row],[Code]],Locaties[],3,FALSE),0)</f>
        <v>0</v>
      </c>
      <c r="AB909" s="97">
        <f>Ruimtestaat[[#This Row],[Uitvoeringen weekend]]*Ruimtestaat[[#This Row],[Oppervlak (netto)]]</f>
        <v>0</v>
      </c>
      <c r="AC909" s="97">
        <f>IF(AA909&gt;0,Ruimtestaat[[#This Row],[Prest. (m2 /jaar) weekend]]/Ruimtestaat[[#This Row],[Norm (m2/uur) weekend]],0)</f>
        <v>0</v>
      </c>
      <c r="AD909" s="155">
        <f>Ruimtestaat[[#This Row],[uren / jaar weekend]]*Tariefsopbouw!$D$40</f>
        <v>0</v>
      </c>
      <c r="AE909" s="154">
        <f>Ruimtestaat[[#This Row],[Prest. (m2 /jaar) weekend]]+Ruimtestaat[[#This Row],[Prest. (m2 /jaar) werkdagen]]</f>
        <v>12180</v>
      </c>
      <c r="AF909" s="154">
        <f>Ruimtestaat[[#This Row],[uren / jaar weekend]]+Ruimtestaat[[#This Row],[uren / jaar werkdagen]]</f>
        <v>0</v>
      </c>
      <c r="AG909" s="69">
        <f>Ruimtestaat[[#This Row],[kosten / jaar weekend]]+Ruimtestaat[[#This Row],[kosten / jaar werkdagen]]</f>
        <v>0</v>
      </c>
      <c r="AH909" s="69"/>
      <c r="AI909" s="256" t="str">
        <f>IF(Ruimtestaat[[#This Row],[Frequentie werkdagen]]="","",_xlfn.CONCAT(Ruimtestaat[[#This Row],[Ruimte code]],"-",Ruimtestaat[[#This Row],[Frequentie werkdagen]]," ",Ruimtestaat[[#This Row],[Vloer code]]))</f>
        <v>11-5w P</v>
      </c>
      <c r="AJ909" s="300" t="str">
        <f>_xlfn.IFNA(VLOOKUP($AI909,Programma!$F$3:$G$1107,2,0),"")</f>
        <v>_</v>
      </c>
      <c r="AK909" s="300" t="str">
        <f>_xlfn.IFNA(VLOOKUP($AI909,Programma!$F$3:$H$1107,3,0),"")</f>
        <v>_</v>
      </c>
      <c r="AL909" s="300" t="str">
        <f>_xlfn.IFNA(VLOOKUP($AI909,Programma!$F$3:$I$1107,4,0),"")</f>
        <v>5w</v>
      </c>
      <c r="AM909" s="300" t="str">
        <f>_xlfn.IFNA(VLOOKUP($AI909,Programma!$F$3:$J$1107,5,0),"")</f>
        <v>_</v>
      </c>
      <c r="AN909" s="300" t="str">
        <f>_xlfn.IFNA(VLOOKUP($AI909,Programma!$F$3:$K$1107,6,0),"")</f>
        <v>5w</v>
      </c>
      <c r="AO909" s="300" t="str">
        <f>_xlfn.IFNA(VLOOKUP($AI909,Programma!$F$3:$L$1107,7,0),"")</f>
        <v>_</v>
      </c>
      <c r="AP909" s="300" t="str">
        <f>_xlfn.IFNA(VLOOKUP($AI909,Programma!$F$3:$M$1107,8,0),"")</f>
        <v>_</v>
      </c>
      <c r="AQ909" s="300" t="str">
        <f>_xlfn.IFNA(VLOOKUP($AI909,Programma!$F$3:$N$1107,9,0),"")</f>
        <v>_</v>
      </c>
      <c r="AR909" s="300" t="str">
        <f>_xlfn.IFNA(VLOOKUP($AI909,Programma!$F$3:$O$1107,10,0),"")</f>
        <v>5w</v>
      </c>
      <c r="AS909" s="300" t="str">
        <f>_xlfn.IFNA(VLOOKUP($AI909,Programma!$F$3:$P$1107,11,0),"")</f>
        <v>5w</v>
      </c>
      <c r="AT909" s="300" t="str">
        <f>_xlfn.IFNA(VLOOKUP($AI909,Programma!$F$3:$Q$1107,12,0),"")</f>
        <v>1w</v>
      </c>
      <c r="AU909" s="300" t="str">
        <f>_xlfn.IFNA(VLOOKUP($AI909,Programma!$F$3:$R$1107,13,0),"")</f>
        <v>1w</v>
      </c>
      <c r="AV909" s="300" t="str">
        <f>_xlfn.IFNA(VLOOKUP($AI909,Programma!$F$3:$S$1107,14,0),"")</f>
        <v>1m</v>
      </c>
      <c r="AW909" s="300" t="str">
        <f>_xlfn.IFNA(VLOOKUP($AI909,Programma!$F$3:$T$1107,15,0),"")</f>
        <v>2j</v>
      </c>
      <c r="AX909" s="300" t="str">
        <f>_xlfn.IFNA(VLOOKUP($AI909,Programma!$F$3:$U$1107,16,0),"")</f>
        <v>1j</v>
      </c>
      <c r="AY909" s="300" t="str">
        <f>_xlfn.IFNA(VLOOKUP($AI909,Programma!$F$3:$V$1107,17,0),"")</f>
        <v>_</v>
      </c>
      <c r="AZ909" s="300" t="str">
        <f>_xlfn.IFNA(VLOOKUP($AI909,Programma!$F$3:$W$1107,18,0),"")</f>
        <v>_</v>
      </c>
      <c r="BA909" s="300" t="str">
        <f>_xlfn.IFNA(VLOOKUP($AI909,Programma!$F$3:$X$1107,19,0),"")</f>
        <v>_</v>
      </c>
      <c r="BB909" s="300" t="str">
        <f>_xlfn.IFNA(VLOOKUP($AI909,Programma!$F$3:$Y$1107,20,0),"")</f>
        <v>_</v>
      </c>
      <c r="BC909" s="257"/>
      <c r="BD909" s="256" t="str">
        <f>IF(Ruimtestaat[[#This Row],[Frequentie weekend]]="","",_xlfn.CONCAT(Ruimtestaat[[#This Row],[Ruimte code]],"-",Ruimtestaat[[#This Row],[Frequentie weekend]]," ",Ruimtestaat[[#This Row],[Vloer code]]))</f>
        <v/>
      </c>
      <c r="BE909" s="300" t="str">
        <f>_xlfn.IFNA(VLOOKUP($BD909,Programma!$F$3:$G$1107,2,0),"")</f>
        <v/>
      </c>
      <c r="BF909" s="300" t="str">
        <f>_xlfn.IFNA(VLOOKUP($BD909,Programma!$F$3:$H$1107,3,0),"")</f>
        <v/>
      </c>
      <c r="BG909" s="300" t="str">
        <f>_xlfn.IFNA(VLOOKUP($BD909,Programma!$F$3:$I$1107,4,0),"")</f>
        <v/>
      </c>
      <c r="BH909" s="300" t="str">
        <f>_xlfn.IFNA(VLOOKUP($BD909,Programma!$F$3:$J$1107,5,0),"")</f>
        <v/>
      </c>
      <c r="BI909" s="300" t="str">
        <f>_xlfn.IFNA(VLOOKUP($BD909,Programma!$F$3:$K$1107,6,0),"")</f>
        <v/>
      </c>
      <c r="BJ909" s="300" t="str">
        <f>_xlfn.IFNA(VLOOKUP($BD909,Programma!$F$3:$L$1107,7,0),"")</f>
        <v/>
      </c>
      <c r="BK909" s="300" t="str">
        <f>_xlfn.IFNA(VLOOKUP($BD909,Programma!$F$3:$M$1107,8,0),"")</f>
        <v/>
      </c>
      <c r="BL909" s="300" t="str">
        <f>_xlfn.IFNA(VLOOKUP($BD909,Programma!$F$3:$N$1107,9,0),"")</f>
        <v/>
      </c>
      <c r="BM909" s="300" t="str">
        <f>_xlfn.IFNA(VLOOKUP($BD909,Programma!$F$3:$O$1107,10,0),"")</f>
        <v/>
      </c>
      <c r="BN909" s="300" t="str">
        <f>_xlfn.IFNA(VLOOKUP($BD909,Programma!$F$3:$P$1107,11,0),"")</f>
        <v/>
      </c>
      <c r="BO909" s="300" t="str">
        <f>_xlfn.IFNA(VLOOKUP($BD909,Programma!$F$3:$Q$1107,12,0),"")</f>
        <v/>
      </c>
      <c r="BP909" s="300" t="str">
        <f>_xlfn.IFNA(VLOOKUP($BD909,Programma!$F$3:$R$1107,13,0),"")</f>
        <v/>
      </c>
      <c r="BQ909" s="300" t="str">
        <f>_xlfn.IFNA(VLOOKUP($BD909,Programma!$F$3:$S$1107,14,0),"")</f>
        <v/>
      </c>
      <c r="BR909" s="300" t="str">
        <f>_xlfn.IFNA(VLOOKUP($BD909,Programma!$F$3:$T$1107,15,0),"")</f>
        <v/>
      </c>
      <c r="BS909" s="300" t="str">
        <f>_xlfn.IFNA(VLOOKUP($BD909,Programma!$F$3:$U$1107,16,0),"")</f>
        <v/>
      </c>
      <c r="BT909" s="300" t="str">
        <f>_xlfn.IFNA(VLOOKUP($BD909,Programma!$F$3:$V$1107,17,0),"")</f>
        <v/>
      </c>
      <c r="BU909" s="300" t="str">
        <f>_xlfn.IFNA(VLOOKUP($BD909,Programma!$F$3:$W$1107,18,0),"")</f>
        <v/>
      </c>
      <c r="BV909" s="300" t="str">
        <f>_xlfn.IFNA(VLOOKUP($BD909,Programma!$F$3:$X$1107,19,0),"")</f>
        <v/>
      </c>
      <c r="BW909" s="300" t="str">
        <f>_xlfn.IFNA(VLOOKUP($BD909,Programma!$F$3:$Y$1107,20,0),"")</f>
        <v/>
      </c>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c r="GK909" s="4"/>
      <c r="GL909" s="4"/>
      <c r="GM909" s="4"/>
      <c r="GN909" s="4"/>
      <c r="GO909" s="4"/>
      <c r="GP909" s="4"/>
      <c r="GQ909" s="4"/>
      <c r="GR909" s="4"/>
      <c r="GS909" s="4"/>
      <c r="GT909" s="4"/>
      <c r="GU909" s="4"/>
      <c r="GV909" s="4"/>
      <c r="GW909" s="4"/>
      <c r="GX909" s="4"/>
      <c r="GY909" s="4"/>
      <c r="GZ909" s="4"/>
      <c r="HA909" s="4"/>
      <c r="HB909" s="4"/>
      <c r="HC909" s="4"/>
      <c r="HD909" s="4"/>
      <c r="HE909" s="4"/>
      <c r="HF909" s="4"/>
      <c r="HG909" s="4"/>
      <c r="HH909" s="4"/>
      <c r="HI909" s="4"/>
      <c r="HJ909" s="4"/>
      <c r="HK909" s="4"/>
      <c r="HL909" s="4"/>
    </row>
    <row r="910" spans="1:220" ht="15" customHeight="1">
      <c r="A910" s="21">
        <v>10</v>
      </c>
      <c r="B910" s="157" t="str">
        <f>VLOOKUP(Ruimtestaat[[#This Row],[Code]],Locaties[[Code]:[Locatie]],2,FALSE)</f>
        <v>Veurs Voorburg vmbo</v>
      </c>
      <c r="C910" s="157" t="str">
        <f>VLOOKUP(Ruimtestaat[[#This Row],[Code]],Locaties[[#All],[Code]:[Adres]],4,FALSE)</f>
        <v>Delflandlaan 4</v>
      </c>
      <c r="D910" s="157" t="str">
        <f>VLOOKUP(Ruimtestaat[[#This Row],[Code]],Locaties[[#All],[Code]:[Postcode]],5,FALSE)</f>
        <v>2273 CS</v>
      </c>
      <c r="E910" s="157" t="str">
        <f>VLOOKUP(Ruimtestaat[[#This Row],[Code]],Locaties[#All],6,FALSE)</f>
        <v>Voorburg</v>
      </c>
      <c r="F910" s="62"/>
      <c r="G910" s="21" t="s">
        <v>1749</v>
      </c>
      <c r="H910" s="21" t="s">
        <v>2400</v>
      </c>
      <c r="I910" s="62" t="s">
        <v>2401</v>
      </c>
      <c r="J910" s="21">
        <v>14</v>
      </c>
      <c r="K910" s="62" t="str">
        <f>VLOOKUP(Ruimtestaat[[#This Row],[Ruimte code]],Ruimtegroepen[[#All],[Code]:[Ruimte omschrijving]],2,FALSE)</f>
        <v>Praktijklokalen binas/zorg</v>
      </c>
      <c r="L910" s="33" t="s">
        <v>103</v>
      </c>
      <c r="M910" s="367" t="s">
        <v>2527</v>
      </c>
      <c r="N910" s="140">
        <v>11.2</v>
      </c>
      <c r="O910" s="140"/>
      <c r="P910" s="125" t="str">
        <f>VLOOKUP(Ruimtestaat[[#This Row],[Ruimte code]],Ruimtegroepen[],4,FALSE)</f>
        <v>Le</v>
      </c>
      <c r="R910" s="33">
        <v>40</v>
      </c>
      <c r="S910" s="33" t="s">
        <v>2</v>
      </c>
      <c r="T910" s="33">
        <f>IF(R910&gt;0,IF(RIGHT(Ruimtestaat[[#This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10" s="33">
        <f>IF(T910&gt;0,VLOOKUP($J910,Ruimtegroepen[],3,FALSE)*VLOOKUP($L910,Vloersoorten[],3,FALSE)*VLOOKUP($S910,Frequenties[],3,FALSE)*VLOOKUP($A910,Locaties[],3,FALSE),0)</f>
        <v>0</v>
      </c>
      <c r="V910" s="33">
        <f>Ruimtestaat[[#This Row],[Uitvoeringen werkdagen]]*Ruimtestaat[[#This Row],[Oppervlak (netto)]]</f>
        <v>2240</v>
      </c>
      <c r="W910" s="154">
        <f>IF(U910&gt;0,Ruimtestaat[[#This Row],[Prest. (m2 /jaar) werkdagen]]/Ruimtestaat[[#This Row],[Norm (m2/uur) werkdagen]],0)</f>
        <v>0</v>
      </c>
      <c r="X910" s="155">
        <f>Ruimtestaat[[#This Row],[uren / jaar werkdagen]]*Tariefsopbouw!$E$35</f>
        <v>0</v>
      </c>
      <c r="Y910" s="33"/>
      <c r="Z910" s="33">
        <f>IF(Ruimtestaat[[#This Row],[Frequentie weekend]]&gt;0,VALUE(LEFT(Y910,1))*R910,0)</f>
        <v>0</v>
      </c>
      <c r="AA910" s="97">
        <f>IF($Z910&gt;0,VLOOKUP($J910,Ruimtegroepen[],3,FALSE)*VLOOKUP($L910,Vloersoorten[],3,FALSE)*VLOOKUP($Y910,Frequenties[],3,FALSE)*VLOOKUP(Ruimtestaat[[#This Row],[Code]],Locaties[],3,FALSE),0)</f>
        <v>0</v>
      </c>
      <c r="AB910" s="97">
        <f>Ruimtestaat[[#This Row],[Uitvoeringen weekend]]*Ruimtestaat[[#This Row],[Oppervlak (netto)]]</f>
        <v>0</v>
      </c>
      <c r="AC910" s="97">
        <f>IF(AA910&gt;0,Ruimtestaat[[#This Row],[Prest. (m2 /jaar) weekend]]/Ruimtestaat[[#This Row],[Norm (m2/uur) weekend]],0)</f>
        <v>0</v>
      </c>
      <c r="AD910" s="155">
        <f>Ruimtestaat[[#This Row],[uren / jaar weekend]]*Tariefsopbouw!$D$40</f>
        <v>0</v>
      </c>
      <c r="AE910" s="154">
        <f>Ruimtestaat[[#This Row],[Prest. (m2 /jaar) weekend]]+Ruimtestaat[[#This Row],[Prest. (m2 /jaar) werkdagen]]</f>
        <v>2240</v>
      </c>
      <c r="AF910" s="154">
        <f>Ruimtestaat[[#This Row],[uren / jaar weekend]]+Ruimtestaat[[#This Row],[uren / jaar werkdagen]]</f>
        <v>0</v>
      </c>
      <c r="AG910" s="69">
        <f>Ruimtestaat[[#This Row],[kosten / jaar weekend]]+Ruimtestaat[[#This Row],[kosten / jaar werkdagen]]</f>
        <v>0</v>
      </c>
      <c r="AH910" s="69"/>
      <c r="AI910" s="256" t="str">
        <f>IF(Ruimtestaat[[#This Row],[Frequentie werkdagen]]="","",_xlfn.CONCAT(Ruimtestaat[[#This Row],[Ruimte code]],"-",Ruimtestaat[[#This Row],[Frequentie werkdagen]]," ",Ruimtestaat[[#This Row],[Vloer code]]))</f>
        <v>14-5w P</v>
      </c>
      <c r="AJ910" s="300" t="str">
        <f>_xlfn.IFNA(VLOOKUP($AI910,Programma!$F$3:$G$1107,2,0),"")</f>
        <v>_</v>
      </c>
      <c r="AK910" s="300" t="str">
        <f>_xlfn.IFNA(VLOOKUP($AI910,Programma!$F$3:$H$1107,3,0),"")</f>
        <v>_</v>
      </c>
      <c r="AL910" s="300" t="str">
        <f>_xlfn.IFNA(VLOOKUP($AI910,Programma!$F$3:$I$1107,4,0),"")</f>
        <v>5w</v>
      </c>
      <c r="AM910" s="300" t="str">
        <f>_xlfn.IFNA(VLOOKUP($AI910,Programma!$F$3:$J$1107,5,0),"")</f>
        <v>_</v>
      </c>
      <c r="AN910" s="300" t="str">
        <f>_xlfn.IFNA(VLOOKUP($AI910,Programma!$F$3:$K$1107,6,0),"")</f>
        <v>5w</v>
      </c>
      <c r="AO910" s="300" t="str">
        <f>_xlfn.IFNA(VLOOKUP($AI910,Programma!$F$3:$L$1107,7,0),"")</f>
        <v>_</v>
      </c>
      <c r="AP910" s="300" t="str">
        <f>_xlfn.IFNA(VLOOKUP($AI910,Programma!$F$3:$M$1107,8,0),"")</f>
        <v>_</v>
      </c>
      <c r="AQ910" s="300" t="str">
        <f>_xlfn.IFNA(VLOOKUP($AI910,Programma!$F$3:$N$1107,9,0),"")</f>
        <v>_</v>
      </c>
      <c r="AR910" s="300" t="str">
        <f>_xlfn.IFNA(VLOOKUP($AI910,Programma!$F$3:$O$1107,10,0),"")</f>
        <v>5w</v>
      </c>
      <c r="AS910" s="300" t="str">
        <f>_xlfn.IFNA(VLOOKUP($AI910,Programma!$F$3:$P$1107,11,0),"")</f>
        <v>5w</v>
      </c>
      <c r="AT910" s="300" t="str">
        <f>_xlfn.IFNA(VLOOKUP($AI910,Programma!$F$3:$Q$1107,12,0),"")</f>
        <v>1w</v>
      </c>
      <c r="AU910" s="300" t="str">
        <f>_xlfn.IFNA(VLOOKUP($AI910,Programma!$F$3:$R$1107,13,0),"")</f>
        <v>1w</v>
      </c>
      <c r="AV910" s="300" t="str">
        <f>_xlfn.IFNA(VLOOKUP($AI910,Programma!$F$3:$S$1107,14,0),"")</f>
        <v>1m</v>
      </c>
      <c r="AW910" s="300" t="str">
        <f>_xlfn.IFNA(VLOOKUP($AI910,Programma!$F$3:$T$1107,15,0),"")</f>
        <v>2j</v>
      </c>
      <c r="AX910" s="300" t="str">
        <f>_xlfn.IFNA(VLOOKUP($AI910,Programma!$F$3:$U$1107,16,0),"")</f>
        <v>1j</v>
      </c>
      <c r="AY910" s="300" t="str">
        <f>_xlfn.IFNA(VLOOKUP($AI910,Programma!$F$3:$V$1107,17,0),"")</f>
        <v>_</v>
      </c>
      <c r="AZ910" s="300" t="str">
        <f>_xlfn.IFNA(VLOOKUP($AI910,Programma!$F$3:$W$1107,18,0),"")</f>
        <v>_</v>
      </c>
      <c r="BA910" s="300" t="str">
        <f>_xlfn.IFNA(VLOOKUP($AI910,Programma!$F$3:$X$1107,19,0),"")</f>
        <v>_</v>
      </c>
      <c r="BB910" s="300" t="str">
        <f>_xlfn.IFNA(VLOOKUP($AI910,Programma!$F$3:$Y$1107,20,0),"")</f>
        <v>_</v>
      </c>
      <c r="BC910" s="257"/>
      <c r="BD910" s="256" t="str">
        <f>IF(Ruimtestaat[[#This Row],[Frequentie weekend]]="","",_xlfn.CONCAT(Ruimtestaat[[#This Row],[Ruimte code]],"-",Ruimtestaat[[#This Row],[Frequentie weekend]]," ",Ruimtestaat[[#This Row],[Vloer code]]))</f>
        <v/>
      </c>
      <c r="BE910" s="300" t="str">
        <f>_xlfn.IFNA(VLOOKUP($BD910,Programma!$F$3:$G$1107,2,0),"")</f>
        <v/>
      </c>
      <c r="BF910" s="300" t="str">
        <f>_xlfn.IFNA(VLOOKUP($BD910,Programma!$F$3:$H$1107,3,0),"")</f>
        <v/>
      </c>
      <c r="BG910" s="300" t="str">
        <f>_xlfn.IFNA(VLOOKUP($BD910,Programma!$F$3:$I$1107,4,0),"")</f>
        <v/>
      </c>
      <c r="BH910" s="300" t="str">
        <f>_xlfn.IFNA(VLOOKUP($BD910,Programma!$F$3:$J$1107,5,0),"")</f>
        <v/>
      </c>
      <c r="BI910" s="300" t="str">
        <f>_xlfn.IFNA(VLOOKUP($BD910,Programma!$F$3:$K$1107,6,0),"")</f>
        <v/>
      </c>
      <c r="BJ910" s="300" t="str">
        <f>_xlfn.IFNA(VLOOKUP($BD910,Programma!$F$3:$L$1107,7,0),"")</f>
        <v/>
      </c>
      <c r="BK910" s="300" t="str">
        <f>_xlfn.IFNA(VLOOKUP($BD910,Programma!$F$3:$M$1107,8,0),"")</f>
        <v/>
      </c>
      <c r="BL910" s="300" t="str">
        <f>_xlfn.IFNA(VLOOKUP($BD910,Programma!$F$3:$N$1107,9,0),"")</f>
        <v/>
      </c>
      <c r="BM910" s="300" t="str">
        <f>_xlfn.IFNA(VLOOKUP($BD910,Programma!$F$3:$O$1107,10,0),"")</f>
        <v/>
      </c>
      <c r="BN910" s="300" t="str">
        <f>_xlfn.IFNA(VLOOKUP($BD910,Programma!$F$3:$P$1107,11,0),"")</f>
        <v/>
      </c>
      <c r="BO910" s="300" t="str">
        <f>_xlfn.IFNA(VLOOKUP($BD910,Programma!$F$3:$Q$1107,12,0),"")</f>
        <v/>
      </c>
      <c r="BP910" s="300" t="str">
        <f>_xlfn.IFNA(VLOOKUP($BD910,Programma!$F$3:$R$1107,13,0),"")</f>
        <v/>
      </c>
      <c r="BQ910" s="300" t="str">
        <f>_xlfn.IFNA(VLOOKUP($BD910,Programma!$F$3:$S$1107,14,0),"")</f>
        <v/>
      </c>
      <c r="BR910" s="300" t="str">
        <f>_xlfn.IFNA(VLOOKUP($BD910,Programma!$F$3:$T$1107,15,0),"")</f>
        <v/>
      </c>
      <c r="BS910" s="300" t="str">
        <f>_xlfn.IFNA(VLOOKUP($BD910,Programma!$F$3:$U$1107,16,0),"")</f>
        <v/>
      </c>
      <c r="BT910" s="300" t="str">
        <f>_xlfn.IFNA(VLOOKUP($BD910,Programma!$F$3:$V$1107,17,0),"")</f>
        <v/>
      </c>
      <c r="BU910" s="300" t="str">
        <f>_xlfn.IFNA(VLOOKUP($BD910,Programma!$F$3:$W$1107,18,0),"")</f>
        <v/>
      </c>
      <c r="BV910" s="300" t="str">
        <f>_xlfn.IFNA(VLOOKUP($BD910,Programma!$F$3:$X$1107,19,0),"")</f>
        <v/>
      </c>
      <c r="BW910" s="300" t="str">
        <f>_xlfn.IFNA(VLOOKUP($BD910,Programma!$F$3:$Y$1107,20,0),"")</f>
        <v/>
      </c>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c r="GK910" s="4"/>
      <c r="GL910" s="4"/>
      <c r="GM910" s="4"/>
      <c r="GN910" s="4"/>
      <c r="GO910" s="4"/>
      <c r="GP910" s="4"/>
      <c r="GQ910" s="4"/>
      <c r="GR910" s="4"/>
      <c r="GS910" s="4"/>
      <c r="GT910" s="4"/>
      <c r="GU910" s="4"/>
      <c r="GV910" s="4"/>
      <c r="GW910" s="4"/>
      <c r="GX910" s="4"/>
      <c r="GY910" s="4"/>
      <c r="GZ910" s="4"/>
      <c r="HA910" s="4"/>
      <c r="HB910" s="4"/>
      <c r="HC910" s="4"/>
      <c r="HD910" s="4"/>
      <c r="HE910" s="4"/>
      <c r="HF910" s="4"/>
      <c r="HG910" s="4"/>
      <c r="HH910" s="4"/>
      <c r="HI910" s="4"/>
      <c r="HJ910" s="4"/>
      <c r="HK910" s="4"/>
      <c r="HL910" s="4"/>
    </row>
    <row r="911" spans="1:220" ht="15" customHeight="1">
      <c r="A911" s="21">
        <v>10</v>
      </c>
      <c r="B911" s="157" t="str">
        <f>VLOOKUP(Ruimtestaat[[#This Row],[Code]],Locaties[[Code]:[Locatie]],2,FALSE)</f>
        <v>Veurs Voorburg vmbo</v>
      </c>
      <c r="C911" s="157" t="str">
        <f>VLOOKUP(Ruimtestaat[[#This Row],[Code]],Locaties[[#All],[Code]:[Adres]],4,FALSE)</f>
        <v>Delflandlaan 4</v>
      </c>
      <c r="D911" s="157" t="str">
        <f>VLOOKUP(Ruimtestaat[[#This Row],[Code]],Locaties[[#All],[Code]:[Postcode]],5,FALSE)</f>
        <v>2273 CS</v>
      </c>
      <c r="E911" s="157" t="str">
        <f>VLOOKUP(Ruimtestaat[[#This Row],[Code]],Locaties[#All],6,FALSE)</f>
        <v>Voorburg</v>
      </c>
      <c r="F911" s="62"/>
      <c r="G911" s="21" t="s">
        <v>1749</v>
      </c>
      <c r="H911" s="21" t="s">
        <v>2402</v>
      </c>
      <c r="I911" s="62" t="s">
        <v>2403</v>
      </c>
      <c r="J911" s="21">
        <v>19</v>
      </c>
      <c r="K911" s="62" t="str">
        <f>VLOOKUP(Ruimtestaat[[#This Row],[Ruimte code]],Ruimtegroepen[[#All],[Code]:[Ruimte omschrijving]],2,FALSE)</f>
        <v>kleedruimten</v>
      </c>
      <c r="L911" s="33" t="s">
        <v>103</v>
      </c>
      <c r="M911" s="367" t="s">
        <v>2496</v>
      </c>
      <c r="N911" s="140">
        <v>7</v>
      </c>
      <c r="O911" s="140"/>
      <c r="P911" s="125" t="str">
        <f>VLOOKUP(Ruimtestaat[[#This Row],[Ruimte code]],Ruimtegroepen[],4,FALSE)</f>
        <v>Ve</v>
      </c>
      <c r="R911" s="33">
        <v>40</v>
      </c>
      <c r="S911" s="33" t="s">
        <v>2</v>
      </c>
      <c r="T911" s="33">
        <f>IF(R911&gt;0,IF(RIGHT(Ruimtestaat[[#This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11" s="33">
        <f>IF(T911&gt;0,VLOOKUP($J911,Ruimtegroepen[],3,FALSE)*VLOOKUP($L911,Vloersoorten[],3,FALSE)*VLOOKUP($S911,Frequenties[],3,FALSE)*VLOOKUP($A911,Locaties[],3,FALSE),0)</f>
        <v>0</v>
      </c>
      <c r="V911" s="33">
        <f>Ruimtestaat[[#This Row],[Uitvoeringen werkdagen]]*Ruimtestaat[[#This Row],[Oppervlak (netto)]]</f>
        <v>1400</v>
      </c>
      <c r="W911" s="154">
        <f>IF(U911&gt;0,Ruimtestaat[[#This Row],[Prest. (m2 /jaar) werkdagen]]/Ruimtestaat[[#This Row],[Norm (m2/uur) werkdagen]],0)</f>
        <v>0</v>
      </c>
      <c r="X911" s="155">
        <f>Ruimtestaat[[#This Row],[uren / jaar werkdagen]]*Tariefsopbouw!$E$35</f>
        <v>0</v>
      </c>
      <c r="Y911" s="33"/>
      <c r="Z911" s="33">
        <f>IF(Ruimtestaat[[#This Row],[Frequentie weekend]]&gt;0,VALUE(LEFT(Y911,1))*R911,0)</f>
        <v>0</v>
      </c>
      <c r="AA911" s="97">
        <f>IF($Z911&gt;0,VLOOKUP($J911,Ruimtegroepen[],3,FALSE)*VLOOKUP($L911,Vloersoorten[],3,FALSE)*VLOOKUP($Y911,Frequenties[],3,FALSE)*VLOOKUP(Ruimtestaat[[#This Row],[Code]],Locaties[],3,FALSE),0)</f>
        <v>0</v>
      </c>
      <c r="AB911" s="97">
        <f>Ruimtestaat[[#This Row],[Uitvoeringen weekend]]*Ruimtestaat[[#This Row],[Oppervlak (netto)]]</f>
        <v>0</v>
      </c>
      <c r="AC911" s="97">
        <f>IF(AA911&gt;0,Ruimtestaat[[#This Row],[Prest. (m2 /jaar) weekend]]/Ruimtestaat[[#This Row],[Norm (m2/uur) weekend]],0)</f>
        <v>0</v>
      </c>
      <c r="AD911" s="155">
        <f>Ruimtestaat[[#This Row],[uren / jaar weekend]]*Tariefsopbouw!$D$40</f>
        <v>0</v>
      </c>
      <c r="AE911" s="154">
        <f>Ruimtestaat[[#This Row],[Prest. (m2 /jaar) weekend]]+Ruimtestaat[[#This Row],[Prest. (m2 /jaar) werkdagen]]</f>
        <v>1400</v>
      </c>
      <c r="AF911" s="154">
        <f>Ruimtestaat[[#This Row],[uren / jaar weekend]]+Ruimtestaat[[#This Row],[uren / jaar werkdagen]]</f>
        <v>0</v>
      </c>
      <c r="AG911" s="69">
        <f>Ruimtestaat[[#This Row],[kosten / jaar weekend]]+Ruimtestaat[[#This Row],[kosten / jaar werkdagen]]</f>
        <v>0</v>
      </c>
      <c r="AH911" s="69"/>
      <c r="AI911" s="256" t="str">
        <f>IF(Ruimtestaat[[#This Row],[Frequentie werkdagen]]="","",_xlfn.CONCAT(Ruimtestaat[[#This Row],[Ruimte code]],"-",Ruimtestaat[[#This Row],[Frequentie werkdagen]]," ",Ruimtestaat[[#This Row],[Vloer code]]))</f>
        <v>19-5w P</v>
      </c>
      <c r="AJ911" s="300" t="str">
        <f>_xlfn.IFNA(VLOOKUP($AI911,Programma!$F$3:$G$1107,2,0),"")</f>
        <v>_</v>
      </c>
      <c r="AK911" s="300" t="str">
        <f>_xlfn.IFNA(VLOOKUP($AI911,Programma!$F$3:$H$1107,3,0),"")</f>
        <v>_</v>
      </c>
      <c r="AL911" s="300" t="str">
        <f>_xlfn.IFNA(VLOOKUP($AI911,Programma!$F$3:$I$1107,4,0),"")</f>
        <v>5w</v>
      </c>
      <c r="AM911" s="300" t="str">
        <f>_xlfn.IFNA(VLOOKUP($AI911,Programma!$F$3:$J$1107,5,0),"")</f>
        <v>_</v>
      </c>
      <c r="AN911" s="300" t="str">
        <f>_xlfn.IFNA(VLOOKUP($AI911,Programma!$F$3:$K$1107,6,0),"")</f>
        <v>5w</v>
      </c>
      <c r="AO911" s="300" t="str">
        <f>_xlfn.IFNA(VLOOKUP($AI911,Programma!$F$3:$L$1107,7,0),"")</f>
        <v>_</v>
      </c>
      <c r="AP911" s="300" t="str">
        <f>_xlfn.IFNA(VLOOKUP($AI911,Programma!$F$3:$M$1107,8,0),"")</f>
        <v>_</v>
      </c>
      <c r="AQ911" s="300" t="str">
        <f>_xlfn.IFNA(VLOOKUP($AI911,Programma!$F$3:$N$1107,9,0),"")</f>
        <v>_</v>
      </c>
      <c r="AR911" s="300" t="str">
        <f>_xlfn.IFNA(VLOOKUP($AI911,Programma!$F$3:$O$1107,10,0),"")</f>
        <v>5w</v>
      </c>
      <c r="AS911" s="300" t="str">
        <f>_xlfn.IFNA(VLOOKUP($AI911,Programma!$F$3:$P$1107,11,0),"")</f>
        <v>5w</v>
      </c>
      <c r="AT911" s="300" t="str">
        <f>_xlfn.IFNA(VLOOKUP($AI911,Programma!$F$3:$Q$1107,12,0),"")</f>
        <v>1w</v>
      </c>
      <c r="AU911" s="300" t="str">
        <f>_xlfn.IFNA(VLOOKUP($AI911,Programma!$F$3:$R$1107,13,0),"")</f>
        <v>1w</v>
      </c>
      <c r="AV911" s="300" t="str">
        <f>_xlfn.IFNA(VLOOKUP($AI911,Programma!$F$3:$S$1107,14,0),"")</f>
        <v>1m</v>
      </c>
      <c r="AW911" s="300" t="str">
        <f>_xlfn.IFNA(VLOOKUP($AI911,Programma!$F$3:$T$1107,15,0),"")</f>
        <v>2j</v>
      </c>
      <c r="AX911" s="300" t="str">
        <f>_xlfn.IFNA(VLOOKUP($AI911,Programma!$F$3:$U$1107,16,0),"")</f>
        <v>1j</v>
      </c>
      <c r="AY911" s="300" t="str">
        <f>_xlfn.IFNA(VLOOKUP($AI911,Programma!$F$3:$V$1107,17,0),"")</f>
        <v>_</v>
      </c>
      <c r="AZ911" s="300" t="str">
        <f>_xlfn.IFNA(VLOOKUP($AI911,Programma!$F$3:$W$1107,18,0),"")</f>
        <v>_</v>
      </c>
      <c r="BA911" s="300" t="str">
        <f>_xlfn.IFNA(VLOOKUP($AI911,Programma!$F$3:$X$1107,19,0),"")</f>
        <v>_</v>
      </c>
      <c r="BB911" s="300" t="str">
        <f>_xlfn.IFNA(VLOOKUP($AI911,Programma!$F$3:$Y$1107,20,0),"")</f>
        <v>_</v>
      </c>
      <c r="BC911" s="257"/>
      <c r="BD911" s="256" t="str">
        <f>IF(Ruimtestaat[[#This Row],[Frequentie weekend]]="","",_xlfn.CONCAT(Ruimtestaat[[#This Row],[Ruimte code]],"-",Ruimtestaat[[#This Row],[Frequentie weekend]]," ",Ruimtestaat[[#This Row],[Vloer code]]))</f>
        <v/>
      </c>
      <c r="BE911" s="300" t="str">
        <f>_xlfn.IFNA(VLOOKUP($BD911,Programma!$F$3:$G$1107,2,0),"")</f>
        <v/>
      </c>
      <c r="BF911" s="300" t="str">
        <f>_xlfn.IFNA(VLOOKUP($BD911,Programma!$F$3:$H$1107,3,0),"")</f>
        <v/>
      </c>
      <c r="BG911" s="300" t="str">
        <f>_xlfn.IFNA(VLOOKUP($BD911,Programma!$F$3:$I$1107,4,0),"")</f>
        <v/>
      </c>
      <c r="BH911" s="300" t="str">
        <f>_xlfn.IFNA(VLOOKUP($BD911,Programma!$F$3:$J$1107,5,0),"")</f>
        <v/>
      </c>
      <c r="BI911" s="300" t="str">
        <f>_xlfn.IFNA(VLOOKUP($BD911,Programma!$F$3:$K$1107,6,0),"")</f>
        <v/>
      </c>
      <c r="BJ911" s="300" t="str">
        <f>_xlfn.IFNA(VLOOKUP($BD911,Programma!$F$3:$L$1107,7,0),"")</f>
        <v/>
      </c>
      <c r="BK911" s="300" t="str">
        <f>_xlfn.IFNA(VLOOKUP($BD911,Programma!$F$3:$M$1107,8,0),"")</f>
        <v/>
      </c>
      <c r="BL911" s="300" t="str">
        <f>_xlfn.IFNA(VLOOKUP($BD911,Programma!$F$3:$N$1107,9,0),"")</f>
        <v/>
      </c>
      <c r="BM911" s="300" t="str">
        <f>_xlfn.IFNA(VLOOKUP($BD911,Programma!$F$3:$O$1107,10,0),"")</f>
        <v/>
      </c>
      <c r="BN911" s="300" t="str">
        <f>_xlfn.IFNA(VLOOKUP($BD911,Programma!$F$3:$P$1107,11,0),"")</f>
        <v/>
      </c>
      <c r="BO911" s="300" t="str">
        <f>_xlfn.IFNA(VLOOKUP($BD911,Programma!$F$3:$Q$1107,12,0),"")</f>
        <v/>
      </c>
      <c r="BP911" s="300" t="str">
        <f>_xlfn.IFNA(VLOOKUP($BD911,Programma!$F$3:$R$1107,13,0),"")</f>
        <v/>
      </c>
      <c r="BQ911" s="300" t="str">
        <f>_xlfn.IFNA(VLOOKUP($BD911,Programma!$F$3:$S$1107,14,0),"")</f>
        <v/>
      </c>
      <c r="BR911" s="300" t="str">
        <f>_xlfn.IFNA(VLOOKUP($BD911,Programma!$F$3:$T$1107,15,0),"")</f>
        <v/>
      </c>
      <c r="BS911" s="300" t="str">
        <f>_xlfn.IFNA(VLOOKUP($BD911,Programma!$F$3:$U$1107,16,0),"")</f>
        <v/>
      </c>
      <c r="BT911" s="300" t="str">
        <f>_xlfn.IFNA(VLOOKUP($BD911,Programma!$F$3:$V$1107,17,0),"")</f>
        <v/>
      </c>
      <c r="BU911" s="300" t="str">
        <f>_xlfn.IFNA(VLOOKUP($BD911,Programma!$F$3:$W$1107,18,0),"")</f>
        <v/>
      </c>
      <c r="BV911" s="300" t="str">
        <f>_xlfn.IFNA(VLOOKUP($BD911,Programma!$F$3:$X$1107,19,0),"")</f>
        <v/>
      </c>
      <c r="BW911" s="300" t="str">
        <f>_xlfn.IFNA(VLOOKUP($BD911,Programma!$F$3:$Y$1107,20,0),"")</f>
        <v/>
      </c>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c r="GK911" s="4"/>
      <c r="GL911" s="4"/>
      <c r="GM911" s="4"/>
      <c r="GN911" s="4"/>
      <c r="GO911" s="4"/>
      <c r="GP911" s="4"/>
      <c r="GQ911" s="4"/>
      <c r="GR911" s="4"/>
      <c r="GS911" s="4"/>
      <c r="GT911" s="4"/>
      <c r="GU911" s="4"/>
      <c r="GV911" s="4"/>
      <c r="GW911" s="4"/>
      <c r="GX911" s="4"/>
      <c r="GY911" s="4"/>
      <c r="GZ911" s="4"/>
      <c r="HA911" s="4"/>
      <c r="HB911" s="4"/>
      <c r="HC911" s="4"/>
      <c r="HD911" s="4"/>
      <c r="HE911" s="4"/>
      <c r="HF911" s="4"/>
      <c r="HG911" s="4"/>
      <c r="HH911" s="4"/>
      <c r="HI911" s="4"/>
      <c r="HJ911" s="4"/>
      <c r="HK911" s="4"/>
      <c r="HL911" s="4"/>
    </row>
    <row r="912" spans="1:220" ht="15" customHeight="1">
      <c r="A912" s="21">
        <v>10</v>
      </c>
      <c r="B912" s="157" t="str">
        <f>VLOOKUP(Ruimtestaat[[#This Row],[Code]],Locaties[[Code]:[Locatie]],2,FALSE)</f>
        <v>Veurs Voorburg vmbo</v>
      </c>
      <c r="C912" s="157" t="str">
        <f>VLOOKUP(Ruimtestaat[[#This Row],[Code]],Locaties[[#All],[Code]:[Adres]],4,FALSE)</f>
        <v>Delflandlaan 4</v>
      </c>
      <c r="D912" s="157" t="str">
        <f>VLOOKUP(Ruimtestaat[[#This Row],[Code]],Locaties[[#All],[Code]:[Postcode]],5,FALSE)</f>
        <v>2273 CS</v>
      </c>
      <c r="E912" s="157" t="str">
        <f>VLOOKUP(Ruimtestaat[[#This Row],[Code]],Locaties[#All],6,FALSE)</f>
        <v>Voorburg</v>
      </c>
      <c r="F912" s="62"/>
      <c r="G912" s="21" t="s">
        <v>1749</v>
      </c>
      <c r="H912" s="21" t="s">
        <v>2361</v>
      </c>
      <c r="I912" s="62" t="s">
        <v>2404</v>
      </c>
      <c r="J912" s="21">
        <v>20</v>
      </c>
      <c r="K912" s="62" t="str">
        <f>VLOOKUP(Ruimtestaat[[#This Row],[Ruimte code]],Ruimtegroepen[[#All],[Code]:[Ruimte omschrijving]],2,FALSE)</f>
        <v>Niet in Onderhoud</v>
      </c>
      <c r="L912" s="33" t="s">
        <v>103</v>
      </c>
      <c r="M912" s="367" t="s">
        <v>2496</v>
      </c>
      <c r="N912" s="140"/>
      <c r="O912" s="140">
        <v>10.8</v>
      </c>
      <c r="P912" s="125">
        <f>VLOOKUP(Ruimtestaat[[#This Row],[Ruimte code]],Ruimtegroepen[],4,FALSE)</f>
        <v>0</v>
      </c>
      <c r="R912" s="33"/>
      <c r="S912" s="33"/>
      <c r="T912" s="33">
        <f>IF(R912&gt;0,IF(RIGHT(Ruimtestaat[[#This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12" s="33">
        <f>IF(T912&gt;0,VLOOKUP($J912,Ruimtegroepen[],3,FALSE)*VLOOKUP($L912,Vloersoorten[],3,FALSE)*VLOOKUP($S912,Frequenties[],3,FALSE)*VLOOKUP($A912,Locaties[],3,FALSE),0)</f>
        <v>0</v>
      </c>
      <c r="V912" s="33">
        <f>Ruimtestaat[[#This Row],[Uitvoeringen werkdagen]]*Ruimtestaat[[#This Row],[Oppervlak (netto)]]</f>
        <v>0</v>
      </c>
      <c r="W912" s="154">
        <f>IF(U912&gt;0,Ruimtestaat[[#This Row],[Prest. (m2 /jaar) werkdagen]]/Ruimtestaat[[#This Row],[Norm (m2/uur) werkdagen]],0)</f>
        <v>0</v>
      </c>
      <c r="X912" s="155">
        <f>Ruimtestaat[[#This Row],[uren / jaar werkdagen]]*Tariefsopbouw!$E$35</f>
        <v>0</v>
      </c>
      <c r="Y912" s="33"/>
      <c r="Z912" s="33">
        <f>IF(Ruimtestaat[[#This Row],[Frequentie weekend]]&gt;0,VALUE(LEFT(Y912,1))*R912,0)</f>
        <v>0</v>
      </c>
      <c r="AA912" s="97">
        <f>IF($Z912&gt;0,VLOOKUP($J912,Ruimtegroepen[],3,FALSE)*VLOOKUP($L912,Vloersoorten[],3,FALSE)*VLOOKUP($Y912,Frequenties[],3,FALSE)*VLOOKUP(Ruimtestaat[[#This Row],[Code]],Locaties[],3,FALSE),0)</f>
        <v>0</v>
      </c>
      <c r="AB912" s="97">
        <f>Ruimtestaat[[#This Row],[Uitvoeringen weekend]]*Ruimtestaat[[#This Row],[Oppervlak (netto)]]</f>
        <v>0</v>
      </c>
      <c r="AC912" s="97">
        <f>IF(AA912&gt;0,Ruimtestaat[[#This Row],[Prest. (m2 /jaar) weekend]]/Ruimtestaat[[#This Row],[Norm (m2/uur) weekend]],0)</f>
        <v>0</v>
      </c>
      <c r="AD912" s="155">
        <f>Ruimtestaat[[#This Row],[uren / jaar weekend]]*Tariefsopbouw!$D$40</f>
        <v>0</v>
      </c>
      <c r="AE912" s="154">
        <f>Ruimtestaat[[#This Row],[Prest. (m2 /jaar) weekend]]+Ruimtestaat[[#This Row],[Prest. (m2 /jaar) werkdagen]]</f>
        <v>0</v>
      </c>
      <c r="AF912" s="154">
        <f>Ruimtestaat[[#This Row],[uren / jaar weekend]]+Ruimtestaat[[#This Row],[uren / jaar werkdagen]]</f>
        <v>0</v>
      </c>
      <c r="AG912" s="69">
        <f>Ruimtestaat[[#This Row],[kosten / jaar weekend]]+Ruimtestaat[[#This Row],[kosten / jaar werkdagen]]</f>
        <v>0</v>
      </c>
      <c r="AH912" s="69"/>
      <c r="AI912" s="256" t="str">
        <f>IF(Ruimtestaat[[#This Row],[Frequentie werkdagen]]="","",_xlfn.CONCAT(Ruimtestaat[[#This Row],[Ruimte code]],"-",Ruimtestaat[[#This Row],[Frequentie werkdagen]]," ",Ruimtestaat[[#This Row],[Vloer code]]))</f>
        <v/>
      </c>
      <c r="AJ912" s="300" t="str">
        <f>_xlfn.IFNA(VLOOKUP($AI912,Programma!$F$3:$G$1107,2,0),"")</f>
        <v/>
      </c>
      <c r="AK912" s="300" t="str">
        <f>_xlfn.IFNA(VLOOKUP($AI912,Programma!$F$3:$H$1107,3,0),"")</f>
        <v/>
      </c>
      <c r="AL912" s="300" t="str">
        <f>_xlfn.IFNA(VLOOKUP($AI912,Programma!$F$3:$I$1107,4,0),"")</f>
        <v/>
      </c>
      <c r="AM912" s="300" t="str">
        <f>_xlfn.IFNA(VLOOKUP($AI912,Programma!$F$3:$J$1107,5,0),"")</f>
        <v/>
      </c>
      <c r="AN912" s="300" t="str">
        <f>_xlfn.IFNA(VLOOKUP($AI912,Programma!$F$3:$K$1107,6,0),"")</f>
        <v/>
      </c>
      <c r="AO912" s="300" t="str">
        <f>_xlfn.IFNA(VLOOKUP($AI912,Programma!$F$3:$L$1107,7,0),"")</f>
        <v/>
      </c>
      <c r="AP912" s="300" t="str">
        <f>_xlfn.IFNA(VLOOKUP($AI912,Programma!$F$3:$M$1107,8,0),"")</f>
        <v/>
      </c>
      <c r="AQ912" s="300" t="str">
        <f>_xlfn.IFNA(VLOOKUP($AI912,Programma!$F$3:$N$1107,9,0),"")</f>
        <v/>
      </c>
      <c r="AR912" s="300" t="str">
        <f>_xlfn.IFNA(VLOOKUP($AI912,Programma!$F$3:$O$1107,10,0),"")</f>
        <v/>
      </c>
      <c r="AS912" s="300" t="str">
        <f>_xlfn.IFNA(VLOOKUP($AI912,Programma!$F$3:$P$1107,11,0),"")</f>
        <v/>
      </c>
      <c r="AT912" s="300" t="str">
        <f>_xlfn.IFNA(VLOOKUP($AI912,Programma!$F$3:$Q$1107,12,0),"")</f>
        <v/>
      </c>
      <c r="AU912" s="300" t="str">
        <f>_xlfn.IFNA(VLOOKUP($AI912,Programma!$F$3:$R$1107,13,0),"")</f>
        <v/>
      </c>
      <c r="AV912" s="300" t="str">
        <f>_xlfn.IFNA(VLOOKUP($AI912,Programma!$F$3:$S$1107,14,0),"")</f>
        <v/>
      </c>
      <c r="AW912" s="300" t="str">
        <f>_xlfn.IFNA(VLOOKUP($AI912,Programma!$F$3:$T$1107,15,0),"")</f>
        <v/>
      </c>
      <c r="AX912" s="300" t="str">
        <f>_xlfn.IFNA(VLOOKUP($AI912,Programma!$F$3:$U$1107,16,0),"")</f>
        <v/>
      </c>
      <c r="AY912" s="300" t="str">
        <f>_xlfn.IFNA(VLOOKUP($AI912,Programma!$F$3:$V$1107,17,0),"")</f>
        <v/>
      </c>
      <c r="AZ912" s="300" t="str">
        <f>_xlfn.IFNA(VLOOKUP($AI912,Programma!$F$3:$W$1107,18,0),"")</f>
        <v/>
      </c>
      <c r="BA912" s="300" t="str">
        <f>_xlfn.IFNA(VLOOKUP($AI912,Programma!$F$3:$X$1107,19,0),"")</f>
        <v/>
      </c>
      <c r="BB912" s="300" t="str">
        <f>_xlfn.IFNA(VLOOKUP($AI912,Programma!$F$3:$Y$1107,20,0),"")</f>
        <v/>
      </c>
      <c r="BC912" s="257"/>
      <c r="BD912" s="256" t="str">
        <f>IF(Ruimtestaat[[#This Row],[Frequentie weekend]]="","",_xlfn.CONCAT(Ruimtestaat[[#This Row],[Ruimte code]],"-",Ruimtestaat[[#This Row],[Frequentie weekend]]," ",Ruimtestaat[[#This Row],[Vloer code]]))</f>
        <v/>
      </c>
      <c r="BE912" s="300" t="str">
        <f>_xlfn.IFNA(VLOOKUP($BD912,Programma!$F$3:$G$1107,2,0),"")</f>
        <v/>
      </c>
      <c r="BF912" s="300" t="str">
        <f>_xlfn.IFNA(VLOOKUP($BD912,Programma!$F$3:$H$1107,3,0),"")</f>
        <v/>
      </c>
      <c r="BG912" s="300" t="str">
        <f>_xlfn.IFNA(VLOOKUP($BD912,Programma!$F$3:$I$1107,4,0),"")</f>
        <v/>
      </c>
      <c r="BH912" s="300" t="str">
        <f>_xlfn.IFNA(VLOOKUP($BD912,Programma!$F$3:$J$1107,5,0),"")</f>
        <v/>
      </c>
      <c r="BI912" s="300" t="str">
        <f>_xlfn.IFNA(VLOOKUP($BD912,Programma!$F$3:$K$1107,6,0),"")</f>
        <v/>
      </c>
      <c r="BJ912" s="300" t="str">
        <f>_xlfn.IFNA(VLOOKUP($BD912,Programma!$F$3:$L$1107,7,0),"")</f>
        <v/>
      </c>
      <c r="BK912" s="300" t="str">
        <f>_xlfn.IFNA(VLOOKUP($BD912,Programma!$F$3:$M$1107,8,0),"")</f>
        <v/>
      </c>
      <c r="BL912" s="300" t="str">
        <f>_xlfn.IFNA(VLOOKUP($BD912,Programma!$F$3:$N$1107,9,0),"")</f>
        <v/>
      </c>
      <c r="BM912" s="300" t="str">
        <f>_xlfn.IFNA(VLOOKUP($BD912,Programma!$F$3:$O$1107,10,0),"")</f>
        <v/>
      </c>
      <c r="BN912" s="300" t="str">
        <f>_xlfn.IFNA(VLOOKUP($BD912,Programma!$F$3:$P$1107,11,0),"")</f>
        <v/>
      </c>
      <c r="BO912" s="300" t="str">
        <f>_xlfn.IFNA(VLOOKUP($BD912,Programma!$F$3:$Q$1107,12,0),"")</f>
        <v/>
      </c>
      <c r="BP912" s="300" t="str">
        <f>_xlfn.IFNA(VLOOKUP($BD912,Programma!$F$3:$R$1107,13,0),"")</f>
        <v/>
      </c>
      <c r="BQ912" s="300" t="str">
        <f>_xlfn.IFNA(VLOOKUP($BD912,Programma!$F$3:$S$1107,14,0),"")</f>
        <v/>
      </c>
      <c r="BR912" s="300" t="str">
        <f>_xlfn.IFNA(VLOOKUP($BD912,Programma!$F$3:$T$1107,15,0),"")</f>
        <v/>
      </c>
      <c r="BS912" s="300" t="str">
        <f>_xlfn.IFNA(VLOOKUP($BD912,Programma!$F$3:$U$1107,16,0),"")</f>
        <v/>
      </c>
      <c r="BT912" s="300" t="str">
        <f>_xlfn.IFNA(VLOOKUP($BD912,Programma!$F$3:$V$1107,17,0),"")</f>
        <v/>
      </c>
      <c r="BU912" s="300" t="str">
        <f>_xlfn.IFNA(VLOOKUP($BD912,Programma!$F$3:$W$1107,18,0),"")</f>
        <v/>
      </c>
      <c r="BV912" s="300" t="str">
        <f>_xlfn.IFNA(VLOOKUP($BD912,Programma!$F$3:$X$1107,19,0),"")</f>
        <v/>
      </c>
      <c r="BW912" s="300" t="str">
        <f>_xlfn.IFNA(VLOOKUP($BD912,Programma!$F$3:$Y$1107,20,0),"")</f>
        <v/>
      </c>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c r="GK912" s="4"/>
      <c r="GL912" s="4"/>
      <c r="GM912" s="4"/>
      <c r="GN912" s="4"/>
      <c r="GO912" s="4"/>
      <c r="GP912" s="4"/>
      <c r="GQ912" s="4"/>
      <c r="GR912" s="4"/>
      <c r="GS912" s="4"/>
      <c r="GT912" s="4"/>
      <c r="GU912" s="4"/>
      <c r="GV912" s="4"/>
      <c r="GW912" s="4"/>
      <c r="GX912" s="4"/>
      <c r="GY912" s="4"/>
      <c r="GZ912" s="4"/>
      <c r="HA912" s="4"/>
      <c r="HB912" s="4"/>
      <c r="HC912" s="4"/>
      <c r="HD912" s="4"/>
      <c r="HE912" s="4"/>
      <c r="HF912" s="4"/>
      <c r="HG912" s="4"/>
      <c r="HH912" s="4"/>
      <c r="HI912" s="4"/>
      <c r="HJ912" s="4"/>
      <c r="HK912" s="4"/>
      <c r="HL912" s="4"/>
    </row>
    <row r="913" spans="1:220" ht="15" customHeight="1">
      <c r="A913" s="21">
        <v>10</v>
      </c>
      <c r="B913" s="157" t="str">
        <f>VLOOKUP(Ruimtestaat[[#This Row],[Code]],Locaties[[Code]:[Locatie]],2,FALSE)</f>
        <v>Veurs Voorburg vmbo</v>
      </c>
      <c r="C913" s="157" t="str">
        <f>VLOOKUP(Ruimtestaat[[#This Row],[Code]],Locaties[[#All],[Code]:[Adres]],4,FALSE)</f>
        <v>Delflandlaan 4</v>
      </c>
      <c r="D913" s="157" t="str">
        <f>VLOOKUP(Ruimtestaat[[#This Row],[Code]],Locaties[[#All],[Code]:[Postcode]],5,FALSE)</f>
        <v>2273 CS</v>
      </c>
      <c r="E913" s="157" t="str">
        <f>VLOOKUP(Ruimtestaat[[#This Row],[Code]],Locaties[#All],6,FALSE)</f>
        <v>Voorburg</v>
      </c>
      <c r="F913" s="62"/>
      <c r="G913" s="21" t="s">
        <v>1749</v>
      </c>
      <c r="H913" s="21" t="s">
        <v>2405</v>
      </c>
      <c r="I913" s="62" t="s">
        <v>2406</v>
      </c>
      <c r="J913" s="21">
        <v>11</v>
      </c>
      <c r="K913" s="62" t="str">
        <f>VLOOKUP(Ruimtestaat[[#This Row],[Ruimte code]],Ruimtegroepen[[#All],[Code]:[Ruimte omschrijving]],2,FALSE)</f>
        <v>Kooklokaal/leskeuken</v>
      </c>
      <c r="L913" s="33" t="s">
        <v>103</v>
      </c>
      <c r="M913" s="367" t="s">
        <v>2527</v>
      </c>
      <c r="N913" s="140">
        <v>91.9</v>
      </c>
      <c r="O913" s="140"/>
      <c r="P913" s="125" t="str">
        <f>VLOOKUP(Ruimtestaat[[#This Row],[Ruimte code]],Ruimtegroepen[],4,FALSE)</f>
        <v>Le</v>
      </c>
      <c r="R913" s="33">
        <v>40</v>
      </c>
      <c r="S913" s="33" t="s">
        <v>2</v>
      </c>
      <c r="T913" s="33">
        <f>IF(R913&gt;0,IF(RIGHT(Ruimtestaat[[#This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13" s="33">
        <f>IF(T913&gt;0,VLOOKUP($J913,Ruimtegroepen[],3,FALSE)*VLOOKUP($L913,Vloersoorten[],3,FALSE)*VLOOKUP($S913,Frequenties[],3,FALSE)*VLOOKUP($A913,Locaties[],3,FALSE),0)</f>
        <v>0</v>
      </c>
      <c r="V913" s="33">
        <f>Ruimtestaat[[#This Row],[Uitvoeringen werkdagen]]*Ruimtestaat[[#This Row],[Oppervlak (netto)]]</f>
        <v>18380</v>
      </c>
      <c r="W913" s="154">
        <f>IF(U913&gt;0,Ruimtestaat[[#This Row],[Prest. (m2 /jaar) werkdagen]]/Ruimtestaat[[#This Row],[Norm (m2/uur) werkdagen]],0)</f>
        <v>0</v>
      </c>
      <c r="X913" s="155">
        <f>Ruimtestaat[[#This Row],[uren / jaar werkdagen]]*Tariefsopbouw!$E$35</f>
        <v>0</v>
      </c>
      <c r="Y913" s="33"/>
      <c r="Z913" s="33">
        <f>IF(Ruimtestaat[[#This Row],[Frequentie weekend]]&gt;0,VALUE(LEFT(Y913,1))*R913,0)</f>
        <v>0</v>
      </c>
      <c r="AA913" s="97">
        <f>IF($Z913&gt;0,VLOOKUP($J913,Ruimtegroepen[],3,FALSE)*VLOOKUP($L913,Vloersoorten[],3,FALSE)*VLOOKUP($Y913,Frequenties[],3,FALSE)*VLOOKUP(Ruimtestaat[[#This Row],[Code]],Locaties[],3,FALSE),0)</f>
        <v>0</v>
      </c>
      <c r="AB913" s="97">
        <f>Ruimtestaat[[#This Row],[Uitvoeringen weekend]]*Ruimtestaat[[#This Row],[Oppervlak (netto)]]</f>
        <v>0</v>
      </c>
      <c r="AC913" s="97">
        <f>IF(AA913&gt;0,Ruimtestaat[[#This Row],[Prest. (m2 /jaar) weekend]]/Ruimtestaat[[#This Row],[Norm (m2/uur) weekend]],0)</f>
        <v>0</v>
      </c>
      <c r="AD913" s="155">
        <f>Ruimtestaat[[#This Row],[uren / jaar weekend]]*Tariefsopbouw!$D$40</f>
        <v>0</v>
      </c>
      <c r="AE913" s="154">
        <f>Ruimtestaat[[#This Row],[Prest. (m2 /jaar) weekend]]+Ruimtestaat[[#This Row],[Prest. (m2 /jaar) werkdagen]]</f>
        <v>18380</v>
      </c>
      <c r="AF913" s="154">
        <f>Ruimtestaat[[#This Row],[uren / jaar weekend]]+Ruimtestaat[[#This Row],[uren / jaar werkdagen]]</f>
        <v>0</v>
      </c>
      <c r="AG913" s="69">
        <f>Ruimtestaat[[#This Row],[kosten / jaar weekend]]+Ruimtestaat[[#This Row],[kosten / jaar werkdagen]]</f>
        <v>0</v>
      </c>
      <c r="AH913" s="69"/>
      <c r="AI913" s="256" t="str">
        <f>IF(Ruimtestaat[[#This Row],[Frequentie werkdagen]]="","",_xlfn.CONCAT(Ruimtestaat[[#This Row],[Ruimte code]],"-",Ruimtestaat[[#This Row],[Frequentie werkdagen]]," ",Ruimtestaat[[#This Row],[Vloer code]]))</f>
        <v>11-5w P</v>
      </c>
      <c r="AJ913" s="300" t="str">
        <f>_xlfn.IFNA(VLOOKUP($AI913,Programma!$F$3:$G$1107,2,0),"")</f>
        <v>_</v>
      </c>
      <c r="AK913" s="300" t="str">
        <f>_xlfn.IFNA(VLOOKUP($AI913,Programma!$F$3:$H$1107,3,0),"")</f>
        <v>_</v>
      </c>
      <c r="AL913" s="300" t="str">
        <f>_xlfn.IFNA(VLOOKUP($AI913,Programma!$F$3:$I$1107,4,0),"")</f>
        <v>5w</v>
      </c>
      <c r="AM913" s="300" t="str">
        <f>_xlfn.IFNA(VLOOKUP($AI913,Programma!$F$3:$J$1107,5,0),"")</f>
        <v>_</v>
      </c>
      <c r="AN913" s="300" t="str">
        <f>_xlfn.IFNA(VLOOKUP($AI913,Programma!$F$3:$K$1107,6,0),"")</f>
        <v>5w</v>
      </c>
      <c r="AO913" s="300" t="str">
        <f>_xlfn.IFNA(VLOOKUP($AI913,Programma!$F$3:$L$1107,7,0),"")</f>
        <v>_</v>
      </c>
      <c r="AP913" s="300" t="str">
        <f>_xlfn.IFNA(VLOOKUP($AI913,Programma!$F$3:$M$1107,8,0),"")</f>
        <v>_</v>
      </c>
      <c r="AQ913" s="300" t="str">
        <f>_xlfn.IFNA(VLOOKUP($AI913,Programma!$F$3:$N$1107,9,0),"")</f>
        <v>_</v>
      </c>
      <c r="AR913" s="300" t="str">
        <f>_xlfn.IFNA(VLOOKUP($AI913,Programma!$F$3:$O$1107,10,0),"")</f>
        <v>5w</v>
      </c>
      <c r="AS913" s="300" t="str">
        <f>_xlfn.IFNA(VLOOKUP($AI913,Programma!$F$3:$P$1107,11,0),"")</f>
        <v>5w</v>
      </c>
      <c r="AT913" s="300" t="str">
        <f>_xlfn.IFNA(VLOOKUP($AI913,Programma!$F$3:$Q$1107,12,0),"")</f>
        <v>1w</v>
      </c>
      <c r="AU913" s="300" t="str">
        <f>_xlfn.IFNA(VLOOKUP($AI913,Programma!$F$3:$R$1107,13,0),"")</f>
        <v>1w</v>
      </c>
      <c r="AV913" s="300" t="str">
        <f>_xlfn.IFNA(VLOOKUP($AI913,Programma!$F$3:$S$1107,14,0),"")</f>
        <v>1m</v>
      </c>
      <c r="AW913" s="300" t="str">
        <f>_xlfn.IFNA(VLOOKUP($AI913,Programma!$F$3:$T$1107,15,0),"")</f>
        <v>2j</v>
      </c>
      <c r="AX913" s="300" t="str">
        <f>_xlfn.IFNA(VLOOKUP($AI913,Programma!$F$3:$U$1107,16,0),"")</f>
        <v>1j</v>
      </c>
      <c r="AY913" s="300" t="str">
        <f>_xlfn.IFNA(VLOOKUP($AI913,Programma!$F$3:$V$1107,17,0),"")</f>
        <v>_</v>
      </c>
      <c r="AZ913" s="300" t="str">
        <f>_xlfn.IFNA(VLOOKUP($AI913,Programma!$F$3:$W$1107,18,0),"")</f>
        <v>_</v>
      </c>
      <c r="BA913" s="300" t="str">
        <f>_xlfn.IFNA(VLOOKUP($AI913,Programma!$F$3:$X$1107,19,0),"")</f>
        <v>_</v>
      </c>
      <c r="BB913" s="300" t="str">
        <f>_xlfn.IFNA(VLOOKUP($AI913,Programma!$F$3:$Y$1107,20,0),"")</f>
        <v>_</v>
      </c>
      <c r="BC913" s="257"/>
      <c r="BD913" s="256" t="str">
        <f>IF(Ruimtestaat[[#This Row],[Frequentie weekend]]="","",_xlfn.CONCAT(Ruimtestaat[[#This Row],[Ruimte code]],"-",Ruimtestaat[[#This Row],[Frequentie weekend]]," ",Ruimtestaat[[#This Row],[Vloer code]]))</f>
        <v/>
      </c>
      <c r="BE913" s="300" t="str">
        <f>_xlfn.IFNA(VLOOKUP($BD913,Programma!$F$3:$G$1107,2,0),"")</f>
        <v/>
      </c>
      <c r="BF913" s="300" t="str">
        <f>_xlfn.IFNA(VLOOKUP($BD913,Programma!$F$3:$H$1107,3,0),"")</f>
        <v/>
      </c>
      <c r="BG913" s="300" t="str">
        <f>_xlfn.IFNA(VLOOKUP($BD913,Programma!$F$3:$I$1107,4,0),"")</f>
        <v/>
      </c>
      <c r="BH913" s="300" t="str">
        <f>_xlfn.IFNA(VLOOKUP($BD913,Programma!$F$3:$J$1107,5,0),"")</f>
        <v/>
      </c>
      <c r="BI913" s="300" t="str">
        <f>_xlfn.IFNA(VLOOKUP($BD913,Programma!$F$3:$K$1107,6,0),"")</f>
        <v/>
      </c>
      <c r="BJ913" s="300" t="str">
        <f>_xlfn.IFNA(VLOOKUP($BD913,Programma!$F$3:$L$1107,7,0),"")</f>
        <v/>
      </c>
      <c r="BK913" s="300" t="str">
        <f>_xlfn.IFNA(VLOOKUP($BD913,Programma!$F$3:$M$1107,8,0),"")</f>
        <v/>
      </c>
      <c r="BL913" s="300" t="str">
        <f>_xlfn.IFNA(VLOOKUP($BD913,Programma!$F$3:$N$1107,9,0),"")</f>
        <v/>
      </c>
      <c r="BM913" s="300" t="str">
        <f>_xlfn.IFNA(VLOOKUP($BD913,Programma!$F$3:$O$1107,10,0),"")</f>
        <v/>
      </c>
      <c r="BN913" s="300" t="str">
        <f>_xlfn.IFNA(VLOOKUP($BD913,Programma!$F$3:$P$1107,11,0),"")</f>
        <v/>
      </c>
      <c r="BO913" s="300" t="str">
        <f>_xlfn.IFNA(VLOOKUP($BD913,Programma!$F$3:$Q$1107,12,0),"")</f>
        <v/>
      </c>
      <c r="BP913" s="300" t="str">
        <f>_xlfn.IFNA(VLOOKUP($BD913,Programma!$F$3:$R$1107,13,0),"")</f>
        <v/>
      </c>
      <c r="BQ913" s="300" t="str">
        <f>_xlfn.IFNA(VLOOKUP($BD913,Programma!$F$3:$S$1107,14,0),"")</f>
        <v/>
      </c>
      <c r="BR913" s="300" t="str">
        <f>_xlfn.IFNA(VLOOKUP($BD913,Programma!$F$3:$T$1107,15,0),"")</f>
        <v/>
      </c>
      <c r="BS913" s="300" t="str">
        <f>_xlfn.IFNA(VLOOKUP($BD913,Programma!$F$3:$U$1107,16,0),"")</f>
        <v/>
      </c>
      <c r="BT913" s="300" t="str">
        <f>_xlfn.IFNA(VLOOKUP($BD913,Programma!$F$3:$V$1107,17,0),"")</f>
        <v/>
      </c>
      <c r="BU913" s="300" t="str">
        <f>_xlfn.IFNA(VLOOKUP($BD913,Programma!$F$3:$W$1107,18,0),"")</f>
        <v/>
      </c>
      <c r="BV913" s="300" t="str">
        <f>_xlfn.IFNA(VLOOKUP($BD913,Programma!$F$3:$X$1107,19,0),"")</f>
        <v/>
      </c>
      <c r="BW913" s="300" t="str">
        <f>_xlfn.IFNA(VLOOKUP($BD913,Programma!$F$3:$Y$1107,20,0),"")</f>
        <v/>
      </c>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c r="GK913" s="4"/>
      <c r="GL913" s="4"/>
      <c r="GM913" s="4"/>
      <c r="GN913" s="4"/>
      <c r="GO913" s="4"/>
      <c r="GP913" s="4"/>
      <c r="GQ913" s="4"/>
      <c r="GR913" s="4"/>
      <c r="GS913" s="4"/>
      <c r="GT913" s="4"/>
      <c r="GU913" s="4"/>
      <c r="GV913" s="4"/>
      <c r="GW913" s="4"/>
      <c r="GX913" s="4"/>
      <c r="GY913" s="4"/>
      <c r="GZ913" s="4"/>
      <c r="HA913" s="4"/>
      <c r="HB913" s="4"/>
      <c r="HC913" s="4"/>
      <c r="HD913" s="4"/>
      <c r="HE913" s="4"/>
      <c r="HF913" s="4"/>
      <c r="HG913" s="4"/>
      <c r="HH913" s="4"/>
      <c r="HI913" s="4"/>
      <c r="HJ913" s="4"/>
      <c r="HK913" s="4"/>
      <c r="HL913" s="4"/>
    </row>
    <row r="914" spans="1:220" ht="15" customHeight="1">
      <c r="A914" s="21">
        <v>10</v>
      </c>
      <c r="B914" s="157" t="str">
        <f>VLOOKUP(Ruimtestaat[[#This Row],[Code]],Locaties[[Code]:[Locatie]],2,FALSE)</f>
        <v>Veurs Voorburg vmbo</v>
      </c>
      <c r="C914" s="157" t="str">
        <f>VLOOKUP(Ruimtestaat[[#This Row],[Code]],Locaties[[#All],[Code]:[Adres]],4,FALSE)</f>
        <v>Delflandlaan 4</v>
      </c>
      <c r="D914" s="157" t="str">
        <f>VLOOKUP(Ruimtestaat[[#This Row],[Code]],Locaties[[#All],[Code]:[Postcode]],5,FALSE)</f>
        <v>2273 CS</v>
      </c>
      <c r="E914" s="157" t="str">
        <f>VLOOKUP(Ruimtestaat[[#This Row],[Code]],Locaties[#All],6,FALSE)</f>
        <v>Voorburg</v>
      </c>
      <c r="F914" s="62"/>
      <c r="G914" s="21" t="s">
        <v>1749</v>
      </c>
      <c r="H914" s="21" t="s">
        <v>2366</v>
      </c>
      <c r="I914" s="62" t="s">
        <v>1761</v>
      </c>
      <c r="J914" s="21">
        <v>6</v>
      </c>
      <c r="K914" s="62" t="str">
        <f>VLOOKUP(Ruimtestaat[[#This Row],[Ruimte code]],Ruimtegroepen[[#All],[Code]:[Ruimte omschrijving]],2,FALSE)</f>
        <v>Gangen/hallen</v>
      </c>
      <c r="L914" s="33" t="s">
        <v>101</v>
      </c>
      <c r="M914" s="367" t="s">
        <v>2506</v>
      </c>
      <c r="N914" s="140">
        <v>70.3</v>
      </c>
      <c r="O914" s="140"/>
      <c r="P914" s="125" t="str">
        <f>VLOOKUP(Ruimtestaat[[#This Row],[Ruimte code]],Ruimtegroepen[],4,FALSE)</f>
        <v>Ve</v>
      </c>
      <c r="R914" s="33">
        <v>40</v>
      </c>
      <c r="S914" s="33" t="s">
        <v>2</v>
      </c>
      <c r="T914" s="33">
        <f>IF(R914&gt;0,IF(RIGHT(Ruimtestaat[[#This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14" s="33">
        <f>IF(T914&gt;0,VLOOKUP($J914,Ruimtegroepen[],3,FALSE)*VLOOKUP($L914,Vloersoorten[],3,FALSE)*VLOOKUP($S914,Frequenties[],3,FALSE)*VLOOKUP($A914,Locaties[],3,FALSE),0)</f>
        <v>0</v>
      </c>
      <c r="V914" s="33">
        <f>Ruimtestaat[[#This Row],[Uitvoeringen werkdagen]]*Ruimtestaat[[#This Row],[Oppervlak (netto)]]</f>
        <v>14060</v>
      </c>
      <c r="W914" s="154">
        <f>IF(U914&gt;0,Ruimtestaat[[#This Row],[Prest. (m2 /jaar) werkdagen]]/Ruimtestaat[[#This Row],[Norm (m2/uur) werkdagen]],0)</f>
        <v>0</v>
      </c>
      <c r="X914" s="155">
        <f>Ruimtestaat[[#This Row],[uren / jaar werkdagen]]*Tariefsopbouw!$E$35</f>
        <v>0</v>
      </c>
      <c r="Y914" s="33"/>
      <c r="Z914" s="33">
        <f>IF(Ruimtestaat[[#This Row],[Frequentie weekend]]&gt;0,VALUE(LEFT(Y914,1))*R914,0)</f>
        <v>0</v>
      </c>
      <c r="AA914" s="97">
        <f>IF($Z914&gt;0,VLOOKUP($J914,Ruimtegroepen[],3,FALSE)*VLOOKUP($L914,Vloersoorten[],3,FALSE)*VLOOKUP($Y914,Frequenties[],3,FALSE)*VLOOKUP(Ruimtestaat[[#This Row],[Code]],Locaties[],3,FALSE),0)</f>
        <v>0</v>
      </c>
      <c r="AB914" s="97">
        <f>Ruimtestaat[[#This Row],[Uitvoeringen weekend]]*Ruimtestaat[[#This Row],[Oppervlak (netto)]]</f>
        <v>0</v>
      </c>
      <c r="AC914" s="97">
        <f>IF(AA914&gt;0,Ruimtestaat[[#This Row],[Prest. (m2 /jaar) weekend]]/Ruimtestaat[[#This Row],[Norm (m2/uur) weekend]],0)</f>
        <v>0</v>
      </c>
      <c r="AD914" s="155">
        <f>Ruimtestaat[[#This Row],[uren / jaar weekend]]*Tariefsopbouw!$D$40</f>
        <v>0</v>
      </c>
      <c r="AE914" s="154">
        <f>Ruimtestaat[[#This Row],[Prest. (m2 /jaar) weekend]]+Ruimtestaat[[#This Row],[Prest. (m2 /jaar) werkdagen]]</f>
        <v>14060</v>
      </c>
      <c r="AF914" s="154">
        <f>Ruimtestaat[[#This Row],[uren / jaar weekend]]+Ruimtestaat[[#This Row],[uren / jaar werkdagen]]</f>
        <v>0</v>
      </c>
      <c r="AG914" s="69">
        <f>Ruimtestaat[[#This Row],[kosten / jaar weekend]]+Ruimtestaat[[#This Row],[kosten / jaar werkdagen]]</f>
        <v>0</v>
      </c>
      <c r="AH914" s="69"/>
      <c r="AI914" s="256" t="str">
        <f>IF(Ruimtestaat[[#This Row],[Frequentie werkdagen]]="","",_xlfn.CONCAT(Ruimtestaat[[#This Row],[Ruimte code]],"-",Ruimtestaat[[#This Row],[Frequentie werkdagen]]," ",Ruimtestaat[[#This Row],[Vloer code]]))</f>
        <v>6-5w L</v>
      </c>
      <c r="AJ914" s="300" t="str">
        <f>_xlfn.IFNA(VLOOKUP($AI914,Programma!$F$3:$G$1107,2,0),"")</f>
        <v>_</v>
      </c>
      <c r="AK914" s="300" t="str">
        <f>_xlfn.IFNA(VLOOKUP($AI914,Programma!$F$3:$H$1107,3,0),"")</f>
        <v>_</v>
      </c>
      <c r="AL914" s="300" t="str">
        <f>_xlfn.IFNA(VLOOKUP($AI914,Programma!$F$3:$I$1107,4,0),"")</f>
        <v>_</v>
      </c>
      <c r="AM914" s="300" t="str">
        <f>_xlfn.IFNA(VLOOKUP($AI914,Programma!$F$3:$J$1107,5,0),"")</f>
        <v>5w</v>
      </c>
      <c r="AN914" s="300" t="str">
        <f>_xlfn.IFNA(VLOOKUP($AI914,Programma!$F$3:$K$1107,6,0),"")</f>
        <v>_</v>
      </c>
      <c r="AO914" s="300" t="str">
        <f>_xlfn.IFNA(VLOOKUP($AI914,Programma!$F$3:$L$1107,7,0),"")</f>
        <v>_</v>
      </c>
      <c r="AP914" s="300" t="str">
        <f>_xlfn.IFNA(VLOOKUP($AI914,Programma!$F$3:$M$1107,8,0),"")</f>
        <v>_</v>
      </c>
      <c r="AQ914" s="300" t="str">
        <f>_xlfn.IFNA(VLOOKUP($AI914,Programma!$F$3:$N$1107,9,0),"")</f>
        <v>_</v>
      </c>
      <c r="AR914" s="300" t="str">
        <f>_xlfn.IFNA(VLOOKUP($AI914,Programma!$F$3:$O$1107,10,0),"")</f>
        <v>5w</v>
      </c>
      <c r="AS914" s="300" t="str">
        <f>_xlfn.IFNA(VLOOKUP($AI914,Programma!$F$3:$P$1107,11,0),"")</f>
        <v>5w</v>
      </c>
      <c r="AT914" s="300" t="str">
        <f>_xlfn.IFNA(VLOOKUP($AI914,Programma!$F$3:$Q$1107,12,0),"")</f>
        <v>1w</v>
      </c>
      <c r="AU914" s="300" t="str">
        <f>_xlfn.IFNA(VLOOKUP($AI914,Programma!$F$3:$R$1107,13,0),"")</f>
        <v>1w</v>
      </c>
      <c r="AV914" s="300" t="str">
        <f>_xlfn.IFNA(VLOOKUP($AI914,Programma!$F$3:$S$1107,14,0),"")</f>
        <v>1m</v>
      </c>
      <c r="AW914" s="300" t="str">
        <f>_xlfn.IFNA(VLOOKUP($AI914,Programma!$F$3:$T$1107,15,0),"")</f>
        <v>2j</v>
      </c>
      <c r="AX914" s="300" t="str">
        <f>_xlfn.IFNA(VLOOKUP($AI914,Programma!$F$3:$U$1107,16,0),"")</f>
        <v>1j</v>
      </c>
      <c r="AY914" s="300" t="str">
        <f>_xlfn.IFNA(VLOOKUP($AI914,Programma!$F$3:$V$1107,17,0),"")</f>
        <v>_</v>
      </c>
      <c r="AZ914" s="300" t="str">
        <f>_xlfn.IFNA(VLOOKUP($AI914,Programma!$F$3:$W$1107,18,0),"")</f>
        <v>_</v>
      </c>
      <c r="BA914" s="300" t="str">
        <f>_xlfn.IFNA(VLOOKUP($AI914,Programma!$F$3:$X$1107,19,0),"")</f>
        <v>_</v>
      </c>
      <c r="BB914" s="300" t="str">
        <f>_xlfn.IFNA(VLOOKUP($AI914,Programma!$F$3:$Y$1107,20,0),"")</f>
        <v>_</v>
      </c>
      <c r="BC914" s="257"/>
      <c r="BD914" s="256" t="str">
        <f>IF(Ruimtestaat[[#This Row],[Frequentie weekend]]="","",_xlfn.CONCAT(Ruimtestaat[[#This Row],[Ruimte code]],"-",Ruimtestaat[[#This Row],[Frequentie weekend]]," ",Ruimtestaat[[#This Row],[Vloer code]]))</f>
        <v/>
      </c>
      <c r="BE914" s="300" t="str">
        <f>_xlfn.IFNA(VLOOKUP($BD914,Programma!$F$3:$G$1107,2,0),"")</f>
        <v/>
      </c>
      <c r="BF914" s="300" t="str">
        <f>_xlfn.IFNA(VLOOKUP($BD914,Programma!$F$3:$H$1107,3,0),"")</f>
        <v/>
      </c>
      <c r="BG914" s="300" t="str">
        <f>_xlfn.IFNA(VLOOKUP($BD914,Programma!$F$3:$I$1107,4,0),"")</f>
        <v/>
      </c>
      <c r="BH914" s="300" t="str">
        <f>_xlfn.IFNA(VLOOKUP($BD914,Programma!$F$3:$J$1107,5,0),"")</f>
        <v/>
      </c>
      <c r="BI914" s="300" t="str">
        <f>_xlfn.IFNA(VLOOKUP($BD914,Programma!$F$3:$K$1107,6,0),"")</f>
        <v/>
      </c>
      <c r="BJ914" s="300" t="str">
        <f>_xlfn.IFNA(VLOOKUP($BD914,Programma!$F$3:$L$1107,7,0),"")</f>
        <v/>
      </c>
      <c r="BK914" s="300" t="str">
        <f>_xlfn.IFNA(VLOOKUP($BD914,Programma!$F$3:$M$1107,8,0),"")</f>
        <v/>
      </c>
      <c r="BL914" s="300" t="str">
        <f>_xlfn.IFNA(VLOOKUP($BD914,Programma!$F$3:$N$1107,9,0),"")</f>
        <v/>
      </c>
      <c r="BM914" s="300" t="str">
        <f>_xlfn.IFNA(VLOOKUP($BD914,Programma!$F$3:$O$1107,10,0),"")</f>
        <v/>
      </c>
      <c r="BN914" s="300" t="str">
        <f>_xlfn.IFNA(VLOOKUP($BD914,Programma!$F$3:$P$1107,11,0),"")</f>
        <v/>
      </c>
      <c r="BO914" s="300" t="str">
        <f>_xlfn.IFNA(VLOOKUP($BD914,Programma!$F$3:$Q$1107,12,0),"")</f>
        <v/>
      </c>
      <c r="BP914" s="300" t="str">
        <f>_xlfn.IFNA(VLOOKUP($BD914,Programma!$F$3:$R$1107,13,0),"")</f>
        <v/>
      </c>
      <c r="BQ914" s="300" t="str">
        <f>_xlfn.IFNA(VLOOKUP($BD914,Programma!$F$3:$S$1107,14,0),"")</f>
        <v/>
      </c>
      <c r="BR914" s="300" t="str">
        <f>_xlfn.IFNA(VLOOKUP($BD914,Programma!$F$3:$T$1107,15,0),"")</f>
        <v/>
      </c>
      <c r="BS914" s="300" t="str">
        <f>_xlfn.IFNA(VLOOKUP($BD914,Programma!$F$3:$U$1107,16,0),"")</f>
        <v/>
      </c>
      <c r="BT914" s="300" t="str">
        <f>_xlfn.IFNA(VLOOKUP($BD914,Programma!$F$3:$V$1107,17,0),"")</f>
        <v/>
      </c>
      <c r="BU914" s="300" t="str">
        <f>_xlfn.IFNA(VLOOKUP($BD914,Programma!$F$3:$W$1107,18,0),"")</f>
        <v/>
      </c>
      <c r="BV914" s="300" t="str">
        <f>_xlfn.IFNA(VLOOKUP($BD914,Programma!$F$3:$X$1107,19,0),"")</f>
        <v/>
      </c>
      <c r="BW914" s="300" t="str">
        <f>_xlfn.IFNA(VLOOKUP($BD914,Programma!$F$3:$Y$1107,20,0),"")</f>
        <v/>
      </c>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c r="GK914" s="4"/>
      <c r="GL914" s="4"/>
      <c r="GM914" s="4"/>
      <c r="GN914" s="4"/>
      <c r="GO914" s="4"/>
      <c r="GP914" s="4"/>
      <c r="GQ914" s="4"/>
      <c r="GR914" s="4"/>
      <c r="GS914" s="4"/>
      <c r="GT914" s="4"/>
      <c r="GU914" s="4"/>
      <c r="GV914" s="4"/>
      <c r="GW914" s="4"/>
      <c r="GX914" s="4"/>
      <c r="GY914" s="4"/>
      <c r="GZ914" s="4"/>
      <c r="HA914" s="4"/>
      <c r="HB914" s="4"/>
      <c r="HC914" s="4"/>
      <c r="HD914" s="4"/>
      <c r="HE914" s="4"/>
      <c r="HF914" s="4"/>
      <c r="HG914" s="4"/>
      <c r="HH914" s="4"/>
      <c r="HI914" s="4"/>
      <c r="HJ914" s="4"/>
      <c r="HK914" s="4"/>
      <c r="HL914" s="4"/>
    </row>
    <row r="915" spans="1:220" ht="15" customHeight="1">
      <c r="A915" s="21">
        <v>10</v>
      </c>
      <c r="B915" s="157" t="str">
        <f>VLOOKUP(Ruimtestaat[[#This Row],[Code]],Locaties[[Code]:[Locatie]],2,FALSE)</f>
        <v>Veurs Voorburg vmbo</v>
      </c>
      <c r="C915" s="157" t="str">
        <f>VLOOKUP(Ruimtestaat[[#This Row],[Code]],Locaties[[#All],[Code]:[Adres]],4,FALSE)</f>
        <v>Delflandlaan 4</v>
      </c>
      <c r="D915" s="157" t="str">
        <f>VLOOKUP(Ruimtestaat[[#This Row],[Code]],Locaties[[#All],[Code]:[Postcode]],5,FALSE)</f>
        <v>2273 CS</v>
      </c>
      <c r="E915" s="157" t="str">
        <f>VLOOKUP(Ruimtestaat[[#This Row],[Code]],Locaties[#All],6,FALSE)</f>
        <v>Voorburg</v>
      </c>
      <c r="F915" s="62"/>
      <c r="G915" s="21" t="s">
        <v>1749</v>
      </c>
      <c r="H915" s="21" t="s">
        <v>2368</v>
      </c>
      <c r="I915" s="62" t="s">
        <v>2407</v>
      </c>
      <c r="J915" s="21">
        <v>2</v>
      </c>
      <c r="K915" s="62" t="str">
        <f>VLOOKUP(Ruimtestaat[[#This Row],[Ruimte code]],Ruimtegroepen[[#All],[Code]:[Ruimte omschrijving]],2,FALSE)</f>
        <v>Kantoren</v>
      </c>
      <c r="L915" s="33" t="s">
        <v>101</v>
      </c>
      <c r="M915" s="367" t="s">
        <v>2506</v>
      </c>
      <c r="N915" s="140">
        <v>19.8</v>
      </c>
      <c r="O915" s="140"/>
      <c r="P915" s="125" t="str">
        <f>VLOOKUP(Ruimtestaat[[#This Row],[Ruimte code]],Ruimtegroepen[],4,FALSE)</f>
        <v>Bu</v>
      </c>
      <c r="R915" s="33">
        <v>42</v>
      </c>
      <c r="S915" s="33" t="s">
        <v>18</v>
      </c>
      <c r="T915" s="33">
        <f>IF(R915&gt;0,IF(RIGHT(Ruimtestaat[[#This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15" s="33">
        <f>IF(T915&gt;0,VLOOKUP($J915,Ruimtegroepen[],3,FALSE)*VLOOKUP($L915,Vloersoorten[],3,FALSE)*VLOOKUP($S915,Frequenties[],3,FALSE)*VLOOKUP($A915,Locaties[],3,FALSE),0)</f>
        <v>0</v>
      </c>
      <c r="V915" s="33">
        <f>Ruimtestaat[[#This Row],[Uitvoeringen werkdagen]]*Ruimtestaat[[#This Row],[Oppervlak (netto)]]</f>
        <v>2494.8000000000002</v>
      </c>
      <c r="W915" s="154">
        <f>IF(U915&gt;0,Ruimtestaat[[#This Row],[Prest. (m2 /jaar) werkdagen]]/Ruimtestaat[[#This Row],[Norm (m2/uur) werkdagen]],0)</f>
        <v>0</v>
      </c>
      <c r="X915" s="155">
        <f>Ruimtestaat[[#This Row],[uren / jaar werkdagen]]*Tariefsopbouw!$E$35</f>
        <v>0</v>
      </c>
      <c r="Y915" s="33"/>
      <c r="Z915" s="33">
        <f>IF(Ruimtestaat[[#This Row],[Frequentie weekend]]&gt;0,VALUE(LEFT(Y915,1))*R915,0)</f>
        <v>0</v>
      </c>
      <c r="AA915" s="97">
        <f>IF($Z915&gt;0,VLOOKUP($J915,Ruimtegroepen[],3,FALSE)*VLOOKUP($L915,Vloersoorten[],3,FALSE)*VLOOKUP($Y915,Frequenties[],3,FALSE)*VLOOKUP(Ruimtestaat[[#This Row],[Code]],Locaties[],3,FALSE),0)</f>
        <v>0</v>
      </c>
      <c r="AB915" s="97">
        <f>Ruimtestaat[[#This Row],[Uitvoeringen weekend]]*Ruimtestaat[[#This Row],[Oppervlak (netto)]]</f>
        <v>0</v>
      </c>
      <c r="AC915" s="97">
        <f>IF(AA915&gt;0,Ruimtestaat[[#This Row],[Prest. (m2 /jaar) weekend]]/Ruimtestaat[[#This Row],[Norm (m2/uur) weekend]],0)</f>
        <v>0</v>
      </c>
      <c r="AD915" s="155">
        <f>Ruimtestaat[[#This Row],[uren / jaar weekend]]*Tariefsopbouw!$D$40</f>
        <v>0</v>
      </c>
      <c r="AE915" s="154">
        <f>Ruimtestaat[[#This Row],[Prest. (m2 /jaar) weekend]]+Ruimtestaat[[#This Row],[Prest. (m2 /jaar) werkdagen]]</f>
        <v>2494.8000000000002</v>
      </c>
      <c r="AF915" s="154">
        <f>Ruimtestaat[[#This Row],[uren / jaar weekend]]+Ruimtestaat[[#This Row],[uren / jaar werkdagen]]</f>
        <v>0</v>
      </c>
      <c r="AG915" s="69">
        <f>Ruimtestaat[[#This Row],[kosten / jaar weekend]]+Ruimtestaat[[#This Row],[kosten / jaar werkdagen]]</f>
        <v>0</v>
      </c>
      <c r="AH915" s="69"/>
      <c r="AI915" s="256" t="str">
        <f>IF(Ruimtestaat[[#This Row],[Frequentie werkdagen]]="","",_xlfn.CONCAT(Ruimtestaat[[#This Row],[Ruimte code]],"-",Ruimtestaat[[#This Row],[Frequentie werkdagen]]," ",Ruimtestaat[[#This Row],[Vloer code]]))</f>
        <v>2-3w L</v>
      </c>
      <c r="AJ915" s="300" t="str">
        <f>_xlfn.IFNA(VLOOKUP($AI915,Programma!$F$3:$G$1107,2,0),"")</f>
        <v>_</v>
      </c>
      <c r="AK915" s="300" t="str">
        <f>_xlfn.IFNA(VLOOKUP($AI915,Programma!$F$3:$H$1107,3,0),"")</f>
        <v>_</v>
      </c>
      <c r="AL915" s="300" t="str">
        <f>_xlfn.IFNA(VLOOKUP($AI915,Programma!$F$3:$I$1107,4,0),"")</f>
        <v>2w</v>
      </c>
      <c r="AM915" s="300" t="str">
        <f>_xlfn.IFNA(VLOOKUP($AI915,Programma!$F$3:$J$1107,5,0),"")</f>
        <v>1w</v>
      </c>
      <c r="AN915" s="300" t="str">
        <f>_xlfn.IFNA(VLOOKUP($AI915,Programma!$F$3:$K$1107,6,0),"")</f>
        <v>_</v>
      </c>
      <c r="AO915" s="300" t="str">
        <f>_xlfn.IFNA(VLOOKUP($AI915,Programma!$F$3:$L$1107,7,0),"")</f>
        <v>_</v>
      </c>
      <c r="AP915" s="300" t="str">
        <f>_xlfn.IFNA(VLOOKUP($AI915,Programma!$F$3:$M$1107,8,0),"")</f>
        <v>_</v>
      </c>
      <c r="AQ915" s="300" t="str">
        <f>_xlfn.IFNA(VLOOKUP($AI915,Programma!$F$3:$N$1107,9,0),"")</f>
        <v>_</v>
      </c>
      <c r="AR915" s="300" t="str">
        <f>_xlfn.IFNA(VLOOKUP($AI915,Programma!$F$3:$O$1107,10,0),"")</f>
        <v>3w</v>
      </c>
      <c r="AS915" s="300" t="str">
        <f>_xlfn.IFNA(VLOOKUP($AI915,Programma!$F$3:$P$1107,11,0),"")</f>
        <v>3w</v>
      </c>
      <c r="AT915" s="300" t="str">
        <f>_xlfn.IFNA(VLOOKUP($AI915,Programma!$F$3:$Q$1107,12,0),"")</f>
        <v>1w</v>
      </c>
      <c r="AU915" s="300" t="str">
        <f>_xlfn.IFNA(VLOOKUP($AI915,Programma!$F$3:$R$1107,13,0),"")</f>
        <v>1w</v>
      </c>
      <c r="AV915" s="300" t="str">
        <f>_xlfn.IFNA(VLOOKUP($AI915,Programma!$F$3:$S$1107,14,0),"")</f>
        <v>1m</v>
      </c>
      <c r="AW915" s="300" t="str">
        <f>_xlfn.IFNA(VLOOKUP($AI915,Programma!$F$3:$T$1107,15,0),"")</f>
        <v>2j</v>
      </c>
      <c r="AX915" s="300" t="str">
        <f>_xlfn.IFNA(VLOOKUP($AI915,Programma!$F$3:$U$1107,16,0),"")</f>
        <v>1j</v>
      </c>
      <c r="AY915" s="300" t="str">
        <f>_xlfn.IFNA(VLOOKUP($AI915,Programma!$F$3:$V$1107,17,0),"")</f>
        <v>_</v>
      </c>
      <c r="AZ915" s="300" t="str">
        <f>_xlfn.IFNA(VLOOKUP($AI915,Programma!$F$3:$W$1107,18,0),"")</f>
        <v>_</v>
      </c>
      <c r="BA915" s="300" t="str">
        <f>_xlfn.IFNA(VLOOKUP($AI915,Programma!$F$3:$X$1107,19,0),"")</f>
        <v>_</v>
      </c>
      <c r="BB915" s="300" t="str">
        <f>_xlfn.IFNA(VLOOKUP($AI915,Programma!$F$3:$Y$1107,20,0),"")</f>
        <v>_</v>
      </c>
      <c r="BC915" s="257"/>
      <c r="BD915" s="256" t="str">
        <f>IF(Ruimtestaat[[#This Row],[Frequentie weekend]]="","",_xlfn.CONCAT(Ruimtestaat[[#This Row],[Ruimte code]],"-",Ruimtestaat[[#This Row],[Frequentie weekend]]," ",Ruimtestaat[[#This Row],[Vloer code]]))</f>
        <v/>
      </c>
      <c r="BE915" s="300" t="str">
        <f>_xlfn.IFNA(VLOOKUP($BD915,Programma!$F$3:$G$1107,2,0),"")</f>
        <v/>
      </c>
      <c r="BF915" s="300" t="str">
        <f>_xlfn.IFNA(VLOOKUP($BD915,Programma!$F$3:$H$1107,3,0),"")</f>
        <v/>
      </c>
      <c r="BG915" s="300" t="str">
        <f>_xlfn.IFNA(VLOOKUP($BD915,Programma!$F$3:$I$1107,4,0),"")</f>
        <v/>
      </c>
      <c r="BH915" s="300" t="str">
        <f>_xlfn.IFNA(VLOOKUP($BD915,Programma!$F$3:$J$1107,5,0),"")</f>
        <v/>
      </c>
      <c r="BI915" s="300" t="str">
        <f>_xlfn.IFNA(VLOOKUP($BD915,Programma!$F$3:$K$1107,6,0),"")</f>
        <v/>
      </c>
      <c r="BJ915" s="300" t="str">
        <f>_xlfn.IFNA(VLOOKUP($BD915,Programma!$F$3:$L$1107,7,0),"")</f>
        <v/>
      </c>
      <c r="BK915" s="300" t="str">
        <f>_xlfn.IFNA(VLOOKUP($BD915,Programma!$F$3:$M$1107,8,0),"")</f>
        <v/>
      </c>
      <c r="BL915" s="300" t="str">
        <f>_xlfn.IFNA(VLOOKUP($BD915,Programma!$F$3:$N$1107,9,0),"")</f>
        <v/>
      </c>
      <c r="BM915" s="300" t="str">
        <f>_xlfn.IFNA(VLOOKUP($BD915,Programma!$F$3:$O$1107,10,0),"")</f>
        <v/>
      </c>
      <c r="BN915" s="300" t="str">
        <f>_xlfn.IFNA(VLOOKUP($BD915,Programma!$F$3:$P$1107,11,0),"")</f>
        <v/>
      </c>
      <c r="BO915" s="300" t="str">
        <f>_xlfn.IFNA(VLOOKUP($BD915,Programma!$F$3:$Q$1107,12,0),"")</f>
        <v/>
      </c>
      <c r="BP915" s="300" t="str">
        <f>_xlfn.IFNA(VLOOKUP($BD915,Programma!$F$3:$R$1107,13,0),"")</f>
        <v/>
      </c>
      <c r="BQ915" s="300" t="str">
        <f>_xlfn.IFNA(VLOOKUP($BD915,Programma!$F$3:$S$1107,14,0),"")</f>
        <v/>
      </c>
      <c r="BR915" s="300" t="str">
        <f>_xlfn.IFNA(VLOOKUP($BD915,Programma!$F$3:$T$1107,15,0),"")</f>
        <v/>
      </c>
      <c r="BS915" s="300" t="str">
        <f>_xlfn.IFNA(VLOOKUP($BD915,Programma!$F$3:$U$1107,16,0),"")</f>
        <v/>
      </c>
      <c r="BT915" s="300" t="str">
        <f>_xlfn.IFNA(VLOOKUP($BD915,Programma!$F$3:$V$1107,17,0),"")</f>
        <v/>
      </c>
      <c r="BU915" s="300" t="str">
        <f>_xlfn.IFNA(VLOOKUP($BD915,Programma!$F$3:$W$1107,18,0),"")</f>
        <v/>
      </c>
      <c r="BV915" s="300" t="str">
        <f>_xlfn.IFNA(VLOOKUP($BD915,Programma!$F$3:$X$1107,19,0),"")</f>
        <v/>
      </c>
      <c r="BW915" s="300" t="str">
        <f>_xlfn.IFNA(VLOOKUP($BD915,Programma!$F$3:$Y$1107,20,0),"")</f>
        <v/>
      </c>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c r="GK915" s="4"/>
      <c r="GL915" s="4"/>
      <c r="GM915" s="4"/>
      <c r="GN915" s="4"/>
      <c r="GO915" s="4"/>
      <c r="GP915" s="4"/>
      <c r="GQ915" s="4"/>
      <c r="GR915" s="4"/>
      <c r="GS915" s="4"/>
      <c r="GT915" s="4"/>
      <c r="GU915" s="4"/>
      <c r="GV915" s="4"/>
      <c r="GW915" s="4"/>
      <c r="GX915" s="4"/>
      <c r="GY915" s="4"/>
      <c r="GZ915" s="4"/>
      <c r="HA915" s="4"/>
      <c r="HB915" s="4"/>
      <c r="HC915" s="4"/>
      <c r="HD915" s="4"/>
      <c r="HE915" s="4"/>
      <c r="HF915" s="4"/>
      <c r="HG915" s="4"/>
      <c r="HH915" s="4"/>
      <c r="HI915" s="4"/>
      <c r="HJ915" s="4"/>
      <c r="HK915" s="4"/>
      <c r="HL915" s="4"/>
    </row>
    <row r="916" spans="1:220" ht="15" customHeight="1">
      <c r="A916" s="21">
        <v>10</v>
      </c>
      <c r="B916" s="157" t="str">
        <f>VLOOKUP(Ruimtestaat[[#This Row],[Code]],Locaties[[Code]:[Locatie]],2,FALSE)</f>
        <v>Veurs Voorburg vmbo</v>
      </c>
      <c r="C916" s="157" t="str">
        <f>VLOOKUP(Ruimtestaat[[#This Row],[Code]],Locaties[[#All],[Code]:[Adres]],4,FALSE)</f>
        <v>Delflandlaan 4</v>
      </c>
      <c r="D916" s="157" t="str">
        <f>VLOOKUP(Ruimtestaat[[#This Row],[Code]],Locaties[[#All],[Code]:[Postcode]],5,FALSE)</f>
        <v>2273 CS</v>
      </c>
      <c r="E916" s="157" t="str">
        <f>VLOOKUP(Ruimtestaat[[#This Row],[Code]],Locaties[#All],6,FALSE)</f>
        <v>Voorburg</v>
      </c>
      <c r="F916" s="62"/>
      <c r="G916" s="21" t="s">
        <v>1749</v>
      </c>
      <c r="H916" s="21" t="s">
        <v>2369</v>
      </c>
      <c r="I916" s="62" t="s">
        <v>2408</v>
      </c>
      <c r="J916" s="21">
        <v>5</v>
      </c>
      <c r="K916" s="62" t="str">
        <f>VLOOKUP(Ruimtestaat[[#This Row],[Ruimte code]],Ruimtegroepen[[#All],[Code]:[Ruimte omschrijving]],2,FALSE)</f>
        <v>Sanitair</v>
      </c>
      <c r="L916" s="33" t="s">
        <v>103</v>
      </c>
      <c r="M916" s="367" t="s">
        <v>2496</v>
      </c>
      <c r="N916" s="140">
        <v>8.6999999999999993</v>
      </c>
      <c r="O916" s="140"/>
      <c r="P916" s="125" t="str">
        <f>VLOOKUP(Ruimtestaat[[#This Row],[Ruimte code]],Ruimtegroepen[],4,FALSE)</f>
        <v>Sa</v>
      </c>
      <c r="R916" s="33">
        <v>40</v>
      </c>
      <c r="S916" s="33" t="s">
        <v>2</v>
      </c>
      <c r="T916" s="33">
        <f>IF(R916&gt;0,IF(RIGHT(Ruimtestaat[[#This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16" s="33">
        <f>IF(T916&gt;0,VLOOKUP($J916,Ruimtegroepen[],3,FALSE)*VLOOKUP($L916,Vloersoorten[],3,FALSE)*VLOOKUP($S916,Frequenties[],3,FALSE)*VLOOKUP($A916,Locaties[],3,FALSE),0)</f>
        <v>0</v>
      </c>
      <c r="V916" s="33">
        <f>Ruimtestaat[[#This Row],[Uitvoeringen werkdagen]]*Ruimtestaat[[#This Row],[Oppervlak (netto)]]</f>
        <v>1739.9999999999998</v>
      </c>
      <c r="W916" s="154">
        <f>IF(U916&gt;0,Ruimtestaat[[#This Row],[Prest. (m2 /jaar) werkdagen]]/Ruimtestaat[[#This Row],[Norm (m2/uur) werkdagen]],0)</f>
        <v>0</v>
      </c>
      <c r="X916" s="155">
        <f>Ruimtestaat[[#This Row],[uren / jaar werkdagen]]*Tariefsopbouw!$E$35</f>
        <v>0</v>
      </c>
      <c r="Y916" s="33"/>
      <c r="Z916" s="33">
        <f>IF(Ruimtestaat[[#This Row],[Frequentie weekend]]&gt;0,VALUE(LEFT(Y916,1))*R916,0)</f>
        <v>0</v>
      </c>
      <c r="AA916" s="97">
        <f>IF($Z916&gt;0,VLOOKUP($J916,Ruimtegroepen[],3,FALSE)*VLOOKUP($L916,Vloersoorten[],3,FALSE)*VLOOKUP($Y916,Frequenties[],3,FALSE)*VLOOKUP(Ruimtestaat[[#This Row],[Code]],Locaties[],3,FALSE),0)</f>
        <v>0</v>
      </c>
      <c r="AB916" s="97">
        <f>Ruimtestaat[[#This Row],[Uitvoeringen weekend]]*Ruimtestaat[[#This Row],[Oppervlak (netto)]]</f>
        <v>0</v>
      </c>
      <c r="AC916" s="97">
        <f>IF(AA916&gt;0,Ruimtestaat[[#This Row],[Prest. (m2 /jaar) weekend]]/Ruimtestaat[[#This Row],[Norm (m2/uur) weekend]],0)</f>
        <v>0</v>
      </c>
      <c r="AD916" s="155">
        <f>Ruimtestaat[[#This Row],[uren / jaar weekend]]*Tariefsopbouw!$D$40</f>
        <v>0</v>
      </c>
      <c r="AE916" s="154">
        <f>Ruimtestaat[[#This Row],[Prest. (m2 /jaar) weekend]]+Ruimtestaat[[#This Row],[Prest. (m2 /jaar) werkdagen]]</f>
        <v>1739.9999999999998</v>
      </c>
      <c r="AF916" s="154">
        <f>Ruimtestaat[[#This Row],[uren / jaar weekend]]+Ruimtestaat[[#This Row],[uren / jaar werkdagen]]</f>
        <v>0</v>
      </c>
      <c r="AG916" s="69">
        <f>Ruimtestaat[[#This Row],[kosten / jaar weekend]]+Ruimtestaat[[#This Row],[kosten / jaar werkdagen]]</f>
        <v>0</v>
      </c>
      <c r="AH916" s="69"/>
      <c r="AI916" s="256" t="str">
        <f>IF(Ruimtestaat[[#This Row],[Frequentie werkdagen]]="","",_xlfn.CONCAT(Ruimtestaat[[#This Row],[Ruimte code]],"-",Ruimtestaat[[#This Row],[Frequentie werkdagen]]," ",Ruimtestaat[[#This Row],[Vloer code]]))</f>
        <v>5-5w P</v>
      </c>
      <c r="AJ916" s="300" t="str">
        <f>_xlfn.IFNA(VLOOKUP($AI916,Programma!$F$3:$G$1107,2,0),"")</f>
        <v>_</v>
      </c>
      <c r="AK916" s="300" t="str">
        <f>_xlfn.IFNA(VLOOKUP($AI916,Programma!$F$3:$H$1107,3,0),"")</f>
        <v>_</v>
      </c>
      <c r="AL916" s="300" t="str">
        <f>_xlfn.IFNA(VLOOKUP($AI916,Programma!$F$3:$I$1107,4,0),"")</f>
        <v>_</v>
      </c>
      <c r="AM916" s="300" t="str">
        <f>_xlfn.IFNA(VLOOKUP($AI916,Programma!$F$3:$J$1107,5,0),"")</f>
        <v>4w</v>
      </c>
      <c r="AN916" s="300" t="str">
        <f>_xlfn.IFNA(VLOOKUP($AI916,Programma!$F$3:$K$1107,6,0),"")</f>
        <v>1w</v>
      </c>
      <c r="AO916" s="300" t="str">
        <f>_xlfn.IFNA(VLOOKUP($AI916,Programma!$F$3:$L$1107,7,0),"")</f>
        <v>_</v>
      </c>
      <c r="AP916" s="300" t="str">
        <f>_xlfn.IFNA(VLOOKUP($AI916,Programma!$F$3:$M$1107,8,0),"")</f>
        <v>_</v>
      </c>
      <c r="AQ916" s="300" t="str">
        <f>_xlfn.IFNA(VLOOKUP($AI916,Programma!$F$3:$N$1107,9,0),"")</f>
        <v>_</v>
      </c>
      <c r="AR916" s="300" t="str">
        <f>_xlfn.IFNA(VLOOKUP($AI916,Programma!$F$3:$O$1107,10,0),"")</f>
        <v>_</v>
      </c>
      <c r="AS916" s="300" t="str">
        <f>_xlfn.IFNA(VLOOKUP($AI916,Programma!$F$3:$P$1107,11,0),"")</f>
        <v>_</v>
      </c>
      <c r="AT916" s="300" t="str">
        <f>_xlfn.IFNA(VLOOKUP($AI916,Programma!$F$3:$Q$1107,12,0),"")</f>
        <v>_</v>
      </c>
      <c r="AU916" s="300" t="str">
        <f>_xlfn.IFNA(VLOOKUP($AI916,Programma!$F$3:$R$1107,13,0),"")</f>
        <v>_</v>
      </c>
      <c r="AV916" s="300" t="str">
        <f>_xlfn.IFNA(VLOOKUP($AI916,Programma!$F$3:$S$1107,14,0),"")</f>
        <v>_</v>
      </c>
      <c r="AW916" s="300" t="str">
        <f>_xlfn.IFNA(VLOOKUP($AI916,Programma!$F$3:$T$1107,15,0),"")</f>
        <v>_</v>
      </c>
      <c r="AX916" s="300" t="str">
        <f>_xlfn.IFNA(VLOOKUP($AI916,Programma!$F$3:$U$1107,16,0),"")</f>
        <v>_</v>
      </c>
      <c r="AY916" s="300" t="str">
        <f>_xlfn.IFNA(VLOOKUP($AI916,Programma!$F$3:$V$1107,17,0),"")</f>
        <v>_</v>
      </c>
      <c r="AZ916" s="300" t="str">
        <f>_xlfn.IFNA(VLOOKUP($AI916,Programma!$F$3:$W$1107,18,0),"")</f>
        <v>4w</v>
      </c>
      <c r="BA916" s="300" t="str">
        <f>_xlfn.IFNA(VLOOKUP($AI916,Programma!$F$3:$X$1107,19,0),"")</f>
        <v>1w</v>
      </c>
      <c r="BB916" s="300" t="str">
        <f>_xlfn.IFNA(VLOOKUP($AI916,Programma!$F$3:$Y$1107,20,0),"")</f>
        <v>_</v>
      </c>
      <c r="BC916" s="257"/>
      <c r="BD916" s="256" t="str">
        <f>IF(Ruimtestaat[[#This Row],[Frequentie weekend]]="","",_xlfn.CONCAT(Ruimtestaat[[#This Row],[Ruimte code]],"-",Ruimtestaat[[#This Row],[Frequentie weekend]]," ",Ruimtestaat[[#This Row],[Vloer code]]))</f>
        <v/>
      </c>
      <c r="BE916" s="300" t="str">
        <f>_xlfn.IFNA(VLOOKUP($BD916,Programma!$F$3:$G$1107,2,0),"")</f>
        <v/>
      </c>
      <c r="BF916" s="300" t="str">
        <f>_xlfn.IFNA(VLOOKUP($BD916,Programma!$F$3:$H$1107,3,0),"")</f>
        <v/>
      </c>
      <c r="BG916" s="300" t="str">
        <f>_xlfn.IFNA(VLOOKUP($BD916,Programma!$F$3:$I$1107,4,0),"")</f>
        <v/>
      </c>
      <c r="BH916" s="300" t="str">
        <f>_xlfn.IFNA(VLOOKUP($BD916,Programma!$F$3:$J$1107,5,0),"")</f>
        <v/>
      </c>
      <c r="BI916" s="300" t="str">
        <f>_xlfn.IFNA(VLOOKUP($BD916,Programma!$F$3:$K$1107,6,0),"")</f>
        <v/>
      </c>
      <c r="BJ916" s="300" t="str">
        <f>_xlfn.IFNA(VLOOKUP($BD916,Programma!$F$3:$L$1107,7,0),"")</f>
        <v/>
      </c>
      <c r="BK916" s="300" t="str">
        <f>_xlfn.IFNA(VLOOKUP($BD916,Programma!$F$3:$M$1107,8,0),"")</f>
        <v/>
      </c>
      <c r="BL916" s="300" t="str">
        <f>_xlfn.IFNA(VLOOKUP($BD916,Programma!$F$3:$N$1107,9,0),"")</f>
        <v/>
      </c>
      <c r="BM916" s="300" t="str">
        <f>_xlfn.IFNA(VLOOKUP($BD916,Programma!$F$3:$O$1107,10,0),"")</f>
        <v/>
      </c>
      <c r="BN916" s="300" t="str">
        <f>_xlfn.IFNA(VLOOKUP($BD916,Programma!$F$3:$P$1107,11,0),"")</f>
        <v/>
      </c>
      <c r="BO916" s="300" t="str">
        <f>_xlfn.IFNA(VLOOKUP($BD916,Programma!$F$3:$Q$1107,12,0),"")</f>
        <v/>
      </c>
      <c r="BP916" s="300" t="str">
        <f>_xlfn.IFNA(VLOOKUP($BD916,Programma!$F$3:$R$1107,13,0),"")</f>
        <v/>
      </c>
      <c r="BQ916" s="300" t="str">
        <f>_xlfn.IFNA(VLOOKUP($BD916,Programma!$F$3:$S$1107,14,0),"")</f>
        <v/>
      </c>
      <c r="BR916" s="300" t="str">
        <f>_xlfn.IFNA(VLOOKUP($BD916,Programma!$F$3:$T$1107,15,0),"")</f>
        <v/>
      </c>
      <c r="BS916" s="300" t="str">
        <f>_xlfn.IFNA(VLOOKUP($BD916,Programma!$F$3:$U$1107,16,0),"")</f>
        <v/>
      </c>
      <c r="BT916" s="300" t="str">
        <f>_xlfn.IFNA(VLOOKUP($BD916,Programma!$F$3:$V$1107,17,0),"")</f>
        <v/>
      </c>
      <c r="BU916" s="300" t="str">
        <f>_xlfn.IFNA(VLOOKUP($BD916,Programma!$F$3:$W$1107,18,0),"")</f>
        <v/>
      </c>
      <c r="BV916" s="300" t="str">
        <f>_xlfn.IFNA(VLOOKUP($BD916,Programma!$F$3:$X$1107,19,0),"")</f>
        <v/>
      </c>
      <c r="BW916" s="300" t="str">
        <f>_xlfn.IFNA(VLOOKUP($BD916,Programma!$F$3:$Y$1107,20,0),"")</f>
        <v/>
      </c>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c r="GK916" s="4"/>
      <c r="GL916" s="4"/>
      <c r="GM916" s="4"/>
      <c r="GN916" s="4"/>
      <c r="GO916" s="4"/>
      <c r="GP916" s="4"/>
      <c r="GQ916" s="4"/>
      <c r="GR916" s="4"/>
      <c r="GS916" s="4"/>
      <c r="GT916" s="4"/>
      <c r="GU916" s="4"/>
      <c r="GV916" s="4"/>
      <c r="GW916" s="4"/>
      <c r="GX916" s="4"/>
      <c r="GY916" s="4"/>
      <c r="GZ916" s="4"/>
      <c r="HA916" s="4"/>
      <c r="HB916" s="4"/>
      <c r="HC916" s="4"/>
      <c r="HD916" s="4"/>
      <c r="HE916" s="4"/>
      <c r="HF916" s="4"/>
      <c r="HG916" s="4"/>
      <c r="HH916" s="4"/>
      <c r="HI916" s="4"/>
      <c r="HJ916" s="4"/>
      <c r="HK916" s="4"/>
      <c r="HL916" s="4"/>
    </row>
    <row r="917" spans="1:220" ht="15" customHeight="1">
      <c r="A917" s="21">
        <v>10</v>
      </c>
      <c r="B917" s="157" t="str">
        <f>VLOOKUP(Ruimtestaat[[#This Row],[Code]],Locaties[[Code]:[Locatie]],2,FALSE)</f>
        <v>Veurs Voorburg vmbo</v>
      </c>
      <c r="C917" s="157" t="str">
        <f>VLOOKUP(Ruimtestaat[[#This Row],[Code]],Locaties[[#All],[Code]:[Adres]],4,FALSE)</f>
        <v>Delflandlaan 4</v>
      </c>
      <c r="D917" s="157" t="str">
        <f>VLOOKUP(Ruimtestaat[[#This Row],[Code]],Locaties[[#All],[Code]:[Postcode]],5,FALSE)</f>
        <v>2273 CS</v>
      </c>
      <c r="E917" s="157" t="str">
        <f>VLOOKUP(Ruimtestaat[[#This Row],[Code]],Locaties[#All],6,FALSE)</f>
        <v>Voorburg</v>
      </c>
      <c r="F917" s="62"/>
      <c r="G917" s="21" t="s">
        <v>1749</v>
      </c>
      <c r="H917" s="21" t="s">
        <v>2369</v>
      </c>
      <c r="I917" s="62" t="s">
        <v>2409</v>
      </c>
      <c r="J917" s="21">
        <v>14</v>
      </c>
      <c r="K917" s="62" t="str">
        <f>VLOOKUP(Ruimtestaat[[#This Row],[Ruimte code]],Ruimtegroepen[[#All],[Code]:[Ruimte omschrijving]],2,FALSE)</f>
        <v>Praktijklokalen binas/zorg</v>
      </c>
      <c r="L917" s="33" t="s">
        <v>103</v>
      </c>
      <c r="M917" s="367" t="s">
        <v>2527</v>
      </c>
      <c r="N917" s="140">
        <v>59.5</v>
      </c>
      <c r="O917" s="140"/>
      <c r="P917" s="125" t="str">
        <f>VLOOKUP(Ruimtestaat[[#This Row],[Ruimte code]],Ruimtegroepen[],4,FALSE)</f>
        <v>Le</v>
      </c>
      <c r="R917" s="33">
        <v>40</v>
      </c>
      <c r="S917" s="33" t="s">
        <v>2</v>
      </c>
      <c r="T917" s="33">
        <f>IF(R917&gt;0,IF(RIGHT(Ruimtestaat[[#This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17" s="33">
        <f>IF(T917&gt;0,VLOOKUP($J917,Ruimtegroepen[],3,FALSE)*VLOOKUP($L917,Vloersoorten[],3,FALSE)*VLOOKUP($S917,Frequenties[],3,FALSE)*VLOOKUP($A917,Locaties[],3,FALSE),0)</f>
        <v>0</v>
      </c>
      <c r="V917" s="33">
        <f>Ruimtestaat[[#This Row],[Uitvoeringen werkdagen]]*Ruimtestaat[[#This Row],[Oppervlak (netto)]]</f>
        <v>11900</v>
      </c>
      <c r="W917" s="154">
        <f>IF(U917&gt;0,Ruimtestaat[[#This Row],[Prest. (m2 /jaar) werkdagen]]/Ruimtestaat[[#This Row],[Norm (m2/uur) werkdagen]],0)</f>
        <v>0</v>
      </c>
      <c r="X917" s="155">
        <f>Ruimtestaat[[#This Row],[uren / jaar werkdagen]]*Tariefsopbouw!$E$35</f>
        <v>0</v>
      </c>
      <c r="Y917" s="33"/>
      <c r="Z917" s="33">
        <f>IF(Ruimtestaat[[#This Row],[Frequentie weekend]]&gt;0,VALUE(LEFT(Y917,1))*R917,0)</f>
        <v>0</v>
      </c>
      <c r="AA917" s="97">
        <f>IF($Z917&gt;0,VLOOKUP($J917,Ruimtegroepen[],3,FALSE)*VLOOKUP($L917,Vloersoorten[],3,FALSE)*VLOOKUP($Y917,Frequenties[],3,FALSE)*VLOOKUP(Ruimtestaat[[#This Row],[Code]],Locaties[],3,FALSE),0)</f>
        <v>0</v>
      </c>
      <c r="AB917" s="97">
        <f>Ruimtestaat[[#This Row],[Uitvoeringen weekend]]*Ruimtestaat[[#This Row],[Oppervlak (netto)]]</f>
        <v>0</v>
      </c>
      <c r="AC917" s="97">
        <f>IF(AA917&gt;0,Ruimtestaat[[#This Row],[Prest. (m2 /jaar) weekend]]/Ruimtestaat[[#This Row],[Norm (m2/uur) weekend]],0)</f>
        <v>0</v>
      </c>
      <c r="AD917" s="155">
        <f>Ruimtestaat[[#This Row],[uren / jaar weekend]]*Tariefsopbouw!$D$40</f>
        <v>0</v>
      </c>
      <c r="AE917" s="154">
        <f>Ruimtestaat[[#This Row],[Prest. (m2 /jaar) weekend]]+Ruimtestaat[[#This Row],[Prest. (m2 /jaar) werkdagen]]</f>
        <v>11900</v>
      </c>
      <c r="AF917" s="154">
        <f>Ruimtestaat[[#This Row],[uren / jaar weekend]]+Ruimtestaat[[#This Row],[uren / jaar werkdagen]]</f>
        <v>0</v>
      </c>
      <c r="AG917" s="69">
        <f>Ruimtestaat[[#This Row],[kosten / jaar weekend]]+Ruimtestaat[[#This Row],[kosten / jaar werkdagen]]</f>
        <v>0</v>
      </c>
      <c r="AH917" s="69"/>
      <c r="AI917" s="256" t="str">
        <f>IF(Ruimtestaat[[#This Row],[Frequentie werkdagen]]="","",_xlfn.CONCAT(Ruimtestaat[[#This Row],[Ruimte code]],"-",Ruimtestaat[[#This Row],[Frequentie werkdagen]]," ",Ruimtestaat[[#This Row],[Vloer code]]))</f>
        <v>14-5w P</v>
      </c>
      <c r="AJ917" s="300" t="str">
        <f>_xlfn.IFNA(VLOOKUP($AI917,Programma!$F$3:$G$1107,2,0),"")</f>
        <v>_</v>
      </c>
      <c r="AK917" s="300" t="str">
        <f>_xlfn.IFNA(VLOOKUP($AI917,Programma!$F$3:$H$1107,3,0),"")</f>
        <v>_</v>
      </c>
      <c r="AL917" s="300" t="str">
        <f>_xlfn.IFNA(VLOOKUP($AI917,Programma!$F$3:$I$1107,4,0),"")</f>
        <v>5w</v>
      </c>
      <c r="AM917" s="300" t="str">
        <f>_xlfn.IFNA(VLOOKUP($AI917,Programma!$F$3:$J$1107,5,0),"")</f>
        <v>_</v>
      </c>
      <c r="AN917" s="300" t="str">
        <f>_xlfn.IFNA(VLOOKUP($AI917,Programma!$F$3:$K$1107,6,0),"")</f>
        <v>5w</v>
      </c>
      <c r="AO917" s="300" t="str">
        <f>_xlfn.IFNA(VLOOKUP($AI917,Programma!$F$3:$L$1107,7,0),"")</f>
        <v>_</v>
      </c>
      <c r="AP917" s="300" t="str">
        <f>_xlfn.IFNA(VLOOKUP($AI917,Programma!$F$3:$M$1107,8,0),"")</f>
        <v>_</v>
      </c>
      <c r="AQ917" s="300" t="str">
        <f>_xlfn.IFNA(VLOOKUP($AI917,Programma!$F$3:$N$1107,9,0),"")</f>
        <v>_</v>
      </c>
      <c r="AR917" s="300" t="str">
        <f>_xlfn.IFNA(VLOOKUP($AI917,Programma!$F$3:$O$1107,10,0),"")</f>
        <v>5w</v>
      </c>
      <c r="AS917" s="300" t="str">
        <f>_xlfn.IFNA(VLOOKUP($AI917,Programma!$F$3:$P$1107,11,0),"")</f>
        <v>5w</v>
      </c>
      <c r="AT917" s="300" t="str">
        <f>_xlfn.IFNA(VLOOKUP($AI917,Programma!$F$3:$Q$1107,12,0),"")</f>
        <v>1w</v>
      </c>
      <c r="AU917" s="300" t="str">
        <f>_xlfn.IFNA(VLOOKUP($AI917,Programma!$F$3:$R$1107,13,0),"")</f>
        <v>1w</v>
      </c>
      <c r="AV917" s="300" t="str">
        <f>_xlfn.IFNA(VLOOKUP($AI917,Programma!$F$3:$S$1107,14,0),"")</f>
        <v>1m</v>
      </c>
      <c r="AW917" s="300" t="str">
        <f>_xlfn.IFNA(VLOOKUP($AI917,Programma!$F$3:$T$1107,15,0),"")</f>
        <v>2j</v>
      </c>
      <c r="AX917" s="300" t="str">
        <f>_xlfn.IFNA(VLOOKUP($AI917,Programma!$F$3:$U$1107,16,0),"")</f>
        <v>1j</v>
      </c>
      <c r="AY917" s="300" t="str">
        <f>_xlfn.IFNA(VLOOKUP($AI917,Programma!$F$3:$V$1107,17,0),"")</f>
        <v>_</v>
      </c>
      <c r="AZ917" s="300" t="str">
        <f>_xlfn.IFNA(VLOOKUP($AI917,Programma!$F$3:$W$1107,18,0),"")</f>
        <v>_</v>
      </c>
      <c r="BA917" s="300" t="str">
        <f>_xlfn.IFNA(VLOOKUP($AI917,Programma!$F$3:$X$1107,19,0),"")</f>
        <v>_</v>
      </c>
      <c r="BB917" s="300" t="str">
        <f>_xlfn.IFNA(VLOOKUP($AI917,Programma!$F$3:$Y$1107,20,0),"")</f>
        <v>_</v>
      </c>
      <c r="BC917" s="257"/>
      <c r="BD917" s="256" t="str">
        <f>IF(Ruimtestaat[[#This Row],[Frequentie weekend]]="","",_xlfn.CONCAT(Ruimtestaat[[#This Row],[Ruimte code]],"-",Ruimtestaat[[#This Row],[Frequentie weekend]]," ",Ruimtestaat[[#This Row],[Vloer code]]))</f>
        <v/>
      </c>
      <c r="BE917" s="300" t="str">
        <f>_xlfn.IFNA(VLOOKUP($BD917,Programma!$F$3:$G$1107,2,0),"")</f>
        <v/>
      </c>
      <c r="BF917" s="300" t="str">
        <f>_xlfn.IFNA(VLOOKUP($BD917,Programma!$F$3:$H$1107,3,0),"")</f>
        <v/>
      </c>
      <c r="BG917" s="300" t="str">
        <f>_xlfn.IFNA(VLOOKUP($BD917,Programma!$F$3:$I$1107,4,0),"")</f>
        <v/>
      </c>
      <c r="BH917" s="300" t="str">
        <f>_xlfn.IFNA(VLOOKUP($BD917,Programma!$F$3:$J$1107,5,0),"")</f>
        <v/>
      </c>
      <c r="BI917" s="300" t="str">
        <f>_xlfn.IFNA(VLOOKUP($BD917,Programma!$F$3:$K$1107,6,0),"")</f>
        <v/>
      </c>
      <c r="BJ917" s="300" t="str">
        <f>_xlfn.IFNA(VLOOKUP($BD917,Programma!$F$3:$L$1107,7,0),"")</f>
        <v/>
      </c>
      <c r="BK917" s="300" t="str">
        <f>_xlfn.IFNA(VLOOKUP($BD917,Programma!$F$3:$M$1107,8,0),"")</f>
        <v/>
      </c>
      <c r="BL917" s="300" t="str">
        <f>_xlfn.IFNA(VLOOKUP($BD917,Programma!$F$3:$N$1107,9,0),"")</f>
        <v/>
      </c>
      <c r="BM917" s="300" t="str">
        <f>_xlfn.IFNA(VLOOKUP($BD917,Programma!$F$3:$O$1107,10,0),"")</f>
        <v/>
      </c>
      <c r="BN917" s="300" t="str">
        <f>_xlfn.IFNA(VLOOKUP($BD917,Programma!$F$3:$P$1107,11,0),"")</f>
        <v/>
      </c>
      <c r="BO917" s="300" t="str">
        <f>_xlfn.IFNA(VLOOKUP($BD917,Programma!$F$3:$Q$1107,12,0),"")</f>
        <v/>
      </c>
      <c r="BP917" s="300" t="str">
        <f>_xlfn.IFNA(VLOOKUP($BD917,Programma!$F$3:$R$1107,13,0),"")</f>
        <v/>
      </c>
      <c r="BQ917" s="300" t="str">
        <f>_xlfn.IFNA(VLOOKUP($BD917,Programma!$F$3:$S$1107,14,0),"")</f>
        <v/>
      </c>
      <c r="BR917" s="300" t="str">
        <f>_xlfn.IFNA(VLOOKUP($BD917,Programma!$F$3:$T$1107,15,0),"")</f>
        <v/>
      </c>
      <c r="BS917" s="300" t="str">
        <f>_xlfn.IFNA(VLOOKUP($BD917,Programma!$F$3:$U$1107,16,0),"")</f>
        <v/>
      </c>
      <c r="BT917" s="300" t="str">
        <f>_xlfn.IFNA(VLOOKUP($BD917,Programma!$F$3:$V$1107,17,0),"")</f>
        <v/>
      </c>
      <c r="BU917" s="300" t="str">
        <f>_xlfn.IFNA(VLOOKUP($BD917,Programma!$F$3:$W$1107,18,0),"")</f>
        <v/>
      </c>
      <c r="BV917" s="300" t="str">
        <f>_xlfn.IFNA(VLOOKUP($BD917,Programma!$F$3:$X$1107,19,0),"")</f>
        <v/>
      </c>
      <c r="BW917" s="300" t="str">
        <f>_xlfn.IFNA(VLOOKUP($BD917,Programma!$F$3:$Y$1107,20,0),"")</f>
        <v/>
      </c>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c r="GK917" s="4"/>
      <c r="GL917" s="4"/>
      <c r="GM917" s="4"/>
      <c r="GN917" s="4"/>
      <c r="GO917" s="4"/>
      <c r="GP917" s="4"/>
      <c r="GQ917" s="4"/>
      <c r="GR917" s="4"/>
      <c r="GS917" s="4"/>
      <c r="GT917" s="4"/>
      <c r="GU917" s="4"/>
      <c r="GV917" s="4"/>
      <c r="GW917" s="4"/>
      <c r="GX917" s="4"/>
      <c r="GY917" s="4"/>
      <c r="GZ917" s="4"/>
      <c r="HA917" s="4"/>
      <c r="HB917" s="4"/>
      <c r="HC917" s="4"/>
      <c r="HD917" s="4"/>
      <c r="HE917" s="4"/>
      <c r="HF917" s="4"/>
      <c r="HG917" s="4"/>
      <c r="HH917" s="4"/>
      <c r="HI917" s="4"/>
      <c r="HJ917" s="4"/>
      <c r="HK917" s="4"/>
      <c r="HL917" s="4"/>
    </row>
    <row r="918" spans="1:220" ht="15" customHeight="1">
      <c r="A918" s="21">
        <v>10</v>
      </c>
      <c r="B918" s="157" t="str">
        <f>VLOOKUP(Ruimtestaat[[#This Row],[Code]],Locaties[[Code]:[Locatie]],2,FALSE)</f>
        <v>Veurs Voorburg vmbo</v>
      </c>
      <c r="C918" s="157" t="str">
        <f>VLOOKUP(Ruimtestaat[[#This Row],[Code]],Locaties[[#All],[Code]:[Adres]],4,FALSE)</f>
        <v>Delflandlaan 4</v>
      </c>
      <c r="D918" s="157" t="str">
        <f>VLOOKUP(Ruimtestaat[[#This Row],[Code]],Locaties[[#All],[Code]:[Postcode]],5,FALSE)</f>
        <v>2273 CS</v>
      </c>
      <c r="E918" s="157" t="str">
        <f>VLOOKUP(Ruimtestaat[[#This Row],[Code]],Locaties[#All],6,FALSE)</f>
        <v>Voorburg</v>
      </c>
      <c r="F918" s="62"/>
      <c r="G918" s="21" t="s">
        <v>1749</v>
      </c>
      <c r="H918" s="21" t="s">
        <v>2371</v>
      </c>
      <c r="I918" s="62" t="s">
        <v>2410</v>
      </c>
      <c r="J918" s="21">
        <v>20</v>
      </c>
      <c r="K918" s="62" t="str">
        <f>VLOOKUP(Ruimtestaat[[#This Row],[Ruimte code]],Ruimtegroepen[[#All],[Code]:[Ruimte omschrijving]],2,FALSE)</f>
        <v>Niet in Onderhoud</v>
      </c>
      <c r="L918" s="33" t="s">
        <v>101</v>
      </c>
      <c r="M918" s="367" t="s">
        <v>2506</v>
      </c>
      <c r="N918" s="140"/>
      <c r="O918" s="140">
        <v>10.3</v>
      </c>
      <c r="P918" s="125">
        <f>VLOOKUP(Ruimtestaat[[#This Row],[Ruimte code]],Ruimtegroepen[],4,FALSE)</f>
        <v>0</v>
      </c>
      <c r="R918" s="33"/>
      <c r="S918" s="33"/>
      <c r="T918" s="33">
        <f>IF(R918&gt;0,IF(RIGHT(Ruimtestaat[[#This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18" s="33">
        <f>IF(T918&gt;0,VLOOKUP($J918,Ruimtegroepen[],3,FALSE)*VLOOKUP($L918,Vloersoorten[],3,FALSE)*VLOOKUP($S918,Frequenties[],3,FALSE)*VLOOKUP($A918,Locaties[],3,FALSE),0)</f>
        <v>0</v>
      </c>
      <c r="V918" s="33">
        <f>Ruimtestaat[[#This Row],[Uitvoeringen werkdagen]]*Ruimtestaat[[#This Row],[Oppervlak (netto)]]</f>
        <v>0</v>
      </c>
      <c r="W918" s="154">
        <f>IF(U918&gt;0,Ruimtestaat[[#This Row],[Prest. (m2 /jaar) werkdagen]]/Ruimtestaat[[#This Row],[Norm (m2/uur) werkdagen]],0)</f>
        <v>0</v>
      </c>
      <c r="X918" s="155">
        <f>Ruimtestaat[[#This Row],[uren / jaar werkdagen]]*Tariefsopbouw!$E$35</f>
        <v>0</v>
      </c>
      <c r="Y918" s="33"/>
      <c r="Z918" s="33">
        <f>IF(Ruimtestaat[[#This Row],[Frequentie weekend]]&gt;0,VALUE(LEFT(Y918,1))*R918,0)</f>
        <v>0</v>
      </c>
      <c r="AA918" s="97">
        <f>IF($Z918&gt;0,VLOOKUP($J918,Ruimtegroepen[],3,FALSE)*VLOOKUP($L918,Vloersoorten[],3,FALSE)*VLOOKUP($Y918,Frequenties[],3,FALSE)*VLOOKUP(Ruimtestaat[[#This Row],[Code]],Locaties[],3,FALSE),0)</f>
        <v>0</v>
      </c>
      <c r="AB918" s="97">
        <f>Ruimtestaat[[#This Row],[Uitvoeringen weekend]]*Ruimtestaat[[#This Row],[Oppervlak (netto)]]</f>
        <v>0</v>
      </c>
      <c r="AC918" s="97">
        <f>IF(AA918&gt;0,Ruimtestaat[[#This Row],[Prest. (m2 /jaar) weekend]]/Ruimtestaat[[#This Row],[Norm (m2/uur) weekend]],0)</f>
        <v>0</v>
      </c>
      <c r="AD918" s="155">
        <f>Ruimtestaat[[#This Row],[uren / jaar weekend]]*Tariefsopbouw!$D$40</f>
        <v>0</v>
      </c>
      <c r="AE918" s="154">
        <f>Ruimtestaat[[#This Row],[Prest. (m2 /jaar) weekend]]+Ruimtestaat[[#This Row],[Prest. (m2 /jaar) werkdagen]]</f>
        <v>0</v>
      </c>
      <c r="AF918" s="154">
        <f>Ruimtestaat[[#This Row],[uren / jaar weekend]]+Ruimtestaat[[#This Row],[uren / jaar werkdagen]]</f>
        <v>0</v>
      </c>
      <c r="AG918" s="69">
        <f>Ruimtestaat[[#This Row],[kosten / jaar weekend]]+Ruimtestaat[[#This Row],[kosten / jaar werkdagen]]</f>
        <v>0</v>
      </c>
      <c r="AH918" s="69"/>
      <c r="AI918" s="256" t="str">
        <f>IF(Ruimtestaat[[#This Row],[Frequentie werkdagen]]="","",_xlfn.CONCAT(Ruimtestaat[[#This Row],[Ruimte code]],"-",Ruimtestaat[[#This Row],[Frequentie werkdagen]]," ",Ruimtestaat[[#This Row],[Vloer code]]))</f>
        <v/>
      </c>
      <c r="AJ918" s="300" t="str">
        <f>_xlfn.IFNA(VLOOKUP($AI918,Programma!$F$3:$G$1107,2,0),"")</f>
        <v/>
      </c>
      <c r="AK918" s="300" t="str">
        <f>_xlfn.IFNA(VLOOKUP($AI918,Programma!$F$3:$H$1107,3,0),"")</f>
        <v/>
      </c>
      <c r="AL918" s="300" t="str">
        <f>_xlfn.IFNA(VLOOKUP($AI918,Programma!$F$3:$I$1107,4,0),"")</f>
        <v/>
      </c>
      <c r="AM918" s="300" t="str">
        <f>_xlfn.IFNA(VLOOKUP($AI918,Programma!$F$3:$J$1107,5,0),"")</f>
        <v/>
      </c>
      <c r="AN918" s="300" t="str">
        <f>_xlfn.IFNA(VLOOKUP($AI918,Programma!$F$3:$K$1107,6,0),"")</f>
        <v/>
      </c>
      <c r="AO918" s="300" t="str">
        <f>_xlfn.IFNA(VLOOKUP($AI918,Programma!$F$3:$L$1107,7,0),"")</f>
        <v/>
      </c>
      <c r="AP918" s="300" t="str">
        <f>_xlfn.IFNA(VLOOKUP($AI918,Programma!$F$3:$M$1107,8,0),"")</f>
        <v/>
      </c>
      <c r="AQ918" s="300" t="str">
        <f>_xlfn.IFNA(VLOOKUP($AI918,Programma!$F$3:$N$1107,9,0),"")</f>
        <v/>
      </c>
      <c r="AR918" s="300" t="str">
        <f>_xlfn.IFNA(VLOOKUP($AI918,Programma!$F$3:$O$1107,10,0),"")</f>
        <v/>
      </c>
      <c r="AS918" s="300" t="str">
        <f>_xlfn.IFNA(VLOOKUP($AI918,Programma!$F$3:$P$1107,11,0),"")</f>
        <v/>
      </c>
      <c r="AT918" s="300" t="str">
        <f>_xlfn.IFNA(VLOOKUP($AI918,Programma!$F$3:$Q$1107,12,0),"")</f>
        <v/>
      </c>
      <c r="AU918" s="300" t="str">
        <f>_xlfn.IFNA(VLOOKUP($AI918,Programma!$F$3:$R$1107,13,0),"")</f>
        <v/>
      </c>
      <c r="AV918" s="300" t="str">
        <f>_xlfn.IFNA(VLOOKUP($AI918,Programma!$F$3:$S$1107,14,0),"")</f>
        <v/>
      </c>
      <c r="AW918" s="300" t="str">
        <f>_xlfn.IFNA(VLOOKUP($AI918,Programma!$F$3:$T$1107,15,0),"")</f>
        <v/>
      </c>
      <c r="AX918" s="300" t="str">
        <f>_xlfn.IFNA(VLOOKUP($AI918,Programma!$F$3:$U$1107,16,0),"")</f>
        <v/>
      </c>
      <c r="AY918" s="300" t="str">
        <f>_xlfn.IFNA(VLOOKUP($AI918,Programma!$F$3:$V$1107,17,0),"")</f>
        <v/>
      </c>
      <c r="AZ918" s="300" t="str">
        <f>_xlfn.IFNA(VLOOKUP($AI918,Programma!$F$3:$W$1107,18,0),"")</f>
        <v/>
      </c>
      <c r="BA918" s="300" t="str">
        <f>_xlfn.IFNA(VLOOKUP($AI918,Programma!$F$3:$X$1107,19,0),"")</f>
        <v/>
      </c>
      <c r="BB918" s="300" t="str">
        <f>_xlfn.IFNA(VLOOKUP($AI918,Programma!$F$3:$Y$1107,20,0),"")</f>
        <v/>
      </c>
      <c r="BC918" s="257"/>
      <c r="BD918" s="256" t="str">
        <f>IF(Ruimtestaat[[#This Row],[Frequentie weekend]]="","",_xlfn.CONCAT(Ruimtestaat[[#This Row],[Ruimte code]],"-",Ruimtestaat[[#This Row],[Frequentie weekend]]," ",Ruimtestaat[[#This Row],[Vloer code]]))</f>
        <v/>
      </c>
      <c r="BE918" s="300" t="str">
        <f>_xlfn.IFNA(VLOOKUP($BD918,Programma!$F$3:$G$1107,2,0),"")</f>
        <v/>
      </c>
      <c r="BF918" s="300" t="str">
        <f>_xlfn.IFNA(VLOOKUP($BD918,Programma!$F$3:$H$1107,3,0),"")</f>
        <v/>
      </c>
      <c r="BG918" s="300" t="str">
        <f>_xlfn.IFNA(VLOOKUP($BD918,Programma!$F$3:$I$1107,4,0),"")</f>
        <v/>
      </c>
      <c r="BH918" s="300" t="str">
        <f>_xlfn.IFNA(VLOOKUP($BD918,Programma!$F$3:$J$1107,5,0),"")</f>
        <v/>
      </c>
      <c r="BI918" s="300" t="str">
        <f>_xlfn.IFNA(VLOOKUP($BD918,Programma!$F$3:$K$1107,6,0),"")</f>
        <v/>
      </c>
      <c r="BJ918" s="300" t="str">
        <f>_xlfn.IFNA(VLOOKUP($BD918,Programma!$F$3:$L$1107,7,0),"")</f>
        <v/>
      </c>
      <c r="BK918" s="300" t="str">
        <f>_xlfn.IFNA(VLOOKUP($BD918,Programma!$F$3:$M$1107,8,0),"")</f>
        <v/>
      </c>
      <c r="BL918" s="300" t="str">
        <f>_xlfn.IFNA(VLOOKUP($BD918,Programma!$F$3:$N$1107,9,0),"")</f>
        <v/>
      </c>
      <c r="BM918" s="300" t="str">
        <f>_xlfn.IFNA(VLOOKUP($BD918,Programma!$F$3:$O$1107,10,0),"")</f>
        <v/>
      </c>
      <c r="BN918" s="300" t="str">
        <f>_xlfn.IFNA(VLOOKUP($BD918,Programma!$F$3:$P$1107,11,0),"")</f>
        <v/>
      </c>
      <c r="BO918" s="300" t="str">
        <f>_xlfn.IFNA(VLOOKUP($BD918,Programma!$F$3:$Q$1107,12,0),"")</f>
        <v/>
      </c>
      <c r="BP918" s="300" t="str">
        <f>_xlfn.IFNA(VLOOKUP($BD918,Programma!$F$3:$R$1107,13,0),"")</f>
        <v/>
      </c>
      <c r="BQ918" s="300" t="str">
        <f>_xlfn.IFNA(VLOOKUP($BD918,Programma!$F$3:$S$1107,14,0),"")</f>
        <v/>
      </c>
      <c r="BR918" s="300" t="str">
        <f>_xlfn.IFNA(VLOOKUP($BD918,Programma!$F$3:$T$1107,15,0),"")</f>
        <v/>
      </c>
      <c r="BS918" s="300" t="str">
        <f>_xlfn.IFNA(VLOOKUP($BD918,Programma!$F$3:$U$1107,16,0),"")</f>
        <v/>
      </c>
      <c r="BT918" s="300" t="str">
        <f>_xlfn.IFNA(VLOOKUP($BD918,Programma!$F$3:$V$1107,17,0),"")</f>
        <v/>
      </c>
      <c r="BU918" s="300" t="str">
        <f>_xlfn.IFNA(VLOOKUP($BD918,Programma!$F$3:$W$1107,18,0),"")</f>
        <v/>
      </c>
      <c r="BV918" s="300" t="str">
        <f>_xlfn.IFNA(VLOOKUP($BD918,Programma!$F$3:$X$1107,19,0),"")</f>
        <v/>
      </c>
      <c r="BW918" s="300" t="str">
        <f>_xlfn.IFNA(VLOOKUP($BD918,Programma!$F$3:$Y$1107,20,0),"")</f>
        <v/>
      </c>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c r="GK918" s="4"/>
      <c r="GL918" s="4"/>
      <c r="GM918" s="4"/>
      <c r="GN918" s="4"/>
      <c r="GO918" s="4"/>
      <c r="GP918" s="4"/>
      <c r="GQ918" s="4"/>
      <c r="GR918" s="4"/>
      <c r="GS918" s="4"/>
      <c r="GT918" s="4"/>
      <c r="GU918" s="4"/>
      <c r="GV918" s="4"/>
      <c r="GW918" s="4"/>
      <c r="GX918" s="4"/>
      <c r="GY918" s="4"/>
      <c r="GZ918" s="4"/>
      <c r="HA918" s="4"/>
      <c r="HB918" s="4"/>
      <c r="HC918" s="4"/>
      <c r="HD918" s="4"/>
      <c r="HE918" s="4"/>
      <c r="HF918" s="4"/>
      <c r="HG918" s="4"/>
      <c r="HH918" s="4"/>
      <c r="HI918" s="4"/>
      <c r="HJ918" s="4"/>
      <c r="HK918" s="4"/>
      <c r="HL918" s="4"/>
    </row>
    <row r="919" spans="1:220" ht="15" customHeight="1">
      <c r="A919" s="21">
        <v>10</v>
      </c>
      <c r="B919" s="157" t="str">
        <f>VLOOKUP(Ruimtestaat[[#This Row],[Code]],Locaties[[Code]:[Locatie]],2,FALSE)</f>
        <v>Veurs Voorburg vmbo</v>
      </c>
      <c r="C919" s="157" t="str">
        <f>VLOOKUP(Ruimtestaat[[#This Row],[Code]],Locaties[[#All],[Code]:[Adres]],4,FALSE)</f>
        <v>Delflandlaan 4</v>
      </c>
      <c r="D919" s="157" t="str">
        <f>VLOOKUP(Ruimtestaat[[#This Row],[Code]],Locaties[[#All],[Code]:[Postcode]],5,FALSE)</f>
        <v>2273 CS</v>
      </c>
      <c r="E919" s="157" t="str">
        <f>VLOOKUP(Ruimtestaat[[#This Row],[Code]],Locaties[#All],6,FALSE)</f>
        <v>Voorburg</v>
      </c>
      <c r="F919" s="62"/>
      <c r="G919" s="21" t="s">
        <v>1749</v>
      </c>
      <c r="H919" s="21" t="s">
        <v>2411</v>
      </c>
      <c r="I919" s="62" t="s">
        <v>2412</v>
      </c>
      <c r="J919" s="21">
        <v>20</v>
      </c>
      <c r="K919" s="62" t="str">
        <f>VLOOKUP(Ruimtestaat[[#This Row],[Ruimte code]],Ruimtegroepen[[#All],[Code]:[Ruimte omschrijving]],2,FALSE)</f>
        <v>Niet in Onderhoud</v>
      </c>
      <c r="L919" s="33" t="s">
        <v>102</v>
      </c>
      <c r="M919" s="367" t="s">
        <v>2529</v>
      </c>
      <c r="N919" s="140"/>
      <c r="O919" s="140">
        <v>16.3</v>
      </c>
      <c r="P919" s="125">
        <f>VLOOKUP(Ruimtestaat[[#This Row],[Ruimte code]],Ruimtegroepen[],4,FALSE)</f>
        <v>0</v>
      </c>
      <c r="R919" s="33"/>
      <c r="S919" s="33"/>
      <c r="T919" s="33">
        <f>IF(R919&gt;0,IF(RIGHT(Ruimtestaat[[#This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19" s="33">
        <f>IF(T919&gt;0,VLOOKUP($J919,Ruimtegroepen[],3,FALSE)*VLOOKUP($L919,Vloersoorten[],3,FALSE)*VLOOKUP($S919,Frequenties[],3,FALSE)*VLOOKUP($A919,Locaties[],3,FALSE),0)</f>
        <v>0</v>
      </c>
      <c r="V919" s="33">
        <f>Ruimtestaat[[#This Row],[Uitvoeringen werkdagen]]*Ruimtestaat[[#This Row],[Oppervlak (netto)]]</f>
        <v>0</v>
      </c>
      <c r="W919" s="154">
        <f>IF(U919&gt;0,Ruimtestaat[[#This Row],[Prest. (m2 /jaar) werkdagen]]/Ruimtestaat[[#This Row],[Norm (m2/uur) werkdagen]],0)</f>
        <v>0</v>
      </c>
      <c r="X919" s="155">
        <f>Ruimtestaat[[#This Row],[uren / jaar werkdagen]]*Tariefsopbouw!$E$35</f>
        <v>0</v>
      </c>
      <c r="Y919" s="33"/>
      <c r="Z919" s="33">
        <f>IF(Ruimtestaat[[#This Row],[Frequentie weekend]]&gt;0,VALUE(LEFT(Y919,1))*R919,0)</f>
        <v>0</v>
      </c>
      <c r="AA919" s="97">
        <f>IF($Z919&gt;0,VLOOKUP($J919,Ruimtegroepen[],3,FALSE)*VLOOKUP($L919,Vloersoorten[],3,FALSE)*VLOOKUP($Y919,Frequenties[],3,FALSE)*VLOOKUP(Ruimtestaat[[#This Row],[Code]],Locaties[],3,FALSE),0)</f>
        <v>0</v>
      </c>
      <c r="AB919" s="97">
        <f>Ruimtestaat[[#This Row],[Uitvoeringen weekend]]*Ruimtestaat[[#This Row],[Oppervlak (netto)]]</f>
        <v>0</v>
      </c>
      <c r="AC919" s="97">
        <f>IF(AA919&gt;0,Ruimtestaat[[#This Row],[Prest. (m2 /jaar) weekend]]/Ruimtestaat[[#This Row],[Norm (m2/uur) weekend]],0)</f>
        <v>0</v>
      </c>
      <c r="AD919" s="155">
        <f>Ruimtestaat[[#This Row],[uren / jaar weekend]]*Tariefsopbouw!$D$40</f>
        <v>0</v>
      </c>
      <c r="AE919" s="154">
        <f>Ruimtestaat[[#This Row],[Prest. (m2 /jaar) weekend]]+Ruimtestaat[[#This Row],[Prest. (m2 /jaar) werkdagen]]</f>
        <v>0</v>
      </c>
      <c r="AF919" s="154">
        <f>Ruimtestaat[[#This Row],[uren / jaar weekend]]+Ruimtestaat[[#This Row],[uren / jaar werkdagen]]</f>
        <v>0</v>
      </c>
      <c r="AG919" s="69">
        <f>Ruimtestaat[[#This Row],[kosten / jaar weekend]]+Ruimtestaat[[#This Row],[kosten / jaar werkdagen]]</f>
        <v>0</v>
      </c>
      <c r="AH919" s="69"/>
      <c r="AI919" s="256" t="str">
        <f>IF(Ruimtestaat[[#This Row],[Frequentie werkdagen]]="","",_xlfn.CONCAT(Ruimtestaat[[#This Row],[Ruimte code]],"-",Ruimtestaat[[#This Row],[Frequentie werkdagen]]," ",Ruimtestaat[[#This Row],[Vloer code]]))</f>
        <v/>
      </c>
      <c r="AJ919" s="300" t="str">
        <f>_xlfn.IFNA(VLOOKUP($AI919,Programma!$F$3:$G$1107,2,0),"")</f>
        <v/>
      </c>
      <c r="AK919" s="300" t="str">
        <f>_xlfn.IFNA(VLOOKUP($AI919,Programma!$F$3:$H$1107,3,0),"")</f>
        <v/>
      </c>
      <c r="AL919" s="300" t="str">
        <f>_xlfn.IFNA(VLOOKUP($AI919,Programma!$F$3:$I$1107,4,0),"")</f>
        <v/>
      </c>
      <c r="AM919" s="300" t="str">
        <f>_xlfn.IFNA(VLOOKUP($AI919,Programma!$F$3:$J$1107,5,0),"")</f>
        <v/>
      </c>
      <c r="AN919" s="300" t="str">
        <f>_xlfn.IFNA(VLOOKUP($AI919,Programma!$F$3:$K$1107,6,0),"")</f>
        <v/>
      </c>
      <c r="AO919" s="300" t="str">
        <f>_xlfn.IFNA(VLOOKUP($AI919,Programma!$F$3:$L$1107,7,0),"")</f>
        <v/>
      </c>
      <c r="AP919" s="300" t="str">
        <f>_xlfn.IFNA(VLOOKUP($AI919,Programma!$F$3:$M$1107,8,0),"")</f>
        <v/>
      </c>
      <c r="AQ919" s="300" t="str">
        <f>_xlfn.IFNA(VLOOKUP($AI919,Programma!$F$3:$N$1107,9,0),"")</f>
        <v/>
      </c>
      <c r="AR919" s="300" t="str">
        <f>_xlfn.IFNA(VLOOKUP($AI919,Programma!$F$3:$O$1107,10,0),"")</f>
        <v/>
      </c>
      <c r="AS919" s="300" t="str">
        <f>_xlfn.IFNA(VLOOKUP($AI919,Programma!$F$3:$P$1107,11,0),"")</f>
        <v/>
      </c>
      <c r="AT919" s="300" t="str">
        <f>_xlfn.IFNA(VLOOKUP($AI919,Programma!$F$3:$Q$1107,12,0),"")</f>
        <v/>
      </c>
      <c r="AU919" s="300" t="str">
        <f>_xlfn.IFNA(VLOOKUP($AI919,Programma!$F$3:$R$1107,13,0),"")</f>
        <v/>
      </c>
      <c r="AV919" s="300" t="str">
        <f>_xlfn.IFNA(VLOOKUP($AI919,Programma!$F$3:$S$1107,14,0),"")</f>
        <v/>
      </c>
      <c r="AW919" s="300" t="str">
        <f>_xlfn.IFNA(VLOOKUP($AI919,Programma!$F$3:$T$1107,15,0),"")</f>
        <v/>
      </c>
      <c r="AX919" s="300" t="str">
        <f>_xlfn.IFNA(VLOOKUP($AI919,Programma!$F$3:$U$1107,16,0),"")</f>
        <v/>
      </c>
      <c r="AY919" s="300" t="str">
        <f>_xlfn.IFNA(VLOOKUP($AI919,Programma!$F$3:$V$1107,17,0),"")</f>
        <v/>
      </c>
      <c r="AZ919" s="300" t="str">
        <f>_xlfn.IFNA(VLOOKUP($AI919,Programma!$F$3:$W$1107,18,0),"")</f>
        <v/>
      </c>
      <c r="BA919" s="300" t="str">
        <f>_xlfn.IFNA(VLOOKUP($AI919,Programma!$F$3:$X$1107,19,0),"")</f>
        <v/>
      </c>
      <c r="BB919" s="300" t="str">
        <f>_xlfn.IFNA(VLOOKUP($AI919,Programma!$F$3:$Y$1107,20,0),"")</f>
        <v/>
      </c>
      <c r="BC919" s="257"/>
      <c r="BD919" s="256" t="str">
        <f>IF(Ruimtestaat[[#This Row],[Frequentie weekend]]="","",_xlfn.CONCAT(Ruimtestaat[[#This Row],[Ruimte code]],"-",Ruimtestaat[[#This Row],[Frequentie weekend]]," ",Ruimtestaat[[#This Row],[Vloer code]]))</f>
        <v/>
      </c>
      <c r="BE919" s="300" t="str">
        <f>_xlfn.IFNA(VLOOKUP($BD919,Programma!$F$3:$G$1107,2,0),"")</f>
        <v/>
      </c>
      <c r="BF919" s="300" t="str">
        <f>_xlfn.IFNA(VLOOKUP($BD919,Programma!$F$3:$H$1107,3,0),"")</f>
        <v/>
      </c>
      <c r="BG919" s="300" t="str">
        <f>_xlfn.IFNA(VLOOKUP($BD919,Programma!$F$3:$I$1107,4,0),"")</f>
        <v/>
      </c>
      <c r="BH919" s="300" t="str">
        <f>_xlfn.IFNA(VLOOKUP($BD919,Programma!$F$3:$J$1107,5,0),"")</f>
        <v/>
      </c>
      <c r="BI919" s="300" t="str">
        <f>_xlfn.IFNA(VLOOKUP($BD919,Programma!$F$3:$K$1107,6,0),"")</f>
        <v/>
      </c>
      <c r="BJ919" s="300" t="str">
        <f>_xlfn.IFNA(VLOOKUP($BD919,Programma!$F$3:$L$1107,7,0),"")</f>
        <v/>
      </c>
      <c r="BK919" s="300" t="str">
        <f>_xlfn.IFNA(VLOOKUP($BD919,Programma!$F$3:$M$1107,8,0),"")</f>
        <v/>
      </c>
      <c r="BL919" s="300" t="str">
        <f>_xlfn.IFNA(VLOOKUP($BD919,Programma!$F$3:$N$1107,9,0),"")</f>
        <v/>
      </c>
      <c r="BM919" s="300" t="str">
        <f>_xlfn.IFNA(VLOOKUP($BD919,Programma!$F$3:$O$1107,10,0),"")</f>
        <v/>
      </c>
      <c r="BN919" s="300" t="str">
        <f>_xlfn.IFNA(VLOOKUP($BD919,Programma!$F$3:$P$1107,11,0),"")</f>
        <v/>
      </c>
      <c r="BO919" s="300" t="str">
        <f>_xlfn.IFNA(VLOOKUP($BD919,Programma!$F$3:$Q$1107,12,0),"")</f>
        <v/>
      </c>
      <c r="BP919" s="300" t="str">
        <f>_xlfn.IFNA(VLOOKUP($BD919,Programma!$F$3:$R$1107,13,0),"")</f>
        <v/>
      </c>
      <c r="BQ919" s="300" t="str">
        <f>_xlfn.IFNA(VLOOKUP($BD919,Programma!$F$3:$S$1107,14,0),"")</f>
        <v/>
      </c>
      <c r="BR919" s="300" t="str">
        <f>_xlfn.IFNA(VLOOKUP($BD919,Programma!$F$3:$T$1107,15,0),"")</f>
        <v/>
      </c>
      <c r="BS919" s="300" t="str">
        <f>_xlfn.IFNA(VLOOKUP($BD919,Programma!$F$3:$U$1107,16,0),"")</f>
        <v/>
      </c>
      <c r="BT919" s="300" t="str">
        <f>_xlfn.IFNA(VLOOKUP($BD919,Programma!$F$3:$V$1107,17,0),"")</f>
        <v/>
      </c>
      <c r="BU919" s="300" t="str">
        <f>_xlfn.IFNA(VLOOKUP($BD919,Programma!$F$3:$W$1107,18,0),"")</f>
        <v/>
      </c>
      <c r="BV919" s="300" t="str">
        <f>_xlfn.IFNA(VLOOKUP($BD919,Programma!$F$3:$X$1107,19,0),"")</f>
        <v/>
      </c>
      <c r="BW919" s="300" t="str">
        <f>_xlfn.IFNA(VLOOKUP($BD919,Programma!$F$3:$Y$1107,20,0),"")</f>
        <v/>
      </c>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c r="GK919" s="4"/>
      <c r="GL919" s="4"/>
      <c r="GM919" s="4"/>
      <c r="GN919" s="4"/>
      <c r="GO919" s="4"/>
      <c r="GP919" s="4"/>
      <c r="GQ919" s="4"/>
      <c r="GR919" s="4"/>
      <c r="GS919" s="4"/>
      <c r="GT919" s="4"/>
      <c r="GU919" s="4"/>
      <c r="GV919" s="4"/>
      <c r="GW919" s="4"/>
      <c r="GX919" s="4"/>
      <c r="GY919" s="4"/>
      <c r="GZ919" s="4"/>
      <c r="HA919" s="4"/>
      <c r="HB919" s="4"/>
      <c r="HC919" s="4"/>
      <c r="HD919" s="4"/>
      <c r="HE919" s="4"/>
      <c r="HF919" s="4"/>
      <c r="HG919" s="4"/>
      <c r="HH919" s="4"/>
      <c r="HI919" s="4"/>
      <c r="HJ919" s="4"/>
      <c r="HK919" s="4"/>
      <c r="HL919" s="4"/>
    </row>
    <row r="920" spans="1:220" ht="15" customHeight="1">
      <c r="A920" s="21">
        <v>10</v>
      </c>
      <c r="B920" s="157" t="str">
        <f>VLOOKUP(Ruimtestaat[[#This Row],[Code]],Locaties[[Code]:[Locatie]],2,FALSE)</f>
        <v>Veurs Voorburg vmbo</v>
      </c>
      <c r="C920" s="157" t="str">
        <f>VLOOKUP(Ruimtestaat[[#This Row],[Code]],Locaties[[#All],[Code]:[Adres]],4,FALSE)</f>
        <v>Delflandlaan 4</v>
      </c>
      <c r="D920" s="157" t="str">
        <f>VLOOKUP(Ruimtestaat[[#This Row],[Code]],Locaties[[#All],[Code]:[Postcode]],5,FALSE)</f>
        <v>2273 CS</v>
      </c>
      <c r="E920" s="157" t="str">
        <f>VLOOKUP(Ruimtestaat[[#This Row],[Code]],Locaties[#All],6,FALSE)</f>
        <v>Voorburg</v>
      </c>
      <c r="F920" s="62"/>
      <c r="G920" s="21" t="s">
        <v>1749</v>
      </c>
      <c r="H920" s="21" t="s">
        <v>2413</v>
      </c>
      <c r="I920" s="62" t="s">
        <v>2414</v>
      </c>
      <c r="J920" s="21">
        <v>20</v>
      </c>
      <c r="K920" s="62" t="str">
        <f>VLOOKUP(Ruimtestaat[[#This Row],[Ruimte code]],Ruimtegroepen[[#All],[Code]:[Ruimte omschrijving]],2,FALSE)</f>
        <v>Niet in Onderhoud</v>
      </c>
      <c r="L920" s="33" t="s">
        <v>101</v>
      </c>
      <c r="M920" s="367" t="s">
        <v>2506</v>
      </c>
      <c r="N920" s="140"/>
      <c r="O920" s="140">
        <v>18</v>
      </c>
      <c r="P920" s="125">
        <f>VLOOKUP(Ruimtestaat[[#This Row],[Ruimte code]],Ruimtegroepen[],4,FALSE)</f>
        <v>0</v>
      </c>
      <c r="R920" s="33"/>
      <c r="S920" s="33"/>
      <c r="T920" s="33">
        <f>IF(R920&gt;0,IF(RIGHT(Ruimtestaat[[#This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20" s="33">
        <f>IF(T920&gt;0,VLOOKUP($J920,Ruimtegroepen[],3,FALSE)*VLOOKUP($L920,Vloersoorten[],3,FALSE)*VLOOKUP($S920,Frequenties[],3,FALSE)*VLOOKUP($A920,Locaties[],3,FALSE),0)</f>
        <v>0</v>
      </c>
      <c r="V920" s="33">
        <f>Ruimtestaat[[#This Row],[Uitvoeringen werkdagen]]*Ruimtestaat[[#This Row],[Oppervlak (netto)]]</f>
        <v>0</v>
      </c>
      <c r="W920" s="154">
        <f>IF(U920&gt;0,Ruimtestaat[[#This Row],[Prest. (m2 /jaar) werkdagen]]/Ruimtestaat[[#This Row],[Norm (m2/uur) werkdagen]],0)</f>
        <v>0</v>
      </c>
      <c r="X920" s="155">
        <f>Ruimtestaat[[#This Row],[uren / jaar werkdagen]]*Tariefsopbouw!$E$35</f>
        <v>0</v>
      </c>
      <c r="Y920" s="33"/>
      <c r="Z920" s="33">
        <f>IF(Ruimtestaat[[#This Row],[Frequentie weekend]]&gt;0,VALUE(LEFT(Y920,1))*R920,0)</f>
        <v>0</v>
      </c>
      <c r="AA920" s="97">
        <f>IF($Z920&gt;0,VLOOKUP($J920,Ruimtegroepen[],3,FALSE)*VLOOKUP($L920,Vloersoorten[],3,FALSE)*VLOOKUP($Y920,Frequenties[],3,FALSE)*VLOOKUP(Ruimtestaat[[#This Row],[Code]],Locaties[],3,FALSE),0)</f>
        <v>0</v>
      </c>
      <c r="AB920" s="97">
        <f>Ruimtestaat[[#This Row],[Uitvoeringen weekend]]*Ruimtestaat[[#This Row],[Oppervlak (netto)]]</f>
        <v>0</v>
      </c>
      <c r="AC920" s="97">
        <f>IF(AA920&gt;0,Ruimtestaat[[#This Row],[Prest. (m2 /jaar) weekend]]/Ruimtestaat[[#This Row],[Norm (m2/uur) weekend]],0)</f>
        <v>0</v>
      </c>
      <c r="AD920" s="155">
        <f>Ruimtestaat[[#This Row],[uren / jaar weekend]]*Tariefsopbouw!$D$40</f>
        <v>0</v>
      </c>
      <c r="AE920" s="154">
        <f>Ruimtestaat[[#This Row],[Prest. (m2 /jaar) weekend]]+Ruimtestaat[[#This Row],[Prest. (m2 /jaar) werkdagen]]</f>
        <v>0</v>
      </c>
      <c r="AF920" s="154">
        <f>Ruimtestaat[[#This Row],[uren / jaar weekend]]+Ruimtestaat[[#This Row],[uren / jaar werkdagen]]</f>
        <v>0</v>
      </c>
      <c r="AG920" s="69">
        <f>Ruimtestaat[[#This Row],[kosten / jaar weekend]]+Ruimtestaat[[#This Row],[kosten / jaar werkdagen]]</f>
        <v>0</v>
      </c>
      <c r="AH920" s="69"/>
      <c r="AI920" s="256" t="str">
        <f>IF(Ruimtestaat[[#This Row],[Frequentie werkdagen]]="","",_xlfn.CONCAT(Ruimtestaat[[#This Row],[Ruimte code]],"-",Ruimtestaat[[#This Row],[Frequentie werkdagen]]," ",Ruimtestaat[[#This Row],[Vloer code]]))</f>
        <v/>
      </c>
      <c r="AJ920" s="300" t="str">
        <f>_xlfn.IFNA(VLOOKUP($AI920,Programma!$F$3:$G$1107,2,0),"")</f>
        <v/>
      </c>
      <c r="AK920" s="300" t="str">
        <f>_xlfn.IFNA(VLOOKUP($AI920,Programma!$F$3:$H$1107,3,0),"")</f>
        <v/>
      </c>
      <c r="AL920" s="300" t="str">
        <f>_xlfn.IFNA(VLOOKUP($AI920,Programma!$F$3:$I$1107,4,0),"")</f>
        <v/>
      </c>
      <c r="AM920" s="300" t="str">
        <f>_xlfn.IFNA(VLOOKUP($AI920,Programma!$F$3:$J$1107,5,0),"")</f>
        <v/>
      </c>
      <c r="AN920" s="300" t="str">
        <f>_xlfn.IFNA(VLOOKUP($AI920,Programma!$F$3:$K$1107,6,0),"")</f>
        <v/>
      </c>
      <c r="AO920" s="300" t="str">
        <f>_xlfn.IFNA(VLOOKUP($AI920,Programma!$F$3:$L$1107,7,0),"")</f>
        <v/>
      </c>
      <c r="AP920" s="300" t="str">
        <f>_xlfn.IFNA(VLOOKUP($AI920,Programma!$F$3:$M$1107,8,0),"")</f>
        <v/>
      </c>
      <c r="AQ920" s="300" t="str">
        <f>_xlfn.IFNA(VLOOKUP($AI920,Programma!$F$3:$N$1107,9,0),"")</f>
        <v/>
      </c>
      <c r="AR920" s="300" t="str">
        <f>_xlfn.IFNA(VLOOKUP($AI920,Programma!$F$3:$O$1107,10,0),"")</f>
        <v/>
      </c>
      <c r="AS920" s="300" t="str">
        <f>_xlfn.IFNA(VLOOKUP($AI920,Programma!$F$3:$P$1107,11,0),"")</f>
        <v/>
      </c>
      <c r="AT920" s="300" t="str">
        <f>_xlfn.IFNA(VLOOKUP($AI920,Programma!$F$3:$Q$1107,12,0),"")</f>
        <v/>
      </c>
      <c r="AU920" s="300" t="str">
        <f>_xlfn.IFNA(VLOOKUP($AI920,Programma!$F$3:$R$1107,13,0),"")</f>
        <v/>
      </c>
      <c r="AV920" s="300" t="str">
        <f>_xlfn.IFNA(VLOOKUP($AI920,Programma!$F$3:$S$1107,14,0),"")</f>
        <v/>
      </c>
      <c r="AW920" s="300" t="str">
        <f>_xlfn.IFNA(VLOOKUP($AI920,Programma!$F$3:$T$1107,15,0),"")</f>
        <v/>
      </c>
      <c r="AX920" s="300" t="str">
        <f>_xlfn.IFNA(VLOOKUP($AI920,Programma!$F$3:$U$1107,16,0),"")</f>
        <v/>
      </c>
      <c r="AY920" s="300" t="str">
        <f>_xlfn.IFNA(VLOOKUP($AI920,Programma!$F$3:$V$1107,17,0),"")</f>
        <v/>
      </c>
      <c r="AZ920" s="300" t="str">
        <f>_xlfn.IFNA(VLOOKUP($AI920,Programma!$F$3:$W$1107,18,0),"")</f>
        <v/>
      </c>
      <c r="BA920" s="300" t="str">
        <f>_xlfn.IFNA(VLOOKUP($AI920,Programma!$F$3:$X$1107,19,0),"")</f>
        <v/>
      </c>
      <c r="BB920" s="300" t="str">
        <f>_xlfn.IFNA(VLOOKUP($AI920,Programma!$F$3:$Y$1107,20,0),"")</f>
        <v/>
      </c>
      <c r="BC920" s="257"/>
      <c r="BD920" s="256" t="str">
        <f>IF(Ruimtestaat[[#This Row],[Frequentie weekend]]="","",_xlfn.CONCAT(Ruimtestaat[[#This Row],[Ruimte code]],"-",Ruimtestaat[[#This Row],[Frequentie weekend]]," ",Ruimtestaat[[#This Row],[Vloer code]]))</f>
        <v/>
      </c>
      <c r="BE920" s="300" t="str">
        <f>_xlfn.IFNA(VLOOKUP($BD920,Programma!$F$3:$G$1107,2,0),"")</f>
        <v/>
      </c>
      <c r="BF920" s="300" t="str">
        <f>_xlfn.IFNA(VLOOKUP($BD920,Programma!$F$3:$H$1107,3,0),"")</f>
        <v/>
      </c>
      <c r="BG920" s="300" t="str">
        <f>_xlfn.IFNA(VLOOKUP($BD920,Programma!$F$3:$I$1107,4,0),"")</f>
        <v/>
      </c>
      <c r="BH920" s="300" t="str">
        <f>_xlfn.IFNA(VLOOKUP($BD920,Programma!$F$3:$J$1107,5,0),"")</f>
        <v/>
      </c>
      <c r="BI920" s="300" t="str">
        <f>_xlfn.IFNA(VLOOKUP($BD920,Programma!$F$3:$K$1107,6,0),"")</f>
        <v/>
      </c>
      <c r="BJ920" s="300" t="str">
        <f>_xlfn.IFNA(VLOOKUP($BD920,Programma!$F$3:$L$1107,7,0),"")</f>
        <v/>
      </c>
      <c r="BK920" s="300" t="str">
        <f>_xlfn.IFNA(VLOOKUP($BD920,Programma!$F$3:$M$1107,8,0),"")</f>
        <v/>
      </c>
      <c r="BL920" s="300" t="str">
        <f>_xlfn.IFNA(VLOOKUP($BD920,Programma!$F$3:$N$1107,9,0),"")</f>
        <v/>
      </c>
      <c r="BM920" s="300" t="str">
        <f>_xlfn.IFNA(VLOOKUP($BD920,Programma!$F$3:$O$1107,10,0),"")</f>
        <v/>
      </c>
      <c r="BN920" s="300" t="str">
        <f>_xlfn.IFNA(VLOOKUP($BD920,Programma!$F$3:$P$1107,11,0),"")</f>
        <v/>
      </c>
      <c r="BO920" s="300" t="str">
        <f>_xlfn.IFNA(VLOOKUP($BD920,Programma!$F$3:$Q$1107,12,0),"")</f>
        <v/>
      </c>
      <c r="BP920" s="300" t="str">
        <f>_xlfn.IFNA(VLOOKUP($BD920,Programma!$F$3:$R$1107,13,0),"")</f>
        <v/>
      </c>
      <c r="BQ920" s="300" t="str">
        <f>_xlfn.IFNA(VLOOKUP($BD920,Programma!$F$3:$S$1107,14,0),"")</f>
        <v/>
      </c>
      <c r="BR920" s="300" t="str">
        <f>_xlfn.IFNA(VLOOKUP($BD920,Programma!$F$3:$T$1107,15,0),"")</f>
        <v/>
      </c>
      <c r="BS920" s="300" t="str">
        <f>_xlfn.IFNA(VLOOKUP($BD920,Programma!$F$3:$U$1107,16,0),"")</f>
        <v/>
      </c>
      <c r="BT920" s="300" t="str">
        <f>_xlfn.IFNA(VLOOKUP($BD920,Programma!$F$3:$V$1107,17,0),"")</f>
        <v/>
      </c>
      <c r="BU920" s="300" t="str">
        <f>_xlfn.IFNA(VLOOKUP($BD920,Programma!$F$3:$W$1107,18,0),"")</f>
        <v/>
      </c>
      <c r="BV920" s="300" t="str">
        <f>_xlfn.IFNA(VLOOKUP($BD920,Programma!$F$3:$X$1107,19,0),"")</f>
        <v/>
      </c>
      <c r="BW920" s="300" t="str">
        <f>_xlfn.IFNA(VLOOKUP($BD920,Programma!$F$3:$Y$1107,20,0),"")</f>
        <v/>
      </c>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c r="GK920" s="4"/>
      <c r="GL920" s="4"/>
      <c r="GM920" s="4"/>
      <c r="GN920" s="4"/>
      <c r="GO920" s="4"/>
      <c r="GP920" s="4"/>
      <c r="GQ920" s="4"/>
      <c r="GR920" s="4"/>
      <c r="GS920" s="4"/>
      <c r="GT920" s="4"/>
      <c r="GU920" s="4"/>
      <c r="GV920" s="4"/>
      <c r="GW920" s="4"/>
      <c r="GX920" s="4"/>
      <c r="GY920" s="4"/>
      <c r="GZ920" s="4"/>
      <c r="HA920" s="4"/>
      <c r="HB920" s="4"/>
      <c r="HC920" s="4"/>
      <c r="HD920" s="4"/>
      <c r="HE920" s="4"/>
      <c r="HF920" s="4"/>
      <c r="HG920" s="4"/>
      <c r="HH920" s="4"/>
      <c r="HI920" s="4"/>
      <c r="HJ920" s="4"/>
      <c r="HK920" s="4"/>
      <c r="HL920" s="4"/>
    </row>
    <row r="921" spans="1:220" ht="15" customHeight="1">
      <c r="A921" s="21">
        <v>10</v>
      </c>
      <c r="B921" s="157" t="str">
        <f>VLOOKUP(Ruimtestaat[[#This Row],[Code]],Locaties[[Code]:[Locatie]],2,FALSE)</f>
        <v>Veurs Voorburg vmbo</v>
      </c>
      <c r="C921" s="157" t="str">
        <f>VLOOKUP(Ruimtestaat[[#This Row],[Code]],Locaties[[#All],[Code]:[Adres]],4,FALSE)</f>
        <v>Delflandlaan 4</v>
      </c>
      <c r="D921" s="157" t="str">
        <f>VLOOKUP(Ruimtestaat[[#This Row],[Code]],Locaties[[#All],[Code]:[Postcode]],5,FALSE)</f>
        <v>2273 CS</v>
      </c>
      <c r="E921" s="157" t="str">
        <f>VLOOKUP(Ruimtestaat[[#This Row],[Code]],Locaties[#All],6,FALSE)</f>
        <v>Voorburg</v>
      </c>
      <c r="F921" s="62"/>
      <c r="G921" s="21" t="s">
        <v>1749</v>
      </c>
      <c r="H921" s="21" t="s">
        <v>2415</v>
      </c>
      <c r="I921" s="62" t="s">
        <v>2416</v>
      </c>
      <c r="J921" s="21">
        <v>15</v>
      </c>
      <c r="K921" s="62" t="str">
        <f>VLOOKUP(Ruimtestaat[[#This Row],[Ruimte code]],Ruimtegroepen[[#All],[Code]:[Ruimte omschrijving]],2,FALSE)</f>
        <v>Keuken/pantry</v>
      </c>
      <c r="L921" s="33" t="s">
        <v>103</v>
      </c>
      <c r="M921" s="367" t="s">
        <v>2527</v>
      </c>
      <c r="N921" s="140">
        <v>26.5</v>
      </c>
      <c r="O921" s="140"/>
      <c r="P921" s="125" t="str">
        <f>VLOOKUP(Ruimtestaat[[#This Row],[Ruimte code]],Ruimtegroepen[],4,FALSE)</f>
        <v>Ve</v>
      </c>
      <c r="R921" s="33">
        <v>40</v>
      </c>
      <c r="S921" s="33" t="s">
        <v>2</v>
      </c>
      <c r="T921" s="33">
        <f>IF(R921&gt;0,IF(RIGHT(Ruimtestaat[[#This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21" s="33">
        <f>IF(T921&gt;0,VLOOKUP($J921,Ruimtegroepen[],3,FALSE)*VLOOKUP($L921,Vloersoorten[],3,FALSE)*VLOOKUP($S921,Frequenties[],3,FALSE)*VLOOKUP($A921,Locaties[],3,FALSE),0)</f>
        <v>0</v>
      </c>
      <c r="V921" s="33">
        <f>Ruimtestaat[[#This Row],[Uitvoeringen werkdagen]]*Ruimtestaat[[#This Row],[Oppervlak (netto)]]</f>
        <v>5300</v>
      </c>
      <c r="W921" s="154">
        <f>IF(U921&gt;0,Ruimtestaat[[#This Row],[Prest. (m2 /jaar) werkdagen]]/Ruimtestaat[[#This Row],[Norm (m2/uur) werkdagen]],0)</f>
        <v>0</v>
      </c>
      <c r="X921" s="155">
        <f>Ruimtestaat[[#This Row],[uren / jaar werkdagen]]*Tariefsopbouw!$E$35</f>
        <v>0</v>
      </c>
      <c r="Y921" s="33"/>
      <c r="Z921" s="33">
        <f>IF(Ruimtestaat[[#This Row],[Frequentie weekend]]&gt;0,VALUE(LEFT(Y921,1))*R921,0)</f>
        <v>0</v>
      </c>
      <c r="AA921" s="97">
        <f>IF($Z921&gt;0,VLOOKUP($J921,Ruimtegroepen[],3,FALSE)*VLOOKUP($L921,Vloersoorten[],3,FALSE)*VLOOKUP($Y921,Frequenties[],3,FALSE)*VLOOKUP(Ruimtestaat[[#This Row],[Code]],Locaties[],3,FALSE),0)</f>
        <v>0</v>
      </c>
      <c r="AB921" s="97">
        <f>Ruimtestaat[[#This Row],[Uitvoeringen weekend]]*Ruimtestaat[[#This Row],[Oppervlak (netto)]]</f>
        <v>0</v>
      </c>
      <c r="AC921" s="97">
        <f>IF(AA921&gt;0,Ruimtestaat[[#This Row],[Prest. (m2 /jaar) weekend]]/Ruimtestaat[[#This Row],[Norm (m2/uur) weekend]],0)</f>
        <v>0</v>
      </c>
      <c r="AD921" s="155">
        <f>Ruimtestaat[[#This Row],[uren / jaar weekend]]*Tariefsopbouw!$D$40</f>
        <v>0</v>
      </c>
      <c r="AE921" s="154">
        <f>Ruimtestaat[[#This Row],[Prest. (m2 /jaar) weekend]]+Ruimtestaat[[#This Row],[Prest. (m2 /jaar) werkdagen]]</f>
        <v>5300</v>
      </c>
      <c r="AF921" s="154">
        <f>Ruimtestaat[[#This Row],[uren / jaar weekend]]+Ruimtestaat[[#This Row],[uren / jaar werkdagen]]</f>
        <v>0</v>
      </c>
      <c r="AG921" s="69">
        <f>Ruimtestaat[[#This Row],[kosten / jaar weekend]]+Ruimtestaat[[#This Row],[kosten / jaar werkdagen]]</f>
        <v>0</v>
      </c>
      <c r="AH921" s="69"/>
      <c r="AI921" s="256" t="str">
        <f>IF(Ruimtestaat[[#This Row],[Frequentie werkdagen]]="","",_xlfn.CONCAT(Ruimtestaat[[#This Row],[Ruimte code]],"-",Ruimtestaat[[#This Row],[Frequentie werkdagen]]," ",Ruimtestaat[[#This Row],[Vloer code]]))</f>
        <v>15-5w P</v>
      </c>
      <c r="AJ921" s="300" t="str">
        <f>_xlfn.IFNA(VLOOKUP($AI921,Programma!$F$3:$G$1107,2,0),"")</f>
        <v>_</v>
      </c>
      <c r="AK921" s="300" t="str">
        <f>_xlfn.IFNA(VLOOKUP($AI921,Programma!$F$3:$H$1107,3,0),"")</f>
        <v>_</v>
      </c>
      <c r="AL921" s="300" t="str">
        <f>_xlfn.IFNA(VLOOKUP($AI921,Programma!$F$3:$I$1107,4,0),"")</f>
        <v>5w</v>
      </c>
      <c r="AM921" s="300" t="str">
        <f>_xlfn.IFNA(VLOOKUP($AI921,Programma!$F$3:$J$1107,5,0),"")</f>
        <v>_</v>
      </c>
      <c r="AN921" s="300" t="str">
        <f>_xlfn.IFNA(VLOOKUP($AI921,Programma!$F$3:$K$1107,6,0),"")</f>
        <v>5w</v>
      </c>
      <c r="AO921" s="300" t="str">
        <f>_xlfn.IFNA(VLOOKUP($AI921,Programma!$F$3:$L$1107,7,0),"")</f>
        <v>_</v>
      </c>
      <c r="AP921" s="300" t="str">
        <f>_xlfn.IFNA(VLOOKUP($AI921,Programma!$F$3:$M$1107,8,0),"")</f>
        <v>_</v>
      </c>
      <c r="AQ921" s="300" t="str">
        <f>_xlfn.IFNA(VLOOKUP($AI921,Programma!$F$3:$N$1107,9,0),"")</f>
        <v>_</v>
      </c>
      <c r="AR921" s="300" t="str">
        <f>_xlfn.IFNA(VLOOKUP($AI921,Programma!$F$3:$O$1107,10,0),"")</f>
        <v>5w</v>
      </c>
      <c r="AS921" s="300" t="str">
        <f>_xlfn.IFNA(VLOOKUP($AI921,Programma!$F$3:$P$1107,11,0),"")</f>
        <v>5w</v>
      </c>
      <c r="AT921" s="300" t="str">
        <f>_xlfn.IFNA(VLOOKUP($AI921,Programma!$F$3:$Q$1107,12,0),"")</f>
        <v>1w</v>
      </c>
      <c r="AU921" s="300" t="str">
        <f>_xlfn.IFNA(VLOOKUP($AI921,Programma!$F$3:$R$1107,13,0),"")</f>
        <v>1w</v>
      </c>
      <c r="AV921" s="300" t="str">
        <f>_xlfn.IFNA(VLOOKUP($AI921,Programma!$F$3:$S$1107,14,0),"")</f>
        <v>1m</v>
      </c>
      <c r="AW921" s="300" t="str">
        <f>_xlfn.IFNA(VLOOKUP($AI921,Programma!$F$3:$T$1107,15,0),"")</f>
        <v>2j</v>
      </c>
      <c r="AX921" s="300" t="str">
        <f>_xlfn.IFNA(VLOOKUP($AI921,Programma!$F$3:$U$1107,16,0),"")</f>
        <v>1j</v>
      </c>
      <c r="AY921" s="300" t="str">
        <f>_xlfn.IFNA(VLOOKUP($AI921,Programma!$F$3:$V$1107,17,0),"")</f>
        <v>_</v>
      </c>
      <c r="AZ921" s="300" t="str">
        <f>_xlfn.IFNA(VLOOKUP($AI921,Programma!$F$3:$W$1107,18,0),"")</f>
        <v>_</v>
      </c>
      <c r="BA921" s="300" t="str">
        <f>_xlfn.IFNA(VLOOKUP($AI921,Programma!$F$3:$X$1107,19,0),"")</f>
        <v>_</v>
      </c>
      <c r="BB921" s="300" t="str">
        <f>_xlfn.IFNA(VLOOKUP($AI921,Programma!$F$3:$Y$1107,20,0),"")</f>
        <v>_</v>
      </c>
      <c r="BC921" s="257"/>
      <c r="BD921" s="256" t="str">
        <f>IF(Ruimtestaat[[#This Row],[Frequentie weekend]]="","",_xlfn.CONCAT(Ruimtestaat[[#This Row],[Ruimte code]],"-",Ruimtestaat[[#This Row],[Frequentie weekend]]," ",Ruimtestaat[[#This Row],[Vloer code]]))</f>
        <v/>
      </c>
      <c r="BE921" s="300" t="str">
        <f>_xlfn.IFNA(VLOOKUP($BD921,Programma!$F$3:$G$1107,2,0),"")</f>
        <v/>
      </c>
      <c r="BF921" s="300" t="str">
        <f>_xlfn.IFNA(VLOOKUP($BD921,Programma!$F$3:$H$1107,3,0),"")</f>
        <v/>
      </c>
      <c r="BG921" s="300" t="str">
        <f>_xlfn.IFNA(VLOOKUP($BD921,Programma!$F$3:$I$1107,4,0),"")</f>
        <v/>
      </c>
      <c r="BH921" s="300" t="str">
        <f>_xlfn.IFNA(VLOOKUP($BD921,Programma!$F$3:$J$1107,5,0),"")</f>
        <v/>
      </c>
      <c r="BI921" s="300" t="str">
        <f>_xlfn.IFNA(VLOOKUP($BD921,Programma!$F$3:$K$1107,6,0),"")</f>
        <v/>
      </c>
      <c r="BJ921" s="300" t="str">
        <f>_xlfn.IFNA(VLOOKUP($BD921,Programma!$F$3:$L$1107,7,0),"")</f>
        <v/>
      </c>
      <c r="BK921" s="300" t="str">
        <f>_xlfn.IFNA(VLOOKUP($BD921,Programma!$F$3:$M$1107,8,0),"")</f>
        <v/>
      </c>
      <c r="BL921" s="300" t="str">
        <f>_xlfn.IFNA(VLOOKUP($BD921,Programma!$F$3:$N$1107,9,0),"")</f>
        <v/>
      </c>
      <c r="BM921" s="300" t="str">
        <f>_xlfn.IFNA(VLOOKUP($BD921,Programma!$F$3:$O$1107,10,0),"")</f>
        <v/>
      </c>
      <c r="BN921" s="300" t="str">
        <f>_xlfn.IFNA(VLOOKUP($BD921,Programma!$F$3:$P$1107,11,0),"")</f>
        <v/>
      </c>
      <c r="BO921" s="300" t="str">
        <f>_xlfn.IFNA(VLOOKUP($BD921,Programma!$F$3:$Q$1107,12,0),"")</f>
        <v/>
      </c>
      <c r="BP921" s="300" t="str">
        <f>_xlfn.IFNA(VLOOKUP($BD921,Programma!$F$3:$R$1107,13,0),"")</f>
        <v/>
      </c>
      <c r="BQ921" s="300" t="str">
        <f>_xlfn.IFNA(VLOOKUP($BD921,Programma!$F$3:$S$1107,14,0),"")</f>
        <v/>
      </c>
      <c r="BR921" s="300" t="str">
        <f>_xlfn.IFNA(VLOOKUP($BD921,Programma!$F$3:$T$1107,15,0),"")</f>
        <v/>
      </c>
      <c r="BS921" s="300" t="str">
        <f>_xlfn.IFNA(VLOOKUP($BD921,Programma!$F$3:$U$1107,16,0),"")</f>
        <v/>
      </c>
      <c r="BT921" s="300" t="str">
        <f>_xlfn.IFNA(VLOOKUP($BD921,Programma!$F$3:$V$1107,17,0),"")</f>
        <v/>
      </c>
      <c r="BU921" s="300" t="str">
        <f>_xlfn.IFNA(VLOOKUP($BD921,Programma!$F$3:$W$1107,18,0),"")</f>
        <v/>
      </c>
      <c r="BV921" s="300" t="str">
        <f>_xlfn.IFNA(VLOOKUP($BD921,Programma!$F$3:$X$1107,19,0),"")</f>
        <v/>
      </c>
      <c r="BW921" s="300" t="str">
        <f>_xlfn.IFNA(VLOOKUP($BD921,Programma!$F$3:$Y$1107,20,0),"")</f>
        <v/>
      </c>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c r="GK921" s="4"/>
      <c r="GL921" s="4"/>
      <c r="GM921" s="4"/>
      <c r="GN921" s="4"/>
      <c r="GO921" s="4"/>
      <c r="GP921" s="4"/>
      <c r="GQ921" s="4"/>
      <c r="GR921" s="4"/>
      <c r="GS921" s="4"/>
      <c r="GT921" s="4"/>
      <c r="GU921" s="4"/>
      <c r="GV921" s="4"/>
      <c r="GW921" s="4"/>
      <c r="GX921" s="4"/>
      <c r="GY921" s="4"/>
      <c r="GZ921" s="4"/>
      <c r="HA921" s="4"/>
      <c r="HB921" s="4"/>
      <c r="HC921" s="4"/>
      <c r="HD921" s="4"/>
      <c r="HE921" s="4"/>
      <c r="HF921" s="4"/>
      <c r="HG921" s="4"/>
      <c r="HH921" s="4"/>
      <c r="HI921" s="4"/>
      <c r="HJ921" s="4"/>
      <c r="HK921" s="4"/>
      <c r="HL921" s="4"/>
    </row>
    <row r="922" spans="1:220" ht="15" customHeight="1">
      <c r="A922" s="21">
        <v>10</v>
      </c>
      <c r="B922" s="157" t="str">
        <f>VLOOKUP(Ruimtestaat[[#This Row],[Code]],Locaties[[Code]:[Locatie]],2,FALSE)</f>
        <v>Veurs Voorburg vmbo</v>
      </c>
      <c r="C922" s="157" t="str">
        <f>VLOOKUP(Ruimtestaat[[#This Row],[Code]],Locaties[[#All],[Code]:[Adres]],4,FALSE)</f>
        <v>Delflandlaan 4</v>
      </c>
      <c r="D922" s="157" t="str">
        <f>VLOOKUP(Ruimtestaat[[#This Row],[Code]],Locaties[[#All],[Code]:[Postcode]],5,FALSE)</f>
        <v>2273 CS</v>
      </c>
      <c r="E922" s="157" t="str">
        <f>VLOOKUP(Ruimtestaat[[#This Row],[Code]],Locaties[#All],6,FALSE)</f>
        <v>Voorburg</v>
      </c>
      <c r="F922" s="62"/>
      <c r="G922" s="21" t="s">
        <v>1749</v>
      </c>
      <c r="H922" s="21" t="s">
        <v>2417</v>
      </c>
      <c r="I922" s="62" t="s">
        <v>2418</v>
      </c>
      <c r="J922" s="21">
        <v>2</v>
      </c>
      <c r="K922" s="62" t="str">
        <f>VLOOKUP(Ruimtestaat[[#This Row],[Ruimte code]],Ruimtegroepen[[#All],[Code]:[Ruimte omschrijving]],2,FALSE)</f>
        <v>Kantoren</v>
      </c>
      <c r="L922" s="33" t="s">
        <v>101</v>
      </c>
      <c r="M922" s="367" t="s">
        <v>2506</v>
      </c>
      <c r="N922" s="140">
        <v>23.7</v>
      </c>
      <c r="O922" s="140"/>
      <c r="P922" s="125" t="str">
        <f>VLOOKUP(Ruimtestaat[[#This Row],[Ruimte code]],Ruimtegroepen[],4,FALSE)</f>
        <v>Bu</v>
      </c>
      <c r="R922" s="33">
        <v>42</v>
      </c>
      <c r="S922" s="33" t="s">
        <v>18</v>
      </c>
      <c r="T922" s="33">
        <f>IF(R922&gt;0,IF(RIGHT(Ruimtestaat[[#This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22" s="33">
        <f>IF(T922&gt;0,VLOOKUP($J922,Ruimtegroepen[],3,FALSE)*VLOOKUP($L922,Vloersoorten[],3,FALSE)*VLOOKUP($S922,Frequenties[],3,FALSE)*VLOOKUP($A922,Locaties[],3,FALSE),0)</f>
        <v>0</v>
      </c>
      <c r="V922" s="33">
        <f>Ruimtestaat[[#This Row],[Uitvoeringen werkdagen]]*Ruimtestaat[[#This Row],[Oppervlak (netto)]]</f>
        <v>2986.2</v>
      </c>
      <c r="W922" s="154">
        <f>IF(U922&gt;0,Ruimtestaat[[#This Row],[Prest. (m2 /jaar) werkdagen]]/Ruimtestaat[[#This Row],[Norm (m2/uur) werkdagen]],0)</f>
        <v>0</v>
      </c>
      <c r="X922" s="155">
        <f>Ruimtestaat[[#This Row],[uren / jaar werkdagen]]*Tariefsopbouw!$E$35</f>
        <v>0</v>
      </c>
      <c r="Y922" s="33"/>
      <c r="Z922" s="33">
        <f>IF(Ruimtestaat[[#This Row],[Frequentie weekend]]&gt;0,VALUE(LEFT(Y922,1))*R922,0)</f>
        <v>0</v>
      </c>
      <c r="AA922" s="97">
        <f>IF($Z922&gt;0,VLOOKUP($J922,Ruimtegroepen[],3,FALSE)*VLOOKUP($L922,Vloersoorten[],3,FALSE)*VLOOKUP($Y922,Frequenties[],3,FALSE)*VLOOKUP(Ruimtestaat[[#This Row],[Code]],Locaties[],3,FALSE),0)</f>
        <v>0</v>
      </c>
      <c r="AB922" s="97">
        <f>Ruimtestaat[[#This Row],[Uitvoeringen weekend]]*Ruimtestaat[[#This Row],[Oppervlak (netto)]]</f>
        <v>0</v>
      </c>
      <c r="AC922" s="97">
        <f>IF(AA922&gt;0,Ruimtestaat[[#This Row],[Prest. (m2 /jaar) weekend]]/Ruimtestaat[[#This Row],[Norm (m2/uur) weekend]],0)</f>
        <v>0</v>
      </c>
      <c r="AD922" s="155">
        <f>Ruimtestaat[[#This Row],[uren / jaar weekend]]*Tariefsopbouw!$D$40</f>
        <v>0</v>
      </c>
      <c r="AE922" s="154">
        <f>Ruimtestaat[[#This Row],[Prest. (m2 /jaar) weekend]]+Ruimtestaat[[#This Row],[Prest. (m2 /jaar) werkdagen]]</f>
        <v>2986.2</v>
      </c>
      <c r="AF922" s="154">
        <f>Ruimtestaat[[#This Row],[uren / jaar weekend]]+Ruimtestaat[[#This Row],[uren / jaar werkdagen]]</f>
        <v>0</v>
      </c>
      <c r="AG922" s="69">
        <f>Ruimtestaat[[#This Row],[kosten / jaar weekend]]+Ruimtestaat[[#This Row],[kosten / jaar werkdagen]]</f>
        <v>0</v>
      </c>
      <c r="AH922" s="69"/>
      <c r="AI922" s="256" t="str">
        <f>IF(Ruimtestaat[[#This Row],[Frequentie werkdagen]]="","",_xlfn.CONCAT(Ruimtestaat[[#This Row],[Ruimte code]],"-",Ruimtestaat[[#This Row],[Frequentie werkdagen]]," ",Ruimtestaat[[#This Row],[Vloer code]]))</f>
        <v>2-3w L</v>
      </c>
      <c r="AJ922" s="300" t="str">
        <f>_xlfn.IFNA(VLOOKUP($AI922,Programma!$F$3:$G$1107,2,0),"")</f>
        <v>_</v>
      </c>
      <c r="AK922" s="300" t="str">
        <f>_xlfn.IFNA(VLOOKUP($AI922,Programma!$F$3:$H$1107,3,0),"")</f>
        <v>_</v>
      </c>
      <c r="AL922" s="300" t="str">
        <f>_xlfn.IFNA(VLOOKUP($AI922,Programma!$F$3:$I$1107,4,0),"")</f>
        <v>2w</v>
      </c>
      <c r="AM922" s="300" t="str">
        <f>_xlfn.IFNA(VLOOKUP($AI922,Programma!$F$3:$J$1107,5,0),"")</f>
        <v>1w</v>
      </c>
      <c r="AN922" s="300" t="str">
        <f>_xlfn.IFNA(VLOOKUP($AI922,Programma!$F$3:$K$1107,6,0),"")</f>
        <v>_</v>
      </c>
      <c r="AO922" s="300" t="str">
        <f>_xlfn.IFNA(VLOOKUP($AI922,Programma!$F$3:$L$1107,7,0),"")</f>
        <v>_</v>
      </c>
      <c r="AP922" s="300" t="str">
        <f>_xlfn.IFNA(VLOOKUP($AI922,Programma!$F$3:$M$1107,8,0),"")</f>
        <v>_</v>
      </c>
      <c r="AQ922" s="300" t="str">
        <f>_xlfn.IFNA(VLOOKUP($AI922,Programma!$F$3:$N$1107,9,0),"")</f>
        <v>_</v>
      </c>
      <c r="AR922" s="300" t="str">
        <f>_xlfn.IFNA(VLOOKUP($AI922,Programma!$F$3:$O$1107,10,0),"")</f>
        <v>3w</v>
      </c>
      <c r="AS922" s="300" t="str">
        <f>_xlfn.IFNA(VLOOKUP($AI922,Programma!$F$3:$P$1107,11,0),"")</f>
        <v>3w</v>
      </c>
      <c r="AT922" s="300" t="str">
        <f>_xlfn.IFNA(VLOOKUP($AI922,Programma!$F$3:$Q$1107,12,0),"")</f>
        <v>1w</v>
      </c>
      <c r="AU922" s="300" t="str">
        <f>_xlfn.IFNA(VLOOKUP($AI922,Programma!$F$3:$R$1107,13,0),"")</f>
        <v>1w</v>
      </c>
      <c r="AV922" s="300" t="str">
        <f>_xlfn.IFNA(VLOOKUP($AI922,Programma!$F$3:$S$1107,14,0),"")</f>
        <v>1m</v>
      </c>
      <c r="AW922" s="300" t="str">
        <f>_xlfn.IFNA(VLOOKUP($AI922,Programma!$F$3:$T$1107,15,0),"")</f>
        <v>2j</v>
      </c>
      <c r="AX922" s="300" t="str">
        <f>_xlfn.IFNA(VLOOKUP($AI922,Programma!$F$3:$U$1107,16,0),"")</f>
        <v>1j</v>
      </c>
      <c r="AY922" s="300" t="str">
        <f>_xlfn.IFNA(VLOOKUP($AI922,Programma!$F$3:$V$1107,17,0),"")</f>
        <v>_</v>
      </c>
      <c r="AZ922" s="300" t="str">
        <f>_xlfn.IFNA(VLOOKUP($AI922,Programma!$F$3:$W$1107,18,0),"")</f>
        <v>_</v>
      </c>
      <c r="BA922" s="300" t="str">
        <f>_xlfn.IFNA(VLOOKUP($AI922,Programma!$F$3:$X$1107,19,0),"")</f>
        <v>_</v>
      </c>
      <c r="BB922" s="300" t="str">
        <f>_xlfn.IFNA(VLOOKUP($AI922,Programma!$F$3:$Y$1107,20,0),"")</f>
        <v>_</v>
      </c>
      <c r="BC922" s="257"/>
      <c r="BD922" s="256" t="str">
        <f>IF(Ruimtestaat[[#This Row],[Frequentie weekend]]="","",_xlfn.CONCAT(Ruimtestaat[[#This Row],[Ruimte code]],"-",Ruimtestaat[[#This Row],[Frequentie weekend]]," ",Ruimtestaat[[#This Row],[Vloer code]]))</f>
        <v/>
      </c>
      <c r="BE922" s="300" t="str">
        <f>_xlfn.IFNA(VLOOKUP($BD922,Programma!$F$3:$G$1107,2,0),"")</f>
        <v/>
      </c>
      <c r="BF922" s="300" t="str">
        <f>_xlfn.IFNA(VLOOKUP($BD922,Programma!$F$3:$H$1107,3,0),"")</f>
        <v/>
      </c>
      <c r="BG922" s="300" t="str">
        <f>_xlfn.IFNA(VLOOKUP($BD922,Programma!$F$3:$I$1107,4,0),"")</f>
        <v/>
      </c>
      <c r="BH922" s="300" t="str">
        <f>_xlfn.IFNA(VLOOKUP($BD922,Programma!$F$3:$J$1107,5,0),"")</f>
        <v/>
      </c>
      <c r="BI922" s="300" t="str">
        <f>_xlfn.IFNA(VLOOKUP($BD922,Programma!$F$3:$K$1107,6,0),"")</f>
        <v/>
      </c>
      <c r="BJ922" s="300" t="str">
        <f>_xlfn.IFNA(VLOOKUP($BD922,Programma!$F$3:$L$1107,7,0),"")</f>
        <v/>
      </c>
      <c r="BK922" s="300" t="str">
        <f>_xlfn.IFNA(VLOOKUP($BD922,Programma!$F$3:$M$1107,8,0),"")</f>
        <v/>
      </c>
      <c r="BL922" s="300" t="str">
        <f>_xlfn.IFNA(VLOOKUP($BD922,Programma!$F$3:$N$1107,9,0),"")</f>
        <v/>
      </c>
      <c r="BM922" s="300" t="str">
        <f>_xlfn.IFNA(VLOOKUP($BD922,Programma!$F$3:$O$1107,10,0),"")</f>
        <v/>
      </c>
      <c r="BN922" s="300" t="str">
        <f>_xlfn.IFNA(VLOOKUP($BD922,Programma!$F$3:$P$1107,11,0),"")</f>
        <v/>
      </c>
      <c r="BO922" s="300" t="str">
        <f>_xlfn.IFNA(VLOOKUP($BD922,Programma!$F$3:$Q$1107,12,0),"")</f>
        <v/>
      </c>
      <c r="BP922" s="300" t="str">
        <f>_xlfn.IFNA(VLOOKUP($BD922,Programma!$F$3:$R$1107,13,0),"")</f>
        <v/>
      </c>
      <c r="BQ922" s="300" t="str">
        <f>_xlfn.IFNA(VLOOKUP($BD922,Programma!$F$3:$S$1107,14,0),"")</f>
        <v/>
      </c>
      <c r="BR922" s="300" t="str">
        <f>_xlfn.IFNA(VLOOKUP($BD922,Programma!$F$3:$T$1107,15,0),"")</f>
        <v/>
      </c>
      <c r="BS922" s="300" t="str">
        <f>_xlfn.IFNA(VLOOKUP($BD922,Programma!$F$3:$U$1107,16,0),"")</f>
        <v/>
      </c>
      <c r="BT922" s="300" t="str">
        <f>_xlfn.IFNA(VLOOKUP($BD922,Programma!$F$3:$V$1107,17,0),"")</f>
        <v/>
      </c>
      <c r="BU922" s="300" t="str">
        <f>_xlfn.IFNA(VLOOKUP($BD922,Programma!$F$3:$W$1107,18,0),"")</f>
        <v/>
      </c>
      <c r="BV922" s="300" t="str">
        <f>_xlfn.IFNA(VLOOKUP($BD922,Programma!$F$3:$X$1107,19,0),"")</f>
        <v/>
      </c>
      <c r="BW922" s="300" t="str">
        <f>_xlfn.IFNA(VLOOKUP($BD922,Programma!$F$3:$Y$1107,20,0),"")</f>
        <v/>
      </c>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c r="GK922" s="4"/>
      <c r="GL922" s="4"/>
      <c r="GM922" s="4"/>
      <c r="GN922" s="4"/>
      <c r="GO922" s="4"/>
      <c r="GP922" s="4"/>
      <c r="GQ922" s="4"/>
      <c r="GR922" s="4"/>
      <c r="GS922" s="4"/>
      <c r="GT922" s="4"/>
      <c r="GU922" s="4"/>
      <c r="GV922" s="4"/>
      <c r="GW922" s="4"/>
      <c r="GX922" s="4"/>
      <c r="GY922" s="4"/>
      <c r="GZ922" s="4"/>
      <c r="HA922" s="4"/>
      <c r="HB922" s="4"/>
      <c r="HC922" s="4"/>
      <c r="HD922" s="4"/>
      <c r="HE922" s="4"/>
      <c r="HF922" s="4"/>
      <c r="HG922" s="4"/>
      <c r="HH922" s="4"/>
      <c r="HI922" s="4"/>
      <c r="HJ922" s="4"/>
      <c r="HK922" s="4"/>
      <c r="HL922" s="4"/>
    </row>
    <row r="923" spans="1:220" ht="15" customHeight="1">
      <c r="A923" s="21">
        <v>10</v>
      </c>
      <c r="B923" s="157" t="str">
        <f>VLOOKUP(Ruimtestaat[[#This Row],[Code]],Locaties[[Code]:[Locatie]],2,FALSE)</f>
        <v>Veurs Voorburg vmbo</v>
      </c>
      <c r="C923" s="157" t="str">
        <f>VLOOKUP(Ruimtestaat[[#This Row],[Code]],Locaties[[#All],[Code]:[Adres]],4,FALSE)</f>
        <v>Delflandlaan 4</v>
      </c>
      <c r="D923" s="157" t="str">
        <f>VLOOKUP(Ruimtestaat[[#This Row],[Code]],Locaties[[#All],[Code]:[Postcode]],5,FALSE)</f>
        <v>2273 CS</v>
      </c>
      <c r="E923" s="157" t="str">
        <f>VLOOKUP(Ruimtestaat[[#This Row],[Code]],Locaties[#All],6,FALSE)</f>
        <v>Voorburg</v>
      </c>
      <c r="F923" s="62"/>
      <c r="G923" s="21" t="s">
        <v>1749</v>
      </c>
      <c r="H923" s="21" t="s">
        <v>2419</v>
      </c>
      <c r="I923" s="62" t="s">
        <v>2420</v>
      </c>
      <c r="J923" s="21">
        <v>5</v>
      </c>
      <c r="K923" s="62" t="str">
        <f>VLOOKUP(Ruimtestaat[[#This Row],[Ruimte code]],Ruimtegroepen[[#All],[Code]:[Ruimte omschrijving]],2,FALSE)</f>
        <v>Sanitair</v>
      </c>
      <c r="L923" s="33" t="s">
        <v>103</v>
      </c>
      <c r="M923" s="367" t="s">
        <v>2496</v>
      </c>
      <c r="N923" s="140">
        <v>9.5</v>
      </c>
      <c r="O923" s="140"/>
      <c r="P923" s="125" t="str">
        <f>VLOOKUP(Ruimtestaat[[#This Row],[Ruimte code]],Ruimtegroepen[],4,FALSE)</f>
        <v>Sa</v>
      </c>
      <c r="R923" s="33">
        <v>40</v>
      </c>
      <c r="S923" s="33" t="s">
        <v>2</v>
      </c>
      <c r="T923" s="33">
        <f>IF(R923&gt;0,IF(RIGHT(Ruimtestaat[[#This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23" s="33">
        <f>IF(T923&gt;0,VLOOKUP($J923,Ruimtegroepen[],3,FALSE)*VLOOKUP($L923,Vloersoorten[],3,FALSE)*VLOOKUP($S923,Frequenties[],3,FALSE)*VLOOKUP($A923,Locaties[],3,FALSE),0)</f>
        <v>0</v>
      </c>
      <c r="V923" s="33">
        <f>Ruimtestaat[[#This Row],[Uitvoeringen werkdagen]]*Ruimtestaat[[#This Row],[Oppervlak (netto)]]</f>
        <v>1900</v>
      </c>
      <c r="W923" s="154">
        <f>IF(U923&gt;0,Ruimtestaat[[#This Row],[Prest. (m2 /jaar) werkdagen]]/Ruimtestaat[[#This Row],[Norm (m2/uur) werkdagen]],0)</f>
        <v>0</v>
      </c>
      <c r="X923" s="155">
        <f>Ruimtestaat[[#This Row],[uren / jaar werkdagen]]*Tariefsopbouw!$E$35</f>
        <v>0</v>
      </c>
      <c r="Y923" s="33"/>
      <c r="Z923" s="33">
        <f>IF(Ruimtestaat[[#This Row],[Frequentie weekend]]&gt;0,VALUE(LEFT(Y923,1))*R923,0)</f>
        <v>0</v>
      </c>
      <c r="AA923" s="97">
        <f>IF($Z923&gt;0,VLOOKUP($J923,Ruimtegroepen[],3,FALSE)*VLOOKUP($L923,Vloersoorten[],3,FALSE)*VLOOKUP($Y923,Frequenties[],3,FALSE)*VLOOKUP(Ruimtestaat[[#This Row],[Code]],Locaties[],3,FALSE),0)</f>
        <v>0</v>
      </c>
      <c r="AB923" s="97">
        <f>Ruimtestaat[[#This Row],[Uitvoeringen weekend]]*Ruimtestaat[[#This Row],[Oppervlak (netto)]]</f>
        <v>0</v>
      </c>
      <c r="AC923" s="97">
        <f>IF(AA923&gt;0,Ruimtestaat[[#This Row],[Prest. (m2 /jaar) weekend]]/Ruimtestaat[[#This Row],[Norm (m2/uur) weekend]],0)</f>
        <v>0</v>
      </c>
      <c r="AD923" s="155">
        <f>Ruimtestaat[[#This Row],[uren / jaar weekend]]*Tariefsopbouw!$D$40</f>
        <v>0</v>
      </c>
      <c r="AE923" s="154">
        <f>Ruimtestaat[[#This Row],[Prest. (m2 /jaar) weekend]]+Ruimtestaat[[#This Row],[Prest. (m2 /jaar) werkdagen]]</f>
        <v>1900</v>
      </c>
      <c r="AF923" s="154">
        <f>Ruimtestaat[[#This Row],[uren / jaar weekend]]+Ruimtestaat[[#This Row],[uren / jaar werkdagen]]</f>
        <v>0</v>
      </c>
      <c r="AG923" s="69">
        <f>Ruimtestaat[[#This Row],[kosten / jaar weekend]]+Ruimtestaat[[#This Row],[kosten / jaar werkdagen]]</f>
        <v>0</v>
      </c>
      <c r="AH923" s="69"/>
      <c r="AI923" s="256" t="str">
        <f>IF(Ruimtestaat[[#This Row],[Frequentie werkdagen]]="","",_xlfn.CONCAT(Ruimtestaat[[#This Row],[Ruimte code]],"-",Ruimtestaat[[#This Row],[Frequentie werkdagen]]," ",Ruimtestaat[[#This Row],[Vloer code]]))</f>
        <v>5-5w P</v>
      </c>
      <c r="AJ923" s="300" t="str">
        <f>_xlfn.IFNA(VLOOKUP($AI923,Programma!$F$3:$G$1107,2,0),"")</f>
        <v>_</v>
      </c>
      <c r="AK923" s="300" t="str">
        <f>_xlfn.IFNA(VLOOKUP($AI923,Programma!$F$3:$H$1107,3,0),"")</f>
        <v>_</v>
      </c>
      <c r="AL923" s="300" t="str">
        <f>_xlfn.IFNA(VLOOKUP($AI923,Programma!$F$3:$I$1107,4,0),"")</f>
        <v>_</v>
      </c>
      <c r="AM923" s="300" t="str">
        <f>_xlfn.IFNA(VLOOKUP($AI923,Programma!$F$3:$J$1107,5,0),"")</f>
        <v>4w</v>
      </c>
      <c r="AN923" s="300" t="str">
        <f>_xlfn.IFNA(VLOOKUP($AI923,Programma!$F$3:$K$1107,6,0),"")</f>
        <v>1w</v>
      </c>
      <c r="AO923" s="300" t="str">
        <f>_xlfn.IFNA(VLOOKUP($AI923,Programma!$F$3:$L$1107,7,0),"")</f>
        <v>_</v>
      </c>
      <c r="AP923" s="300" t="str">
        <f>_xlfn.IFNA(VLOOKUP($AI923,Programma!$F$3:$M$1107,8,0),"")</f>
        <v>_</v>
      </c>
      <c r="AQ923" s="300" t="str">
        <f>_xlfn.IFNA(VLOOKUP($AI923,Programma!$F$3:$N$1107,9,0),"")</f>
        <v>_</v>
      </c>
      <c r="AR923" s="300" t="str">
        <f>_xlfn.IFNA(VLOOKUP($AI923,Programma!$F$3:$O$1107,10,0),"")</f>
        <v>_</v>
      </c>
      <c r="AS923" s="300" t="str">
        <f>_xlfn.IFNA(VLOOKUP($AI923,Programma!$F$3:$P$1107,11,0),"")</f>
        <v>_</v>
      </c>
      <c r="AT923" s="300" t="str">
        <f>_xlfn.IFNA(VLOOKUP($AI923,Programma!$F$3:$Q$1107,12,0),"")</f>
        <v>_</v>
      </c>
      <c r="AU923" s="300" t="str">
        <f>_xlfn.IFNA(VLOOKUP($AI923,Programma!$F$3:$R$1107,13,0),"")</f>
        <v>_</v>
      </c>
      <c r="AV923" s="300" t="str">
        <f>_xlfn.IFNA(VLOOKUP($AI923,Programma!$F$3:$S$1107,14,0),"")</f>
        <v>_</v>
      </c>
      <c r="AW923" s="300" t="str">
        <f>_xlfn.IFNA(VLOOKUP($AI923,Programma!$F$3:$T$1107,15,0),"")</f>
        <v>_</v>
      </c>
      <c r="AX923" s="300" t="str">
        <f>_xlfn.IFNA(VLOOKUP($AI923,Programma!$F$3:$U$1107,16,0),"")</f>
        <v>_</v>
      </c>
      <c r="AY923" s="300" t="str">
        <f>_xlfn.IFNA(VLOOKUP($AI923,Programma!$F$3:$V$1107,17,0),"")</f>
        <v>_</v>
      </c>
      <c r="AZ923" s="300" t="str">
        <f>_xlfn.IFNA(VLOOKUP($AI923,Programma!$F$3:$W$1107,18,0),"")</f>
        <v>4w</v>
      </c>
      <c r="BA923" s="300" t="str">
        <f>_xlfn.IFNA(VLOOKUP($AI923,Programma!$F$3:$X$1107,19,0),"")</f>
        <v>1w</v>
      </c>
      <c r="BB923" s="300" t="str">
        <f>_xlfn.IFNA(VLOOKUP($AI923,Programma!$F$3:$Y$1107,20,0),"")</f>
        <v>_</v>
      </c>
      <c r="BC923" s="257"/>
      <c r="BD923" s="256" t="str">
        <f>IF(Ruimtestaat[[#This Row],[Frequentie weekend]]="","",_xlfn.CONCAT(Ruimtestaat[[#This Row],[Ruimte code]],"-",Ruimtestaat[[#This Row],[Frequentie weekend]]," ",Ruimtestaat[[#This Row],[Vloer code]]))</f>
        <v/>
      </c>
      <c r="BE923" s="300" t="str">
        <f>_xlfn.IFNA(VLOOKUP($BD923,Programma!$F$3:$G$1107,2,0),"")</f>
        <v/>
      </c>
      <c r="BF923" s="300" t="str">
        <f>_xlfn.IFNA(VLOOKUP($BD923,Programma!$F$3:$H$1107,3,0),"")</f>
        <v/>
      </c>
      <c r="BG923" s="300" t="str">
        <f>_xlfn.IFNA(VLOOKUP($BD923,Programma!$F$3:$I$1107,4,0),"")</f>
        <v/>
      </c>
      <c r="BH923" s="300" t="str">
        <f>_xlfn.IFNA(VLOOKUP($BD923,Programma!$F$3:$J$1107,5,0),"")</f>
        <v/>
      </c>
      <c r="BI923" s="300" t="str">
        <f>_xlfn.IFNA(VLOOKUP($BD923,Programma!$F$3:$K$1107,6,0),"")</f>
        <v/>
      </c>
      <c r="BJ923" s="300" t="str">
        <f>_xlfn.IFNA(VLOOKUP($BD923,Programma!$F$3:$L$1107,7,0),"")</f>
        <v/>
      </c>
      <c r="BK923" s="300" t="str">
        <f>_xlfn.IFNA(VLOOKUP($BD923,Programma!$F$3:$M$1107,8,0),"")</f>
        <v/>
      </c>
      <c r="BL923" s="300" t="str">
        <f>_xlfn.IFNA(VLOOKUP($BD923,Programma!$F$3:$N$1107,9,0),"")</f>
        <v/>
      </c>
      <c r="BM923" s="300" t="str">
        <f>_xlfn.IFNA(VLOOKUP($BD923,Programma!$F$3:$O$1107,10,0),"")</f>
        <v/>
      </c>
      <c r="BN923" s="300" t="str">
        <f>_xlfn.IFNA(VLOOKUP($BD923,Programma!$F$3:$P$1107,11,0),"")</f>
        <v/>
      </c>
      <c r="BO923" s="300" t="str">
        <f>_xlfn.IFNA(VLOOKUP($BD923,Programma!$F$3:$Q$1107,12,0),"")</f>
        <v/>
      </c>
      <c r="BP923" s="300" t="str">
        <f>_xlfn.IFNA(VLOOKUP($BD923,Programma!$F$3:$R$1107,13,0),"")</f>
        <v/>
      </c>
      <c r="BQ923" s="300" t="str">
        <f>_xlfn.IFNA(VLOOKUP($BD923,Programma!$F$3:$S$1107,14,0),"")</f>
        <v/>
      </c>
      <c r="BR923" s="300" t="str">
        <f>_xlfn.IFNA(VLOOKUP($BD923,Programma!$F$3:$T$1107,15,0),"")</f>
        <v/>
      </c>
      <c r="BS923" s="300" t="str">
        <f>_xlfn.IFNA(VLOOKUP($BD923,Programma!$F$3:$U$1107,16,0),"")</f>
        <v/>
      </c>
      <c r="BT923" s="300" t="str">
        <f>_xlfn.IFNA(VLOOKUP($BD923,Programma!$F$3:$V$1107,17,0),"")</f>
        <v/>
      </c>
      <c r="BU923" s="300" t="str">
        <f>_xlfn.IFNA(VLOOKUP($BD923,Programma!$F$3:$W$1107,18,0),"")</f>
        <v/>
      </c>
      <c r="BV923" s="300" t="str">
        <f>_xlfn.IFNA(VLOOKUP($BD923,Programma!$F$3:$X$1107,19,0),"")</f>
        <v/>
      </c>
      <c r="BW923" s="300" t="str">
        <f>_xlfn.IFNA(VLOOKUP($BD923,Programma!$F$3:$Y$1107,20,0),"")</f>
        <v/>
      </c>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c r="GK923" s="4"/>
      <c r="GL923" s="4"/>
      <c r="GM923" s="4"/>
      <c r="GN923" s="4"/>
      <c r="GO923" s="4"/>
      <c r="GP923" s="4"/>
      <c r="GQ923" s="4"/>
      <c r="GR923" s="4"/>
      <c r="GS923" s="4"/>
      <c r="GT923" s="4"/>
      <c r="GU923" s="4"/>
      <c r="GV923" s="4"/>
      <c r="GW923" s="4"/>
      <c r="GX923" s="4"/>
      <c r="GY923" s="4"/>
      <c r="GZ923" s="4"/>
      <c r="HA923" s="4"/>
      <c r="HB923" s="4"/>
      <c r="HC923" s="4"/>
      <c r="HD923" s="4"/>
      <c r="HE923" s="4"/>
      <c r="HF923" s="4"/>
      <c r="HG923" s="4"/>
      <c r="HH923" s="4"/>
      <c r="HI923" s="4"/>
      <c r="HJ923" s="4"/>
      <c r="HK923" s="4"/>
      <c r="HL923" s="4"/>
    </row>
    <row r="924" spans="1:220" ht="15" customHeight="1">
      <c r="A924" s="21">
        <v>10</v>
      </c>
      <c r="B924" s="157" t="str">
        <f>VLOOKUP(Ruimtestaat[[#This Row],[Code]],Locaties[[Code]:[Locatie]],2,FALSE)</f>
        <v>Veurs Voorburg vmbo</v>
      </c>
      <c r="C924" s="157" t="str">
        <f>VLOOKUP(Ruimtestaat[[#This Row],[Code]],Locaties[[#All],[Code]:[Adres]],4,FALSE)</f>
        <v>Delflandlaan 4</v>
      </c>
      <c r="D924" s="157" t="str">
        <f>VLOOKUP(Ruimtestaat[[#This Row],[Code]],Locaties[[#All],[Code]:[Postcode]],5,FALSE)</f>
        <v>2273 CS</v>
      </c>
      <c r="E924" s="157" t="str">
        <f>VLOOKUP(Ruimtestaat[[#This Row],[Code]],Locaties[#All],6,FALSE)</f>
        <v>Voorburg</v>
      </c>
      <c r="F924" s="62"/>
      <c r="G924" s="21" t="s">
        <v>1749</v>
      </c>
      <c r="H924" s="21" t="s">
        <v>2421</v>
      </c>
      <c r="I924" s="62" t="s">
        <v>2422</v>
      </c>
      <c r="J924" s="21">
        <v>5</v>
      </c>
      <c r="K924" s="62" t="str">
        <f>VLOOKUP(Ruimtestaat[[#This Row],[Ruimte code]],Ruimtegroepen[[#All],[Code]:[Ruimte omschrijving]],2,FALSE)</f>
        <v>Sanitair</v>
      </c>
      <c r="L924" s="33" t="s">
        <v>103</v>
      </c>
      <c r="M924" s="367" t="s">
        <v>2496</v>
      </c>
      <c r="N924" s="140">
        <v>2.2000000000000002</v>
      </c>
      <c r="O924" s="140"/>
      <c r="P924" s="125" t="str">
        <f>VLOOKUP(Ruimtestaat[[#This Row],[Ruimte code]],Ruimtegroepen[],4,FALSE)</f>
        <v>Sa</v>
      </c>
      <c r="R924" s="33">
        <v>40</v>
      </c>
      <c r="S924" s="33" t="s">
        <v>2</v>
      </c>
      <c r="T924" s="33">
        <f>IF(R924&gt;0,IF(RIGHT(Ruimtestaat[[#This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24" s="33">
        <f>IF(T924&gt;0,VLOOKUP($J924,Ruimtegroepen[],3,FALSE)*VLOOKUP($L924,Vloersoorten[],3,FALSE)*VLOOKUP($S924,Frequenties[],3,FALSE)*VLOOKUP($A924,Locaties[],3,FALSE),0)</f>
        <v>0</v>
      </c>
      <c r="V924" s="33">
        <f>Ruimtestaat[[#This Row],[Uitvoeringen werkdagen]]*Ruimtestaat[[#This Row],[Oppervlak (netto)]]</f>
        <v>440.00000000000006</v>
      </c>
      <c r="W924" s="154">
        <f>IF(U924&gt;0,Ruimtestaat[[#This Row],[Prest. (m2 /jaar) werkdagen]]/Ruimtestaat[[#This Row],[Norm (m2/uur) werkdagen]],0)</f>
        <v>0</v>
      </c>
      <c r="X924" s="155">
        <f>Ruimtestaat[[#This Row],[uren / jaar werkdagen]]*Tariefsopbouw!$E$35</f>
        <v>0</v>
      </c>
      <c r="Y924" s="33"/>
      <c r="Z924" s="33">
        <f>IF(Ruimtestaat[[#This Row],[Frequentie weekend]]&gt;0,VALUE(LEFT(Y924,1))*R924,0)</f>
        <v>0</v>
      </c>
      <c r="AA924" s="97">
        <f>IF($Z924&gt;0,VLOOKUP($J924,Ruimtegroepen[],3,FALSE)*VLOOKUP($L924,Vloersoorten[],3,FALSE)*VLOOKUP($Y924,Frequenties[],3,FALSE)*VLOOKUP(Ruimtestaat[[#This Row],[Code]],Locaties[],3,FALSE),0)</f>
        <v>0</v>
      </c>
      <c r="AB924" s="97">
        <f>Ruimtestaat[[#This Row],[Uitvoeringen weekend]]*Ruimtestaat[[#This Row],[Oppervlak (netto)]]</f>
        <v>0</v>
      </c>
      <c r="AC924" s="97">
        <f>IF(AA924&gt;0,Ruimtestaat[[#This Row],[Prest. (m2 /jaar) weekend]]/Ruimtestaat[[#This Row],[Norm (m2/uur) weekend]],0)</f>
        <v>0</v>
      </c>
      <c r="AD924" s="155">
        <f>Ruimtestaat[[#This Row],[uren / jaar weekend]]*Tariefsopbouw!$D$40</f>
        <v>0</v>
      </c>
      <c r="AE924" s="154">
        <f>Ruimtestaat[[#This Row],[Prest. (m2 /jaar) weekend]]+Ruimtestaat[[#This Row],[Prest. (m2 /jaar) werkdagen]]</f>
        <v>440.00000000000006</v>
      </c>
      <c r="AF924" s="154">
        <f>Ruimtestaat[[#This Row],[uren / jaar weekend]]+Ruimtestaat[[#This Row],[uren / jaar werkdagen]]</f>
        <v>0</v>
      </c>
      <c r="AG924" s="69">
        <f>Ruimtestaat[[#This Row],[kosten / jaar weekend]]+Ruimtestaat[[#This Row],[kosten / jaar werkdagen]]</f>
        <v>0</v>
      </c>
      <c r="AH924" s="69"/>
      <c r="AI924" s="256" t="str">
        <f>IF(Ruimtestaat[[#This Row],[Frequentie werkdagen]]="","",_xlfn.CONCAT(Ruimtestaat[[#This Row],[Ruimte code]],"-",Ruimtestaat[[#This Row],[Frequentie werkdagen]]," ",Ruimtestaat[[#This Row],[Vloer code]]))</f>
        <v>5-5w P</v>
      </c>
      <c r="AJ924" s="300" t="str">
        <f>_xlfn.IFNA(VLOOKUP($AI924,Programma!$F$3:$G$1107,2,0),"")</f>
        <v>_</v>
      </c>
      <c r="AK924" s="300" t="str">
        <f>_xlfn.IFNA(VLOOKUP($AI924,Programma!$F$3:$H$1107,3,0),"")</f>
        <v>_</v>
      </c>
      <c r="AL924" s="300" t="str">
        <f>_xlfn.IFNA(VLOOKUP($AI924,Programma!$F$3:$I$1107,4,0),"")</f>
        <v>_</v>
      </c>
      <c r="AM924" s="300" t="str">
        <f>_xlfn.IFNA(VLOOKUP($AI924,Programma!$F$3:$J$1107,5,0),"")</f>
        <v>4w</v>
      </c>
      <c r="AN924" s="300" t="str">
        <f>_xlfn.IFNA(VLOOKUP($AI924,Programma!$F$3:$K$1107,6,0),"")</f>
        <v>1w</v>
      </c>
      <c r="AO924" s="300" t="str">
        <f>_xlfn.IFNA(VLOOKUP($AI924,Programma!$F$3:$L$1107,7,0),"")</f>
        <v>_</v>
      </c>
      <c r="AP924" s="300" t="str">
        <f>_xlfn.IFNA(VLOOKUP($AI924,Programma!$F$3:$M$1107,8,0),"")</f>
        <v>_</v>
      </c>
      <c r="AQ924" s="300" t="str">
        <f>_xlfn.IFNA(VLOOKUP($AI924,Programma!$F$3:$N$1107,9,0),"")</f>
        <v>_</v>
      </c>
      <c r="AR924" s="300" t="str">
        <f>_xlfn.IFNA(VLOOKUP($AI924,Programma!$F$3:$O$1107,10,0),"")</f>
        <v>_</v>
      </c>
      <c r="AS924" s="300" t="str">
        <f>_xlfn.IFNA(VLOOKUP($AI924,Programma!$F$3:$P$1107,11,0),"")</f>
        <v>_</v>
      </c>
      <c r="AT924" s="300" t="str">
        <f>_xlfn.IFNA(VLOOKUP($AI924,Programma!$F$3:$Q$1107,12,0),"")</f>
        <v>_</v>
      </c>
      <c r="AU924" s="300" t="str">
        <f>_xlfn.IFNA(VLOOKUP($AI924,Programma!$F$3:$R$1107,13,0),"")</f>
        <v>_</v>
      </c>
      <c r="AV924" s="300" t="str">
        <f>_xlfn.IFNA(VLOOKUP($AI924,Programma!$F$3:$S$1107,14,0),"")</f>
        <v>_</v>
      </c>
      <c r="AW924" s="300" t="str">
        <f>_xlfn.IFNA(VLOOKUP($AI924,Programma!$F$3:$T$1107,15,0),"")</f>
        <v>_</v>
      </c>
      <c r="AX924" s="300" t="str">
        <f>_xlfn.IFNA(VLOOKUP($AI924,Programma!$F$3:$U$1107,16,0),"")</f>
        <v>_</v>
      </c>
      <c r="AY924" s="300" t="str">
        <f>_xlfn.IFNA(VLOOKUP($AI924,Programma!$F$3:$V$1107,17,0),"")</f>
        <v>_</v>
      </c>
      <c r="AZ924" s="300" t="str">
        <f>_xlfn.IFNA(VLOOKUP($AI924,Programma!$F$3:$W$1107,18,0),"")</f>
        <v>4w</v>
      </c>
      <c r="BA924" s="300" t="str">
        <f>_xlfn.IFNA(VLOOKUP($AI924,Programma!$F$3:$X$1107,19,0),"")</f>
        <v>1w</v>
      </c>
      <c r="BB924" s="300" t="str">
        <f>_xlfn.IFNA(VLOOKUP($AI924,Programma!$F$3:$Y$1107,20,0),"")</f>
        <v>_</v>
      </c>
      <c r="BC924" s="257"/>
      <c r="BD924" s="256" t="str">
        <f>IF(Ruimtestaat[[#This Row],[Frequentie weekend]]="","",_xlfn.CONCAT(Ruimtestaat[[#This Row],[Ruimte code]],"-",Ruimtestaat[[#This Row],[Frequentie weekend]]," ",Ruimtestaat[[#This Row],[Vloer code]]))</f>
        <v/>
      </c>
      <c r="BE924" s="300" t="str">
        <f>_xlfn.IFNA(VLOOKUP($BD924,Programma!$F$3:$G$1107,2,0),"")</f>
        <v/>
      </c>
      <c r="BF924" s="300" t="str">
        <f>_xlfn.IFNA(VLOOKUP($BD924,Programma!$F$3:$H$1107,3,0),"")</f>
        <v/>
      </c>
      <c r="BG924" s="300" t="str">
        <f>_xlfn.IFNA(VLOOKUP($BD924,Programma!$F$3:$I$1107,4,0),"")</f>
        <v/>
      </c>
      <c r="BH924" s="300" t="str">
        <f>_xlfn.IFNA(VLOOKUP($BD924,Programma!$F$3:$J$1107,5,0),"")</f>
        <v/>
      </c>
      <c r="BI924" s="300" t="str">
        <f>_xlfn.IFNA(VLOOKUP($BD924,Programma!$F$3:$K$1107,6,0),"")</f>
        <v/>
      </c>
      <c r="BJ924" s="300" t="str">
        <f>_xlfn.IFNA(VLOOKUP($BD924,Programma!$F$3:$L$1107,7,0),"")</f>
        <v/>
      </c>
      <c r="BK924" s="300" t="str">
        <f>_xlfn.IFNA(VLOOKUP($BD924,Programma!$F$3:$M$1107,8,0),"")</f>
        <v/>
      </c>
      <c r="BL924" s="300" t="str">
        <f>_xlfn.IFNA(VLOOKUP($BD924,Programma!$F$3:$N$1107,9,0),"")</f>
        <v/>
      </c>
      <c r="BM924" s="300" t="str">
        <f>_xlfn.IFNA(VLOOKUP($BD924,Programma!$F$3:$O$1107,10,0),"")</f>
        <v/>
      </c>
      <c r="BN924" s="300" t="str">
        <f>_xlfn.IFNA(VLOOKUP($BD924,Programma!$F$3:$P$1107,11,0),"")</f>
        <v/>
      </c>
      <c r="BO924" s="300" t="str">
        <f>_xlfn.IFNA(VLOOKUP($BD924,Programma!$F$3:$Q$1107,12,0),"")</f>
        <v/>
      </c>
      <c r="BP924" s="300" t="str">
        <f>_xlfn.IFNA(VLOOKUP($BD924,Programma!$F$3:$R$1107,13,0),"")</f>
        <v/>
      </c>
      <c r="BQ924" s="300" t="str">
        <f>_xlfn.IFNA(VLOOKUP($BD924,Programma!$F$3:$S$1107,14,0),"")</f>
        <v/>
      </c>
      <c r="BR924" s="300" t="str">
        <f>_xlfn.IFNA(VLOOKUP($BD924,Programma!$F$3:$T$1107,15,0),"")</f>
        <v/>
      </c>
      <c r="BS924" s="300" t="str">
        <f>_xlfn.IFNA(VLOOKUP($BD924,Programma!$F$3:$U$1107,16,0),"")</f>
        <v/>
      </c>
      <c r="BT924" s="300" t="str">
        <f>_xlfn.IFNA(VLOOKUP($BD924,Programma!$F$3:$V$1107,17,0),"")</f>
        <v/>
      </c>
      <c r="BU924" s="300" t="str">
        <f>_xlfn.IFNA(VLOOKUP($BD924,Programma!$F$3:$W$1107,18,0),"")</f>
        <v/>
      </c>
      <c r="BV924" s="300" t="str">
        <f>_xlfn.IFNA(VLOOKUP($BD924,Programma!$F$3:$X$1107,19,0),"")</f>
        <v/>
      </c>
      <c r="BW924" s="300" t="str">
        <f>_xlfn.IFNA(VLOOKUP($BD924,Programma!$F$3:$Y$1107,20,0),"")</f>
        <v/>
      </c>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c r="GK924" s="4"/>
      <c r="GL924" s="4"/>
      <c r="GM924" s="4"/>
      <c r="GN924" s="4"/>
      <c r="GO924" s="4"/>
      <c r="GP924" s="4"/>
      <c r="GQ924" s="4"/>
      <c r="GR924" s="4"/>
      <c r="GS924" s="4"/>
      <c r="GT924" s="4"/>
      <c r="GU924" s="4"/>
      <c r="GV924" s="4"/>
      <c r="GW924" s="4"/>
      <c r="GX924" s="4"/>
      <c r="GY924" s="4"/>
      <c r="GZ924" s="4"/>
      <c r="HA924" s="4"/>
      <c r="HB924" s="4"/>
      <c r="HC924" s="4"/>
      <c r="HD924" s="4"/>
      <c r="HE924" s="4"/>
      <c r="HF924" s="4"/>
      <c r="HG924" s="4"/>
      <c r="HH924" s="4"/>
      <c r="HI924" s="4"/>
      <c r="HJ924" s="4"/>
      <c r="HK924" s="4"/>
      <c r="HL924" s="4"/>
    </row>
    <row r="925" spans="1:220" ht="15" customHeight="1">
      <c r="A925" s="21">
        <v>10</v>
      </c>
      <c r="B925" s="157" t="str">
        <f>VLOOKUP(Ruimtestaat[[#This Row],[Code]],Locaties[[Code]:[Locatie]],2,FALSE)</f>
        <v>Veurs Voorburg vmbo</v>
      </c>
      <c r="C925" s="157" t="str">
        <f>VLOOKUP(Ruimtestaat[[#This Row],[Code]],Locaties[[#All],[Code]:[Adres]],4,FALSE)</f>
        <v>Delflandlaan 4</v>
      </c>
      <c r="D925" s="157" t="str">
        <f>VLOOKUP(Ruimtestaat[[#This Row],[Code]],Locaties[[#All],[Code]:[Postcode]],5,FALSE)</f>
        <v>2273 CS</v>
      </c>
      <c r="E925" s="157" t="str">
        <f>VLOOKUP(Ruimtestaat[[#This Row],[Code]],Locaties[#All],6,FALSE)</f>
        <v>Voorburg</v>
      </c>
      <c r="F925" s="62"/>
      <c r="G925" s="21" t="s">
        <v>1749</v>
      </c>
      <c r="H925" s="21" t="s">
        <v>2423</v>
      </c>
      <c r="I925" s="62" t="s">
        <v>2424</v>
      </c>
      <c r="J925" s="21">
        <v>10</v>
      </c>
      <c r="K925" s="62" t="str">
        <f>VLOOKUP(Ruimtestaat[[#This Row],[Ruimte code]],Ruimtegroepen[[#All],[Code]:[Ruimte omschrijving]],2,FALSE)</f>
        <v>Trappenhuizen/lift</v>
      </c>
      <c r="L925" s="33" t="s">
        <v>101</v>
      </c>
      <c r="M925" s="367" t="s">
        <v>2506</v>
      </c>
      <c r="N925" s="140">
        <v>17.899999999999999</v>
      </c>
      <c r="O925" s="140"/>
      <c r="P925" s="125" t="str">
        <f>VLOOKUP(Ruimtestaat[[#This Row],[Ruimte code]],Ruimtegroepen[],4,FALSE)</f>
        <v>Ve</v>
      </c>
      <c r="R925" s="33">
        <v>40</v>
      </c>
      <c r="S925" s="33" t="s">
        <v>2</v>
      </c>
      <c r="T925" s="33">
        <f>IF(R925&gt;0,IF(RIGHT(Ruimtestaat[[#This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25" s="33">
        <f>IF(T925&gt;0,VLOOKUP($J925,Ruimtegroepen[],3,FALSE)*VLOOKUP($L925,Vloersoorten[],3,FALSE)*VLOOKUP($S925,Frequenties[],3,FALSE)*VLOOKUP($A925,Locaties[],3,FALSE),0)</f>
        <v>0</v>
      </c>
      <c r="V925" s="33">
        <f>Ruimtestaat[[#This Row],[Uitvoeringen werkdagen]]*Ruimtestaat[[#This Row],[Oppervlak (netto)]]</f>
        <v>3579.9999999999995</v>
      </c>
      <c r="W925" s="154">
        <f>IF(U925&gt;0,Ruimtestaat[[#This Row],[Prest. (m2 /jaar) werkdagen]]/Ruimtestaat[[#This Row],[Norm (m2/uur) werkdagen]],0)</f>
        <v>0</v>
      </c>
      <c r="X925" s="155">
        <f>Ruimtestaat[[#This Row],[uren / jaar werkdagen]]*Tariefsopbouw!$E$35</f>
        <v>0</v>
      </c>
      <c r="Y925" s="33"/>
      <c r="Z925" s="33">
        <f>IF(Ruimtestaat[[#This Row],[Frequentie weekend]]&gt;0,VALUE(LEFT(Y925,1))*R925,0)</f>
        <v>0</v>
      </c>
      <c r="AA925" s="97">
        <f>IF($Z925&gt;0,VLOOKUP($J925,Ruimtegroepen[],3,FALSE)*VLOOKUP($L925,Vloersoorten[],3,FALSE)*VLOOKUP($Y925,Frequenties[],3,FALSE)*VLOOKUP(Ruimtestaat[[#This Row],[Code]],Locaties[],3,FALSE),0)</f>
        <v>0</v>
      </c>
      <c r="AB925" s="97">
        <f>Ruimtestaat[[#This Row],[Uitvoeringen weekend]]*Ruimtestaat[[#This Row],[Oppervlak (netto)]]</f>
        <v>0</v>
      </c>
      <c r="AC925" s="97">
        <f>IF(AA925&gt;0,Ruimtestaat[[#This Row],[Prest. (m2 /jaar) weekend]]/Ruimtestaat[[#This Row],[Norm (m2/uur) weekend]],0)</f>
        <v>0</v>
      </c>
      <c r="AD925" s="155">
        <f>Ruimtestaat[[#This Row],[uren / jaar weekend]]*Tariefsopbouw!$D$40</f>
        <v>0</v>
      </c>
      <c r="AE925" s="154">
        <f>Ruimtestaat[[#This Row],[Prest. (m2 /jaar) weekend]]+Ruimtestaat[[#This Row],[Prest. (m2 /jaar) werkdagen]]</f>
        <v>3579.9999999999995</v>
      </c>
      <c r="AF925" s="154">
        <f>Ruimtestaat[[#This Row],[uren / jaar weekend]]+Ruimtestaat[[#This Row],[uren / jaar werkdagen]]</f>
        <v>0</v>
      </c>
      <c r="AG925" s="69">
        <f>Ruimtestaat[[#This Row],[kosten / jaar weekend]]+Ruimtestaat[[#This Row],[kosten / jaar werkdagen]]</f>
        <v>0</v>
      </c>
      <c r="AH925" s="69"/>
      <c r="AI925" s="256" t="str">
        <f>IF(Ruimtestaat[[#This Row],[Frequentie werkdagen]]="","",_xlfn.CONCAT(Ruimtestaat[[#This Row],[Ruimte code]],"-",Ruimtestaat[[#This Row],[Frequentie werkdagen]]," ",Ruimtestaat[[#This Row],[Vloer code]]))</f>
        <v>10-5w L</v>
      </c>
      <c r="AJ925" s="300" t="str">
        <f>_xlfn.IFNA(VLOOKUP($AI925,Programma!$F$3:$G$1107,2,0),"")</f>
        <v>_</v>
      </c>
      <c r="AK925" s="300" t="str">
        <f>_xlfn.IFNA(VLOOKUP($AI925,Programma!$F$3:$H$1107,3,0),"")</f>
        <v>_</v>
      </c>
      <c r="AL925" s="300" t="str">
        <f>_xlfn.IFNA(VLOOKUP($AI925,Programma!$F$3:$I$1107,4,0),"")</f>
        <v>4w</v>
      </c>
      <c r="AM925" s="300" t="str">
        <f>_xlfn.IFNA(VLOOKUP($AI925,Programma!$F$3:$J$1107,5,0),"")</f>
        <v>1w</v>
      </c>
      <c r="AN925" s="300" t="str">
        <f>_xlfn.IFNA(VLOOKUP($AI925,Programma!$F$3:$K$1107,6,0),"")</f>
        <v>_</v>
      </c>
      <c r="AO925" s="300" t="str">
        <f>_xlfn.IFNA(VLOOKUP($AI925,Programma!$F$3:$L$1107,7,0),"")</f>
        <v>_</v>
      </c>
      <c r="AP925" s="300" t="str">
        <f>_xlfn.IFNA(VLOOKUP($AI925,Programma!$F$3:$M$1107,8,0),"")</f>
        <v>_</v>
      </c>
      <c r="AQ925" s="300" t="str">
        <f>_xlfn.IFNA(VLOOKUP($AI925,Programma!$F$3:$N$1107,9,0),"")</f>
        <v>_</v>
      </c>
      <c r="AR925" s="300" t="str">
        <f>_xlfn.IFNA(VLOOKUP($AI925,Programma!$F$3:$O$1107,10,0),"")</f>
        <v>5w</v>
      </c>
      <c r="AS925" s="300" t="str">
        <f>_xlfn.IFNA(VLOOKUP($AI925,Programma!$F$3:$P$1107,11,0),"")</f>
        <v>5w</v>
      </c>
      <c r="AT925" s="300" t="str">
        <f>_xlfn.IFNA(VLOOKUP($AI925,Programma!$F$3:$Q$1107,12,0),"")</f>
        <v>1w</v>
      </c>
      <c r="AU925" s="300" t="str">
        <f>_xlfn.IFNA(VLOOKUP($AI925,Programma!$F$3:$R$1107,13,0),"")</f>
        <v>1w</v>
      </c>
      <c r="AV925" s="300" t="str">
        <f>_xlfn.IFNA(VLOOKUP($AI925,Programma!$F$3:$S$1107,14,0),"")</f>
        <v>1m</v>
      </c>
      <c r="AW925" s="300" t="str">
        <f>_xlfn.IFNA(VLOOKUP($AI925,Programma!$F$3:$T$1107,15,0),"")</f>
        <v>2j</v>
      </c>
      <c r="AX925" s="300" t="str">
        <f>_xlfn.IFNA(VLOOKUP($AI925,Programma!$F$3:$U$1107,16,0),"")</f>
        <v>1j</v>
      </c>
      <c r="AY925" s="300" t="str">
        <f>_xlfn.IFNA(VLOOKUP($AI925,Programma!$F$3:$V$1107,17,0),"")</f>
        <v>_</v>
      </c>
      <c r="AZ925" s="300" t="str">
        <f>_xlfn.IFNA(VLOOKUP($AI925,Programma!$F$3:$W$1107,18,0),"")</f>
        <v>_</v>
      </c>
      <c r="BA925" s="300" t="str">
        <f>_xlfn.IFNA(VLOOKUP($AI925,Programma!$F$3:$X$1107,19,0),"")</f>
        <v>_</v>
      </c>
      <c r="BB925" s="300" t="str">
        <f>_xlfn.IFNA(VLOOKUP($AI925,Programma!$F$3:$Y$1107,20,0),"")</f>
        <v>_</v>
      </c>
      <c r="BC925" s="257"/>
      <c r="BD925" s="256" t="str">
        <f>IF(Ruimtestaat[[#This Row],[Frequentie weekend]]="","",_xlfn.CONCAT(Ruimtestaat[[#This Row],[Ruimte code]],"-",Ruimtestaat[[#This Row],[Frequentie weekend]]," ",Ruimtestaat[[#This Row],[Vloer code]]))</f>
        <v/>
      </c>
      <c r="BE925" s="300" t="str">
        <f>_xlfn.IFNA(VLOOKUP($BD925,Programma!$F$3:$G$1107,2,0),"")</f>
        <v/>
      </c>
      <c r="BF925" s="300" t="str">
        <f>_xlfn.IFNA(VLOOKUP($BD925,Programma!$F$3:$H$1107,3,0),"")</f>
        <v/>
      </c>
      <c r="BG925" s="300" t="str">
        <f>_xlfn.IFNA(VLOOKUP($BD925,Programma!$F$3:$I$1107,4,0),"")</f>
        <v/>
      </c>
      <c r="BH925" s="300" t="str">
        <f>_xlfn.IFNA(VLOOKUP($BD925,Programma!$F$3:$J$1107,5,0),"")</f>
        <v/>
      </c>
      <c r="BI925" s="300" t="str">
        <f>_xlfn.IFNA(VLOOKUP($BD925,Programma!$F$3:$K$1107,6,0),"")</f>
        <v/>
      </c>
      <c r="BJ925" s="300" t="str">
        <f>_xlfn.IFNA(VLOOKUP($BD925,Programma!$F$3:$L$1107,7,0),"")</f>
        <v/>
      </c>
      <c r="BK925" s="300" t="str">
        <f>_xlfn.IFNA(VLOOKUP($BD925,Programma!$F$3:$M$1107,8,0),"")</f>
        <v/>
      </c>
      <c r="BL925" s="300" t="str">
        <f>_xlfn.IFNA(VLOOKUP($BD925,Programma!$F$3:$N$1107,9,0),"")</f>
        <v/>
      </c>
      <c r="BM925" s="300" t="str">
        <f>_xlfn.IFNA(VLOOKUP($BD925,Programma!$F$3:$O$1107,10,0),"")</f>
        <v/>
      </c>
      <c r="BN925" s="300" t="str">
        <f>_xlfn.IFNA(VLOOKUP($BD925,Programma!$F$3:$P$1107,11,0),"")</f>
        <v/>
      </c>
      <c r="BO925" s="300" t="str">
        <f>_xlfn.IFNA(VLOOKUP($BD925,Programma!$F$3:$Q$1107,12,0),"")</f>
        <v/>
      </c>
      <c r="BP925" s="300" t="str">
        <f>_xlfn.IFNA(VLOOKUP($BD925,Programma!$F$3:$R$1107,13,0),"")</f>
        <v/>
      </c>
      <c r="BQ925" s="300" t="str">
        <f>_xlfn.IFNA(VLOOKUP($BD925,Programma!$F$3:$S$1107,14,0),"")</f>
        <v/>
      </c>
      <c r="BR925" s="300" t="str">
        <f>_xlfn.IFNA(VLOOKUP($BD925,Programma!$F$3:$T$1107,15,0),"")</f>
        <v/>
      </c>
      <c r="BS925" s="300" t="str">
        <f>_xlfn.IFNA(VLOOKUP($BD925,Programma!$F$3:$U$1107,16,0),"")</f>
        <v/>
      </c>
      <c r="BT925" s="300" t="str">
        <f>_xlfn.IFNA(VLOOKUP($BD925,Programma!$F$3:$V$1107,17,0),"")</f>
        <v/>
      </c>
      <c r="BU925" s="300" t="str">
        <f>_xlfn.IFNA(VLOOKUP($BD925,Programma!$F$3:$W$1107,18,0),"")</f>
        <v/>
      </c>
      <c r="BV925" s="300" t="str">
        <f>_xlfn.IFNA(VLOOKUP($BD925,Programma!$F$3:$X$1107,19,0),"")</f>
        <v/>
      </c>
      <c r="BW925" s="300" t="str">
        <f>_xlfn.IFNA(VLOOKUP($BD925,Programma!$F$3:$Y$1107,20,0),"")</f>
        <v/>
      </c>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c r="GK925" s="4"/>
      <c r="GL925" s="4"/>
      <c r="GM925" s="4"/>
      <c r="GN925" s="4"/>
      <c r="GO925" s="4"/>
      <c r="GP925" s="4"/>
      <c r="GQ925" s="4"/>
      <c r="GR925" s="4"/>
      <c r="GS925" s="4"/>
      <c r="GT925" s="4"/>
      <c r="GU925" s="4"/>
      <c r="GV925" s="4"/>
      <c r="GW925" s="4"/>
      <c r="GX925" s="4"/>
      <c r="GY925" s="4"/>
      <c r="GZ925" s="4"/>
      <c r="HA925" s="4"/>
      <c r="HB925" s="4"/>
      <c r="HC925" s="4"/>
      <c r="HD925" s="4"/>
      <c r="HE925" s="4"/>
      <c r="HF925" s="4"/>
      <c r="HG925" s="4"/>
      <c r="HH925" s="4"/>
      <c r="HI925" s="4"/>
      <c r="HJ925" s="4"/>
      <c r="HK925" s="4"/>
      <c r="HL925" s="4"/>
    </row>
    <row r="926" spans="1:220" ht="15" customHeight="1">
      <c r="A926" s="21">
        <v>10</v>
      </c>
      <c r="B926" s="157" t="str">
        <f>VLOOKUP(Ruimtestaat[[#This Row],[Code]],Locaties[[Code]:[Locatie]],2,FALSE)</f>
        <v>Veurs Voorburg vmbo</v>
      </c>
      <c r="C926" s="157" t="str">
        <f>VLOOKUP(Ruimtestaat[[#This Row],[Code]],Locaties[[#All],[Code]:[Adres]],4,FALSE)</f>
        <v>Delflandlaan 4</v>
      </c>
      <c r="D926" s="157" t="str">
        <f>VLOOKUP(Ruimtestaat[[#This Row],[Code]],Locaties[[#All],[Code]:[Postcode]],5,FALSE)</f>
        <v>2273 CS</v>
      </c>
      <c r="E926" s="157" t="str">
        <f>VLOOKUP(Ruimtestaat[[#This Row],[Code]],Locaties[#All],6,FALSE)</f>
        <v>Voorburg</v>
      </c>
      <c r="F926" s="62"/>
      <c r="G926" s="21" t="s">
        <v>1749</v>
      </c>
      <c r="H926" s="21" t="s">
        <v>2425</v>
      </c>
      <c r="I926" s="62" t="s">
        <v>2426</v>
      </c>
      <c r="J926" s="21">
        <v>20</v>
      </c>
      <c r="K926" s="62" t="str">
        <f>VLOOKUP(Ruimtestaat[[#This Row],[Ruimte code]],Ruimtegroepen[[#All],[Code]:[Ruimte omschrijving]],2,FALSE)</f>
        <v>Niet in Onderhoud</v>
      </c>
      <c r="L926" s="33" t="s">
        <v>102</v>
      </c>
      <c r="M926" s="367" t="s">
        <v>2529</v>
      </c>
      <c r="N926" s="140"/>
      <c r="O926" s="140">
        <v>16.2</v>
      </c>
      <c r="P926" s="125">
        <f>VLOOKUP(Ruimtestaat[[#This Row],[Ruimte code]],Ruimtegroepen[],4,FALSE)</f>
        <v>0</v>
      </c>
      <c r="R926" s="33"/>
      <c r="S926" s="33"/>
      <c r="T926" s="33">
        <f>IF(R926&gt;0,IF(RIGHT(Ruimtestaat[[#This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26" s="33">
        <f>IF(T926&gt;0,VLOOKUP($J926,Ruimtegroepen[],3,FALSE)*VLOOKUP($L926,Vloersoorten[],3,FALSE)*VLOOKUP($S926,Frequenties[],3,FALSE)*VLOOKUP($A926,Locaties[],3,FALSE),0)</f>
        <v>0</v>
      </c>
      <c r="V926" s="33">
        <f>Ruimtestaat[[#This Row],[Uitvoeringen werkdagen]]*Ruimtestaat[[#This Row],[Oppervlak (netto)]]</f>
        <v>0</v>
      </c>
      <c r="W926" s="154">
        <f>IF(U926&gt;0,Ruimtestaat[[#This Row],[Prest. (m2 /jaar) werkdagen]]/Ruimtestaat[[#This Row],[Norm (m2/uur) werkdagen]],0)</f>
        <v>0</v>
      </c>
      <c r="X926" s="155">
        <f>Ruimtestaat[[#This Row],[uren / jaar werkdagen]]*Tariefsopbouw!$E$35</f>
        <v>0</v>
      </c>
      <c r="Y926" s="33"/>
      <c r="Z926" s="33">
        <f>IF(Ruimtestaat[[#This Row],[Frequentie weekend]]&gt;0,VALUE(LEFT(Y926,1))*R926,0)</f>
        <v>0</v>
      </c>
      <c r="AA926" s="97">
        <f>IF($Z926&gt;0,VLOOKUP($J926,Ruimtegroepen[],3,FALSE)*VLOOKUP($L926,Vloersoorten[],3,FALSE)*VLOOKUP($Y926,Frequenties[],3,FALSE)*VLOOKUP(Ruimtestaat[[#This Row],[Code]],Locaties[],3,FALSE),0)</f>
        <v>0</v>
      </c>
      <c r="AB926" s="97">
        <f>Ruimtestaat[[#This Row],[Uitvoeringen weekend]]*Ruimtestaat[[#This Row],[Oppervlak (netto)]]</f>
        <v>0</v>
      </c>
      <c r="AC926" s="97">
        <f>IF(AA926&gt;0,Ruimtestaat[[#This Row],[Prest. (m2 /jaar) weekend]]/Ruimtestaat[[#This Row],[Norm (m2/uur) weekend]],0)</f>
        <v>0</v>
      </c>
      <c r="AD926" s="155">
        <f>Ruimtestaat[[#This Row],[uren / jaar weekend]]*Tariefsopbouw!$D$40</f>
        <v>0</v>
      </c>
      <c r="AE926" s="154">
        <f>Ruimtestaat[[#This Row],[Prest. (m2 /jaar) weekend]]+Ruimtestaat[[#This Row],[Prest. (m2 /jaar) werkdagen]]</f>
        <v>0</v>
      </c>
      <c r="AF926" s="154">
        <f>Ruimtestaat[[#This Row],[uren / jaar weekend]]+Ruimtestaat[[#This Row],[uren / jaar werkdagen]]</f>
        <v>0</v>
      </c>
      <c r="AG926" s="69">
        <f>Ruimtestaat[[#This Row],[kosten / jaar weekend]]+Ruimtestaat[[#This Row],[kosten / jaar werkdagen]]</f>
        <v>0</v>
      </c>
      <c r="AH926" s="69"/>
      <c r="AI926" s="256" t="str">
        <f>IF(Ruimtestaat[[#This Row],[Frequentie werkdagen]]="","",_xlfn.CONCAT(Ruimtestaat[[#This Row],[Ruimte code]],"-",Ruimtestaat[[#This Row],[Frequentie werkdagen]]," ",Ruimtestaat[[#This Row],[Vloer code]]))</f>
        <v/>
      </c>
      <c r="AJ926" s="300" t="str">
        <f>_xlfn.IFNA(VLOOKUP($AI926,Programma!$F$3:$G$1107,2,0),"")</f>
        <v/>
      </c>
      <c r="AK926" s="300" t="str">
        <f>_xlfn.IFNA(VLOOKUP($AI926,Programma!$F$3:$H$1107,3,0),"")</f>
        <v/>
      </c>
      <c r="AL926" s="300" t="str">
        <f>_xlfn.IFNA(VLOOKUP($AI926,Programma!$F$3:$I$1107,4,0),"")</f>
        <v/>
      </c>
      <c r="AM926" s="300" t="str">
        <f>_xlfn.IFNA(VLOOKUP($AI926,Programma!$F$3:$J$1107,5,0),"")</f>
        <v/>
      </c>
      <c r="AN926" s="300" t="str">
        <f>_xlfn.IFNA(VLOOKUP($AI926,Programma!$F$3:$K$1107,6,0),"")</f>
        <v/>
      </c>
      <c r="AO926" s="300" t="str">
        <f>_xlfn.IFNA(VLOOKUP($AI926,Programma!$F$3:$L$1107,7,0),"")</f>
        <v/>
      </c>
      <c r="AP926" s="300" t="str">
        <f>_xlfn.IFNA(VLOOKUP($AI926,Programma!$F$3:$M$1107,8,0),"")</f>
        <v/>
      </c>
      <c r="AQ926" s="300" t="str">
        <f>_xlfn.IFNA(VLOOKUP($AI926,Programma!$F$3:$N$1107,9,0),"")</f>
        <v/>
      </c>
      <c r="AR926" s="300" t="str">
        <f>_xlfn.IFNA(VLOOKUP($AI926,Programma!$F$3:$O$1107,10,0),"")</f>
        <v/>
      </c>
      <c r="AS926" s="300" t="str">
        <f>_xlfn.IFNA(VLOOKUP($AI926,Programma!$F$3:$P$1107,11,0),"")</f>
        <v/>
      </c>
      <c r="AT926" s="300" t="str">
        <f>_xlfn.IFNA(VLOOKUP($AI926,Programma!$F$3:$Q$1107,12,0),"")</f>
        <v/>
      </c>
      <c r="AU926" s="300" t="str">
        <f>_xlfn.IFNA(VLOOKUP($AI926,Programma!$F$3:$R$1107,13,0),"")</f>
        <v/>
      </c>
      <c r="AV926" s="300" t="str">
        <f>_xlfn.IFNA(VLOOKUP($AI926,Programma!$F$3:$S$1107,14,0),"")</f>
        <v/>
      </c>
      <c r="AW926" s="300" t="str">
        <f>_xlfn.IFNA(VLOOKUP($AI926,Programma!$F$3:$T$1107,15,0),"")</f>
        <v/>
      </c>
      <c r="AX926" s="300" t="str">
        <f>_xlfn.IFNA(VLOOKUP($AI926,Programma!$F$3:$U$1107,16,0),"")</f>
        <v/>
      </c>
      <c r="AY926" s="300" t="str">
        <f>_xlfn.IFNA(VLOOKUP($AI926,Programma!$F$3:$V$1107,17,0),"")</f>
        <v/>
      </c>
      <c r="AZ926" s="300" t="str">
        <f>_xlfn.IFNA(VLOOKUP($AI926,Programma!$F$3:$W$1107,18,0),"")</f>
        <v/>
      </c>
      <c r="BA926" s="300" t="str">
        <f>_xlfn.IFNA(VLOOKUP($AI926,Programma!$F$3:$X$1107,19,0),"")</f>
        <v/>
      </c>
      <c r="BB926" s="300" t="str">
        <f>_xlfn.IFNA(VLOOKUP($AI926,Programma!$F$3:$Y$1107,20,0),"")</f>
        <v/>
      </c>
      <c r="BC926" s="257"/>
      <c r="BD926" s="256" t="str">
        <f>IF(Ruimtestaat[[#This Row],[Frequentie weekend]]="","",_xlfn.CONCAT(Ruimtestaat[[#This Row],[Ruimte code]],"-",Ruimtestaat[[#This Row],[Frequentie weekend]]," ",Ruimtestaat[[#This Row],[Vloer code]]))</f>
        <v/>
      </c>
      <c r="BE926" s="300" t="str">
        <f>_xlfn.IFNA(VLOOKUP($BD926,Programma!$F$3:$G$1107,2,0),"")</f>
        <v/>
      </c>
      <c r="BF926" s="300" t="str">
        <f>_xlfn.IFNA(VLOOKUP($BD926,Programma!$F$3:$H$1107,3,0),"")</f>
        <v/>
      </c>
      <c r="BG926" s="300" t="str">
        <f>_xlfn.IFNA(VLOOKUP($BD926,Programma!$F$3:$I$1107,4,0),"")</f>
        <v/>
      </c>
      <c r="BH926" s="300" t="str">
        <f>_xlfn.IFNA(VLOOKUP($BD926,Programma!$F$3:$J$1107,5,0),"")</f>
        <v/>
      </c>
      <c r="BI926" s="300" t="str">
        <f>_xlfn.IFNA(VLOOKUP($BD926,Programma!$F$3:$K$1107,6,0),"")</f>
        <v/>
      </c>
      <c r="BJ926" s="300" t="str">
        <f>_xlfn.IFNA(VLOOKUP($BD926,Programma!$F$3:$L$1107,7,0),"")</f>
        <v/>
      </c>
      <c r="BK926" s="300" t="str">
        <f>_xlfn.IFNA(VLOOKUP($BD926,Programma!$F$3:$M$1107,8,0),"")</f>
        <v/>
      </c>
      <c r="BL926" s="300" t="str">
        <f>_xlfn.IFNA(VLOOKUP($BD926,Programma!$F$3:$N$1107,9,0),"")</f>
        <v/>
      </c>
      <c r="BM926" s="300" t="str">
        <f>_xlfn.IFNA(VLOOKUP($BD926,Programma!$F$3:$O$1107,10,0),"")</f>
        <v/>
      </c>
      <c r="BN926" s="300" t="str">
        <f>_xlfn.IFNA(VLOOKUP($BD926,Programma!$F$3:$P$1107,11,0),"")</f>
        <v/>
      </c>
      <c r="BO926" s="300" t="str">
        <f>_xlfn.IFNA(VLOOKUP($BD926,Programma!$F$3:$Q$1107,12,0),"")</f>
        <v/>
      </c>
      <c r="BP926" s="300" t="str">
        <f>_xlfn.IFNA(VLOOKUP($BD926,Programma!$F$3:$R$1107,13,0),"")</f>
        <v/>
      </c>
      <c r="BQ926" s="300" t="str">
        <f>_xlfn.IFNA(VLOOKUP($BD926,Programma!$F$3:$S$1107,14,0),"")</f>
        <v/>
      </c>
      <c r="BR926" s="300" t="str">
        <f>_xlfn.IFNA(VLOOKUP($BD926,Programma!$F$3:$T$1107,15,0),"")</f>
        <v/>
      </c>
      <c r="BS926" s="300" t="str">
        <f>_xlfn.IFNA(VLOOKUP($BD926,Programma!$F$3:$U$1107,16,0),"")</f>
        <v/>
      </c>
      <c r="BT926" s="300" t="str">
        <f>_xlfn.IFNA(VLOOKUP($BD926,Programma!$F$3:$V$1107,17,0),"")</f>
        <v/>
      </c>
      <c r="BU926" s="300" t="str">
        <f>_xlfn.IFNA(VLOOKUP($BD926,Programma!$F$3:$W$1107,18,0),"")</f>
        <v/>
      </c>
      <c r="BV926" s="300" t="str">
        <f>_xlfn.IFNA(VLOOKUP($BD926,Programma!$F$3:$X$1107,19,0),"")</f>
        <v/>
      </c>
      <c r="BW926" s="300" t="str">
        <f>_xlfn.IFNA(VLOOKUP($BD926,Programma!$F$3:$Y$1107,20,0),"")</f>
        <v/>
      </c>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c r="GK926" s="4"/>
      <c r="GL926" s="4"/>
      <c r="GM926" s="4"/>
      <c r="GN926" s="4"/>
      <c r="GO926" s="4"/>
      <c r="GP926" s="4"/>
      <c r="GQ926" s="4"/>
      <c r="GR926" s="4"/>
      <c r="GS926" s="4"/>
      <c r="GT926" s="4"/>
      <c r="GU926" s="4"/>
      <c r="GV926" s="4"/>
      <c r="GW926" s="4"/>
      <c r="GX926" s="4"/>
      <c r="GY926" s="4"/>
      <c r="GZ926" s="4"/>
      <c r="HA926" s="4"/>
      <c r="HB926" s="4"/>
      <c r="HC926" s="4"/>
      <c r="HD926" s="4"/>
      <c r="HE926" s="4"/>
      <c r="HF926" s="4"/>
      <c r="HG926" s="4"/>
      <c r="HH926" s="4"/>
      <c r="HI926" s="4"/>
      <c r="HJ926" s="4"/>
      <c r="HK926" s="4"/>
      <c r="HL926" s="4"/>
    </row>
    <row r="927" spans="1:220" ht="15" customHeight="1">
      <c r="A927" s="21">
        <v>10</v>
      </c>
      <c r="B927" s="157" t="str">
        <f>VLOOKUP(Ruimtestaat[[#This Row],[Code]],Locaties[[Code]:[Locatie]],2,FALSE)</f>
        <v>Veurs Voorburg vmbo</v>
      </c>
      <c r="C927" s="157" t="str">
        <f>VLOOKUP(Ruimtestaat[[#This Row],[Code]],Locaties[[#All],[Code]:[Adres]],4,FALSE)</f>
        <v>Delflandlaan 4</v>
      </c>
      <c r="D927" s="157" t="str">
        <f>VLOOKUP(Ruimtestaat[[#This Row],[Code]],Locaties[[#All],[Code]:[Postcode]],5,FALSE)</f>
        <v>2273 CS</v>
      </c>
      <c r="E927" s="157" t="str">
        <f>VLOOKUP(Ruimtestaat[[#This Row],[Code]],Locaties[#All],6,FALSE)</f>
        <v>Voorburg</v>
      </c>
      <c r="F927" s="62"/>
      <c r="G927" s="21" t="s">
        <v>1749</v>
      </c>
      <c r="H927" s="21" t="s">
        <v>2427</v>
      </c>
      <c r="I927" s="62" t="s">
        <v>1763</v>
      </c>
      <c r="J927" s="21">
        <v>20</v>
      </c>
      <c r="K927" s="62" t="str">
        <f>VLOOKUP(Ruimtestaat[[#This Row],[Ruimte code]],Ruimtegroepen[[#All],[Code]:[Ruimte omschrijving]],2,FALSE)</f>
        <v>Niet in Onderhoud</v>
      </c>
      <c r="L927" s="33" t="s">
        <v>101</v>
      </c>
      <c r="M927" s="367" t="s">
        <v>2506</v>
      </c>
      <c r="N927" s="140"/>
      <c r="O927" s="140">
        <v>4.5</v>
      </c>
      <c r="P927" s="125">
        <f>VLOOKUP(Ruimtestaat[[#This Row],[Ruimte code]],Ruimtegroepen[],4,FALSE)</f>
        <v>0</v>
      </c>
      <c r="R927" s="33"/>
      <c r="S927" s="33"/>
      <c r="T927" s="33">
        <f>IF(R927&gt;0,IF(RIGHT(Ruimtestaat[[#This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27" s="33">
        <f>IF(T927&gt;0,VLOOKUP($J927,Ruimtegroepen[],3,FALSE)*VLOOKUP($L927,Vloersoorten[],3,FALSE)*VLOOKUP($S927,Frequenties[],3,FALSE)*VLOOKUP($A927,Locaties[],3,FALSE),0)</f>
        <v>0</v>
      </c>
      <c r="V927" s="33">
        <f>Ruimtestaat[[#This Row],[Uitvoeringen werkdagen]]*Ruimtestaat[[#This Row],[Oppervlak (netto)]]</f>
        <v>0</v>
      </c>
      <c r="W927" s="154">
        <f>IF(U927&gt;0,Ruimtestaat[[#This Row],[Prest. (m2 /jaar) werkdagen]]/Ruimtestaat[[#This Row],[Norm (m2/uur) werkdagen]],0)</f>
        <v>0</v>
      </c>
      <c r="X927" s="155">
        <f>Ruimtestaat[[#This Row],[uren / jaar werkdagen]]*Tariefsopbouw!$E$35</f>
        <v>0</v>
      </c>
      <c r="Y927" s="33"/>
      <c r="Z927" s="33">
        <f>IF(Ruimtestaat[[#This Row],[Frequentie weekend]]&gt;0,VALUE(LEFT(Y927,1))*R927,0)</f>
        <v>0</v>
      </c>
      <c r="AA927" s="97">
        <f>IF($Z927&gt;0,VLOOKUP($J927,Ruimtegroepen[],3,FALSE)*VLOOKUP($L927,Vloersoorten[],3,FALSE)*VLOOKUP($Y927,Frequenties[],3,FALSE)*VLOOKUP(Ruimtestaat[[#This Row],[Code]],Locaties[],3,FALSE),0)</f>
        <v>0</v>
      </c>
      <c r="AB927" s="97">
        <f>Ruimtestaat[[#This Row],[Uitvoeringen weekend]]*Ruimtestaat[[#This Row],[Oppervlak (netto)]]</f>
        <v>0</v>
      </c>
      <c r="AC927" s="97">
        <f>IF(AA927&gt;0,Ruimtestaat[[#This Row],[Prest. (m2 /jaar) weekend]]/Ruimtestaat[[#This Row],[Norm (m2/uur) weekend]],0)</f>
        <v>0</v>
      </c>
      <c r="AD927" s="155">
        <f>Ruimtestaat[[#This Row],[uren / jaar weekend]]*Tariefsopbouw!$D$40</f>
        <v>0</v>
      </c>
      <c r="AE927" s="154">
        <f>Ruimtestaat[[#This Row],[Prest. (m2 /jaar) weekend]]+Ruimtestaat[[#This Row],[Prest. (m2 /jaar) werkdagen]]</f>
        <v>0</v>
      </c>
      <c r="AF927" s="154">
        <f>Ruimtestaat[[#This Row],[uren / jaar weekend]]+Ruimtestaat[[#This Row],[uren / jaar werkdagen]]</f>
        <v>0</v>
      </c>
      <c r="AG927" s="69">
        <f>Ruimtestaat[[#This Row],[kosten / jaar weekend]]+Ruimtestaat[[#This Row],[kosten / jaar werkdagen]]</f>
        <v>0</v>
      </c>
      <c r="AH927" s="69"/>
      <c r="AI927" s="256" t="str">
        <f>IF(Ruimtestaat[[#This Row],[Frequentie werkdagen]]="","",_xlfn.CONCAT(Ruimtestaat[[#This Row],[Ruimte code]],"-",Ruimtestaat[[#This Row],[Frequentie werkdagen]]," ",Ruimtestaat[[#This Row],[Vloer code]]))</f>
        <v/>
      </c>
      <c r="AJ927" s="300" t="str">
        <f>_xlfn.IFNA(VLOOKUP($AI927,Programma!$F$3:$G$1107,2,0),"")</f>
        <v/>
      </c>
      <c r="AK927" s="300" t="str">
        <f>_xlfn.IFNA(VLOOKUP($AI927,Programma!$F$3:$H$1107,3,0),"")</f>
        <v/>
      </c>
      <c r="AL927" s="300" t="str">
        <f>_xlfn.IFNA(VLOOKUP($AI927,Programma!$F$3:$I$1107,4,0),"")</f>
        <v/>
      </c>
      <c r="AM927" s="300" t="str">
        <f>_xlfn.IFNA(VLOOKUP($AI927,Programma!$F$3:$J$1107,5,0),"")</f>
        <v/>
      </c>
      <c r="AN927" s="300" t="str">
        <f>_xlfn.IFNA(VLOOKUP($AI927,Programma!$F$3:$K$1107,6,0),"")</f>
        <v/>
      </c>
      <c r="AO927" s="300" t="str">
        <f>_xlfn.IFNA(VLOOKUP($AI927,Programma!$F$3:$L$1107,7,0),"")</f>
        <v/>
      </c>
      <c r="AP927" s="300" t="str">
        <f>_xlfn.IFNA(VLOOKUP($AI927,Programma!$F$3:$M$1107,8,0),"")</f>
        <v/>
      </c>
      <c r="AQ927" s="300" t="str">
        <f>_xlfn.IFNA(VLOOKUP($AI927,Programma!$F$3:$N$1107,9,0),"")</f>
        <v/>
      </c>
      <c r="AR927" s="300" t="str">
        <f>_xlfn.IFNA(VLOOKUP($AI927,Programma!$F$3:$O$1107,10,0),"")</f>
        <v/>
      </c>
      <c r="AS927" s="300" t="str">
        <f>_xlfn.IFNA(VLOOKUP($AI927,Programma!$F$3:$P$1107,11,0),"")</f>
        <v/>
      </c>
      <c r="AT927" s="300" t="str">
        <f>_xlfn.IFNA(VLOOKUP($AI927,Programma!$F$3:$Q$1107,12,0),"")</f>
        <v/>
      </c>
      <c r="AU927" s="300" t="str">
        <f>_xlfn.IFNA(VLOOKUP($AI927,Programma!$F$3:$R$1107,13,0),"")</f>
        <v/>
      </c>
      <c r="AV927" s="300" t="str">
        <f>_xlfn.IFNA(VLOOKUP($AI927,Programma!$F$3:$S$1107,14,0),"")</f>
        <v/>
      </c>
      <c r="AW927" s="300" t="str">
        <f>_xlfn.IFNA(VLOOKUP($AI927,Programma!$F$3:$T$1107,15,0),"")</f>
        <v/>
      </c>
      <c r="AX927" s="300" t="str">
        <f>_xlfn.IFNA(VLOOKUP($AI927,Programma!$F$3:$U$1107,16,0),"")</f>
        <v/>
      </c>
      <c r="AY927" s="300" t="str">
        <f>_xlfn.IFNA(VLOOKUP($AI927,Programma!$F$3:$V$1107,17,0),"")</f>
        <v/>
      </c>
      <c r="AZ927" s="300" t="str">
        <f>_xlfn.IFNA(VLOOKUP($AI927,Programma!$F$3:$W$1107,18,0),"")</f>
        <v/>
      </c>
      <c r="BA927" s="300" t="str">
        <f>_xlfn.IFNA(VLOOKUP($AI927,Programma!$F$3:$X$1107,19,0),"")</f>
        <v/>
      </c>
      <c r="BB927" s="300" t="str">
        <f>_xlfn.IFNA(VLOOKUP($AI927,Programma!$F$3:$Y$1107,20,0),"")</f>
        <v/>
      </c>
      <c r="BC927" s="257"/>
      <c r="BD927" s="256" t="str">
        <f>IF(Ruimtestaat[[#This Row],[Frequentie weekend]]="","",_xlfn.CONCAT(Ruimtestaat[[#This Row],[Ruimte code]],"-",Ruimtestaat[[#This Row],[Frequentie weekend]]," ",Ruimtestaat[[#This Row],[Vloer code]]))</f>
        <v/>
      </c>
      <c r="BE927" s="300" t="str">
        <f>_xlfn.IFNA(VLOOKUP($BD927,Programma!$F$3:$G$1107,2,0),"")</f>
        <v/>
      </c>
      <c r="BF927" s="300" t="str">
        <f>_xlfn.IFNA(VLOOKUP($BD927,Programma!$F$3:$H$1107,3,0),"")</f>
        <v/>
      </c>
      <c r="BG927" s="300" t="str">
        <f>_xlfn.IFNA(VLOOKUP($BD927,Programma!$F$3:$I$1107,4,0),"")</f>
        <v/>
      </c>
      <c r="BH927" s="300" t="str">
        <f>_xlfn.IFNA(VLOOKUP($BD927,Programma!$F$3:$J$1107,5,0),"")</f>
        <v/>
      </c>
      <c r="BI927" s="300" t="str">
        <f>_xlfn.IFNA(VLOOKUP($BD927,Programma!$F$3:$K$1107,6,0),"")</f>
        <v/>
      </c>
      <c r="BJ927" s="300" t="str">
        <f>_xlfn.IFNA(VLOOKUP($BD927,Programma!$F$3:$L$1107,7,0),"")</f>
        <v/>
      </c>
      <c r="BK927" s="300" t="str">
        <f>_xlfn.IFNA(VLOOKUP($BD927,Programma!$F$3:$M$1107,8,0),"")</f>
        <v/>
      </c>
      <c r="BL927" s="300" t="str">
        <f>_xlfn.IFNA(VLOOKUP($BD927,Programma!$F$3:$N$1107,9,0),"")</f>
        <v/>
      </c>
      <c r="BM927" s="300" t="str">
        <f>_xlfn.IFNA(VLOOKUP($BD927,Programma!$F$3:$O$1107,10,0),"")</f>
        <v/>
      </c>
      <c r="BN927" s="300" t="str">
        <f>_xlfn.IFNA(VLOOKUP($BD927,Programma!$F$3:$P$1107,11,0),"")</f>
        <v/>
      </c>
      <c r="BO927" s="300" t="str">
        <f>_xlfn.IFNA(VLOOKUP($BD927,Programma!$F$3:$Q$1107,12,0),"")</f>
        <v/>
      </c>
      <c r="BP927" s="300" t="str">
        <f>_xlfn.IFNA(VLOOKUP($BD927,Programma!$F$3:$R$1107,13,0),"")</f>
        <v/>
      </c>
      <c r="BQ927" s="300" t="str">
        <f>_xlfn.IFNA(VLOOKUP($BD927,Programma!$F$3:$S$1107,14,0),"")</f>
        <v/>
      </c>
      <c r="BR927" s="300" t="str">
        <f>_xlfn.IFNA(VLOOKUP($BD927,Programma!$F$3:$T$1107,15,0),"")</f>
        <v/>
      </c>
      <c r="BS927" s="300" t="str">
        <f>_xlfn.IFNA(VLOOKUP($BD927,Programma!$F$3:$U$1107,16,0),"")</f>
        <v/>
      </c>
      <c r="BT927" s="300" t="str">
        <f>_xlfn.IFNA(VLOOKUP($BD927,Programma!$F$3:$V$1107,17,0),"")</f>
        <v/>
      </c>
      <c r="BU927" s="300" t="str">
        <f>_xlfn.IFNA(VLOOKUP($BD927,Programma!$F$3:$W$1107,18,0),"")</f>
        <v/>
      </c>
      <c r="BV927" s="300" t="str">
        <f>_xlfn.IFNA(VLOOKUP($BD927,Programma!$F$3:$X$1107,19,0),"")</f>
        <v/>
      </c>
      <c r="BW927" s="300" t="str">
        <f>_xlfn.IFNA(VLOOKUP($BD927,Programma!$F$3:$Y$1107,20,0),"")</f>
        <v/>
      </c>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c r="GK927" s="4"/>
      <c r="GL927" s="4"/>
      <c r="GM927" s="4"/>
      <c r="GN927" s="4"/>
      <c r="GO927" s="4"/>
      <c r="GP927" s="4"/>
      <c r="GQ927" s="4"/>
      <c r="GR927" s="4"/>
      <c r="GS927" s="4"/>
      <c r="GT927" s="4"/>
      <c r="GU927" s="4"/>
      <c r="GV927" s="4"/>
      <c r="GW927" s="4"/>
      <c r="GX927" s="4"/>
      <c r="GY927" s="4"/>
      <c r="GZ927" s="4"/>
      <c r="HA927" s="4"/>
      <c r="HB927" s="4"/>
      <c r="HC927" s="4"/>
      <c r="HD927" s="4"/>
      <c r="HE927" s="4"/>
      <c r="HF927" s="4"/>
      <c r="HG927" s="4"/>
      <c r="HH927" s="4"/>
      <c r="HI927" s="4"/>
      <c r="HJ927" s="4"/>
      <c r="HK927" s="4"/>
      <c r="HL927" s="4"/>
    </row>
    <row r="928" spans="1:220" ht="15" customHeight="1">
      <c r="A928" s="21">
        <v>10</v>
      </c>
      <c r="B928" s="157" t="str">
        <f>VLOOKUP(Ruimtestaat[[#This Row],[Code]],Locaties[[Code]:[Locatie]],2,FALSE)</f>
        <v>Veurs Voorburg vmbo</v>
      </c>
      <c r="C928" s="157" t="str">
        <f>VLOOKUP(Ruimtestaat[[#This Row],[Code]],Locaties[[#All],[Code]:[Adres]],4,FALSE)</f>
        <v>Delflandlaan 4</v>
      </c>
      <c r="D928" s="157" t="str">
        <f>VLOOKUP(Ruimtestaat[[#This Row],[Code]],Locaties[[#All],[Code]:[Postcode]],5,FALSE)</f>
        <v>2273 CS</v>
      </c>
      <c r="E928" s="157" t="str">
        <f>VLOOKUP(Ruimtestaat[[#This Row],[Code]],Locaties[#All],6,FALSE)</f>
        <v>Voorburg</v>
      </c>
      <c r="F928" s="62"/>
      <c r="G928" s="21" t="s">
        <v>1749</v>
      </c>
      <c r="H928" s="21" t="s">
        <v>2428</v>
      </c>
      <c r="I928" s="62" t="s">
        <v>2429</v>
      </c>
      <c r="J928" s="21">
        <v>20</v>
      </c>
      <c r="K928" s="62" t="str">
        <f>VLOOKUP(Ruimtestaat[[#This Row],[Ruimte code]],Ruimtegroepen[[#All],[Code]:[Ruimte omschrijving]],2,FALSE)</f>
        <v>Niet in Onderhoud</v>
      </c>
      <c r="L928" s="33" t="s">
        <v>101</v>
      </c>
      <c r="M928" s="367" t="s">
        <v>2506</v>
      </c>
      <c r="N928" s="140"/>
      <c r="O928" s="140">
        <v>7.8</v>
      </c>
      <c r="P928" s="125">
        <f>VLOOKUP(Ruimtestaat[[#This Row],[Ruimte code]],Ruimtegroepen[],4,FALSE)</f>
        <v>0</v>
      </c>
      <c r="R928" s="33"/>
      <c r="S928" s="33"/>
      <c r="T928" s="33">
        <f>IF(R928&gt;0,IF(RIGHT(Ruimtestaat[[#This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28" s="33">
        <f>IF(T928&gt;0,VLOOKUP($J928,Ruimtegroepen[],3,FALSE)*VLOOKUP($L928,Vloersoorten[],3,FALSE)*VLOOKUP($S928,Frequenties[],3,FALSE)*VLOOKUP($A928,Locaties[],3,FALSE),0)</f>
        <v>0</v>
      </c>
      <c r="V928" s="33">
        <f>Ruimtestaat[[#This Row],[Uitvoeringen werkdagen]]*Ruimtestaat[[#This Row],[Oppervlak (netto)]]</f>
        <v>0</v>
      </c>
      <c r="W928" s="154">
        <f>IF(U928&gt;0,Ruimtestaat[[#This Row],[Prest. (m2 /jaar) werkdagen]]/Ruimtestaat[[#This Row],[Norm (m2/uur) werkdagen]],0)</f>
        <v>0</v>
      </c>
      <c r="X928" s="155">
        <f>Ruimtestaat[[#This Row],[uren / jaar werkdagen]]*Tariefsopbouw!$E$35</f>
        <v>0</v>
      </c>
      <c r="Y928" s="33"/>
      <c r="Z928" s="33">
        <f>IF(Ruimtestaat[[#This Row],[Frequentie weekend]]&gt;0,VALUE(LEFT(Y928,1))*R928,0)</f>
        <v>0</v>
      </c>
      <c r="AA928" s="97">
        <f>IF($Z928&gt;0,VLOOKUP($J928,Ruimtegroepen[],3,FALSE)*VLOOKUP($L928,Vloersoorten[],3,FALSE)*VLOOKUP($Y928,Frequenties[],3,FALSE)*VLOOKUP(Ruimtestaat[[#This Row],[Code]],Locaties[],3,FALSE),0)</f>
        <v>0</v>
      </c>
      <c r="AB928" s="97">
        <f>Ruimtestaat[[#This Row],[Uitvoeringen weekend]]*Ruimtestaat[[#This Row],[Oppervlak (netto)]]</f>
        <v>0</v>
      </c>
      <c r="AC928" s="97">
        <f>IF(AA928&gt;0,Ruimtestaat[[#This Row],[Prest. (m2 /jaar) weekend]]/Ruimtestaat[[#This Row],[Norm (m2/uur) weekend]],0)</f>
        <v>0</v>
      </c>
      <c r="AD928" s="155">
        <f>Ruimtestaat[[#This Row],[uren / jaar weekend]]*Tariefsopbouw!$D$40</f>
        <v>0</v>
      </c>
      <c r="AE928" s="154">
        <f>Ruimtestaat[[#This Row],[Prest. (m2 /jaar) weekend]]+Ruimtestaat[[#This Row],[Prest. (m2 /jaar) werkdagen]]</f>
        <v>0</v>
      </c>
      <c r="AF928" s="154">
        <f>Ruimtestaat[[#This Row],[uren / jaar weekend]]+Ruimtestaat[[#This Row],[uren / jaar werkdagen]]</f>
        <v>0</v>
      </c>
      <c r="AG928" s="69">
        <f>Ruimtestaat[[#This Row],[kosten / jaar weekend]]+Ruimtestaat[[#This Row],[kosten / jaar werkdagen]]</f>
        <v>0</v>
      </c>
      <c r="AH928" s="69"/>
      <c r="AI928" s="256" t="str">
        <f>IF(Ruimtestaat[[#This Row],[Frequentie werkdagen]]="","",_xlfn.CONCAT(Ruimtestaat[[#This Row],[Ruimte code]],"-",Ruimtestaat[[#This Row],[Frequentie werkdagen]]," ",Ruimtestaat[[#This Row],[Vloer code]]))</f>
        <v/>
      </c>
      <c r="AJ928" s="300" t="str">
        <f>_xlfn.IFNA(VLOOKUP($AI928,Programma!$F$3:$G$1107,2,0),"")</f>
        <v/>
      </c>
      <c r="AK928" s="300" t="str">
        <f>_xlfn.IFNA(VLOOKUP($AI928,Programma!$F$3:$H$1107,3,0),"")</f>
        <v/>
      </c>
      <c r="AL928" s="300" t="str">
        <f>_xlfn.IFNA(VLOOKUP($AI928,Programma!$F$3:$I$1107,4,0),"")</f>
        <v/>
      </c>
      <c r="AM928" s="300" t="str">
        <f>_xlfn.IFNA(VLOOKUP($AI928,Programma!$F$3:$J$1107,5,0),"")</f>
        <v/>
      </c>
      <c r="AN928" s="300" t="str">
        <f>_xlfn.IFNA(VLOOKUP($AI928,Programma!$F$3:$K$1107,6,0),"")</f>
        <v/>
      </c>
      <c r="AO928" s="300" t="str">
        <f>_xlfn.IFNA(VLOOKUP($AI928,Programma!$F$3:$L$1107,7,0),"")</f>
        <v/>
      </c>
      <c r="AP928" s="300" t="str">
        <f>_xlfn.IFNA(VLOOKUP($AI928,Programma!$F$3:$M$1107,8,0),"")</f>
        <v/>
      </c>
      <c r="AQ928" s="300" t="str">
        <f>_xlfn.IFNA(VLOOKUP($AI928,Programma!$F$3:$N$1107,9,0),"")</f>
        <v/>
      </c>
      <c r="AR928" s="300" t="str">
        <f>_xlfn.IFNA(VLOOKUP($AI928,Programma!$F$3:$O$1107,10,0),"")</f>
        <v/>
      </c>
      <c r="AS928" s="300" t="str">
        <f>_xlfn.IFNA(VLOOKUP($AI928,Programma!$F$3:$P$1107,11,0),"")</f>
        <v/>
      </c>
      <c r="AT928" s="300" t="str">
        <f>_xlfn.IFNA(VLOOKUP($AI928,Programma!$F$3:$Q$1107,12,0),"")</f>
        <v/>
      </c>
      <c r="AU928" s="300" t="str">
        <f>_xlfn.IFNA(VLOOKUP($AI928,Programma!$F$3:$R$1107,13,0),"")</f>
        <v/>
      </c>
      <c r="AV928" s="300" t="str">
        <f>_xlfn.IFNA(VLOOKUP($AI928,Programma!$F$3:$S$1107,14,0),"")</f>
        <v/>
      </c>
      <c r="AW928" s="300" t="str">
        <f>_xlfn.IFNA(VLOOKUP($AI928,Programma!$F$3:$T$1107,15,0),"")</f>
        <v/>
      </c>
      <c r="AX928" s="300" t="str">
        <f>_xlfn.IFNA(VLOOKUP($AI928,Programma!$F$3:$U$1107,16,0),"")</f>
        <v/>
      </c>
      <c r="AY928" s="300" t="str">
        <f>_xlfn.IFNA(VLOOKUP($AI928,Programma!$F$3:$V$1107,17,0),"")</f>
        <v/>
      </c>
      <c r="AZ928" s="300" t="str">
        <f>_xlfn.IFNA(VLOOKUP($AI928,Programma!$F$3:$W$1107,18,0),"")</f>
        <v/>
      </c>
      <c r="BA928" s="300" t="str">
        <f>_xlfn.IFNA(VLOOKUP($AI928,Programma!$F$3:$X$1107,19,0),"")</f>
        <v/>
      </c>
      <c r="BB928" s="300" t="str">
        <f>_xlfn.IFNA(VLOOKUP($AI928,Programma!$F$3:$Y$1107,20,0),"")</f>
        <v/>
      </c>
      <c r="BC928" s="257"/>
      <c r="BD928" s="256" t="str">
        <f>IF(Ruimtestaat[[#This Row],[Frequentie weekend]]="","",_xlfn.CONCAT(Ruimtestaat[[#This Row],[Ruimte code]],"-",Ruimtestaat[[#This Row],[Frequentie weekend]]," ",Ruimtestaat[[#This Row],[Vloer code]]))</f>
        <v/>
      </c>
      <c r="BE928" s="300" t="str">
        <f>_xlfn.IFNA(VLOOKUP($BD928,Programma!$F$3:$G$1107,2,0),"")</f>
        <v/>
      </c>
      <c r="BF928" s="300" t="str">
        <f>_xlfn.IFNA(VLOOKUP($BD928,Programma!$F$3:$H$1107,3,0),"")</f>
        <v/>
      </c>
      <c r="BG928" s="300" t="str">
        <f>_xlfn.IFNA(VLOOKUP($BD928,Programma!$F$3:$I$1107,4,0),"")</f>
        <v/>
      </c>
      <c r="BH928" s="300" t="str">
        <f>_xlfn.IFNA(VLOOKUP($BD928,Programma!$F$3:$J$1107,5,0),"")</f>
        <v/>
      </c>
      <c r="BI928" s="300" t="str">
        <f>_xlfn.IFNA(VLOOKUP($BD928,Programma!$F$3:$K$1107,6,0),"")</f>
        <v/>
      </c>
      <c r="BJ928" s="300" t="str">
        <f>_xlfn.IFNA(VLOOKUP($BD928,Programma!$F$3:$L$1107,7,0),"")</f>
        <v/>
      </c>
      <c r="BK928" s="300" t="str">
        <f>_xlfn.IFNA(VLOOKUP($BD928,Programma!$F$3:$M$1107,8,0),"")</f>
        <v/>
      </c>
      <c r="BL928" s="300" t="str">
        <f>_xlfn.IFNA(VLOOKUP($BD928,Programma!$F$3:$N$1107,9,0),"")</f>
        <v/>
      </c>
      <c r="BM928" s="300" t="str">
        <f>_xlfn.IFNA(VLOOKUP($BD928,Programma!$F$3:$O$1107,10,0),"")</f>
        <v/>
      </c>
      <c r="BN928" s="300" t="str">
        <f>_xlfn.IFNA(VLOOKUP($BD928,Programma!$F$3:$P$1107,11,0),"")</f>
        <v/>
      </c>
      <c r="BO928" s="300" t="str">
        <f>_xlfn.IFNA(VLOOKUP($BD928,Programma!$F$3:$Q$1107,12,0),"")</f>
        <v/>
      </c>
      <c r="BP928" s="300" t="str">
        <f>_xlfn.IFNA(VLOOKUP($BD928,Programma!$F$3:$R$1107,13,0),"")</f>
        <v/>
      </c>
      <c r="BQ928" s="300" t="str">
        <f>_xlfn.IFNA(VLOOKUP($BD928,Programma!$F$3:$S$1107,14,0),"")</f>
        <v/>
      </c>
      <c r="BR928" s="300" t="str">
        <f>_xlfn.IFNA(VLOOKUP($BD928,Programma!$F$3:$T$1107,15,0),"")</f>
        <v/>
      </c>
      <c r="BS928" s="300" t="str">
        <f>_xlfn.IFNA(VLOOKUP($BD928,Programma!$F$3:$U$1107,16,0),"")</f>
        <v/>
      </c>
      <c r="BT928" s="300" t="str">
        <f>_xlfn.IFNA(VLOOKUP($BD928,Programma!$F$3:$V$1107,17,0),"")</f>
        <v/>
      </c>
      <c r="BU928" s="300" t="str">
        <f>_xlfn.IFNA(VLOOKUP($BD928,Programma!$F$3:$W$1107,18,0),"")</f>
        <v/>
      </c>
      <c r="BV928" s="300" t="str">
        <f>_xlfn.IFNA(VLOOKUP($BD928,Programma!$F$3:$X$1107,19,0),"")</f>
        <v/>
      </c>
      <c r="BW928" s="300" t="str">
        <f>_xlfn.IFNA(VLOOKUP($BD928,Programma!$F$3:$Y$1107,20,0),"")</f>
        <v/>
      </c>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c r="GK928" s="4"/>
      <c r="GL928" s="4"/>
      <c r="GM928" s="4"/>
      <c r="GN928" s="4"/>
      <c r="GO928" s="4"/>
      <c r="GP928" s="4"/>
      <c r="GQ928" s="4"/>
      <c r="GR928" s="4"/>
      <c r="GS928" s="4"/>
      <c r="GT928" s="4"/>
      <c r="GU928" s="4"/>
      <c r="GV928" s="4"/>
      <c r="GW928" s="4"/>
      <c r="GX928" s="4"/>
      <c r="GY928" s="4"/>
      <c r="GZ928" s="4"/>
      <c r="HA928" s="4"/>
      <c r="HB928" s="4"/>
      <c r="HC928" s="4"/>
      <c r="HD928" s="4"/>
      <c r="HE928" s="4"/>
      <c r="HF928" s="4"/>
      <c r="HG928" s="4"/>
      <c r="HH928" s="4"/>
      <c r="HI928" s="4"/>
      <c r="HJ928" s="4"/>
      <c r="HK928" s="4"/>
      <c r="HL928" s="4"/>
    </row>
    <row r="929" spans="1:220" ht="15" customHeight="1">
      <c r="A929" s="21">
        <v>10</v>
      </c>
      <c r="B929" s="157" t="str">
        <f>VLOOKUP(Ruimtestaat[[#This Row],[Code]],Locaties[[Code]:[Locatie]],2,FALSE)</f>
        <v>Veurs Voorburg vmbo</v>
      </c>
      <c r="C929" s="157" t="str">
        <f>VLOOKUP(Ruimtestaat[[#This Row],[Code]],Locaties[[#All],[Code]:[Adres]],4,FALSE)</f>
        <v>Delflandlaan 4</v>
      </c>
      <c r="D929" s="157" t="str">
        <f>VLOOKUP(Ruimtestaat[[#This Row],[Code]],Locaties[[#All],[Code]:[Postcode]],5,FALSE)</f>
        <v>2273 CS</v>
      </c>
      <c r="E929" s="157" t="str">
        <f>VLOOKUP(Ruimtestaat[[#This Row],[Code]],Locaties[#All],6,FALSE)</f>
        <v>Voorburg</v>
      </c>
      <c r="F929" s="62"/>
      <c r="G929" s="21" t="s">
        <v>1749</v>
      </c>
      <c r="H929" s="21" t="s">
        <v>2430</v>
      </c>
      <c r="I929" s="62" t="s">
        <v>2431</v>
      </c>
      <c r="J929" s="21">
        <v>20</v>
      </c>
      <c r="K929" s="62" t="str">
        <f>VLOOKUP(Ruimtestaat[[#This Row],[Ruimte code]],Ruimtegroepen[[#All],[Code]:[Ruimte omschrijving]],2,FALSE)</f>
        <v>Niet in Onderhoud</v>
      </c>
      <c r="L929" s="33" t="s">
        <v>101</v>
      </c>
      <c r="M929" s="367" t="s">
        <v>2506</v>
      </c>
      <c r="N929" s="140"/>
      <c r="O929" s="140">
        <v>5</v>
      </c>
      <c r="P929" s="125">
        <f>VLOOKUP(Ruimtestaat[[#This Row],[Ruimte code]],Ruimtegroepen[],4,FALSE)</f>
        <v>0</v>
      </c>
      <c r="R929" s="33"/>
      <c r="S929" s="33"/>
      <c r="T929" s="33">
        <f>IF(R929&gt;0,IF(RIGHT(Ruimtestaat[[#This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29" s="33">
        <f>IF(T929&gt;0,VLOOKUP($J929,Ruimtegroepen[],3,FALSE)*VLOOKUP($L929,Vloersoorten[],3,FALSE)*VLOOKUP($S929,Frequenties[],3,FALSE)*VLOOKUP($A929,Locaties[],3,FALSE),0)</f>
        <v>0</v>
      </c>
      <c r="V929" s="33">
        <f>Ruimtestaat[[#This Row],[Uitvoeringen werkdagen]]*Ruimtestaat[[#This Row],[Oppervlak (netto)]]</f>
        <v>0</v>
      </c>
      <c r="W929" s="154">
        <f>IF(U929&gt;0,Ruimtestaat[[#This Row],[Prest. (m2 /jaar) werkdagen]]/Ruimtestaat[[#This Row],[Norm (m2/uur) werkdagen]],0)</f>
        <v>0</v>
      </c>
      <c r="X929" s="155">
        <f>Ruimtestaat[[#This Row],[uren / jaar werkdagen]]*Tariefsopbouw!$E$35</f>
        <v>0</v>
      </c>
      <c r="Y929" s="33"/>
      <c r="Z929" s="33">
        <f>IF(Ruimtestaat[[#This Row],[Frequentie weekend]]&gt;0,VALUE(LEFT(Y929,1))*R929,0)</f>
        <v>0</v>
      </c>
      <c r="AA929" s="97">
        <f>IF($Z929&gt;0,VLOOKUP($J929,Ruimtegroepen[],3,FALSE)*VLOOKUP($L929,Vloersoorten[],3,FALSE)*VLOOKUP($Y929,Frequenties[],3,FALSE)*VLOOKUP(Ruimtestaat[[#This Row],[Code]],Locaties[],3,FALSE),0)</f>
        <v>0</v>
      </c>
      <c r="AB929" s="97">
        <f>Ruimtestaat[[#This Row],[Uitvoeringen weekend]]*Ruimtestaat[[#This Row],[Oppervlak (netto)]]</f>
        <v>0</v>
      </c>
      <c r="AC929" s="97">
        <f>IF(AA929&gt;0,Ruimtestaat[[#This Row],[Prest. (m2 /jaar) weekend]]/Ruimtestaat[[#This Row],[Norm (m2/uur) weekend]],0)</f>
        <v>0</v>
      </c>
      <c r="AD929" s="155">
        <f>Ruimtestaat[[#This Row],[uren / jaar weekend]]*Tariefsopbouw!$D$40</f>
        <v>0</v>
      </c>
      <c r="AE929" s="154">
        <f>Ruimtestaat[[#This Row],[Prest. (m2 /jaar) weekend]]+Ruimtestaat[[#This Row],[Prest. (m2 /jaar) werkdagen]]</f>
        <v>0</v>
      </c>
      <c r="AF929" s="154">
        <f>Ruimtestaat[[#This Row],[uren / jaar weekend]]+Ruimtestaat[[#This Row],[uren / jaar werkdagen]]</f>
        <v>0</v>
      </c>
      <c r="AG929" s="69">
        <f>Ruimtestaat[[#This Row],[kosten / jaar weekend]]+Ruimtestaat[[#This Row],[kosten / jaar werkdagen]]</f>
        <v>0</v>
      </c>
      <c r="AH929" s="69"/>
      <c r="AI929" s="256" t="str">
        <f>IF(Ruimtestaat[[#This Row],[Frequentie werkdagen]]="","",_xlfn.CONCAT(Ruimtestaat[[#This Row],[Ruimte code]],"-",Ruimtestaat[[#This Row],[Frequentie werkdagen]]," ",Ruimtestaat[[#This Row],[Vloer code]]))</f>
        <v/>
      </c>
      <c r="AJ929" s="300" t="str">
        <f>_xlfn.IFNA(VLOOKUP($AI929,Programma!$F$3:$G$1107,2,0),"")</f>
        <v/>
      </c>
      <c r="AK929" s="300" t="str">
        <f>_xlfn.IFNA(VLOOKUP($AI929,Programma!$F$3:$H$1107,3,0),"")</f>
        <v/>
      </c>
      <c r="AL929" s="300" t="str">
        <f>_xlfn.IFNA(VLOOKUP($AI929,Programma!$F$3:$I$1107,4,0),"")</f>
        <v/>
      </c>
      <c r="AM929" s="300" t="str">
        <f>_xlfn.IFNA(VLOOKUP($AI929,Programma!$F$3:$J$1107,5,0),"")</f>
        <v/>
      </c>
      <c r="AN929" s="300" t="str">
        <f>_xlfn.IFNA(VLOOKUP($AI929,Programma!$F$3:$K$1107,6,0),"")</f>
        <v/>
      </c>
      <c r="AO929" s="300" t="str">
        <f>_xlfn.IFNA(VLOOKUP($AI929,Programma!$F$3:$L$1107,7,0),"")</f>
        <v/>
      </c>
      <c r="AP929" s="300" t="str">
        <f>_xlfn.IFNA(VLOOKUP($AI929,Programma!$F$3:$M$1107,8,0),"")</f>
        <v/>
      </c>
      <c r="AQ929" s="300" t="str">
        <f>_xlfn.IFNA(VLOOKUP($AI929,Programma!$F$3:$N$1107,9,0),"")</f>
        <v/>
      </c>
      <c r="AR929" s="300" t="str">
        <f>_xlfn.IFNA(VLOOKUP($AI929,Programma!$F$3:$O$1107,10,0),"")</f>
        <v/>
      </c>
      <c r="AS929" s="300" t="str">
        <f>_xlfn.IFNA(VLOOKUP($AI929,Programma!$F$3:$P$1107,11,0),"")</f>
        <v/>
      </c>
      <c r="AT929" s="300" t="str">
        <f>_xlfn.IFNA(VLOOKUP($AI929,Programma!$F$3:$Q$1107,12,0),"")</f>
        <v/>
      </c>
      <c r="AU929" s="300" t="str">
        <f>_xlfn.IFNA(VLOOKUP($AI929,Programma!$F$3:$R$1107,13,0),"")</f>
        <v/>
      </c>
      <c r="AV929" s="300" t="str">
        <f>_xlfn.IFNA(VLOOKUP($AI929,Programma!$F$3:$S$1107,14,0),"")</f>
        <v/>
      </c>
      <c r="AW929" s="300" t="str">
        <f>_xlfn.IFNA(VLOOKUP($AI929,Programma!$F$3:$T$1107,15,0),"")</f>
        <v/>
      </c>
      <c r="AX929" s="300" t="str">
        <f>_xlfn.IFNA(VLOOKUP($AI929,Programma!$F$3:$U$1107,16,0),"")</f>
        <v/>
      </c>
      <c r="AY929" s="300" t="str">
        <f>_xlfn.IFNA(VLOOKUP($AI929,Programma!$F$3:$V$1107,17,0),"")</f>
        <v/>
      </c>
      <c r="AZ929" s="300" t="str">
        <f>_xlfn.IFNA(VLOOKUP($AI929,Programma!$F$3:$W$1107,18,0),"")</f>
        <v/>
      </c>
      <c r="BA929" s="300" t="str">
        <f>_xlfn.IFNA(VLOOKUP($AI929,Programma!$F$3:$X$1107,19,0),"")</f>
        <v/>
      </c>
      <c r="BB929" s="300" t="str">
        <f>_xlfn.IFNA(VLOOKUP($AI929,Programma!$F$3:$Y$1107,20,0),"")</f>
        <v/>
      </c>
      <c r="BC929" s="257"/>
      <c r="BD929" s="256" t="str">
        <f>IF(Ruimtestaat[[#This Row],[Frequentie weekend]]="","",_xlfn.CONCAT(Ruimtestaat[[#This Row],[Ruimte code]],"-",Ruimtestaat[[#This Row],[Frequentie weekend]]," ",Ruimtestaat[[#This Row],[Vloer code]]))</f>
        <v/>
      </c>
      <c r="BE929" s="300" t="str">
        <f>_xlfn.IFNA(VLOOKUP($BD929,Programma!$F$3:$G$1107,2,0),"")</f>
        <v/>
      </c>
      <c r="BF929" s="300" t="str">
        <f>_xlfn.IFNA(VLOOKUP($BD929,Programma!$F$3:$H$1107,3,0),"")</f>
        <v/>
      </c>
      <c r="BG929" s="300" t="str">
        <f>_xlfn.IFNA(VLOOKUP($BD929,Programma!$F$3:$I$1107,4,0),"")</f>
        <v/>
      </c>
      <c r="BH929" s="300" t="str">
        <f>_xlfn.IFNA(VLOOKUP($BD929,Programma!$F$3:$J$1107,5,0),"")</f>
        <v/>
      </c>
      <c r="BI929" s="300" t="str">
        <f>_xlfn.IFNA(VLOOKUP($BD929,Programma!$F$3:$K$1107,6,0),"")</f>
        <v/>
      </c>
      <c r="BJ929" s="300" t="str">
        <f>_xlfn.IFNA(VLOOKUP($BD929,Programma!$F$3:$L$1107,7,0),"")</f>
        <v/>
      </c>
      <c r="BK929" s="300" t="str">
        <f>_xlfn.IFNA(VLOOKUP($BD929,Programma!$F$3:$M$1107,8,0),"")</f>
        <v/>
      </c>
      <c r="BL929" s="300" t="str">
        <f>_xlfn.IFNA(VLOOKUP($BD929,Programma!$F$3:$N$1107,9,0),"")</f>
        <v/>
      </c>
      <c r="BM929" s="300" t="str">
        <f>_xlfn.IFNA(VLOOKUP($BD929,Programma!$F$3:$O$1107,10,0),"")</f>
        <v/>
      </c>
      <c r="BN929" s="300" t="str">
        <f>_xlfn.IFNA(VLOOKUP($BD929,Programma!$F$3:$P$1107,11,0),"")</f>
        <v/>
      </c>
      <c r="BO929" s="300" t="str">
        <f>_xlfn.IFNA(VLOOKUP($BD929,Programma!$F$3:$Q$1107,12,0),"")</f>
        <v/>
      </c>
      <c r="BP929" s="300" t="str">
        <f>_xlfn.IFNA(VLOOKUP($BD929,Programma!$F$3:$R$1107,13,0),"")</f>
        <v/>
      </c>
      <c r="BQ929" s="300" t="str">
        <f>_xlfn.IFNA(VLOOKUP($BD929,Programma!$F$3:$S$1107,14,0),"")</f>
        <v/>
      </c>
      <c r="BR929" s="300" t="str">
        <f>_xlfn.IFNA(VLOOKUP($BD929,Programma!$F$3:$T$1107,15,0),"")</f>
        <v/>
      </c>
      <c r="BS929" s="300" t="str">
        <f>_xlfn.IFNA(VLOOKUP($BD929,Programma!$F$3:$U$1107,16,0),"")</f>
        <v/>
      </c>
      <c r="BT929" s="300" t="str">
        <f>_xlfn.IFNA(VLOOKUP($BD929,Programma!$F$3:$V$1107,17,0),"")</f>
        <v/>
      </c>
      <c r="BU929" s="300" t="str">
        <f>_xlfn.IFNA(VLOOKUP($BD929,Programma!$F$3:$W$1107,18,0),"")</f>
        <v/>
      </c>
      <c r="BV929" s="300" t="str">
        <f>_xlfn.IFNA(VLOOKUP($BD929,Programma!$F$3:$X$1107,19,0),"")</f>
        <v/>
      </c>
      <c r="BW929" s="300" t="str">
        <f>_xlfn.IFNA(VLOOKUP($BD929,Programma!$F$3:$Y$1107,20,0),"")</f>
        <v/>
      </c>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c r="GK929" s="4"/>
      <c r="GL929" s="4"/>
      <c r="GM929" s="4"/>
      <c r="GN929" s="4"/>
      <c r="GO929" s="4"/>
      <c r="GP929" s="4"/>
      <c r="GQ929" s="4"/>
      <c r="GR929" s="4"/>
      <c r="GS929" s="4"/>
      <c r="GT929" s="4"/>
      <c r="GU929" s="4"/>
      <c r="GV929" s="4"/>
      <c r="GW929" s="4"/>
      <c r="GX929" s="4"/>
      <c r="GY929" s="4"/>
      <c r="GZ929" s="4"/>
      <c r="HA929" s="4"/>
      <c r="HB929" s="4"/>
      <c r="HC929" s="4"/>
      <c r="HD929" s="4"/>
      <c r="HE929" s="4"/>
      <c r="HF929" s="4"/>
      <c r="HG929" s="4"/>
      <c r="HH929" s="4"/>
      <c r="HI929" s="4"/>
      <c r="HJ929" s="4"/>
      <c r="HK929" s="4"/>
      <c r="HL929" s="4"/>
    </row>
    <row r="930" spans="1:220" ht="15" customHeight="1">
      <c r="A930" s="21">
        <v>10</v>
      </c>
      <c r="B930" s="157" t="str">
        <f>VLOOKUP(Ruimtestaat[[#This Row],[Code]],Locaties[[Code]:[Locatie]],2,FALSE)</f>
        <v>Veurs Voorburg vmbo</v>
      </c>
      <c r="C930" s="157" t="str">
        <f>VLOOKUP(Ruimtestaat[[#This Row],[Code]],Locaties[[#All],[Code]:[Adres]],4,FALSE)</f>
        <v>Delflandlaan 4</v>
      </c>
      <c r="D930" s="157" t="str">
        <f>VLOOKUP(Ruimtestaat[[#This Row],[Code]],Locaties[[#All],[Code]:[Postcode]],5,FALSE)</f>
        <v>2273 CS</v>
      </c>
      <c r="E930" s="157" t="str">
        <f>VLOOKUP(Ruimtestaat[[#This Row],[Code]],Locaties[#All],6,FALSE)</f>
        <v>Voorburg</v>
      </c>
      <c r="F930" s="62"/>
      <c r="G930" s="21" t="s">
        <v>1749</v>
      </c>
      <c r="H930" s="21" t="s">
        <v>2432</v>
      </c>
      <c r="I930" s="62" t="s">
        <v>2433</v>
      </c>
      <c r="J930" s="21">
        <v>2</v>
      </c>
      <c r="K930" s="62" t="str">
        <f>VLOOKUP(Ruimtestaat[[#This Row],[Ruimte code]],Ruimtegroepen[[#All],[Code]:[Ruimte omschrijving]],2,FALSE)</f>
        <v>Kantoren</v>
      </c>
      <c r="L930" s="33" t="s">
        <v>100</v>
      </c>
      <c r="M930" s="367" t="s">
        <v>36</v>
      </c>
      <c r="N930" s="140">
        <v>16.2</v>
      </c>
      <c r="O930" s="140"/>
      <c r="P930" s="125" t="str">
        <f>VLOOKUP(Ruimtestaat[[#This Row],[Ruimte code]],Ruimtegroepen[],4,FALSE)</f>
        <v>Bu</v>
      </c>
      <c r="R930" s="33">
        <v>42</v>
      </c>
      <c r="S930" s="33" t="s">
        <v>18</v>
      </c>
      <c r="T930" s="33">
        <f>IF(R930&gt;0,IF(RIGHT(Ruimtestaat[[#This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30" s="33">
        <f>IF(T930&gt;0,VLOOKUP($J930,Ruimtegroepen[],3,FALSE)*VLOOKUP($L930,Vloersoorten[],3,FALSE)*VLOOKUP($S930,Frequenties[],3,FALSE)*VLOOKUP($A930,Locaties[],3,FALSE),0)</f>
        <v>0</v>
      </c>
      <c r="V930" s="33">
        <f>Ruimtestaat[[#This Row],[Uitvoeringen werkdagen]]*Ruimtestaat[[#This Row],[Oppervlak (netto)]]</f>
        <v>2041.1999999999998</v>
      </c>
      <c r="W930" s="154">
        <f>IF(U930&gt;0,Ruimtestaat[[#This Row],[Prest. (m2 /jaar) werkdagen]]/Ruimtestaat[[#This Row],[Norm (m2/uur) werkdagen]],0)</f>
        <v>0</v>
      </c>
      <c r="X930" s="155">
        <f>Ruimtestaat[[#This Row],[uren / jaar werkdagen]]*Tariefsopbouw!$E$35</f>
        <v>0</v>
      </c>
      <c r="Y930" s="33"/>
      <c r="Z930" s="33">
        <f>IF(Ruimtestaat[[#This Row],[Frequentie weekend]]&gt;0,VALUE(LEFT(Y930,1))*R930,0)</f>
        <v>0</v>
      </c>
      <c r="AA930" s="97">
        <f>IF($Z930&gt;0,VLOOKUP($J930,Ruimtegroepen[],3,FALSE)*VLOOKUP($L930,Vloersoorten[],3,FALSE)*VLOOKUP($Y930,Frequenties[],3,FALSE)*VLOOKUP(Ruimtestaat[[#This Row],[Code]],Locaties[],3,FALSE),0)</f>
        <v>0</v>
      </c>
      <c r="AB930" s="97">
        <f>Ruimtestaat[[#This Row],[Uitvoeringen weekend]]*Ruimtestaat[[#This Row],[Oppervlak (netto)]]</f>
        <v>0</v>
      </c>
      <c r="AC930" s="97">
        <f>IF(AA930&gt;0,Ruimtestaat[[#This Row],[Prest. (m2 /jaar) weekend]]/Ruimtestaat[[#This Row],[Norm (m2/uur) weekend]],0)</f>
        <v>0</v>
      </c>
      <c r="AD930" s="155">
        <f>Ruimtestaat[[#This Row],[uren / jaar weekend]]*Tariefsopbouw!$D$40</f>
        <v>0</v>
      </c>
      <c r="AE930" s="154">
        <f>Ruimtestaat[[#This Row],[Prest. (m2 /jaar) weekend]]+Ruimtestaat[[#This Row],[Prest. (m2 /jaar) werkdagen]]</f>
        <v>2041.1999999999998</v>
      </c>
      <c r="AF930" s="154">
        <f>Ruimtestaat[[#This Row],[uren / jaar weekend]]+Ruimtestaat[[#This Row],[uren / jaar werkdagen]]</f>
        <v>0</v>
      </c>
      <c r="AG930" s="69">
        <f>Ruimtestaat[[#This Row],[kosten / jaar weekend]]+Ruimtestaat[[#This Row],[kosten / jaar werkdagen]]</f>
        <v>0</v>
      </c>
      <c r="AH930" s="69"/>
      <c r="AI930" s="256" t="str">
        <f>IF(Ruimtestaat[[#This Row],[Frequentie werkdagen]]="","",_xlfn.CONCAT(Ruimtestaat[[#This Row],[Ruimte code]],"-",Ruimtestaat[[#This Row],[Frequentie werkdagen]]," ",Ruimtestaat[[#This Row],[Vloer code]]))</f>
        <v>2-3w T</v>
      </c>
      <c r="AJ930" s="300" t="str">
        <f>_xlfn.IFNA(VLOOKUP($AI930,Programma!$F$3:$G$1107,2,0),"")</f>
        <v>2w</v>
      </c>
      <c r="AK930" s="300" t="str">
        <f>_xlfn.IFNA(VLOOKUP($AI930,Programma!$F$3:$H$1107,3,0),"")</f>
        <v>1w</v>
      </c>
      <c r="AL930" s="300" t="str">
        <f>_xlfn.IFNA(VLOOKUP($AI930,Programma!$F$3:$I$1107,4,0),"")</f>
        <v>_</v>
      </c>
      <c r="AM930" s="300" t="str">
        <f>_xlfn.IFNA(VLOOKUP($AI930,Programma!$F$3:$J$1107,5,0),"")</f>
        <v>_</v>
      </c>
      <c r="AN930" s="300" t="str">
        <f>_xlfn.IFNA(VLOOKUP($AI930,Programma!$F$3:$K$1107,6,0),"")</f>
        <v>_</v>
      </c>
      <c r="AO930" s="300" t="str">
        <f>_xlfn.IFNA(VLOOKUP($AI930,Programma!$F$3:$L$1107,7,0),"")</f>
        <v>_</v>
      </c>
      <c r="AP930" s="300" t="str">
        <f>_xlfn.IFNA(VLOOKUP($AI930,Programma!$F$3:$M$1107,8,0),"")</f>
        <v>_</v>
      </c>
      <c r="AQ930" s="300" t="str">
        <f>_xlfn.IFNA(VLOOKUP($AI930,Programma!$F$3:$N$1107,9,0),"")</f>
        <v>_</v>
      </c>
      <c r="AR930" s="300" t="str">
        <f>_xlfn.IFNA(VLOOKUP($AI930,Programma!$F$3:$O$1107,10,0),"")</f>
        <v>3w</v>
      </c>
      <c r="AS930" s="300" t="str">
        <f>_xlfn.IFNA(VLOOKUP($AI930,Programma!$F$3:$P$1107,11,0),"")</f>
        <v>3w</v>
      </c>
      <c r="AT930" s="300" t="str">
        <f>_xlfn.IFNA(VLOOKUP($AI930,Programma!$F$3:$Q$1107,12,0),"")</f>
        <v>1w</v>
      </c>
      <c r="AU930" s="300" t="str">
        <f>_xlfn.IFNA(VLOOKUP($AI930,Programma!$F$3:$R$1107,13,0),"")</f>
        <v>1w</v>
      </c>
      <c r="AV930" s="300" t="str">
        <f>_xlfn.IFNA(VLOOKUP($AI930,Programma!$F$3:$S$1107,14,0),"")</f>
        <v>1m</v>
      </c>
      <c r="AW930" s="300" t="str">
        <f>_xlfn.IFNA(VLOOKUP($AI930,Programma!$F$3:$T$1107,15,0),"")</f>
        <v>2j</v>
      </c>
      <c r="AX930" s="300" t="str">
        <f>_xlfn.IFNA(VLOOKUP($AI930,Programma!$F$3:$U$1107,16,0),"")</f>
        <v>1j</v>
      </c>
      <c r="AY930" s="300" t="str">
        <f>_xlfn.IFNA(VLOOKUP($AI930,Programma!$F$3:$V$1107,17,0),"")</f>
        <v>_</v>
      </c>
      <c r="AZ930" s="300" t="str">
        <f>_xlfn.IFNA(VLOOKUP($AI930,Programma!$F$3:$W$1107,18,0),"")</f>
        <v>_</v>
      </c>
      <c r="BA930" s="300" t="str">
        <f>_xlfn.IFNA(VLOOKUP($AI930,Programma!$F$3:$X$1107,19,0),"")</f>
        <v>_</v>
      </c>
      <c r="BB930" s="300" t="str">
        <f>_xlfn.IFNA(VLOOKUP($AI930,Programma!$F$3:$Y$1107,20,0),"")</f>
        <v>_</v>
      </c>
      <c r="BC930" s="257"/>
      <c r="BD930" s="256" t="str">
        <f>IF(Ruimtestaat[[#This Row],[Frequentie weekend]]="","",_xlfn.CONCAT(Ruimtestaat[[#This Row],[Ruimte code]],"-",Ruimtestaat[[#This Row],[Frequentie weekend]]," ",Ruimtestaat[[#This Row],[Vloer code]]))</f>
        <v/>
      </c>
      <c r="BE930" s="300" t="str">
        <f>_xlfn.IFNA(VLOOKUP($BD930,Programma!$F$3:$G$1107,2,0),"")</f>
        <v/>
      </c>
      <c r="BF930" s="300" t="str">
        <f>_xlfn.IFNA(VLOOKUP($BD930,Programma!$F$3:$H$1107,3,0),"")</f>
        <v/>
      </c>
      <c r="BG930" s="300" t="str">
        <f>_xlfn.IFNA(VLOOKUP($BD930,Programma!$F$3:$I$1107,4,0),"")</f>
        <v/>
      </c>
      <c r="BH930" s="300" t="str">
        <f>_xlfn.IFNA(VLOOKUP($BD930,Programma!$F$3:$J$1107,5,0),"")</f>
        <v/>
      </c>
      <c r="BI930" s="300" t="str">
        <f>_xlfn.IFNA(VLOOKUP($BD930,Programma!$F$3:$K$1107,6,0),"")</f>
        <v/>
      </c>
      <c r="BJ930" s="300" t="str">
        <f>_xlfn.IFNA(VLOOKUP($BD930,Programma!$F$3:$L$1107,7,0),"")</f>
        <v/>
      </c>
      <c r="BK930" s="300" t="str">
        <f>_xlfn.IFNA(VLOOKUP($BD930,Programma!$F$3:$M$1107,8,0),"")</f>
        <v/>
      </c>
      <c r="BL930" s="300" t="str">
        <f>_xlfn.IFNA(VLOOKUP($BD930,Programma!$F$3:$N$1107,9,0),"")</f>
        <v/>
      </c>
      <c r="BM930" s="300" t="str">
        <f>_xlfn.IFNA(VLOOKUP($BD930,Programma!$F$3:$O$1107,10,0),"")</f>
        <v/>
      </c>
      <c r="BN930" s="300" t="str">
        <f>_xlfn.IFNA(VLOOKUP($BD930,Programma!$F$3:$P$1107,11,0),"")</f>
        <v/>
      </c>
      <c r="BO930" s="300" t="str">
        <f>_xlfn.IFNA(VLOOKUP($BD930,Programma!$F$3:$Q$1107,12,0),"")</f>
        <v/>
      </c>
      <c r="BP930" s="300" t="str">
        <f>_xlfn.IFNA(VLOOKUP($BD930,Programma!$F$3:$R$1107,13,0),"")</f>
        <v/>
      </c>
      <c r="BQ930" s="300" t="str">
        <f>_xlfn.IFNA(VLOOKUP($BD930,Programma!$F$3:$S$1107,14,0),"")</f>
        <v/>
      </c>
      <c r="BR930" s="300" t="str">
        <f>_xlfn.IFNA(VLOOKUP($BD930,Programma!$F$3:$T$1107,15,0),"")</f>
        <v/>
      </c>
      <c r="BS930" s="300" t="str">
        <f>_xlfn.IFNA(VLOOKUP($BD930,Programma!$F$3:$U$1107,16,0),"")</f>
        <v/>
      </c>
      <c r="BT930" s="300" t="str">
        <f>_xlfn.IFNA(VLOOKUP($BD930,Programma!$F$3:$V$1107,17,0),"")</f>
        <v/>
      </c>
      <c r="BU930" s="300" t="str">
        <f>_xlfn.IFNA(VLOOKUP($BD930,Programma!$F$3:$W$1107,18,0),"")</f>
        <v/>
      </c>
      <c r="BV930" s="300" t="str">
        <f>_xlfn.IFNA(VLOOKUP($BD930,Programma!$F$3:$X$1107,19,0),"")</f>
        <v/>
      </c>
      <c r="BW930" s="300" t="str">
        <f>_xlfn.IFNA(VLOOKUP($BD930,Programma!$F$3:$Y$1107,20,0),"")</f>
        <v/>
      </c>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c r="GK930" s="4"/>
      <c r="GL930" s="4"/>
      <c r="GM930" s="4"/>
      <c r="GN930" s="4"/>
      <c r="GO930" s="4"/>
      <c r="GP930" s="4"/>
      <c r="GQ930" s="4"/>
      <c r="GR930" s="4"/>
      <c r="GS930" s="4"/>
      <c r="GT930" s="4"/>
      <c r="GU930" s="4"/>
      <c r="GV930" s="4"/>
      <c r="GW930" s="4"/>
      <c r="GX930" s="4"/>
      <c r="GY930" s="4"/>
      <c r="GZ930" s="4"/>
      <c r="HA930" s="4"/>
      <c r="HB930" s="4"/>
      <c r="HC930" s="4"/>
      <c r="HD930" s="4"/>
      <c r="HE930" s="4"/>
      <c r="HF930" s="4"/>
      <c r="HG930" s="4"/>
      <c r="HH930" s="4"/>
      <c r="HI930" s="4"/>
      <c r="HJ930" s="4"/>
      <c r="HK930" s="4"/>
      <c r="HL930" s="4"/>
    </row>
    <row r="931" spans="1:220" ht="15" customHeight="1">
      <c r="A931" s="21">
        <v>10</v>
      </c>
      <c r="B931" s="157" t="str">
        <f>VLOOKUP(Ruimtestaat[[#This Row],[Code]],Locaties[[Code]:[Locatie]],2,FALSE)</f>
        <v>Veurs Voorburg vmbo</v>
      </c>
      <c r="C931" s="157" t="str">
        <f>VLOOKUP(Ruimtestaat[[#This Row],[Code]],Locaties[[#All],[Code]:[Adres]],4,FALSE)</f>
        <v>Delflandlaan 4</v>
      </c>
      <c r="D931" s="157" t="str">
        <f>VLOOKUP(Ruimtestaat[[#This Row],[Code]],Locaties[[#All],[Code]:[Postcode]],5,FALSE)</f>
        <v>2273 CS</v>
      </c>
      <c r="E931" s="157" t="str">
        <f>VLOOKUP(Ruimtestaat[[#This Row],[Code]],Locaties[#All],6,FALSE)</f>
        <v>Voorburg</v>
      </c>
      <c r="F931" s="62"/>
      <c r="G931" s="21" t="s">
        <v>1749</v>
      </c>
      <c r="H931" s="21" t="s">
        <v>2434</v>
      </c>
      <c r="I931" s="62" t="s">
        <v>1653</v>
      </c>
      <c r="J931" s="21">
        <v>2</v>
      </c>
      <c r="K931" s="62" t="str">
        <f>VLOOKUP(Ruimtestaat[[#This Row],[Ruimte code]],Ruimtegroepen[[#All],[Code]:[Ruimte omschrijving]],2,FALSE)</f>
        <v>Kantoren</v>
      </c>
      <c r="L931" s="33" t="s">
        <v>100</v>
      </c>
      <c r="M931" s="367" t="s">
        <v>36</v>
      </c>
      <c r="N931" s="140">
        <v>20.7</v>
      </c>
      <c r="O931" s="140"/>
      <c r="P931" s="125" t="str">
        <f>VLOOKUP(Ruimtestaat[[#This Row],[Ruimte code]],Ruimtegroepen[],4,FALSE)</f>
        <v>Bu</v>
      </c>
      <c r="R931" s="33">
        <v>42</v>
      </c>
      <c r="S931" s="33" t="s">
        <v>18</v>
      </c>
      <c r="T931" s="33">
        <f>IF(R931&gt;0,IF(RIGHT(Ruimtestaat[[#This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31" s="33">
        <f>IF(T931&gt;0,VLOOKUP($J931,Ruimtegroepen[],3,FALSE)*VLOOKUP($L931,Vloersoorten[],3,FALSE)*VLOOKUP($S931,Frequenties[],3,FALSE)*VLOOKUP($A931,Locaties[],3,FALSE),0)</f>
        <v>0</v>
      </c>
      <c r="V931" s="33">
        <f>Ruimtestaat[[#This Row],[Uitvoeringen werkdagen]]*Ruimtestaat[[#This Row],[Oppervlak (netto)]]</f>
        <v>2608.1999999999998</v>
      </c>
      <c r="W931" s="154">
        <f>IF(U931&gt;0,Ruimtestaat[[#This Row],[Prest. (m2 /jaar) werkdagen]]/Ruimtestaat[[#This Row],[Norm (m2/uur) werkdagen]],0)</f>
        <v>0</v>
      </c>
      <c r="X931" s="155">
        <f>Ruimtestaat[[#This Row],[uren / jaar werkdagen]]*Tariefsopbouw!$E$35</f>
        <v>0</v>
      </c>
      <c r="Y931" s="33"/>
      <c r="Z931" s="33">
        <f>IF(Ruimtestaat[[#This Row],[Frequentie weekend]]&gt;0,VALUE(LEFT(Y931,1))*R931,0)</f>
        <v>0</v>
      </c>
      <c r="AA931" s="97">
        <f>IF($Z931&gt;0,VLOOKUP($J931,Ruimtegroepen[],3,FALSE)*VLOOKUP($L931,Vloersoorten[],3,FALSE)*VLOOKUP($Y931,Frequenties[],3,FALSE)*VLOOKUP(Ruimtestaat[[#This Row],[Code]],Locaties[],3,FALSE),0)</f>
        <v>0</v>
      </c>
      <c r="AB931" s="97">
        <f>Ruimtestaat[[#This Row],[Uitvoeringen weekend]]*Ruimtestaat[[#This Row],[Oppervlak (netto)]]</f>
        <v>0</v>
      </c>
      <c r="AC931" s="97">
        <f>IF(AA931&gt;0,Ruimtestaat[[#This Row],[Prest. (m2 /jaar) weekend]]/Ruimtestaat[[#This Row],[Norm (m2/uur) weekend]],0)</f>
        <v>0</v>
      </c>
      <c r="AD931" s="155">
        <f>Ruimtestaat[[#This Row],[uren / jaar weekend]]*Tariefsopbouw!$D$40</f>
        <v>0</v>
      </c>
      <c r="AE931" s="154">
        <f>Ruimtestaat[[#This Row],[Prest. (m2 /jaar) weekend]]+Ruimtestaat[[#This Row],[Prest. (m2 /jaar) werkdagen]]</f>
        <v>2608.1999999999998</v>
      </c>
      <c r="AF931" s="154">
        <f>Ruimtestaat[[#This Row],[uren / jaar weekend]]+Ruimtestaat[[#This Row],[uren / jaar werkdagen]]</f>
        <v>0</v>
      </c>
      <c r="AG931" s="69">
        <f>Ruimtestaat[[#This Row],[kosten / jaar weekend]]+Ruimtestaat[[#This Row],[kosten / jaar werkdagen]]</f>
        <v>0</v>
      </c>
      <c r="AH931" s="69"/>
      <c r="AI931" s="256" t="str">
        <f>IF(Ruimtestaat[[#This Row],[Frequentie werkdagen]]="","",_xlfn.CONCAT(Ruimtestaat[[#This Row],[Ruimte code]],"-",Ruimtestaat[[#This Row],[Frequentie werkdagen]]," ",Ruimtestaat[[#This Row],[Vloer code]]))</f>
        <v>2-3w T</v>
      </c>
      <c r="AJ931" s="300" t="str">
        <f>_xlfn.IFNA(VLOOKUP($AI931,Programma!$F$3:$G$1107,2,0),"")</f>
        <v>2w</v>
      </c>
      <c r="AK931" s="300" t="str">
        <f>_xlfn.IFNA(VLOOKUP($AI931,Programma!$F$3:$H$1107,3,0),"")</f>
        <v>1w</v>
      </c>
      <c r="AL931" s="300" t="str">
        <f>_xlfn.IFNA(VLOOKUP($AI931,Programma!$F$3:$I$1107,4,0),"")</f>
        <v>_</v>
      </c>
      <c r="AM931" s="300" t="str">
        <f>_xlfn.IFNA(VLOOKUP($AI931,Programma!$F$3:$J$1107,5,0),"")</f>
        <v>_</v>
      </c>
      <c r="AN931" s="300" t="str">
        <f>_xlfn.IFNA(VLOOKUP($AI931,Programma!$F$3:$K$1107,6,0),"")</f>
        <v>_</v>
      </c>
      <c r="AO931" s="300" t="str">
        <f>_xlfn.IFNA(VLOOKUP($AI931,Programma!$F$3:$L$1107,7,0),"")</f>
        <v>_</v>
      </c>
      <c r="AP931" s="300" t="str">
        <f>_xlfn.IFNA(VLOOKUP($AI931,Programma!$F$3:$M$1107,8,0),"")</f>
        <v>_</v>
      </c>
      <c r="AQ931" s="300" t="str">
        <f>_xlfn.IFNA(VLOOKUP($AI931,Programma!$F$3:$N$1107,9,0),"")</f>
        <v>_</v>
      </c>
      <c r="AR931" s="300" t="str">
        <f>_xlfn.IFNA(VLOOKUP($AI931,Programma!$F$3:$O$1107,10,0),"")</f>
        <v>3w</v>
      </c>
      <c r="AS931" s="300" t="str">
        <f>_xlfn.IFNA(VLOOKUP($AI931,Programma!$F$3:$P$1107,11,0),"")</f>
        <v>3w</v>
      </c>
      <c r="AT931" s="300" t="str">
        <f>_xlfn.IFNA(VLOOKUP($AI931,Programma!$F$3:$Q$1107,12,0),"")</f>
        <v>1w</v>
      </c>
      <c r="AU931" s="300" t="str">
        <f>_xlfn.IFNA(VLOOKUP($AI931,Programma!$F$3:$R$1107,13,0),"")</f>
        <v>1w</v>
      </c>
      <c r="AV931" s="300" t="str">
        <f>_xlfn.IFNA(VLOOKUP($AI931,Programma!$F$3:$S$1107,14,0),"")</f>
        <v>1m</v>
      </c>
      <c r="AW931" s="300" t="str">
        <f>_xlfn.IFNA(VLOOKUP($AI931,Programma!$F$3:$T$1107,15,0),"")</f>
        <v>2j</v>
      </c>
      <c r="AX931" s="300" t="str">
        <f>_xlfn.IFNA(VLOOKUP($AI931,Programma!$F$3:$U$1107,16,0),"")</f>
        <v>1j</v>
      </c>
      <c r="AY931" s="300" t="str">
        <f>_xlfn.IFNA(VLOOKUP($AI931,Programma!$F$3:$V$1107,17,0),"")</f>
        <v>_</v>
      </c>
      <c r="AZ931" s="300" t="str">
        <f>_xlfn.IFNA(VLOOKUP($AI931,Programma!$F$3:$W$1107,18,0),"")</f>
        <v>_</v>
      </c>
      <c r="BA931" s="300" t="str">
        <f>_xlfn.IFNA(VLOOKUP($AI931,Programma!$F$3:$X$1107,19,0),"")</f>
        <v>_</v>
      </c>
      <c r="BB931" s="300" t="str">
        <f>_xlfn.IFNA(VLOOKUP($AI931,Programma!$F$3:$Y$1107,20,0),"")</f>
        <v>_</v>
      </c>
      <c r="BC931" s="257"/>
      <c r="BD931" s="256" t="str">
        <f>IF(Ruimtestaat[[#This Row],[Frequentie weekend]]="","",_xlfn.CONCAT(Ruimtestaat[[#This Row],[Ruimte code]],"-",Ruimtestaat[[#This Row],[Frequentie weekend]]," ",Ruimtestaat[[#This Row],[Vloer code]]))</f>
        <v/>
      </c>
      <c r="BE931" s="300" t="str">
        <f>_xlfn.IFNA(VLOOKUP($BD931,Programma!$F$3:$G$1107,2,0),"")</f>
        <v/>
      </c>
      <c r="BF931" s="300" t="str">
        <f>_xlfn.IFNA(VLOOKUP($BD931,Programma!$F$3:$H$1107,3,0),"")</f>
        <v/>
      </c>
      <c r="BG931" s="300" t="str">
        <f>_xlfn.IFNA(VLOOKUP($BD931,Programma!$F$3:$I$1107,4,0),"")</f>
        <v/>
      </c>
      <c r="BH931" s="300" t="str">
        <f>_xlfn.IFNA(VLOOKUP($BD931,Programma!$F$3:$J$1107,5,0),"")</f>
        <v/>
      </c>
      <c r="BI931" s="300" t="str">
        <f>_xlfn.IFNA(VLOOKUP($BD931,Programma!$F$3:$K$1107,6,0),"")</f>
        <v/>
      </c>
      <c r="BJ931" s="300" t="str">
        <f>_xlfn.IFNA(VLOOKUP($BD931,Programma!$F$3:$L$1107,7,0),"")</f>
        <v/>
      </c>
      <c r="BK931" s="300" t="str">
        <f>_xlfn.IFNA(VLOOKUP($BD931,Programma!$F$3:$M$1107,8,0),"")</f>
        <v/>
      </c>
      <c r="BL931" s="300" t="str">
        <f>_xlfn.IFNA(VLOOKUP($BD931,Programma!$F$3:$N$1107,9,0),"")</f>
        <v/>
      </c>
      <c r="BM931" s="300" t="str">
        <f>_xlfn.IFNA(VLOOKUP($BD931,Programma!$F$3:$O$1107,10,0),"")</f>
        <v/>
      </c>
      <c r="BN931" s="300" t="str">
        <f>_xlfn.IFNA(VLOOKUP($BD931,Programma!$F$3:$P$1107,11,0),"")</f>
        <v/>
      </c>
      <c r="BO931" s="300" t="str">
        <f>_xlfn.IFNA(VLOOKUP($BD931,Programma!$F$3:$Q$1107,12,0),"")</f>
        <v/>
      </c>
      <c r="BP931" s="300" t="str">
        <f>_xlfn.IFNA(VLOOKUP($BD931,Programma!$F$3:$R$1107,13,0),"")</f>
        <v/>
      </c>
      <c r="BQ931" s="300" t="str">
        <f>_xlfn.IFNA(VLOOKUP($BD931,Programma!$F$3:$S$1107,14,0),"")</f>
        <v/>
      </c>
      <c r="BR931" s="300" t="str">
        <f>_xlfn.IFNA(VLOOKUP($BD931,Programma!$F$3:$T$1107,15,0),"")</f>
        <v/>
      </c>
      <c r="BS931" s="300" t="str">
        <f>_xlfn.IFNA(VLOOKUP($BD931,Programma!$F$3:$U$1107,16,0),"")</f>
        <v/>
      </c>
      <c r="BT931" s="300" t="str">
        <f>_xlfn.IFNA(VLOOKUP($BD931,Programma!$F$3:$V$1107,17,0),"")</f>
        <v/>
      </c>
      <c r="BU931" s="300" t="str">
        <f>_xlfn.IFNA(VLOOKUP($BD931,Programma!$F$3:$W$1107,18,0),"")</f>
        <v/>
      </c>
      <c r="BV931" s="300" t="str">
        <f>_xlfn.IFNA(VLOOKUP($BD931,Programma!$F$3:$X$1107,19,0),"")</f>
        <v/>
      </c>
      <c r="BW931" s="300" t="str">
        <f>_xlfn.IFNA(VLOOKUP($BD931,Programma!$F$3:$Y$1107,20,0),"")</f>
        <v/>
      </c>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c r="GK931" s="4"/>
      <c r="GL931" s="4"/>
      <c r="GM931" s="4"/>
      <c r="GN931" s="4"/>
      <c r="GO931" s="4"/>
      <c r="GP931" s="4"/>
      <c r="GQ931" s="4"/>
      <c r="GR931" s="4"/>
      <c r="GS931" s="4"/>
      <c r="GT931" s="4"/>
      <c r="GU931" s="4"/>
      <c r="GV931" s="4"/>
      <c r="GW931" s="4"/>
      <c r="GX931" s="4"/>
      <c r="GY931" s="4"/>
      <c r="GZ931" s="4"/>
      <c r="HA931" s="4"/>
      <c r="HB931" s="4"/>
      <c r="HC931" s="4"/>
      <c r="HD931" s="4"/>
      <c r="HE931" s="4"/>
      <c r="HF931" s="4"/>
      <c r="HG931" s="4"/>
      <c r="HH931" s="4"/>
      <c r="HI931" s="4"/>
      <c r="HJ931" s="4"/>
      <c r="HK931" s="4"/>
      <c r="HL931" s="4"/>
    </row>
    <row r="932" spans="1:220" ht="15" customHeight="1">
      <c r="A932" s="21">
        <v>10</v>
      </c>
      <c r="B932" s="157" t="str">
        <f>VLOOKUP(Ruimtestaat[[#This Row],[Code]],Locaties[[Code]:[Locatie]],2,FALSE)</f>
        <v>Veurs Voorburg vmbo</v>
      </c>
      <c r="C932" s="157" t="str">
        <f>VLOOKUP(Ruimtestaat[[#This Row],[Code]],Locaties[[#All],[Code]:[Adres]],4,FALSE)</f>
        <v>Delflandlaan 4</v>
      </c>
      <c r="D932" s="157" t="str">
        <f>VLOOKUP(Ruimtestaat[[#This Row],[Code]],Locaties[[#All],[Code]:[Postcode]],5,FALSE)</f>
        <v>2273 CS</v>
      </c>
      <c r="E932" s="157" t="str">
        <f>VLOOKUP(Ruimtestaat[[#This Row],[Code]],Locaties[#All],6,FALSE)</f>
        <v>Voorburg</v>
      </c>
      <c r="F932" s="62"/>
      <c r="G932" s="21" t="s">
        <v>1749</v>
      </c>
      <c r="H932" s="21" t="s">
        <v>2435</v>
      </c>
      <c r="I932" s="62" t="s">
        <v>2436</v>
      </c>
      <c r="J932" s="21">
        <v>2</v>
      </c>
      <c r="K932" s="62" t="str">
        <f>VLOOKUP(Ruimtestaat[[#This Row],[Ruimte code]],Ruimtegroepen[[#All],[Code]:[Ruimte omschrijving]],2,FALSE)</f>
        <v>Kantoren</v>
      </c>
      <c r="L932" s="33" t="s">
        <v>100</v>
      </c>
      <c r="M932" s="367" t="s">
        <v>36</v>
      </c>
      <c r="N932" s="140">
        <v>29.6</v>
      </c>
      <c r="O932" s="140"/>
      <c r="P932" s="125" t="str">
        <f>VLOOKUP(Ruimtestaat[[#This Row],[Ruimte code]],Ruimtegroepen[],4,FALSE)</f>
        <v>Bu</v>
      </c>
      <c r="R932" s="33">
        <v>42</v>
      </c>
      <c r="S932" s="33" t="s">
        <v>18</v>
      </c>
      <c r="T932" s="33">
        <f>IF(R932&gt;0,IF(RIGHT(Ruimtestaat[[#This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32" s="33">
        <f>IF(T932&gt;0,VLOOKUP($J932,Ruimtegroepen[],3,FALSE)*VLOOKUP($L932,Vloersoorten[],3,FALSE)*VLOOKUP($S932,Frequenties[],3,FALSE)*VLOOKUP($A932,Locaties[],3,FALSE),0)</f>
        <v>0</v>
      </c>
      <c r="V932" s="33">
        <f>Ruimtestaat[[#This Row],[Uitvoeringen werkdagen]]*Ruimtestaat[[#This Row],[Oppervlak (netto)]]</f>
        <v>3729.6000000000004</v>
      </c>
      <c r="W932" s="154">
        <f>IF(U932&gt;0,Ruimtestaat[[#This Row],[Prest. (m2 /jaar) werkdagen]]/Ruimtestaat[[#This Row],[Norm (m2/uur) werkdagen]],0)</f>
        <v>0</v>
      </c>
      <c r="X932" s="155">
        <f>Ruimtestaat[[#This Row],[uren / jaar werkdagen]]*Tariefsopbouw!$E$35</f>
        <v>0</v>
      </c>
      <c r="Y932" s="33"/>
      <c r="Z932" s="33">
        <f>IF(Ruimtestaat[[#This Row],[Frequentie weekend]]&gt;0,VALUE(LEFT(Y932,1))*R932,0)</f>
        <v>0</v>
      </c>
      <c r="AA932" s="97">
        <f>IF($Z932&gt;0,VLOOKUP($J932,Ruimtegroepen[],3,FALSE)*VLOOKUP($L932,Vloersoorten[],3,FALSE)*VLOOKUP($Y932,Frequenties[],3,FALSE)*VLOOKUP(Ruimtestaat[[#This Row],[Code]],Locaties[],3,FALSE),0)</f>
        <v>0</v>
      </c>
      <c r="AB932" s="97">
        <f>Ruimtestaat[[#This Row],[Uitvoeringen weekend]]*Ruimtestaat[[#This Row],[Oppervlak (netto)]]</f>
        <v>0</v>
      </c>
      <c r="AC932" s="97">
        <f>IF(AA932&gt;0,Ruimtestaat[[#This Row],[Prest. (m2 /jaar) weekend]]/Ruimtestaat[[#This Row],[Norm (m2/uur) weekend]],0)</f>
        <v>0</v>
      </c>
      <c r="AD932" s="155">
        <f>Ruimtestaat[[#This Row],[uren / jaar weekend]]*Tariefsopbouw!$D$40</f>
        <v>0</v>
      </c>
      <c r="AE932" s="154">
        <f>Ruimtestaat[[#This Row],[Prest. (m2 /jaar) weekend]]+Ruimtestaat[[#This Row],[Prest. (m2 /jaar) werkdagen]]</f>
        <v>3729.6000000000004</v>
      </c>
      <c r="AF932" s="154">
        <f>Ruimtestaat[[#This Row],[uren / jaar weekend]]+Ruimtestaat[[#This Row],[uren / jaar werkdagen]]</f>
        <v>0</v>
      </c>
      <c r="AG932" s="69">
        <f>Ruimtestaat[[#This Row],[kosten / jaar weekend]]+Ruimtestaat[[#This Row],[kosten / jaar werkdagen]]</f>
        <v>0</v>
      </c>
      <c r="AH932" s="69"/>
      <c r="AI932" s="256" t="str">
        <f>IF(Ruimtestaat[[#This Row],[Frequentie werkdagen]]="","",_xlfn.CONCAT(Ruimtestaat[[#This Row],[Ruimte code]],"-",Ruimtestaat[[#This Row],[Frequentie werkdagen]]," ",Ruimtestaat[[#This Row],[Vloer code]]))</f>
        <v>2-3w T</v>
      </c>
      <c r="AJ932" s="300" t="str">
        <f>_xlfn.IFNA(VLOOKUP($AI932,Programma!$F$3:$G$1107,2,0),"")</f>
        <v>2w</v>
      </c>
      <c r="AK932" s="300" t="str">
        <f>_xlfn.IFNA(VLOOKUP($AI932,Programma!$F$3:$H$1107,3,0),"")</f>
        <v>1w</v>
      </c>
      <c r="AL932" s="300" t="str">
        <f>_xlfn.IFNA(VLOOKUP($AI932,Programma!$F$3:$I$1107,4,0),"")</f>
        <v>_</v>
      </c>
      <c r="AM932" s="300" t="str">
        <f>_xlfn.IFNA(VLOOKUP($AI932,Programma!$F$3:$J$1107,5,0),"")</f>
        <v>_</v>
      </c>
      <c r="AN932" s="300" t="str">
        <f>_xlfn.IFNA(VLOOKUP($AI932,Programma!$F$3:$K$1107,6,0),"")</f>
        <v>_</v>
      </c>
      <c r="AO932" s="300" t="str">
        <f>_xlfn.IFNA(VLOOKUP($AI932,Programma!$F$3:$L$1107,7,0),"")</f>
        <v>_</v>
      </c>
      <c r="AP932" s="300" t="str">
        <f>_xlfn.IFNA(VLOOKUP($AI932,Programma!$F$3:$M$1107,8,0),"")</f>
        <v>_</v>
      </c>
      <c r="AQ932" s="300" t="str">
        <f>_xlfn.IFNA(VLOOKUP($AI932,Programma!$F$3:$N$1107,9,0),"")</f>
        <v>_</v>
      </c>
      <c r="AR932" s="300" t="str">
        <f>_xlfn.IFNA(VLOOKUP($AI932,Programma!$F$3:$O$1107,10,0),"")</f>
        <v>3w</v>
      </c>
      <c r="AS932" s="300" t="str">
        <f>_xlfn.IFNA(VLOOKUP($AI932,Programma!$F$3:$P$1107,11,0),"")</f>
        <v>3w</v>
      </c>
      <c r="AT932" s="300" t="str">
        <f>_xlfn.IFNA(VLOOKUP($AI932,Programma!$F$3:$Q$1107,12,0),"")</f>
        <v>1w</v>
      </c>
      <c r="AU932" s="300" t="str">
        <f>_xlfn.IFNA(VLOOKUP($AI932,Programma!$F$3:$R$1107,13,0),"")</f>
        <v>1w</v>
      </c>
      <c r="AV932" s="300" t="str">
        <f>_xlfn.IFNA(VLOOKUP($AI932,Programma!$F$3:$S$1107,14,0),"")</f>
        <v>1m</v>
      </c>
      <c r="AW932" s="300" t="str">
        <f>_xlfn.IFNA(VLOOKUP($AI932,Programma!$F$3:$T$1107,15,0),"")</f>
        <v>2j</v>
      </c>
      <c r="AX932" s="300" t="str">
        <f>_xlfn.IFNA(VLOOKUP($AI932,Programma!$F$3:$U$1107,16,0),"")</f>
        <v>1j</v>
      </c>
      <c r="AY932" s="300" t="str">
        <f>_xlfn.IFNA(VLOOKUP($AI932,Programma!$F$3:$V$1107,17,0),"")</f>
        <v>_</v>
      </c>
      <c r="AZ932" s="300" t="str">
        <f>_xlfn.IFNA(VLOOKUP($AI932,Programma!$F$3:$W$1107,18,0),"")</f>
        <v>_</v>
      </c>
      <c r="BA932" s="300" t="str">
        <f>_xlfn.IFNA(VLOOKUP($AI932,Programma!$F$3:$X$1107,19,0),"")</f>
        <v>_</v>
      </c>
      <c r="BB932" s="300" t="str">
        <f>_xlfn.IFNA(VLOOKUP($AI932,Programma!$F$3:$Y$1107,20,0),"")</f>
        <v>_</v>
      </c>
      <c r="BC932" s="257"/>
      <c r="BD932" s="256" t="str">
        <f>IF(Ruimtestaat[[#This Row],[Frequentie weekend]]="","",_xlfn.CONCAT(Ruimtestaat[[#This Row],[Ruimte code]],"-",Ruimtestaat[[#This Row],[Frequentie weekend]]," ",Ruimtestaat[[#This Row],[Vloer code]]))</f>
        <v/>
      </c>
      <c r="BE932" s="300" t="str">
        <f>_xlfn.IFNA(VLOOKUP($BD932,Programma!$F$3:$G$1107,2,0),"")</f>
        <v/>
      </c>
      <c r="BF932" s="300" t="str">
        <f>_xlfn.IFNA(VLOOKUP($BD932,Programma!$F$3:$H$1107,3,0),"")</f>
        <v/>
      </c>
      <c r="BG932" s="300" t="str">
        <f>_xlfn.IFNA(VLOOKUP($BD932,Programma!$F$3:$I$1107,4,0),"")</f>
        <v/>
      </c>
      <c r="BH932" s="300" t="str">
        <f>_xlfn.IFNA(VLOOKUP($BD932,Programma!$F$3:$J$1107,5,0),"")</f>
        <v/>
      </c>
      <c r="BI932" s="300" t="str">
        <f>_xlfn.IFNA(VLOOKUP($BD932,Programma!$F$3:$K$1107,6,0),"")</f>
        <v/>
      </c>
      <c r="BJ932" s="300" t="str">
        <f>_xlfn.IFNA(VLOOKUP($BD932,Programma!$F$3:$L$1107,7,0),"")</f>
        <v/>
      </c>
      <c r="BK932" s="300" t="str">
        <f>_xlfn.IFNA(VLOOKUP($BD932,Programma!$F$3:$M$1107,8,0),"")</f>
        <v/>
      </c>
      <c r="BL932" s="300" t="str">
        <f>_xlfn.IFNA(VLOOKUP($BD932,Programma!$F$3:$N$1107,9,0),"")</f>
        <v/>
      </c>
      <c r="BM932" s="300" t="str">
        <f>_xlfn.IFNA(VLOOKUP($BD932,Programma!$F$3:$O$1107,10,0),"")</f>
        <v/>
      </c>
      <c r="BN932" s="300" t="str">
        <f>_xlfn.IFNA(VLOOKUP($BD932,Programma!$F$3:$P$1107,11,0),"")</f>
        <v/>
      </c>
      <c r="BO932" s="300" t="str">
        <f>_xlfn.IFNA(VLOOKUP($BD932,Programma!$F$3:$Q$1107,12,0),"")</f>
        <v/>
      </c>
      <c r="BP932" s="300" t="str">
        <f>_xlfn.IFNA(VLOOKUP($BD932,Programma!$F$3:$R$1107,13,0),"")</f>
        <v/>
      </c>
      <c r="BQ932" s="300" t="str">
        <f>_xlfn.IFNA(VLOOKUP($BD932,Programma!$F$3:$S$1107,14,0),"")</f>
        <v/>
      </c>
      <c r="BR932" s="300" t="str">
        <f>_xlfn.IFNA(VLOOKUP($BD932,Programma!$F$3:$T$1107,15,0),"")</f>
        <v/>
      </c>
      <c r="BS932" s="300" t="str">
        <f>_xlfn.IFNA(VLOOKUP($BD932,Programma!$F$3:$U$1107,16,0),"")</f>
        <v/>
      </c>
      <c r="BT932" s="300" t="str">
        <f>_xlfn.IFNA(VLOOKUP($BD932,Programma!$F$3:$V$1107,17,0),"")</f>
        <v/>
      </c>
      <c r="BU932" s="300" t="str">
        <f>_xlfn.IFNA(VLOOKUP($BD932,Programma!$F$3:$W$1107,18,0),"")</f>
        <v/>
      </c>
      <c r="BV932" s="300" t="str">
        <f>_xlfn.IFNA(VLOOKUP($BD932,Programma!$F$3:$X$1107,19,0),"")</f>
        <v/>
      </c>
      <c r="BW932" s="300" t="str">
        <f>_xlfn.IFNA(VLOOKUP($BD932,Programma!$F$3:$Y$1107,20,0),"")</f>
        <v/>
      </c>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c r="GK932" s="4"/>
      <c r="GL932" s="4"/>
      <c r="GM932" s="4"/>
      <c r="GN932" s="4"/>
      <c r="GO932" s="4"/>
      <c r="GP932" s="4"/>
      <c r="GQ932" s="4"/>
      <c r="GR932" s="4"/>
      <c r="GS932" s="4"/>
      <c r="GT932" s="4"/>
      <c r="GU932" s="4"/>
      <c r="GV932" s="4"/>
      <c r="GW932" s="4"/>
      <c r="GX932" s="4"/>
      <c r="GY932" s="4"/>
      <c r="GZ932" s="4"/>
      <c r="HA932" s="4"/>
      <c r="HB932" s="4"/>
      <c r="HC932" s="4"/>
      <c r="HD932" s="4"/>
      <c r="HE932" s="4"/>
      <c r="HF932" s="4"/>
      <c r="HG932" s="4"/>
      <c r="HH932" s="4"/>
      <c r="HI932" s="4"/>
      <c r="HJ932" s="4"/>
      <c r="HK932" s="4"/>
      <c r="HL932" s="4"/>
    </row>
    <row r="933" spans="1:220" ht="15" customHeight="1">
      <c r="A933" s="21">
        <v>10</v>
      </c>
      <c r="B933" s="157" t="str">
        <f>VLOOKUP(Ruimtestaat[[#This Row],[Code]],Locaties[[Code]:[Locatie]],2,FALSE)</f>
        <v>Veurs Voorburg vmbo</v>
      </c>
      <c r="C933" s="157" t="str">
        <f>VLOOKUP(Ruimtestaat[[#This Row],[Code]],Locaties[[#All],[Code]:[Adres]],4,FALSE)</f>
        <v>Delflandlaan 4</v>
      </c>
      <c r="D933" s="157" t="str">
        <f>VLOOKUP(Ruimtestaat[[#This Row],[Code]],Locaties[[#All],[Code]:[Postcode]],5,FALSE)</f>
        <v>2273 CS</v>
      </c>
      <c r="E933" s="157" t="str">
        <f>VLOOKUP(Ruimtestaat[[#This Row],[Code]],Locaties[#All],6,FALSE)</f>
        <v>Voorburg</v>
      </c>
      <c r="F933" s="62"/>
      <c r="G933" s="21" t="s">
        <v>1749</v>
      </c>
      <c r="H933" s="21" t="s">
        <v>2437</v>
      </c>
      <c r="I933" s="62" t="s">
        <v>1761</v>
      </c>
      <c r="J933" s="21">
        <v>6</v>
      </c>
      <c r="K933" s="62" t="str">
        <f>VLOOKUP(Ruimtestaat[[#This Row],[Ruimte code]],Ruimtegroepen[[#All],[Code]:[Ruimte omschrijving]],2,FALSE)</f>
        <v>Gangen/hallen</v>
      </c>
      <c r="L933" s="33" t="s">
        <v>101</v>
      </c>
      <c r="M933" s="367" t="s">
        <v>2506</v>
      </c>
      <c r="N933" s="140">
        <v>72.400000000000006</v>
      </c>
      <c r="O933" s="140"/>
      <c r="P933" s="125" t="str">
        <f>VLOOKUP(Ruimtestaat[[#This Row],[Ruimte code]],Ruimtegroepen[],4,FALSE)</f>
        <v>Ve</v>
      </c>
      <c r="R933" s="33">
        <v>40</v>
      </c>
      <c r="S933" s="33" t="s">
        <v>2</v>
      </c>
      <c r="T933" s="33">
        <f>IF(R933&gt;0,IF(RIGHT(Ruimtestaat[[#This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33" s="33">
        <f>IF(T933&gt;0,VLOOKUP($J933,Ruimtegroepen[],3,FALSE)*VLOOKUP($L933,Vloersoorten[],3,FALSE)*VLOOKUP($S933,Frequenties[],3,FALSE)*VLOOKUP($A933,Locaties[],3,FALSE),0)</f>
        <v>0</v>
      </c>
      <c r="V933" s="33">
        <f>Ruimtestaat[[#This Row],[Uitvoeringen werkdagen]]*Ruimtestaat[[#This Row],[Oppervlak (netto)]]</f>
        <v>14480.000000000002</v>
      </c>
      <c r="W933" s="154">
        <f>IF(U933&gt;0,Ruimtestaat[[#This Row],[Prest. (m2 /jaar) werkdagen]]/Ruimtestaat[[#This Row],[Norm (m2/uur) werkdagen]],0)</f>
        <v>0</v>
      </c>
      <c r="X933" s="155">
        <f>Ruimtestaat[[#This Row],[uren / jaar werkdagen]]*Tariefsopbouw!$E$35</f>
        <v>0</v>
      </c>
      <c r="Y933" s="33"/>
      <c r="Z933" s="33">
        <f>IF(Ruimtestaat[[#This Row],[Frequentie weekend]]&gt;0,VALUE(LEFT(Y933,1))*R933,0)</f>
        <v>0</v>
      </c>
      <c r="AA933" s="97">
        <f>IF($Z933&gt;0,VLOOKUP($J933,Ruimtegroepen[],3,FALSE)*VLOOKUP($L933,Vloersoorten[],3,FALSE)*VLOOKUP($Y933,Frequenties[],3,FALSE)*VLOOKUP(Ruimtestaat[[#This Row],[Code]],Locaties[],3,FALSE),0)</f>
        <v>0</v>
      </c>
      <c r="AB933" s="97">
        <f>Ruimtestaat[[#This Row],[Uitvoeringen weekend]]*Ruimtestaat[[#This Row],[Oppervlak (netto)]]</f>
        <v>0</v>
      </c>
      <c r="AC933" s="97">
        <f>IF(AA933&gt;0,Ruimtestaat[[#This Row],[Prest. (m2 /jaar) weekend]]/Ruimtestaat[[#This Row],[Norm (m2/uur) weekend]],0)</f>
        <v>0</v>
      </c>
      <c r="AD933" s="155">
        <f>Ruimtestaat[[#This Row],[uren / jaar weekend]]*Tariefsopbouw!$D$40</f>
        <v>0</v>
      </c>
      <c r="AE933" s="154">
        <f>Ruimtestaat[[#This Row],[Prest. (m2 /jaar) weekend]]+Ruimtestaat[[#This Row],[Prest. (m2 /jaar) werkdagen]]</f>
        <v>14480.000000000002</v>
      </c>
      <c r="AF933" s="154">
        <f>Ruimtestaat[[#This Row],[uren / jaar weekend]]+Ruimtestaat[[#This Row],[uren / jaar werkdagen]]</f>
        <v>0</v>
      </c>
      <c r="AG933" s="69">
        <f>Ruimtestaat[[#This Row],[kosten / jaar weekend]]+Ruimtestaat[[#This Row],[kosten / jaar werkdagen]]</f>
        <v>0</v>
      </c>
      <c r="AH933" s="69"/>
      <c r="AI933" s="256" t="str">
        <f>IF(Ruimtestaat[[#This Row],[Frequentie werkdagen]]="","",_xlfn.CONCAT(Ruimtestaat[[#This Row],[Ruimte code]],"-",Ruimtestaat[[#This Row],[Frequentie werkdagen]]," ",Ruimtestaat[[#This Row],[Vloer code]]))</f>
        <v>6-5w L</v>
      </c>
      <c r="AJ933" s="300" t="str">
        <f>_xlfn.IFNA(VLOOKUP($AI933,Programma!$F$3:$G$1107,2,0),"")</f>
        <v>_</v>
      </c>
      <c r="AK933" s="300" t="str">
        <f>_xlfn.IFNA(VLOOKUP($AI933,Programma!$F$3:$H$1107,3,0),"")</f>
        <v>_</v>
      </c>
      <c r="AL933" s="300" t="str">
        <f>_xlfn.IFNA(VLOOKUP($AI933,Programma!$F$3:$I$1107,4,0),"")</f>
        <v>_</v>
      </c>
      <c r="AM933" s="300" t="str">
        <f>_xlfn.IFNA(VLOOKUP($AI933,Programma!$F$3:$J$1107,5,0),"")</f>
        <v>5w</v>
      </c>
      <c r="AN933" s="300" t="str">
        <f>_xlfn.IFNA(VLOOKUP($AI933,Programma!$F$3:$K$1107,6,0),"")</f>
        <v>_</v>
      </c>
      <c r="AO933" s="300" t="str">
        <f>_xlfn.IFNA(VLOOKUP($AI933,Programma!$F$3:$L$1107,7,0),"")</f>
        <v>_</v>
      </c>
      <c r="AP933" s="300" t="str">
        <f>_xlfn.IFNA(VLOOKUP($AI933,Programma!$F$3:$M$1107,8,0),"")</f>
        <v>_</v>
      </c>
      <c r="AQ933" s="300" t="str">
        <f>_xlfn.IFNA(VLOOKUP($AI933,Programma!$F$3:$N$1107,9,0),"")</f>
        <v>_</v>
      </c>
      <c r="AR933" s="300" t="str">
        <f>_xlfn.IFNA(VLOOKUP($AI933,Programma!$F$3:$O$1107,10,0),"")</f>
        <v>5w</v>
      </c>
      <c r="AS933" s="300" t="str">
        <f>_xlfn.IFNA(VLOOKUP($AI933,Programma!$F$3:$P$1107,11,0),"")</f>
        <v>5w</v>
      </c>
      <c r="AT933" s="300" t="str">
        <f>_xlfn.IFNA(VLOOKUP($AI933,Programma!$F$3:$Q$1107,12,0),"")</f>
        <v>1w</v>
      </c>
      <c r="AU933" s="300" t="str">
        <f>_xlfn.IFNA(VLOOKUP($AI933,Programma!$F$3:$R$1107,13,0),"")</f>
        <v>1w</v>
      </c>
      <c r="AV933" s="300" t="str">
        <f>_xlfn.IFNA(VLOOKUP($AI933,Programma!$F$3:$S$1107,14,0),"")</f>
        <v>1m</v>
      </c>
      <c r="AW933" s="300" t="str">
        <f>_xlfn.IFNA(VLOOKUP($AI933,Programma!$F$3:$T$1107,15,0),"")</f>
        <v>2j</v>
      </c>
      <c r="AX933" s="300" t="str">
        <f>_xlfn.IFNA(VLOOKUP($AI933,Programma!$F$3:$U$1107,16,0),"")</f>
        <v>1j</v>
      </c>
      <c r="AY933" s="300" t="str">
        <f>_xlfn.IFNA(VLOOKUP($AI933,Programma!$F$3:$V$1107,17,0),"")</f>
        <v>_</v>
      </c>
      <c r="AZ933" s="300" t="str">
        <f>_xlfn.IFNA(VLOOKUP($AI933,Programma!$F$3:$W$1107,18,0),"")</f>
        <v>_</v>
      </c>
      <c r="BA933" s="300" t="str">
        <f>_xlfn.IFNA(VLOOKUP($AI933,Programma!$F$3:$X$1107,19,0),"")</f>
        <v>_</v>
      </c>
      <c r="BB933" s="300" t="str">
        <f>_xlfn.IFNA(VLOOKUP($AI933,Programma!$F$3:$Y$1107,20,0),"")</f>
        <v>_</v>
      </c>
      <c r="BC933" s="257"/>
      <c r="BD933" s="256" t="str">
        <f>IF(Ruimtestaat[[#This Row],[Frequentie weekend]]="","",_xlfn.CONCAT(Ruimtestaat[[#This Row],[Ruimte code]],"-",Ruimtestaat[[#This Row],[Frequentie weekend]]," ",Ruimtestaat[[#This Row],[Vloer code]]))</f>
        <v/>
      </c>
      <c r="BE933" s="300" t="str">
        <f>_xlfn.IFNA(VLOOKUP($BD933,Programma!$F$3:$G$1107,2,0),"")</f>
        <v/>
      </c>
      <c r="BF933" s="300" t="str">
        <f>_xlfn.IFNA(VLOOKUP($BD933,Programma!$F$3:$H$1107,3,0),"")</f>
        <v/>
      </c>
      <c r="BG933" s="300" t="str">
        <f>_xlfn.IFNA(VLOOKUP($BD933,Programma!$F$3:$I$1107,4,0),"")</f>
        <v/>
      </c>
      <c r="BH933" s="300" t="str">
        <f>_xlfn.IFNA(VLOOKUP($BD933,Programma!$F$3:$J$1107,5,0),"")</f>
        <v/>
      </c>
      <c r="BI933" s="300" t="str">
        <f>_xlfn.IFNA(VLOOKUP($BD933,Programma!$F$3:$K$1107,6,0),"")</f>
        <v/>
      </c>
      <c r="BJ933" s="300" t="str">
        <f>_xlfn.IFNA(VLOOKUP($BD933,Programma!$F$3:$L$1107,7,0),"")</f>
        <v/>
      </c>
      <c r="BK933" s="300" t="str">
        <f>_xlfn.IFNA(VLOOKUP($BD933,Programma!$F$3:$M$1107,8,0),"")</f>
        <v/>
      </c>
      <c r="BL933" s="300" t="str">
        <f>_xlfn.IFNA(VLOOKUP($BD933,Programma!$F$3:$N$1107,9,0),"")</f>
        <v/>
      </c>
      <c r="BM933" s="300" t="str">
        <f>_xlfn.IFNA(VLOOKUP($BD933,Programma!$F$3:$O$1107,10,0),"")</f>
        <v/>
      </c>
      <c r="BN933" s="300" t="str">
        <f>_xlfn.IFNA(VLOOKUP($BD933,Programma!$F$3:$P$1107,11,0),"")</f>
        <v/>
      </c>
      <c r="BO933" s="300" t="str">
        <f>_xlfn.IFNA(VLOOKUP($BD933,Programma!$F$3:$Q$1107,12,0),"")</f>
        <v/>
      </c>
      <c r="BP933" s="300" t="str">
        <f>_xlfn.IFNA(VLOOKUP($BD933,Programma!$F$3:$R$1107,13,0),"")</f>
        <v/>
      </c>
      <c r="BQ933" s="300" t="str">
        <f>_xlfn.IFNA(VLOOKUP($BD933,Programma!$F$3:$S$1107,14,0),"")</f>
        <v/>
      </c>
      <c r="BR933" s="300" t="str">
        <f>_xlfn.IFNA(VLOOKUP($BD933,Programma!$F$3:$T$1107,15,0),"")</f>
        <v/>
      </c>
      <c r="BS933" s="300" t="str">
        <f>_xlfn.IFNA(VLOOKUP($BD933,Programma!$F$3:$U$1107,16,0),"")</f>
        <v/>
      </c>
      <c r="BT933" s="300" t="str">
        <f>_xlfn.IFNA(VLOOKUP($BD933,Programma!$F$3:$V$1107,17,0),"")</f>
        <v/>
      </c>
      <c r="BU933" s="300" t="str">
        <f>_xlfn.IFNA(VLOOKUP($BD933,Programma!$F$3:$W$1107,18,0),"")</f>
        <v/>
      </c>
      <c r="BV933" s="300" t="str">
        <f>_xlfn.IFNA(VLOOKUP($BD933,Programma!$F$3:$X$1107,19,0),"")</f>
        <v/>
      </c>
      <c r="BW933" s="300" t="str">
        <f>_xlfn.IFNA(VLOOKUP($BD933,Programma!$F$3:$Y$1107,20,0),"")</f>
        <v/>
      </c>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c r="GK933" s="4"/>
      <c r="GL933" s="4"/>
      <c r="GM933" s="4"/>
      <c r="GN933" s="4"/>
      <c r="GO933" s="4"/>
      <c r="GP933" s="4"/>
      <c r="GQ933" s="4"/>
      <c r="GR933" s="4"/>
      <c r="GS933" s="4"/>
      <c r="GT933" s="4"/>
      <c r="GU933" s="4"/>
      <c r="GV933" s="4"/>
      <c r="GW933" s="4"/>
      <c r="GX933" s="4"/>
      <c r="GY933" s="4"/>
      <c r="GZ933" s="4"/>
      <c r="HA933" s="4"/>
      <c r="HB933" s="4"/>
      <c r="HC933" s="4"/>
      <c r="HD933" s="4"/>
      <c r="HE933" s="4"/>
      <c r="HF933" s="4"/>
      <c r="HG933" s="4"/>
      <c r="HH933" s="4"/>
      <c r="HI933" s="4"/>
      <c r="HJ933" s="4"/>
      <c r="HK933" s="4"/>
      <c r="HL933" s="4"/>
    </row>
    <row r="934" spans="1:220" ht="15" customHeight="1">
      <c r="A934" s="21">
        <v>10</v>
      </c>
      <c r="B934" s="157" t="str">
        <f>VLOOKUP(Ruimtestaat[[#This Row],[Code]],Locaties[[Code]:[Locatie]],2,FALSE)</f>
        <v>Veurs Voorburg vmbo</v>
      </c>
      <c r="C934" s="157" t="str">
        <f>VLOOKUP(Ruimtestaat[[#This Row],[Code]],Locaties[[#All],[Code]:[Adres]],4,FALSE)</f>
        <v>Delflandlaan 4</v>
      </c>
      <c r="D934" s="157" t="str">
        <f>VLOOKUP(Ruimtestaat[[#This Row],[Code]],Locaties[[#All],[Code]:[Postcode]],5,FALSE)</f>
        <v>2273 CS</v>
      </c>
      <c r="E934" s="157" t="str">
        <f>VLOOKUP(Ruimtestaat[[#This Row],[Code]],Locaties[#All],6,FALSE)</f>
        <v>Voorburg</v>
      </c>
      <c r="F934" s="62"/>
      <c r="G934" s="21" t="s">
        <v>1749</v>
      </c>
      <c r="H934" s="21" t="s">
        <v>2438</v>
      </c>
      <c r="I934" s="62" t="s">
        <v>2439</v>
      </c>
      <c r="J934" s="21">
        <v>2</v>
      </c>
      <c r="K934" s="62" t="str">
        <f>VLOOKUP(Ruimtestaat[[#This Row],[Ruimte code]],Ruimtegroepen[[#All],[Code]:[Ruimte omschrijving]],2,FALSE)</f>
        <v>Kantoren</v>
      </c>
      <c r="L934" s="33" t="s">
        <v>100</v>
      </c>
      <c r="M934" s="367" t="s">
        <v>36</v>
      </c>
      <c r="N934" s="140">
        <v>16.600000000000001</v>
      </c>
      <c r="O934" s="140"/>
      <c r="P934" s="125" t="str">
        <f>VLOOKUP(Ruimtestaat[[#This Row],[Ruimte code]],Ruimtegroepen[],4,FALSE)</f>
        <v>Bu</v>
      </c>
      <c r="R934" s="33">
        <v>42</v>
      </c>
      <c r="S934" s="33" t="s">
        <v>18</v>
      </c>
      <c r="T934" s="33">
        <f>IF(R934&gt;0,IF(RIGHT(Ruimtestaat[[#This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34" s="33">
        <f>IF(T934&gt;0,VLOOKUP($J934,Ruimtegroepen[],3,FALSE)*VLOOKUP($L934,Vloersoorten[],3,FALSE)*VLOOKUP($S934,Frequenties[],3,FALSE)*VLOOKUP($A934,Locaties[],3,FALSE),0)</f>
        <v>0</v>
      </c>
      <c r="V934" s="33">
        <f>Ruimtestaat[[#This Row],[Uitvoeringen werkdagen]]*Ruimtestaat[[#This Row],[Oppervlak (netto)]]</f>
        <v>2091.6000000000004</v>
      </c>
      <c r="W934" s="154">
        <f>IF(U934&gt;0,Ruimtestaat[[#This Row],[Prest. (m2 /jaar) werkdagen]]/Ruimtestaat[[#This Row],[Norm (m2/uur) werkdagen]],0)</f>
        <v>0</v>
      </c>
      <c r="X934" s="155">
        <f>Ruimtestaat[[#This Row],[uren / jaar werkdagen]]*Tariefsopbouw!$E$35</f>
        <v>0</v>
      </c>
      <c r="Y934" s="33"/>
      <c r="Z934" s="33">
        <f>IF(Ruimtestaat[[#This Row],[Frequentie weekend]]&gt;0,VALUE(LEFT(Y934,1))*R934,0)</f>
        <v>0</v>
      </c>
      <c r="AA934" s="97">
        <f>IF($Z934&gt;0,VLOOKUP($J934,Ruimtegroepen[],3,FALSE)*VLOOKUP($L934,Vloersoorten[],3,FALSE)*VLOOKUP($Y934,Frequenties[],3,FALSE)*VLOOKUP(Ruimtestaat[[#This Row],[Code]],Locaties[],3,FALSE),0)</f>
        <v>0</v>
      </c>
      <c r="AB934" s="97">
        <f>Ruimtestaat[[#This Row],[Uitvoeringen weekend]]*Ruimtestaat[[#This Row],[Oppervlak (netto)]]</f>
        <v>0</v>
      </c>
      <c r="AC934" s="97">
        <f>IF(AA934&gt;0,Ruimtestaat[[#This Row],[Prest. (m2 /jaar) weekend]]/Ruimtestaat[[#This Row],[Norm (m2/uur) weekend]],0)</f>
        <v>0</v>
      </c>
      <c r="AD934" s="155">
        <f>Ruimtestaat[[#This Row],[uren / jaar weekend]]*Tariefsopbouw!$D$40</f>
        <v>0</v>
      </c>
      <c r="AE934" s="154">
        <f>Ruimtestaat[[#This Row],[Prest. (m2 /jaar) weekend]]+Ruimtestaat[[#This Row],[Prest. (m2 /jaar) werkdagen]]</f>
        <v>2091.6000000000004</v>
      </c>
      <c r="AF934" s="154">
        <f>Ruimtestaat[[#This Row],[uren / jaar weekend]]+Ruimtestaat[[#This Row],[uren / jaar werkdagen]]</f>
        <v>0</v>
      </c>
      <c r="AG934" s="69">
        <f>Ruimtestaat[[#This Row],[kosten / jaar weekend]]+Ruimtestaat[[#This Row],[kosten / jaar werkdagen]]</f>
        <v>0</v>
      </c>
      <c r="AH934" s="69"/>
      <c r="AI934" s="256" t="str">
        <f>IF(Ruimtestaat[[#This Row],[Frequentie werkdagen]]="","",_xlfn.CONCAT(Ruimtestaat[[#This Row],[Ruimte code]],"-",Ruimtestaat[[#This Row],[Frequentie werkdagen]]," ",Ruimtestaat[[#This Row],[Vloer code]]))</f>
        <v>2-3w T</v>
      </c>
      <c r="AJ934" s="300" t="str">
        <f>_xlfn.IFNA(VLOOKUP($AI934,Programma!$F$3:$G$1107,2,0),"")</f>
        <v>2w</v>
      </c>
      <c r="AK934" s="300" t="str">
        <f>_xlfn.IFNA(VLOOKUP($AI934,Programma!$F$3:$H$1107,3,0),"")</f>
        <v>1w</v>
      </c>
      <c r="AL934" s="300" t="str">
        <f>_xlfn.IFNA(VLOOKUP($AI934,Programma!$F$3:$I$1107,4,0),"")</f>
        <v>_</v>
      </c>
      <c r="AM934" s="300" t="str">
        <f>_xlfn.IFNA(VLOOKUP($AI934,Programma!$F$3:$J$1107,5,0),"")</f>
        <v>_</v>
      </c>
      <c r="AN934" s="300" t="str">
        <f>_xlfn.IFNA(VLOOKUP($AI934,Programma!$F$3:$K$1107,6,0),"")</f>
        <v>_</v>
      </c>
      <c r="AO934" s="300" t="str">
        <f>_xlfn.IFNA(VLOOKUP($AI934,Programma!$F$3:$L$1107,7,0),"")</f>
        <v>_</v>
      </c>
      <c r="AP934" s="300" t="str">
        <f>_xlfn.IFNA(VLOOKUP($AI934,Programma!$F$3:$M$1107,8,0),"")</f>
        <v>_</v>
      </c>
      <c r="AQ934" s="300" t="str">
        <f>_xlfn.IFNA(VLOOKUP($AI934,Programma!$F$3:$N$1107,9,0),"")</f>
        <v>_</v>
      </c>
      <c r="AR934" s="300" t="str">
        <f>_xlfn.IFNA(VLOOKUP($AI934,Programma!$F$3:$O$1107,10,0),"")</f>
        <v>3w</v>
      </c>
      <c r="AS934" s="300" t="str">
        <f>_xlfn.IFNA(VLOOKUP($AI934,Programma!$F$3:$P$1107,11,0),"")</f>
        <v>3w</v>
      </c>
      <c r="AT934" s="300" t="str">
        <f>_xlfn.IFNA(VLOOKUP($AI934,Programma!$F$3:$Q$1107,12,0),"")</f>
        <v>1w</v>
      </c>
      <c r="AU934" s="300" t="str">
        <f>_xlfn.IFNA(VLOOKUP($AI934,Programma!$F$3:$R$1107,13,0),"")</f>
        <v>1w</v>
      </c>
      <c r="AV934" s="300" t="str">
        <f>_xlfn.IFNA(VLOOKUP($AI934,Programma!$F$3:$S$1107,14,0),"")</f>
        <v>1m</v>
      </c>
      <c r="AW934" s="300" t="str">
        <f>_xlfn.IFNA(VLOOKUP($AI934,Programma!$F$3:$T$1107,15,0),"")</f>
        <v>2j</v>
      </c>
      <c r="AX934" s="300" t="str">
        <f>_xlfn.IFNA(VLOOKUP($AI934,Programma!$F$3:$U$1107,16,0),"")</f>
        <v>1j</v>
      </c>
      <c r="AY934" s="300" t="str">
        <f>_xlfn.IFNA(VLOOKUP($AI934,Programma!$F$3:$V$1107,17,0),"")</f>
        <v>_</v>
      </c>
      <c r="AZ934" s="300" t="str">
        <f>_xlfn.IFNA(VLOOKUP($AI934,Programma!$F$3:$W$1107,18,0),"")</f>
        <v>_</v>
      </c>
      <c r="BA934" s="300" t="str">
        <f>_xlfn.IFNA(VLOOKUP($AI934,Programma!$F$3:$X$1107,19,0),"")</f>
        <v>_</v>
      </c>
      <c r="BB934" s="300" t="str">
        <f>_xlfn.IFNA(VLOOKUP($AI934,Programma!$F$3:$Y$1107,20,0),"")</f>
        <v>_</v>
      </c>
      <c r="BC934" s="257"/>
      <c r="BD934" s="256" t="str">
        <f>IF(Ruimtestaat[[#This Row],[Frequentie weekend]]="","",_xlfn.CONCAT(Ruimtestaat[[#This Row],[Ruimte code]],"-",Ruimtestaat[[#This Row],[Frequentie weekend]]," ",Ruimtestaat[[#This Row],[Vloer code]]))</f>
        <v/>
      </c>
      <c r="BE934" s="300" t="str">
        <f>_xlfn.IFNA(VLOOKUP($BD934,Programma!$F$3:$G$1107,2,0),"")</f>
        <v/>
      </c>
      <c r="BF934" s="300" t="str">
        <f>_xlfn.IFNA(VLOOKUP($BD934,Programma!$F$3:$H$1107,3,0),"")</f>
        <v/>
      </c>
      <c r="BG934" s="300" t="str">
        <f>_xlfn.IFNA(VLOOKUP($BD934,Programma!$F$3:$I$1107,4,0),"")</f>
        <v/>
      </c>
      <c r="BH934" s="300" t="str">
        <f>_xlfn.IFNA(VLOOKUP($BD934,Programma!$F$3:$J$1107,5,0),"")</f>
        <v/>
      </c>
      <c r="BI934" s="300" t="str">
        <f>_xlfn.IFNA(VLOOKUP($BD934,Programma!$F$3:$K$1107,6,0),"")</f>
        <v/>
      </c>
      <c r="BJ934" s="300" t="str">
        <f>_xlfn.IFNA(VLOOKUP($BD934,Programma!$F$3:$L$1107,7,0),"")</f>
        <v/>
      </c>
      <c r="BK934" s="300" t="str">
        <f>_xlfn.IFNA(VLOOKUP($BD934,Programma!$F$3:$M$1107,8,0),"")</f>
        <v/>
      </c>
      <c r="BL934" s="300" t="str">
        <f>_xlfn.IFNA(VLOOKUP($BD934,Programma!$F$3:$N$1107,9,0),"")</f>
        <v/>
      </c>
      <c r="BM934" s="300" t="str">
        <f>_xlfn.IFNA(VLOOKUP($BD934,Programma!$F$3:$O$1107,10,0),"")</f>
        <v/>
      </c>
      <c r="BN934" s="300" t="str">
        <f>_xlfn.IFNA(VLOOKUP($BD934,Programma!$F$3:$P$1107,11,0),"")</f>
        <v/>
      </c>
      <c r="BO934" s="300" t="str">
        <f>_xlfn.IFNA(VLOOKUP($BD934,Programma!$F$3:$Q$1107,12,0),"")</f>
        <v/>
      </c>
      <c r="BP934" s="300" t="str">
        <f>_xlfn.IFNA(VLOOKUP($BD934,Programma!$F$3:$R$1107,13,0),"")</f>
        <v/>
      </c>
      <c r="BQ934" s="300" t="str">
        <f>_xlfn.IFNA(VLOOKUP($BD934,Programma!$F$3:$S$1107,14,0),"")</f>
        <v/>
      </c>
      <c r="BR934" s="300" t="str">
        <f>_xlfn.IFNA(VLOOKUP($BD934,Programma!$F$3:$T$1107,15,0),"")</f>
        <v/>
      </c>
      <c r="BS934" s="300" t="str">
        <f>_xlfn.IFNA(VLOOKUP($BD934,Programma!$F$3:$U$1107,16,0),"")</f>
        <v/>
      </c>
      <c r="BT934" s="300" t="str">
        <f>_xlfn.IFNA(VLOOKUP($BD934,Programma!$F$3:$V$1107,17,0),"")</f>
        <v/>
      </c>
      <c r="BU934" s="300" t="str">
        <f>_xlfn.IFNA(VLOOKUP($BD934,Programma!$F$3:$W$1107,18,0),"")</f>
        <v/>
      </c>
      <c r="BV934" s="300" t="str">
        <f>_xlfn.IFNA(VLOOKUP($BD934,Programma!$F$3:$X$1107,19,0),"")</f>
        <v/>
      </c>
      <c r="BW934" s="300" t="str">
        <f>_xlfn.IFNA(VLOOKUP($BD934,Programma!$F$3:$Y$1107,20,0),"")</f>
        <v/>
      </c>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c r="GK934" s="4"/>
      <c r="GL934" s="4"/>
      <c r="GM934" s="4"/>
      <c r="GN934" s="4"/>
      <c r="GO934" s="4"/>
      <c r="GP934" s="4"/>
      <c r="GQ934" s="4"/>
      <c r="GR934" s="4"/>
      <c r="GS934" s="4"/>
      <c r="GT934" s="4"/>
      <c r="GU934" s="4"/>
      <c r="GV934" s="4"/>
      <c r="GW934" s="4"/>
      <c r="GX934" s="4"/>
      <c r="GY934" s="4"/>
      <c r="GZ934" s="4"/>
      <c r="HA934" s="4"/>
      <c r="HB934" s="4"/>
      <c r="HC934" s="4"/>
      <c r="HD934" s="4"/>
      <c r="HE934" s="4"/>
      <c r="HF934" s="4"/>
      <c r="HG934" s="4"/>
      <c r="HH934" s="4"/>
      <c r="HI934" s="4"/>
      <c r="HJ934" s="4"/>
      <c r="HK934" s="4"/>
      <c r="HL934" s="4"/>
    </row>
    <row r="935" spans="1:220" ht="15" customHeight="1">
      <c r="A935" s="21">
        <v>10</v>
      </c>
      <c r="B935" s="157" t="str">
        <f>VLOOKUP(Ruimtestaat[[#This Row],[Code]],Locaties[[Code]:[Locatie]],2,FALSE)</f>
        <v>Veurs Voorburg vmbo</v>
      </c>
      <c r="C935" s="157" t="str">
        <f>VLOOKUP(Ruimtestaat[[#This Row],[Code]],Locaties[[#All],[Code]:[Adres]],4,FALSE)</f>
        <v>Delflandlaan 4</v>
      </c>
      <c r="D935" s="157" t="str">
        <f>VLOOKUP(Ruimtestaat[[#This Row],[Code]],Locaties[[#All],[Code]:[Postcode]],5,FALSE)</f>
        <v>2273 CS</v>
      </c>
      <c r="E935" s="157" t="str">
        <f>VLOOKUP(Ruimtestaat[[#This Row],[Code]],Locaties[#All],6,FALSE)</f>
        <v>Voorburg</v>
      </c>
      <c r="F935" s="62"/>
      <c r="G935" s="21" t="s">
        <v>1749</v>
      </c>
      <c r="H935" s="21" t="s">
        <v>2440</v>
      </c>
      <c r="I935" s="62" t="s">
        <v>2441</v>
      </c>
      <c r="J935" s="21">
        <v>4</v>
      </c>
      <c r="K935" s="62" t="str">
        <f>VLOOKUP(Ruimtestaat[[#This Row],[Ruimte code]],Ruimtegroepen[[#All],[Code]:[Ruimte omschrijving]],2,FALSE)</f>
        <v>Vergader/spreekkamers</v>
      </c>
      <c r="L935" s="33" t="s">
        <v>100</v>
      </c>
      <c r="M935" s="367" t="s">
        <v>36</v>
      </c>
      <c r="N935" s="140">
        <v>9.4</v>
      </c>
      <c r="O935" s="140"/>
      <c r="P935" s="125" t="str">
        <f>VLOOKUP(Ruimtestaat[[#This Row],[Ruimte code]],Ruimtegroepen[],4,FALSE)</f>
        <v>Bu</v>
      </c>
      <c r="R935" s="33">
        <v>40</v>
      </c>
      <c r="S935" s="33" t="s">
        <v>18</v>
      </c>
      <c r="T935" s="33">
        <f>IF(R935&gt;0,IF(RIGHT(Ruimtestaat[[#This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935" s="33">
        <f>IF(T935&gt;0,VLOOKUP($J935,Ruimtegroepen[],3,FALSE)*VLOOKUP($L935,Vloersoorten[],3,FALSE)*VLOOKUP($S935,Frequenties[],3,FALSE)*VLOOKUP($A935,Locaties[],3,FALSE),0)</f>
        <v>0</v>
      </c>
      <c r="V935" s="33">
        <f>Ruimtestaat[[#This Row],[Uitvoeringen werkdagen]]*Ruimtestaat[[#This Row],[Oppervlak (netto)]]</f>
        <v>1128</v>
      </c>
      <c r="W935" s="154">
        <f>IF(U935&gt;0,Ruimtestaat[[#This Row],[Prest. (m2 /jaar) werkdagen]]/Ruimtestaat[[#This Row],[Norm (m2/uur) werkdagen]],0)</f>
        <v>0</v>
      </c>
      <c r="X935" s="155">
        <f>Ruimtestaat[[#This Row],[uren / jaar werkdagen]]*Tariefsopbouw!$E$35</f>
        <v>0</v>
      </c>
      <c r="Y935" s="33"/>
      <c r="Z935" s="33">
        <f>IF(Ruimtestaat[[#This Row],[Frequentie weekend]]&gt;0,VALUE(LEFT(Y935,1))*R935,0)</f>
        <v>0</v>
      </c>
      <c r="AA935" s="97">
        <f>IF($Z935&gt;0,VLOOKUP($J935,Ruimtegroepen[],3,FALSE)*VLOOKUP($L935,Vloersoorten[],3,FALSE)*VLOOKUP($Y935,Frequenties[],3,FALSE)*VLOOKUP(Ruimtestaat[[#This Row],[Code]],Locaties[],3,FALSE),0)</f>
        <v>0</v>
      </c>
      <c r="AB935" s="97">
        <f>Ruimtestaat[[#This Row],[Uitvoeringen weekend]]*Ruimtestaat[[#This Row],[Oppervlak (netto)]]</f>
        <v>0</v>
      </c>
      <c r="AC935" s="97">
        <f>IF(AA935&gt;0,Ruimtestaat[[#This Row],[Prest. (m2 /jaar) weekend]]/Ruimtestaat[[#This Row],[Norm (m2/uur) weekend]],0)</f>
        <v>0</v>
      </c>
      <c r="AD935" s="155">
        <f>Ruimtestaat[[#This Row],[uren / jaar weekend]]*Tariefsopbouw!$D$40</f>
        <v>0</v>
      </c>
      <c r="AE935" s="154">
        <f>Ruimtestaat[[#This Row],[Prest. (m2 /jaar) weekend]]+Ruimtestaat[[#This Row],[Prest. (m2 /jaar) werkdagen]]</f>
        <v>1128</v>
      </c>
      <c r="AF935" s="154">
        <f>Ruimtestaat[[#This Row],[uren / jaar weekend]]+Ruimtestaat[[#This Row],[uren / jaar werkdagen]]</f>
        <v>0</v>
      </c>
      <c r="AG935" s="69">
        <f>Ruimtestaat[[#This Row],[kosten / jaar weekend]]+Ruimtestaat[[#This Row],[kosten / jaar werkdagen]]</f>
        <v>0</v>
      </c>
      <c r="AH935" s="69"/>
      <c r="AI935" s="256" t="str">
        <f>IF(Ruimtestaat[[#This Row],[Frequentie werkdagen]]="","",_xlfn.CONCAT(Ruimtestaat[[#This Row],[Ruimte code]],"-",Ruimtestaat[[#This Row],[Frequentie werkdagen]]," ",Ruimtestaat[[#This Row],[Vloer code]]))</f>
        <v>4-3w T</v>
      </c>
      <c r="AJ935" s="300" t="str">
        <f>_xlfn.IFNA(VLOOKUP($AI935,Programma!$F$3:$G$1107,2,0),"")</f>
        <v>2w</v>
      </c>
      <c r="AK935" s="300" t="str">
        <f>_xlfn.IFNA(VLOOKUP($AI935,Programma!$F$3:$H$1107,3,0),"")</f>
        <v>1w</v>
      </c>
      <c r="AL935" s="300" t="str">
        <f>_xlfn.IFNA(VLOOKUP($AI935,Programma!$F$3:$I$1107,4,0),"")</f>
        <v>_</v>
      </c>
      <c r="AM935" s="300" t="str">
        <f>_xlfn.IFNA(VLOOKUP($AI935,Programma!$F$3:$J$1107,5,0),"")</f>
        <v>_</v>
      </c>
      <c r="AN935" s="300" t="str">
        <f>_xlfn.IFNA(VLOOKUP($AI935,Programma!$F$3:$K$1107,6,0),"")</f>
        <v>_</v>
      </c>
      <c r="AO935" s="300" t="str">
        <f>_xlfn.IFNA(VLOOKUP($AI935,Programma!$F$3:$L$1107,7,0),"")</f>
        <v>_</v>
      </c>
      <c r="AP935" s="300" t="str">
        <f>_xlfn.IFNA(VLOOKUP($AI935,Programma!$F$3:$M$1107,8,0),"")</f>
        <v>_</v>
      </c>
      <c r="AQ935" s="300" t="str">
        <f>_xlfn.IFNA(VLOOKUP($AI935,Programma!$F$3:$N$1107,9,0),"")</f>
        <v>_</v>
      </c>
      <c r="AR935" s="300" t="str">
        <f>_xlfn.IFNA(VLOOKUP($AI935,Programma!$F$3:$O$1107,10,0),"")</f>
        <v>3w</v>
      </c>
      <c r="AS935" s="300" t="str">
        <f>_xlfn.IFNA(VLOOKUP($AI935,Programma!$F$3:$P$1107,11,0),"")</f>
        <v>3w</v>
      </c>
      <c r="AT935" s="300" t="str">
        <f>_xlfn.IFNA(VLOOKUP($AI935,Programma!$F$3:$Q$1107,12,0),"")</f>
        <v>1w</v>
      </c>
      <c r="AU935" s="300" t="str">
        <f>_xlfn.IFNA(VLOOKUP($AI935,Programma!$F$3:$R$1107,13,0),"")</f>
        <v>1w</v>
      </c>
      <c r="AV935" s="300" t="str">
        <f>_xlfn.IFNA(VLOOKUP($AI935,Programma!$F$3:$S$1107,14,0),"")</f>
        <v>1m</v>
      </c>
      <c r="AW935" s="300" t="str">
        <f>_xlfn.IFNA(VLOOKUP($AI935,Programma!$F$3:$T$1107,15,0),"")</f>
        <v>2j</v>
      </c>
      <c r="AX935" s="300" t="str">
        <f>_xlfn.IFNA(VLOOKUP($AI935,Programma!$F$3:$U$1107,16,0),"")</f>
        <v>1j</v>
      </c>
      <c r="AY935" s="300" t="str">
        <f>_xlfn.IFNA(VLOOKUP($AI935,Programma!$F$3:$V$1107,17,0),"")</f>
        <v>_</v>
      </c>
      <c r="AZ935" s="300" t="str">
        <f>_xlfn.IFNA(VLOOKUP($AI935,Programma!$F$3:$W$1107,18,0),"")</f>
        <v>_</v>
      </c>
      <c r="BA935" s="300" t="str">
        <f>_xlfn.IFNA(VLOOKUP($AI935,Programma!$F$3:$X$1107,19,0),"")</f>
        <v>_</v>
      </c>
      <c r="BB935" s="300" t="str">
        <f>_xlfn.IFNA(VLOOKUP($AI935,Programma!$F$3:$Y$1107,20,0),"")</f>
        <v>_</v>
      </c>
      <c r="BC935" s="257"/>
      <c r="BD935" s="256" t="str">
        <f>IF(Ruimtestaat[[#This Row],[Frequentie weekend]]="","",_xlfn.CONCAT(Ruimtestaat[[#This Row],[Ruimte code]],"-",Ruimtestaat[[#This Row],[Frequentie weekend]]," ",Ruimtestaat[[#This Row],[Vloer code]]))</f>
        <v/>
      </c>
      <c r="BE935" s="300" t="str">
        <f>_xlfn.IFNA(VLOOKUP($BD935,Programma!$F$3:$G$1107,2,0),"")</f>
        <v/>
      </c>
      <c r="BF935" s="300" t="str">
        <f>_xlfn.IFNA(VLOOKUP($BD935,Programma!$F$3:$H$1107,3,0),"")</f>
        <v/>
      </c>
      <c r="BG935" s="300" t="str">
        <f>_xlfn.IFNA(VLOOKUP($BD935,Programma!$F$3:$I$1107,4,0),"")</f>
        <v/>
      </c>
      <c r="BH935" s="300" t="str">
        <f>_xlfn.IFNA(VLOOKUP($BD935,Programma!$F$3:$J$1107,5,0),"")</f>
        <v/>
      </c>
      <c r="BI935" s="300" t="str">
        <f>_xlfn.IFNA(VLOOKUP($BD935,Programma!$F$3:$K$1107,6,0),"")</f>
        <v/>
      </c>
      <c r="BJ935" s="300" t="str">
        <f>_xlfn.IFNA(VLOOKUP($BD935,Programma!$F$3:$L$1107,7,0),"")</f>
        <v/>
      </c>
      <c r="BK935" s="300" t="str">
        <f>_xlfn.IFNA(VLOOKUP($BD935,Programma!$F$3:$M$1107,8,0),"")</f>
        <v/>
      </c>
      <c r="BL935" s="300" t="str">
        <f>_xlfn.IFNA(VLOOKUP($BD935,Programma!$F$3:$N$1107,9,0),"")</f>
        <v/>
      </c>
      <c r="BM935" s="300" t="str">
        <f>_xlfn.IFNA(VLOOKUP($BD935,Programma!$F$3:$O$1107,10,0),"")</f>
        <v/>
      </c>
      <c r="BN935" s="300" t="str">
        <f>_xlfn.IFNA(VLOOKUP($BD935,Programma!$F$3:$P$1107,11,0),"")</f>
        <v/>
      </c>
      <c r="BO935" s="300" t="str">
        <f>_xlfn.IFNA(VLOOKUP($BD935,Programma!$F$3:$Q$1107,12,0),"")</f>
        <v/>
      </c>
      <c r="BP935" s="300" t="str">
        <f>_xlfn.IFNA(VLOOKUP($BD935,Programma!$F$3:$R$1107,13,0),"")</f>
        <v/>
      </c>
      <c r="BQ935" s="300" t="str">
        <f>_xlfn.IFNA(VLOOKUP($BD935,Programma!$F$3:$S$1107,14,0),"")</f>
        <v/>
      </c>
      <c r="BR935" s="300" t="str">
        <f>_xlfn.IFNA(VLOOKUP($BD935,Programma!$F$3:$T$1107,15,0),"")</f>
        <v/>
      </c>
      <c r="BS935" s="300" t="str">
        <f>_xlfn.IFNA(VLOOKUP($BD935,Programma!$F$3:$U$1107,16,0),"")</f>
        <v/>
      </c>
      <c r="BT935" s="300" t="str">
        <f>_xlfn.IFNA(VLOOKUP($BD935,Programma!$F$3:$V$1107,17,0),"")</f>
        <v/>
      </c>
      <c r="BU935" s="300" t="str">
        <f>_xlfn.IFNA(VLOOKUP($BD935,Programma!$F$3:$W$1107,18,0),"")</f>
        <v/>
      </c>
      <c r="BV935" s="300" t="str">
        <f>_xlfn.IFNA(VLOOKUP($BD935,Programma!$F$3:$X$1107,19,0),"")</f>
        <v/>
      </c>
      <c r="BW935" s="300" t="str">
        <f>_xlfn.IFNA(VLOOKUP($BD935,Programma!$F$3:$Y$1107,20,0),"")</f>
        <v/>
      </c>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c r="GK935" s="4"/>
      <c r="GL935" s="4"/>
      <c r="GM935" s="4"/>
      <c r="GN935" s="4"/>
      <c r="GO935" s="4"/>
      <c r="GP935" s="4"/>
      <c r="GQ935" s="4"/>
      <c r="GR935" s="4"/>
      <c r="GS935" s="4"/>
      <c r="GT935" s="4"/>
      <c r="GU935" s="4"/>
      <c r="GV935" s="4"/>
      <c r="GW935" s="4"/>
      <c r="GX935" s="4"/>
      <c r="GY935" s="4"/>
      <c r="GZ935" s="4"/>
      <c r="HA935" s="4"/>
      <c r="HB935" s="4"/>
      <c r="HC935" s="4"/>
      <c r="HD935" s="4"/>
      <c r="HE935" s="4"/>
      <c r="HF935" s="4"/>
      <c r="HG935" s="4"/>
      <c r="HH935" s="4"/>
      <c r="HI935" s="4"/>
      <c r="HJ935" s="4"/>
      <c r="HK935" s="4"/>
      <c r="HL935" s="4"/>
    </row>
    <row r="936" spans="1:220" ht="15" customHeight="1">
      <c r="A936" s="21">
        <v>10</v>
      </c>
      <c r="B936" s="157" t="str">
        <f>VLOOKUP(Ruimtestaat[[#This Row],[Code]],Locaties[[Code]:[Locatie]],2,FALSE)</f>
        <v>Veurs Voorburg vmbo</v>
      </c>
      <c r="C936" s="157" t="str">
        <f>VLOOKUP(Ruimtestaat[[#This Row],[Code]],Locaties[[#All],[Code]:[Adres]],4,FALSE)</f>
        <v>Delflandlaan 4</v>
      </c>
      <c r="D936" s="157" t="str">
        <f>VLOOKUP(Ruimtestaat[[#This Row],[Code]],Locaties[[#All],[Code]:[Postcode]],5,FALSE)</f>
        <v>2273 CS</v>
      </c>
      <c r="E936" s="157" t="str">
        <f>VLOOKUP(Ruimtestaat[[#This Row],[Code]],Locaties[#All],6,FALSE)</f>
        <v>Voorburg</v>
      </c>
      <c r="F936" s="62"/>
      <c r="G936" s="21" t="s">
        <v>1749</v>
      </c>
      <c r="H936" s="21" t="s">
        <v>2442</v>
      </c>
      <c r="I936" s="62" t="s">
        <v>59</v>
      </c>
      <c r="J936" s="21">
        <v>6</v>
      </c>
      <c r="K936" s="62" t="str">
        <f>VLOOKUP(Ruimtestaat[[#This Row],[Ruimte code]],Ruimtegroepen[[#All],[Code]:[Ruimte omschrijving]],2,FALSE)</f>
        <v>Gangen/hallen</v>
      </c>
      <c r="L936" s="33" t="s">
        <v>101</v>
      </c>
      <c r="M936" s="367" t="s">
        <v>2506</v>
      </c>
      <c r="N936" s="140">
        <v>3.9</v>
      </c>
      <c r="O936" s="140"/>
      <c r="P936" s="125" t="str">
        <f>VLOOKUP(Ruimtestaat[[#This Row],[Ruimte code]],Ruimtegroepen[],4,FALSE)</f>
        <v>Ve</v>
      </c>
      <c r="R936" s="33">
        <v>40</v>
      </c>
      <c r="S936" s="33" t="s">
        <v>2</v>
      </c>
      <c r="T936" s="33">
        <f>IF(R936&gt;0,IF(RIGHT(Ruimtestaat[[#This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36" s="33">
        <f>IF(T936&gt;0,VLOOKUP($J936,Ruimtegroepen[],3,FALSE)*VLOOKUP($L936,Vloersoorten[],3,FALSE)*VLOOKUP($S936,Frequenties[],3,FALSE)*VLOOKUP($A936,Locaties[],3,FALSE),0)</f>
        <v>0</v>
      </c>
      <c r="V936" s="33">
        <f>Ruimtestaat[[#This Row],[Uitvoeringen werkdagen]]*Ruimtestaat[[#This Row],[Oppervlak (netto)]]</f>
        <v>780</v>
      </c>
      <c r="W936" s="154">
        <f>IF(U936&gt;0,Ruimtestaat[[#This Row],[Prest. (m2 /jaar) werkdagen]]/Ruimtestaat[[#This Row],[Norm (m2/uur) werkdagen]],0)</f>
        <v>0</v>
      </c>
      <c r="X936" s="155">
        <f>Ruimtestaat[[#This Row],[uren / jaar werkdagen]]*Tariefsopbouw!$E$35</f>
        <v>0</v>
      </c>
      <c r="Y936" s="33"/>
      <c r="Z936" s="33">
        <f>IF(Ruimtestaat[[#This Row],[Frequentie weekend]]&gt;0,VALUE(LEFT(Y936,1))*R936,0)</f>
        <v>0</v>
      </c>
      <c r="AA936" s="97">
        <f>IF($Z936&gt;0,VLOOKUP($J936,Ruimtegroepen[],3,FALSE)*VLOOKUP($L936,Vloersoorten[],3,FALSE)*VLOOKUP($Y936,Frequenties[],3,FALSE)*VLOOKUP(Ruimtestaat[[#This Row],[Code]],Locaties[],3,FALSE),0)</f>
        <v>0</v>
      </c>
      <c r="AB936" s="97">
        <f>Ruimtestaat[[#This Row],[Uitvoeringen weekend]]*Ruimtestaat[[#This Row],[Oppervlak (netto)]]</f>
        <v>0</v>
      </c>
      <c r="AC936" s="97">
        <f>IF(AA936&gt;0,Ruimtestaat[[#This Row],[Prest. (m2 /jaar) weekend]]/Ruimtestaat[[#This Row],[Norm (m2/uur) weekend]],0)</f>
        <v>0</v>
      </c>
      <c r="AD936" s="155">
        <f>Ruimtestaat[[#This Row],[uren / jaar weekend]]*Tariefsopbouw!$D$40</f>
        <v>0</v>
      </c>
      <c r="AE936" s="154">
        <f>Ruimtestaat[[#This Row],[Prest. (m2 /jaar) weekend]]+Ruimtestaat[[#This Row],[Prest. (m2 /jaar) werkdagen]]</f>
        <v>780</v>
      </c>
      <c r="AF936" s="154">
        <f>Ruimtestaat[[#This Row],[uren / jaar weekend]]+Ruimtestaat[[#This Row],[uren / jaar werkdagen]]</f>
        <v>0</v>
      </c>
      <c r="AG936" s="69">
        <f>Ruimtestaat[[#This Row],[kosten / jaar weekend]]+Ruimtestaat[[#This Row],[kosten / jaar werkdagen]]</f>
        <v>0</v>
      </c>
      <c r="AH936" s="69"/>
      <c r="AI936" s="256" t="str">
        <f>IF(Ruimtestaat[[#This Row],[Frequentie werkdagen]]="","",_xlfn.CONCAT(Ruimtestaat[[#This Row],[Ruimte code]],"-",Ruimtestaat[[#This Row],[Frequentie werkdagen]]," ",Ruimtestaat[[#This Row],[Vloer code]]))</f>
        <v>6-5w L</v>
      </c>
      <c r="AJ936" s="300" t="str">
        <f>_xlfn.IFNA(VLOOKUP($AI936,Programma!$F$3:$G$1107,2,0),"")</f>
        <v>_</v>
      </c>
      <c r="AK936" s="300" t="str">
        <f>_xlfn.IFNA(VLOOKUP($AI936,Programma!$F$3:$H$1107,3,0),"")</f>
        <v>_</v>
      </c>
      <c r="AL936" s="300" t="str">
        <f>_xlfn.IFNA(VLOOKUP($AI936,Programma!$F$3:$I$1107,4,0),"")</f>
        <v>_</v>
      </c>
      <c r="AM936" s="300" t="str">
        <f>_xlfn.IFNA(VLOOKUP($AI936,Programma!$F$3:$J$1107,5,0),"")</f>
        <v>5w</v>
      </c>
      <c r="AN936" s="300" t="str">
        <f>_xlfn.IFNA(VLOOKUP($AI936,Programma!$F$3:$K$1107,6,0),"")</f>
        <v>_</v>
      </c>
      <c r="AO936" s="300" t="str">
        <f>_xlfn.IFNA(VLOOKUP($AI936,Programma!$F$3:$L$1107,7,0),"")</f>
        <v>_</v>
      </c>
      <c r="AP936" s="300" t="str">
        <f>_xlfn.IFNA(VLOOKUP($AI936,Programma!$F$3:$M$1107,8,0),"")</f>
        <v>_</v>
      </c>
      <c r="AQ936" s="300" t="str">
        <f>_xlfn.IFNA(VLOOKUP($AI936,Programma!$F$3:$N$1107,9,0),"")</f>
        <v>_</v>
      </c>
      <c r="AR936" s="300" t="str">
        <f>_xlfn.IFNA(VLOOKUP($AI936,Programma!$F$3:$O$1107,10,0),"")</f>
        <v>5w</v>
      </c>
      <c r="AS936" s="300" t="str">
        <f>_xlfn.IFNA(VLOOKUP($AI936,Programma!$F$3:$P$1107,11,0),"")</f>
        <v>5w</v>
      </c>
      <c r="AT936" s="300" t="str">
        <f>_xlfn.IFNA(VLOOKUP($AI936,Programma!$F$3:$Q$1107,12,0),"")</f>
        <v>1w</v>
      </c>
      <c r="AU936" s="300" t="str">
        <f>_xlfn.IFNA(VLOOKUP($AI936,Programma!$F$3:$R$1107,13,0),"")</f>
        <v>1w</v>
      </c>
      <c r="AV936" s="300" t="str">
        <f>_xlfn.IFNA(VLOOKUP($AI936,Programma!$F$3:$S$1107,14,0),"")</f>
        <v>1m</v>
      </c>
      <c r="AW936" s="300" t="str">
        <f>_xlfn.IFNA(VLOOKUP($AI936,Programma!$F$3:$T$1107,15,0),"")</f>
        <v>2j</v>
      </c>
      <c r="AX936" s="300" t="str">
        <f>_xlfn.IFNA(VLOOKUP($AI936,Programma!$F$3:$U$1107,16,0),"")</f>
        <v>1j</v>
      </c>
      <c r="AY936" s="300" t="str">
        <f>_xlfn.IFNA(VLOOKUP($AI936,Programma!$F$3:$V$1107,17,0),"")</f>
        <v>_</v>
      </c>
      <c r="AZ936" s="300" t="str">
        <f>_xlfn.IFNA(VLOOKUP($AI936,Programma!$F$3:$W$1107,18,0),"")</f>
        <v>_</v>
      </c>
      <c r="BA936" s="300" t="str">
        <f>_xlfn.IFNA(VLOOKUP($AI936,Programma!$F$3:$X$1107,19,0),"")</f>
        <v>_</v>
      </c>
      <c r="BB936" s="300" t="str">
        <f>_xlfn.IFNA(VLOOKUP($AI936,Programma!$F$3:$Y$1107,20,0),"")</f>
        <v>_</v>
      </c>
      <c r="BC936" s="257"/>
      <c r="BD936" s="256" t="str">
        <f>IF(Ruimtestaat[[#This Row],[Frequentie weekend]]="","",_xlfn.CONCAT(Ruimtestaat[[#This Row],[Ruimte code]],"-",Ruimtestaat[[#This Row],[Frequentie weekend]]," ",Ruimtestaat[[#This Row],[Vloer code]]))</f>
        <v/>
      </c>
      <c r="BE936" s="300" t="str">
        <f>_xlfn.IFNA(VLOOKUP($BD936,Programma!$F$3:$G$1107,2,0),"")</f>
        <v/>
      </c>
      <c r="BF936" s="300" t="str">
        <f>_xlfn.IFNA(VLOOKUP($BD936,Programma!$F$3:$H$1107,3,0),"")</f>
        <v/>
      </c>
      <c r="BG936" s="300" t="str">
        <f>_xlfn.IFNA(VLOOKUP($BD936,Programma!$F$3:$I$1107,4,0),"")</f>
        <v/>
      </c>
      <c r="BH936" s="300" t="str">
        <f>_xlfn.IFNA(VLOOKUP($BD936,Programma!$F$3:$J$1107,5,0),"")</f>
        <v/>
      </c>
      <c r="BI936" s="300" t="str">
        <f>_xlfn.IFNA(VLOOKUP($BD936,Programma!$F$3:$K$1107,6,0),"")</f>
        <v/>
      </c>
      <c r="BJ936" s="300" t="str">
        <f>_xlfn.IFNA(VLOOKUP($BD936,Programma!$F$3:$L$1107,7,0),"")</f>
        <v/>
      </c>
      <c r="BK936" s="300" t="str">
        <f>_xlfn.IFNA(VLOOKUP($BD936,Programma!$F$3:$M$1107,8,0),"")</f>
        <v/>
      </c>
      <c r="BL936" s="300" t="str">
        <f>_xlfn.IFNA(VLOOKUP($BD936,Programma!$F$3:$N$1107,9,0),"")</f>
        <v/>
      </c>
      <c r="BM936" s="300" t="str">
        <f>_xlfn.IFNA(VLOOKUP($BD936,Programma!$F$3:$O$1107,10,0),"")</f>
        <v/>
      </c>
      <c r="BN936" s="300" t="str">
        <f>_xlfn.IFNA(VLOOKUP($BD936,Programma!$F$3:$P$1107,11,0),"")</f>
        <v/>
      </c>
      <c r="BO936" s="300" t="str">
        <f>_xlfn.IFNA(VLOOKUP($BD936,Programma!$F$3:$Q$1107,12,0),"")</f>
        <v/>
      </c>
      <c r="BP936" s="300" t="str">
        <f>_xlfn.IFNA(VLOOKUP($BD936,Programma!$F$3:$R$1107,13,0),"")</f>
        <v/>
      </c>
      <c r="BQ936" s="300" t="str">
        <f>_xlfn.IFNA(VLOOKUP($BD936,Programma!$F$3:$S$1107,14,0),"")</f>
        <v/>
      </c>
      <c r="BR936" s="300" t="str">
        <f>_xlfn.IFNA(VLOOKUP($BD936,Programma!$F$3:$T$1107,15,0),"")</f>
        <v/>
      </c>
      <c r="BS936" s="300" t="str">
        <f>_xlfn.IFNA(VLOOKUP($BD936,Programma!$F$3:$U$1107,16,0),"")</f>
        <v/>
      </c>
      <c r="BT936" s="300" t="str">
        <f>_xlfn.IFNA(VLOOKUP($BD936,Programma!$F$3:$V$1107,17,0),"")</f>
        <v/>
      </c>
      <c r="BU936" s="300" t="str">
        <f>_xlfn.IFNA(VLOOKUP($BD936,Programma!$F$3:$W$1107,18,0),"")</f>
        <v/>
      </c>
      <c r="BV936" s="300" t="str">
        <f>_xlfn.IFNA(VLOOKUP($BD936,Programma!$F$3:$X$1107,19,0),"")</f>
        <v/>
      </c>
      <c r="BW936" s="300" t="str">
        <f>_xlfn.IFNA(VLOOKUP($BD936,Programma!$F$3:$Y$1107,20,0),"")</f>
        <v/>
      </c>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c r="GK936" s="4"/>
      <c r="GL936" s="4"/>
      <c r="GM936" s="4"/>
      <c r="GN936" s="4"/>
      <c r="GO936" s="4"/>
      <c r="GP936" s="4"/>
      <c r="GQ936" s="4"/>
      <c r="GR936" s="4"/>
      <c r="GS936" s="4"/>
      <c r="GT936" s="4"/>
      <c r="GU936" s="4"/>
      <c r="GV936" s="4"/>
      <c r="GW936" s="4"/>
      <c r="GX936" s="4"/>
      <c r="GY936" s="4"/>
      <c r="GZ936" s="4"/>
      <c r="HA936" s="4"/>
      <c r="HB936" s="4"/>
      <c r="HC936" s="4"/>
      <c r="HD936" s="4"/>
      <c r="HE936" s="4"/>
      <c r="HF936" s="4"/>
      <c r="HG936" s="4"/>
      <c r="HH936" s="4"/>
      <c r="HI936" s="4"/>
      <c r="HJ936" s="4"/>
      <c r="HK936" s="4"/>
      <c r="HL936" s="4"/>
    </row>
    <row r="937" spans="1:220" ht="15" customHeight="1">
      <c r="A937" s="21">
        <v>10</v>
      </c>
      <c r="B937" s="157" t="str">
        <f>VLOOKUP(Ruimtestaat[[#This Row],[Code]],Locaties[[Code]:[Locatie]],2,FALSE)</f>
        <v>Veurs Voorburg vmbo</v>
      </c>
      <c r="C937" s="157" t="str">
        <f>VLOOKUP(Ruimtestaat[[#This Row],[Code]],Locaties[[#All],[Code]:[Adres]],4,FALSE)</f>
        <v>Delflandlaan 4</v>
      </c>
      <c r="D937" s="157" t="str">
        <f>VLOOKUP(Ruimtestaat[[#This Row],[Code]],Locaties[[#All],[Code]:[Postcode]],5,FALSE)</f>
        <v>2273 CS</v>
      </c>
      <c r="E937" s="157" t="str">
        <f>VLOOKUP(Ruimtestaat[[#This Row],[Code]],Locaties[#All],6,FALSE)</f>
        <v>Voorburg</v>
      </c>
      <c r="F937" s="62"/>
      <c r="G937" s="21" t="s">
        <v>1749</v>
      </c>
      <c r="H937" s="21" t="s">
        <v>2443</v>
      </c>
      <c r="I937" s="62" t="s">
        <v>2444</v>
      </c>
      <c r="J937" s="21">
        <v>20</v>
      </c>
      <c r="K937" s="62" t="str">
        <f>VLOOKUP(Ruimtestaat[[#This Row],[Ruimte code]],Ruimtegroepen[[#All],[Code]:[Ruimte omschrijving]],2,FALSE)</f>
        <v>Niet in Onderhoud</v>
      </c>
      <c r="L937" s="33" t="s">
        <v>101</v>
      </c>
      <c r="M937" s="367" t="s">
        <v>2506</v>
      </c>
      <c r="N937" s="140"/>
      <c r="O937" s="140">
        <v>5</v>
      </c>
      <c r="P937" s="125">
        <f>VLOOKUP(Ruimtestaat[[#This Row],[Ruimte code]],Ruimtegroepen[],4,FALSE)</f>
        <v>0</v>
      </c>
      <c r="R937" s="33"/>
      <c r="S937" s="33"/>
      <c r="T937" s="33">
        <f>IF(R937&gt;0,IF(RIGHT(Ruimtestaat[[#This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37" s="33">
        <f>IF(T937&gt;0,VLOOKUP($J937,Ruimtegroepen[],3,FALSE)*VLOOKUP($L937,Vloersoorten[],3,FALSE)*VLOOKUP($S937,Frequenties[],3,FALSE)*VLOOKUP($A937,Locaties[],3,FALSE),0)</f>
        <v>0</v>
      </c>
      <c r="V937" s="33">
        <f>Ruimtestaat[[#This Row],[Uitvoeringen werkdagen]]*Ruimtestaat[[#This Row],[Oppervlak (netto)]]</f>
        <v>0</v>
      </c>
      <c r="W937" s="154">
        <f>IF(U937&gt;0,Ruimtestaat[[#This Row],[Prest. (m2 /jaar) werkdagen]]/Ruimtestaat[[#This Row],[Norm (m2/uur) werkdagen]],0)</f>
        <v>0</v>
      </c>
      <c r="X937" s="155">
        <f>Ruimtestaat[[#This Row],[uren / jaar werkdagen]]*Tariefsopbouw!$E$35</f>
        <v>0</v>
      </c>
      <c r="Y937" s="33"/>
      <c r="Z937" s="33">
        <f>IF(Ruimtestaat[[#This Row],[Frequentie weekend]]&gt;0,VALUE(LEFT(Y937,1))*R937,0)</f>
        <v>0</v>
      </c>
      <c r="AA937" s="97">
        <f>IF($Z937&gt;0,VLOOKUP($J937,Ruimtegroepen[],3,FALSE)*VLOOKUP($L937,Vloersoorten[],3,FALSE)*VLOOKUP($Y937,Frequenties[],3,FALSE)*VLOOKUP(Ruimtestaat[[#This Row],[Code]],Locaties[],3,FALSE),0)</f>
        <v>0</v>
      </c>
      <c r="AB937" s="97">
        <f>Ruimtestaat[[#This Row],[Uitvoeringen weekend]]*Ruimtestaat[[#This Row],[Oppervlak (netto)]]</f>
        <v>0</v>
      </c>
      <c r="AC937" s="97">
        <f>IF(AA937&gt;0,Ruimtestaat[[#This Row],[Prest. (m2 /jaar) weekend]]/Ruimtestaat[[#This Row],[Norm (m2/uur) weekend]],0)</f>
        <v>0</v>
      </c>
      <c r="AD937" s="155">
        <f>Ruimtestaat[[#This Row],[uren / jaar weekend]]*Tariefsopbouw!$D$40</f>
        <v>0</v>
      </c>
      <c r="AE937" s="154">
        <f>Ruimtestaat[[#This Row],[Prest. (m2 /jaar) weekend]]+Ruimtestaat[[#This Row],[Prest. (m2 /jaar) werkdagen]]</f>
        <v>0</v>
      </c>
      <c r="AF937" s="154">
        <f>Ruimtestaat[[#This Row],[uren / jaar weekend]]+Ruimtestaat[[#This Row],[uren / jaar werkdagen]]</f>
        <v>0</v>
      </c>
      <c r="AG937" s="69">
        <f>Ruimtestaat[[#This Row],[kosten / jaar weekend]]+Ruimtestaat[[#This Row],[kosten / jaar werkdagen]]</f>
        <v>0</v>
      </c>
      <c r="AH937" s="69"/>
      <c r="AI937" s="256" t="str">
        <f>IF(Ruimtestaat[[#This Row],[Frequentie werkdagen]]="","",_xlfn.CONCAT(Ruimtestaat[[#This Row],[Ruimte code]],"-",Ruimtestaat[[#This Row],[Frequentie werkdagen]]," ",Ruimtestaat[[#This Row],[Vloer code]]))</f>
        <v/>
      </c>
      <c r="AJ937" s="300" t="str">
        <f>_xlfn.IFNA(VLOOKUP($AI937,Programma!$F$3:$G$1107,2,0),"")</f>
        <v/>
      </c>
      <c r="AK937" s="300" t="str">
        <f>_xlfn.IFNA(VLOOKUP($AI937,Programma!$F$3:$H$1107,3,0),"")</f>
        <v/>
      </c>
      <c r="AL937" s="300" t="str">
        <f>_xlfn.IFNA(VLOOKUP($AI937,Programma!$F$3:$I$1107,4,0),"")</f>
        <v/>
      </c>
      <c r="AM937" s="300" t="str">
        <f>_xlfn.IFNA(VLOOKUP($AI937,Programma!$F$3:$J$1107,5,0),"")</f>
        <v/>
      </c>
      <c r="AN937" s="300" t="str">
        <f>_xlfn.IFNA(VLOOKUP($AI937,Programma!$F$3:$K$1107,6,0),"")</f>
        <v/>
      </c>
      <c r="AO937" s="300" t="str">
        <f>_xlfn.IFNA(VLOOKUP($AI937,Programma!$F$3:$L$1107,7,0),"")</f>
        <v/>
      </c>
      <c r="AP937" s="300" t="str">
        <f>_xlfn.IFNA(VLOOKUP($AI937,Programma!$F$3:$M$1107,8,0),"")</f>
        <v/>
      </c>
      <c r="AQ937" s="300" t="str">
        <f>_xlfn.IFNA(VLOOKUP($AI937,Programma!$F$3:$N$1107,9,0),"")</f>
        <v/>
      </c>
      <c r="AR937" s="300" t="str">
        <f>_xlfn.IFNA(VLOOKUP($AI937,Programma!$F$3:$O$1107,10,0),"")</f>
        <v/>
      </c>
      <c r="AS937" s="300" t="str">
        <f>_xlfn.IFNA(VLOOKUP($AI937,Programma!$F$3:$P$1107,11,0),"")</f>
        <v/>
      </c>
      <c r="AT937" s="300" t="str">
        <f>_xlfn.IFNA(VLOOKUP($AI937,Programma!$F$3:$Q$1107,12,0),"")</f>
        <v/>
      </c>
      <c r="AU937" s="300" t="str">
        <f>_xlfn.IFNA(VLOOKUP($AI937,Programma!$F$3:$R$1107,13,0),"")</f>
        <v/>
      </c>
      <c r="AV937" s="300" t="str">
        <f>_xlfn.IFNA(VLOOKUP($AI937,Programma!$F$3:$S$1107,14,0),"")</f>
        <v/>
      </c>
      <c r="AW937" s="300" t="str">
        <f>_xlfn.IFNA(VLOOKUP($AI937,Programma!$F$3:$T$1107,15,0),"")</f>
        <v/>
      </c>
      <c r="AX937" s="300" t="str">
        <f>_xlfn.IFNA(VLOOKUP($AI937,Programma!$F$3:$U$1107,16,0),"")</f>
        <v/>
      </c>
      <c r="AY937" s="300" t="str">
        <f>_xlfn.IFNA(VLOOKUP($AI937,Programma!$F$3:$V$1107,17,0),"")</f>
        <v/>
      </c>
      <c r="AZ937" s="300" t="str">
        <f>_xlfn.IFNA(VLOOKUP($AI937,Programma!$F$3:$W$1107,18,0),"")</f>
        <v/>
      </c>
      <c r="BA937" s="300" t="str">
        <f>_xlfn.IFNA(VLOOKUP($AI937,Programma!$F$3:$X$1107,19,0),"")</f>
        <v/>
      </c>
      <c r="BB937" s="300" t="str">
        <f>_xlfn.IFNA(VLOOKUP($AI937,Programma!$F$3:$Y$1107,20,0),"")</f>
        <v/>
      </c>
      <c r="BC937" s="257"/>
      <c r="BD937" s="256" t="str">
        <f>IF(Ruimtestaat[[#This Row],[Frequentie weekend]]="","",_xlfn.CONCAT(Ruimtestaat[[#This Row],[Ruimte code]],"-",Ruimtestaat[[#This Row],[Frequentie weekend]]," ",Ruimtestaat[[#This Row],[Vloer code]]))</f>
        <v/>
      </c>
      <c r="BE937" s="300" t="str">
        <f>_xlfn.IFNA(VLOOKUP($BD937,Programma!$F$3:$G$1107,2,0),"")</f>
        <v/>
      </c>
      <c r="BF937" s="300" t="str">
        <f>_xlfn.IFNA(VLOOKUP($BD937,Programma!$F$3:$H$1107,3,0),"")</f>
        <v/>
      </c>
      <c r="BG937" s="300" t="str">
        <f>_xlfn.IFNA(VLOOKUP($BD937,Programma!$F$3:$I$1107,4,0),"")</f>
        <v/>
      </c>
      <c r="BH937" s="300" t="str">
        <f>_xlfn.IFNA(VLOOKUP($BD937,Programma!$F$3:$J$1107,5,0),"")</f>
        <v/>
      </c>
      <c r="BI937" s="300" t="str">
        <f>_xlfn.IFNA(VLOOKUP($BD937,Programma!$F$3:$K$1107,6,0),"")</f>
        <v/>
      </c>
      <c r="BJ937" s="300" t="str">
        <f>_xlfn.IFNA(VLOOKUP($BD937,Programma!$F$3:$L$1107,7,0),"")</f>
        <v/>
      </c>
      <c r="BK937" s="300" t="str">
        <f>_xlfn.IFNA(VLOOKUP($BD937,Programma!$F$3:$M$1107,8,0),"")</f>
        <v/>
      </c>
      <c r="BL937" s="300" t="str">
        <f>_xlfn.IFNA(VLOOKUP($BD937,Programma!$F$3:$N$1107,9,0),"")</f>
        <v/>
      </c>
      <c r="BM937" s="300" t="str">
        <f>_xlfn.IFNA(VLOOKUP($BD937,Programma!$F$3:$O$1107,10,0),"")</f>
        <v/>
      </c>
      <c r="BN937" s="300" t="str">
        <f>_xlfn.IFNA(VLOOKUP($BD937,Programma!$F$3:$P$1107,11,0),"")</f>
        <v/>
      </c>
      <c r="BO937" s="300" t="str">
        <f>_xlfn.IFNA(VLOOKUP($BD937,Programma!$F$3:$Q$1107,12,0),"")</f>
        <v/>
      </c>
      <c r="BP937" s="300" t="str">
        <f>_xlfn.IFNA(VLOOKUP($BD937,Programma!$F$3:$R$1107,13,0),"")</f>
        <v/>
      </c>
      <c r="BQ937" s="300" t="str">
        <f>_xlfn.IFNA(VLOOKUP($BD937,Programma!$F$3:$S$1107,14,0),"")</f>
        <v/>
      </c>
      <c r="BR937" s="300" t="str">
        <f>_xlfn.IFNA(VLOOKUP($BD937,Programma!$F$3:$T$1107,15,0),"")</f>
        <v/>
      </c>
      <c r="BS937" s="300" t="str">
        <f>_xlfn.IFNA(VLOOKUP($BD937,Programma!$F$3:$U$1107,16,0),"")</f>
        <v/>
      </c>
      <c r="BT937" s="300" t="str">
        <f>_xlfn.IFNA(VLOOKUP($BD937,Programma!$F$3:$V$1107,17,0),"")</f>
        <v/>
      </c>
      <c r="BU937" s="300" t="str">
        <f>_xlfn.IFNA(VLOOKUP($BD937,Programma!$F$3:$W$1107,18,0),"")</f>
        <v/>
      </c>
      <c r="BV937" s="300" t="str">
        <f>_xlfn.IFNA(VLOOKUP($BD937,Programma!$F$3:$X$1107,19,0),"")</f>
        <v/>
      </c>
      <c r="BW937" s="300" t="str">
        <f>_xlfn.IFNA(VLOOKUP($BD937,Programma!$F$3:$Y$1107,20,0),"")</f>
        <v/>
      </c>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c r="GK937" s="4"/>
      <c r="GL937" s="4"/>
      <c r="GM937" s="4"/>
      <c r="GN937" s="4"/>
      <c r="GO937" s="4"/>
      <c r="GP937" s="4"/>
      <c r="GQ937" s="4"/>
      <c r="GR937" s="4"/>
      <c r="GS937" s="4"/>
      <c r="GT937" s="4"/>
      <c r="GU937" s="4"/>
      <c r="GV937" s="4"/>
      <c r="GW937" s="4"/>
      <c r="GX937" s="4"/>
      <c r="GY937" s="4"/>
      <c r="GZ937" s="4"/>
      <c r="HA937" s="4"/>
      <c r="HB937" s="4"/>
      <c r="HC937" s="4"/>
      <c r="HD937" s="4"/>
      <c r="HE937" s="4"/>
      <c r="HF937" s="4"/>
      <c r="HG937" s="4"/>
      <c r="HH937" s="4"/>
      <c r="HI937" s="4"/>
      <c r="HJ937" s="4"/>
      <c r="HK937" s="4"/>
      <c r="HL937" s="4"/>
    </row>
    <row r="938" spans="1:220" ht="15" customHeight="1">
      <c r="A938" s="21">
        <v>10</v>
      </c>
      <c r="B938" s="157" t="str">
        <f>VLOOKUP(Ruimtestaat[[#This Row],[Code]],Locaties[[Code]:[Locatie]],2,FALSE)</f>
        <v>Veurs Voorburg vmbo</v>
      </c>
      <c r="C938" s="157" t="str">
        <f>VLOOKUP(Ruimtestaat[[#This Row],[Code]],Locaties[[#All],[Code]:[Adres]],4,FALSE)</f>
        <v>Delflandlaan 4</v>
      </c>
      <c r="D938" s="157" t="str">
        <f>VLOOKUP(Ruimtestaat[[#This Row],[Code]],Locaties[[#All],[Code]:[Postcode]],5,FALSE)</f>
        <v>2273 CS</v>
      </c>
      <c r="E938" s="157" t="str">
        <f>VLOOKUP(Ruimtestaat[[#This Row],[Code]],Locaties[#All],6,FALSE)</f>
        <v>Voorburg</v>
      </c>
      <c r="F938" s="62"/>
      <c r="G938" s="21" t="s">
        <v>1749</v>
      </c>
      <c r="H938" s="21" t="s">
        <v>2445</v>
      </c>
      <c r="I938" s="62" t="s">
        <v>2446</v>
      </c>
      <c r="J938" s="21">
        <v>2</v>
      </c>
      <c r="K938" s="62" t="str">
        <f>VLOOKUP(Ruimtestaat[[#This Row],[Ruimte code]],Ruimtegroepen[[#All],[Code]:[Ruimte omschrijving]],2,FALSE)</f>
        <v>Kantoren</v>
      </c>
      <c r="L938" s="33" t="s">
        <v>100</v>
      </c>
      <c r="M938" s="367" t="s">
        <v>36</v>
      </c>
      <c r="N938" s="140">
        <v>25</v>
      </c>
      <c r="O938" s="140"/>
      <c r="P938" s="125" t="str">
        <f>VLOOKUP(Ruimtestaat[[#This Row],[Ruimte code]],Ruimtegroepen[],4,FALSE)</f>
        <v>Bu</v>
      </c>
      <c r="R938" s="33">
        <v>42</v>
      </c>
      <c r="S938" s="33" t="s">
        <v>18</v>
      </c>
      <c r="T938" s="33">
        <f>IF(R938&gt;0,IF(RIGHT(Ruimtestaat[[#This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38" s="33">
        <f>IF(T938&gt;0,VLOOKUP($J938,Ruimtegroepen[],3,FALSE)*VLOOKUP($L938,Vloersoorten[],3,FALSE)*VLOOKUP($S938,Frequenties[],3,FALSE)*VLOOKUP($A938,Locaties[],3,FALSE),0)</f>
        <v>0</v>
      </c>
      <c r="V938" s="33">
        <f>Ruimtestaat[[#This Row],[Uitvoeringen werkdagen]]*Ruimtestaat[[#This Row],[Oppervlak (netto)]]</f>
        <v>3150</v>
      </c>
      <c r="W938" s="154">
        <f>IF(U938&gt;0,Ruimtestaat[[#This Row],[Prest. (m2 /jaar) werkdagen]]/Ruimtestaat[[#This Row],[Norm (m2/uur) werkdagen]],0)</f>
        <v>0</v>
      </c>
      <c r="X938" s="155">
        <f>Ruimtestaat[[#This Row],[uren / jaar werkdagen]]*Tariefsopbouw!$E$35</f>
        <v>0</v>
      </c>
      <c r="Y938" s="33"/>
      <c r="Z938" s="33">
        <f>IF(Ruimtestaat[[#This Row],[Frequentie weekend]]&gt;0,VALUE(LEFT(Y938,1))*R938,0)</f>
        <v>0</v>
      </c>
      <c r="AA938" s="97">
        <f>IF($Z938&gt;0,VLOOKUP($J938,Ruimtegroepen[],3,FALSE)*VLOOKUP($L938,Vloersoorten[],3,FALSE)*VLOOKUP($Y938,Frequenties[],3,FALSE)*VLOOKUP(Ruimtestaat[[#This Row],[Code]],Locaties[],3,FALSE),0)</f>
        <v>0</v>
      </c>
      <c r="AB938" s="97">
        <f>Ruimtestaat[[#This Row],[Uitvoeringen weekend]]*Ruimtestaat[[#This Row],[Oppervlak (netto)]]</f>
        <v>0</v>
      </c>
      <c r="AC938" s="97">
        <f>IF(AA938&gt;0,Ruimtestaat[[#This Row],[Prest. (m2 /jaar) weekend]]/Ruimtestaat[[#This Row],[Norm (m2/uur) weekend]],0)</f>
        <v>0</v>
      </c>
      <c r="AD938" s="155">
        <f>Ruimtestaat[[#This Row],[uren / jaar weekend]]*Tariefsopbouw!$D$40</f>
        <v>0</v>
      </c>
      <c r="AE938" s="154">
        <f>Ruimtestaat[[#This Row],[Prest. (m2 /jaar) weekend]]+Ruimtestaat[[#This Row],[Prest. (m2 /jaar) werkdagen]]</f>
        <v>3150</v>
      </c>
      <c r="AF938" s="154">
        <f>Ruimtestaat[[#This Row],[uren / jaar weekend]]+Ruimtestaat[[#This Row],[uren / jaar werkdagen]]</f>
        <v>0</v>
      </c>
      <c r="AG938" s="69">
        <f>Ruimtestaat[[#This Row],[kosten / jaar weekend]]+Ruimtestaat[[#This Row],[kosten / jaar werkdagen]]</f>
        <v>0</v>
      </c>
      <c r="AH938" s="69"/>
      <c r="AI938" s="256" t="str">
        <f>IF(Ruimtestaat[[#This Row],[Frequentie werkdagen]]="","",_xlfn.CONCAT(Ruimtestaat[[#This Row],[Ruimte code]],"-",Ruimtestaat[[#This Row],[Frequentie werkdagen]]," ",Ruimtestaat[[#This Row],[Vloer code]]))</f>
        <v>2-3w T</v>
      </c>
      <c r="AJ938" s="300" t="str">
        <f>_xlfn.IFNA(VLOOKUP($AI938,Programma!$F$3:$G$1107,2,0),"")</f>
        <v>2w</v>
      </c>
      <c r="AK938" s="300" t="str">
        <f>_xlfn.IFNA(VLOOKUP($AI938,Programma!$F$3:$H$1107,3,0),"")</f>
        <v>1w</v>
      </c>
      <c r="AL938" s="300" t="str">
        <f>_xlfn.IFNA(VLOOKUP($AI938,Programma!$F$3:$I$1107,4,0),"")</f>
        <v>_</v>
      </c>
      <c r="AM938" s="300" t="str">
        <f>_xlfn.IFNA(VLOOKUP($AI938,Programma!$F$3:$J$1107,5,0),"")</f>
        <v>_</v>
      </c>
      <c r="AN938" s="300" t="str">
        <f>_xlfn.IFNA(VLOOKUP($AI938,Programma!$F$3:$K$1107,6,0),"")</f>
        <v>_</v>
      </c>
      <c r="AO938" s="300" t="str">
        <f>_xlfn.IFNA(VLOOKUP($AI938,Programma!$F$3:$L$1107,7,0),"")</f>
        <v>_</v>
      </c>
      <c r="AP938" s="300" t="str">
        <f>_xlfn.IFNA(VLOOKUP($AI938,Programma!$F$3:$M$1107,8,0),"")</f>
        <v>_</v>
      </c>
      <c r="AQ938" s="300" t="str">
        <f>_xlfn.IFNA(VLOOKUP($AI938,Programma!$F$3:$N$1107,9,0),"")</f>
        <v>_</v>
      </c>
      <c r="AR938" s="300" t="str">
        <f>_xlfn.IFNA(VLOOKUP($AI938,Programma!$F$3:$O$1107,10,0),"")</f>
        <v>3w</v>
      </c>
      <c r="AS938" s="300" t="str">
        <f>_xlfn.IFNA(VLOOKUP($AI938,Programma!$F$3:$P$1107,11,0),"")</f>
        <v>3w</v>
      </c>
      <c r="AT938" s="300" t="str">
        <f>_xlfn.IFNA(VLOOKUP($AI938,Programma!$F$3:$Q$1107,12,0),"")</f>
        <v>1w</v>
      </c>
      <c r="AU938" s="300" t="str">
        <f>_xlfn.IFNA(VLOOKUP($AI938,Programma!$F$3:$R$1107,13,0),"")</f>
        <v>1w</v>
      </c>
      <c r="AV938" s="300" t="str">
        <f>_xlfn.IFNA(VLOOKUP($AI938,Programma!$F$3:$S$1107,14,0),"")</f>
        <v>1m</v>
      </c>
      <c r="AW938" s="300" t="str">
        <f>_xlfn.IFNA(VLOOKUP($AI938,Programma!$F$3:$T$1107,15,0),"")</f>
        <v>2j</v>
      </c>
      <c r="AX938" s="300" t="str">
        <f>_xlfn.IFNA(VLOOKUP($AI938,Programma!$F$3:$U$1107,16,0),"")</f>
        <v>1j</v>
      </c>
      <c r="AY938" s="300" t="str">
        <f>_xlfn.IFNA(VLOOKUP($AI938,Programma!$F$3:$V$1107,17,0),"")</f>
        <v>_</v>
      </c>
      <c r="AZ938" s="300" t="str">
        <f>_xlfn.IFNA(VLOOKUP($AI938,Programma!$F$3:$W$1107,18,0),"")</f>
        <v>_</v>
      </c>
      <c r="BA938" s="300" t="str">
        <f>_xlfn.IFNA(VLOOKUP($AI938,Programma!$F$3:$X$1107,19,0),"")</f>
        <v>_</v>
      </c>
      <c r="BB938" s="300" t="str">
        <f>_xlfn.IFNA(VLOOKUP($AI938,Programma!$F$3:$Y$1107,20,0),"")</f>
        <v>_</v>
      </c>
      <c r="BC938" s="257"/>
      <c r="BD938" s="256" t="str">
        <f>IF(Ruimtestaat[[#This Row],[Frequentie weekend]]="","",_xlfn.CONCAT(Ruimtestaat[[#This Row],[Ruimte code]],"-",Ruimtestaat[[#This Row],[Frequentie weekend]]," ",Ruimtestaat[[#This Row],[Vloer code]]))</f>
        <v/>
      </c>
      <c r="BE938" s="300" t="str">
        <f>_xlfn.IFNA(VLOOKUP($BD938,Programma!$F$3:$G$1107,2,0),"")</f>
        <v/>
      </c>
      <c r="BF938" s="300" t="str">
        <f>_xlfn.IFNA(VLOOKUP($BD938,Programma!$F$3:$H$1107,3,0),"")</f>
        <v/>
      </c>
      <c r="BG938" s="300" t="str">
        <f>_xlfn.IFNA(VLOOKUP($BD938,Programma!$F$3:$I$1107,4,0),"")</f>
        <v/>
      </c>
      <c r="BH938" s="300" t="str">
        <f>_xlfn.IFNA(VLOOKUP($BD938,Programma!$F$3:$J$1107,5,0),"")</f>
        <v/>
      </c>
      <c r="BI938" s="300" t="str">
        <f>_xlfn.IFNA(VLOOKUP($BD938,Programma!$F$3:$K$1107,6,0),"")</f>
        <v/>
      </c>
      <c r="BJ938" s="300" t="str">
        <f>_xlfn.IFNA(VLOOKUP($BD938,Programma!$F$3:$L$1107,7,0),"")</f>
        <v/>
      </c>
      <c r="BK938" s="300" t="str">
        <f>_xlfn.IFNA(VLOOKUP($BD938,Programma!$F$3:$M$1107,8,0),"")</f>
        <v/>
      </c>
      <c r="BL938" s="300" t="str">
        <f>_xlfn.IFNA(VLOOKUP($BD938,Programma!$F$3:$N$1107,9,0),"")</f>
        <v/>
      </c>
      <c r="BM938" s="300" t="str">
        <f>_xlfn.IFNA(VLOOKUP($BD938,Programma!$F$3:$O$1107,10,0),"")</f>
        <v/>
      </c>
      <c r="BN938" s="300" t="str">
        <f>_xlfn.IFNA(VLOOKUP($BD938,Programma!$F$3:$P$1107,11,0),"")</f>
        <v/>
      </c>
      <c r="BO938" s="300" t="str">
        <f>_xlfn.IFNA(VLOOKUP($BD938,Programma!$F$3:$Q$1107,12,0),"")</f>
        <v/>
      </c>
      <c r="BP938" s="300" t="str">
        <f>_xlfn.IFNA(VLOOKUP($BD938,Programma!$F$3:$R$1107,13,0),"")</f>
        <v/>
      </c>
      <c r="BQ938" s="300" t="str">
        <f>_xlfn.IFNA(VLOOKUP($BD938,Programma!$F$3:$S$1107,14,0),"")</f>
        <v/>
      </c>
      <c r="BR938" s="300" t="str">
        <f>_xlfn.IFNA(VLOOKUP($BD938,Programma!$F$3:$T$1107,15,0),"")</f>
        <v/>
      </c>
      <c r="BS938" s="300" t="str">
        <f>_xlfn.IFNA(VLOOKUP($BD938,Programma!$F$3:$U$1107,16,0),"")</f>
        <v/>
      </c>
      <c r="BT938" s="300" t="str">
        <f>_xlfn.IFNA(VLOOKUP($BD938,Programma!$F$3:$V$1107,17,0),"")</f>
        <v/>
      </c>
      <c r="BU938" s="300" t="str">
        <f>_xlfn.IFNA(VLOOKUP($BD938,Programma!$F$3:$W$1107,18,0),"")</f>
        <v/>
      </c>
      <c r="BV938" s="300" t="str">
        <f>_xlfn.IFNA(VLOOKUP($BD938,Programma!$F$3:$X$1107,19,0),"")</f>
        <v/>
      </c>
      <c r="BW938" s="300" t="str">
        <f>_xlfn.IFNA(VLOOKUP($BD938,Programma!$F$3:$Y$1107,20,0),"")</f>
        <v/>
      </c>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c r="GK938" s="4"/>
      <c r="GL938" s="4"/>
      <c r="GM938" s="4"/>
      <c r="GN938" s="4"/>
      <c r="GO938" s="4"/>
      <c r="GP938" s="4"/>
      <c r="GQ938" s="4"/>
      <c r="GR938" s="4"/>
      <c r="GS938" s="4"/>
      <c r="GT938" s="4"/>
      <c r="GU938" s="4"/>
      <c r="GV938" s="4"/>
      <c r="GW938" s="4"/>
      <c r="GX938" s="4"/>
      <c r="GY938" s="4"/>
      <c r="GZ938" s="4"/>
      <c r="HA938" s="4"/>
      <c r="HB938" s="4"/>
      <c r="HC938" s="4"/>
      <c r="HD938" s="4"/>
      <c r="HE938" s="4"/>
      <c r="HF938" s="4"/>
      <c r="HG938" s="4"/>
      <c r="HH938" s="4"/>
      <c r="HI938" s="4"/>
      <c r="HJ938" s="4"/>
      <c r="HK938" s="4"/>
      <c r="HL938" s="4"/>
    </row>
    <row r="939" spans="1:220" ht="15" customHeight="1">
      <c r="A939" s="21">
        <v>10</v>
      </c>
      <c r="B939" s="157" t="str">
        <f>VLOOKUP(Ruimtestaat[[#This Row],[Code]],Locaties[[Code]:[Locatie]],2,FALSE)</f>
        <v>Veurs Voorburg vmbo</v>
      </c>
      <c r="C939" s="157" t="str">
        <f>VLOOKUP(Ruimtestaat[[#This Row],[Code]],Locaties[[#All],[Code]:[Adres]],4,FALSE)</f>
        <v>Delflandlaan 4</v>
      </c>
      <c r="D939" s="157" t="str">
        <f>VLOOKUP(Ruimtestaat[[#This Row],[Code]],Locaties[[#All],[Code]:[Postcode]],5,FALSE)</f>
        <v>2273 CS</v>
      </c>
      <c r="E939" s="157" t="str">
        <f>VLOOKUP(Ruimtestaat[[#This Row],[Code]],Locaties[#All],6,FALSE)</f>
        <v>Voorburg</v>
      </c>
      <c r="F939" s="62"/>
      <c r="G939" s="21" t="s">
        <v>1749</v>
      </c>
      <c r="H939" s="21" t="s">
        <v>2447</v>
      </c>
      <c r="I939" s="62" t="s">
        <v>2448</v>
      </c>
      <c r="J939" s="21">
        <v>14</v>
      </c>
      <c r="K939" s="62" t="str">
        <f>VLOOKUP(Ruimtestaat[[#This Row],[Ruimte code]],Ruimtegroepen[[#All],[Code]:[Ruimte omschrijving]],2,FALSE)</f>
        <v>Praktijklokalen binas/zorg</v>
      </c>
      <c r="L939" s="33" t="s">
        <v>101</v>
      </c>
      <c r="M939" s="367" t="s">
        <v>2506</v>
      </c>
      <c r="N939" s="140">
        <v>55.8</v>
      </c>
      <c r="O939" s="140"/>
      <c r="P939" s="125" t="str">
        <f>VLOOKUP(Ruimtestaat[[#This Row],[Ruimte code]],Ruimtegroepen[],4,FALSE)</f>
        <v>Le</v>
      </c>
      <c r="R939" s="33">
        <v>40</v>
      </c>
      <c r="S939" s="33" t="s">
        <v>2</v>
      </c>
      <c r="T939" s="33">
        <f>IF(R939&gt;0,IF(RIGHT(Ruimtestaat[[#This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39" s="33">
        <f>IF(T939&gt;0,VLOOKUP($J939,Ruimtegroepen[],3,FALSE)*VLOOKUP($L939,Vloersoorten[],3,FALSE)*VLOOKUP($S939,Frequenties[],3,FALSE)*VLOOKUP($A939,Locaties[],3,FALSE),0)</f>
        <v>0</v>
      </c>
      <c r="V939" s="33">
        <f>Ruimtestaat[[#This Row],[Uitvoeringen werkdagen]]*Ruimtestaat[[#This Row],[Oppervlak (netto)]]</f>
        <v>11160</v>
      </c>
      <c r="W939" s="154">
        <f>IF(U939&gt;0,Ruimtestaat[[#This Row],[Prest. (m2 /jaar) werkdagen]]/Ruimtestaat[[#This Row],[Norm (m2/uur) werkdagen]],0)</f>
        <v>0</v>
      </c>
      <c r="X939" s="155">
        <f>Ruimtestaat[[#This Row],[uren / jaar werkdagen]]*Tariefsopbouw!$E$35</f>
        <v>0</v>
      </c>
      <c r="Y939" s="33"/>
      <c r="Z939" s="33">
        <f>IF(Ruimtestaat[[#This Row],[Frequentie weekend]]&gt;0,VALUE(LEFT(Y939,1))*R939,0)</f>
        <v>0</v>
      </c>
      <c r="AA939" s="97">
        <f>IF($Z939&gt;0,VLOOKUP($J939,Ruimtegroepen[],3,FALSE)*VLOOKUP($L939,Vloersoorten[],3,FALSE)*VLOOKUP($Y939,Frequenties[],3,FALSE)*VLOOKUP(Ruimtestaat[[#This Row],[Code]],Locaties[],3,FALSE),0)</f>
        <v>0</v>
      </c>
      <c r="AB939" s="97">
        <f>Ruimtestaat[[#This Row],[Uitvoeringen weekend]]*Ruimtestaat[[#This Row],[Oppervlak (netto)]]</f>
        <v>0</v>
      </c>
      <c r="AC939" s="97">
        <f>IF(AA939&gt;0,Ruimtestaat[[#This Row],[Prest. (m2 /jaar) weekend]]/Ruimtestaat[[#This Row],[Norm (m2/uur) weekend]],0)</f>
        <v>0</v>
      </c>
      <c r="AD939" s="155">
        <f>Ruimtestaat[[#This Row],[uren / jaar weekend]]*Tariefsopbouw!$D$40</f>
        <v>0</v>
      </c>
      <c r="AE939" s="154">
        <f>Ruimtestaat[[#This Row],[Prest. (m2 /jaar) weekend]]+Ruimtestaat[[#This Row],[Prest. (m2 /jaar) werkdagen]]</f>
        <v>11160</v>
      </c>
      <c r="AF939" s="154">
        <f>Ruimtestaat[[#This Row],[uren / jaar weekend]]+Ruimtestaat[[#This Row],[uren / jaar werkdagen]]</f>
        <v>0</v>
      </c>
      <c r="AG939" s="69">
        <f>Ruimtestaat[[#This Row],[kosten / jaar weekend]]+Ruimtestaat[[#This Row],[kosten / jaar werkdagen]]</f>
        <v>0</v>
      </c>
      <c r="AH939" s="69"/>
      <c r="AI939" s="256" t="str">
        <f>IF(Ruimtestaat[[#This Row],[Frequentie werkdagen]]="","",_xlfn.CONCAT(Ruimtestaat[[#This Row],[Ruimte code]],"-",Ruimtestaat[[#This Row],[Frequentie werkdagen]]," ",Ruimtestaat[[#This Row],[Vloer code]]))</f>
        <v>14-5w L</v>
      </c>
      <c r="AJ939" s="300" t="str">
        <f>_xlfn.IFNA(VLOOKUP($AI939,Programma!$F$3:$G$1107,2,0),"")</f>
        <v>_</v>
      </c>
      <c r="AK939" s="300" t="str">
        <f>_xlfn.IFNA(VLOOKUP($AI939,Programma!$F$3:$H$1107,3,0),"")</f>
        <v>_</v>
      </c>
      <c r="AL939" s="300" t="str">
        <f>_xlfn.IFNA(VLOOKUP($AI939,Programma!$F$3:$I$1107,4,0),"")</f>
        <v>_</v>
      </c>
      <c r="AM939" s="300" t="str">
        <f>_xlfn.IFNA(VLOOKUP($AI939,Programma!$F$3:$J$1107,5,0),"")</f>
        <v>5w</v>
      </c>
      <c r="AN939" s="300" t="str">
        <f>_xlfn.IFNA(VLOOKUP($AI939,Programma!$F$3:$K$1107,6,0),"")</f>
        <v>_</v>
      </c>
      <c r="AO939" s="300" t="str">
        <f>_xlfn.IFNA(VLOOKUP($AI939,Programma!$F$3:$L$1107,7,0),"")</f>
        <v>_</v>
      </c>
      <c r="AP939" s="300" t="str">
        <f>_xlfn.IFNA(VLOOKUP($AI939,Programma!$F$3:$M$1107,8,0),"")</f>
        <v>_</v>
      </c>
      <c r="AQ939" s="300" t="str">
        <f>_xlfn.IFNA(VLOOKUP($AI939,Programma!$F$3:$N$1107,9,0),"")</f>
        <v>_</v>
      </c>
      <c r="AR939" s="300" t="str">
        <f>_xlfn.IFNA(VLOOKUP($AI939,Programma!$F$3:$O$1107,10,0),"")</f>
        <v>5w</v>
      </c>
      <c r="AS939" s="300" t="str">
        <f>_xlfn.IFNA(VLOOKUP($AI939,Programma!$F$3:$P$1107,11,0),"")</f>
        <v>5w</v>
      </c>
      <c r="AT939" s="300" t="str">
        <f>_xlfn.IFNA(VLOOKUP($AI939,Programma!$F$3:$Q$1107,12,0),"")</f>
        <v>1w</v>
      </c>
      <c r="AU939" s="300" t="str">
        <f>_xlfn.IFNA(VLOOKUP($AI939,Programma!$F$3:$R$1107,13,0),"")</f>
        <v>1w</v>
      </c>
      <c r="AV939" s="300" t="str">
        <f>_xlfn.IFNA(VLOOKUP($AI939,Programma!$F$3:$S$1107,14,0),"")</f>
        <v>1m</v>
      </c>
      <c r="AW939" s="300" t="str">
        <f>_xlfn.IFNA(VLOOKUP($AI939,Programma!$F$3:$T$1107,15,0),"")</f>
        <v>2j</v>
      </c>
      <c r="AX939" s="300" t="str">
        <f>_xlfn.IFNA(VLOOKUP($AI939,Programma!$F$3:$U$1107,16,0),"")</f>
        <v>1j</v>
      </c>
      <c r="AY939" s="300" t="str">
        <f>_xlfn.IFNA(VLOOKUP($AI939,Programma!$F$3:$V$1107,17,0),"")</f>
        <v>_</v>
      </c>
      <c r="AZ939" s="300" t="str">
        <f>_xlfn.IFNA(VLOOKUP($AI939,Programma!$F$3:$W$1107,18,0),"")</f>
        <v>_</v>
      </c>
      <c r="BA939" s="300" t="str">
        <f>_xlfn.IFNA(VLOOKUP($AI939,Programma!$F$3:$X$1107,19,0),"")</f>
        <v>_</v>
      </c>
      <c r="BB939" s="300" t="str">
        <f>_xlfn.IFNA(VLOOKUP($AI939,Programma!$F$3:$Y$1107,20,0),"")</f>
        <v>_</v>
      </c>
      <c r="BC939" s="257"/>
      <c r="BD939" s="256" t="str">
        <f>IF(Ruimtestaat[[#This Row],[Frequentie weekend]]="","",_xlfn.CONCAT(Ruimtestaat[[#This Row],[Ruimte code]],"-",Ruimtestaat[[#This Row],[Frequentie weekend]]," ",Ruimtestaat[[#This Row],[Vloer code]]))</f>
        <v/>
      </c>
      <c r="BE939" s="300" t="str">
        <f>_xlfn.IFNA(VLOOKUP($BD939,Programma!$F$3:$G$1107,2,0),"")</f>
        <v/>
      </c>
      <c r="BF939" s="300" t="str">
        <f>_xlfn.IFNA(VLOOKUP($BD939,Programma!$F$3:$H$1107,3,0),"")</f>
        <v/>
      </c>
      <c r="BG939" s="300" t="str">
        <f>_xlfn.IFNA(VLOOKUP($BD939,Programma!$F$3:$I$1107,4,0),"")</f>
        <v/>
      </c>
      <c r="BH939" s="300" t="str">
        <f>_xlfn.IFNA(VLOOKUP($BD939,Programma!$F$3:$J$1107,5,0),"")</f>
        <v/>
      </c>
      <c r="BI939" s="300" t="str">
        <f>_xlfn.IFNA(VLOOKUP($BD939,Programma!$F$3:$K$1107,6,0),"")</f>
        <v/>
      </c>
      <c r="BJ939" s="300" t="str">
        <f>_xlfn.IFNA(VLOOKUP($BD939,Programma!$F$3:$L$1107,7,0),"")</f>
        <v/>
      </c>
      <c r="BK939" s="300" t="str">
        <f>_xlfn.IFNA(VLOOKUP($BD939,Programma!$F$3:$M$1107,8,0),"")</f>
        <v/>
      </c>
      <c r="BL939" s="300" t="str">
        <f>_xlfn.IFNA(VLOOKUP($BD939,Programma!$F$3:$N$1107,9,0),"")</f>
        <v/>
      </c>
      <c r="BM939" s="300" t="str">
        <f>_xlfn.IFNA(VLOOKUP($BD939,Programma!$F$3:$O$1107,10,0),"")</f>
        <v/>
      </c>
      <c r="BN939" s="300" t="str">
        <f>_xlfn.IFNA(VLOOKUP($BD939,Programma!$F$3:$P$1107,11,0),"")</f>
        <v/>
      </c>
      <c r="BO939" s="300" t="str">
        <f>_xlfn.IFNA(VLOOKUP($BD939,Programma!$F$3:$Q$1107,12,0),"")</f>
        <v/>
      </c>
      <c r="BP939" s="300" t="str">
        <f>_xlfn.IFNA(VLOOKUP($BD939,Programma!$F$3:$R$1107,13,0),"")</f>
        <v/>
      </c>
      <c r="BQ939" s="300" t="str">
        <f>_xlfn.IFNA(VLOOKUP($BD939,Programma!$F$3:$S$1107,14,0),"")</f>
        <v/>
      </c>
      <c r="BR939" s="300" t="str">
        <f>_xlfn.IFNA(VLOOKUP($BD939,Programma!$F$3:$T$1107,15,0),"")</f>
        <v/>
      </c>
      <c r="BS939" s="300" t="str">
        <f>_xlfn.IFNA(VLOOKUP($BD939,Programma!$F$3:$U$1107,16,0),"")</f>
        <v/>
      </c>
      <c r="BT939" s="300" t="str">
        <f>_xlfn.IFNA(VLOOKUP($BD939,Programma!$F$3:$V$1107,17,0),"")</f>
        <v/>
      </c>
      <c r="BU939" s="300" t="str">
        <f>_xlfn.IFNA(VLOOKUP($BD939,Programma!$F$3:$W$1107,18,0),"")</f>
        <v/>
      </c>
      <c r="BV939" s="300" t="str">
        <f>_xlfn.IFNA(VLOOKUP($BD939,Programma!$F$3:$X$1107,19,0),"")</f>
        <v/>
      </c>
      <c r="BW939" s="300" t="str">
        <f>_xlfn.IFNA(VLOOKUP($BD939,Programma!$F$3:$Y$1107,20,0),"")</f>
        <v/>
      </c>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c r="DE939" s="4"/>
      <c r="DF939" s="4"/>
      <c r="DG939" s="4"/>
      <c r="DH939" s="4"/>
      <c r="DI939" s="4"/>
      <c r="DJ939" s="4"/>
      <c r="DK939" s="4"/>
      <c r="DL939" s="4"/>
      <c r="DM939" s="4"/>
      <c r="DN939" s="4"/>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4"/>
      <c r="EO939" s="4"/>
      <c r="EP939" s="4"/>
      <c r="EQ939" s="4"/>
      <c r="ER939" s="4"/>
      <c r="ES939" s="4"/>
      <c r="ET939" s="4"/>
      <c r="EU939" s="4"/>
      <c r="EV939" s="4"/>
      <c r="EW939" s="4"/>
      <c r="EX939" s="4"/>
      <c r="EY939" s="4"/>
      <c r="EZ939" s="4"/>
      <c r="FA939" s="4"/>
      <c r="FB939" s="4"/>
      <c r="FC939" s="4"/>
      <c r="FD939" s="4"/>
      <c r="FE939" s="4"/>
      <c r="FF939" s="4"/>
      <c r="FG939" s="4"/>
      <c r="FH939" s="4"/>
      <c r="FI939" s="4"/>
      <c r="FJ939" s="4"/>
      <c r="FK939" s="4"/>
      <c r="FL939" s="4"/>
      <c r="FM939" s="4"/>
      <c r="FN939" s="4"/>
      <c r="FO939" s="4"/>
      <c r="FP939" s="4"/>
      <c r="FQ939" s="4"/>
      <c r="FR939" s="4"/>
      <c r="FS939" s="4"/>
      <c r="FT939" s="4"/>
      <c r="FU939" s="4"/>
      <c r="FV939" s="4"/>
      <c r="FW939" s="4"/>
      <c r="FX939" s="4"/>
      <c r="FY939" s="4"/>
      <c r="FZ939" s="4"/>
      <c r="GA939" s="4"/>
      <c r="GB939" s="4"/>
      <c r="GC939" s="4"/>
      <c r="GD939" s="4"/>
      <c r="GE939" s="4"/>
      <c r="GF939" s="4"/>
      <c r="GG939" s="4"/>
      <c r="GH939" s="4"/>
      <c r="GI939" s="4"/>
      <c r="GJ939" s="4"/>
      <c r="GK939" s="4"/>
      <c r="GL939" s="4"/>
      <c r="GM939" s="4"/>
      <c r="GN939" s="4"/>
      <c r="GO939" s="4"/>
      <c r="GP939" s="4"/>
      <c r="GQ939" s="4"/>
      <c r="GR939" s="4"/>
      <c r="GS939" s="4"/>
      <c r="GT939" s="4"/>
      <c r="GU939" s="4"/>
      <c r="GV939" s="4"/>
      <c r="GW939" s="4"/>
      <c r="GX939" s="4"/>
      <c r="GY939" s="4"/>
      <c r="GZ939" s="4"/>
      <c r="HA939" s="4"/>
      <c r="HB939" s="4"/>
      <c r="HC939" s="4"/>
      <c r="HD939" s="4"/>
      <c r="HE939" s="4"/>
      <c r="HF939" s="4"/>
      <c r="HG939" s="4"/>
      <c r="HH939" s="4"/>
      <c r="HI939" s="4"/>
      <c r="HJ939" s="4"/>
      <c r="HK939" s="4"/>
      <c r="HL939" s="4"/>
    </row>
    <row r="940" spans="1:220" ht="15" customHeight="1">
      <c r="A940" s="21">
        <v>10</v>
      </c>
      <c r="B940" s="157" t="str">
        <f>VLOOKUP(Ruimtestaat[[#This Row],[Code]],Locaties[[Code]:[Locatie]],2,FALSE)</f>
        <v>Veurs Voorburg vmbo</v>
      </c>
      <c r="C940" s="157" t="str">
        <f>VLOOKUP(Ruimtestaat[[#This Row],[Code]],Locaties[[#All],[Code]:[Adres]],4,FALSE)</f>
        <v>Delflandlaan 4</v>
      </c>
      <c r="D940" s="157" t="str">
        <f>VLOOKUP(Ruimtestaat[[#This Row],[Code]],Locaties[[#All],[Code]:[Postcode]],5,FALSE)</f>
        <v>2273 CS</v>
      </c>
      <c r="E940" s="157" t="str">
        <f>VLOOKUP(Ruimtestaat[[#This Row],[Code]],Locaties[#All],6,FALSE)</f>
        <v>Voorburg</v>
      </c>
      <c r="F940" s="62"/>
      <c r="G940" s="21" t="s">
        <v>1749</v>
      </c>
      <c r="H940" s="21" t="s">
        <v>2449</v>
      </c>
      <c r="I940" s="62" t="s">
        <v>2450</v>
      </c>
      <c r="J940" s="21">
        <v>20</v>
      </c>
      <c r="K940" s="62" t="str">
        <f>VLOOKUP(Ruimtestaat[[#This Row],[Ruimte code]],Ruimtegroepen[[#All],[Code]:[Ruimte omschrijving]],2,FALSE)</f>
        <v>Niet in Onderhoud</v>
      </c>
      <c r="L940" s="33" t="s">
        <v>101</v>
      </c>
      <c r="M940" s="367" t="s">
        <v>2506</v>
      </c>
      <c r="N940" s="140"/>
      <c r="O940" s="140">
        <v>14.5</v>
      </c>
      <c r="P940" s="125">
        <f>VLOOKUP(Ruimtestaat[[#This Row],[Ruimte code]],Ruimtegroepen[],4,FALSE)</f>
        <v>0</v>
      </c>
      <c r="R940" s="33"/>
      <c r="S940" s="33"/>
      <c r="T940" s="33">
        <f>IF(R940&gt;0,IF(RIGHT(Ruimtestaat[[#This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40" s="33">
        <f>IF(T940&gt;0,VLOOKUP($J940,Ruimtegroepen[],3,FALSE)*VLOOKUP($L940,Vloersoorten[],3,FALSE)*VLOOKUP($S940,Frequenties[],3,FALSE)*VLOOKUP($A940,Locaties[],3,FALSE),0)</f>
        <v>0</v>
      </c>
      <c r="V940" s="33">
        <f>Ruimtestaat[[#This Row],[Uitvoeringen werkdagen]]*Ruimtestaat[[#This Row],[Oppervlak (netto)]]</f>
        <v>0</v>
      </c>
      <c r="W940" s="154">
        <f>IF(U940&gt;0,Ruimtestaat[[#This Row],[Prest. (m2 /jaar) werkdagen]]/Ruimtestaat[[#This Row],[Norm (m2/uur) werkdagen]],0)</f>
        <v>0</v>
      </c>
      <c r="X940" s="155">
        <f>Ruimtestaat[[#This Row],[uren / jaar werkdagen]]*Tariefsopbouw!$E$35</f>
        <v>0</v>
      </c>
      <c r="Y940" s="33"/>
      <c r="Z940" s="33">
        <f>IF(Ruimtestaat[[#This Row],[Frequentie weekend]]&gt;0,VALUE(LEFT(Y940,1))*R940,0)</f>
        <v>0</v>
      </c>
      <c r="AA940" s="97">
        <f>IF($Z940&gt;0,VLOOKUP($J940,Ruimtegroepen[],3,FALSE)*VLOOKUP($L940,Vloersoorten[],3,FALSE)*VLOOKUP($Y940,Frequenties[],3,FALSE)*VLOOKUP(Ruimtestaat[[#This Row],[Code]],Locaties[],3,FALSE),0)</f>
        <v>0</v>
      </c>
      <c r="AB940" s="97">
        <f>Ruimtestaat[[#This Row],[Uitvoeringen weekend]]*Ruimtestaat[[#This Row],[Oppervlak (netto)]]</f>
        <v>0</v>
      </c>
      <c r="AC940" s="97">
        <f>IF(AA940&gt;0,Ruimtestaat[[#This Row],[Prest. (m2 /jaar) weekend]]/Ruimtestaat[[#This Row],[Norm (m2/uur) weekend]],0)</f>
        <v>0</v>
      </c>
      <c r="AD940" s="155">
        <f>Ruimtestaat[[#This Row],[uren / jaar weekend]]*Tariefsopbouw!$D$40</f>
        <v>0</v>
      </c>
      <c r="AE940" s="154">
        <f>Ruimtestaat[[#This Row],[Prest. (m2 /jaar) weekend]]+Ruimtestaat[[#This Row],[Prest. (m2 /jaar) werkdagen]]</f>
        <v>0</v>
      </c>
      <c r="AF940" s="154">
        <f>Ruimtestaat[[#This Row],[uren / jaar weekend]]+Ruimtestaat[[#This Row],[uren / jaar werkdagen]]</f>
        <v>0</v>
      </c>
      <c r="AG940" s="69">
        <f>Ruimtestaat[[#This Row],[kosten / jaar weekend]]+Ruimtestaat[[#This Row],[kosten / jaar werkdagen]]</f>
        <v>0</v>
      </c>
      <c r="AH940" s="69"/>
      <c r="AI940" s="256" t="str">
        <f>IF(Ruimtestaat[[#This Row],[Frequentie werkdagen]]="","",_xlfn.CONCAT(Ruimtestaat[[#This Row],[Ruimte code]],"-",Ruimtestaat[[#This Row],[Frequentie werkdagen]]," ",Ruimtestaat[[#This Row],[Vloer code]]))</f>
        <v/>
      </c>
      <c r="AJ940" s="300" t="str">
        <f>_xlfn.IFNA(VLOOKUP($AI940,Programma!$F$3:$G$1107,2,0),"")</f>
        <v/>
      </c>
      <c r="AK940" s="300" t="str">
        <f>_xlfn.IFNA(VLOOKUP($AI940,Programma!$F$3:$H$1107,3,0),"")</f>
        <v/>
      </c>
      <c r="AL940" s="300" t="str">
        <f>_xlfn.IFNA(VLOOKUP($AI940,Programma!$F$3:$I$1107,4,0),"")</f>
        <v/>
      </c>
      <c r="AM940" s="300" t="str">
        <f>_xlfn.IFNA(VLOOKUP($AI940,Programma!$F$3:$J$1107,5,0),"")</f>
        <v/>
      </c>
      <c r="AN940" s="300" t="str">
        <f>_xlfn.IFNA(VLOOKUP($AI940,Programma!$F$3:$K$1107,6,0),"")</f>
        <v/>
      </c>
      <c r="AO940" s="300" t="str">
        <f>_xlfn.IFNA(VLOOKUP($AI940,Programma!$F$3:$L$1107,7,0),"")</f>
        <v/>
      </c>
      <c r="AP940" s="300" t="str">
        <f>_xlfn.IFNA(VLOOKUP($AI940,Programma!$F$3:$M$1107,8,0),"")</f>
        <v/>
      </c>
      <c r="AQ940" s="300" t="str">
        <f>_xlfn.IFNA(VLOOKUP($AI940,Programma!$F$3:$N$1107,9,0),"")</f>
        <v/>
      </c>
      <c r="AR940" s="300" t="str">
        <f>_xlfn.IFNA(VLOOKUP($AI940,Programma!$F$3:$O$1107,10,0),"")</f>
        <v/>
      </c>
      <c r="AS940" s="300" t="str">
        <f>_xlfn.IFNA(VLOOKUP($AI940,Programma!$F$3:$P$1107,11,0),"")</f>
        <v/>
      </c>
      <c r="AT940" s="300" t="str">
        <f>_xlfn.IFNA(VLOOKUP($AI940,Programma!$F$3:$Q$1107,12,0),"")</f>
        <v/>
      </c>
      <c r="AU940" s="300" t="str">
        <f>_xlfn.IFNA(VLOOKUP($AI940,Programma!$F$3:$R$1107,13,0),"")</f>
        <v/>
      </c>
      <c r="AV940" s="300" t="str">
        <f>_xlfn.IFNA(VLOOKUP($AI940,Programma!$F$3:$S$1107,14,0),"")</f>
        <v/>
      </c>
      <c r="AW940" s="300" t="str">
        <f>_xlfn.IFNA(VLOOKUP($AI940,Programma!$F$3:$T$1107,15,0),"")</f>
        <v/>
      </c>
      <c r="AX940" s="300" t="str">
        <f>_xlfn.IFNA(VLOOKUP($AI940,Programma!$F$3:$U$1107,16,0),"")</f>
        <v/>
      </c>
      <c r="AY940" s="300" t="str">
        <f>_xlfn.IFNA(VLOOKUP($AI940,Programma!$F$3:$V$1107,17,0),"")</f>
        <v/>
      </c>
      <c r="AZ940" s="300" t="str">
        <f>_xlfn.IFNA(VLOOKUP($AI940,Programma!$F$3:$W$1107,18,0),"")</f>
        <v/>
      </c>
      <c r="BA940" s="300" t="str">
        <f>_xlfn.IFNA(VLOOKUP($AI940,Programma!$F$3:$X$1107,19,0),"")</f>
        <v/>
      </c>
      <c r="BB940" s="300" t="str">
        <f>_xlfn.IFNA(VLOOKUP($AI940,Programma!$F$3:$Y$1107,20,0),"")</f>
        <v/>
      </c>
      <c r="BC940" s="257"/>
      <c r="BD940" s="256" t="str">
        <f>IF(Ruimtestaat[[#This Row],[Frequentie weekend]]="","",_xlfn.CONCAT(Ruimtestaat[[#This Row],[Ruimte code]],"-",Ruimtestaat[[#This Row],[Frequentie weekend]]," ",Ruimtestaat[[#This Row],[Vloer code]]))</f>
        <v/>
      </c>
      <c r="BE940" s="300" t="str">
        <f>_xlfn.IFNA(VLOOKUP($BD940,Programma!$F$3:$G$1107,2,0),"")</f>
        <v/>
      </c>
      <c r="BF940" s="300" t="str">
        <f>_xlfn.IFNA(VLOOKUP($BD940,Programma!$F$3:$H$1107,3,0),"")</f>
        <v/>
      </c>
      <c r="BG940" s="300" t="str">
        <f>_xlfn.IFNA(VLOOKUP($BD940,Programma!$F$3:$I$1107,4,0),"")</f>
        <v/>
      </c>
      <c r="BH940" s="300" t="str">
        <f>_xlfn.IFNA(VLOOKUP($BD940,Programma!$F$3:$J$1107,5,0),"")</f>
        <v/>
      </c>
      <c r="BI940" s="300" t="str">
        <f>_xlfn.IFNA(VLOOKUP($BD940,Programma!$F$3:$K$1107,6,0),"")</f>
        <v/>
      </c>
      <c r="BJ940" s="300" t="str">
        <f>_xlfn.IFNA(VLOOKUP($BD940,Programma!$F$3:$L$1107,7,0),"")</f>
        <v/>
      </c>
      <c r="BK940" s="300" t="str">
        <f>_xlfn.IFNA(VLOOKUP($BD940,Programma!$F$3:$M$1107,8,0),"")</f>
        <v/>
      </c>
      <c r="BL940" s="300" t="str">
        <f>_xlfn.IFNA(VLOOKUP($BD940,Programma!$F$3:$N$1107,9,0),"")</f>
        <v/>
      </c>
      <c r="BM940" s="300" t="str">
        <f>_xlfn.IFNA(VLOOKUP($BD940,Programma!$F$3:$O$1107,10,0),"")</f>
        <v/>
      </c>
      <c r="BN940" s="300" t="str">
        <f>_xlfn.IFNA(VLOOKUP($BD940,Programma!$F$3:$P$1107,11,0),"")</f>
        <v/>
      </c>
      <c r="BO940" s="300" t="str">
        <f>_xlfn.IFNA(VLOOKUP($BD940,Programma!$F$3:$Q$1107,12,0),"")</f>
        <v/>
      </c>
      <c r="BP940" s="300" t="str">
        <f>_xlfn.IFNA(VLOOKUP($BD940,Programma!$F$3:$R$1107,13,0),"")</f>
        <v/>
      </c>
      <c r="BQ940" s="300" t="str">
        <f>_xlfn.IFNA(VLOOKUP($BD940,Programma!$F$3:$S$1107,14,0),"")</f>
        <v/>
      </c>
      <c r="BR940" s="300" t="str">
        <f>_xlfn.IFNA(VLOOKUP($BD940,Programma!$F$3:$T$1107,15,0),"")</f>
        <v/>
      </c>
      <c r="BS940" s="300" t="str">
        <f>_xlfn.IFNA(VLOOKUP($BD940,Programma!$F$3:$U$1107,16,0),"")</f>
        <v/>
      </c>
      <c r="BT940" s="300" t="str">
        <f>_xlfn.IFNA(VLOOKUP($BD940,Programma!$F$3:$V$1107,17,0),"")</f>
        <v/>
      </c>
      <c r="BU940" s="300" t="str">
        <f>_xlfn.IFNA(VLOOKUP($BD940,Programma!$F$3:$W$1107,18,0),"")</f>
        <v/>
      </c>
      <c r="BV940" s="300" t="str">
        <f>_xlfn.IFNA(VLOOKUP($BD940,Programma!$F$3:$X$1107,19,0),"")</f>
        <v/>
      </c>
      <c r="BW940" s="300" t="str">
        <f>_xlfn.IFNA(VLOOKUP($BD940,Programma!$F$3:$Y$1107,20,0),"")</f>
        <v/>
      </c>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c r="DE940" s="4"/>
      <c r="DF940" s="4"/>
      <c r="DG940" s="4"/>
      <c r="DH940" s="4"/>
      <c r="DI940" s="4"/>
      <c r="DJ940" s="4"/>
      <c r="DK940" s="4"/>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4"/>
      <c r="EO940" s="4"/>
      <c r="EP940" s="4"/>
      <c r="EQ940" s="4"/>
      <c r="ER940" s="4"/>
      <c r="ES940" s="4"/>
      <c r="ET940" s="4"/>
      <c r="EU940" s="4"/>
      <c r="EV940" s="4"/>
      <c r="EW940" s="4"/>
      <c r="EX940" s="4"/>
      <c r="EY940" s="4"/>
      <c r="EZ940" s="4"/>
      <c r="FA940" s="4"/>
      <c r="FB940" s="4"/>
      <c r="FC940" s="4"/>
      <c r="FD940" s="4"/>
      <c r="FE940" s="4"/>
      <c r="FF940" s="4"/>
      <c r="FG940" s="4"/>
      <c r="FH940" s="4"/>
      <c r="FI940" s="4"/>
      <c r="FJ940" s="4"/>
      <c r="FK940" s="4"/>
      <c r="FL940" s="4"/>
      <c r="FM940" s="4"/>
      <c r="FN940" s="4"/>
      <c r="FO940" s="4"/>
      <c r="FP940" s="4"/>
      <c r="FQ940" s="4"/>
      <c r="FR940" s="4"/>
      <c r="FS940" s="4"/>
      <c r="FT940" s="4"/>
      <c r="FU940" s="4"/>
      <c r="FV940" s="4"/>
      <c r="FW940" s="4"/>
      <c r="FX940" s="4"/>
      <c r="FY940" s="4"/>
      <c r="FZ940" s="4"/>
      <c r="GA940" s="4"/>
      <c r="GB940" s="4"/>
      <c r="GC940" s="4"/>
      <c r="GD940" s="4"/>
      <c r="GE940" s="4"/>
      <c r="GF940" s="4"/>
      <c r="GG940" s="4"/>
      <c r="GH940" s="4"/>
      <c r="GI940" s="4"/>
      <c r="GJ940" s="4"/>
      <c r="GK940" s="4"/>
      <c r="GL940" s="4"/>
      <c r="GM940" s="4"/>
      <c r="GN940" s="4"/>
      <c r="GO940" s="4"/>
      <c r="GP940" s="4"/>
      <c r="GQ940" s="4"/>
      <c r="GR940" s="4"/>
      <c r="GS940" s="4"/>
      <c r="GT940" s="4"/>
      <c r="GU940" s="4"/>
      <c r="GV940" s="4"/>
      <c r="GW940" s="4"/>
      <c r="GX940" s="4"/>
      <c r="GY940" s="4"/>
      <c r="GZ940" s="4"/>
      <c r="HA940" s="4"/>
      <c r="HB940" s="4"/>
      <c r="HC940" s="4"/>
      <c r="HD940" s="4"/>
      <c r="HE940" s="4"/>
      <c r="HF940" s="4"/>
      <c r="HG940" s="4"/>
      <c r="HH940" s="4"/>
      <c r="HI940" s="4"/>
      <c r="HJ940" s="4"/>
      <c r="HK940" s="4"/>
      <c r="HL940" s="4"/>
    </row>
    <row r="941" spans="1:220" ht="15" customHeight="1">
      <c r="A941" s="21">
        <v>10</v>
      </c>
      <c r="B941" s="157" t="str">
        <f>VLOOKUP(Ruimtestaat[[#This Row],[Code]],Locaties[[Code]:[Locatie]],2,FALSE)</f>
        <v>Veurs Voorburg vmbo</v>
      </c>
      <c r="C941" s="157" t="str">
        <f>VLOOKUP(Ruimtestaat[[#This Row],[Code]],Locaties[[#All],[Code]:[Adres]],4,FALSE)</f>
        <v>Delflandlaan 4</v>
      </c>
      <c r="D941" s="157" t="str">
        <f>VLOOKUP(Ruimtestaat[[#This Row],[Code]],Locaties[[#All],[Code]:[Postcode]],5,FALSE)</f>
        <v>2273 CS</v>
      </c>
      <c r="E941" s="157" t="str">
        <f>VLOOKUP(Ruimtestaat[[#This Row],[Code]],Locaties[#All],6,FALSE)</f>
        <v>Voorburg</v>
      </c>
      <c r="F941" s="62"/>
      <c r="G941" s="21" t="s">
        <v>1749</v>
      </c>
      <c r="H941" s="21" t="s">
        <v>2451</v>
      </c>
      <c r="I941" s="62" t="s">
        <v>2452</v>
      </c>
      <c r="J941" s="21">
        <v>16</v>
      </c>
      <c r="K941" s="62" t="str">
        <f>VLOOKUP(Ruimtestaat[[#This Row],[Ruimte code]],Ruimtegroepen[[#All],[Code]:[Ruimte omschrijving]],2,FALSE)</f>
        <v>Leslokalen theorie</v>
      </c>
      <c r="L941" s="33" t="s">
        <v>101</v>
      </c>
      <c r="M941" s="367" t="s">
        <v>2506</v>
      </c>
      <c r="N941" s="140">
        <v>67.900000000000006</v>
      </c>
      <c r="O941" s="140"/>
      <c r="P941" s="125" t="str">
        <f>VLOOKUP(Ruimtestaat[[#This Row],[Ruimte code]],Ruimtegroepen[],4,FALSE)</f>
        <v>Le</v>
      </c>
      <c r="R941" s="33">
        <v>40</v>
      </c>
      <c r="S941" s="33" t="s">
        <v>2</v>
      </c>
      <c r="T941" s="33">
        <f>IF(R941&gt;0,IF(RIGHT(Ruimtestaat[[#This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41" s="33">
        <f>IF(T941&gt;0,VLOOKUP($J941,Ruimtegroepen[],3,FALSE)*VLOOKUP($L941,Vloersoorten[],3,FALSE)*VLOOKUP($S941,Frequenties[],3,FALSE)*VLOOKUP($A941,Locaties[],3,FALSE),0)</f>
        <v>0</v>
      </c>
      <c r="V941" s="33">
        <f>Ruimtestaat[[#This Row],[Uitvoeringen werkdagen]]*Ruimtestaat[[#This Row],[Oppervlak (netto)]]</f>
        <v>13580.000000000002</v>
      </c>
      <c r="W941" s="154">
        <f>IF(U941&gt;0,Ruimtestaat[[#This Row],[Prest. (m2 /jaar) werkdagen]]/Ruimtestaat[[#This Row],[Norm (m2/uur) werkdagen]],0)</f>
        <v>0</v>
      </c>
      <c r="X941" s="155">
        <f>Ruimtestaat[[#This Row],[uren / jaar werkdagen]]*Tariefsopbouw!$E$35</f>
        <v>0</v>
      </c>
      <c r="Y941" s="33"/>
      <c r="Z941" s="33">
        <f>IF(Ruimtestaat[[#This Row],[Frequentie weekend]]&gt;0,VALUE(LEFT(Y941,1))*R941,0)</f>
        <v>0</v>
      </c>
      <c r="AA941" s="97">
        <f>IF($Z941&gt;0,VLOOKUP($J941,Ruimtegroepen[],3,FALSE)*VLOOKUP($L941,Vloersoorten[],3,FALSE)*VLOOKUP($Y941,Frequenties[],3,FALSE)*VLOOKUP(Ruimtestaat[[#This Row],[Code]],Locaties[],3,FALSE),0)</f>
        <v>0</v>
      </c>
      <c r="AB941" s="97">
        <f>Ruimtestaat[[#This Row],[Uitvoeringen weekend]]*Ruimtestaat[[#This Row],[Oppervlak (netto)]]</f>
        <v>0</v>
      </c>
      <c r="AC941" s="97">
        <f>IF(AA941&gt;0,Ruimtestaat[[#This Row],[Prest. (m2 /jaar) weekend]]/Ruimtestaat[[#This Row],[Norm (m2/uur) weekend]],0)</f>
        <v>0</v>
      </c>
      <c r="AD941" s="155">
        <f>Ruimtestaat[[#This Row],[uren / jaar weekend]]*Tariefsopbouw!$D$40</f>
        <v>0</v>
      </c>
      <c r="AE941" s="154">
        <f>Ruimtestaat[[#This Row],[Prest. (m2 /jaar) weekend]]+Ruimtestaat[[#This Row],[Prest. (m2 /jaar) werkdagen]]</f>
        <v>13580.000000000002</v>
      </c>
      <c r="AF941" s="154">
        <f>Ruimtestaat[[#This Row],[uren / jaar weekend]]+Ruimtestaat[[#This Row],[uren / jaar werkdagen]]</f>
        <v>0</v>
      </c>
      <c r="AG941" s="69">
        <f>Ruimtestaat[[#This Row],[kosten / jaar weekend]]+Ruimtestaat[[#This Row],[kosten / jaar werkdagen]]</f>
        <v>0</v>
      </c>
      <c r="AH941" s="69"/>
      <c r="AI941" s="256" t="str">
        <f>IF(Ruimtestaat[[#This Row],[Frequentie werkdagen]]="","",_xlfn.CONCAT(Ruimtestaat[[#This Row],[Ruimte code]],"-",Ruimtestaat[[#This Row],[Frequentie werkdagen]]," ",Ruimtestaat[[#This Row],[Vloer code]]))</f>
        <v>16-5w L</v>
      </c>
      <c r="AJ941" s="300" t="str">
        <f>_xlfn.IFNA(VLOOKUP($AI941,Programma!$F$3:$G$1107,2,0),"")</f>
        <v>_</v>
      </c>
      <c r="AK941" s="300" t="str">
        <f>_xlfn.IFNA(VLOOKUP($AI941,Programma!$F$3:$H$1107,3,0),"")</f>
        <v>_</v>
      </c>
      <c r="AL941" s="300" t="str">
        <f>_xlfn.IFNA(VLOOKUP($AI941,Programma!$F$3:$I$1107,4,0),"")</f>
        <v>4w</v>
      </c>
      <c r="AM941" s="300" t="str">
        <f>_xlfn.IFNA(VLOOKUP($AI941,Programma!$F$3:$J$1107,5,0),"")</f>
        <v>1w</v>
      </c>
      <c r="AN941" s="300" t="str">
        <f>_xlfn.IFNA(VLOOKUP($AI941,Programma!$F$3:$K$1107,6,0),"")</f>
        <v>_</v>
      </c>
      <c r="AO941" s="300" t="str">
        <f>_xlfn.IFNA(VLOOKUP($AI941,Programma!$F$3:$L$1107,7,0),"")</f>
        <v>_</v>
      </c>
      <c r="AP941" s="300" t="str">
        <f>_xlfn.IFNA(VLOOKUP($AI941,Programma!$F$3:$M$1107,8,0),"")</f>
        <v>_</v>
      </c>
      <c r="AQ941" s="300" t="str">
        <f>_xlfn.IFNA(VLOOKUP($AI941,Programma!$F$3:$N$1107,9,0),"")</f>
        <v>_</v>
      </c>
      <c r="AR941" s="300" t="str">
        <f>_xlfn.IFNA(VLOOKUP($AI941,Programma!$F$3:$O$1107,10,0),"")</f>
        <v>5w</v>
      </c>
      <c r="AS941" s="300" t="str">
        <f>_xlfn.IFNA(VLOOKUP($AI941,Programma!$F$3:$P$1107,11,0),"")</f>
        <v>5w</v>
      </c>
      <c r="AT941" s="300" t="str">
        <f>_xlfn.IFNA(VLOOKUP($AI941,Programma!$F$3:$Q$1107,12,0),"")</f>
        <v>1w</v>
      </c>
      <c r="AU941" s="300" t="str">
        <f>_xlfn.IFNA(VLOOKUP($AI941,Programma!$F$3:$R$1107,13,0),"")</f>
        <v>1w</v>
      </c>
      <c r="AV941" s="300" t="str">
        <f>_xlfn.IFNA(VLOOKUP($AI941,Programma!$F$3:$S$1107,14,0),"")</f>
        <v>1m</v>
      </c>
      <c r="AW941" s="300" t="str">
        <f>_xlfn.IFNA(VLOOKUP($AI941,Programma!$F$3:$T$1107,15,0),"")</f>
        <v>2j</v>
      </c>
      <c r="AX941" s="300" t="str">
        <f>_xlfn.IFNA(VLOOKUP($AI941,Programma!$F$3:$U$1107,16,0),"")</f>
        <v>1j</v>
      </c>
      <c r="AY941" s="300" t="str">
        <f>_xlfn.IFNA(VLOOKUP($AI941,Programma!$F$3:$V$1107,17,0),"")</f>
        <v>_</v>
      </c>
      <c r="AZ941" s="300" t="str">
        <f>_xlfn.IFNA(VLOOKUP($AI941,Programma!$F$3:$W$1107,18,0),"")</f>
        <v>_</v>
      </c>
      <c r="BA941" s="300" t="str">
        <f>_xlfn.IFNA(VLOOKUP($AI941,Programma!$F$3:$X$1107,19,0),"")</f>
        <v>_</v>
      </c>
      <c r="BB941" s="300" t="str">
        <f>_xlfn.IFNA(VLOOKUP($AI941,Programma!$F$3:$Y$1107,20,0),"")</f>
        <v>_</v>
      </c>
      <c r="BC941" s="257"/>
      <c r="BD941" s="256" t="str">
        <f>IF(Ruimtestaat[[#This Row],[Frequentie weekend]]="","",_xlfn.CONCAT(Ruimtestaat[[#This Row],[Ruimte code]],"-",Ruimtestaat[[#This Row],[Frequentie weekend]]," ",Ruimtestaat[[#This Row],[Vloer code]]))</f>
        <v/>
      </c>
      <c r="BE941" s="300" t="str">
        <f>_xlfn.IFNA(VLOOKUP($BD941,Programma!$F$3:$G$1107,2,0),"")</f>
        <v/>
      </c>
      <c r="BF941" s="300" t="str">
        <f>_xlfn.IFNA(VLOOKUP($BD941,Programma!$F$3:$H$1107,3,0),"")</f>
        <v/>
      </c>
      <c r="BG941" s="300" t="str">
        <f>_xlfn.IFNA(VLOOKUP($BD941,Programma!$F$3:$I$1107,4,0),"")</f>
        <v/>
      </c>
      <c r="BH941" s="300" t="str">
        <f>_xlfn.IFNA(VLOOKUP($BD941,Programma!$F$3:$J$1107,5,0),"")</f>
        <v/>
      </c>
      <c r="BI941" s="300" t="str">
        <f>_xlfn.IFNA(VLOOKUP($BD941,Programma!$F$3:$K$1107,6,0),"")</f>
        <v/>
      </c>
      <c r="BJ941" s="300" t="str">
        <f>_xlfn.IFNA(VLOOKUP($BD941,Programma!$F$3:$L$1107,7,0),"")</f>
        <v/>
      </c>
      <c r="BK941" s="300" t="str">
        <f>_xlfn.IFNA(VLOOKUP($BD941,Programma!$F$3:$M$1107,8,0),"")</f>
        <v/>
      </c>
      <c r="BL941" s="300" t="str">
        <f>_xlfn.IFNA(VLOOKUP($BD941,Programma!$F$3:$N$1107,9,0),"")</f>
        <v/>
      </c>
      <c r="BM941" s="300" t="str">
        <f>_xlfn.IFNA(VLOOKUP($BD941,Programma!$F$3:$O$1107,10,0),"")</f>
        <v/>
      </c>
      <c r="BN941" s="300" t="str">
        <f>_xlfn.IFNA(VLOOKUP($BD941,Programma!$F$3:$P$1107,11,0),"")</f>
        <v/>
      </c>
      <c r="BO941" s="300" t="str">
        <f>_xlfn.IFNA(VLOOKUP($BD941,Programma!$F$3:$Q$1107,12,0),"")</f>
        <v/>
      </c>
      <c r="BP941" s="300" t="str">
        <f>_xlfn.IFNA(VLOOKUP($BD941,Programma!$F$3:$R$1107,13,0),"")</f>
        <v/>
      </c>
      <c r="BQ941" s="300" t="str">
        <f>_xlfn.IFNA(VLOOKUP($BD941,Programma!$F$3:$S$1107,14,0),"")</f>
        <v/>
      </c>
      <c r="BR941" s="300" t="str">
        <f>_xlfn.IFNA(VLOOKUP($BD941,Programma!$F$3:$T$1107,15,0),"")</f>
        <v/>
      </c>
      <c r="BS941" s="300" t="str">
        <f>_xlfn.IFNA(VLOOKUP($BD941,Programma!$F$3:$U$1107,16,0),"")</f>
        <v/>
      </c>
      <c r="BT941" s="300" t="str">
        <f>_xlfn.IFNA(VLOOKUP($BD941,Programma!$F$3:$V$1107,17,0),"")</f>
        <v/>
      </c>
      <c r="BU941" s="300" t="str">
        <f>_xlfn.IFNA(VLOOKUP($BD941,Programma!$F$3:$W$1107,18,0),"")</f>
        <v/>
      </c>
      <c r="BV941" s="300" t="str">
        <f>_xlfn.IFNA(VLOOKUP($BD941,Programma!$F$3:$X$1107,19,0),"")</f>
        <v/>
      </c>
      <c r="BW941" s="300" t="str">
        <f>_xlfn.IFNA(VLOOKUP($BD941,Programma!$F$3:$Y$1107,20,0),"")</f>
        <v/>
      </c>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c r="GK941" s="4"/>
      <c r="GL941" s="4"/>
      <c r="GM941" s="4"/>
      <c r="GN941" s="4"/>
      <c r="GO941" s="4"/>
      <c r="GP941" s="4"/>
      <c r="GQ941" s="4"/>
      <c r="GR941" s="4"/>
      <c r="GS941" s="4"/>
      <c r="GT941" s="4"/>
      <c r="GU941" s="4"/>
      <c r="GV941" s="4"/>
      <c r="GW941" s="4"/>
      <c r="GX941" s="4"/>
      <c r="GY941" s="4"/>
      <c r="GZ941" s="4"/>
      <c r="HA941" s="4"/>
      <c r="HB941" s="4"/>
      <c r="HC941" s="4"/>
      <c r="HD941" s="4"/>
      <c r="HE941" s="4"/>
      <c r="HF941" s="4"/>
      <c r="HG941" s="4"/>
      <c r="HH941" s="4"/>
      <c r="HI941" s="4"/>
      <c r="HJ941" s="4"/>
      <c r="HK941" s="4"/>
      <c r="HL941" s="4"/>
    </row>
    <row r="942" spans="1:220" ht="15" customHeight="1">
      <c r="A942" s="21">
        <v>10</v>
      </c>
      <c r="B942" s="157" t="str">
        <f>VLOOKUP(Ruimtestaat[[#This Row],[Code]],Locaties[[Code]:[Locatie]],2,FALSE)</f>
        <v>Veurs Voorburg vmbo</v>
      </c>
      <c r="C942" s="157" t="str">
        <f>VLOOKUP(Ruimtestaat[[#This Row],[Code]],Locaties[[#All],[Code]:[Adres]],4,FALSE)</f>
        <v>Delflandlaan 4</v>
      </c>
      <c r="D942" s="157" t="str">
        <f>VLOOKUP(Ruimtestaat[[#This Row],[Code]],Locaties[[#All],[Code]:[Postcode]],5,FALSE)</f>
        <v>2273 CS</v>
      </c>
      <c r="E942" s="157" t="str">
        <f>VLOOKUP(Ruimtestaat[[#This Row],[Code]],Locaties[#All],6,FALSE)</f>
        <v>Voorburg</v>
      </c>
      <c r="F942" s="62"/>
      <c r="G942" s="21" t="s">
        <v>1749</v>
      </c>
      <c r="H942" s="21" t="s">
        <v>2453</v>
      </c>
      <c r="I942" s="62" t="s">
        <v>2454</v>
      </c>
      <c r="J942" s="21">
        <v>12</v>
      </c>
      <c r="K942" s="62" t="str">
        <f>VLOOKUP(Ruimtestaat[[#This Row],[Ruimte code]],Ruimtegroepen[[#All],[Code]:[Ruimte omschrijving]],2,FALSE)</f>
        <v>Kantine</v>
      </c>
      <c r="L942" s="33" t="s">
        <v>101</v>
      </c>
      <c r="M942" s="367" t="s">
        <v>2506</v>
      </c>
      <c r="N942" s="140">
        <v>278.89999999999998</v>
      </c>
      <c r="O942" s="140"/>
      <c r="P942" s="125" t="str">
        <f>VLOOKUP(Ruimtestaat[[#This Row],[Ruimte code]],Ruimtegroepen[],4,FALSE)</f>
        <v>Ve</v>
      </c>
      <c r="R942" s="33">
        <v>40</v>
      </c>
      <c r="S942" s="33" t="s">
        <v>2</v>
      </c>
      <c r="T942" s="33">
        <f>IF(R942&gt;0,IF(RIGHT(Ruimtestaat[[#This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42" s="33">
        <f>IF(T942&gt;0,VLOOKUP($J942,Ruimtegroepen[],3,FALSE)*VLOOKUP($L942,Vloersoorten[],3,FALSE)*VLOOKUP($S942,Frequenties[],3,FALSE)*VLOOKUP($A942,Locaties[],3,FALSE),0)</f>
        <v>0</v>
      </c>
      <c r="V942" s="33">
        <f>Ruimtestaat[[#This Row],[Uitvoeringen werkdagen]]*Ruimtestaat[[#This Row],[Oppervlak (netto)]]</f>
        <v>55779.999999999993</v>
      </c>
      <c r="W942" s="154">
        <f>IF(U942&gt;0,Ruimtestaat[[#This Row],[Prest. (m2 /jaar) werkdagen]]/Ruimtestaat[[#This Row],[Norm (m2/uur) werkdagen]],0)</f>
        <v>0</v>
      </c>
      <c r="X942" s="155">
        <f>Ruimtestaat[[#This Row],[uren / jaar werkdagen]]*Tariefsopbouw!$E$35</f>
        <v>0</v>
      </c>
      <c r="Y942" s="33"/>
      <c r="Z942" s="33">
        <f>IF(Ruimtestaat[[#This Row],[Frequentie weekend]]&gt;0,VALUE(LEFT(Y942,1))*R942,0)</f>
        <v>0</v>
      </c>
      <c r="AA942" s="97">
        <f>IF($Z942&gt;0,VLOOKUP($J942,Ruimtegroepen[],3,FALSE)*VLOOKUP($L942,Vloersoorten[],3,FALSE)*VLOOKUP($Y942,Frequenties[],3,FALSE)*VLOOKUP(Ruimtestaat[[#This Row],[Code]],Locaties[],3,FALSE),0)</f>
        <v>0</v>
      </c>
      <c r="AB942" s="97">
        <f>Ruimtestaat[[#This Row],[Uitvoeringen weekend]]*Ruimtestaat[[#This Row],[Oppervlak (netto)]]</f>
        <v>0</v>
      </c>
      <c r="AC942" s="97">
        <f>IF(AA942&gt;0,Ruimtestaat[[#This Row],[Prest. (m2 /jaar) weekend]]/Ruimtestaat[[#This Row],[Norm (m2/uur) weekend]],0)</f>
        <v>0</v>
      </c>
      <c r="AD942" s="155">
        <f>Ruimtestaat[[#This Row],[uren / jaar weekend]]*Tariefsopbouw!$D$40</f>
        <v>0</v>
      </c>
      <c r="AE942" s="154">
        <f>Ruimtestaat[[#This Row],[Prest. (m2 /jaar) weekend]]+Ruimtestaat[[#This Row],[Prest. (m2 /jaar) werkdagen]]</f>
        <v>55779.999999999993</v>
      </c>
      <c r="AF942" s="154">
        <f>Ruimtestaat[[#This Row],[uren / jaar weekend]]+Ruimtestaat[[#This Row],[uren / jaar werkdagen]]</f>
        <v>0</v>
      </c>
      <c r="AG942" s="69">
        <f>Ruimtestaat[[#This Row],[kosten / jaar weekend]]+Ruimtestaat[[#This Row],[kosten / jaar werkdagen]]</f>
        <v>0</v>
      </c>
      <c r="AH942" s="69"/>
      <c r="AI942" s="256" t="str">
        <f>IF(Ruimtestaat[[#This Row],[Frequentie werkdagen]]="","",_xlfn.CONCAT(Ruimtestaat[[#This Row],[Ruimte code]],"-",Ruimtestaat[[#This Row],[Frequentie werkdagen]]," ",Ruimtestaat[[#This Row],[Vloer code]]))</f>
        <v>12-5w L</v>
      </c>
      <c r="AJ942" s="300" t="str">
        <f>_xlfn.IFNA(VLOOKUP($AI942,Programma!$F$3:$G$1107,2,0),"")</f>
        <v>_</v>
      </c>
      <c r="AK942" s="300" t="str">
        <f>_xlfn.IFNA(VLOOKUP($AI942,Programma!$F$3:$H$1107,3,0),"")</f>
        <v>_</v>
      </c>
      <c r="AL942" s="300" t="str">
        <f>_xlfn.IFNA(VLOOKUP($AI942,Programma!$F$3:$I$1107,4,0),"")</f>
        <v>_</v>
      </c>
      <c r="AM942" s="300" t="str">
        <f>_xlfn.IFNA(VLOOKUP($AI942,Programma!$F$3:$J$1107,5,0),"")</f>
        <v>5w</v>
      </c>
      <c r="AN942" s="300" t="str">
        <f>_xlfn.IFNA(VLOOKUP($AI942,Programma!$F$3:$K$1107,6,0),"")</f>
        <v>_</v>
      </c>
      <c r="AO942" s="300" t="str">
        <f>_xlfn.IFNA(VLOOKUP($AI942,Programma!$F$3:$L$1107,7,0),"")</f>
        <v>_</v>
      </c>
      <c r="AP942" s="300" t="str">
        <f>_xlfn.IFNA(VLOOKUP($AI942,Programma!$F$3:$M$1107,8,0),"")</f>
        <v>_</v>
      </c>
      <c r="AQ942" s="300" t="str">
        <f>_xlfn.IFNA(VLOOKUP($AI942,Programma!$F$3:$N$1107,9,0),"")</f>
        <v>_</v>
      </c>
      <c r="AR942" s="300" t="str">
        <f>_xlfn.IFNA(VLOOKUP($AI942,Programma!$F$3:$O$1107,10,0),"")</f>
        <v>5w</v>
      </c>
      <c r="AS942" s="300" t="str">
        <f>_xlfn.IFNA(VLOOKUP($AI942,Programma!$F$3:$P$1107,11,0),"")</f>
        <v>5w</v>
      </c>
      <c r="AT942" s="300" t="str">
        <f>_xlfn.IFNA(VLOOKUP($AI942,Programma!$F$3:$Q$1107,12,0),"")</f>
        <v>1w</v>
      </c>
      <c r="AU942" s="300" t="str">
        <f>_xlfn.IFNA(VLOOKUP($AI942,Programma!$F$3:$R$1107,13,0),"")</f>
        <v>1w</v>
      </c>
      <c r="AV942" s="300" t="str">
        <f>_xlfn.IFNA(VLOOKUP($AI942,Programma!$F$3:$S$1107,14,0),"")</f>
        <v>1m</v>
      </c>
      <c r="AW942" s="300" t="str">
        <f>_xlfn.IFNA(VLOOKUP($AI942,Programma!$F$3:$T$1107,15,0),"")</f>
        <v>2j</v>
      </c>
      <c r="AX942" s="300" t="str">
        <f>_xlfn.IFNA(VLOOKUP($AI942,Programma!$F$3:$U$1107,16,0),"")</f>
        <v>1j</v>
      </c>
      <c r="AY942" s="300" t="str">
        <f>_xlfn.IFNA(VLOOKUP($AI942,Programma!$F$3:$V$1107,17,0),"")</f>
        <v>_</v>
      </c>
      <c r="AZ942" s="300" t="str">
        <f>_xlfn.IFNA(VLOOKUP($AI942,Programma!$F$3:$W$1107,18,0),"")</f>
        <v>_</v>
      </c>
      <c r="BA942" s="300" t="str">
        <f>_xlfn.IFNA(VLOOKUP($AI942,Programma!$F$3:$X$1107,19,0),"")</f>
        <v>_</v>
      </c>
      <c r="BB942" s="300" t="str">
        <f>_xlfn.IFNA(VLOOKUP($AI942,Programma!$F$3:$Y$1107,20,0),"")</f>
        <v>_</v>
      </c>
      <c r="BC942" s="257"/>
      <c r="BD942" s="256" t="str">
        <f>IF(Ruimtestaat[[#This Row],[Frequentie weekend]]="","",_xlfn.CONCAT(Ruimtestaat[[#This Row],[Ruimte code]],"-",Ruimtestaat[[#This Row],[Frequentie weekend]]," ",Ruimtestaat[[#This Row],[Vloer code]]))</f>
        <v/>
      </c>
      <c r="BE942" s="300" t="str">
        <f>_xlfn.IFNA(VLOOKUP($BD942,Programma!$F$3:$G$1107,2,0),"")</f>
        <v/>
      </c>
      <c r="BF942" s="300" t="str">
        <f>_xlfn.IFNA(VLOOKUP($BD942,Programma!$F$3:$H$1107,3,0),"")</f>
        <v/>
      </c>
      <c r="BG942" s="300" t="str">
        <f>_xlfn.IFNA(VLOOKUP($BD942,Programma!$F$3:$I$1107,4,0),"")</f>
        <v/>
      </c>
      <c r="BH942" s="300" t="str">
        <f>_xlfn.IFNA(VLOOKUP($BD942,Programma!$F$3:$J$1107,5,0),"")</f>
        <v/>
      </c>
      <c r="BI942" s="300" t="str">
        <f>_xlfn.IFNA(VLOOKUP($BD942,Programma!$F$3:$K$1107,6,0),"")</f>
        <v/>
      </c>
      <c r="BJ942" s="300" t="str">
        <f>_xlfn.IFNA(VLOOKUP($BD942,Programma!$F$3:$L$1107,7,0),"")</f>
        <v/>
      </c>
      <c r="BK942" s="300" t="str">
        <f>_xlfn.IFNA(VLOOKUP($BD942,Programma!$F$3:$M$1107,8,0),"")</f>
        <v/>
      </c>
      <c r="BL942" s="300" t="str">
        <f>_xlfn.IFNA(VLOOKUP($BD942,Programma!$F$3:$N$1107,9,0),"")</f>
        <v/>
      </c>
      <c r="BM942" s="300" t="str">
        <f>_xlfn.IFNA(VLOOKUP($BD942,Programma!$F$3:$O$1107,10,0),"")</f>
        <v/>
      </c>
      <c r="BN942" s="300" t="str">
        <f>_xlfn.IFNA(VLOOKUP($BD942,Programma!$F$3:$P$1107,11,0),"")</f>
        <v/>
      </c>
      <c r="BO942" s="300" t="str">
        <f>_xlfn.IFNA(VLOOKUP($BD942,Programma!$F$3:$Q$1107,12,0),"")</f>
        <v/>
      </c>
      <c r="BP942" s="300" t="str">
        <f>_xlfn.IFNA(VLOOKUP($BD942,Programma!$F$3:$R$1107,13,0),"")</f>
        <v/>
      </c>
      <c r="BQ942" s="300" t="str">
        <f>_xlfn.IFNA(VLOOKUP($BD942,Programma!$F$3:$S$1107,14,0),"")</f>
        <v/>
      </c>
      <c r="BR942" s="300" t="str">
        <f>_xlfn.IFNA(VLOOKUP($BD942,Programma!$F$3:$T$1107,15,0),"")</f>
        <v/>
      </c>
      <c r="BS942" s="300" t="str">
        <f>_xlfn.IFNA(VLOOKUP($BD942,Programma!$F$3:$U$1107,16,0),"")</f>
        <v/>
      </c>
      <c r="BT942" s="300" t="str">
        <f>_xlfn.IFNA(VLOOKUP($BD942,Programma!$F$3:$V$1107,17,0),"")</f>
        <v/>
      </c>
      <c r="BU942" s="300" t="str">
        <f>_xlfn.IFNA(VLOOKUP($BD942,Programma!$F$3:$W$1107,18,0),"")</f>
        <v/>
      </c>
      <c r="BV942" s="300" t="str">
        <f>_xlfn.IFNA(VLOOKUP($BD942,Programma!$F$3:$X$1107,19,0),"")</f>
        <v/>
      </c>
      <c r="BW942" s="300" t="str">
        <f>_xlfn.IFNA(VLOOKUP($BD942,Programma!$F$3:$Y$1107,20,0),"")</f>
        <v/>
      </c>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c r="GK942" s="4"/>
      <c r="GL942" s="4"/>
      <c r="GM942" s="4"/>
      <c r="GN942" s="4"/>
      <c r="GO942" s="4"/>
      <c r="GP942" s="4"/>
      <c r="GQ942" s="4"/>
      <c r="GR942" s="4"/>
      <c r="GS942" s="4"/>
      <c r="GT942" s="4"/>
      <c r="GU942" s="4"/>
      <c r="GV942" s="4"/>
      <c r="GW942" s="4"/>
      <c r="GX942" s="4"/>
      <c r="GY942" s="4"/>
      <c r="GZ942" s="4"/>
      <c r="HA942" s="4"/>
      <c r="HB942" s="4"/>
      <c r="HC942" s="4"/>
      <c r="HD942" s="4"/>
      <c r="HE942" s="4"/>
      <c r="HF942" s="4"/>
      <c r="HG942" s="4"/>
      <c r="HH942" s="4"/>
      <c r="HI942" s="4"/>
      <c r="HJ942" s="4"/>
      <c r="HK942" s="4"/>
      <c r="HL942" s="4"/>
    </row>
    <row r="943" spans="1:220" ht="15" customHeight="1">
      <c r="A943" s="21">
        <v>10</v>
      </c>
      <c r="B943" s="157" t="str">
        <f>VLOOKUP(Ruimtestaat[[#This Row],[Code]],Locaties[[Code]:[Locatie]],2,FALSE)</f>
        <v>Veurs Voorburg vmbo</v>
      </c>
      <c r="C943" s="157" t="str">
        <f>VLOOKUP(Ruimtestaat[[#This Row],[Code]],Locaties[[#All],[Code]:[Adres]],4,FALSE)</f>
        <v>Delflandlaan 4</v>
      </c>
      <c r="D943" s="157" t="str">
        <f>VLOOKUP(Ruimtestaat[[#This Row],[Code]],Locaties[[#All],[Code]:[Postcode]],5,FALSE)</f>
        <v>2273 CS</v>
      </c>
      <c r="E943" s="157" t="str">
        <f>VLOOKUP(Ruimtestaat[[#This Row],[Code]],Locaties[#All],6,FALSE)</f>
        <v>Voorburg</v>
      </c>
      <c r="F943" s="62"/>
      <c r="G943" s="21" t="s">
        <v>1749</v>
      </c>
      <c r="H943" s="21" t="s">
        <v>2455</v>
      </c>
      <c r="I943" s="62" t="s">
        <v>2456</v>
      </c>
      <c r="J943" s="21">
        <v>10</v>
      </c>
      <c r="K943" s="62" t="str">
        <f>VLOOKUP(Ruimtestaat[[#This Row],[Ruimte code]],Ruimtegroepen[[#All],[Code]:[Ruimte omschrijving]],2,FALSE)</f>
        <v>Trappenhuizen/lift</v>
      </c>
      <c r="L943" s="33" t="s">
        <v>101</v>
      </c>
      <c r="M943" s="367" t="s">
        <v>2506</v>
      </c>
      <c r="N943" s="140">
        <v>40</v>
      </c>
      <c r="O943" s="140"/>
      <c r="P943" s="125" t="str">
        <f>VLOOKUP(Ruimtestaat[[#This Row],[Ruimte code]],Ruimtegroepen[],4,FALSE)</f>
        <v>Ve</v>
      </c>
      <c r="R943" s="33">
        <v>40</v>
      </c>
      <c r="S943" s="33" t="s">
        <v>2</v>
      </c>
      <c r="T943" s="33">
        <f>IF(R943&gt;0,IF(RIGHT(Ruimtestaat[[#This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43" s="33">
        <f>IF(T943&gt;0,VLOOKUP($J943,Ruimtegroepen[],3,FALSE)*VLOOKUP($L943,Vloersoorten[],3,FALSE)*VLOOKUP($S943,Frequenties[],3,FALSE)*VLOOKUP($A943,Locaties[],3,FALSE),0)</f>
        <v>0</v>
      </c>
      <c r="V943" s="33">
        <f>Ruimtestaat[[#This Row],[Uitvoeringen werkdagen]]*Ruimtestaat[[#This Row],[Oppervlak (netto)]]</f>
        <v>8000</v>
      </c>
      <c r="W943" s="154">
        <f>IF(U943&gt;0,Ruimtestaat[[#This Row],[Prest. (m2 /jaar) werkdagen]]/Ruimtestaat[[#This Row],[Norm (m2/uur) werkdagen]],0)</f>
        <v>0</v>
      </c>
      <c r="X943" s="155">
        <f>Ruimtestaat[[#This Row],[uren / jaar werkdagen]]*Tariefsopbouw!$E$35</f>
        <v>0</v>
      </c>
      <c r="Y943" s="33"/>
      <c r="Z943" s="33">
        <f>IF(Ruimtestaat[[#This Row],[Frequentie weekend]]&gt;0,VALUE(LEFT(Y943,1))*R943,0)</f>
        <v>0</v>
      </c>
      <c r="AA943" s="97">
        <f>IF($Z943&gt;0,VLOOKUP($J943,Ruimtegroepen[],3,FALSE)*VLOOKUP($L943,Vloersoorten[],3,FALSE)*VLOOKUP($Y943,Frequenties[],3,FALSE)*VLOOKUP(Ruimtestaat[[#This Row],[Code]],Locaties[],3,FALSE),0)</f>
        <v>0</v>
      </c>
      <c r="AB943" s="97">
        <f>Ruimtestaat[[#This Row],[Uitvoeringen weekend]]*Ruimtestaat[[#This Row],[Oppervlak (netto)]]</f>
        <v>0</v>
      </c>
      <c r="AC943" s="97">
        <f>IF(AA943&gt;0,Ruimtestaat[[#This Row],[Prest. (m2 /jaar) weekend]]/Ruimtestaat[[#This Row],[Norm (m2/uur) weekend]],0)</f>
        <v>0</v>
      </c>
      <c r="AD943" s="155">
        <f>Ruimtestaat[[#This Row],[uren / jaar weekend]]*Tariefsopbouw!$D$40</f>
        <v>0</v>
      </c>
      <c r="AE943" s="154">
        <f>Ruimtestaat[[#This Row],[Prest. (m2 /jaar) weekend]]+Ruimtestaat[[#This Row],[Prest. (m2 /jaar) werkdagen]]</f>
        <v>8000</v>
      </c>
      <c r="AF943" s="154">
        <f>Ruimtestaat[[#This Row],[uren / jaar weekend]]+Ruimtestaat[[#This Row],[uren / jaar werkdagen]]</f>
        <v>0</v>
      </c>
      <c r="AG943" s="69">
        <f>Ruimtestaat[[#This Row],[kosten / jaar weekend]]+Ruimtestaat[[#This Row],[kosten / jaar werkdagen]]</f>
        <v>0</v>
      </c>
      <c r="AH943" s="69"/>
      <c r="AI943" s="256" t="str">
        <f>IF(Ruimtestaat[[#This Row],[Frequentie werkdagen]]="","",_xlfn.CONCAT(Ruimtestaat[[#This Row],[Ruimte code]],"-",Ruimtestaat[[#This Row],[Frequentie werkdagen]]," ",Ruimtestaat[[#This Row],[Vloer code]]))</f>
        <v>10-5w L</v>
      </c>
      <c r="AJ943" s="300" t="str">
        <f>_xlfn.IFNA(VLOOKUP($AI943,Programma!$F$3:$G$1107,2,0),"")</f>
        <v>_</v>
      </c>
      <c r="AK943" s="300" t="str">
        <f>_xlfn.IFNA(VLOOKUP($AI943,Programma!$F$3:$H$1107,3,0),"")</f>
        <v>_</v>
      </c>
      <c r="AL943" s="300" t="str">
        <f>_xlfn.IFNA(VLOOKUP($AI943,Programma!$F$3:$I$1107,4,0),"")</f>
        <v>4w</v>
      </c>
      <c r="AM943" s="300" t="str">
        <f>_xlfn.IFNA(VLOOKUP($AI943,Programma!$F$3:$J$1107,5,0),"")</f>
        <v>1w</v>
      </c>
      <c r="AN943" s="300" t="str">
        <f>_xlfn.IFNA(VLOOKUP($AI943,Programma!$F$3:$K$1107,6,0),"")</f>
        <v>_</v>
      </c>
      <c r="AO943" s="300" t="str">
        <f>_xlfn.IFNA(VLOOKUP($AI943,Programma!$F$3:$L$1107,7,0),"")</f>
        <v>_</v>
      </c>
      <c r="AP943" s="300" t="str">
        <f>_xlfn.IFNA(VLOOKUP($AI943,Programma!$F$3:$M$1107,8,0),"")</f>
        <v>_</v>
      </c>
      <c r="AQ943" s="300" t="str">
        <f>_xlfn.IFNA(VLOOKUP($AI943,Programma!$F$3:$N$1107,9,0),"")</f>
        <v>_</v>
      </c>
      <c r="AR943" s="300" t="str">
        <f>_xlfn.IFNA(VLOOKUP($AI943,Programma!$F$3:$O$1107,10,0),"")</f>
        <v>5w</v>
      </c>
      <c r="AS943" s="300" t="str">
        <f>_xlfn.IFNA(VLOOKUP($AI943,Programma!$F$3:$P$1107,11,0),"")</f>
        <v>5w</v>
      </c>
      <c r="AT943" s="300" t="str">
        <f>_xlfn.IFNA(VLOOKUP($AI943,Programma!$F$3:$Q$1107,12,0),"")</f>
        <v>1w</v>
      </c>
      <c r="AU943" s="300" t="str">
        <f>_xlfn.IFNA(VLOOKUP($AI943,Programma!$F$3:$R$1107,13,0),"")</f>
        <v>1w</v>
      </c>
      <c r="AV943" s="300" t="str">
        <f>_xlfn.IFNA(VLOOKUP($AI943,Programma!$F$3:$S$1107,14,0),"")</f>
        <v>1m</v>
      </c>
      <c r="AW943" s="300" t="str">
        <f>_xlfn.IFNA(VLOOKUP($AI943,Programma!$F$3:$T$1107,15,0),"")</f>
        <v>2j</v>
      </c>
      <c r="AX943" s="300" t="str">
        <f>_xlfn.IFNA(VLOOKUP($AI943,Programma!$F$3:$U$1107,16,0),"")</f>
        <v>1j</v>
      </c>
      <c r="AY943" s="300" t="str">
        <f>_xlfn.IFNA(VLOOKUP($AI943,Programma!$F$3:$V$1107,17,0),"")</f>
        <v>_</v>
      </c>
      <c r="AZ943" s="300" t="str">
        <f>_xlfn.IFNA(VLOOKUP($AI943,Programma!$F$3:$W$1107,18,0),"")</f>
        <v>_</v>
      </c>
      <c r="BA943" s="300" t="str">
        <f>_xlfn.IFNA(VLOOKUP($AI943,Programma!$F$3:$X$1107,19,0),"")</f>
        <v>_</v>
      </c>
      <c r="BB943" s="300" t="str">
        <f>_xlfn.IFNA(VLOOKUP($AI943,Programma!$F$3:$Y$1107,20,0),"")</f>
        <v>_</v>
      </c>
      <c r="BC943" s="257"/>
      <c r="BD943" s="256" t="str">
        <f>IF(Ruimtestaat[[#This Row],[Frequentie weekend]]="","",_xlfn.CONCAT(Ruimtestaat[[#This Row],[Ruimte code]],"-",Ruimtestaat[[#This Row],[Frequentie weekend]]," ",Ruimtestaat[[#This Row],[Vloer code]]))</f>
        <v/>
      </c>
      <c r="BE943" s="300" t="str">
        <f>_xlfn.IFNA(VLOOKUP($BD943,Programma!$F$3:$G$1107,2,0),"")</f>
        <v/>
      </c>
      <c r="BF943" s="300" t="str">
        <f>_xlfn.IFNA(VLOOKUP($BD943,Programma!$F$3:$H$1107,3,0),"")</f>
        <v/>
      </c>
      <c r="BG943" s="300" t="str">
        <f>_xlfn.IFNA(VLOOKUP($BD943,Programma!$F$3:$I$1107,4,0),"")</f>
        <v/>
      </c>
      <c r="BH943" s="300" t="str">
        <f>_xlfn.IFNA(VLOOKUP($BD943,Programma!$F$3:$J$1107,5,0),"")</f>
        <v/>
      </c>
      <c r="BI943" s="300" t="str">
        <f>_xlfn.IFNA(VLOOKUP($BD943,Programma!$F$3:$K$1107,6,0),"")</f>
        <v/>
      </c>
      <c r="BJ943" s="300" t="str">
        <f>_xlfn.IFNA(VLOOKUP($BD943,Programma!$F$3:$L$1107,7,0),"")</f>
        <v/>
      </c>
      <c r="BK943" s="300" t="str">
        <f>_xlfn.IFNA(VLOOKUP($BD943,Programma!$F$3:$M$1107,8,0),"")</f>
        <v/>
      </c>
      <c r="BL943" s="300" t="str">
        <f>_xlfn.IFNA(VLOOKUP($BD943,Programma!$F$3:$N$1107,9,0),"")</f>
        <v/>
      </c>
      <c r="BM943" s="300" t="str">
        <f>_xlfn.IFNA(VLOOKUP($BD943,Programma!$F$3:$O$1107,10,0),"")</f>
        <v/>
      </c>
      <c r="BN943" s="300" t="str">
        <f>_xlfn.IFNA(VLOOKUP($BD943,Programma!$F$3:$P$1107,11,0),"")</f>
        <v/>
      </c>
      <c r="BO943" s="300" t="str">
        <f>_xlfn.IFNA(VLOOKUP($BD943,Programma!$F$3:$Q$1107,12,0),"")</f>
        <v/>
      </c>
      <c r="BP943" s="300" t="str">
        <f>_xlfn.IFNA(VLOOKUP($BD943,Programma!$F$3:$R$1107,13,0),"")</f>
        <v/>
      </c>
      <c r="BQ943" s="300" t="str">
        <f>_xlfn.IFNA(VLOOKUP($BD943,Programma!$F$3:$S$1107,14,0),"")</f>
        <v/>
      </c>
      <c r="BR943" s="300" t="str">
        <f>_xlfn.IFNA(VLOOKUP($BD943,Programma!$F$3:$T$1107,15,0),"")</f>
        <v/>
      </c>
      <c r="BS943" s="300" t="str">
        <f>_xlfn.IFNA(VLOOKUP($BD943,Programma!$F$3:$U$1107,16,0),"")</f>
        <v/>
      </c>
      <c r="BT943" s="300" t="str">
        <f>_xlfn.IFNA(VLOOKUP($BD943,Programma!$F$3:$V$1107,17,0),"")</f>
        <v/>
      </c>
      <c r="BU943" s="300" t="str">
        <f>_xlfn.IFNA(VLOOKUP($BD943,Programma!$F$3:$W$1107,18,0),"")</f>
        <v/>
      </c>
      <c r="BV943" s="300" t="str">
        <f>_xlfn.IFNA(VLOOKUP($BD943,Programma!$F$3:$X$1107,19,0),"")</f>
        <v/>
      </c>
      <c r="BW943" s="300" t="str">
        <f>_xlfn.IFNA(VLOOKUP($BD943,Programma!$F$3:$Y$1107,20,0),"")</f>
        <v/>
      </c>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c r="GK943" s="4"/>
      <c r="GL943" s="4"/>
      <c r="GM943" s="4"/>
      <c r="GN943" s="4"/>
      <c r="GO943" s="4"/>
      <c r="GP943" s="4"/>
      <c r="GQ943" s="4"/>
      <c r="GR943" s="4"/>
      <c r="GS943" s="4"/>
      <c r="GT943" s="4"/>
      <c r="GU943" s="4"/>
      <c r="GV943" s="4"/>
      <c r="GW943" s="4"/>
      <c r="GX943" s="4"/>
      <c r="GY943" s="4"/>
      <c r="GZ943" s="4"/>
      <c r="HA943" s="4"/>
      <c r="HB943" s="4"/>
      <c r="HC943" s="4"/>
      <c r="HD943" s="4"/>
      <c r="HE943" s="4"/>
      <c r="HF943" s="4"/>
      <c r="HG943" s="4"/>
      <c r="HH943" s="4"/>
      <c r="HI943" s="4"/>
      <c r="HJ943" s="4"/>
      <c r="HK943" s="4"/>
      <c r="HL943" s="4"/>
    </row>
    <row r="944" spans="1:220" ht="15" customHeight="1">
      <c r="A944" s="21">
        <v>10</v>
      </c>
      <c r="B944" s="157" t="str">
        <f>VLOOKUP(Ruimtestaat[[#This Row],[Code]],Locaties[[Code]:[Locatie]],2,FALSE)</f>
        <v>Veurs Voorburg vmbo</v>
      </c>
      <c r="C944" s="157" t="str">
        <f>VLOOKUP(Ruimtestaat[[#This Row],[Code]],Locaties[[#All],[Code]:[Adres]],4,FALSE)</f>
        <v>Delflandlaan 4</v>
      </c>
      <c r="D944" s="157" t="str">
        <f>VLOOKUP(Ruimtestaat[[#This Row],[Code]],Locaties[[#All],[Code]:[Postcode]],5,FALSE)</f>
        <v>2273 CS</v>
      </c>
      <c r="E944" s="157" t="str">
        <f>VLOOKUP(Ruimtestaat[[#This Row],[Code]],Locaties[#All],6,FALSE)</f>
        <v>Voorburg</v>
      </c>
      <c r="F944" s="62"/>
      <c r="G944" s="21" t="s">
        <v>1749</v>
      </c>
      <c r="H944" s="21" t="s">
        <v>2457</v>
      </c>
      <c r="I944" s="62" t="s">
        <v>2458</v>
      </c>
      <c r="J944" s="21">
        <v>20</v>
      </c>
      <c r="K944" s="62" t="str">
        <f>VLOOKUP(Ruimtestaat[[#This Row],[Ruimte code]],Ruimtegroepen[[#All],[Code]:[Ruimte omschrijving]],2,FALSE)</f>
        <v>Niet in Onderhoud</v>
      </c>
      <c r="L944" s="33" t="s">
        <v>101</v>
      </c>
      <c r="M944" s="367" t="s">
        <v>2506</v>
      </c>
      <c r="N944" s="140"/>
      <c r="O944" s="140">
        <v>17.2</v>
      </c>
      <c r="P944" s="125">
        <f>VLOOKUP(Ruimtestaat[[#This Row],[Ruimte code]],Ruimtegroepen[],4,FALSE)</f>
        <v>0</v>
      </c>
      <c r="R944" s="33"/>
      <c r="S944" s="33"/>
      <c r="T944" s="33">
        <f>IF(R944&gt;0,IF(RIGHT(Ruimtestaat[[#This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44" s="33">
        <f>IF(T944&gt;0,VLOOKUP($J944,Ruimtegroepen[],3,FALSE)*VLOOKUP($L944,Vloersoorten[],3,FALSE)*VLOOKUP($S944,Frequenties[],3,FALSE)*VLOOKUP($A944,Locaties[],3,FALSE),0)</f>
        <v>0</v>
      </c>
      <c r="V944" s="33">
        <f>Ruimtestaat[[#This Row],[Uitvoeringen werkdagen]]*Ruimtestaat[[#This Row],[Oppervlak (netto)]]</f>
        <v>0</v>
      </c>
      <c r="W944" s="154">
        <f>IF(U944&gt;0,Ruimtestaat[[#This Row],[Prest. (m2 /jaar) werkdagen]]/Ruimtestaat[[#This Row],[Norm (m2/uur) werkdagen]],0)</f>
        <v>0</v>
      </c>
      <c r="X944" s="155">
        <f>Ruimtestaat[[#This Row],[uren / jaar werkdagen]]*Tariefsopbouw!$E$35</f>
        <v>0</v>
      </c>
      <c r="Y944" s="33"/>
      <c r="Z944" s="33">
        <f>IF(Ruimtestaat[[#This Row],[Frequentie weekend]]&gt;0,VALUE(LEFT(Y944,1))*R944,0)</f>
        <v>0</v>
      </c>
      <c r="AA944" s="97">
        <f>IF($Z944&gt;0,VLOOKUP($J944,Ruimtegroepen[],3,FALSE)*VLOOKUP($L944,Vloersoorten[],3,FALSE)*VLOOKUP($Y944,Frequenties[],3,FALSE)*VLOOKUP(Ruimtestaat[[#This Row],[Code]],Locaties[],3,FALSE),0)</f>
        <v>0</v>
      </c>
      <c r="AB944" s="97">
        <f>Ruimtestaat[[#This Row],[Uitvoeringen weekend]]*Ruimtestaat[[#This Row],[Oppervlak (netto)]]</f>
        <v>0</v>
      </c>
      <c r="AC944" s="97">
        <f>IF(AA944&gt;0,Ruimtestaat[[#This Row],[Prest. (m2 /jaar) weekend]]/Ruimtestaat[[#This Row],[Norm (m2/uur) weekend]],0)</f>
        <v>0</v>
      </c>
      <c r="AD944" s="155">
        <f>Ruimtestaat[[#This Row],[uren / jaar weekend]]*Tariefsopbouw!$D$40</f>
        <v>0</v>
      </c>
      <c r="AE944" s="154">
        <f>Ruimtestaat[[#This Row],[Prest. (m2 /jaar) weekend]]+Ruimtestaat[[#This Row],[Prest. (m2 /jaar) werkdagen]]</f>
        <v>0</v>
      </c>
      <c r="AF944" s="154">
        <f>Ruimtestaat[[#This Row],[uren / jaar weekend]]+Ruimtestaat[[#This Row],[uren / jaar werkdagen]]</f>
        <v>0</v>
      </c>
      <c r="AG944" s="69">
        <f>Ruimtestaat[[#This Row],[kosten / jaar weekend]]+Ruimtestaat[[#This Row],[kosten / jaar werkdagen]]</f>
        <v>0</v>
      </c>
      <c r="AH944" s="69"/>
      <c r="AI944" s="256" t="str">
        <f>IF(Ruimtestaat[[#This Row],[Frequentie werkdagen]]="","",_xlfn.CONCAT(Ruimtestaat[[#This Row],[Ruimte code]],"-",Ruimtestaat[[#This Row],[Frequentie werkdagen]]," ",Ruimtestaat[[#This Row],[Vloer code]]))</f>
        <v/>
      </c>
      <c r="AJ944" s="300" t="str">
        <f>_xlfn.IFNA(VLOOKUP($AI944,Programma!$F$3:$G$1107,2,0),"")</f>
        <v/>
      </c>
      <c r="AK944" s="300" t="str">
        <f>_xlfn.IFNA(VLOOKUP($AI944,Programma!$F$3:$H$1107,3,0),"")</f>
        <v/>
      </c>
      <c r="AL944" s="300" t="str">
        <f>_xlfn.IFNA(VLOOKUP($AI944,Programma!$F$3:$I$1107,4,0),"")</f>
        <v/>
      </c>
      <c r="AM944" s="300" t="str">
        <f>_xlfn.IFNA(VLOOKUP($AI944,Programma!$F$3:$J$1107,5,0),"")</f>
        <v/>
      </c>
      <c r="AN944" s="300" t="str">
        <f>_xlfn.IFNA(VLOOKUP($AI944,Programma!$F$3:$K$1107,6,0),"")</f>
        <v/>
      </c>
      <c r="AO944" s="300" t="str">
        <f>_xlfn.IFNA(VLOOKUP($AI944,Programma!$F$3:$L$1107,7,0),"")</f>
        <v/>
      </c>
      <c r="AP944" s="300" t="str">
        <f>_xlfn.IFNA(VLOOKUP($AI944,Programma!$F$3:$M$1107,8,0),"")</f>
        <v/>
      </c>
      <c r="AQ944" s="300" t="str">
        <f>_xlfn.IFNA(VLOOKUP($AI944,Programma!$F$3:$N$1107,9,0),"")</f>
        <v/>
      </c>
      <c r="AR944" s="300" t="str">
        <f>_xlfn.IFNA(VLOOKUP($AI944,Programma!$F$3:$O$1107,10,0),"")</f>
        <v/>
      </c>
      <c r="AS944" s="300" t="str">
        <f>_xlfn.IFNA(VLOOKUP($AI944,Programma!$F$3:$P$1107,11,0),"")</f>
        <v/>
      </c>
      <c r="AT944" s="300" t="str">
        <f>_xlfn.IFNA(VLOOKUP($AI944,Programma!$F$3:$Q$1107,12,0),"")</f>
        <v/>
      </c>
      <c r="AU944" s="300" t="str">
        <f>_xlfn.IFNA(VLOOKUP($AI944,Programma!$F$3:$R$1107,13,0),"")</f>
        <v/>
      </c>
      <c r="AV944" s="300" t="str">
        <f>_xlfn.IFNA(VLOOKUP($AI944,Programma!$F$3:$S$1107,14,0),"")</f>
        <v/>
      </c>
      <c r="AW944" s="300" t="str">
        <f>_xlfn.IFNA(VLOOKUP($AI944,Programma!$F$3:$T$1107,15,0),"")</f>
        <v/>
      </c>
      <c r="AX944" s="300" t="str">
        <f>_xlfn.IFNA(VLOOKUP($AI944,Programma!$F$3:$U$1107,16,0),"")</f>
        <v/>
      </c>
      <c r="AY944" s="300" t="str">
        <f>_xlfn.IFNA(VLOOKUP($AI944,Programma!$F$3:$V$1107,17,0),"")</f>
        <v/>
      </c>
      <c r="AZ944" s="300" t="str">
        <f>_xlfn.IFNA(VLOOKUP($AI944,Programma!$F$3:$W$1107,18,0),"")</f>
        <v/>
      </c>
      <c r="BA944" s="300" t="str">
        <f>_xlfn.IFNA(VLOOKUP($AI944,Programma!$F$3:$X$1107,19,0),"")</f>
        <v/>
      </c>
      <c r="BB944" s="300" t="str">
        <f>_xlfn.IFNA(VLOOKUP($AI944,Programma!$F$3:$Y$1107,20,0),"")</f>
        <v/>
      </c>
      <c r="BC944" s="257"/>
      <c r="BD944" s="256" t="str">
        <f>IF(Ruimtestaat[[#This Row],[Frequentie weekend]]="","",_xlfn.CONCAT(Ruimtestaat[[#This Row],[Ruimte code]],"-",Ruimtestaat[[#This Row],[Frequentie weekend]]," ",Ruimtestaat[[#This Row],[Vloer code]]))</f>
        <v/>
      </c>
      <c r="BE944" s="300" t="str">
        <f>_xlfn.IFNA(VLOOKUP($BD944,Programma!$F$3:$G$1107,2,0),"")</f>
        <v/>
      </c>
      <c r="BF944" s="300" t="str">
        <f>_xlfn.IFNA(VLOOKUP($BD944,Programma!$F$3:$H$1107,3,0),"")</f>
        <v/>
      </c>
      <c r="BG944" s="300" t="str">
        <f>_xlfn.IFNA(VLOOKUP($BD944,Programma!$F$3:$I$1107,4,0),"")</f>
        <v/>
      </c>
      <c r="BH944" s="300" t="str">
        <f>_xlfn.IFNA(VLOOKUP($BD944,Programma!$F$3:$J$1107,5,0),"")</f>
        <v/>
      </c>
      <c r="BI944" s="300" t="str">
        <f>_xlfn.IFNA(VLOOKUP($BD944,Programma!$F$3:$K$1107,6,0),"")</f>
        <v/>
      </c>
      <c r="BJ944" s="300" t="str">
        <f>_xlfn.IFNA(VLOOKUP($BD944,Programma!$F$3:$L$1107,7,0),"")</f>
        <v/>
      </c>
      <c r="BK944" s="300" t="str">
        <f>_xlfn.IFNA(VLOOKUP($BD944,Programma!$F$3:$M$1107,8,0),"")</f>
        <v/>
      </c>
      <c r="BL944" s="300" t="str">
        <f>_xlfn.IFNA(VLOOKUP($BD944,Programma!$F$3:$N$1107,9,0),"")</f>
        <v/>
      </c>
      <c r="BM944" s="300" t="str">
        <f>_xlfn.IFNA(VLOOKUP($BD944,Programma!$F$3:$O$1107,10,0),"")</f>
        <v/>
      </c>
      <c r="BN944" s="300" t="str">
        <f>_xlfn.IFNA(VLOOKUP($BD944,Programma!$F$3:$P$1107,11,0),"")</f>
        <v/>
      </c>
      <c r="BO944" s="300" t="str">
        <f>_xlfn.IFNA(VLOOKUP($BD944,Programma!$F$3:$Q$1107,12,0),"")</f>
        <v/>
      </c>
      <c r="BP944" s="300" t="str">
        <f>_xlfn.IFNA(VLOOKUP($BD944,Programma!$F$3:$R$1107,13,0),"")</f>
        <v/>
      </c>
      <c r="BQ944" s="300" t="str">
        <f>_xlfn.IFNA(VLOOKUP($BD944,Programma!$F$3:$S$1107,14,0),"")</f>
        <v/>
      </c>
      <c r="BR944" s="300" t="str">
        <f>_xlfn.IFNA(VLOOKUP($BD944,Programma!$F$3:$T$1107,15,0),"")</f>
        <v/>
      </c>
      <c r="BS944" s="300" t="str">
        <f>_xlfn.IFNA(VLOOKUP($BD944,Programma!$F$3:$U$1107,16,0),"")</f>
        <v/>
      </c>
      <c r="BT944" s="300" t="str">
        <f>_xlfn.IFNA(VLOOKUP($BD944,Programma!$F$3:$V$1107,17,0),"")</f>
        <v/>
      </c>
      <c r="BU944" s="300" t="str">
        <f>_xlfn.IFNA(VLOOKUP($BD944,Programma!$F$3:$W$1107,18,0),"")</f>
        <v/>
      </c>
      <c r="BV944" s="300" t="str">
        <f>_xlfn.IFNA(VLOOKUP($BD944,Programma!$F$3:$X$1107,19,0),"")</f>
        <v/>
      </c>
      <c r="BW944" s="300" t="str">
        <f>_xlfn.IFNA(VLOOKUP($BD944,Programma!$F$3:$Y$1107,20,0),"")</f>
        <v/>
      </c>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c r="GK944" s="4"/>
      <c r="GL944" s="4"/>
      <c r="GM944" s="4"/>
      <c r="GN944" s="4"/>
      <c r="GO944" s="4"/>
      <c r="GP944" s="4"/>
      <c r="GQ944" s="4"/>
      <c r="GR944" s="4"/>
      <c r="GS944" s="4"/>
      <c r="GT944" s="4"/>
      <c r="GU944" s="4"/>
      <c r="GV944" s="4"/>
      <c r="GW944" s="4"/>
      <c r="GX944" s="4"/>
      <c r="GY944" s="4"/>
      <c r="GZ944" s="4"/>
      <c r="HA944" s="4"/>
      <c r="HB944" s="4"/>
      <c r="HC944" s="4"/>
      <c r="HD944" s="4"/>
      <c r="HE944" s="4"/>
      <c r="HF944" s="4"/>
      <c r="HG944" s="4"/>
      <c r="HH944" s="4"/>
      <c r="HI944" s="4"/>
      <c r="HJ944" s="4"/>
      <c r="HK944" s="4"/>
      <c r="HL944" s="4"/>
    </row>
    <row r="945" spans="1:220" ht="15" customHeight="1">
      <c r="A945" s="21">
        <v>10</v>
      </c>
      <c r="B945" s="157" t="str">
        <f>VLOOKUP(Ruimtestaat[[#This Row],[Code]],Locaties[[Code]:[Locatie]],2,FALSE)</f>
        <v>Veurs Voorburg vmbo</v>
      </c>
      <c r="C945" s="157" t="str">
        <f>VLOOKUP(Ruimtestaat[[#This Row],[Code]],Locaties[[#All],[Code]:[Adres]],4,FALSE)</f>
        <v>Delflandlaan 4</v>
      </c>
      <c r="D945" s="157" t="str">
        <f>VLOOKUP(Ruimtestaat[[#This Row],[Code]],Locaties[[#All],[Code]:[Postcode]],5,FALSE)</f>
        <v>2273 CS</v>
      </c>
      <c r="E945" s="157" t="str">
        <f>VLOOKUP(Ruimtestaat[[#This Row],[Code]],Locaties[#All],6,FALSE)</f>
        <v>Voorburg</v>
      </c>
      <c r="F945" s="62"/>
      <c r="G945" s="21" t="s">
        <v>1624</v>
      </c>
      <c r="H945" s="21" t="s">
        <v>1654</v>
      </c>
      <c r="I945" s="62" t="s">
        <v>2459</v>
      </c>
      <c r="J945" s="21">
        <v>2</v>
      </c>
      <c r="K945" s="62" t="str">
        <f>VLOOKUP(Ruimtestaat[[#This Row],[Ruimte code]],Ruimtegroepen[[#All],[Code]:[Ruimte omschrijving]],2,FALSE)</f>
        <v>Kantoren</v>
      </c>
      <c r="L945" s="33" t="s">
        <v>100</v>
      </c>
      <c r="M945" s="367" t="s">
        <v>36</v>
      </c>
      <c r="N945" s="140">
        <v>15.9</v>
      </c>
      <c r="O945" s="140"/>
      <c r="P945" s="125" t="str">
        <f>VLOOKUP(Ruimtestaat[[#This Row],[Ruimte code]],Ruimtegroepen[],4,FALSE)</f>
        <v>Bu</v>
      </c>
      <c r="R945" s="33">
        <v>42</v>
      </c>
      <c r="S945" s="33" t="s">
        <v>18</v>
      </c>
      <c r="T945" s="33">
        <f>IF(R945&gt;0,IF(RIGHT(Ruimtestaat[[#This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45" s="33">
        <f>IF(T945&gt;0,VLOOKUP($J945,Ruimtegroepen[],3,FALSE)*VLOOKUP($L945,Vloersoorten[],3,FALSE)*VLOOKUP($S945,Frequenties[],3,FALSE)*VLOOKUP($A945,Locaties[],3,FALSE),0)</f>
        <v>0</v>
      </c>
      <c r="V945" s="33">
        <f>Ruimtestaat[[#This Row],[Uitvoeringen werkdagen]]*Ruimtestaat[[#This Row],[Oppervlak (netto)]]</f>
        <v>2003.4</v>
      </c>
      <c r="W945" s="154">
        <f>IF(U945&gt;0,Ruimtestaat[[#This Row],[Prest. (m2 /jaar) werkdagen]]/Ruimtestaat[[#This Row],[Norm (m2/uur) werkdagen]],0)</f>
        <v>0</v>
      </c>
      <c r="X945" s="155">
        <f>Ruimtestaat[[#This Row],[uren / jaar werkdagen]]*Tariefsopbouw!$E$35</f>
        <v>0</v>
      </c>
      <c r="Y945" s="33"/>
      <c r="Z945" s="33">
        <f>IF(Ruimtestaat[[#This Row],[Frequentie weekend]]&gt;0,VALUE(LEFT(Y945,1))*R945,0)</f>
        <v>0</v>
      </c>
      <c r="AA945" s="97">
        <f>IF($Z945&gt;0,VLOOKUP($J945,Ruimtegroepen[],3,FALSE)*VLOOKUP($L945,Vloersoorten[],3,FALSE)*VLOOKUP($Y945,Frequenties[],3,FALSE)*VLOOKUP(Ruimtestaat[[#This Row],[Code]],Locaties[],3,FALSE),0)</f>
        <v>0</v>
      </c>
      <c r="AB945" s="97">
        <f>Ruimtestaat[[#This Row],[Uitvoeringen weekend]]*Ruimtestaat[[#This Row],[Oppervlak (netto)]]</f>
        <v>0</v>
      </c>
      <c r="AC945" s="97">
        <f>IF(AA945&gt;0,Ruimtestaat[[#This Row],[Prest. (m2 /jaar) weekend]]/Ruimtestaat[[#This Row],[Norm (m2/uur) weekend]],0)</f>
        <v>0</v>
      </c>
      <c r="AD945" s="155">
        <f>Ruimtestaat[[#This Row],[uren / jaar weekend]]*Tariefsopbouw!$D$40</f>
        <v>0</v>
      </c>
      <c r="AE945" s="154">
        <f>Ruimtestaat[[#This Row],[Prest. (m2 /jaar) weekend]]+Ruimtestaat[[#This Row],[Prest. (m2 /jaar) werkdagen]]</f>
        <v>2003.4</v>
      </c>
      <c r="AF945" s="154">
        <f>Ruimtestaat[[#This Row],[uren / jaar weekend]]+Ruimtestaat[[#This Row],[uren / jaar werkdagen]]</f>
        <v>0</v>
      </c>
      <c r="AG945" s="69">
        <f>Ruimtestaat[[#This Row],[kosten / jaar weekend]]+Ruimtestaat[[#This Row],[kosten / jaar werkdagen]]</f>
        <v>0</v>
      </c>
      <c r="AH945" s="69"/>
      <c r="AI945" s="256" t="str">
        <f>IF(Ruimtestaat[[#This Row],[Frequentie werkdagen]]="","",_xlfn.CONCAT(Ruimtestaat[[#This Row],[Ruimte code]],"-",Ruimtestaat[[#This Row],[Frequentie werkdagen]]," ",Ruimtestaat[[#This Row],[Vloer code]]))</f>
        <v>2-3w T</v>
      </c>
      <c r="AJ945" s="300" t="str">
        <f>_xlfn.IFNA(VLOOKUP($AI945,Programma!$F$3:$G$1107,2,0),"")</f>
        <v>2w</v>
      </c>
      <c r="AK945" s="300" t="str">
        <f>_xlfn.IFNA(VLOOKUP($AI945,Programma!$F$3:$H$1107,3,0),"")</f>
        <v>1w</v>
      </c>
      <c r="AL945" s="300" t="str">
        <f>_xlfn.IFNA(VLOOKUP($AI945,Programma!$F$3:$I$1107,4,0),"")</f>
        <v>_</v>
      </c>
      <c r="AM945" s="300" t="str">
        <f>_xlfn.IFNA(VLOOKUP($AI945,Programma!$F$3:$J$1107,5,0),"")</f>
        <v>_</v>
      </c>
      <c r="AN945" s="300" t="str">
        <f>_xlfn.IFNA(VLOOKUP($AI945,Programma!$F$3:$K$1107,6,0),"")</f>
        <v>_</v>
      </c>
      <c r="AO945" s="300" t="str">
        <f>_xlfn.IFNA(VLOOKUP($AI945,Programma!$F$3:$L$1107,7,0),"")</f>
        <v>_</v>
      </c>
      <c r="AP945" s="300" t="str">
        <f>_xlfn.IFNA(VLOOKUP($AI945,Programma!$F$3:$M$1107,8,0),"")</f>
        <v>_</v>
      </c>
      <c r="AQ945" s="300" t="str">
        <f>_xlfn.IFNA(VLOOKUP($AI945,Programma!$F$3:$N$1107,9,0),"")</f>
        <v>_</v>
      </c>
      <c r="AR945" s="300" t="str">
        <f>_xlfn.IFNA(VLOOKUP($AI945,Programma!$F$3:$O$1107,10,0),"")</f>
        <v>3w</v>
      </c>
      <c r="AS945" s="300" t="str">
        <f>_xlfn.IFNA(VLOOKUP($AI945,Programma!$F$3:$P$1107,11,0),"")</f>
        <v>3w</v>
      </c>
      <c r="AT945" s="300" t="str">
        <f>_xlfn.IFNA(VLOOKUP($AI945,Programma!$F$3:$Q$1107,12,0),"")</f>
        <v>1w</v>
      </c>
      <c r="AU945" s="300" t="str">
        <f>_xlfn.IFNA(VLOOKUP($AI945,Programma!$F$3:$R$1107,13,0),"")</f>
        <v>1w</v>
      </c>
      <c r="AV945" s="300" t="str">
        <f>_xlfn.IFNA(VLOOKUP($AI945,Programma!$F$3:$S$1107,14,0),"")</f>
        <v>1m</v>
      </c>
      <c r="AW945" s="300" t="str">
        <f>_xlfn.IFNA(VLOOKUP($AI945,Programma!$F$3:$T$1107,15,0),"")</f>
        <v>2j</v>
      </c>
      <c r="AX945" s="300" t="str">
        <f>_xlfn.IFNA(VLOOKUP($AI945,Programma!$F$3:$U$1107,16,0),"")</f>
        <v>1j</v>
      </c>
      <c r="AY945" s="300" t="str">
        <f>_xlfn.IFNA(VLOOKUP($AI945,Programma!$F$3:$V$1107,17,0),"")</f>
        <v>_</v>
      </c>
      <c r="AZ945" s="300" t="str">
        <f>_xlfn.IFNA(VLOOKUP($AI945,Programma!$F$3:$W$1107,18,0),"")</f>
        <v>_</v>
      </c>
      <c r="BA945" s="300" t="str">
        <f>_xlfn.IFNA(VLOOKUP($AI945,Programma!$F$3:$X$1107,19,0),"")</f>
        <v>_</v>
      </c>
      <c r="BB945" s="300" t="str">
        <f>_xlfn.IFNA(VLOOKUP($AI945,Programma!$F$3:$Y$1107,20,0),"")</f>
        <v>_</v>
      </c>
      <c r="BC945" s="257"/>
      <c r="BD945" s="256" t="str">
        <f>IF(Ruimtestaat[[#This Row],[Frequentie weekend]]="","",_xlfn.CONCAT(Ruimtestaat[[#This Row],[Ruimte code]],"-",Ruimtestaat[[#This Row],[Frequentie weekend]]," ",Ruimtestaat[[#This Row],[Vloer code]]))</f>
        <v/>
      </c>
      <c r="BE945" s="300" t="str">
        <f>_xlfn.IFNA(VLOOKUP($BD945,Programma!$F$3:$G$1107,2,0),"")</f>
        <v/>
      </c>
      <c r="BF945" s="300" t="str">
        <f>_xlfn.IFNA(VLOOKUP($BD945,Programma!$F$3:$H$1107,3,0),"")</f>
        <v/>
      </c>
      <c r="BG945" s="300" t="str">
        <f>_xlfn.IFNA(VLOOKUP($BD945,Programma!$F$3:$I$1107,4,0),"")</f>
        <v/>
      </c>
      <c r="BH945" s="300" t="str">
        <f>_xlfn.IFNA(VLOOKUP($BD945,Programma!$F$3:$J$1107,5,0),"")</f>
        <v/>
      </c>
      <c r="BI945" s="300" t="str">
        <f>_xlfn.IFNA(VLOOKUP($BD945,Programma!$F$3:$K$1107,6,0),"")</f>
        <v/>
      </c>
      <c r="BJ945" s="300" t="str">
        <f>_xlfn.IFNA(VLOOKUP($BD945,Programma!$F$3:$L$1107,7,0),"")</f>
        <v/>
      </c>
      <c r="BK945" s="300" t="str">
        <f>_xlfn.IFNA(VLOOKUP($BD945,Programma!$F$3:$M$1107,8,0),"")</f>
        <v/>
      </c>
      <c r="BL945" s="300" t="str">
        <f>_xlfn.IFNA(VLOOKUP($BD945,Programma!$F$3:$N$1107,9,0),"")</f>
        <v/>
      </c>
      <c r="BM945" s="300" t="str">
        <f>_xlfn.IFNA(VLOOKUP($BD945,Programma!$F$3:$O$1107,10,0),"")</f>
        <v/>
      </c>
      <c r="BN945" s="300" t="str">
        <f>_xlfn.IFNA(VLOOKUP($BD945,Programma!$F$3:$P$1107,11,0),"")</f>
        <v/>
      </c>
      <c r="BO945" s="300" t="str">
        <f>_xlfn.IFNA(VLOOKUP($BD945,Programma!$F$3:$Q$1107,12,0),"")</f>
        <v/>
      </c>
      <c r="BP945" s="300" t="str">
        <f>_xlfn.IFNA(VLOOKUP($BD945,Programma!$F$3:$R$1107,13,0),"")</f>
        <v/>
      </c>
      <c r="BQ945" s="300" t="str">
        <f>_xlfn.IFNA(VLOOKUP($BD945,Programma!$F$3:$S$1107,14,0),"")</f>
        <v/>
      </c>
      <c r="BR945" s="300" t="str">
        <f>_xlfn.IFNA(VLOOKUP($BD945,Programma!$F$3:$T$1107,15,0),"")</f>
        <v/>
      </c>
      <c r="BS945" s="300" t="str">
        <f>_xlfn.IFNA(VLOOKUP($BD945,Programma!$F$3:$U$1107,16,0),"")</f>
        <v/>
      </c>
      <c r="BT945" s="300" t="str">
        <f>_xlfn.IFNA(VLOOKUP($BD945,Programma!$F$3:$V$1107,17,0),"")</f>
        <v/>
      </c>
      <c r="BU945" s="300" t="str">
        <f>_xlfn.IFNA(VLOOKUP($BD945,Programma!$F$3:$W$1107,18,0),"")</f>
        <v/>
      </c>
      <c r="BV945" s="300" t="str">
        <f>_xlfn.IFNA(VLOOKUP($BD945,Programma!$F$3:$X$1107,19,0),"")</f>
        <v/>
      </c>
      <c r="BW945" s="300" t="str">
        <f>_xlfn.IFNA(VLOOKUP($BD945,Programma!$F$3:$Y$1107,20,0),"")</f>
        <v/>
      </c>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c r="GK945" s="4"/>
      <c r="GL945" s="4"/>
      <c r="GM945" s="4"/>
      <c r="GN945" s="4"/>
      <c r="GO945" s="4"/>
      <c r="GP945" s="4"/>
      <c r="GQ945" s="4"/>
      <c r="GR945" s="4"/>
      <c r="GS945" s="4"/>
      <c r="GT945" s="4"/>
      <c r="GU945" s="4"/>
      <c r="GV945" s="4"/>
      <c r="GW945" s="4"/>
      <c r="GX945" s="4"/>
      <c r="GY945" s="4"/>
      <c r="GZ945" s="4"/>
      <c r="HA945" s="4"/>
      <c r="HB945" s="4"/>
      <c r="HC945" s="4"/>
      <c r="HD945" s="4"/>
      <c r="HE945" s="4"/>
      <c r="HF945" s="4"/>
      <c r="HG945" s="4"/>
      <c r="HH945" s="4"/>
      <c r="HI945" s="4"/>
      <c r="HJ945" s="4"/>
      <c r="HK945" s="4"/>
      <c r="HL945" s="4"/>
    </row>
    <row r="946" spans="1:220" ht="15" customHeight="1">
      <c r="A946" s="21">
        <v>10</v>
      </c>
      <c r="B946" s="157" t="str">
        <f>VLOOKUP(Ruimtestaat[[#This Row],[Code]],Locaties[[Code]:[Locatie]],2,FALSE)</f>
        <v>Veurs Voorburg vmbo</v>
      </c>
      <c r="C946" s="157" t="str">
        <f>VLOOKUP(Ruimtestaat[[#This Row],[Code]],Locaties[[#All],[Code]:[Adres]],4,FALSE)</f>
        <v>Delflandlaan 4</v>
      </c>
      <c r="D946" s="157" t="str">
        <f>VLOOKUP(Ruimtestaat[[#This Row],[Code]],Locaties[[#All],[Code]:[Postcode]],5,FALSE)</f>
        <v>2273 CS</v>
      </c>
      <c r="E946" s="157" t="str">
        <f>VLOOKUP(Ruimtestaat[[#This Row],[Code]],Locaties[#All],6,FALSE)</f>
        <v>Voorburg</v>
      </c>
      <c r="F946" s="62"/>
      <c r="G946" s="21" t="s">
        <v>1624</v>
      </c>
      <c r="H946" s="21" t="s">
        <v>1656</v>
      </c>
      <c r="I946" s="62" t="s">
        <v>2460</v>
      </c>
      <c r="J946" s="21">
        <v>4</v>
      </c>
      <c r="K946" s="62" t="str">
        <f>VLOOKUP(Ruimtestaat[[#This Row],[Ruimte code]],Ruimtegroepen[[#All],[Code]:[Ruimte omschrijving]],2,FALSE)</f>
        <v>Vergader/spreekkamers</v>
      </c>
      <c r="L946" s="33" t="s">
        <v>101</v>
      </c>
      <c r="M946" s="367" t="s">
        <v>2506</v>
      </c>
      <c r="N946" s="140">
        <v>9.6</v>
      </c>
      <c r="O946" s="140"/>
      <c r="P946" s="125" t="str">
        <f>VLOOKUP(Ruimtestaat[[#This Row],[Ruimte code]],Ruimtegroepen[],4,FALSE)</f>
        <v>Bu</v>
      </c>
      <c r="R946" s="33">
        <v>40</v>
      </c>
      <c r="S946" s="33" t="s">
        <v>18</v>
      </c>
      <c r="T946" s="33">
        <f>IF(R946&gt;0,IF(RIGHT(Ruimtestaat[[#This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946" s="33">
        <f>IF(T946&gt;0,VLOOKUP($J946,Ruimtegroepen[],3,FALSE)*VLOOKUP($L946,Vloersoorten[],3,FALSE)*VLOOKUP($S946,Frequenties[],3,FALSE)*VLOOKUP($A946,Locaties[],3,FALSE),0)</f>
        <v>0</v>
      </c>
      <c r="V946" s="33">
        <f>Ruimtestaat[[#This Row],[Uitvoeringen werkdagen]]*Ruimtestaat[[#This Row],[Oppervlak (netto)]]</f>
        <v>1152</v>
      </c>
      <c r="W946" s="154">
        <f>IF(U946&gt;0,Ruimtestaat[[#This Row],[Prest. (m2 /jaar) werkdagen]]/Ruimtestaat[[#This Row],[Norm (m2/uur) werkdagen]],0)</f>
        <v>0</v>
      </c>
      <c r="X946" s="155">
        <f>Ruimtestaat[[#This Row],[uren / jaar werkdagen]]*Tariefsopbouw!$E$35</f>
        <v>0</v>
      </c>
      <c r="Y946" s="33"/>
      <c r="Z946" s="33">
        <f>IF(Ruimtestaat[[#This Row],[Frequentie weekend]]&gt;0,VALUE(LEFT(Y946,1))*R946,0)</f>
        <v>0</v>
      </c>
      <c r="AA946" s="97">
        <f>IF($Z946&gt;0,VLOOKUP($J946,Ruimtegroepen[],3,FALSE)*VLOOKUP($L946,Vloersoorten[],3,FALSE)*VLOOKUP($Y946,Frequenties[],3,FALSE)*VLOOKUP(Ruimtestaat[[#This Row],[Code]],Locaties[],3,FALSE),0)</f>
        <v>0</v>
      </c>
      <c r="AB946" s="97">
        <f>Ruimtestaat[[#This Row],[Uitvoeringen weekend]]*Ruimtestaat[[#This Row],[Oppervlak (netto)]]</f>
        <v>0</v>
      </c>
      <c r="AC946" s="97">
        <f>IF(AA946&gt;0,Ruimtestaat[[#This Row],[Prest. (m2 /jaar) weekend]]/Ruimtestaat[[#This Row],[Norm (m2/uur) weekend]],0)</f>
        <v>0</v>
      </c>
      <c r="AD946" s="155">
        <f>Ruimtestaat[[#This Row],[uren / jaar weekend]]*Tariefsopbouw!$D$40</f>
        <v>0</v>
      </c>
      <c r="AE946" s="154">
        <f>Ruimtestaat[[#This Row],[Prest. (m2 /jaar) weekend]]+Ruimtestaat[[#This Row],[Prest. (m2 /jaar) werkdagen]]</f>
        <v>1152</v>
      </c>
      <c r="AF946" s="154">
        <f>Ruimtestaat[[#This Row],[uren / jaar weekend]]+Ruimtestaat[[#This Row],[uren / jaar werkdagen]]</f>
        <v>0</v>
      </c>
      <c r="AG946" s="69">
        <f>Ruimtestaat[[#This Row],[kosten / jaar weekend]]+Ruimtestaat[[#This Row],[kosten / jaar werkdagen]]</f>
        <v>0</v>
      </c>
      <c r="AH946" s="69"/>
      <c r="AI946" s="256" t="str">
        <f>IF(Ruimtestaat[[#This Row],[Frequentie werkdagen]]="","",_xlfn.CONCAT(Ruimtestaat[[#This Row],[Ruimte code]],"-",Ruimtestaat[[#This Row],[Frequentie werkdagen]]," ",Ruimtestaat[[#This Row],[Vloer code]]))</f>
        <v>4-3w L</v>
      </c>
      <c r="AJ946" s="300" t="str">
        <f>_xlfn.IFNA(VLOOKUP($AI946,Programma!$F$3:$G$1107,2,0),"")</f>
        <v>_</v>
      </c>
      <c r="AK946" s="300" t="str">
        <f>_xlfn.IFNA(VLOOKUP($AI946,Programma!$F$3:$H$1107,3,0),"")</f>
        <v>_</v>
      </c>
      <c r="AL946" s="300" t="str">
        <f>_xlfn.IFNA(VLOOKUP($AI946,Programma!$F$3:$I$1107,4,0),"")</f>
        <v>2w</v>
      </c>
      <c r="AM946" s="300" t="str">
        <f>_xlfn.IFNA(VLOOKUP($AI946,Programma!$F$3:$J$1107,5,0),"")</f>
        <v>1w</v>
      </c>
      <c r="AN946" s="300" t="str">
        <f>_xlfn.IFNA(VLOOKUP($AI946,Programma!$F$3:$K$1107,6,0),"")</f>
        <v>_</v>
      </c>
      <c r="AO946" s="300" t="str">
        <f>_xlfn.IFNA(VLOOKUP($AI946,Programma!$F$3:$L$1107,7,0),"")</f>
        <v>_</v>
      </c>
      <c r="AP946" s="300" t="str">
        <f>_xlfn.IFNA(VLOOKUP($AI946,Programma!$F$3:$M$1107,8,0),"")</f>
        <v>_</v>
      </c>
      <c r="AQ946" s="300" t="str">
        <f>_xlfn.IFNA(VLOOKUP($AI946,Programma!$F$3:$N$1107,9,0),"")</f>
        <v>_</v>
      </c>
      <c r="AR946" s="300" t="str">
        <f>_xlfn.IFNA(VLOOKUP($AI946,Programma!$F$3:$O$1107,10,0),"")</f>
        <v>3w</v>
      </c>
      <c r="AS946" s="300" t="str">
        <f>_xlfn.IFNA(VLOOKUP($AI946,Programma!$F$3:$P$1107,11,0),"")</f>
        <v>3w</v>
      </c>
      <c r="AT946" s="300" t="str">
        <f>_xlfn.IFNA(VLOOKUP($AI946,Programma!$F$3:$Q$1107,12,0),"")</f>
        <v>1w</v>
      </c>
      <c r="AU946" s="300" t="str">
        <f>_xlfn.IFNA(VLOOKUP($AI946,Programma!$F$3:$R$1107,13,0),"")</f>
        <v>1w</v>
      </c>
      <c r="AV946" s="300" t="str">
        <f>_xlfn.IFNA(VLOOKUP($AI946,Programma!$F$3:$S$1107,14,0),"")</f>
        <v>1m</v>
      </c>
      <c r="AW946" s="300" t="str">
        <f>_xlfn.IFNA(VLOOKUP($AI946,Programma!$F$3:$T$1107,15,0),"")</f>
        <v>2j</v>
      </c>
      <c r="AX946" s="300" t="str">
        <f>_xlfn.IFNA(VLOOKUP($AI946,Programma!$F$3:$U$1107,16,0),"")</f>
        <v>1j</v>
      </c>
      <c r="AY946" s="300" t="str">
        <f>_xlfn.IFNA(VLOOKUP($AI946,Programma!$F$3:$V$1107,17,0),"")</f>
        <v>_</v>
      </c>
      <c r="AZ946" s="300" t="str">
        <f>_xlfn.IFNA(VLOOKUP($AI946,Programma!$F$3:$W$1107,18,0),"")</f>
        <v>_</v>
      </c>
      <c r="BA946" s="300" t="str">
        <f>_xlfn.IFNA(VLOOKUP($AI946,Programma!$F$3:$X$1107,19,0),"")</f>
        <v>_</v>
      </c>
      <c r="BB946" s="300" t="str">
        <f>_xlfn.IFNA(VLOOKUP($AI946,Programma!$F$3:$Y$1107,20,0),"")</f>
        <v>_</v>
      </c>
      <c r="BC946" s="257"/>
      <c r="BD946" s="256" t="str">
        <f>IF(Ruimtestaat[[#This Row],[Frequentie weekend]]="","",_xlfn.CONCAT(Ruimtestaat[[#This Row],[Ruimte code]],"-",Ruimtestaat[[#This Row],[Frequentie weekend]]," ",Ruimtestaat[[#This Row],[Vloer code]]))</f>
        <v/>
      </c>
      <c r="BE946" s="300" t="str">
        <f>_xlfn.IFNA(VLOOKUP($BD946,Programma!$F$3:$G$1107,2,0),"")</f>
        <v/>
      </c>
      <c r="BF946" s="300" t="str">
        <f>_xlfn.IFNA(VLOOKUP($BD946,Programma!$F$3:$H$1107,3,0),"")</f>
        <v/>
      </c>
      <c r="BG946" s="300" t="str">
        <f>_xlfn.IFNA(VLOOKUP($BD946,Programma!$F$3:$I$1107,4,0),"")</f>
        <v/>
      </c>
      <c r="BH946" s="300" t="str">
        <f>_xlfn.IFNA(VLOOKUP($BD946,Programma!$F$3:$J$1107,5,0),"")</f>
        <v/>
      </c>
      <c r="BI946" s="300" t="str">
        <f>_xlfn.IFNA(VLOOKUP($BD946,Programma!$F$3:$K$1107,6,0),"")</f>
        <v/>
      </c>
      <c r="BJ946" s="300" t="str">
        <f>_xlfn.IFNA(VLOOKUP($BD946,Programma!$F$3:$L$1107,7,0),"")</f>
        <v/>
      </c>
      <c r="BK946" s="300" t="str">
        <f>_xlfn.IFNA(VLOOKUP($BD946,Programma!$F$3:$M$1107,8,0),"")</f>
        <v/>
      </c>
      <c r="BL946" s="300" t="str">
        <f>_xlfn.IFNA(VLOOKUP($BD946,Programma!$F$3:$N$1107,9,0),"")</f>
        <v/>
      </c>
      <c r="BM946" s="300" t="str">
        <f>_xlfn.IFNA(VLOOKUP($BD946,Programma!$F$3:$O$1107,10,0),"")</f>
        <v/>
      </c>
      <c r="BN946" s="300" t="str">
        <f>_xlfn.IFNA(VLOOKUP($BD946,Programma!$F$3:$P$1107,11,0),"")</f>
        <v/>
      </c>
      <c r="BO946" s="300" t="str">
        <f>_xlfn.IFNA(VLOOKUP($BD946,Programma!$F$3:$Q$1107,12,0),"")</f>
        <v/>
      </c>
      <c r="BP946" s="300" t="str">
        <f>_xlfn.IFNA(VLOOKUP($BD946,Programma!$F$3:$R$1107,13,0),"")</f>
        <v/>
      </c>
      <c r="BQ946" s="300" t="str">
        <f>_xlfn.IFNA(VLOOKUP($BD946,Programma!$F$3:$S$1107,14,0),"")</f>
        <v/>
      </c>
      <c r="BR946" s="300" t="str">
        <f>_xlfn.IFNA(VLOOKUP($BD946,Programma!$F$3:$T$1107,15,0),"")</f>
        <v/>
      </c>
      <c r="BS946" s="300" t="str">
        <f>_xlfn.IFNA(VLOOKUP($BD946,Programma!$F$3:$U$1107,16,0),"")</f>
        <v/>
      </c>
      <c r="BT946" s="300" t="str">
        <f>_xlfn.IFNA(VLOOKUP($BD946,Programma!$F$3:$V$1107,17,0),"")</f>
        <v/>
      </c>
      <c r="BU946" s="300" t="str">
        <f>_xlfn.IFNA(VLOOKUP($BD946,Programma!$F$3:$W$1107,18,0),"")</f>
        <v/>
      </c>
      <c r="BV946" s="300" t="str">
        <f>_xlfn.IFNA(VLOOKUP($BD946,Programma!$F$3:$X$1107,19,0),"")</f>
        <v/>
      </c>
      <c r="BW946" s="300" t="str">
        <f>_xlfn.IFNA(VLOOKUP($BD946,Programma!$F$3:$Y$1107,20,0),"")</f>
        <v/>
      </c>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c r="GK946" s="4"/>
      <c r="GL946" s="4"/>
      <c r="GM946" s="4"/>
      <c r="GN946" s="4"/>
      <c r="GO946" s="4"/>
      <c r="GP946" s="4"/>
      <c r="GQ946" s="4"/>
      <c r="GR946" s="4"/>
      <c r="GS946" s="4"/>
      <c r="GT946" s="4"/>
      <c r="GU946" s="4"/>
      <c r="GV946" s="4"/>
      <c r="GW946" s="4"/>
      <c r="GX946" s="4"/>
      <c r="GY946" s="4"/>
      <c r="GZ946" s="4"/>
      <c r="HA946" s="4"/>
      <c r="HB946" s="4"/>
      <c r="HC946" s="4"/>
      <c r="HD946" s="4"/>
      <c r="HE946" s="4"/>
      <c r="HF946" s="4"/>
      <c r="HG946" s="4"/>
      <c r="HH946" s="4"/>
      <c r="HI946" s="4"/>
      <c r="HJ946" s="4"/>
      <c r="HK946" s="4"/>
      <c r="HL946" s="4"/>
    </row>
    <row r="947" spans="1:220" ht="15" customHeight="1">
      <c r="A947" s="21">
        <v>10</v>
      </c>
      <c r="B947" s="157" t="str">
        <f>VLOOKUP(Ruimtestaat[[#This Row],[Code]],Locaties[[Code]:[Locatie]],2,FALSE)</f>
        <v>Veurs Voorburg vmbo</v>
      </c>
      <c r="C947" s="157" t="str">
        <f>VLOOKUP(Ruimtestaat[[#This Row],[Code]],Locaties[[#All],[Code]:[Adres]],4,FALSE)</f>
        <v>Delflandlaan 4</v>
      </c>
      <c r="D947" s="157" t="str">
        <f>VLOOKUP(Ruimtestaat[[#This Row],[Code]],Locaties[[#All],[Code]:[Postcode]],5,FALSE)</f>
        <v>2273 CS</v>
      </c>
      <c r="E947" s="157" t="str">
        <f>VLOOKUP(Ruimtestaat[[#This Row],[Code]],Locaties[#All],6,FALSE)</f>
        <v>Voorburg</v>
      </c>
      <c r="F947" s="62"/>
      <c r="G947" s="21" t="s">
        <v>1624</v>
      </c>
      <c r="H947" s="21" t="s">
        <v>1658</v>
      </c>
      <c r="I947" s="62" t="s">
        <v>2461</v>
      </c>
      <c r="J947" s="21">
        <v>2</v>
      </c>
      <c r="K947" s="62" t="str">
        <f>VLOOKUP(Ruimtestaat[[#This Row],[Ruimte code]],Ruimtegroepen[[#All],[Code]:[Ruimte omschrijving]],2,FALSE)</f>
        <v>Kantoren</v>
      </c>
      <c r="L947" s="33" t="s">
        <v>100</v>
      </c>
      <c r="M947" s="367" t="s">
        <v>36</v>
      </c>
      <c r="N947" s="140">
        <v>24.5</v>
      </c>
      <c r="O947" s="140"/>
      <c r="P947" s="125" t="str">
        <f>VLOOKUP(Ruimtestaat[[#This Row],[Ruimte code]],Ruimtegroepen[],4,FALSE)</f>
        <v>Bu</v>
      </c>
      <c r="R947" s="33">
        <v>42</v>
      </c>
      <c r="S947" s="33" t="s">
        <v>18</v>
      </c>
      <c r="T947" s="33">
        <f>IF(R947&gt;0,IF(RIGHT(Ruimtestaat[[#This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47" s="33">
        <f>IF(T947&gt;0,VLOOKUP($J947,Ruimtegroepen[],3,FALSE)*VLOOKUP($L947,Vloersoorten[],3,FALSE)*VLOOKUP($S947,Frequenties[],3,FALSE)*VLOOKUP($A947,Locaties[],3,FALSE),0)</f>
        <v>0</v>
      </c>
      <c r="V947" s="33">
        <f>Ruimtestaat[[#This Row],[Uitvoeringen werkdagen]]*Ruimtestaat[[#This Row],[Oppervlak (netto)]]</f>
        <v>3087</v>
      </c>
      <c r="W947" s="154">
        <f>IF(U947&gt;0,Ruimtestaat[[#This Row],[Prest. (m2 /jaar) werkdagen]]/Ruimtestaat[[#This Row],[Norm (m2/uur) werkdagen]],0)</f>
        <v>0</v>
      </c>
      <c r="X947" s="155">
        <f>Ruimtestaat[[#This Row],[uren / jaar werkdagen]]*Tariefsopbouw!$E$35</f>
        <v>0</v>
      </c>
      <c r="Y947" s="33"/>
      <c r="Z947" s="33">
        <f>IF(Ruimtestaat[[#This Row],[Frequentie weekend]]&gt;0,VALUE(LEFT(Y947,1))*R947,0)</f>
        <v>0</v>
      </c>
      <c r="AA947" s="97">
        <f>IF($Z947&gt;0,VLOOKUP($J947,Ruimtegroepen[],3,FALSE)*VLOOKUP($L947,Vloersoorten[],3,FALSE)*VLOOKUP($Y947,Frequenties[],3,FALSE)*VLOOKUP(Ruimtestaat[[#This Row],[Code]],Locaties[],3,FALSE),0)</f>
        <v>0</v>
      </c>
      <c r="AB947" s="97">
        <f>Ruimtestaat[[#This Row],[Uitvoeringen weekend]]*Ruimtestaat[[#This Row],[Oppervlak (netto)]]</f>
        <v>0</v>
      </c>
      <c r="AC947" s="97">
        <f>IF(AA947&gt;0,Ruimtestaat[[#This Row],[Prest. (m2 /jaar) weekend]]/Ruimtestaat[[#This Row],[Norm (m2/uur) weekend]],0)</f>
        <v>0</v>
      </c>
      <c r="AD947" s="155">
        <f>Ruimtestaat[[#This Row],[uren / jaar weekend]]*Tariefsopbouw!$D$40</f>
        <v>0</v>
      </c>
      <c r="AE947" s="154">
        <f>Ruimtestaat[[#This Row],[Prest. (m2 /jaar) weekend]]+Ruimtestaat[[#This Row],[Prest. (m2 /jaar) werkdagen]]</f>
        <v>3087</v>
      </c>
      <c r="AF947" s="154">
        <f>Ruimtestaat[[#This Row],[uren / jaar weekend]]+Ruimtestaat[[#This Row],[uren / jaar werkdagen]]</f>
        <v>0</v>
      </c>
      <c r="AG947" s="69">
        <f>Ruimtestaat[[#This Row],[kosten / jaar weekend]]+Ruimtestaat[[#This Row],[kosten / jaar werkdagen]]</f>
        <v>0</v>
      </c>
      <c r="AH947" s="69"/>
      <c r="AI947" s="256" t="str">
        <f>IF(Ruimtestaat[[#This Row],[Frequentie werkdagen]]="","",_xlfn.CONCAT(Ruimtestaat[[#This Row],[Ruimte code]],"-",Ruimtestaat[[#This Row],[Frequentie werkdagen]]," ",Ruimtestaat[[#This Row],[Vloer code]]))</f>
        <v>2-3w T</v>
      </c>
      <c r="AJ947" s="300" t="str">
        <f>_xlfn.IFNA(VLOOKUP($AI947,Programma!$F$3:$G$1107,2,0),"")</f>
        <v>2w</v>
      </c>
      <c r="AK947" s="300" t="str">
        <f>_xlfn.IFNA(VLOOKUP($AI947,Programma!$F$3:$H$1107,3,0),"")</f>
        <v>1w</v>
      </c>
      <c r="AL947" s="300" t="str">
        <f>_xlfn.IFNA(VLOOKUP($AI947,Programma!$F$3:$I$1107,4,0),"")</f>
        <v>_</v>
      </c>
      <c r="AM947" s="300" t="str">
        <f>_xlfn.IFNA(VLOOKUP($AI947,Programma!$F$3:$J$1107,5,0),"")</f>
        <v>_</v>
      </c>
      <c r="AN947" s="300" t="str">
        <f>_xlfn.IFNA(VLOOKUP($AI947,Programma!$F$3:$K$1107,6,0),"")</f>
        <v>_</v>
      </c>
      <c r="AO947" s="300" t="str">
        <f>_xlfn.IFNA(VLOOKUP($AI947,Programma!$F$3:$L$1107,7,0),"")</f>
        <v>_</v>
      </c>
      <c r="AP947" s="300" t="str">
        <f>_xlfn.IFNA(VLOOKUP($AI947,Programma!$F$3:$M$1107,8,0),"")</f>
        <v>_</v>
      </c>
      <c r="AQ947" s="300" t="str">
        <f>_xlfn.IFNA(VLOOKUP($AI947,Programma!$F$3:$N$1107,9,0),"")</f>
        <v>_</v>
      </c>
      <c r="AR947" s="300" t="str">
        <f>_xlfn.IFNA(VLOOKUP($AI947,Programma!$F$3:$O$1107,10,0),"")</f>
        <v>3w</v>
      </c>
      <c r="AS947" s="300" t="str">
        <f>_xlfn.IFNA(VLOOKUP($AI947,Programma!$F$3:$P$1107,11,0),"")</f>
        <v>3w</v>
      </c>
      <c r="AT947" s="300" t="str">
        <f>_xlfn.IFNA(VLOOKUP($AI947,Programma!$F$3:$Q$1107,12,0),"")</f>
        <v>1w</v>
      </c>
      <c r="AU947" s="300" t="str">
        <f>_xlfn.IFNA(VLOOKUP($AI947,Programma!$F$3:$R$1107,13,0),"")</f>
        <v>1w</v>
      </c>
      <c r="AV947" s="300" t="str">
        <f>_xlfn.IFNA(VLOOKUP($AI947,Programma!$F$3:$S$1107,14,0),"")</f>
        <v>1m</v>
      </c>
      <c r="AW947" s="300" t="str">
        <f>_xlfn.IFNA(VLOOKUP($AI947,Programma!$F$3:$T$1107,15,0),"")</f>
        <v>2j</v>
      </c>
      <c r="AX947" s="300" t="str">
        <f>_xlfn.IFNA(VLOOKUP($AI947,Programma!$F$3:$U$1107,16,0),"")</f>
        <v>1j</v>
      </c>
      <c r="AY947" s="300" t="str">
        <f>_xlfn.IFNA(VLOOKUP($AI947,Programma!$F$3:$V$1107,17,0),"")</f>
        <v>_</v>
      </c>
      <c r="AZ947" s="300" t="str">
        <f>_xlfn.IFNA(VLOOKUP($AI947,Programma!$F$3:$W$1107,18,0),"")</f>
        <v>_</v>
      </c>
      <c r="BA947" s="300" t="str">
        <f>_xlfn.IFNA(VLOOKUP($AI947,Programma!$F$3:$X$1107,19,0),"")</f>
        <v>_</v>
      </c>
      <c r="BB947" s="300" t="str">
        <f>_xlfn.IFNA(VLOOKUP($AI947,Programma!$F$3:$Y$1107,20,0),"")</f>
        <v>_</v>
      </c>
      <c r="BC947" s="257"/>
      <c r="BD947" s="256" t="str">
        <f>IF(Ruimtestaat[[#This Row],[Frequentie weekend]]="","",_xlfn.CONCAT(Ruimtestaat[[#This Row],[Ruimte code]],"-",Ruimtestaat[[#This Row],[Frequentie weekend]]," ",Ruimtestaat[[#This Row],[Vloer code]]))</f>
        <v/>
      </c>
      <c r="BE947" s="300" t="str">
        <f>_xlfn.IFNA(VLOOKUP($BD947,Programma!$F$3:$G$1107,2,0),"")</f>
        <v/>
      </c>
      <c r="BF947" s="300" t="str">
        <f>_xlfn.IFNA(VLOOKUP($BD947,Programma!$F$3:$H$1107,3,0),"")</f>
        <v/>
      </c>
      <c r="BG947" s="300" t="str">
        <f>_xlfn.IFNA(VLOOKUP($BD947,Programma!$F$3:$I$1107,4,0),"")</f>
        <v/>
      </c>
      <c r="BH947" s="300" t="str">
        <f>_xlfn.IFNA(VLOOKUP($BD947,Programma!$F$3:$J$1107,5,0),"")</f>
        <v/>
      </c>
      <c r="BI947" s="300" t="str">
        <f>_xlfn.IFNA(VLOOKUP($BD947,Programma!$F$3:$K$1107,6,0),"")</f>
        <v/>
      </c>
      <c r="BJ947" s="300" t="str">
        <f>_xlfn.IFNA(VLOOKUP($BD947,Programma!$F$3:$L$1107,7,0),"")</f>
        <v/>
      </c>
      <c r="BK947" s="300" t="str">
        <f>_xlfn.IFNA(VLOOKUP($BD947,Programma!$F$3:$M$1107,8,0),"")</f>
        <v/>
      </c>
      <c r="BL947" s="300" t="str">
        <f>_xlfn.IFNA(VLOOKUP($BD947,Programma!$F$3:$N$1107,9,0),"")</f>
        <v/>
      </c>
      <c r="BM947" s="300" t="str">
        <f>_xlfn.IFNA(VLOOKUP($BD947,Programma!$F$3:$O$1107,10,0),"")</f>
        <v/>
      </c>
      <c r="BN947" s="300" t="str">
        <f>_xlfn.IFNA(VLOOKUP($BD947,Programma!$F$3:$P$1107,11,0),"")</f>
        <v/>
      </c>
      <c r="BO947" s="300" t="str">
        <f>_xlfn.IFNA(VLOOKUP($BD947,Programma!$F$3:$Q$1107,12,0),"")</f>
        <v/>
      </c>
      <c r="BP947" s="300" t="str">
        <f>_xlfn.IFNA(VLOOKUP($BD947,Programma!$F$3:$R$1107,13,0),"")</f>
        <v/>
      </c>
      <c r="BQ947" s="300" t="str">
        <f>_xlfn.IFNA(VLOOKUP($BD947,Programma!$F$3:$S$1107,14,0),"")</f>
        <v/>
      </c>
      <c r="BR947" s="300" t="str">
        <f>_xlfn.IFNA(VLOOKUP($BD947,Programma!$F$3:$T$1107,15,0),"")</f>
        <v/>
      </c>
      <c r="BS947" s="300" t="str">
        <f>_xlfn.IFNA(VLOOKUP($BD947,Programma!$F$3:$U$1107,16,0),"")</f>
        <v/>
      </c>
      <c r="BT947" s="300" t="str">
        <f>_xlfn.IFNA(VLOOKUP($BD947,Programma!$F$3:$V$1107,17,0),"")</f>
        <v/>
      </c>
      <c r="BU947" s="300" t="str">
        <f>_xlfn.IFNA(VLOOKUP($BD947,Programma!$F$3:$W$1107,18,0),"")</f>
        <v/>
      </c>
      <c r="BV947" s="300" t="str">
        <f>_xlfn.IFNA(VLOOKUP($BD947,Programma!$F$3:$X$1107,19,0),"")</f>
        <v/>
      </c>
      <c r="BW947" s="300" t="str">
        <f>_xlfn.IFNA(VLOOKUP($BD947,Programma!$F$3:$Y$1107,20,0),"")</f>
        <v/>
      </c>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c r="GK947" s="4"/>
      <c r="GL947" s="4"/>
      <c r="GM947" s="4"/>
      <c r="GN947" s="4"/>
      <c r="GO947" s="4"/>
      <c r="GP947" s="4"/>
      <c r="GQ947" s="4"/>
      <c r="GR947" s="4"/>
      <c r="GS947" s="4"/>
      <c r="GT947" s="4"/>
      <c r="GU947" s="4"/>
      <c r="GV947" s="4"/>
      <c r="GW947" s="4"/>
      <c r="GX947" s="4"/>
      <c r="GY947" s="4"/>
      <c r="GZ947" s="4"/>
      <c r="HA947" s="4"/>
      <c r="HB947" s="4"/>
      <c r="HC947" s="4"/>
      <c r="HD947" s="4"/>
      <c r="HE947" s="4"/>
      <c r="HF947" s="4"/>
      <c r="HG947" s="4"/>
      <c r="HH947" s="4"/>
      <c r="HI947" s="4"/>
      <c r="HJ947" s="4"/>
      <c r="HK947" s="4"/>
      <c r="HL947" s="4"/>
    </row>
    <row r="948" spans="1:220" ht="15" customHeight="1">
      <c r="A948" s="21">
        <v>10</v>
      </c>
      <c r="B948" s="157" t="str">
        <f>VLOOKUP(Ruimtestaat[[#This Row],[Code]],Locaties[[Code]:[Locatie]],2,FALSE)</f>
        <v>Veurs Voorburg vmbo</v>
      </c>
      <c r="C948" s="157" t="str">
        <f>VLOOKUP(Ruimtestaat[[#This Row],[Code]],Locaties[[#All],[Code]:[Adres]],4,FALSE)</f>
        <v>Delflandlaan 4</v>
      </c>
      <c r="D948" s="157" t="str">
        <f>VLOOKUP(Ruimtestaat[[#This Row],[Code]],Locaties[[#All],[Code]:[Postcode]],5,FALSE)</f>
        <v>2273 CS</v>
      </c>
      <c r="E948" s="157" t="str">
        <f>VLOOKUP(Ruimtestaat[[#This Row],[Code]],Locaties[#All],6,FALSE)</f>
        <v>Voorburg</v>
      </c>
      <c r="F948" s="62"/>
      <c r="G948" s="21" t="s">
        <v>1624</v>
      </c>
      <c r="H948" s="21" t="s">
        <v>1659</v>
      </c>
      <c r="I948" s="62" t="s">
        <v>2462</v>
      </c>
      <c r="J948" s="21">
        <v>16</v>
      </c>
      <c r="K948" s="62" t="str">
        <f>VLOOKUP(Ruimtestaat[[#This Row],[Ruimte code]],Ruimtegroepen[[#All],[Code]:[Ruimte omschrijving]],2,FALSE)</f>
        <v>Leslokalen theorie</v>
      </c>
      <c r="L948" s="33" t="s">
        <v>101</v>
      </c>
      <c r="M948" s="367" t="s">
        <v>2506</v>
      </c>
      <c r="N948" s="140">
        <v>53.9</v>
      </c>
      <c r="O948" s="140"/>
      <c r="P948" s="125" t="str">
        <f>VLOOKUP(Ruimtestaat[[#This Row],[Ruimte code]],Ruimtegroepen[],4,FALSE)</f>
        <v>Le</v>
      </c>
      <c r="R948" s="33">
        <v>40</v>
      </c>
      <c r="S948" s="33" t="s">
        <v>2</v>
      </c>
      <c r="T948" s="33">
        <f>IF(R948&gt;0,IF(RIGHT(Ruimtestaat[[#This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48" s="33">
        <f>IF(T948&gt;0,VLOOKUP($J948,Ruimtegroepen[],3,FALSE)*VLOOKUP($L948,Vloersoorten[],3,FALSE)*VLOOKUP($S948,Frequenties[],3,FALSE)*VLOOKUP($A948,Locaties[],3,FALSE),0)</f>
        <v>0</v>
      </c>
      <c r="V948" s="33">
        <f>Ruimtestaat[[#This Row],[Uitvoeringen werkdagen]]*Ruimtestaat[[#This Row],[Oppervlak (netto)]]</f>
        <v>10780</v>
      </c>
      <c r="W948" s="154">
        <f>IF(U948&gt;0,Ruimtestaat[[#This Row],[Prest. (m2 /jaar) werkdagen]]/Ruimtestaat[[#This Row],[Norm (m2/uur) werkdagen]],0)</f>
        <v>0</v>
      </c>
      <c r="X948" s="155">
        <f>Ruimtestaat[[#This Row],[uren / jaar werkdagen]]*Tariefsopbouw!$E$35</f>
        <v>0</v>
      </c>
      <c r="Y948" s="33"/>
      <c r="Z948" s="33">
        <f>IF(Ruimtestaat[[#This Row],[Frequentie weekend]]&gt;0,VALUE(LEFT(Y948,1))*R948,0)</f>
        <v>0</v>
      </c>
      <c r="AA948" s="97">
        <f>IF($Z948&gt;0,VLOOKUP($J948,Ruimtegroepen[],3,FALSE)*VLOOKUP($L948,Vloersoorten[],3,FALSE)*VLOOKUP($Y948,Frequenties[],3,FALSE)*VLOOKUP(Ruimtestaat[[#This Row],[Code]],Locaties[],3,FALSE),0)</f>
        <v>0</v>
      </c>
      <c r="AB948" s="97">
        <f>Ruimtestaat[[#This Row],[Uitvoeringen weekend]]*Ruimtestaat[[#This Row],[Oppervlak (netto)]]</f>
        <v>0</v>
      </c>
      <c r="AC948" s="97">
        <f>IF(AA948&gt;0,Ruimtestaat[[#This Row],[Prest. (m2 /jaar) weekend]]/Ruimtestaat[[#This Row],[Norm (m2/uur) weekend]],0)</f>
        <v>0</v>
      </c>
      <c r="AD948" s="155">
        <f>Ruimtestaat[[#This Row],[uren / jaar weekend]]*Tariefsopbouw!$D$40</f>
        <v>0</v>
      </c>
      <c r="AE948" s="154">
        <f>Ruimtestaat[[#This Row],[Prest. (m2 /jaar) weekend]]+Ruimtestaat[[#This Row],[Prest. (m2 /jaar) werkdagen]]</f>
        <v>10780</v>
      </c>
      <c r="AF948" s="154">
        <f>Ruimtestaat[[#This Row],[uren / jaar weekend]]+Ruimtestaat[[#This Row],[uren / jaar werkdagen]]</f>
        <v>0</v>
      </c>
      <c r="AG948" s="69">
        <f>Ruimtestaat[[#This Row],[kosten / jaar weekend]]+Ruimtestaat[[#This Row],[kosten / jaar werkdagen]]</f>
        <v>0</v>
      </c>
      <c r="AH948" s="69"/>
      <c r="AI948" s="256" t="str">
        <f>IF(Ruimtestaat[[#This Row],[Frequentie werkdagen]]="","",_xlfn.CONCAT(Ruimtestaat[[#This Row],[Ruimte code]],"-",Ruimtestaat[[#This Row],[Frequentie werkdagen]]," ",Ruimtestaat[[#This Row],[Vloer code]]))</f>
        <v>16-5w L</v>
      </c>
      <c r="AJ948" s="300" t="str">
        <f>_xlfn.IFNA(VLOOKUP($AI948,Programma!$F$3:$G$1107,2,0),"")</f>
        <v>_</v>
      </c>
      <c r="AK948" s="300" t="str">
        <f>_xlfn.IFNA(VLOOKUP($AI948,Programma!$F$3:$H$1107,3,0),"")</f>
        <v>_</v>
      </c>
      <c r="AL948" s="300" t="str">
        <f>_xlfn.IFNA(VLOOKUP($AI948,Programma!$F$3:$I$1107,4,0),"")</f>
        <v>4w</v>
      </c>
      <c r="AM948" s="300" t="str">
        <f>_xlfn.IFNA(VLOOKUP($AI948,Programma!$F$3:$J$1107,5,0),"")</f>
        <v>1w</v>
      </c>
      <c r="AN948" s="300" t="str">
        <f>_xlfn.IFNA(VLOOKUP($AI948,Programma!$F$3:$K$1107,6,0),"")</f>
        <v>_</v>
      </c>
      <c r="AO948" s="300" t="str">
        <f>_xlfn.IFNA(VLOOKUP($AI948,Programma!$F$3:$L$1107,7,0),"")</f>
        <v>_</v>
      </c>
      <c r="AP948" s="300" t="str">
        <f>_xlfn.IFNA(VLOOKUP($AI948,Programma!$F$3:$M$1107,8,0),"")</f>
        <v>_</v>
      </c>
      <c r="AQ948" s="300" t="str">
        <f>_xlfn.IFNA(VLOOKUP($AI948,Programma!$F$3:$N$1107,9,0),"")</f>
        <v>_</v>
      </c>
      <c r="AR948" s="300" t="str">
        <f>_xlfn.IFNA(VLOOKUP($AI948,Programma!$F$3:$O$1107,10,0),"")</f>
        <v>5w</v>
      </c>
      <c r="AS948" s="300" t="str">
        <f>_xlfn.IFNA(VLOOKUP($AI948,Programma!$F$3:$P$1107,11,0),"")</f>
        <v>5w</v>
      </c>
      <c r="AT948" s="300" t="str">
        <f>_xlfn.IFNA(VLOOKUP($AI948,Programma!$F$3:$Q$1107,12,0),"")</f>
        <v>1w</v>
      </c>
      <c r="AU948" s="300" t="str">
        <f>_xlfn.IFNA(VLOOKUP($AI948,Programma!$F$3:$R$1107,13,0),"")</f>
        <v>1w</v>
      </c>
      <c r="AV948" s="300" t="str">
        <f>_xlfn.IFNA(VLOOKUP($AI948,Programma!$F$3:$S$1107,14,0),"")</f>
        <v>1m</v>
      </c>
      <c r="AW948" s="300" t="str">
        <f>_xlfn.IFNA(VLOOKUP($AI948,Programma!$F$3:$T$1107,15,0),"")</f>
        <v>2j</v>
      </c>
      <c r="AX948" s="300" t="str">
        <f>_xlfn.IFNA(VLOOKUP($AI948,Programma!$F$3:$U$1107,16,0),"")</f>
        <v>1j</v>
      </c>
      <c r="AY948" s="300" t="str">
        <f>_xlfn.IFNA(VLOOKUP($AI948,Programma!$F$3:$V$1107,17,0),"")</f>
        <v>_</v>
      </c>
      <c r="AZ948" s="300" t="str">
        <f>_xlfn.IFNA(VLOOKUP($AI948,Programma!$F$3:$W$1107,18,0),"")</f>
        <v>_</v>
      </c>
      <c r="BA948" s="300" t="str">
        <f>_xlfn.IFNA(VLOOKUP($AI948,Programma!$F$3:$X$1107,19,0),"")</f>
        <v>_</v>
      </c>
      <c r="BB948" s="300" t="str">
        <f>_xlfn.IFNA(VLOOKUP($AI948,Programma!$F$3:$Y$1107,20,0),"")</f>
        <v>_</v>
      </c>
      <c r="BC948" s="257"/>
      <c r="BD948" s="256" t="str">
        <f>IF(Ruimtestaat[[#This Row],[Frequentie weekend]]="","",_xlfn.CONCAT(Ruimtestaat[[#This Row],[Ruimte code]],"-",Ruimtestaat[[#This Row],[Frequentie weekend]]," ",Ruimtestaat[[#This Row],[Vloer code]]))</f>
        <v/>
      </c>
      <c r="BE948" s="300" t="str">
        <f>_xlfn.IFNA(VLOOKUP($BD948,Programma!$F$3:$G$1107,2,0),"")</f>
        <v/>
      </c>
      <c r="BF948" s="300" t="str">
        <f>_xlfn.IFNA(VLOOKUP($BD948,Programma!$F$3:$H$1107,3,0),"")</f>
        <v/>
      </c>
      <c r="BG948" s="300" t="str">
        <f>_xlfn.IFNA(VLOOKUP($BD948,Programma!$F$3:$I$1107,4,0),"")</f>
        <v/>
      </c>
      <c r="BH948" s="300" t="str">
        <f>_xlfn.IFNA(VLOOKUP($BD948,Programma!$F$3:$J$1107,5,0),"")</f>
        <v/>
      </c>
      <c r="BI948" s="300" t="str">
        <f>_xlfn.IFNA(VLOOKUP($BD948,Programma!$F$3:$K$1107,6,0),"")</f>
        <v/>
      </c>
      <c r="BJ948" s="300" t="str">
        <f>_xlfn.IFNA(VLOOKUP($BD948,Programma!$F$3:$L$1107,7,0),"")</f>
        <v/>
      </c>
      <c r="BK948" s="300" t="str">
        <f>_xlfn.IFNA(VLOOKUP($BD948,Programma!$F$3:$M$1107,8,0),"")</f>
        <v/>
      </c>
      <c r="BL948" s="300" t="str">
        <f>_xlfn.IFNA(VLOOKUP($BD948,Programma!$F$3:$N$1107,9,0),"")</f>
        <v/>
      </c>
      <c r="BM948" s="300" t="str">
        <f>_xlfn.IFNA(VLOOKUP($BD948,Programma!$F$3:$O$1107,10,0),"")</f>
        <v/>
      </c>
      <c r="BN948" s="300" t="str">
        <f>_xlfn.IFNA(VLOOKUP($BD948,Programma!$F$3:$P$1107,11,0),"")</f>
        <v/>
      </c>
      <c r="BO948" s="300" t="str">
        <f>_xlfn.IFNA(VLOOKUP($BD948,Programma!$F$3:$Q$1107,12,0),"")</f>
        <v/>
      </c>
      <c r="BP948" s="300" t="str">
        <f>_xlfn.IFNA(VLOOKUP($BD948,Programma!$F$3:$R$1107,13,0),"")</f>
        <v/>
      </c>
      <c r="BQ948" s="300" t="str">
        <f>_xlfn.IFNA(VLOOKUP($BD948,Programma!$F$3:$S$1107,14,0),"")</f>
        <v/>
      </c>
      <c r="BR948" s="300" t="str">
        <f>_xlfn.IFNA(VLOOKUP($BD948,Programma!$F$3:$T$1107,15,0),"")</f>
        <v/>
      </c>
      <c r="BS948" s="300" t="str">
        <f>_xlfn.IFNA(VLOOKUP($BD948,Programma!$F$3:$U$1107,16,0),"")</f>
        <v/>
      </c>
      <c r="BT948" s="300" t="str">
        <f>_xlfn.IFNA(VLOOKUP($BD948,Programma!$F$3:$V$1107,17,0),"")</f>
        <v/>
      </c>
      <c r="BU948" s="300" t="str">
        <f>_xlfn.IFNA(VLOOKUP($BD948,Programma!$F$3:$W$1107,18,0),"")</f>
        <v/>
      </c>
      <c r="BV948" s="300" t="str">
        <f>_xlfn.IFNA(VLOOKUP($BD948,Programma!$F$3:$X$1107,19,0),"")</f>
        <v/>
      </c>
      <c r="BW948" s="300" t="str">
        <f>_xlfn.IFNA(VLOOKUP($BD948,Programma!$F$3:$Y$1107,20,0),"")</f>
        <v/>
      </c>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c r="GK948" s="4"/>
      <c r="GL948" s="4"/>
      <c r="GM948" s="4"/>
      <c r="GN948" s="4"/>
      <c r="GO948" s="4"/>
      <c r="GP948" s="4"/>
      <c r="GQ948" s="4"/>
      <c r="GR948" s="4"/>
      <c r="GS948" s="4"/>
      <c r="GT948" s="4"/>
      <c r="GU948" s="4"/>
      <c r="GV948" s="4"/>
      <c r="GW948" s="4"/>
      <c r="GX948" s="4"/>
      <c r="GY948" s="4"/>
      <c r="GZ948" s="4"/>
      <c r="HA948" s="4"/>
      <c r="HB948" s="4"/>
      <c r="HC948" s="4"/>
      <c r="HD948" s="4"/>
      <c r="HE948" s="4"/>
      <c r="HF948" s="4"/>
      <c r="HG948" s="4"/>
      <c r="HH948" s="4"/>
      <c r="HI948" s="4"/>
      <c r="HJ948" s="4"/>
      <c r="HK948" s="4"/>
      <c r="HL948" s="4"/>
    </row>
    <row r="949" spans="1:220" ht="15" customHeight="1">
      <c r="A949" s="21">
        <v>10</v>
      </c>
      <c r="B949" s="157" t="str">
        <f>VLOOKUP(Ruimtestaat[[#This Row],[Code]],Locaties[[Code]:[Locatie]],2,FALSE)</f>
        <v>Veurs Voorburg vmbo</v>
      </c>
      <c r="C949" s="157" t="str">
        <f>VLOOKUP(Ruimtestaat[[#This Row],[Code]],Locaties[[#All],[Code]:[Adres]],4,FALSE)</f>
        <v>Delflandlaan 4</v>
      </c>
      <c r="D949" s="157" t="str">
        <f>VLOOKUP(Ruimtestaat[[#This Row],[Code]],Locaties[[#All],[Code]:[Postcode]],5,FALSE)</f>
        <v>2273 CS</v>
      </c>
      <c r="E949" s="157" t="str">
        <f>VLOOKUP(Ruimtestaat[[#This Row],[Code]],Locaties[#All],6,FALSE)</f>
        <v>Voorburg</v>
      </c>
      <c r="F949" s="62"/>
      <c r="G949" s="21" t="s">
        <v>1624</v>
      </c>
      <c r="H949" s="21" t="s">
        <v>1661</v>
      </c>
      <c r="I949" s="62" t="s">
        <v>2462</v>
      </c>
      <c r="J949" s="21">
        <v>16</v>
      </c>
      <c r="K949" s="62" t="str">
        <f>VLOOKUP(Ruimtestaat[[#This Row],[Ruimte code]],Ruimtegroepen[[#All],[Code]:[Ruimte omschrijving]],2,FALSE)</f>
        <v>Leslokalen theorie</v>
      </c>
      <c r="L949" s="33" t="s">
        <v>101</v>
      </c>
      <c r="M949" s="367" t="s">
        <v>2506</v>
      </c>
      <c r="N949" s="140">
        <v>55.7</v>
      </c>
      <c r="O949" s="140"/>
      <c r="P949" s="125" t="str">
        <f>VLOOKUP(Ruimtestaat[[#This Row],[Ruimte code]],Ruimtegroepen[],4,FALSE)</f>
        <v>Le</v>
      </c>
      <c r="R949" s="33">
        <v>40</v>
      </c>
      <c r="S949" s="33" t="s">
        <v>2</v>
      </c>
      <c r="T949" s="33">
        <f>IF(R949&gt;0,IF(RIGHT(Ruimtestaat[[#This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49" s="33">
        <f>IF(T949&gt;0,VLOOKUP($J949,Ruimtegroepen[],3,FALSE)*VLOOKUP($L949,Vloersoorten[],3,FALSE)*VLOOKUP($S949,Frequenties[],3,FALSE)*VLOOKUP($A949,Locaties[],3,FALSE),0)</f>
        <v>0</v>
      </c>
      <c r="V949" s="33">
        <f>Ruimtestaat[[#This Row],[Uitvoeringen werkdagen]]*Ruimtestaat[[#This Row],[Oppervlak (netto)]]</f>
        <v>11140</v>
      </c>
      <c r="W949" s="154">
        <f>IF(U949&gt;0,Ruimtestaat[[#This Row],[Prest. (m2 /jaar) werkdagen]]/Ruimtestaat[[#This Row],[Norm (m2/uur) werkdagen]],0)</f>
        <v>0</v>
      </c>
      <c r="X949" s="155">
        <f>Ruimtestaat[[#This Row],[uren / jaar werkdagen]]*Tariefsopbouw!$E$35</f>
        <v>0</v>
      </c>
      <c r="Y949" s="33"/>
      <c r="Z949" s="33">
        <f>IF(Ruimtestaat[[#This Row],[Frequentie weekend]]&gt;0,VALUE(LEFT(Y949,1))*R949,0)</f>
        <v>0</v>
      </c>
      <c r="AA949" s="97">
        <f>IF($Z949&gt;0,VLOOKUP($J949,Ruimtegroepen[],3,FALSE)*VLOOKUP($L949,Vloersoorten[],3,FALSE)*VLOOKUP($Y949,Frequenties[],3,FALSE)*VLOOKUP(Ruimtestaat[[#This Row],[Code]],Locaties[],3,FALSE),0)</f>
        <v>0</v>
      </c>
      <c r="AB949" s="97">
        <f>Ruimtestaat[[#This Row],[Uitvoeringen weekend]]*Ruimtestaat[[#This Row],[Oppervlak (netto)]]</f>
        <v>0</v>
      </c>
      <c r="AC949" s="97">
        <f>IF(AA949&gt;0,Ruimtestaat[[#This Row],[Prest. (m2 /jaar) weekend]]/Ruimtestaat[[#This Row],[Norm (m2/uur) weekend]],0)</f>
        <v>0</v>
      </c>
      <c r="AD949" s="155">
        <f>Ruimtestaat[[#This Row],[uren / jaar weekend]]*Tariefsopbouw!$D$40</f>
        <v>0</v>
      </c>
      <c r="AE949" s="154">
        <f>Ruimtestaat[[#This Row],[Prest. (m2 /jaar) weekend]]+Ruimtestaat[[#This Row],[Prest. (m2 /jaar) werkdagen]]</f>
        <v>11140</v>
      </c>
      <c r="AF949" s="154">
        <f>Ruimtestaat[[#This Row],[uren / jaar weekend]]+Ruimtestaat[[#This Row],[uren / jaar werkdagen]]</f>
        <v>0</v>
      </c>
      <c r="AG949" s="69">
        <f>Ruimtestaat[[#This Row],[kosten / jaar weekend]]+Ruimtestaat[[#This Row],[kosten / jaar werkdagen]]</f>
        <v>0</v>
      </c>
      <c r="AH949" s="69"/>
      <c r="AI949" s="256" t="str">
        <f>IF(Ruimtestaat[[#This Row],[Frequentie werkdagen]]="","",_xlfn.CONCAT(Ruimtestaat[[#This Row],[Ruimte code]],"-",Ruimtestaat[[#This Row],[Frequentie werkdagen]]," ",Ruimtestaat[[#This Row],[Vloer code]]))</f>
        <v>16-5w L</v>
      </c>
      <c r="AJ949" s="300" t="str">
        <f>_xlfn.IFNA(VLOOKUP($AI949,Programma!$F$3:$G$1107,2,0),"")</f>
        <v>_</v>
      </c>
      <c r="AK949" s="300" t="str">
        <f>_xlfn.IFNA(VLOOKUP($AI949,Programma!$F$3:$H$1107,3,0),"")</f>
        <v>_</v>
      </c>
      <c r="AL949" s="300" t="str">
        <f>_xlfn.IFNA(VLOOKUP($AI949,Programma!$F$3:$I$1107,4,0),"")</f>
        <v>4w</v>
      </c>
      <c r="AM949" s="300" t="str">
        <f>_xlfn.IFNA(VLOOKUP($AI949,Programma!$F$3:$J$1107,5,0),"")</f>
        <v>1w</v>
      </c>
      <c r="AN949" s="300" t="str">
        <f>_xlfn.IFNA(VLOOKUP($AI949,Programma!$F$3:$K$1107,6,0),"")</f>
        <v>_</v>
      </c>
      <c r="AO949" s="300" t="str">
        <f>_xlfn.IFNA(VLOOKUP($AI949,Programma!$F$3:$L$1107,7,0),"")</f>
        <v>_</v>
      </c>
      <c r="AP949" s="300" t="str">
        <f>_xlfn.IFNA(VLOOKUP($AI949,Programma!$F$3:$M$1107,8,0),"")</f>
        <v>_</v>
      </c>
      <c r="AQ949" s="300" t="str">
        <f>_xlfn.IFNA(VLOOKUP($AI949,Programma!$F$3:$N$1107,9,0),"")</f>
        <v>_</v>
      </c>
      <c r="AR949" s="300" t="str">
        <f>_xlfn.IFNA(VLOOKUP($AI949,Programma!$F$3:$O$1107,10,0),"")</f>
        <v>5w</v>
      </c>
      <c r="AS949" s="300" t="str">
        <f>_xlfn.IFNA(VLOOKUP($AI949,Programma!$F$3:$P$1107,11,0),"")</f>
        <v>5w</v>
      </c>
      <c r="AT949" s="300" t="str">
        <f>_xlfn.IFNA(VLOOKUP($AI949,Programma!$F$3:$Q$1107,12,0),"")</f>
        <v>1w</v>
      </c>
      <c r="AU949" s="300" t="str">
        <f>_xlfn.IFNA(VLOOKUP($AI949,Programma!$F$3:$R$1107,13,0),"")</f>
        <v>1w</v>
      </c>
      <c r="AV949" s="300" t="str">
        <f>_xlfn.IFNA(VLOOKUP($AI949,Programma!$F$3:$S$1107,14,0),"")</f>
        <v>1m</v>
      </c>
      <c r="AW949" s="300" t="str">
        <f>_xlfn.IFNA(VLOOKUP($AI949,Programma!$F$3:$T$1107,15,0),"")</f>
        <v>2j</v>
      </c>
      <c r="AX949" s="300" t="str">
        <f>_xlfn.IFNA(VLOOKUP($AI949,Programma!$F$3:$U$1107,16,0),"")</f>
        <v>1j</v>
      </c>
      <c r="AY949" s="300" t="str">
        <f>_xlfn.IFNA(VLOOKUP($AI949,Programma!$F$3:$V$1107,17,0),"")</f>
        <v>_</v>
      </c>
      <c r="AZ949" s="300" t="str">
        <f>_xlfn.IFNA(VLOOKUP($AI949,Programma!$F$3:$W$1107,18,0),"")</f>
        <v>_</v>
      </c>
      <c r="BA949" s="300" t="str">
        <f>_xlfn.IFNA(VLOOKUP($AI949,Programma!$F$3:$X$1107,19,0),"")</f>
        <v>_</v>
      </c>
      <c r="BB949" s="300" t="str">
        <f>_xlfn.IFNA(VLOOKUP($AI949,Programma!$F$3:$Y$1107,20,0),"")</f>
        <v>_</v>
      </c>
      <c r="BC949" s="257"/>
      <c r="BD949" s="256" t="str">
        <f>IF(Ruimtestaat[[#This Row],[Frequentie weekend]]="","",_xlfn.CONCAT(Ruimtestaat[[#This Row],[Ruimte code]],"-",Ruimtestaat[[#This Row],[Frequentie weekend]]," ",Ruimtestaat[[#This Row],[Vloer code]]))</f>
        <v/>
      </c>
      <c r="BE949" s="300" t="str">
        <f>_xlfn.IFNA(VLOOKUP($BD949,Programma!$F$3:$G$1107,2,0),"")</f>
        <v/>
      </c>
      <c r="BF949" s="300" t="str">
        <f>_xlfn.IFNA(VLOOKUP($BD949,Programma!$F$3:$H$1107,3,0),"")</f>
        <v/>
      </c>
      <c r="BG949" s="300" t="str">
        <f>_xlfn.IFNA(VLOOKUP($BD949,Programma!$F$3:$I$1107,4,0),"")</f>
        <v/>
      </c>
      <c r="BH949" s="300" t="str">
        <f>_xlfn.IFNA(VLOOKUP($BD949,Programma!$F$3:$J$1107,5,0),"")</f>
        <v/>
      </c>
      <c r="BI949" s="300" t="str">
        <f>_xlfn.IFNA(VLOOKUP($BD949,Programma!$F$3:$K$1107,6,0),"")</f>
        <v/>
      </c>
      <c r="BJ949" s="300" t="str">
        <f>_xlfn.IFNA(VLOOKUP($BD949,Programma!$F$3:$L$1107,7,0),"")</f>
        <v/>
      </c>
      <c r="BK949" s="300" t="str">
        <f>_xlfn.IFNA(VLOOKUP($BD949,Programma!$F$3:$M$1107,8,0),"")</f>
        <v/>
      </c>
      <c r="BL949" s="300" t="str">
        <f>_xlfn.IFNA(VLOOKUP($BD949,Programma!$F$3:$N$1107,9,0),"")</f>
        <v/>
      </c>
      <c r="BM949" s="300" t="str">
        <f>_xlfn.IFNA(VLOOKUP($BD949,Programma!$F$3:$O$1107,10,0),"")</f>
        <v/>
      </c>
      <c r="BN949" s="300" t="str">
        <f>_xlfn.IFNA(VLOOKUP($BD949,Programma!$F$3:$P$1107,11,0),"")</f>
        <v/>
      </c>
      <c r="BO949" s="300" t="str">
        <f>_xlfn.IFNA(VLOOKUP($BD949,Programma!$F$3:$Q$1107,12,0),"")</f>
        <v/>
      </c>
      <c r="BP949" s="300" t="str">
        <f>_xlfn.IFNA(VLOOKUP($BD949,Programma!$F$3:$R$1107,13,0),"")</f>
        <v/>
      </c>
      <c r="BQ949" s="300" t="str">
        <f>_xlfn.IFNA(VLOOKUP($BD949,Programma!$F$3:$S$1107,14,0),"")</f>
        <v/>
      </c>
      <c r="BR949" s="300" t="str">
        <f>_xlfn.IFNA(VLOOKUP($BD949,Programma!$F$3:$T$1107,15,0),"")</f>
        <v/>
      </c>
      <c r="BS949" s="300" t="str">
        <f>_xlfn.IFNA(VLOOKUP($BD949,Programma!$F$3:$U$1107,16,0),"")</f>
        <v/>
      </c>
      <c r="BT949" s="300" t="str">
        <f>_xlfn.IFNA(VLOOKUP($BD949,Programma!$F$3:$V$1107,17,0),"")</f>
        <v/>
      </c>
      <c r="BU949" s="300" t="str">
        <f>_xlfn.IFNA(VLOOKUP($BD949,Programma!$F$3:$W$1107,18,0),"")</f>
        <v/>
      </c>
      <c r="BV949" s="300" t="str">
        <f>_xlfn.IFNA(VLOOKUP($BD949,Programma!$F$3:$X$1107,19,0),"")</f>
        <v/>
      </c>
      <c r="BW949" s="300" t="str">
        <f>_xlfn.IFNA(VLOOKUP($BD949,Programma!$F$3:$Y$1107,20,0),"")</f>
        <v/>
      </c>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c r="GK949" s="4"/>
      <c r="GL949" s="4"/>
      <c r="GM949" s="4"/>
      <c r="GN949" s="4"/>
      <c r="GO949" s="4"/>
      <c r="GP949" s="4"/>
      <c r="GQ949" s="4"/>
      <c r="GR949" s="4"/>
      <c r="GS949" s="4"/>
      <c r="GT949" s="4"/>
      <c r="GU949" s="4"/>
      <c r="GV949" s="4"/>
      <c r="GW949" s="4"/>
      <c r="GX949" s="4"/>
      <c r="GY949" s="4"/>
      <c r="GZ949" s="4"/>
      <c r="HA949" s="4"/>
      <c r="HB949" s="4"/>
      <c r="HC949" s="4"/>
      <c r="HD949" s="4"/>
      <c r="HE949" s="4"/>
      <c r="HF949" s="4"/>
      <c r="HG949" s="4"/>
      <c r="HH949" s="4"/>
      <c r="HI949" s="4"/>
      <c r="HJ949" s="4"/>
      <c r="HK949" s="4"/>
      <c r="HL949" s="4"/>
    </row>
    <row r="950" spans="1:220" ht="15" customHeight="1">
      <c r="A950" s="21">
        <v>10</v>
      </c>
      <c r="B950" s="157" t="str">
        <f>VLOOKUP(Ruimtestaat[[#This Row],[Code]],Locaties[[Code]:[Locatie]],2,FALSE)</f>
        <v>Veurs Voorburg vmbo</v>
      </c>
      <c r="C950" s="157" t="str">
        <f>VLOOKUP(Ruimtestaat[[#This Row],[Code]],Locaties[[#All],[Code]:[Adres]],4,FALSE)</f>
        <v>Delflandlaan 4</v>
      </c>
      <c r="D950" s="157" t="str">
        <f>VLOOKUP(Ruimtestaat[[#This Row],[Code]],Locaties[[#All],[Code]:[Postcode]],5,FALSE)</f>
        <v>2273 CS</v>
      </c>
      <c r="E950" s="157" t="str">
        <f>VLOOKUP(Ruimtestaat[[#This Row],[Code]],Locaties[#All],6,FALSE)</f>
        <v>Voorburg</v>
      </c>
      <c r="F950" s="62"/>
      <c r="G950" s="21" t="s">
        <v>1624</v>
      </c>
      <c r="H950" s="21" t="s">
        <v>1663</v>
      </c>
      <c r="I950" s="62" t="s">
        <v>2463</v>
      </c>
      <c r="J950" s="21">
        <v>16</v>
      </c>
      <c r="K950" s="62" t="str">
        <f>VLOOKUP(Ruimtestaat[[#This Row],[Ruimte code]],Ruimtegroepen[[#All],[Code]:[Ruimte omschrijving]],2,FALSE)</f>
        <v>Leslokalen theorie</v>
      </c>
      <c r="L950" s="33" t="s">
        <v>101</v>
      </c>
      <c r="M950" s="367" t="s">
        <v>2506</v>
      </c>
      <c r="N950" s="140">
        <v>63.5</v>
      </c>
      <c r="O950" s="140"/>
      <c r="P950" s="125" t="str">
        <f>VLOOKUP(Ruimtestaat[[#This Row],[Ruimte code]],Ruimtegroepen[],4,FALSE)</f>
        <v>Le</v>
      </c>
      <c r="R950" s="33">
        <v>40</v>
      </c>
      <c r="S950" s="33" t="s">
        <v>2</v>
      </c>
      <c r="T950" s="33">
        <f>IF(R950&gt;0,IF(RIGHT(Ruimtestaat[[#This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0" s="33">
        <f>IF(T950&gt;0,VLOOKUP($J950,Ruimtegroepen[],3,FALSE)*VLOOKUP($L950,Vloersoorten[],3,FALSE)*VLOOKUP($S950,Frequenties[],3,FALSE)*VLOOKUP($A950,Locaties[],3,FALSE),0)</f>
        <v>0</v>
      </c>
      <c r="V950" s="33">
        <f>Ruimtestaat[[#This Row],[Uitvoeringen werkdagen]]*Ruimtestaat[[#This Row],[Oppervlak (netto)]]</f>
        <v>12700</v>
      </c>
      <c r="W950" s="154">
        <f>IF(U950&gt;0,Ruimtestaat[[#This Row],[Prest. (m2 /jaar) werkdagen]]/Ruimtestaat[[#This Row],[Norm (m2/uur) werkdagen]],0)</f>
        <v>0</v>
      </c>
      <c r="X950" s="155">
        <f>Ruimtestaat[[#This Row],[uren / jaar werkdagen]]*Tariefsopbouw!$E$35</f>
        <v>0</v>
      </c>
      <c r="Y950" s="33"/>
      <c r="Z950" s="33">
        <f>IF(Ruimtestaat[[#This Row],[Frequentie weekend]]&gt;0,VALUE(LEFT(Y950,1))*R950,0)</f>
        <v>0</v>
      </c>
      <c r="AA950" s="97">
        <f>IF($Z950&gt;0,VLOOKUP($J950,Ruimtegroepen[],3,FALSE)*VLOOKUP($L950,Vloersoorten[],3,FALSE)*VLOOKUP($Y950,Frequenties[],3,FALSE)*VLOOKUP(Ruimtestaat[[#This Row],[Code]],Locaties[],3,FALSE),0)</f>
        <v>0</v>
      </c>
      <c r="AB950" s="97">
        <f>Ruimtestaat[[#This Row],[Uitvoeringen weekend]]*Ruimtestaat[[#This Row],[Oppervlak (netto)]]</f>
        <v>0</v>
      </c>
      <c r="AC950" s="97">
        <f>IF(AA950&gt;0,Ruimtestaat[[#This Row],[Prest. (m2 /jaar) weekend]]/Ruimtestaat[[#This Row],[Norm (m2/uur) weekend]],0)</f>
        <v>0</v>
      </c>
      <c r="AD950" s="155">
        <f>Ruimtestaat[[#This Row],[uren / jaar weekend]]*Tariefsopbouw!$D$40</f>
        <v>0</v>
      </c>
      <c r="AE950" s="154">
        <f>Ruimtestaat[[#This Row],[Prest. (m2 /jaar) weekend]]+Ruimtestaat[[#This Row],[Prest. (m2 /jaar) werkdagen]]</f>
        <v>12700</v>
      </c>
      <c r="AF950" s="154">
        <f>Ruimtestaat[[#This Row],[uren / jaar weekend]]+Ruimtestaat[[#This Row],[uren / jaar werkdagen]]</f>
        <v>0</v>
      </c>
      <c r="AG950" s="69">
        <f>Ruimtestaat[[#This Row],[kosten / jaar weekend]]+Ruimtestaat[[#This Row],[kosten / jaar werkdagen]]</f>
        <v>0</v>
      </c>
      <c r="AH950" s="69"/>
      <c r="AI950" s="256" t="str">
        <f>IF(Ruimtestaat[[#This Row],[Frequentie werkdagen]]="","",_xlfn.CONCAT(Ruimtestaat[[#This Row],[Ruimte code]],"-",Ruimtestaat[[#This Row],[Frequentie werkdagen]]," ",Ruimtestaat[[#This Row],[Vloer code]]))</f>
        <v>16-5w L</v>
      </c>
      <c r="AJ950" s="300" t="str">
        <f>_xlfn.IFNA(VLOOKUP($AI950,Programma!$F$3:$G$1107,2,0),"")</f>
        <v>_</v>
      </c>
      <c r="AK950" s="300" t="str">
        <f>_xlfn.IFNA(VLOOKUP($AI950,Programma!$F$3:$H$1107,3,0),"")</f>
        <v>_</v>
      </c>
      <c r="AL950" s="300" t="str">
        <f>_xlfn.IFNA(VLOOKUP($AI950,Programma!$F$3:$I$1107,4,0),"")</f>
        <v>4w</v>
      </c>
      <c r="AM950" s="300" t="str">
        <f>_xlfn.IFNA(VLOOKUP($AI950,Programma!$F$3:$J$1107,5,0),"")</f>
        <v>1w</v>
      </c>
      <c r="AN950" s="300" t="str">
        <f>_xlfn.IFNA(VLOOKUP($AI950,Programma!$F$3:$K$1107,6,0),"")</f>
        <v>_</v>
      </c>
      <c r="AO950" s="300" t="str">
        <f>_xlfn.IFNA(VLOOKUP($AI950,Programma!$F$3:$L$1107,7,0),"")</f>
        <v>_</v>
      </c>
      <c r="AP950" s="300" t="str">
        <f>_xlfn.IFNA(VLOOKUP($AI950,Programma!$F$3:$M$1107,8,0),"")</f>
        <v>_</v>
      </c>
      <c r="AQ950" s="300" t="str">
        <f>_xlfn.IFNA(VLOOKUP($AI950,Programma!$F$3:$N$1107,9,0),"")</f>
        <v>_</v>
      </c>
      <c r="AR950" s="300" t="str">
        <f>_xlfn.IFNA(VLOOKUP($AI950,Programma!$F$3:$O$1107,10,0),"")</f>
        <v>5w</v>
      </c>
      <c r="AS950" s="300" t="str">
        <f>_xlfn.IFNA(VLOOKUP($AI950,Programma!$F$3:$P$1107,11,0),"")</f>
        <v>5w</v>
      </c>
      <c r="AT950" s="300" t="str">
        <f>_xlfn.IFNA(VLOOKUP($AI950,Programma!$F$3:$Q$1107,12,0),"")</f>
        <v>1w</v>
      </c>
      <c r="AU950" s="300" t="str">
        <f>_xlfn.IFNA(VLOOKUP($AI950,Programma!$F$3:$R$1107,13,0),"")</f>
        <v>1w</v>
      </c>
      <c r="AV950" s="300" t="str">
        <f>_xlfn.IFNA(VLOOKUP($AI950,Programma!$F$3:$S$1107,14,0),"")</f>
        <v>1m</v>
      </c>
      <c r="AW950" s="300" t="str">
        <f>_xlfn.IFNA(VLOOKUP($AI950,Programma!$F$3:$T$1107,15,0),"")</f>
        <v>2j</v>
      </c>
      <c r="AX950" s="300" t="str">
        <f>_xlfn.IFNA(VLOOKUP($AI950,Programma!$F$3:$U$1107,16,0),"")</f>
        <v>1j</v>
      </c>
      <c r="AY950" s="300" t="str">
        <f>_xlfn.IFNA(VLOOKUP($AI950,Programma!$F$3:$V$1107,17,0),"")</f>
        <v>_</v>
      </c>
      <c r="AZ950" s="300" t="str">
        <f>_xlfn.IFNA(VLOOKUP($AI950,Programma!$F$3:$W$1107,18,0),"")</f>
        <v>_</v>
      </c>
      <c r="BA950" s="300" t="str">
        <f>_xlfn.IFNA(VLOOKUP($AI950,Programma!$F$3:$X$1107,19,0),"")</f>
        <v>_</v>
      </c>
      <c r="BB950" s="300" t="str">
        <f>_xlfn.IFNA(VLOOKUP($AI950,Programma!$F$3:$Y$1107,20,0),"")</f>
        <v>_</v>
      </c>
      <c r="BC950" s="257"/>
      <c r="BD950" s="256" t="str">
        <f>IF(Ruimtestaat[[#This Row],[Frequentie weekend]]="","",_xlfn.CONCAT(Ruimtestaat[[#This Row],[Ruimte code]],"-",Ruimtestaat[[#This Row],[Frequentie weekend]]," ",Ruimtestaat[[#This Row],[Vloer code]]))</f>
        <v/>
      </c>
      <c r="BE950" s="300" t="str">
        <f>_xlfn.IFNA(VLOOKUP($BD950,Programma!$F$3:$G$1107,2,0),"")</f>
        <v/>
      </c>
      <c r="BF950" s="300" t="str">
        <f>_xlfn.IFNA(VLOOKUP($BD950,Programma!$F$3:$H$1107,3,0),"")</f>
        <v/>
      </c>
      <c r="BG950" s="300" t="str">
        <f>_xlfn.IFNA(VLOOKUP($BD950,Programma!$F$3:$I$1107,4,0),"")</f>
        <v/>
      </c>
      <c r="BH950" s="300" t="str">
        <f>_xlfn.IFNA(VLOOKUP($BD950,Programma!$F$3:$J$1107,5,0),"")</f>
        <v/>
      </c>
      <c r="BI950" s="300" t="str">
        <f>_xlfn.IFNA(VLOOKUP($BD950,Programma!$F$3:$K$1107,6,0),"")</f>
        <v/>
      </c>
      <c r="BJ950" s="300" t="str">
        <f>_xlfn.IFNA(VLOOKUP($BD950,Programma!$F$3:$L$1107,7,0),"")</f>
        <v/>
      </c>
      <c r="BK950" s="300" t="str">
        <f>_xlfn.IFNA(VLOOKUP($BD950,Programma!$F$3:$M$1107,8,0),"")</f>
        <v/>
      </c>
      <c r="BL950" s="300" t="str">
        <f>_xlfn.IFNA(VLOOKUP($BD950,Programma!$F$3:$N$1107,9,0),"")</f>
        <v/>
      </c>
      <c r="BM950" s="300" t="str">
        <f>_xlfn.IFNA(VLOOKUP($BD950,Programma!$F$3:$O$1107,10,0),"")</f>
        <v/>
      </c>
      <c r="BN950" s="300" t="str">
        <f>_xlfn.IFNA(VLOOKUP($BD950,Programma!$F$3:$P$1107,11,0),"")</f>
        <v/>
      </c>
      <c r="BO950" s="300" t="str">
        <f>_xlfn.IFNA(VLOOKUP($BD950,Programma!$F$3:$Q$1107,12,0),"")</f>
        <v/>
      </c>
      <c r="BP950" s="300" t="str">
        <f>_xlfn.IFNA(VLOOKUP($BD950,Programma!$F$3:$R$1107,13,0),"")</f>
        <v/>
      </c>
      <c r="BQ950" s="300" t="str">
        <f>_xlfn.IFNA(VLOOKUP($BD950,Programma!$F$3:$S$1107,14,0),"")</f>
        <v/>
      </c>
      <c r="BR950" s="300" t="str">
        <f>_xlfn.IFNA(VLOOKUP($BD950,Programma!$F$3:$T$1107,15,0),"")</f>
        <v/>
      </c>
      <c r="BS950" s="300" t="str">
        <f>_xlfn.IFNA(VLOOKUP($BD950,Programma!$F$3:$U$1107,16,0),"")</f>
        <v/>
      </c>
      <c r="BT950" s="300" t="str">
        <f>_xlfn.IFNA(VLOOKUP($BD950,Programma!$F$3:$V$1107,17,0),"")</f>
        <v/>
      </c>
      <c r="BU950" s="300" t="str">
        <f>_xlfn.IFNA(VLOOKUP($BD950,Programma!$F$3:$W$1107,18,0),"")</f>
        <v/>
      </c>
      <c r="BV950" s="300" t="str">
        <f>_xlfn.IFNA(VLOOKUP($BD950,Programma!$F$3:$X$1107,19,0),"")</f>
        <v/>
      </c>
      <c r="BW950" s="300" t="str">
        <f>_xlfn.IFNA(VLOOKUP($BD950,Programma!$F$3:$Y$1107,20,0),"")</f>
        <v/>
      </c>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c r="GK950" s="4"/>
      <c r="GL950" s="4"/>
      <c r="GM950" s="4"/>
      <c r="GN950" s="4"/>
      <c r="GO950" s="4"/>
      <c r="GP950" s="4"/>
      <c r="GQ950" s="4"/>
      <c r="GR950" s="4"/>
      <c r="GS950" s="4"/>
      <c r="GT950" s="4"/>
      <c r="GU950" s="4"/>
      <c r="GV950" s="4"/>
      <c r="GW950" s="4"/>
      <c r="GX950" s="4"/>
      <c r="GY950" s="4"/>
      <c r="GZ950" s="4"/>
      <c r="HA950" s="4"/>
      <c r="HB950" s="4"/>
      <c r="HC950" s="4"/>
      <c r="HD950" s="4"/>
      <c r="HE950" s="4"/>
      <c r="HF950" s="4"/>
      <c r="HG950" s="4"/>
      <c r="HH950" s="4"/>
      <c r="HI950" s="4"/>
      <c r="HJ950" s="4"/>
      <c r="HK950" s="4"/>
      <c r="HL950" s="4"/>
    </row>
    <row r="951" spans="1:220" ht="15" customHeight="1">
      <c r="A951" s="21">
        <v>10</v>
      </c>
      <c r="B951" s="157" t="str">
        <f>VLOOKUP(Ruimtestaat[[#This Row],[Code]],Locaties[[Code]:[Locatie]],2,FALSE)</f>
        <v>Veurs Voorburg vmbo</v>
      </c>
      <c r="C951" s="157" t="str">
        <f>VLOOKUP(Ruimtestaat[[#This Row],[Code]],Locaties[[#All],[Code]:[Adres]],4,FALSE)</f>
        <v>Delflandlaan 4</v>
      </c>
      <c r="D951" s="157" t="str">
        <f>VLOOKUP(Ruimtestaat[[#This Row],[Code]],Locaties[[#All],[Code]:[Postcode]],5,FALSE)</f>
        <v>2273 CS</v>
      </c>
      <c r="E951" s="157" t="str">
        <f>VLOOKUP(Ruimtestaat[[#This Row],[Code]],Locaties[#All],6,FALSE)</f>
        <v>Voorburg</v>
      </c>
      <c r="F951" s="62"/>
      <c r="G951" s="21" t="s">
        <v>1624</v>
      </c>
      <c r="H951" s="21" t="s">
        <v>1664</v>
      </c>
      <c r="I951" s="62" t="s">
        <v>2464</v>
      </c>
      <c r="J951" s="21">
        <v>10</v>
      </c>
      <c r="K951" s="62" t="str">
        <f>VLOOKUP(Ruimtestaat[[#This Row],[Ruimte code]],Ruimtegroepen[[#All],[Code]:[Ruimte omschrijving]],2,FALSE)</f>
        <v>Trappenhuizen/lift</v>
      </c>
      <c r="L951" s="33" t="s">
        <v>101</v>
      </c>
      <c r="M951" s="367" t="s">
        <v>2506</v>
      </c>
      <c r="N951" s="140">
        <v>15.6</v>
      </c>
      <c r="O951" s="140"/>
      <c r="P951" s="125" t="str">
        <f>VLOOKUP(Ruimtestaat[[#This Row],[Ruimte code]],Ruimtegroepen[],4,FALSE)</f>
        <v>Ve</v>
      </c>
      <c r="R951" s="33">
        <v>40</v>
      </c>
      <c r="S951" s="33" t="s">
        <v>2</v>
      </c>
      <c r="T951" s="33">
        <f>IF(R951&gt;0,IF(RIGHT(Ruimtestaat[[#This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1" s="33">
        <f>IF(T951&gt;0,VLOOKUP($J951,Ruimtegroepen[],3,FALSE)*VLOOKUP($L951,Vloersoorten[],3,FALSE)*VLOOKUP($S951,Frequenties[],3,FALSE)*VLOOKUP($A951,Locaties[],3,FALSE),0)</f>
        <v>0</v>
      </c>
      <c r="V951" s="33">
        <f>Ruimtestaat[[#This Row],[Uitvoeringen werkdagen]]*Ruimtestaat[[#This Row],[Oppervlak (netto)]]</f>
        <v>3120</v>
      </c>
      <c r="W951" s="154">
        <f>IF(U951&gt;0,Ruimtestaat[[#This Row],[Prest. (m2 /jaar) werkdagen]]/Ruimtestaat[[#This Row],[Norm (m2/uur) werkdagen]],0)</f>
        <v>0</v>
      </c>
      <c r="X951" s="155">
        <f>Ruimtestaat[[#This Row],[uren / jaar werkdagen]]*Tariefsopbouw!$E$35</f>
        <v>0</v>
      </c>
      <c r="Y951" s="33"/>
      <c r="Z951" s="33">
        <f>IF(Ruimtestaat[[#This Row],[Frequentie weekend]]&gt;0,VALUE(LEFT(Y951,1))*R951,0)</f>
        <v>0</v>
      </c>
      <c r="AA951" s="97">
        <f>IF($Z951&gt;0,VLOOKUP($J951,Ruimtegroepen[],3,FALSE)*VLOOKUP($L951,Vloersoorten[],3,FALSE)*VLOOKUP($Y951,Frequenties[],3,FALSE)*VLOOKUP(Ruimtestaat[[#This Row],[Code]],Locaties[],3,FALSE),0)</f>
        <v>0</v>
      </c>
      <c r="AB951" s="97">
        <f>Ruimtestaat[[#This Row],[Uitvoeringen weekend]]*Ruimtestaat[[#This Row],[Oppervlak (netto)]]</f>
        <v>0</v>
      </c>
      <c r="AC951" s="97">
        <f>IF(AA951&gt;0,Ruimtestaat[[#This Row],[Prest. (m2 /jaar) weekend]]/Ruimtestaat[[#This Row],[Norm (m2/uur) weekend]],0)</f>
        <v>0</v>
      </c>
      <c r="AD951" s="155">
        <f>Ruimtestaat[[#This Row],[uren / jaar weekend]]*Tariefsopbouw!$D$40</f>
        <v>0</v>
      </c>
      <c r="AE951" s="154">
        <f>Ruimtestaat[[#This Row],[Prest. (m2 /jaar) weekend]]+Ruimtestaat[[#This Row],[Prest. (m2 /jaar) werkdagen]]</f>
        <v>3120</v>
      </c>
      <c r="AF951" s="154">
        <f>Ruimtestaat[[#This Row],[uren / jaar weekend]]+Ruimtestaat[[#This Row],[uren / jaar werkdagen]]</f>
        <v>0</v>
      </c>
      <c r="AG951" s="69">
        <f>Ruimtestaat[[#This Row],[kosten / jaar weekend]]+Ruimtestaat[[#This Row],[kosten / jaar werkdagen]]</f>
        <v>0</v>
      </c>
      <c r="AH951" s="69"/>
      <c r="AI951" s="256" t="str">
        <f>IF(Ruimtestaat[[#This Row],[Frequentie werkdagen]]="","",_xlfn.CONCAT(Ruimtestaat[[#This Row],[Ruimte code]],"-",Ruimtestaat[[#This Row],[Frequentie werkdagen]]," ",Ruimtestaat[[#This Row],[Vloer code]]))</f>
        <v>10-5w L</v>
      </c>
      <c r="AJ951" s="300" t="str">
        <f>_xlfn.IFNA(VLOOKUP($AI951,Programma!$F$3:$G$1107,2,0),"")</f>
        <v>_</v>
      </c>
      <c r="AK951" s="300" t="str">
        <f>_xlfn.IFNA(VLOOKUP($AI951,Programma!$F$3:$H$1107,3,0),"")</f>
        <v>_</v>
      </c>
      <c r="AL951" s="300" t="str">
        <f>_xlfn.IFNA(VLOOKUP($AI951,Programma!$F$3:$I$1107,4,0),"")</f>
        <v>4w</v>
      </c>
      <c r="AM951" s="300" t="str">
        <f>_xlfn.IFNA(VLOOKUP($AI951,Programma!$F$3:$J$1107,5,0),"")</f>
        <v>1w</v>
      </c>
      <c r="AN951" s="300" t="str">
        <f>_xlfn.IFNA(VLOOKUP($AI951,Programma!$F$3:$K$1107,6,0),"")</f>
        <v>_</v>
      </c>
      <c r="AO951" s="300" t="str">
        <f>_xlfn.IFNA(VLOOKUP($AI951,Programma!$F$3:$L$1107,7,0),"")</f>
        <v>_</v>
      </c>
      <c r="AP951" s="300" t="str">
        <f>_xlfn.IFNA(VLOOKUP($AI951,Programma!$F$3:$M$1107,8,0),"")</f>
        <v>_</v>
      </c>
      <c r="AQ951" s="300" t="str">
        <f>_xlfn.IFNA(VLOOKUP($AI951,Programma!$F$3:$N$1107,9,0),"")</f>
        <v>_</v>
      </c>
      <c r="AR951" s="300" t="str">
        <f>_xlfn.IFNA(VLOOKUP($AI951,Programma!$F$3:$O$1107,10,0),"")</f>
        <v>5w</v>
      </c>
      <c r="AS951" s="300" t="str">
        <f>_xlfn.IFNA(VLOOKUP($AI951,Programma!$F$3:$P$1107,11,0),"")</f>
        <v>5w</v>
      </c>
      <c r="AT951" s="300" t="str">
        <f>_xlfn.IFNA(VLOOKUP($AI951,Programma!$F$3:$Q$1107,12,0),"")</f>
        <v>1w</v>
      </c>
      <c r="AU951" s="300" t="str">
        <f>_xlfn.IFNA(VLOOKUP($AI951,Programma!$F$3:$R$1107,13,0),"")</f>
        <v>1w</v>
      </c>
      <c r="AV951" s="300" t="str">
        <f>_xlfn.IFNA(VLOOKUP($AI951,Programma!$F$3:$S$1107,14,0),"")</f>
        <v>1m</v>
      </c>
      <c r="AW951" s="300" t="str">
        <f>_xlfn.IFNA(VLOOKUP($AI951,Programma!$F$3:$T$1107,15,0),"")</f>
        <v>2j</v>
      </c>
      <c r="AX951" s="300" t="str">
        <f>_xlfn.IFNA(VLOOKUP($AI951,Programma!$F$3:$U$1107,16,0),"")</f>
        <v>1j</v>
      </c>
      <c r="AY951" s="300" t="str">
        <f>_xlfn.IFNA(VLOOKUP($AI951,Programma!$F$3:$V$1107,17,0),"")</f>
        <v>_</v>
      </c>
      <c r="AZ951" s="300" t="str">
        <f>_xlfn.IFNA(VLOOKUP($AI951,Programma!$F$3:$W$1107,18,0),"")</f>
        <v>_</v>
      </c>
      <c r="BA951" s="300" t="str">
        <f>_xlfn.IFNA(VLOOKUP($AI951,Programma!$F$3:$X$1107,19,0),"")</f>
        <v>_</v>
      </c>
      <c r="BB951" s="300" t="str">
        <f>_xlfn.IFNA(VLOOKUP($AI951,Programma!$F$3:$Y$1107,20,0),"")</f>
        <v>_</v>
      </c>
      <c r="BC951" s="257"/>
      <c r="BD951" s="256" t="str">
        <f>IF(Ruimtestaat[[#This Row],[Frequentie weekend]]="","",_xlfn.CONCAT(Ruimtestaat[[#This Row],[Ruimte code]],"-",Ruimtestaat[[#This Row],[Frequentie weekend]]," ",Ruimtestaat[[#This Row],[Vloer code]]))</f>
        <v/>
      </c>
      <c r="BE951" s="300" t="str">
        <f>_xlfn.IFNA(VLOOKUP($BD951,Programma!$F$3:$G$1107,2,0),"")</f>
        <v/>
      </c>
      <c r="BF951" s="300" t="str">
        <f>_xlfn.IFNA(VLOOKUP($BD951,Programma!$F$3:$H$1107,3,0),"")</f>
        <v/>
      </c>
      <c r="BG951" s="300" t="str">
        <f>_xlfn.IFNA(VLOOKUP($BD951,Programma!$F$3:$I$1107,4,0),"")</f>
        <v/>
      </c>
      <c r="BH951" s="300" t="str">
        <f>_xlfn.IFNA(VLOOKUP($BD951,Programma!$F$3:$J$1107,5,0),"")</f>
        <v/>
      </c>
      <c r="BI951" s="300" t="str">
        <f>_xlfn.IFNA(VLOOKUP($BD951,Programma!$F$3:$K$1107,6,0),"")</f>
        <v/>
      </c>
      <c r="BJ951" s="300" t="str">
        <f>_xlfn.IFNA(VLOOKUP($BD951,Programma!$F$3:$L$1107,7,0),"")</f>
        <v/>
      </c>
      <c r="BK951" s="300" t="str">
        <f>_xlfn.IFNA(VLOOKUP($BD951,Programma!$F$3:$M$1107,8,0),"")</f>
        <v/>
      </c>
      <c r="BL951" s="300" t="str">
        <f>_xlfn.IFNA(VLOOKUP($BD951,Programma!$F$3:$N$1107,9,0),"")</f>
        <v/>
      </c>
      <c r="BM951" s="300" t="str">
        <f>_xlfn.IFNA(VLOOKUP($BD951,Programma!$F$3:$O$1107,10,0),"")</f>
        <v/>
      </c>
      <c r="BN951" s="300" t="str">
        <f>_xlfn.IFNA(VLOOKUP($BD951,Programma!$F$3:$P$1107,11,0),"")</f>
        <v/>
      </c>
      <c r="BO951" s="300" t="str">
        <f>_xlfn.IFNA(VLOOKUP($BD951,Programma!$F$3:$Q$1107,12,0),"")</f>
        <v/>
      </c>
      <c r="BP951" s="300" t="str">
        <f>_xlfn.IFNA(VLOOKUP($BD951,Programma!$F$3:$R$1107,13,0),"")</f>
        <v/>
      </c>
      <c r="BQ951" s="300" t="str">
        <f>_xlfn.IFNA(VLOOKUP($BD951,Programma!$F$3:$S$1107,14,0),"")</f>
        <v/>
      </c>
      <c r="BR951" s="300" t="str">
        <f>_xlfn.IFNA(VLOOKUP($BD951,Programma!$F$3:$T$1107,15,0),"")</f>
        <v/>
      </c>
      <c r="BS951" s="300" t="str">
        <f>_xlfn.IFNA(VLOOKUP($BD951,Programma!$F$3:$U$1107,16,0),"")</f>
        <v/>
      </c>
      <c r="BT951" s="300" t="str">
        <f>_xlfn.IFNA(VLOOKUP($BD951,Programma!$F$3:$V$1107,17,0),"")</f>
        <v/>
      </c>
      <c r="BU951" s="300" t="str">
        <f>_xlfn.IFNA(VLOOKUP($BD951,Programma!$F$3:$W$1107,18,0),"")</f>
        <v/>
      </c>
      <c r="BV951" s="300" t="str">
        <f>_xlfn.IFNA(VLOOKUP($BD951,Programma!$F$3:$X$1107,19,0),"")</f>
        <v/>
      </c>
      <c r="BW951" s="300" t="str">
        <f>_xlfn.IFNA(VLOOKUP($BD951,Programma!$F$3:$Y$1107,20,0),"")</f>
        <v/>
      </c>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c r="GK951" s="4"/>
      <c r="GL951" s="4"/>
      <c r="GM951" s="4"/>
      <c r="GN951" s="4"/>
      <c r="GO951" s="4"/>
      <c r="GP951" s="4"/>
      <c r="GQ951" s="4"/>
      <c r="GR951" s="4"/>
      <c r="GS951" s="4"/>
      <c r="GT951" s="4"/>
      <c r="GU951" s="4"/>
      <c r="GV951" s="4"/>
      <c r="GW951" s="4"/>
      <c r="GX951" s="4"/>
      <c r="GY951" s="4"/>
      <c r="GZ951" s="4"/>
      <c r="HA951" s="4"/>
      <c r="HB951" s="4"/>
      <c r="HC951" s="4"/>
      <c r="HD951" s="4"/>
      <c r="HE951" s="4"/>
      <c r="HF951" s="4"/>
      <c r="HG951" s="4"/>
      <c r="HH951" s="4"/>
      <c r="HI951" s="4"/>
      <c r="HJ951" s="4"/>
      <c r="HK951" s="4"/>
      <c r="HL951" s="4"/>
    </row>
    <row r="952" spans="1:220" ht="15" customHeight="1">
      <c r="A952" s="21">
        <v>10</v>
      </c>
      <c r="B952" s="157" t="str">
        <f>VLOOKUP(Ruimtestaat[[#This Row],[Code]],Locaties[[Code]:[Locatie]],2,FALSE)</f>
        <v>Veurs Voorburg vmbo</v>
      </c>
      <c r="C952" s="157" t="str">
        <f>VLOOKUP(Ruimtestaat[[#This Row],[Code]],Locaties[[#All],[Code]:[Adres]],4,FALSE)</f>
        <v>Delflandlaan 4</v>
      </c>
      <c r="D952" s="157" t="str">
        <f>VLOOKUP(Ruimtestaat[[#This Row],[Code]],Locaties[[#All],[Code]:[Postcode]],5,FALSE)</f>
        <v>2273 CS</v>
      </c>
      <c r="E952" s="157" t="str">
        <f>VLOOKUP(Ruimtestaat[[#This Row],[Code]],Locaties[#All],6,FALSE)</f>
        <v>Voorburg</v>
      </c>
      <c r="F952" s="62"/>
      <c r="G952" s="21" t="s">
        <v>1624</v>
      </c>
      <c r="H952" s="21" t="s">
        <v>1665</v>
      </c>
      <c r="I952" s="62" t="s">
        <v>2465</v>
      </c>
      <c r="J952" s="21">
        <v>16</v>
      </c>
      <c r="K952" s="62" t="str">
        <f>VLOOKUP(Ruimtestaat[[#This Row],[Ruimte code]],Ruimtegroepen[[#All],[Code]:[Ruimte omschrijving]],2,FALSE)</f>
        <v>Leslokalen theorie</v>
      </c>
      <c r="L952" s="33" t="s">
        <v>101</v>
      </c>
      <c r="M952" s="367" t="s">
        <v>2506</v>
      </c>
      <c r="N952" s="140">
        <v>17.899999999999999</v>
      </c>
      <c r="O952" s="140"/>
      <c r="P952" s="125" t="str">
        <f>VLOOKUP(Ruimtestaat[[#This Row],[Ruimte code]],Ruimtegroepen[],4,FALSE)</f>
        <v>Le</v>
      </c>
      <c r="R952" s="33">
        <v>40</v>
      </c>
      <c r="S952" s="33" t="s">
        <v>2</v>
      </c>
      <c r="T952" s="33">
        <f>IF(R952&gt;0,IF(RIGHT(Ruimtestaat[[#This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2" s="33">
        <f>IF(T952&gt;0,VLOOKUP($J952,Ruimtegroepen[],3,FALSE)*VLOOKUP($L952,Vloersoorten[],3,FALSE)*VLOOKUP($S952,Frequenties[],3,FALSE)*VLOOKUP($A952,Locaties[],3,FALSE),0)</f>
        <v>0</v>
      </c>
      <c r="V952" s="33">
        <f>Ruimtestaat[[#This Row],[Uitvoeringen werkdagen]]*Ruimtestaat[[#This Row],[Oppervlak (netto)]]</f>
        <v>3579.9999999999995</v>
      </c>
      <c r="W952" s="154">
        <f>IF(U952&gt;0,Ruimtestaat[[#This Row],[Prest. (m2 /jaar) werkdagen]]/Ruimtestaat[[#This Row],[Norm (m2/uur) werkdagen]],0)</f>
        <v>0</v>
      </c>
      <c r="X952" s="155">
        <f>Ruimtestaat[[#This Row],[uren / jaar werkdagen]]*Tariefsopbouw!$E$35</f>
        <v>0</v>
      </c>
      <c r="Y952" s="33"/>
      <c r="Z952" s="33">
        <f>IF(Ruimtestaat[[#This Row],[Frequentie weekend]]&gt;0,VALUE(LEFT(Y952,1))*R952,0)</f>
        <v>0</v>
      </c>
      <c r="AA952" s="97">
        <f>IF($Z952&gt;0,VLOOKUP($J952,Ruimtegroepen[],3,FALSE)*VLOOKUP($L952,Vloersoorten[],3,FALSE)*VLOOKUP($Y952,Frequenties[],3,FALSE)*VLOOKUP(Ruimtestaat[[#This Row],[Code]],Locaties[],3,FALSE),0)</f>
        <v>0</v>
      </c>
      <c r="AB952" s="97">
        <f>Ruimtestaat[[#This Row],[Uitvoeringen weekend]]*Ruimtestaat[[#This Row],[Oppervlak (netto)]]</f>
        <v>0</v>
      </c>
      <c r="AC952" s="97">
        <f>IF(AA952&gt;0,Ruimtestaat[[#This Row],[Prest. (m2 /jaar) weekend]]/Ruimtestaat[[#This Row],[Norm (m2/uur) weekend]],0)</f>
        <v>0</v>
      </c>
      <c r="AD952" s="155">
        <f>Ruimtestaat[[#This Row],[uren / jaar weekend]]*Tariefsopbouw!$D$40</f>
        <v>0</v>
      </c>
      <c r="AE952" s="154">
        <f>Ruimtestaat[[#This Row],[Prest. (m2 /jaar) weekend]]+Ruimtestaat[[#This Row],[Prest. (m2 /jaar) werkdagen]]</f>
        <v>3579.9999999999995</v>
      </c>
      <c r="AF952" s="154">
        <f>Ruimtestaat[[#This Row],[uren / jaar weekend]]+Ruimtestaat[[#This Row],[uren / jaar werkdagen]]</f>
        <v>0</v>
      </c>
      <c r="AG952" s="69">
        <f>Ruimtestaat[[#This Row],[kosten / jaar weekend]]+Ruimtestaat[[#This Row],[kosten / jaar werkdagen]]</f>
        <v>0</v>
      </c>
      <c r="AH952" s="69"/>
      <c r="AI952" s="256" t="str">
        <f>IF(Ruimtestaat[[#This Row],[Frequentie werkdagen]]="","",_xlfn.CONCAT(Ruimtestaat[[#This Row],[Ruimte code]],"-",Ruimtestaat[[#This Row],[Frequentie werkdagen]]," ",Ruimtestaat[[#This Row],[Vloer code]]))</f>
        <v>16-5w L</v>
      </c>
      <c r="AJ952" s="300" t="str">
        <f>_xlfn.IFNA(VLOOKUP($AI952,Programma!$F$3:$G$1107,2,0),"")</f>
        <v>_</v>
      </c>
      <c r="AK952" s="300" t="str">
        <f>_xlfn.IFNA(VLOOKUP($AI952,Programma!$F$3:$H$1107,3,0),"")</f>
        <v>_</v>
      </c>
      <c r="AL952" s="300" t="str">
        <f>_xlfn.IFNA(VLOOKUP($AI952,Programma!$F$3:$I$1107,4,0),"")</f>
        <v>4w</v>
      </c>
      <c r="AM952" s="300" t="str">
        <f>_xlfn.IFNA(VLOOKUP($AI952,Programma!$F$3:$J$1107,5,0),"")</f>
        <v>1w</v>
      </c>
      <c r="AN952" s="300" t="str">
        <f>_xlfn.IFNA(VLOOKUP($AI952,Programma!$F$3:$K$1107,6,0),"")</f>
        <v>_</v>
      </c>
      <c r="AO952" s="300" t="str">
        <f>_xlfn.IFNA(VLOOKUP($AI952,Programma!$F$3:$L$1107,7,0),"")</f>
        <v>_</v>
      </c>
      <c r="AP952" s="300" t="str">
        <f>_xlfn.IFNA(VLOOKUP($AI952,Programma!$F$3:$M$1107,8,0),"")</f>
        <v>_</v>
      </c>
      <c r="AQ952" s="300" t="str">
        <f>_xlfn.IFNA(VLOOKUP($AI952,Programma!$F$3:$N$1107,9,0),"")</f>
        <v>_</v>
      </c>
      <c r="AR952" s="300" t="str">
        <f>_xlfn.IFNA(VLOOKUP($AI952,Programma!$F$3:$O$1107,10,0),"")</f>
        <v>5w</v>
      </c>
      <c r="AS952" s="300" t="str">
        <f>_xlfn.IFNA(VLOOKUP($AI952,Programma!$F$3:$P$1107,11,0),"")</f>
        <v>5w</v>
      </c>
      <c r="AT952" s="300" t="str">
        <f>_xlfn.IFNA(VLOOKUP($AI952,Programma!$F$3:$Q$1107,12,0),"")</f>
        <v>1w</v>
      </c>
      <c r="AU952" s="300" t="str">
        <f>_xlfn.IFNA(VLOOKUP($AI952,Programma!$F$3:$R$1107,13,0),"")</f>
        <v>1w</v>
      </c>
      <c r="AV952" s="300" t="str">
        <f>_xlfn.IFNA(VLOOKUP($AI952,Programma!$F$3:$S$1107,14,0),"")</f>
        <v>1m</v>
      </c>
      <c r="AW952" s="300" t="str">
        <f>_xlfn.IFNA(VLOOKUP($AI952,Programma!$F$3:$T$1107,15,0),"")</f>
        <v>2j</v>
      </c>
      <c r="AX952" s="300" t="str">
        <f>_xlfn.IFNA(VLOOKUP($AI952,Programma!$F$3:$U$1107,16,0),"")</f>
        <v>1j</v>
      </c>
      <c r="AY952" s="300" t="str">
        <f>_xlfn.IFNA(VLOOKUP($AI952,Programma!$F$3:$V$1107,17,0),"")</f>
        <v>_</v>
      </c>
      <c r="AZ952" s="300" t="str">
        <f>_xlfn.IFNA(VLOOKUP($AI952,Programma!$F$3:$W$1107,18,0),"")</f>
        <v>_</v>
      </c>
      <c r="BA952" s="300" t="str">
        <f>_xlfn.IFNA(VLOOKUP($AI952,Programma!$F$3:$X$1107,19,0),"")</f>
        <v>_</v>
      </c>
      <c r="BB952" s="300" t="str">
        <f>_xlfn.IFNA(VLOOKUP($AI952,Programma!$F$3:$Y$1107,20,0),"")</f>
        <v>_</v>
      </c>
      <c r="BC952" s="257"/>
      <c r="BD952" s="256" t="str">
        <f>IF(Ruimtestaat[[#This Row],[Frequentie weekend]]="","",_xlfn.CONCAT(Ruimtestaat[[#This Row],[Ruimte code]],"-",Ruimtestaat[[#This Row],[Frequentie weekend]]," ",Ruimtestaat[[#This Row],[Vloer code]]))</f>
        <v/>
      </c>
      <c r="BE952" s="300" t="str">
        <f>_xlfn.IFNA(VLOOKUP($BD952,Programma!$F$3:$G$1107,2,0),"")</f>
        <v/>
      </c>
      <c r="BF952" s="300" t="str">
        <f>_xlfn.IFNA(VLOOKUP($BD952,Programma!$F$3:$H$1107,3,0),"")</f>
        <v/>
      </c>
      <c r="BG952" s="300" t="str">
        <f>_xlfn.IFNA(VLOOKUP($BD952,Programma!$F$3:$I$1107,4,0),"")</f>
        <v/>
      </c>
      <c r="BH952" s="300" t="str">
        <f>_xlfn.IFNA(VLOOKUP($BD952,Programma!$F$3:$J$1107,5,0),"")</f>
        <v/>
      </c>
      <c r="BI952" s="300" t="str">
        <f>_xlfn.IFNA(VLOOKUP($BD952,Programma!$F$3:$K$1107,6,0),"")</f>
        <v/>
      </c>
      <c r="BJ952" s="300" t="str">
        <f>_xlfn.IFNA(VLOOKUP($BD952,Programma!$F$3:$L$1107,7,0),"")</f>
        <v/>
      </c>
      <c r="BK952" s="300" t="str">
        <f>_xlfn.IFNA(VLOOKUP($BD952,Programma!$F$3:$M$1107,8,0),"")</f>
        <v/>
      </c>
      <c r="BL952" s="300" t="str">
        <f>_xlfn.IFNA(VLOOKUP($BD952,Programma!$F$3:$N$1107,9,0),"")</f>
        <v/>
      </c>
      <c r="BM952" s="300" t="str">
        <f>_xlfn.IFNA(VLOOKUP($BD952,Programma!$F$3:$O$1107,10,0),"")</f>
        <v/>
      </c>
      <c r="BN952" s="300" t="str">
        <f>_xlfn.IFNA(VLOOKUP($BD952,Programma!$F$3:$P$1107,11,0),"")</f>
        <v/>
      </c>
      <c r="BO952" s="300" t="str">
        <f>_xlfn.IFNA(VLOOKUP($BD952,Programma!$F$3:$Q$1107,12,0),"")</f>
        <v/>
      </c>
      <c r="BP952" s="300" t="str">
        <f>_xlfn.IFNA(VLOOKUP($BD952,Programma!$F$3:$R$1107,13,0),"")</f>
        <v/>
      </c>
      <c r="BQ952" s="300" t="str">
        <f>_xlfn.IFNA(VLOOKUP($BD952,Programma!$F$3:$S$1107,14,0),"")</f>
        <v/>
      </c>
      <c r="BR952" s="300" t="str">
        <f>_xlfn.IFNA(VLOOKUP($BD952,Programma!$F$3:$T$1107,15,0),"")</f>
        <v/>
      </c>
      <c r="BS952" s="300" t="str">
        <f>_xlfn.IFNA(VLOOKUP($BD952,Programma!$F$3:$U$1107,16,0),"")</f>
        <v/>
      </c>
      <c r="BT952" s="300" t="str">
        <f>_xlfn.IFNA(VLOOKUP($BD952,Programma!$F$3:$V$1107,17,0),"")</f>
        <v/>
      </c>
      <c r="BU952" s="300" t="str">
        <f>_xlfn.IFNA(VLOOKUP($BD952,Programma!$F$3:$W$1107,18,0),"")</f>
        <v/>
      </c>
      <c r="BV952" s="300" t="str">
        <f>_xlfn.IFNA(VLOOKUP($BD952,Programma!$F$3:$X$1107,19,0),"")</f>
        <v/>
      </c>
      <c r="BW952" s="300" t="str">
        <f>_xlfn.IFNA(VLOOKUP($BD952,Programma!$F$3:$Y$1107,20,0),"")</f>
        <v/>
      </c>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c r="GK952" s="4"/>
      <c r="GL952" s="4"/>
      <c r="GM952" s="4"/>
      <c r="GN952" s="4"/>
      <c r="GO952" s="4"/>
      <c r="GP952" s="4"/>
      <c r="GQ952" s="4"/>
      <c r="GR952" s="4"/>
      <c r="GS952" s="4"/>
      <c r="GT952" s="4"/>
      <c r="GU952" s="4"/>
      <c r="GV952" s="4"/>
      <c r="GW952" s="4"/>
      <c r="GX952" s="4"/>
      <c r="GY952" s="4"/>
      <c r="GZ952" s="4"/>
      <c r="HA952" s="4"/>
      <c r="HB952" s="4"/>
      <c r="HC952" s="4"/>
      <c r="HD952" s="4"/>
      <c r="HE952" s="4"/>
      <c r="HF952" s="4"/>
      <c r="HG952" s="4"/>
      <c r="HH952" s="4"/>
      <c r="HI952" s="4"/>
      <c r="HJ952" s="4"/>
      <c r="HK952" s="4"/>
      <c r="HL952" s="4"/>
    </row>
    <row r="953" spans="1:220" ht="15" customHeight="1">
      <c r="A953" s="21">
        <v>10</v>
      </c>
      <c r="B953" s="157" t="str">
        <f>VLOOKUP(Ruimtestaat[[#This Row],[Code]],Locaties[[Code]:[Locatie]],2,FALSE)</f>
        <v>Veurs Voorburg vmbo</v>
      </c>
      <c r="C953" s="157" t="str">
        <f>VLOOKUP(Ruimtestaat[[#This Row],[Code]],Locaties[[#All],[Code]:[Adres]],4,FALSE)</f>
        <v>Delflandlaan 4</v>
      </c>
      <c r="D953" s="157" t="str">
        <f>VLOOKUP(Ruimtestaat[[#This Row],[Code]],Locaties[[#All],[Code]:[Postcode]],5,FALSE)</f>
        <v>2273 CS</v>
      </c>
      <c r="E953" s="157" t="str">
        <f>VLOOKUP(Ruimtestaat[[#This Row],[Code]],Locaties[#All],6,FALSE)</f>
        <v>Voorburg</v>
      </c>
      <c r="F953" s="62"/>
      <c r="G953" s="21" t="s">
        <v>1624</v>
      </c>
      <c r="H953" s="21" t="s">
        <v>1666</v>
      </c>
      <c r="I953" s="62" t="s">
        <v>2466</v>
      </c>
      <c r="J953" s="21">
        <v>2</v>
      </c>
      <c r="K953" s="62" t="str">
        <f>VLOOKUP(Ruimtestaat[[#This Row],[Ruimte code]],Ruimtegroepen[[#All],[Code]:[Ruimte omschrijving]],2,FALSE)</f>
        <v>Kantoren</v>
      </c>
      <c r="L953" s="33" t="s">
        <v>101</v>
      </c>
      <c r="M953" s="367" t="s">
        <v>2506</v>
      </c>
      <c r="N953" s="140">
        <v>19.399999999999999</v>
      </c>
      <c r="O953" s="140"/>
      <c r="P953" s="125" t="str">
        <f>VLOOKUP(Ruimtestaat[[#This Row],[Ruimte code]],Ruimtegroepen[],4,FALSE)</f>
        <v>Bu</v>
      </c>
      <c r="R953" s="33">
        <v>42</v>
      </c>
      <c r="S953" s="33" t="s">
        <v>18</v>
      </c>
      <c r="T953" s="33">
        <f>IF(R953&gt;0,IF(RIGHT(Ruimtestaat[[#This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53" s="33">
        <f>IF(T953&gt;0,VLOOKUP($J953,Ruimtegroepen[],3,FALSE)*VLOOKUP($L953,Vloersoorten[],3,FALSE)*VLOOKUP($S953,Frequenties[],3,FALSE)*VLOOKUP($A953,Locaties[],3,FALSE),0)</f>
        <v>0</v>
      </c>
      <c r="V953" s="33">
        <f>Ruimtestaat[[#This Row],[Uitvoeringen werkdagen]]*Ruimtestaat[[#This Row],[Oppervlak (netto)]]</f>
        <v>2444.3999999999996</v>
      </c>
      <c r="W953" s="154">
        <f>IF(U953&gt;0,Ruimtestaat[[#This Row],[Prest. (m2 /jaar) werkdagen]]/Ruimtestaat[[#This Row],[Norm (m2/uur) werkdagen]],0)</f>
        <v>0</v>
      </c>
      <c r="X953" s="155">
        <f>Ruimtestaat[[#This Row],[uren / jaar werkdagen]]*Tariefsopbouw!$E$35</f>
        <v>0</v>
      </c>
      <c r="Y953" s="33"/>
      <c r="Z953" s="33">
        <f>IF(Ruimtestaat[[#This Row],[Frequentie weekend]]&gt;0,VALUE(LEFT(Y953,1))*R953,0)</f>
        <v>0</v>
      </c>
      <c r="AA953" s="97">
        <f>IF($Z953&gt;0,VLOOKUP($J953,Ruimtegroepen[],3,FALSE)*VLOOKUP($L953,Vloersoorten[],3,FALSE)*VLOOKUP($Y953,Frequenties[],3,FALSE)*VLOOKUP(Ruimtestaat[[#This Row],[Code]],Locaties[],3,FALSE),0)</f>
        <v>0</v>
      </c>
      <c r="AB953" s="97">
        <f>Ruimtestaat[[#This Row],[Uitvoeringen weekend]]*Ruimtestaat[[#This Row],[Oppervlak (netto)]]</f>
        <v>0</v>
      </c>
      <c r="AC953" s="97">
        <f>IF(AA953&gt;0,Ruimtestaat[[#This Row],[Prest. (m2 /jaar) weekend]]/Ruimtestaat[[#This Row],[Norm (m2/uur) weekend]],0)</f>
        <v>0</v>
      </c>
      <c r="AD953" s="155">
        <f>Ruimtestaat[[#This Row],[uren / jaar weekend]]*Tariefsopbouw!$D$40</f>
        <v>0</v>
      </c>
      <c r="AE953" s="154">
        <f>Ruimtestaat[[#This Row],[Prest. (m2 /jaar) weekend]]+Ruimtestaat[[#This Row],[Prest. (m2 /jaar) werkdagen]]</f>
        <v>2444.3999999999996</v>
      </c>
      <c r="AF953" s="154">
        <f>Ruimtestaat[[#This Row],[uren / jaar weekend]]+Ruimtestaat[[#This Row],[uren / jaar werkdagen]]</f>
        <v>0</v>
      </c>
      <c r="AG953" s="69">
        <f>Ruimtestaat[[#This Row],[kosten / jaar weekend]]+Ruimtestaat[[#This Row],[kosten / jaar werkdagen]]</f>
        <v>0</v>
      </c>
      <c r="AH953" s="69"/>
      <c r="AI953" s="256" t="str">
        <f>IF(Ruimtestaat[[#This Row],[Frequentie werkdagen]]="","",_xlfn.CONCAT(Ruimtestaat[[#This Row],[Ruimte code]],"-",Ruimtestaat[[#This Row],[Frequentie werkdagen]]," ",Ruimtestaat[[#This Row],[Vloer code]]))</f>
        <v>2-3w L</v>
      </c>
      <c r="AJ953" s="300" t="str">
        <f>_xlfn.IFNA(VLOOKUP($AI953,Programma!$F$3:$G$1107,2,0),"")</f>
        <v>_</v>
      </c>
      <c r="AK953" s="300" t="str">
        <f>_xlfn.IFNA(VLOOKUP($AI953,Programma!$F$3:$H$1107,3,0),"")</f>
        <v>_</v>
      </c>
      <c r="AL953" s="300" t="str">
        <f>_xlfn.IFNA(VLOOKUP($AI953,Programma!$F$3:$I$1107,4,0),"")</f>
        <v>2w</v>
      </c>
      <c r="AM953" s="300" t="str">
        <f>_xlfn.IFNA(VLOOKUP($AI953,Programma!$F$3:$J$1107,5,0),"")</f>
        <v>1w</v>
      </c>
      <c r="AN953" s="300" t="str">
        <f>_xlfn.IFNA(VLOOKUP($AI953,Programma!$F$3:$K$1107,6,0),"")</f>
        <v>_</v>
      </c>
      <c r="AO953" s="300" t="str">
        <f>_xlfn.IFNA(VLOOKUP($AI953,Programma!$F$3:$L$1107,7,0),"")</f>
        <v>_</v>
      </c>
      <c r="AP953" s="300" t="str">
        <f>_xlfn.IFNA(VLOOKUP($AI953,Programma!$F$3:$M$1107,8,0),"")</f>
        <v>_</v>
      </c>
      <c r="AQ953" s="300" t="str">
        <f>_xlfn.IFNA(VLOOKUP($AI953,Programma!$F$3:$N$1107,9,0),"")</f>
        <v>_</v>
      </c>
      <c r="AR953" s="300" t="str">
        <f>_xlfn.IFNA(VLOOKUP($AI953,Programma!$F$3:$O$1107,10,0),"")</f>
        <v>3w</v>
      </c>
      <c r="AS953" s="300" t="str">
        <f>_xlfn.IFNA(VLOOKUP($AI953,Programma!$F$3:$P$1107,11,0),"")</f>
        <v>3w</v>
      </c>
      <c r="AT953" s="300" t="str">
        <f>_xlfn.IFNA(VLOOKUP($AI953,Programma!$F$3:$Q$1107,12,0),"")</f>
        <v>1w</v>
      </c>
      <c r="AU953" s="300" t="str">
        <f>_xlfn.IFNA(VLOOKUP($AI953,Programma!$F$3:$R$1107,13,0),"")</f>
        <v>1w</v>
      </c>
      <c r="AV953" s="300" t="str">
        <f>_xlfn.IFNA(VLOOKUP($AI953,Programma!$F$3:$S$1107,14,0),"")</f>
        <v>1m</v>
      </c>
      <c r="AW953" s="300" t="str">
        <f>_xlfn.IFNA(VLOOKUP($AI953,Programma!$F$3:$T$1107,15,0),"")</f>
        <v>2j</v>
      </c>
      <c r="AX953" s="300" t="str">
        <f>_xlfn.IFNA(VLOOKUP($AI953,Programma!$F$3:$U$1107,16,0),"")</f>
        <v>1j</v>
      </c>
      <c r="AY953" s="300" t="str">
        <f>_xlfn.IFNA(VLOOKUP($AI953,Programma!$F$3:$V$1107,17,0),"")</f>
        <v>_</v>
      </c>
      <c r="AZ953" s="300" t="str">
        <f>_xlfn.IFNA(VLOOKUP($AI953,Programma!$F$3:$W$1107,18,0),"")</f>
        <v>_</v>
      </c>
      <c r="BA953" s="300" t="str">
        <f>_xlfn.IFNA(VLOOKUP($AI953,Programma!$F$3:$X$1107,19,0),"")</f>
        <v>_</v>
      </c>
      <c r="BB953" s="300" t="str">
        <f>_xlfn.IFNA(VLOOKUP($AI953,Programma!$F$3:$Y$1107,20,0),"")</f>
        <v>_</v>
      </c>
      <c r="BC953" s="257"/>
      <c r="BD953" s="256" t="str">
        <f>IF(Ruimtestaat[[#This Row],[Frequentie weekend]]="","",_xlfn.CONCAT(Ruimtestaat[[#This Row],[Ruimte code]],"-",Ruimtestaat[[#This Row],[Frequentie weekend]]," ",Ruimtestaat[[#This Row],[Vloer code]]))</f>
        <v/>
      </c>
      <c r="BE953" s="300" t="str">
        <f>_xlfn.IFNA(VLOOKUP($BD953,Programma!$F$3:$G$1107,2,0),"")</f>
        <v/>
      </c>
      <c r="BF953" s="300" t="str">
        <f>_xlfn.IFNA(VLOOKUP($BD953,Programma!$F$3:$H$1107,3,0),"")</f>
        <v/>
      </c>
      <c r="BG953" s="300" t="str">
        <f>_xlfn.IFNA(VLOOKUP($BD953,Programma!$F$3:$I$1107,4,0),"")</f>
        <v/>
      </c>
      <c r="BH953" s="300" t="str">
        <f>_xlfn.IFNA(VLOOKUP($BD953,Programma!$F$3:$J$1107,5,0),"")</f>
        <v/>
      </c>
      <c r="BI953" s="300" t="str">
        <f>_xlfn.IFNA(VLOOKUP($BD953,Programma!$F$3:$K$1107,6,0),"")</f>
        <v/>
      </c>
      <c r="BJ953" s="300" t="str">
        <f>_xlfn.IFNA(VLOOKUP($BD953,Programma!$F$3:$L$1107,7,0),"")</f>
        <v/>
      </c>
      <c r="BK953" s="300" t="str">
        <f>_xlfn.IFNA(VLOOKUP($BD953,Programma!$F$3:$M$1107,8,0),"")</f>
        <v/>
      </c>
      <c r="BL953" s="300" t="str">
        <f>_xlfn.IFNA(VLOOKUP($BD953,Programma!$F$3:$N$1107,9,0),"")</f>
        <v/>
      </c>
      <c r="BM953" s="300" t="str">
        <f>_xlfn.IFNA(VLOOKUP($BD953,Programma!$F$3:$O$1107,10,0),"")</f>
        <v/>
      </c>
      <c r="BN953" s="300" t="str">
        <f>_xlfn.IFNA(VLOOKUP($BD953,Programma!$F$3:$P$1107,11,0),"")</f>
        <v/>
      </c>
      <c r="BO953" s="300" t="str">
        <f>_xlfn.IFNA(VLOOKUP($BD953,Programma!$F$3:$Q$1107,12,0),"")</f>
        <v/>
      </c>
      <c r="BP953" s="300" t="str">
        <f>_xlfn.IFNA(VLOOKUP($BD953,Programma!$F$3:$R$1107,13,0),"")</f>
        <v/>
      </c>
      <c r="BQ953" s="300" t="str">
        <f>_xlfn.IFNA(VLOOKUP($BD953,Programma!$F$3:$S$1107,14,0),"")</f>
        <v/>
      </c>
      <c r="BR953" s="300" t="str">
        <f>_xlfn.IFNA(VLOOKUP($BD953,Programma!$F$3:$T$1107,15,0),"")</f>
        <v/>
      </c>
      <c r="BS953" s="300" t="str">
        <f>_xlfn.IFNA(VLOOKUP($BD953,Programma!$F$3:$U$1107,16,0),"")</f>
        <v/>
      </c>
      <c r="BT953" s="300" t="str">
        <f>_xlfn.IFNA(VLOOKUP($BD953,Programma!$F$3:$V$1107,17,0),"")</f>
        <v/>
      </c>
      <c r="BU953" s="300" t="str">
        <f>_xlfn.IFNA(VLOOKUP($BD953,Programma!$F$3:$W$1107,18,0),"")</f>
        <v/>
      </c>
      <c r="BV953" s="300" t="str">
        <f>_xlfn.IFNA(VLOOKUP($BD953,Programma!$F$3:$X$1107,19,0),"")</f>
        <v/>
      </c>
      <c r="BW953" s="300" t="str">
        <f>_xlfn.IFNA(VLOOKUP($BD953,Programma!$F$3:$Y$1107,20,0),"")</f>
        <v/>
      </c>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c r="GK953" s="4"/>
      <c r="GL953" s="4"/>
      <c r="GM953" s="4"/>
      <c r="GN953" s="4"/>
      <c r="GO953" s="4"/>
      <c r="GP953" s="4"/>
      <c r="GQ953" s="4"/>
      <c r="GR953" s="4"/>
      <c r="GS953" s="4"/>
      <c r="GT953" s="4"/>
      <c r="GU953" s="4"/>
      <c r="GV953" s="4"/>
      <c r="GW953" s="4"/>
      <c r="GX953" s="4"/>
      <c r="GY953" s="4"/>
      <c r="GZ953" s="4"/>
      <c r="HA953" s="4"/>
      <c r="HB953" s="4"/>
      <c r="HC953" s="4"/>
      <c r="HD953" s="4"/>
      <c r="HE953" s="4"/>
      <c r="HF953" s="4"/>
      <c r="HG953" s="4"/>
      <c r="HH953" s="4"/>
      <c r="HI953" s="4"/>
      <c r="HJ953" s="4"/>
      <c r="HK953" s="4"/>
      <c r="HL953" s="4"/>
    </row>
    <row r="954" spans="1:220" ht="15" customHeight="1">
      <c r="A954" s="21">
        <v>10</v>
      </c>
      <c r="B954" s="157" t="str">
        <f>VLOOKUP(Ruimtestaat[[#This Row],[Code]],Locaties[[Code]:[Locatie]],2,FALSE)</f>
        <v>Veurs Voorburg vmbo</v>
      </c>
      <c r="C954" s="157" t="str">
        <f>VLOOKUP(Ruimtestaat[[#This Row],[Code]],Locaties[[#All],[Code]:[Adres]],4,FALSE)</f>
        <v>Delflandlaan 4</v>
      </c>
      <c r="D954" s="157" t="str">
        <f>VLOOKUP(Ruimtestaat[[#This Row],[Code]],Locaties[[#All],[Code]:[Postcode]],5,FALSE)</f>
        <v>2273 CS</v>
      </c>
      <c r="E954" s="157" t="str">
        <f>VLOOKUP(Ruimtestaat[[#This Row],[Code]],Locaties[#All],6,FALSE)</f>
        <v>Voorburg</v>
      </c>
      <c r="F954" s="62"/>
      <c r="G954" s="21" t="s">
        <v>1624</v>
      </c>
      <c r="H954" s="21" t="s">
        <v>1667</v>
      </c>
      <c r="I954" s="62" t="s">
        <v>2467</v>
      </c>
      <c r="J954" s="21">
        <v>14</v>
      </c>
      <c r="K954" s="62" t="str">
        <f>VLOOKUP(Ruimtestaat[[#This Row],[Ruimte code]],Ruimtegroepen[[#All],[Code]:[Ruimte omschrijving]],2,FALSE)</f>
        <v>Praktijklokalen binas/zorg</v>
      </c>
      <c r="L954" s="33" t="s">
        <v>101</v>
      </c>
      <c r="M954" s="367" t="s">
        <v>2506</v>
      </c>
      <c r="N954" s="140">
        <v>60.3</v>
      </c>
      <c r="O954" s="140"/>
      <c r="P954" s="125" t="str">
        <f>VLOOKUP(Ruimtestaat[[#This Row],[Ruimte code]],Ruimtegroepen[],4,FALSE)</f>
        <v>Le</v>
      </c>
      <c r="R954" s="33">
        <v>40</v>
      </c>
      <c r="S954" s="33" t="s">
        <v>2</v>
      </c>
      <c r="T954" s="33">
        <f>IF(R954&gt;0,IF(RIGHT(Ruimtestaat[[#This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4" s="33">
        <f>IF(T954&gt;0,VLOOKUP($J954,Ruimtegroepen[],3,FALSE)*VLOOKUP($L954,Vloersoorten[],3,FALSE)*VLOOKUP($S954,Frequenties[],3,FALSE)*VLOOKUP($A954,Locaties[],3,FALSE),0)</f>
        <v>0</v>
      </c>
      <c r="V954" s="33">
        <f>Ruimtestaat[[#This Row],[Uitvoeringen werkdagen]]*Ruimtestaat[[#This Row],[Oppervlak (netto)]]</f>
        <v>12060</v>
      </c>
      <c r="W954" s="154">
        <f>IF(U954&gt;0,Ruimtestaat[[#This Row],[Prest. (m2 /jaar) werkdagen]]/Ruimtestaat[[#This Row],[Norm (m2/uur) werkdagen]],0)</f>
        <v>0</v>
      </c>
      <c r="X954" s="155">
        <f>Ruimtestaat[[#This Row],[uren / jaar werkdagen]]*Tariefsopbouw!$E$35</f>
        <v>0</v>
      </c>
      <c r="Y954" s="33"/>
      <c r="Z954" s="33">
        <f>IF(Ruimtestaat[[#This Row],[Frequentie weekend]]&gt;0,VALUE(LEFT(Y954,1))*R954,0)</f>
        <v>0</v>
      </c>
      <c r="AA954" s="97">
        <f>IF($Z954&gt;0,VLOOKUP($J954,Ruimtegroepen[],3,FALSE)*VLOOKUP($L954,Vloersoorten[],3,FALSE)*VLOOKUP($Y954,Frequenties[],3,FALSE)*VLOOKUP(Ruimtestaat[[#This Row],[Code]],Locaties[],3,FALSE),0)</f>
        <v>0</v>
      </c>
      <c r="AB954" s="97">
        <f>Ruimtestaat[[#This Row],[Uitvoeringen weekend]]*Ruimtestaat[[#This Row],[Oppervlak (netto)]]</f>
        <v>0</v>
      </c>
      <c r="AC954" s="97">
        <f>IF(AA954&gt;0,Ruimtestaat[[#This Row],[Prest. (m2 /jaar) weekend]]/Ruimtestaat[[#This Row],[Norm (m2/uur) weekend]],0)</f>
        <v>0</v>
      </c>
      <c r="AD954" s="155">
        <f>Ruimtestaat[[#This Row],[uren / jaar weekend]]*Tariefsopbouw!$D$40</f>
        <v>0</v>
      </c>
      <c r="AE954" s="154">
        <f>Ruimtestaat[[#This Row],[Prest. (m2 /jaar) weekend]]+Ruimtestaat[[#This Row],[Prest. (m2 /jaar) werkdagen]]</f>
        <v>12060</v>
      </c>
      <c r="AF954" s="154">
        <f>Ruimtestaat[[#This Row],[uren / jaar weekend]]+Ruimtestaat[[#This Row],[uren / jaar werkdagen]]</f>
        <v>0</v>
      </c>
      <c r="AG954" s="69">
        <f>Ruimtestaat[[#This Row],[kosten / jaar weekend]]+Ruimtestaat[[#This Row],[kosten / jaar werkdagen]]</f>
        <v>0</v>
      </c>
      <c r="AH954" s="69"/>
      <c r="AI954" s="256" t="str">
        <f>IF(Ruimtestaat[[#This Row],[Frequentie werkdagen]]="","",_xlfn.CONCAT(Ruimtestaat[[#This Row],[Ruimte code]],"-",Ruimtestaat[[#This Row],[Frequentie werkdagen]]," ",Ruimtestaat[[#This Row],[Vloer code]]))</f>
        <v>14-5w L</v>
      </c>
      <c r="AJ954" s="300" t="str">
        <f>_xlfn.IFNA(VLOOKUP($AI954,Programma!$F$3:$G$1107,2,0),"")</f>
        <v>_</v>
      </c>
      <c r="AK954" s="300" t="str">
        <f>_xlfn.IFNA(VLOOKUP($AI954,Programma!$F$3:$H$1107,3,0),"")</f>
        <v>_</v>
      </c>
      <c r="AL954" s="300" t="str">
        <f>_xlfn.IFNA(VLOOKUP($AI954,Programma!$F$3:$I$1107,4,0),"")</f>
        <v>_</v>
      </c>
      <c r="AM954" s="300" t="str">
        <f>_xlfn.IFNA(VLOOKUP($AI954,Programma!$F$3:$J$1107,5,0),"")</f>
        <v>5w</v>
      </c>
      <c r="AN954" s="300" t="str">
        <f>_xlfn.IFNA(VLOOKUP($AI954,Programma!$F$3:$K$1107,6,0),"")</f>
        <v>_</v>
      </c>
      <c r="AO954" s="300" t="str">
        <f>_xlfn.IFNA(VLOOKUP($AI954,Programma!$F$3:$L$1107,7,0),"")</f>
        <v>_</v>
      </c>
      <c r="AP954" s="300" t="str">
        <f>_xlfn.IFNA(VLOOKUP($AI954,Programma!$F$3:$M$1107,8,0),"")</f>
        <v>_</v>
      </c>
      <c r="AQ954" s="300" t="str">
        <f>_xlfn.IFNA(VLOOKUP($AI954,Programma!$F$3:$N$1107,9,0),"")</f>
        <v>_</v>
      </c>
      <c r="AR954" s="300" t="str">
        <f>_xlfn.IFNA(VLOOKUP($AI954,Programma!$F$3:$O$1107,10,0),"")</f>
        <v>5w</v>
      </c>
      <c r="AS954" s="300" t="str">
        <f>_xlfn.IFNA(VLOOKUP($AI954,Programma!$F$3:$P$1107,11,0),"")</f>
        <v>5w</v>
      </c>
      <c r="AT954" s="300" t="str">
        <f>_xlfn.IFNA(VLOOKUP($AI954,Programma!$F$3:$Q$1107,12,0),"")</f>
        <v>1w</v>
      </c>
      <c r="AU954" s="300" t="str">
        <f>_xlfn.IFNA(VLOOKUP($AI954,Programma!$F$3:$R$1107,13,0),"")</f>
        <v>1w</v>
      </c>
      <c r="AV954" s="300" t="str">
        <f>_xlfn.IFNA(VLOOKUP($AI954,Programma!$F$3:$S$1107,14,0),"")</f>
        <v>1m</v>
      </c>
      <c r="AW954" s="300" t="str">
        <f>_xlfn.IFNA(VLOOKUP($AI954,Programma!$F$3:$T$1107,15,0),"")</f>
        <v>2j</v>
      </c>
      <c r="AX954" s="300" t="str">
        <f>_xlfn.IFNA(VLOOKUP($AI954,Programma!$F$3:$U$1107,16,0),"")</f>
        <v>1j</v>
      </c>
      <c r="AY954" s="300" t="str">
        <f>_xlfn.IFNA(VLOOKUP($AI954,Programma!$F$3:$V$1107,17,0),"")</f>
        <v>_</v>
      </c>
      <c r="AZ954" s="300" t="str">
        <f>_xlfn.IFNA(VLOOKUP($AI954,Programma!$F$3:$W$1107,18,0),"")</f>
        <v>_</v>
      </c>
      <c r="BA954" s="300" t="str">
        <f>_xlfn.IFNA(VLOOKUP($AI954,Programma!$F$3:$X$1107,19,0),"")</f>
        <v>_</v>
      </c>
      <c r="BB954" s="300" t="str">
        <f>_xlfn.IFNA(VLOOKUP($AI954,Programma!$F$3:$Y$1107,20,0),"")</f>
        <v>_</v>
      </c>
      <c r="BC954" s="257"/>
      <c r="BD954" s="256" t="str">
        <f>IF(Ruimtestaat[[#This Row],[Frequentie weekend]]="","",_xlfn.CONCAT(Ruimtestaat[[#This Row],[Ruimte code]],"-",Ruimtestaat[[#This Row],[Frequentie weekend]]," ",Ruimtestaat[[#This Row],[Vloer code]]))</f>
        <v/>
      </c>
      <c r="BE954" s="300" t="str">
        <f>_xlfn.IFNA(VLOOKUP($BD954,Programma!$F$3:$G$1107,2,0),"")</f>
        <v/>
      </c>
      <c r="BF954" s="300" t="str">
        <f>_xlfn.IFNA(VLOOKUP($BD954,Programma!$F$3:$H$1107,3,0),"")</f>
        <v/>
      </c>
      <c r="BG954" s="300" t="str">
        <f>_xlfn.IFNA(VLOOKUP($BD954,Programma!$F$3:$I$1107,4,0),"")</f>
        <v/>
      </c>
      <c r="BH954" s="300" t="str">
        <f>_xlfn.IFNA(VLOOKUP($BD954,Programma!$F$3:$J$1107,5,0),"")</f>
        <v/>
      </c>
      <c r="BI954" s="300" t="str">
        <f>_xlfn.IFNA(VLOOKUP($BD954,Programma!$F$3:$K$1107,6,0),"")</f>
        <v/>
      </c>
      <c r="BJ954" s="300" t="str">
        <f>_xlfn.IFNA(VLOOKUP($BD954,Programma!$F$3:$L$1107,7,0),"")</f>
        <v/>
      </c>
      <c r="BK954" s="300" t="str">
        <f>_xlfn.IFNA(VLOOKUP($BD954,Programma!$F$3:$M$1107,8,0),"")</f>
        <v/>
      </c>
      <c r="BL954" s="300" t="str">
        <f>_xlfn.IFNA(VLOOKUP($BD954,Programma!$F$3:$N$1107,9,0),"")</f>
        <v/>
      </c>
      <c r="BM954" s="300" t="str">
        <f>_xlfn.IFNA(VLOOKUP($BD954,Programma!$F$3:$O$1107,10,0),"")</f>
        <v/>
      </c>
      <c r="BN954" s="300" t="str">
        <f>_xlfn.IFNA(VLOOKUP($BD954,Programma!$F$3:$P$1107,11,0),"")</f>
        <v/>
      </c>
      <c r="BO954" s="300" t="str">
        <f>_xlfn.IFNA(VLOOKUP($BD954,Programma!$F$3:$Q$1107,12,0),"")</f>
        <v/>
      </c>
      <c r="BP954" s="300" t="str">
        <f>_xlfn.IFNA(VLOOKUP($BD954,Programma!$F$3:$R$1107,13,0),"")</f>
        <v/>
      </c>
      <c r="BQ954" s="300" t="str">
        <f>_xlfn.IFNA(VLOOKUP($BD954,Programma!$F$3:$S$1107,14,0),"")</f>
        <v/>
      </c>
      <c r="BR954" s="300" t="str">
        <f>_xlfn.IFNA(VLOOKUP($BD954,Programma!$F$3:$T$1107,15,0),"")</f>
        <v/>
      </c>
      <c r="BS954" s="300" t="str">
        <f>_xlfn.IFNA(VLOOKUP($BD954,Programma!$F$3:$U$1107,16,0),"")</f>
        <v/>
      </c>
      <c r="BT954" s="300" t="str">
        <f>_xlfn.IFNA(VLOOKUP($BD954,Programma!$F$3:$V$1107,17,0),"")</f>
        <v/>
      </c>
      <c r="BU954" s="300" t="str">
        <f>_xlfn.IFNA(VLOOKUP($BD954,Programma!$F$3:$W$1107,18,0),"")</f>
        <v/>
      </c>
      <c r="BV954" s="300" t="str">
        <f>_xlfn.IFNA(VLOOKUP($BD954,Programma!$F$3:$X$1107,19,0),"")</f>
        <v/>
      </c>
      <c r="BW954" s="300" t="str">
        <f>_xlfn.IFNA(VLOOKUP($BD954,Programma!$F$3:$Y$1107,20,0),"")</f>
        <v/>
      </c>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c r="DE954" s="4"/>
      <c r="DF954" s="4"/>
      <c r="DG954" s="4"/>
      <c r="DH954" s="4"/>
      <c r="DI954" s="4"/>
      <c r="DJ954" s="4"/>
      <c r="DK954" s="4"/>
      <c r="DL954" s="4"/>
      <c r="DM954" s="4"/>
      <c r="DN954" s="4"/>
      <c r="DO954" s="4"/>
      <c r="DP954" s="4"/>
      <c r="DQ954" s="4"/>
      <c r="DR954" s="4"/>
      <c r="DS954" s="4"/>
      <c r="DT954" s="4"/>
      <c r="DU954" s="4"/>
      <c r="DV954" s="4"/>
      <c r="DW954" s="4"/>
      <c r="DX954" s="4"/>
      <c r="DY954" s="4"/>
      <c r="DZ954" s="4"/>
      <c r="EA954" s="4"/>
      <c r="EB954" s="4"/>
      <c r="EC954" s="4"/>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4"/>
      <c r="FG954" s="4"/>
      <c r="FH954" s="4"/>
      <c r="FI954" s="4"/>
      <c r="FJ954" s="4"/>
      <c r="FK954" s="4"/>
      <c r="FL954" s="4"/>
      <c r="FM954" s="4"/>
      <c r="FN954" s="4"/>
      <c r="FO954" s="4"/>
      <c r="FP954" s="4"/>
      <c r="FQ954" s="4"/>
      <c r="FR954" s="4"/>
      <c r="FS954" s="4"/>
      <c r="FT954" s="4"/>
      <c r="FU954" s="4"/>
      <c r="FV954" s="4"/>
      <c r="FW954" s="4"/>
      <c r="FX954" s="4"/>
      <c r="FY954" s="4"/>
      <c r="FZ954" s="4"/>
      <c r="GA954" s="4"/>
      <c r="GB954" s="4"/>
      <c r="GC954" s="4"/>
      <c r="GD954" s="4"/>
      <c r="GE954" s="4"/>
      <c r="GF954" s="4"/>
      <c r="GG954" s="4"/>
      <c r="GH954" s="4"/>
      <c r="GI954" s="4"/>
      <c r="GJ954" s="4"/>
      <c r="GK954" s="4"/>
      <c r="GL954" s="4"/>
      <c r="GM954" s="4"/>
      <c r="GN954" s="4"/>
      <c r="GO954" s="4"/>
      <c r="GP954" s="4"/>
      <c r="GQ954" s="4"/>
      <c r="GR954" s="4"/>
      <c r="GS954" s="4"/>
      <c r="GT954" s="4"/>
      <c r="GU954" s="4"/>
      <c r="GV954" s="4"/>
      <c r="GW954" s="4"/>
      <c r="GX954" s="4"/>
      <c r="GY954" s="4"/>
      <c r="GZ954" s="4"/>
      <c r="HA954" s="4"/>
      <c r="HB954" s="4"/>
      <c r="HC954" s="4"/>
      <c r="HD954" s="4"/>
      <c r="HE954" s="4"/>
      <c r="HF954" s="4"/>
      <c r="HG954" s="4"/>
      <c r="HH954" s="4"/>
      <c r="HI954" s="4"/>
      <c r="HJ954" s="4"/>
      <c r="HK954" s="4"/>
      <c r="HL954" s="4"/>
    </row>
    <row r="955" spans="1:220" ht="15" customHeight="1">
      <c r="A955" s="21">
        <v>10</v>
      </c>
      <c r="B955" s="157" t="str">
        <f>VLOOKUP(Ruimtestaat[[#This Row],[Code]],Locaties[[Code]:[Locatie]],2,FALSE)</f>
        <v>Veurs Voorburg vmbo</v>
      </c>
      <c r="C955" s="157" t="str">
        <f>VLOOKUP(Ruimtestaat[[#This Row],[Code]],Locaties[[#All],[Code]:[Adres]],4,FALSE)</f>
        <v>Delflandlaan 4</v>
      </c>
      <c r="D955" s="157" t="str">
        <f>VLOOKUP(Ruimtestaat[[#This Row],[Code]],Locaties[[#All],[Code]:[Postcode]],5,FALSE)</f>
        <v>2273 CS</v>
      </c>
      <c r="E955" s="157" t="str">
        <f>VLOOKUP(Ruimtestaat[[#This Row],[Code]],Locaties[#All],6,FALSE)</f>
        <v>Voorburg</v>
      </c>
      <c r="F955" s="62"/>
      <c r="G955" s="21" t="s">
        <v>1624</v>
      </c>
      <c r="H955" s="21" t="s">
        <v>1668</v>
      </c>
      <c r="I955" s="62" t="s">
        <v>2468</v>
      </c>
      <c r="J955" s="21">
        <v>14</v>
      </c>
      <c r="K955" s="62" t="str">
        <f>VLOOKUP(Ruimtestaat[[#This Row],[Ruimte code]],Ruimtegroepen[[#All],[Code]:[Ruimte omschrijving]],2,FALSE)</f>
        <v>Praktijklokalen binas/zorg</v>
      </c>
      <c r="L955" s="33" t="s">
        <v>101</v>
      </c>
      <c r="M955" s="367" t="s">
        <v>2506</v>
      </c>
      <c r="N955" s="140">
        <v>42.3</v>
      </c>
      <c r="O955" s="140"/>
      <c r="P955" s="125" t="str">
        <f>VLOOKUP(Ruimtestaat[[#This Row],[Ruimte code]],Ruimtegroepen[],4,FALSE)</f>
        <v>Le</v>
      </c>
      <c r="R955" s="33">
        <v>40</v>
      </c>
      <c r="S955" s="33" t="s">
        <v>2</v>
      </c>
      <c r="T955" s="33">
        <f>IF(R955&gt;0,IF(RIGHT(Ruimtestaat[[#This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5" s="33">
        <f>IF(T955&gt;0,VLOOKUP($J955,Ruimtegroepen[],3,FALSE)*VLOOKUP($L955,Vloersoorten[],3,FALSE)*VLOOKUP($S955,Frequenties[],3,FALSE)*VLOOKUP($A955,Locaties[],3,FALSE),0)</f>
        <v>0</v>
      </c>
      <c r="V955" s="33">
        <f>Ruimtestaat[[#This Row],[Uitvoeringen werkdagen]]*Ruimtestaat[[#This Row],[Oppervlak (netto)]]</f>
        <v>8460</v>
      </c>
      <c r="W955" s="154">
        <f>IF(U955&gt;0,Ruimtestaat[[#This Row],[Prest. (m2 /jaar) werkdagen]]/Ruimtestaat[[#This Row],[Norm (m2/uur) werkdagen]],0)</f>
        <v>0</v>
      </c>
      <c r="X955" s="155">
        <f>Ruimtestaat[[#This Row],[uren / jaar werkdagen]]*Tariefsopbouw!$E$35</f>
        <v>0</v>
      </c>
      <c r="Y955" s="33"/>
      <c r="Z955" s="33">
        <f>IF(Ruimtestaat[[#This Row],[Frequentie weekend]]&gt;0,VALUE(LEFT(Y955,1))*R955,0)</f>
        <v>0</v>
      </c>
      <c r="AA955" s="97">
        <f>IF($Z955&gt;0,VLOOKUP($J955,Ruimtegroepen[],3,FALSE)*VLOOKUP($L955,Vloersoorten[],3,FALSE)*VLOOKUP($Y955,Frequenties[],3,FALSE)*VLOOKUP(Ruimtestaat[[#This Row],[Code]],Locaties[],3,FALSE),0)</f>
        <v>0</v>
      </c>
      <c r="AB955" s="97">
        <f>Ruimtestaat[[#This Row],[Uitvoeringen weekend]]*Ruimtestaat[[#This Row],[Oppervlak (netto)]]</f>
        <v>0</v>
      </c>
      <c r="AC955" s="97">
        <f>IF(AA955&gt;0,Ruimtestaat[[#This Row],[Prest. (m2 /jaar) weekend]]/Ruimtestaat[[#This Row],[Norm (m2/uur) weekend]],0)</f>
        <v>0</v>
      </c>
      <c r="AD955" s="155">
        <f>Ruimtestaat[[#This Row],[uren / jaar weekend]]*Tariefsopbouw!$D$40</f>
        <v>0</v>
      </c>
      <c r="AE955" s="154">
        <f>Ruimtestaat[[#This Row],[Prest. (m2 /jaar) weekend]]+Ruimtestaat[[#This Row],[Prest. (m2 /jaar) werkdagen]]</f>
        <v>8460</v>
      </c>
      <c r="AF955" s="154">
        <f>Ruimtestaat[[#This Row],[uren / jaar weekend]]+Ruimtestaat[[#This Row],[uren / jaar werkdagen]]</f>
        <v>0</v>
      </c>
      <c r="AG955" s="69">
        <f>Ruimtestaat[[#This Row],[kosten / jaar weekend]]+Ruimtestaat[[#This Row],[kosten / jaar werkdagen]]</f>
        <v>0</v>
      </c>
      <c r="AH955" s="69"/>
      <c r="AI955" s="256" t="str">
        <f>IF(Ruimtestaat[[#This Row],[Frequentie werkdagen]]="","",_xlfn.CONCAT(Ruimtestaat[[#This Row],[Ruimte code]],"-",Ruimtestaat[[#This Row],[Frequentie werkdagen]]," ",Ruimtestaat[[#This Row],[Vloer code]]))</f>
        <v>14-5w L</v>
      </c>
      <c r="AJ955" s="300" t="str">
        <f>_xlfn.IFNA(VLOOKUP($AI955,Programma!$F$3:$G$1107,2,0),"")</f>
        <v>_</v>
      </c>
      <c r="AK955" s="300" t="str">
        <f>_xlfn.IFNA(VLOOKUP($AI955,Programma!$F$3:$H$1107,3,0),"")</f>
        <v>_</v>
      </c>
      <c r="AL955" s="300" t="str">
        <f>_xlfn.IFNA(VLOOKUP($AI955,Programma!$F$3:$I$1107,4,0),"")</f>
        <v>_</v>
      </c>
      <c r="AM955" s="300" t="str">
        <f>_xlfn.IFNA(VLOOKUP($AI955,Programma!$F$3:$J$1107,5,0),"")</f>
        <v>5w</v>
      </c>
      <c r="AN955" s="300" t="str">
        <f>_xlfn.IFNA(VLOOKUP($AI955,Programma!$F$3:$K$1107,6,0),"")</f>
        <v>_</v>
      </c>
      <c r="AO955" s="300" t="str">
        <f>_xlfn.IFNA(VLOOKUP($AI955,Programma!$F$3:$L$1107,7,0),"")</f>
        <v>_</v>
      </c>
      <c r="AP955" s="300" t="str">
        <f>_xlfn.IFNA(VLOOKUP($AI955,Programma!$F$3:$M$1107,8,0),"")</f>
        <v>_</v>
      </c>
      <c r="AQ955" s="300" t="str">
        <f>_xlfn.IFNA(VLOOKUP($AI955,Programma!$F$3:$N$1107,9,0),"")</f>
        <v>_</v>
      </c>
      <c r="AR955" s="300" t="str">
        <f>_xlfn.IFNA(VLOOKUP($AI955,Programma!$F$3:$O$1107,10,0),"")</f>
        <v>5w</v>
      </c>
      <c r="AS955" s="300" t="str">
        <f>_xlfn.IFNA(VLOOKUP($AI955,Programma!$F$3:$P$1107,11,0),"")</f>
        <v>5w</v>
      </c>
      <c r="AT955" s="300" t="str">
        <f>_xlfn.IFNA(VLOOKUP($AI955,Programma!$F$3:$Q$1107,12,0),"")</f>
        <v>1w</v>
      </c>
      <c r="AU955" s="300" t="str">
        <f>_xlfn.IFNA(VLOOKUP($AI955,Programma!$F$3:$R$1107,13,0),"")</f>
        <v>1w</v>
      </c>
      <c r="AV955" s="300" t="str">
        <f>_xlfn.IFNA(VLOOKUP($AI955,Programma!$F$3:$S$1107,14,0),"")</f>
        <v>1m</v>
      </c>
      <c r="AW955" s="300" t="str">
        <f>_xlfn.IFNA(VLOOKUP($AI955,Programma!$F$3:$T$1107,15,0),"")</f>
        <v>2j</v>
      </c>
      <c r="AX955" s="300" t="str">
        <f>_xlfn.IFNA(VLOOKUP($AI955,Programma!$F$3:$U$1107,16,0),"")</f>
        <v>1j</v>
      </c>
      <c r="AY955" s="300" t="str">
        <f>_xlfn.IFNA(VLOOKUP($AI955,Programma!$F$3:$V$1107,17,0),"")</f>
        <v>_</v>
      </c>
      <c r="AZ955" s="300" t="str">
        <f>_xlfn.IFNA(VLOOKUP($AI955,Programma!$F$3:$W$1107,18,0),"")</f>
        <v>_</v>
      </c>
      <c r="BA955" s="300" t="str">
        <f>_xlfn.IFNA(VLOOKUP($AI955,Programma!$F$3:$X$1107,19,0),"")</f>
        <v>_</v>
      </c>
      <c r="BB955" s="300" t="str">
        <f>_xlfn.IFNA(VLOOKUP($AI955,Programma!$F$3:$Y$1107,20,0),"")</f>
        <v>_</v>
      </c>
      <c r="BC955" s="257"/>
      <c r="BD955" s="256" t="str">
        <f>IF(Ruimtestaat[[#This Row],[Frequentie weekend]]="","",_xlfn.CONCAT(Ruimtestaat[[#This Row],[Ruimte code]],"-",Ruimtestaat[[#This Row],[Frequentie weekend]]," ",Ruimtestaat[[#This Row],[Vloer code]]))</f>
        <v/>
      </c>
      <c r="BE955" s="300" t="str">
        <f>_xlfn.IFNA(VLOOKUP($BD955,Programma!$F$3:$G$1107,2,0),"")</f>
        <v/>
      </c>
      <c r="BF955" s="300" t="str">
        <f>_xlfn.IFNA(VLOOKUP($BD955,Programma!$F$3:$H$1107,3,0),"")</f>
        <v/>
      </c>
      <c r="BG955" s="300" t="str">
        <f>_xlfn.IFNA(VLOOKUP($BD955,Programma!$F$3:$I$1107,4,0),"")</f>
        <v/>
      </c>
      <c r="BH955" s="300" t="str">
        <f>_xlfn.IFNA(VLOOKUP($BD955,Programma!$F$3:$J$1107,5,0),"")</f>
        <v/>
      </c>
      <c r="BI955" s="300" t="str">
        <f>_xlfn.IFNA(VLOOKUP($BD955,Programma!$F$3:$K$1107,6,0),"")</f>
        <v/>
      </c>
      <c r="BJ955" s="300" t="str">
        <f>_xlfn.IFNA(VLOOKUP($BD955,Programma!$F$3:$L$1107,7,0),"")</f>
        <v/>
      </c>
      <c r="BK955" s="300" t="str">
        <f>_xlfn.IFNA(VLOOKUP($BD955,Programma!$F$3:$M$1107,8,0),"")</f>
        <v/>
      </c>
      <c r="BL955" s="300" t="str">
        <f>_xlfn.IFNA(VLOOKUP($BD955,Programma!$F$3:$N$1107,9,0),"")</f>
        <v/>
      </c>
      <c r="BM955" s="300" t="str">
        <f>_xlfn.IFNA(VLOOKUP($BD955,Programma!$F$3:$O$1107,10,0),"")</f>
        <v/>
      </c>
      <c r="BN955" s="300" t="str">
        <f>_xlfn.IFNA(VLOOKUP($BD955,Programma!$F$3:$P$1107,11,0),"")</f>
        <v/>
      </c>
      <c r="BO955" s="300" t="str">
        <f>_xlfn.IFNA(VLOOKUP($BD955,Programma!$F$3:$Q$1107,12,0),"")</f>
        <v/>
      </c>
      <c r="BP955" s="300" t="str">
        <f>_xlfn.IFNA(VLOOKUP($BD955,Programma!$F$3:$R$1107,13,0),"")</f>
        <v/>
      </c>
      <c r="BQ955" s="300" t="str">
        <f>_xlfn.IFNA(VLOOKUP($BD955,Programma!$F$3:$S$1107,14,0),"")</f>
        <v/>
      </c>
      <c r="BR955" s="300" t="str">
        <f>_xlfn.IFNA(VLOOKUP($BD955,Programma!$F$3:$T$1107,15,0),"")</f>
        <v/>
      </c>
      <c r="BS955" s="300" t="str">
        <f>_xlfn.IFNA(VLOOKUP($BD955,Programma!$F$3:$U$1107,16,0),"")</f>
        <v/>
      </c>
      <c r="BT955" s="300" t="str">
        <f>_xlfn.IFNA(VLOOKUP($BD955,Programma!$F$3:$V$1107,17,0),"")</f>
        <v/>
      </c>
      <c r="BU955" s="300" t="str">
        <f>_xlfn.IFNA(VLOOKUP($BD955,Programma!$F$3:$W$1107,18,0),"")</f>
        <v/>
      </c>
      <c r="BV955" s="300" t="str">
        <f>_xlfn.IFNA(VLOOKUP($BD955,Programma!$F$3:$X$1107,19,0),"")</f>
        <v/>
      </c>
      <c r="BW955" s="300" t="str">
        <f>_xlfn.IFNA(VLOOKUP($BD955,Programma!$F$3:$Y$1107,20,0),"")</f>
        <v/>
      </c>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c r="GK955" s="4"/>
      <c r="GL955" s="4"/>
      <c r="GM955" s="4"/>
      <c r="GN955" s="4"/>
      <c r="GO955" s="4"/>
      <c r="GP955" s="4"/>
      <c r="GQ955" s="4"/>
      <c r="GR955" s="4"/>
      <c r="GS955" s="4"/>
      <c r="GT955" s="4"/>
      <c r="GU955" s="4"/>
      <c r="GV955" s="4"/>
      <c r="GW955" s="4"/>
      <c r="GX955" s="4"/>
      <c r="GY955" s="4"/>
      <c r="GZ955" s="4"/>
      <c r="HA955" s="4"/>
      <c r="HB955" s="4"/>
      <c r="HC955" s="4"/>
      <c r="HD955" s="4"/>
      <c r="HE955" s="4"/>
      <c r="HF955" s="4"/>
      <c r="HG955" s="4"/>
      <c r="HH955" s="4"/>
      <c r="HI955" s="4"/>
      <c r="HJ955" s="4"/>
      <c r="HK955" s="4"/>
      <c r="HL955" s="4"/>
    </row>
    <row r="956" spans="1:220" ht="15" customHeight="1">
      <c r="A956" s="21">
        <v>10</v>
      </c>
      <c r="B956" s="157" t="str">
        <f>VLOOKUP(Ruimtestaat[[#This Row],[Code]],Locaties[[Code]:[Locatie]],2,FALSE)</f>
        <v>Veurs Voorburg vmbo</v>
      </c>
      <c r="C956" s="157" t="str">
        <f>VLOOKUP(Ruimtestaat[[#This Row],[Code]],Locaties[[#All],[Code]:[Adres]],4,FALSE)</f>
        <v>Delflandlaan 4</v>
      </c>
      <c r="D956" s="157" t="str">
        <f>VLOOKUP(Ruimtestaat[[#This Row],[Code]],Locaties[[#All],[Code]:[Postcode]],5,FALSE)</f>
        <v>2273 CS</v>
      </c>
      <c r="E956" s="157" t="str">
        <f>VLOOKUP(Ruimtestaat[[#This Row],[Code]],Locaties[#All],6,FALSE)</f>
        <v>Voorburg</v>
      </c>
      <c r="F956" s="62"/>
      <c r="G956" s="21" t="s">
        <v>1624</v>
      </c>
      <c r="H956" s="21" t="s">
        <v>1670</v>
      </c>
      <c r="I956" s="62" t="s">
        <v>2469</v>
      </c>
      <c r="J956" s="21">
        <v>6</v>
      </c>
      <c r="K956" s="62" t="str">
        <f>VLOOKUP(Ruimtestaat[[#This Row],[Ruimte code]],Ruimtegroepen[[#All],[Code]:[Ruimte omschrijving]],2,FALSE)</f>
        <v>Gangen/hallen</v>
      </c>
      <c r="L956" s="33" t="s">
        <v>101</v>
      </c>
      <c r="M956" s="367" t="s">
        <v>2506</v>
      </c>
      <c r="N956" s="140">
        <v>75.5</v>
      </c>
      <c r="O956" s="140"/>
      <c r="P956" s="125" t="str">
        <f>VLOOKUP(Ruimtestaat[[#This Row],[Ruimte code]],Ruimtegroepen[],4,FALSE)</f>
        <v>Ve</v>
      </c>
      <c r="R956" s="33">
        <v>40</v>
      </c>
      <c r="S956" s="33" t="s">
        <v>2</v>
      </c>
      <c r="T956" s="33">
        <f>IF(R956&gt;0,IF(RIGHT(Ruimtestaat[[#This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6" s="33">
        <f>IF(T956&gt;0,VLOOKUP($J956,Ruimtegroepen[],3,FALSE)*VLOOKUP($L956,Vloersoorten[],3,FALSE)*VLOOKUP($S956,Frequenties[],3,FALSE)*VLOOKUP($A956,Locaties[],3,FALSE),0)</f>
        <v>0</v>
      </c>
      <c r="V956" s="33">
        <f>Ruimtestaat[[#This Row],[Uitvoeringen werkdagen]]*Ruimtestaat[[#This Row],[Oppervlak (netto)]]</f>
        <v>15100</v>
      </c>
      <c r="W956" s="154">
        <f>IF(U956&gt;0,Ruimtestaat[[#This Row],[Prest. (m2 /jaar) werkdagen]]/Ruimtestaat[[#This Row],[Norm (m2/uur) werkdagen]],0)</f>
        <v>0</v>
      </c>
      <c r="X956" s="155">
        <f>Ruimtestaat[[#This Row],[uren / jaar werkdagen]]*Tariefsopbouw!$E$35</f>
        <v>0</v>
      </c>
      <c r="Y956" s="33"/>
      <c r="Z956" s="33">
        <f>IF(Ruimtestaat[[#This Row],[Frequentie weekend]]&gt;0,VALUE(LEFT(Y956,1))*R956,0)</f>
        <v>0</v>
      </c>
      <c r="AA956" s="97">
        <f>IF($Z956&gt;0,VLOOKUP($J956,Ruimtegroepen[],3,FALSE)*VLOOKUP($L956,Vloersoorten[],3,FALSE)*VLOOKUP($Y956,Frequenties[],3,FALSE)*VLOOKUP(Ruimtestaat[[#This Row],[Code]],Locaties[],3,FALSE),0)</f>
        <v>0</v>
      </c>
      <c r="AB956" s="97">
        <f>Ruimtestaat[[#This Row],[Uitvoeringen weekend]]*Ruimtestaat[[#This Row],[Oppervlak (netto)]]</f>
        <v>0</v>
      </c>
      <c r="AC956" s="97">
        <f>IF(AA956&gt;0,Ruimtestaat[[#This Row],[Prest. (m2 /jaar) weekend]]/Ruimtestaat[[#This Row],[Norm (m2/uur) weekend]],0)</f>
        <v>0</v>
      </c>
      <c r="AD956" s="155">
        <f>Ruimtestaat[[#This Row],[uren / jaar weekend]]*Tariefsopbouw!$D$40</f>
        <v>0</v>
      </c>
      <c r="AE956" s="154">
        <f>Ruimtestaat[[#This Row],[Prest. (m2 /jaar) weekend]]+Ruimtestaat[[#This Row],[Prest. (m2 /jaar) werkdagen]]</f>
        <v>15100</v>
      </c>
      <c r="AF956" s="154">
        <f>Ruimtestaat[[#This Row],[uren / jaar weekend]]+Ruimtestaat[[#This Row],[uren / jaar werkdagen]]</f>
        <v>0</v>
      </c>
      <c r="AG956" s="69">
        <f>Ruimtestaat[[#This Row],[kosten / jaar weekend]]+Ruimtestaat[[#This Row],[kosten / jaar werkdagen]]</f>
        <v>0</v>
      </c>
      <c r="AH956" s="69"/>
      <c r="AI956" s="256" t="str">
        <f>IF(Ruimtestaat[[#This Row],[Frequentie werkdagen]]="","",_xlfn.CONCAT(Ruimtestaat[[#This Row],[Ruimte code]],"-",Ruimtestaat[[#This Row],[Frequentie werkdagen]]," ",Ruimtestaat[[#This Row],[Vloer code]]))</f>
        <v>6-5w L</v>
      </c>
      <c r="AJ956" s="300" t="str">
        <f>_xlfn.IFNA(VLOOKUP($AI956,Programma!$F$3:$G$1107,2,0),"")</f>
        <v>_</v>
      </c>
      <c r="AK956" s="300" t="str">
        <f>_xlfn.IFNA(VLOOKUP($AI956,Programma!$F$3:$H$1107,3,0),"")</f>
        <v>_</v>
      </c>
      <c r="AL956" s="300" t="str">
        <f>_xlfn.IFNA(VLOOKUP($AI956,Programma!$F$3:$I$1107,4,0),"")</f>
        <v>_</v>
      </c>
      <c r="AM956" s="300" t="str">
        <f>_xlfn.IFNA(VLOOKUP($AI956,Programma!$F$3:$J$1107,5,0),"")</f>
        <v>5w</v>
      </c>
      <c r="AN956" s="300" t="str">
        <f>_xlfn.IFNA(VLOOKUP($AI956,Programma!$F$3:$K$1107,6,0),"")</f>
        <v>_</v>
      </c>
      <c r="AO956" s="300" t="str">
        <f>_xlfn.IFNA(VLOOKUP($AI956,Programma!$F$3:$L$1107,7,0),"")</f>
        <v>_</v>
      </c>
      <c r="AP956" s="300" t="str">
        <f>_xlfn.IFNA(VLOOKUP($AI956,Programma!$F$3:$M$1107,8,0),"")</f>
        <v>_</v>
      </c>
      <c r="AQ956" s="300" t="str">
        <f>_xlfn.IFNA(VLOOKUP($AI956,Programma!$F$3:$N$1107,9,0),"")</f>
        <v>_</v>
      </c>
      <c r="AR956" s="300" t="str">
        <f>_xlfn.IFNA(VLOOKUP($AI956,Programma!$F$3:$O$1107,10,0),"")</f>
        <v>5w</v>
      </c>
      <c r="AS956" s="300" t="str">
        <f>_xlfn.IFNA(VLOOKUP($AI956,Programma!$F$3:$P$1107,11,0),"")</f>
        <v>5w</v>
      </c>
      <c r="AT956" s="300" t="str">
        <f>_xlfn.IFNA(VLOOKUP($AI956,Programma!$F$3:$Q$1107,12,0),"")</f>
        <v>1w</v>
      </c>
      <c r="AU956" s="300" t="str">
        <f>_xlfn.IFNA(VLOOKUP($AI956,Programma!$F$3:$R$1107,13,0),"")</f>
        <v>1w</v>
      </c>
      <c r="AV956" s="300" t="str">
        <f>_xlfn.IFNA(VLOOKUP($AI956,Programma!$F$3:$S$1107,14,0),"")</f>
        <v>1m</v>
      </c>
      <c r="AW956" s="300" t="str">
        <f>_xlfn.IFNA(VLOOKUP($AI956,Programma!$F$3:$T$1107,15,0),"")</f>
        <v>2j</v>
      </c>
      <c r="AX956" s="300" t="str">
        <f>_xlfn.IFNA(VLOOKUP($AI956,Programma!$F$3:$U$1107,16,0),"")</f>
        <v>1j</v>
      </c>
      <c r="AY956" s="300" t="str">
        <f>_xlfn.IFNA(VLOOKUP($AI956,Programma!$F$3:$V$1107,17,0),"")</f>
        <v>_</v>
      </c>
      <c r="AZ956" s="300" t="str">
        <f>_xlfn.IFNA(VLOOKUP($AI956,Programma!$F$3:$W$1107,18,0),"")</f>
        <v>_</v>
      </c>
      <c r="BA956" s="300" t="str">
        <f>_xlfn.IFNA(VLOOKUP($AI956,Programma!$F$3:$X$1107,19,0),"")</f>
        <v>_</v>
      </c>
      <c r="BB956" s="300" t="str">
        <f>_xlfn.IFNA(VLOOKUP($AI956,Programma!$F$3:$Y$1107,20,0),"")</f>
        <v>_</v>
      </c>
      <c r="BC956" s="257"/>
      <c r="BD956" s="256" t="str">
        <f>IF(Ruimtestaat[[#This Row],[Frequentie weekend]]="","",_xlfn.CONCAT(Ruimtestaat[[#This Row],[Ruimte code]],"-",Ruimtestaat[[#This Row],[Frequentie weekend]]," ",Ruimtestaat[[#This Row],[Vloer code]]))</f>
        <v/>
      </c>
      <c r="BE956" s="300" t="str">
        <f>_xlfn.IFNA(VLOOKUP($BD956,Programma!$F$3:$G$1107,2,0),"")</f>
        <v/>
      </c>
      <c r="BF956" s="300" t="str">
        <f>_xlfn.IFNA(VLOOKUP($BD956,Programma!$F$3:$H$1107,3,0),"")</f>
        <v/>
      </c>
      <c r="BG956" s="300" t="str">
        <f>_xlfn.IFNA(VLOOKUP($BD956,Programma!$F$3:$I$1107,4,0),"")</f>
        <v/>
      </c>
      <c r="BH956" s="300" t="str">
        <f>_xlfn.IFNA(VLOOKUP($BD956,Programma!$F$3:$J$1107,5,0),"")</f>
        <v/>
      </c>
      <c r="BI956" s="300" t="str">
        <f>_xlfn.IFNA(VLOOKUP($BD956,Programma!$F$3:$K$1107,6,0),"")</f>
        <v/>
      </c>
      <c r="BJ956" s="300" t="str">
        <f>_xlfn.IFNA(VLOOKUP($BD956,Programma!$F$3:$L$1107,7,0),"")</f>
        <v/>
      </c>
      <c r="BK956" s="300" t="str">
        <f>_xlfn.IFNA(VLOOKUP($BD956,Programma!$F$3:$M$1107,8,0),"")</f>
        <v/>
      </c>
      <c r="BL956" s="300" t="str">
        <f>_xlfn.IFNA(VLOOKUP($BD956,Programma!$F$3:$N$1107,9,0),"")</f>
        <v/>
      </c>
      <c r="BM956" s="300" t="str">
        <f>_xlfn.IFNA(VLOOKUP($BD956,Programma!$F$3:$O$1107,10,0),"")</f>
        <v/>
      </c>
      <c r="BN956" s="300" t="str">
        <f>_xlfn.IFNA(VLOOKUP($BD956,Programma!$F$3:$P$1107,11,0),"")</f>
        <v/>
      </c>
      <c r="BO956" s="300" t="str">
        <f>_xlfn.IFNA(VLOOKUP($BD956,Programma!$F$3:$Q$1107,12,0),"")</f>
        <v/>
      </c>
      <c r="BP956" s="300" t="str">
        <f>_xlfn.IFNA(VLOOKUP($BD956,Programma!$F$3:$R$1107,13,0),"")</f>
        <v/>
      </c>
      <c r="BQ956" s="300" t="str">
        <f>_xlfn.IFNA(VLOOKUP($BD956,Programma!$F$3:$S$1107,14,0),"")</f>
        <v/>
      </c>
      <c r="BR956" s="300" t="str">
        <f>_xlfn.IFNA(VLOOKUP($BD956,Programma!$F$3:$T$1107,15,0),"")</f>
        <v/>
      </c>
      <c r="BS956" s="300" t="str">
        <f>_xlfn.IFNA(VLOOKUP($BD956,Programma!$F$3:$U$1107,16,0),"")</f>
        <v/>
      </c>
      <c r="BT956" s="300" t="str">
        <f>_xlfn.IFNA(VLOOKUP($BD956,Programma!$F$3:$V$1107,17,0),"")</f>
        <v/>
      </c>
      <c r="BU956" s="300" t="str">
        <f>_xlfn.IFNA(VLOOKUP($BD956,Programma!$F$3:$W$1107,18,0),"")</f>
        <v/>
      </c>
      <c r="BV956" s="300" t="str">
        <f>_xlfn.IFNA(VLOOKUP($BD956,Programma!$F$3:$X$1107,19,0),"")</f>
        <v/>
      </c>
      <c r="BW956" s="300" t="str">
        <f>_xlfn.IFNA(VLOOKUP($BD956,Programma!$F$3:$Y$1107,20,0),"")</f>
        <v/>
      </c>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c r="GK956" s="4"/>
      <c r="GL956" s="4"/>
      <c r="GM956" s="4"/>
      <c r="GN956" s="4"/>
      <c r="GO956" s="4"/>
      <c r="GP956" s="4"/>
      <c r="GQ956" s="4"/>
      <c r="GR956" s="4"/>
      <c r="GS956" s="4"/>
      <c r="GT956" s="4"/>
      <c r="GU956" s="4"/>
      <c r="GV956" s="4"/>
      <c r="GW956" s="4"/>
      <c r="GX956" s="4"/>
      <c r="GY956" s="4"/>
      <c r="GZ956" s="4"/>
      <c r="HA956" s="4"/>
      <c r="HB956" s="4"/>
      <c r="HC956" s="4"/>
      <c r="HD956" s="4"/>
      <c r="HE956" s="4"/>
      <c r="HF956" s="4"/>
      <c r="HG956" s="4"/>
      <c r="HH956" s="4"/>
      <c r="HI956" s="4"/>
      <c r="HJ956" s="4"/>
      <c r="HK956" s="4"/>
      <c r="HL956" s="4"/>
    </row>
    <row r="957" spans="1:220" ht="15" customHeight="1">
      <c r="A957" s="21">
        <v>10</v>
      </c>
      <c r="B957" s="157" t="str">
        <f>VLOOKUP(Ruimtestaat[[#This Row],[Code]],Locaties[[Code]:[Locatie]],2,FALSE)</f>
        <v>Veurs Voorburg vmbo</v>
      </c>
      <c r="C957" s="157" t="str">
        <f>VLOOKUP(Ruimtestaat[[#This Row],[Code]],Locaties[[#All],[Code]:[Adres]],4,FALSE)</f>
        <v>Delflandlaan 4</v>
      </c>
      <c r="D957" s="157" t="str">
        <f>VLOOKUP(Ruimtestaat[[#This Row],[Code]],Locaties[[#All],[Code]:[Postcode]],5,FALSE)</f>
        <v>2273 CS</v>
      </c>
      <c r="E957" s="157" t="str">
        <f>VLOOKUP(Ruimtestaat[[#This Row],[Code]],Locaties[#All],6,FALSE)</f>
        <v>Voorburg</v>
      </c>
      <c r="F957" s="62"/>
      <c r="G957" s="21" t="s">
        <v>1624</v>
      </c>
      <c r="H957" s="21" t="s">
        <v>1672</v>
      </c>
      <c r="I957" s="62" t="s">
        <v>2470</v>
      </c>
      <c r="J957" s="21">
        <v>5</v>
      </c>
      <c r="K957" s="62" t="str">
        <f>VLOOKUP(Ruimtestaat[[#This Row],[Ruimte code]],Ruimtegroepen[[#All],[Code]:[Ruimte omschrijving]],2,FALSE)</f>
        <v>Sanitair</v>
      </c>
      <c r="L957" s="33" t="s">
        <v>103</v>
      </c>
      <c r="M957" s="367" t="s">
        <v>2496</v>
      </c>
      <c r="N957" s="140">
        <v>8.6999999999999993</v>
      </c>
      <c r="O957" s="140"/>
      <c r="P957" s="125" t="str">
        <f>VLOOKUP(Ruimtestaat[[#This Row],[Ruimte code]],Ruimtegroepen[],4,FALSE)</f>
        <v>Sa</v>
      </c>
      <c r="R957" s="33">
        <v>40</v>
      </c>
      <c r="S957" s="33" t="s">
        <v>2</v>
      </c>
      <c r="T957" s="33">
        <f>IF(R957&gt;0,IF(RIGHT(Ruimtestaat[[#This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7" s="33">
        <f>IF(T957&gt;0,VLOOKUP($J957,Ruimtegroepen[],3,FALSE)*VLOOKUP($L957,Vloersoorten[],3,FALSE)*VLOOKUP($S957,Frequenties[],3,FALSE)*VLOOKUP($A957,Locaties[],3,FALSE),0)</f>
        <v>0</v>
      </c>
      <c r="V957" s="33">
        <f>Ruimtestaat[[#This Row],[Uitvoeringen werkdagen]]*Ruimtestaat[[#This Row],[Oppervlak (netto)]]</f>
        <v>1739.9999999999998</v>
      </c>
      <c r="W957" s="154">
        <f>IF(U957&gt;0,Ruimtestaat[[#This Row],[Prest. (m2 /jaar) werkdagen]]/Ruimtestaat[[#This Row],[Norm (m2/uur) werkdagen]],0)</f>
        <v>0</v>
      </c>
      <c r="X957" s="155">
        <f>Ruimtestaat[[#This Row],[uren / jaar werkdagen]]*Tariefsopbouw!$E$35</f>
        <v>0</v>
      </c>
      <c r="Y957" s="33"/>
      <c r="Z957" s="33">
        <f>IF(Ruimtestaat[[#This Row],[Frequentie weekend]]&gt;0,VALUE(LEFT(Y957,1))*R957,0)</f>
        <v>0</v>
      </c>
      <c r="AA957" s="97">
        <f>IF($Z957&gt;0,VLOOKUP($J957,Ruimtegroepen[],3,FALSE)*VLOOKUP($L957,Vloersoorten[],3,FALSE)*VLOOKUP($Y957,Frequenties[],3,FALSE)*VLOOKUP(Ruimtestaat[[#This Row],[Code]],Locaties[],3,FALSE),0)</f>
        <v>0</v>
      </c>
      <c r="AB957" s="97">
        <f>Ruimtestaat[[#This Row],[Uitvoeringen weekend]]*Ruimtestaat[[#This Row],[Oppervlak (netto)]]</f>
        <v>0</v>
      </c>
      <c r="AC957" s="97">
        <f>IF(AA957&gt;0,Ruimtestaat[[#This Row],[Prest. (m2 /jaar) weekend]]/Ruimtestaat[[#This Row],[Norm (m2/uur) weekend]],0)</f>
        <v>0</v>
      </c>
      <c r="AD957" s="155">
        <f>Ruimtestaat[[#This Row],[uren / jaar weekend]]*Tariefsopbouw!$D$40</f>
        <v>0</v>
      </c>
      <c r="AE957" s="154">
        <f>Ruimtestaat[[#This Row],[Prest. (m2 /jaar) weekend]]+Ruimtestaat[[#This Row],[Prest. (m2 /jaar) werkdagen]]</f>
        <v>1739.9999999999998</v>
      </c>
      <c r="AF957" s="154">
        <f>Ruimtestaat[[#This Row],[uren / jaar weekend]]+Ruimtestaat[[#This Row],[uren / jaar werkdagen]]</f>
        <v>0</v>
      </c>
      <c r="AG957" s="69">
        <f>Ruimtestaat[[#This Row],[kosten / jaar weekend]]+Ruimtestaat[[#This Row],[kosten / jaar werkdagen]]</f>
        <v>0</v>
      </c>
      <c r="AH957" s="69"/>
      <c r="AI957" s="256" t="str">
        <f>IF(Ruimtestaat[[#This Row],[Frequentie werkdagen]]="","",_xlfn.CONCAT(Ruimtestaat[[#This Row],[Ruimte code]],"-",Ruimtestaat[[#This Row],[Frequentie werkdagen]]," ",Ruimtestaat[[#This Row],[Vloer code]]))</f>
        <v>5-5w P</v>
      </c>
      <c r="AJ957" s="300" t="str">
        <f>_xlfn.IFNA(VLOOKUP($AI957,Programma!$F$3:$G$1107,2,0),"")</f>
        <v>_</v>
      </c>
      <c r="AK957" s="300" t="str">
        <f>_xlfn.IFNA(VLOOKUP($AI957,Programma!$F$3:$H$1107,3,0),"")</f>
        <v>_</v>
      </c>
      <c r="AL957" s="300" t="str">
        <f>_xlfn.IFNA(VLOOKUP($AI957,Programma!$F$3:$I$1107,4,0),"")</f>
        <v>_</v>
      </c>
      <c r="AM957" s="300" t="str">
        <f>_xlfn.IFNA(VLOOKUP($AI957,Programma!$F$3:$J$1107,5,0),"")</f>
        <v>4w</v>
      </c>
      <c r="AN957" s="300" t="str">
        <f>_xlfn.IFNA(VLOOKUP($AI957,Programma!$F$3:$K$1107,6,0),"")</f>
        <v>1w</v>
      </c>
      <c r="AO957" s="300" t="str">
        <f>_xlfn.IFNA(VLOOKUP($AI957,Programma!$F$3:$L$1107,7,0),"")</f>
        <v>_</v>
      </c>
      <c r="AP957" s="300" t="str">
        <f>_xlfn.IFNA(VLOOKUP($AI957,Programma!$F$3:$M$1107,8,0),"")</f>
        <v>_</v>
      </c>
      <c r="AQ957" s="300" t="str">
        <f>_xlfn.IFNA(VLOOKUP($AI957,Programma!$F$3:$N$1107,9,0),"")</f>
        <v>_</v>
      </c>
      <c r="AR957" s="300" t="str">
        <f>_xlfn.IFNA(VLOOKUP($AI957,Programma!$F$3:$O$1107,10,0),"")</f>
        <v>_</v>
      </c>
      <c r="AS957" s="300" t="str">
        <f>_xlfn.IFNA(VLOOKUP($AI957,Programma!$F$3:$P$1107,11,0),"")</f>
        <v>_</v>
      </c>
      <c r="AT957" s="300" t="str">
        <f>_xlfn.IFNA(VLOOKUP($AI957,Programma!$F$3:$Q$1107,12,0),"")</f>
        <v>_</v>
      </c>
      <c r="AU957" s="300" t="str">
        <f>_xlfn.IFNA(VLOOKUP($AI957,Programma!$F$3:$R$1107,13,0),"")</f>
        <v>_</v>
      </c>
      <c r="AV957" s="300" t="str">
        <f>_xlfn.IFNA(VLOOKUP($AI957,Programma!$F$3:$S$1107,14,0),"")</f>
        <v>_</v>
      </c>
      <c r="AW957" s="300" t="str">
        <f>_xlfn.IFNA(VLOOKUP($AI957,Programma!$F$3:$T$1107,15,0),"")</f>
        <v>_</v>
      </c>
      <c r="AX957" s="300" t="str">
        <f>_xlfn.IFNA(VLOOKUP($AI957,Programma!$F$3:$U$1107,16,0),"")</f>
        <v>_</v>
      </c>
      <c r="AY957" s="300" t="str">
        <f>_xlfn.IFNA(VLOOKUP($AI957,Programma!$F$3:$V$1107,17,0),"")</f>
        <v>_</v>
      </c>
      <c r="AZ957" s="300" t="str">
        <f>_xlfn.IFNA(VLOOKUP($AI957,Programma!$F$3:$W$1107,18,0),"")</f>
        <v>4w</v>
      </c>
      <c r="BA957" s="300" t="str">
        <f>_xlfn.IFNA(VLOOKUP($AI957,Programma!$F$3:$X$1107,19,0),"")</f>
        <v>1w</v>
      </c>
      <c r="BB957" s="300" t="str">
        <f>_xlfn.IFNA(VLOOKUP($AI957,Programma!$F$3:$Y$1107,20,0),"")</f>
        <v>_</v>
      </c>
      <c r="BC957" s="257"/>
      <c r="BD957" s="256" t="str">
        <f>IF(Ruimtestaat[[#This Row],[Frequentie weekend]]="","",_xlfn.CONCAT(Ruimtestaat[[#This Row],[Ruimte code]],"-",Ruimtestaat[[#This Row],[Frequentie weekend]]," ",Ruimtestaat[[#This Row],[Vloer code]]))</f>
        <v/>
      </c>
      <c r="BE957" s="300" t="str">
        <f>_xlfn.IFNA(VLOOKUP($BD957,Programma!$F$3:$G$1107,2,0),"")</f>
        <v/>
      </c>
      <c r="BF957" s="300" t="str">
        <f>_xlfn.IFNA(VLOOKUP($BD957,Programma!$F$3:$H$1107,3,0),"")</f>
        <v/>
      </c>
      <c r="BG957" s="300" t="str">
        <f>_xlfn.IFNA(VLOOKUP($BD957,Programma!$F$3:$I$1107,4,0),"")</f>
        <v/>
      </c>
      <c r="BH957" s="300" t="str">
        <f>_xlfn.IFNA(VLOOKUP($BD957,Programma!$F$3:$J$1107,5,0),"")</f>
        <v/>
      </c>
      <c r="BI957" s="300" t="str">
        <f>_xlfn.IFNA(VLOOKUP($BD957,Programma!$F$3:$K$1107,6,0),"")</f>
        <v/>
      </c>
      <c r="BJ957" s="300" t="str">
        <f>_xlfn.IFNA(VLOOKUP($BD957,Programma!$F$3:$L$1107,7,0),"")</f>
        <v/>
      </c>
      <c r="BK957" s="300" t="str">
        <f>_xlfn.IFNA(VLOOKUP($BD957,Programma!$F$3:$M$1107,8,0),"")</f>
        <v/>
      </c>
      <c r="BL957" s="300" t="str">
        <f>_xlfn.IFNA(VLOOKUP($BD957,Programma!$F$3:$N$1107,9,0),"")</f>
        <v/>
      </c>
      <c r="BM957" s="300" t="str">
        <f>_xlfn.IFNA(VLOOKUP($BD957,Programma!$F$3:$O$1107,10,0),"")</f>
        <v/>
      </c>
      <c r="BN957" s="300" t="str">
        <f>_xlfn.IFNA(VLOOKUP($BD957,Programma!$F$3:$P$1107,11,0),"")</f>
        <v/>
      </c>
      <c r="BO957" s="300" t="str">
        <f>_xlfn.IFNA(VLOOKUP($BD957,Programma!$F$3:$Q$1107,12,0),"")</f>
        <v/>
      </c>
      <c r="BP957" s="300" t="str">
        <f>_xlfn.IFNA(VLOOKUP($BD957,Programma!$F$3:$R$1107,13,0),"")</f>
        <v/>
      </c>
      <c r="BQ957" s="300" t="str">
        <f>_xlfn.IFNA(VLOOKUP($BD957,Programma!$F$3:$S$1107,14,0),"")</f>
        <v/>
      </c>
      <c r="BR957" s="300" t="str">
        <f>_xlfn.IFNA(VLOOKUP($BD957,Programma!$F$3:$T$1107,15,0),"")</f>
        <v/>
      </c>
      <c r="BS957" s="300" t="str">
        <f>_xlfn.IFNA(VLOOKUP($BD957,Programma!$F$3:$U$1107,16,0),"")</f>
        <v/>
      </c>
      <c r="BT957" s="300" t="str">
        <f>_xlfn.IFNA(VLOOKUP($BD957,Programma!$F$3:$V$1107,17,0),"")</f>
        <v/>
      </c>
      <c r="BU957" s="300" t="str">
        <f>_xlfn.IFNA(VLOOKUP($BD957,Programma!$F$3:$W$1107,18,0),"")</f>
        <v/>
      </c>
      <c r="BV957" s="300" t="str">
        <f>_xlfn.IFNA(VLOOKUP($BD957,Programma!$F$3:$X$1107,19,0),"")</f>
        <v/>
      </c>
      <c r="BW957" s="300" t="str">
        <f>_xlfn.IFNA(VLOOKUP($BD957,Programma!$F$3:$Y$1107,20,0),"")</f>
        <v/>
      </c>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c r="GK957" s="4"/>
      <c r="GL957" s="4"/>
      <c r="GM957" s="4"/>
      <c r="GN957" s="4"/>
      <c r="GO957" s="4"/>
      <c r="GP957" s="4"/>
      <c r="GQ957" s="4"/>
      <c r="GR957" s="4"/>
      <c r="GS957" s="4"/>
      <c r="GT957" s="4"/>
      <c r="GU957" s="4"/>
      <c r="GV957" s="4"/>
      <c r="GW957" s="4"/>
      <c r="GX957" s="4"/>
      <c r="GY957" s="4"/>
      <c r="GZ957" s="4"/>
      <c r="HA957" s="4"/>
      <c r="HB957" s="4"/>
      <c r="HC957" s="4"/>
      <c r="HD957" s="4"/>
      <c r="HE957" s="4"/>
      <c r="HF957" s="4"/>
      <c r="HG957" s="4"/>
      <c r="HH957" s="4"/>
      <c r="HI957" s="4"/>
      <c r="HJ957" s="4"/>
      <c r="HK957" s="4"/>
      <c r="HL957" s="4"/>
    </row>
    <row r="958" spans="1:220" ht="15" customHeight="1">
      <c r="A958" s="21">
        <v>10</v>
      </c>
      <c r="B958" s="157" t="str">
        <f>VLOOKUP(Ruimtestaat[[#This Row],[Code]],Locaties[[Code]:[Locatie]],2,FALSE)</f>
        <v>Veurs Voorburg vmbo</v>
      </c>
      <c r="C958" s="157" t="str">
        <f>VLOOKUP(Ruimtestaat[[#This Row],[Code]],Locaties[[#All],[Code]:[Adres]],4,FALSE)</f>
        <v>Delflandlaan 4</v>
      </c>
      <c r="D958" s="157" t="str">
        <f>VLOOKUP(Ruimtestaat[[#This Row],[Code]],Locaties[[#All],[Code]:[Postcode]],5,FALSE)</f>
        <v>2273 CS</v>
      </c>
      <c r="E958" s="157" t="str">
        <f>VLOOKUP(Ruimtestaat[[#This Row],[Code]],Locaties[#All],6,FALSE)</f>
        <v>Voorburg</v>
      </c>
      <c r="F958" s="62"/>
      <c r="G958" s="21" t="s">
        <v>1624</v>
      </c>
      <c r="H958" s="21" t="s">
        <v>1674</v>
      </c>
      <c r="I958" s="62" t="s">
        <v>2462</v>
      </c>
      <c r="J958" s="21">
        <v>16</v>
      </c>
      <c r="K958" s="62" t="str">
        <f>VLOOKUP(Ruimtestaat[[#This Row],[Ruimte code]],Ruimtegroepen[[#All],[Code]:[Ruimte omschrijving]],2,FALSE)</f>
        <v>Leslokalen theorie</v>
      </c>
      <c r="L958" s="33" t="s">
        <v>101</v>
      </c>
      <c r="M958" s="367" t="s">
        <v>2506</v>
      </c>
      <c r="N958" s="140">
        <v>53.3</v>
      </c>
      <c r="O958" s="140"/>
      <c r="P958" s="125" t="str">
        <f>VLOOKUP(Ruimtestaat[[#This Row],[Ruimte code]],Ruimtegroepen[],4,FALSE)</f>
        <v>Le</v>
      </c>
      <c r="R958" s="33">
        <v>40</v>
      </c>
      <c r="S958" s="33" t="s">
        <v>2</v>
      </c>
      <c r="T958" s="33">
        <f>IF(R958&gt;0,IF(RIGHT(Ruimtestaat[[#This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8" s="33">
        <f>IF(T958&gt;0,VLOOKUP($J958,Ruimtegroepen[],3,FALSE)*VLOOKUP($L958,Vloersoorten[],3,FALSE)*VLOOKUP($S958,Frequenties[],3,FALSE)*VLOOKUP($A958,Locaties[],3,FALSE),0)</f>
        <v>0</v>
      </c>
      <c r="V958" s="33">
        <f>Ruimtestaat[[#This Row],[Uitvoeringen werkdagen]]*Ruimtestaat[[#This Row],[Oppervlak (netto)]]</f>
        <v>10660</v>
      </c>
      <c r="W958" s="154">
        <f>IF(U958&gt;0,Ruimtestaat[[#This Row],[Prest. (m2 /jaar) werkdagen]]/Ruimtestaat[[#This Row],[Norm (m2/uur) werkdagen]],0)</f>
        <v>0</v>
      </c>
      <c r="X958" s="155">
        <f>Ruimtestaat[[#This Row],[uren / jaar werkdagen]]*Tariefsopbouw!$E$35</f>
        <v>0</v>
      </c>
      <c r="Y958" s="33"/>
      <c r="Z958" s="33">
        <f>IF(Ruimtestaat[[#This Row],[Frequentie weekend]]&gt;0,VALUE(LEFT(Y958,1))*R958,0)</f>
        <v>0</v>
      </c>
      <c r="AA958" s="97">
        <f>IF($Z958&gt;0,VLOOKUP($J958,Ruimtegroepen[],3,FALSE)*VLOOKUP($L958,Vloersoorten[],3,FALSE)*VLOOKUP($Y958,Frequenties[],3,FALSE)*VLOOKUP(Ruimtestaat[[#This Row],[Code]],Locaties[],3,FALSE),0)</f>
        <v>0</v>
      </c>
      <c r="AB958" s="97">
        <f>Ruimtestaat[[#This Row],[Uitvoeringen weekend]]*Ruimtestaat[[#This Row],[Oppervlak (netto)]]</f>
        <v>0</v>
      </c>
      <c r="AC958" s="97">
        <f>IF(AA958&gt;0,Ruimtestaat[[#This Row],[Prest. (m2 /jaar) weekend]]/Ruimtestaat[[#This Row],[Norm (m2/uur) weekend]],0)</f>
        <v>0</v>
      </c>
      <c r="AD958" s="155">
        <f>Ruimtestaat[[#This Row],[uren / jaar weekend]]*Tariefsopbouw!$D$40</f>
        <v>0</v>
      </c>
      <c r="AE958" s="154">
        <f>Ruimtestaat[[#This Row],[Prest. (m2 /jaar) weekend]]+Ruimtestaat[[#This Row],[Prest. (m2 /jaar) werkdagen]]</f>
        <v>10660</v>
      </c>
      <c r="AF958" s="154">
        <f>Ruimtestaat[[#This Row],[uren / jaar weekend]]+Ruimtestaat[[#This Row],[uren / jaar werkdagen]]</f>
        <v>0</v>
      </c>
      <c r="AG958" s="69">
        <f>Ruimtestaat[[#This Row],[kosten / jaar weekend]]+Ruimtestaat[[#This Row],[kosten / jaar werkdagen]]</f>
        <v>0</v>
      </c>
      <c r="AH958" s="69"/>
      <c r="AI958" s="256" t="str">
        <f>IF(Ruimtestaat[[#This Row],[Frequentie werkdagen]]="","",_xlfn.CONCAT(Ruimtestaat[[#This Row],[Ruimte code]],"-",Ruimtestaat[[#This Row],[Frequentie werkdagen]]," ",Ruimtestaat[[#This Row],[Vloer code]]))</f>
        <v>16-5w L</v>
      </c>
      <c r="AJ958" s="300" t="str">
        <f>_xlfn.IFNA(VLOOKUP($AI958,Programma!$F$3:$G$1107,2,0),"")</f>
        <v>_</v>
      </c>
      <c r="AK958" s="300" t="str">
        <f>_xlfn.IFNA(VLOOKUP($AI958,Programma!$F$3:$H$1107,3,0),"")</f>
        <v>_</v>
      </c>
      <c r="AL958" s="300" t="str">
        <f>_xlfn.IFNA(VLOOKUP($AI958,Programma!$F$3:$I$1107,4,0),"")</f>
        <v>4w</v>
      </c>
      <c r="AM958" s="300" t="str">
        <f>_xlfn.IFNA(VLOOKUP($AI958,Programma!$F$3:$J$1107,5,0),"")</f>
        <v>1w</v>
      </c>
      <c r="AN958" s="300" t="str">
        <f>_xlfn.IFNA(VLOOKUP($AI958,Programma!$F$3:$K$1107,6,0),"")</f>
        <v>_</v>
      </c>
      <c r="AO958" s="300" t="str">
        <f>_xlfn.IFNA(VLOOKUP($AI958,Programma!$F$3:$L$1107,7,0),"")</f>
        <v>_</v>
      </c>
      <c r="AP958" s="300" t="str">
        <f>_xlfn.IFNA(VLOOKUP($AI958,Programma!$F$3:$M$1107,8,0),"")</f>
        <v>_</v>
      </c>
      <c r="AQ958" s="300" t="str">
        <f>_xlfn.IFNA(VLOOKUP($AI958,Programma!$F$3:$N$1107,9,0),"")</f>
        <v>_</v>
      </c>
      <c r="AR958" s="300" t="str">
        <f>_xlfn.IFNA(VLOOKUP($AI958,Programma!$F$3:$O$1107,10,0),"")</f>
        <v>5w</v>
      </c>
      <c r="AS958" s="300" t="str">
        <f>_xlfn.IFNA(VLOOKUP($AI958,Programma!$F$3:$P$1107,11,0),"")</f>
        <v>5w</v>
      </c>
      <c r="AT958" s="300" t="str">
        <f>_xlfn.IFNA(VLOOKUP($AI958,Programma!$F$3:$Q$1107,12,0),"")</f>
        <v>1w</v>
      </c>
      <c r="AU958" s="300" t="str">
        <f>_xlfn.IFNA(VLOOKUP($AI958,Programma!$F$3:$R$1107,13,0),"")</f>
        <v>1w</v>
      </c>
      <c r="AV958" s="300" t="str">
        <f>_xlfn.IFNA(VLOOKUP($AI958,Programma!$F$3:$S$1107,14,0),"")</f>
        <v>1m</v>
      </c>
      <c r="AW958" s="300" t="str">
        <f>_xlfn.IFNA(VLOOKUP($AI958,Programma!$F$3:$T$1107,15,0),"")</f>
        <v>2j</v>
      </c>
      <c r="AX958" s="300" t="str">
        <f>_xlfn.IFNA(VLOOKUP($AI958,Programma!$F$3:$U$1107,16,0),"")</f>
        <v>1j</v>
      </c>
      <c r="AY958" s="300" t="str">
        <f>_xlfn.IFNA(VLOOKUP($AI958,Programma!$F$3:$V$1107,17,0),"")</f>
        <v>_</v>
      </c>
      <c r="AZ958" s="300" t="str">
        <f>_xlfn.IFNA(VLOOKUP($AI958,Programma!$F$3:$W$1107,18,0),"")</f>
        <v>_</v>
      </c>
      <c r="BA958" s="300" t="str">
        <f>_xlfn.IFNA(VLOOKUP($AI958,Programma!$F$3:$X$1107,19,0),"")</f>
        <v>_</v>
      </c>
      <c r="BB958" s="300" t="str">
        <f>_xlfn.IFNA(VLOOKUP($AI958,Programma!$F$3:$Y$1107,20,0),"")</f>
        <v>_</v>
      </c>
      <c r="BC958" s="257"/>
      <c r="BD958" s="256" t="str">
        <f>IF(Ruimtestaat[[#This Row],[Frequentie weekend]]="","",_xlfn.CONCAT(Ruimtestaat[[#This Row],[Ruimte code]],"-",Ruimtestaat[[#This Row],[Frequentie weekend]]," ",Ruimtestaat[[#This Row],[Vloer code]]))</f>
        <v/>
      </c>
      <c r="BE958" s="300" t="str">
        <f>_xlfn.IFNA(VLOOKUP($BD958,Programma!$F$3:$G$1107,2,0),"")</f>
        <v/>
      </c>
      <c r="BF958" s="300" t="str">
        <f>_xlfn.IFNA(VLOOKUP($BD958,Programma!$F$3:$H$1107,3,0),"")</f>
        <v/>
      </c>
      <c r="BG958" s="300" t="str">
        <f>_xlfn.IFNA(VLOOKUP($BD958,Programma!$F$3:$I$1107,4,0),"")</f>
        <v/>
      </c>
      <c r="BH958" s="300" t="str">
        <f>_xlfn.IFNA(VLOOKUP($BD958,Programma!$F$3:$J$1107,5,0),"")</f>
        <v/>
      </c>
      <c r="BI958" s="300" t="str">
        <f>_xlfn.IFNA(VLOOKUP($BD958,Programma!$F$3:$K$1107,6,0),"")</f>
        <v/>
      </c>
      <c r="BJ958" s="300" t="str">
        <f>_xlfn.IFNA(VLOOKUP($BD958,Programma!$F$3:$L$1107,7,0),"")</f>
        <v/>
      </c>
      <c r="BK958" s="300" t="str">
        <f>_xlfn.IFNA(VLOOKUP($BD958,Programma!$F$3:$M$1107,8,0),"")</f>
        <v/>
      </c>
      <c r="BL958" s="300" t="str">
        <f>_xlfn.IFNA(VLOOKUP($BD958,Programma!$F$3:$N$1107,9,0),"")</f>
        <v/>
      </c>
      <c r="BM958" s="300" t="str">
        <f>_xlfn.IFNA(VLOOKUP($BD958,Programma!$F$3:$O$1107,10,0),"")</f>
        <v/>
      </c>
      <c r="BN958" s="300" t="str">
        <f>_xlfn.IFNA(VLOOKUP($BD958,Programma!$F$3:$P$1107,11,0),"")</f>
        <v/>
      </c>
      <c r="BO958" s="300" t="str">
        <f>_xlfn.IFNA(VLOOKUP($BD958,Programma!$F$3:$Q$1107,12,0),"")</f>
        <v/>
      </c>
      <c r="BP958" s="300" t="str">
        <f>_xlfn.IFNA(VLOOKUP($BD958,Programma!$F$3:$R$1107,13,0),"")</f>
        <v/>
      </c>
      <c r="BQ958" s="300" t="str">
        <f>_xlfn.IFNA(VLOOKUP($BD958,Programma!$F$3:$S$1107,14,0),"")</f>
        <v/>
      </c>
      <c r="BR958" s="300" t="str">
        <f>_xlfn.IFNA(VLOOKUP($BD958,Programma!$F$3:$T$1107,15,0),"")</f>
        <v/>
      </c>
      <c r="BS958" s="300" t="str">
        <f>_xlfn.IFNA(VLOOKUP($BD958,Programma!$F$3:$U$1107,16,0),"")</f>
        <v/>
      </c>
      <c r="BT958" s="300" t="str">
        <f>_xlfn.IFNA(VLOOKUP($BD958,Programma!$F$3:$V$1107,17,0),"")</f>
        <v/>
      </c>
      <c r="BU958" s="300" t="str">
        <f>_xlfn.IFNA(VLOOKUP($BD958,Programma!$F$3:$W$1107,18,0),"")</f>
        <v/>
      </c>
      <c r="BV958" s="300" t="str">
        <f>_xlfn.IFNA(VLOOKUP($BD958,Programma!$F$3:$X$1107,19,0),"")</f>
        <v/>
      </c>
      <c r="BW958" s="300" t="str">
        <f>_xlfn.IFNA(VLOOKUP($BD958,Programma!$F$3:$Y$1107,20,0),"")</f>
        <v/>
      </c>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c r="GK958" s="4"/>
      <c r="GL958" s="4"/>
      <c r="GM958" s="4"/>
      <c r="GN958" s="4"/>
      <c r="GO958" s="4"/>
      <c r="GP958" s="4"/>
      <c r="GQ958" s="4"/>
      <c r="GR958" s="4"/>
      <c r="GS958" s="4"/>
      <c r="GT958" s="4"/>
      <c r="GU958" s="4"/>
      <c r="GV958" s="4"/>
      <c r="GW958" s="4"/>
      <c r="GX958" s="4"/>
      <c r="GY958" s="4"/>
      <c r="GZ958" s="4"/>
      <c r="HA958" s="4"/>
      <c r="HB958" s="4"/>
      <c r="HC958" s="4"/>
      <c r="HD958" s="4"/>
      <c r="HE958" s="4"/>
      <c r="HF958" s="4"/>
      <c r="HG958" s="4"/>
      <c r="HH958" s="4"/>
      <c r="HI958" s="4"/>
      <c r="HJ958" s="4"/>
      <c r="HK958" s="4"/>
      <c r="HL958" s="4"/>
    </row>
    <row r="959" spans="1:220" ht="15" customHeight="1">
      <c r="A959" s="21">
        <v>10</v>
      </c>
      <c r="B959" s="157" t="str">
        <f>VLOOKUP(Ruimtestaat[[#This Row],[Code]],Locaties[[Code]:[Locatie]],2,FALSE)</f>
        <v>Veurs Voorburg vmbo</v>
      </c>
      <c r="C959" s="157" t="str">
        <f>VLOOKUP(Ruimtestaat[[#This Row],[Code]],Locaties[[#All],[Code]:[Adres]],4,FALSE)</f>
        <v>Delflandlaan 4</v>
      </c>
      <c r="D959" s="157" t="str">
        <f>VLOOKUP(Ruimtestaat[[#This Row],[Code]],Locaties[[#All],[Code]:[Postcode]],5,FALSE)</f>
        <v>2273 CS</v>
      </c>
      <c r="E959" s="157" t="str">
        <f>VLOOKUP(Ruimtestaat[[#This Row],[Code]],Locaties[#All],6,FALSE)</f>
        <v>Voorburg</v>
      </c>
      <c r="F959" s="62"/>
      <c r="G959" s="21" t="s">
        <v>1624</v>
      </c>
      <c r="H959" s="21" t="s">
        <v>1678</v>
      </c>
      <c r="I959" s="62" t="s">
        <v>2462</v>
      </c>
      <c r="J959" s="21">
        <v>16</v>
      </c>
      <c r="K959" s="62" t="str">
        <f>VLOOKUP(Ruimtestaat[[#This Row],[Ruimte code]],Ruimtegroepen[[#All],[Code]:[Ruimte omschrijving]],2,FALSE)</f>
        <v>Leslokalen theorie</v>
      </c>
      <c r="L959" s="33" t="s">
        <v>101</v>
      </c>
      <c r="M959" s="367" t="s">
        <v>2506</v>
      </c>
      <c r="N959" s="140">
        <v>54.4</v>
      </c>
      <c r="O959" s="140"/>
      <c r="P959" s="125" t="str">
        <f>VLOOKUP(Ruimtestaat[[#This Row],[Ruimte code]],Ruimtegroepen[],4,FALSE)</f>
        <v>Le</v>
      </c>
      <c r="R959" s="33">
        <v>40</v>
      </c>
      <c r="S959" s="33" t="s">
        <v>2</v>
      </c>
      <c r="T959" s="33">
        <f>IF(R959&gt;0,IF(RIGHT(Ruimtestaat[[#This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9" s="33">
        <f>IF(T959&gt;0,VLOOKUP($J959,Ruimtegroepen[],3,FALSE)*VLOOKUP($L959,Vloersoorten[],3,FALSE)*VLOOKUP($S959,Frequenties[],3,FALSE)*VLOOKUP($A959,Locaties[],3,FALSE),0)</f>
        <v>0</v>
      </c>
      <c r="V959" s="33">
        <f>Ruimtestaat[[#This Row],[Uitvoeringen werkdagen]]*Ruimtestaat[[#This Row],[Oppervlak (netto)]]</f>
        <v>10880</v>
      </c>
      <c r="W959" s="154">
        <f>IF(U959&gt;0,Ruimtestaat[[#This Row],[Prest. (m2 /jaar) werkdagen]]/Ruimtestaat[[#This Row],[Norm (m2/uur) werkdagen]],0)</f>
        <v>0</v>
      </c>
      <c r="X959" s="155">
        <f>Ruimtestaat[[#This Row],[uren / jaar werkdagen]]*Tariefsopbouw!$E$35</f>
        <v>0</v>
      </c>
      <c r="Y959" s="33"/>
      <c r="Z959" s="33">
        <f>IF(Ruimtestaat[[#This Row],[Frequentie weekend]]&gt;0,VALUE(LEFT(Y959,1))*R959,0)</f>
        <v>0</v>
      </c>
      <c r="AA959" s="97">
        <f>IF($Z959&gt;0,VLOOKUP($J959,Ruimtegroepen[],3,FALSE)*VLOOKUP($L959,Vloersoorten[],3,FALSE)*VLOOKUP($Y959,Frequenties[],3,FALSE)*VLOOKUP(Ruimtestaat[[#This Row],[Code]],Locaties[],3,FALSE),0)</f>
        <v>0</v>
      </c>
      <c r="AB959" s="97">
        <f>Ruimtestaat[[#This Row],[Uitvoeringen weekend]]*Ruimtestaat[[#This Row],[Oppervlak (netto)]]</f>
        <v>0</v>
      </c>
      <c r="AC959" s="97">
        <f>IF(AA959&gt;0,Ruimtestaat[[#This Row],[Prest. (m2 /jaar) weekend]]/Ruimtestaat[[#This Row],[Norm (m2/uur) weekend]],0)</f>
        <v>0</v>
      </c>
      <c r="AD959" s="155">
        <f>Ruimtestaat[[#This Row],[uren / jaar weekend]]*Tariefsopbouw!$D$40</f>
        <v>0</v>
      </c>
      <c r="AE959" s="154">
        <f>Ruimtestaat[[#This Row],[Prest. (m2 /jaar) weekend]]+Ruimtestaat[[#This Row],[Prest. (m2 /jaar) werkdagen]]</f>
        <v>10880</v>
      </c>
      <c r="AF959" s="154">
        <f>Ruimtestaat[[#This Row],[uren / jaar weekend]]+Ruimtestaat[[#This Row],[uren / jaar werkdagen]]</f>
        <v>0</v>
      </c>
      <c r="AG959" s="69">
        <f>Ruimtestaat[[#This Row],[kosten / jaar weekend]]+Ruimtestaat[[#This Row],[kosten / jaar werkdagen]]</f>
        <v>0</v>
      </c>
      <c r="AH959" s="69"/>
      <c r="AI959" s="256" t="str">
        <f>IF(Ruimtestaat[[#This Row],[Frequentie werkdagen]]="","",_xlfn.CONCAT(Ruimtestaat[[#This Row],[Ruimte code]],"-",Ruimtestaat[[#This Row],[Frequentie werkdagen]]," ",Ruimtestaat[[#This Row],[Vloer code]]))</f>
        <v>16-5w L</v>
      </c>
      <c r="AJ959" s="300" t="str">
        <f>_xlfn.IFNA(VLOOKUP($AI959,Programma!$F$3:$G$1107,2,0),"")</f>
        <v>_</v>
      </c>
      <c r="AK959" s="300" t="str">
        <f>_xlfn.IFNA(VLOOKUP($AI959,Programma!$F$3:$H$1107,3,0),"")</f>
        <v>_</v>
      </c>
      <c r="AL959" s="300" t="str">
        <f>_xlfn.IFNA(VLOOKUP($AI959,Programma!$F$3:$I$1107,4,0),"")</f>
        <v>4w</v>
      </c>
      <c r="AM959" s="300" t="str">
        <f>_xlfn.IFNA(VLOOKUP($AI959,Programma!$F$3:$J$1107,5,0),"")</f>
        <v>1w</v>
      </c>
      <c r="AN959" s="300" t="str">
        <f>_xlfn.IFNA(VLOOKUP($AI959,Programma!$F$3:$K$1107,6,0),"")</f>
        <v>_</v>
      </c>
      <c r="AO959" s="300" t="str">
        <f>_xlfn.IFNA(VLOOKUP($AI959,Programma!$F$3:$L$1107,7,0),"")</f>
        <v>_</v>
      </c>
      <c r="AP959" s="300" t="str">
        <f>_xlfn.IFNA(VLOOKUP($AI959,Programma!$F$3:$M$1107,8,0),"")</f>
        <v>_</v>
      </c>
      <c r="AQ959" s="300" t="str">
        <f>_xlfn.IFNA(VLOOKUP($AI959,Programma!$F$3:$N$1107,9,0),"")</f>
        <v>_</v>
      </c>
      <c r="AR959" s="300" t="str">
        <f>_xlfn.IFNA(VLOOKUP($AI959,Programma!$F$3:$O$1107,10,0),"")</f>
        <v>5w</v>
      </c>
      <c r="AS959" s="300" t="str">
        <f>_xlfn.IFNA(VLOOKUP($AI959,Programma!$F$3:$P$1107,11,0),"")</f>
        <v>5w</v>
      </c>
      <c r="AT959" s="300" t="str">
        <f>_xlfn.IFNA(VLOOKUP($AI959,Programma!$F$3:$Q$1107,12,0),"")</f>
        <v>1w</v>
      </c>
      <c r="AU959" s="300" t="str">
        <f>_xlfn.IFNA(VLOOKUP($AI959,Programma!$F$3:$R$1107,13,0),"")</f>
        <v>1w</v>
      </c>
      <c r="AV959" s="300" t="str">
        <f>_xlfn.IFNA(VLOOKUP($AI959,Programma!$F$3:$S$1107,14,0),"")</f>
        <v>1m</v>
      </c>
      <c r="AW959" s="300" t="str">
        <f>_xlfn.IFNA(VLOOKUP($AI959,Programma!$F$3:$T$1107,15,0),"")</f>
        <v>2j</v>
      </c>
      <c r="AX959" s="300" t="str">
        <f>_xlfn.IFNA(VLOOKUP($AI959,Programma!$F$3:$U$1107,16,0),"")</f>
        <v>1j</v>
      </c>
      <c r="AY959" s="300" t="str">
        <f>_xlfn.IFNA(VLOOKUP($AI959,Programma!$F$3:$V$1107,17,0),"")</f>
        <v>_</v>
      </c>
      <c r="AZ959" s="300" t="str">
        <f>_xlfn.IFNA(VLOOKUP($AI959,Programma!$F$3:$W$1107,18,0),"")</f>
        <v>_</v>
      </c>
      <c r="BA959" s="300" t="str">
        <f>_xlfn.IFNA(VLOOKUP($AI959,Programma!$F$3:$X$1107,19,0),"")</f>
        <v>_</v>
      </c>
      <c r="BB959" s="300" t="str">
        <f>_xlfn.IFNA(VLOOKUP($AI959,Programma!$F$3:$Y$1107,20,0),"")</f>
        <v>_</v>
      </c>
      <c r="BC959" s="257"/>
      <c r="BD959" s="256" t="str">
        <f>IF(Ruimtestaat[[#This Row],[Frequentie weekend]]="","",_xlfn.CONCAT(Ruimtestaat[[#This Row],[Ruimte code]],"-",Ruimtestaat[[#This Row],[Frequentie weekend]]," ",Ruimtestaat[[#This Row],[Vloer code]]))</f>
        <v/>
      </c>
      <c r="BE959" s="300" t="str">
        <f>_xlfn.IFNA(VLOOKUP($BD959,Programma!$F$3:$G$1107,2,0),"")</f>
        <v/>
      </c>
      <c r="BF959" s="300" t="str">
        <f>_xlfn.IFNA(VLOOKUP($BD959,Programma!$F$3:$H$1107,3,0),"")</f>
        <v/>
      </c>
      <c r="BG959" s="300" t="str">
        <f>_xlfn.IFNA(VLOOKUP($BD959,Programma!$F$3:$I$1107,4,0),"")</f>
        <v/>
      </c>
      <c r="BH959" s="300" t="str">
        <f>_xlfn.IFNA(VLOOKUP($BD959,Programma!$F$3:$J$1107,5,0),"")</f>
        <v/>
      </c>
      <c r="BI959" s="300" t="str">
        <f>_xlfn.IFNA(VLOOKUP($BD959,Programma!$F$3:$K$1107,6,0),"")</f>
        <v/>
      </c>
      <c r="BJ959" s="300" t="str">
        <f>_xlfn.IFNA(VLOOKUP($BD959,Programma!$F$3:$L$1107,7,0),"")</f>
        <v/>
      </c>
      <c r="BK959" s="300" t="str">
        <f>_xlfn.IFNA(VLOOKUP($BD959,Programma!$F$3:$M$1107,8,0),"")</f>
        <v/>
      </c>
      <c r="BL959" s="300" t="str">
        <f>_xlfn.IFNA(VLOOKUP($BD959,Programma!$F$3:$N$1107,9,0),"")</f>
        <v/>
      </c>
      <c r="BM959" s="300" t="str">
        <f>_xlfn.IFNA(VLOOKUP($BD959,Programma!$F$3:$O$1107,10,0),"")</f>
        <v/>
      </c>
      <c r="BN959" s="300" t="str">
        <f>_xlfn.IFNA(VLOOKUP($BD959,Programma!$F$3:$P$1107,11,0),"")</f>
        <v/>
      </c>
      <c r="BO959" s="300" t="str">
        <f>_xlfn.IFNA(VLOOKUP($BD959,Programma!$F$3:$Q$1107,12,0),"")</f>
        <v/>
      </c>
      <c r="BP959" s="300" t="str">
        <f>_xlfn.IFNA(VLOOKUP($BD959,Programma!$F$3:$R$1107,13,0),"")</f>
        <v/>
      </c>
      <c r="BQ959" s="300" t="str">
        <f>_xlfn.IFNA(VLOOKUP($BD959,Programma!$F$3:$S$1107,14,0),"")</f>
        <v/>
      </c>
      <c r="BR959" s="300" t="str">
        <f>_xlfn.IFNA(VLOOKUP($BD959,Programma!$F$3:$T$1107,15,0),"")</f>
        <v/>
      </c>
      <c r="BS959" s="300" t="str">
        <f>_xlfn.IFNA(VLOOKUP($BD959,Programma!$F$3:$U$1107,16,0),"")</f>
        <v/>
      </c>
      <c r="BT959" s="300" t="str">
        <f>_xlfn.IFNA(VLOOKUP($BD959,Programma!$F$3:$V$1107,17,0),"")</f>
        <v/>
      </c>
      <c r="BU959" s="300" t="str">
        <f>_xlfn.IFNA(VLOOKUP($BD959,Programma!$F$3:$W$1107,18,0),"")</f>
        <v/>
      </c>
      <c r="BV959" s="300" t="str">
        <f>_xlfn.IFNA(VLOOKUP($BD959,Programma!$F$3:$X$1107,19,0),"")</f>
        <v/>
      </c>
      <c r="BW959" s="300" t="str">
        <f>_xlfn.IFNA(VLOOKUP($BD959,Programma!$F$3:$Y$1107,20,0),"")</f>
        <v/>
      </c>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c r="GK959" s="4"/>
      <c r="GL959" s="4"/>
      <c r="GM959" s="4"/>
      <c r="GN959" s="4"/>
      <c r="GO959" s="4"/>
      <c r="GP959" s="4"/>
      <c r="GQ959" s="4"/>
      <c r="GR959" s="4"/>
      <c r="GS959" s="4"/>
      <c r="GT959" s="4"/>
      <c r="GU959" s="4"/>
      <c r="GV959" s="4"/>
      <c r="GW959" s="4"/>
      <c r="GX959" s="4"/>
      <c r="GY959" s="4"/>
      <c r="GZ959" s="4"/>
      <c r="HA959" s="4"/>
      <c r="HB959" s="4"/>
      <c r="HC959" s="4"/>
      <c r="HD959" s="4"/>
      <c r="HE959" s="4"/>
      <c r="HF959" s="4"/>
      <c r="HG959" s="4"/>
      <c r="HH959" s="4"/>
      <c r="HI959" s="4"/>
      <c r="HJ959" s="4"/>
      <c r="HK959" s="4"/>
      <c r="HL959" s="4"/>
    </row>
    <row r="960" spans="1:220" ht="15" customHeight="1">
      <c r="A960" s="21">
        <v>10</v>
      </c>
      <c r="B960" s="157" t="str">
        <f>VLOOKUP(Ruimtestaat[[#This Row],[Code]],Locaties[[Code]:[Locatie]],2,FALSE)</f>
        <v>Veurs Voorburg vmbo</v>
      </c>
      <c r="C960" s="157" t="str">
        <f>VLOOKUP(Ruimtestaat[[#This Row],[Code]],Locaties[[#All],[Code]:[Adres]],4,FALSE)</f>
        <v>Delflandlaan 4</v>
      </c>
      <c r="D960" s="157" t="str">
        <f>VLOOKUP(Ruimtestaat[[#This Row],[Code]],Locaties[[#All],[Code]:[Postcode]],5,FALSE)</f>
        <v>2273 CS</v>
      </c>
      <c r="E960" s="157" t="str">
        <f>VLOOKUP(Ruimtestaat[[#This Row],[Code]],Locaties[#All],6,FALSE)</f>
        <v>Voorburg</v>
      </c>
      <c r="F960" s="62"/>
      <c r="G960" s="21" t="s">
        <v>1624</v>
      </c>
      <c r="H960" s="21" t="s">
        <v>1680</v>
      </c>
      <c r="I960" s="62" t="s">
        <v>2471</v>
      </c>
      <c r="J960" s="21">
        <v>5</v>
      </c>
      <c r="K960" s="62" t="str">
        <f>VLOOKUP(Ruimtestaat[[#This Row],[Ruimte code]],Ruimtegroepen[[#All],[Code]:[Ruimte omschrijving]],2,FALSE)</f>
        <v>Sanitair</v>
      </c>
      <c r="L960" s="33" t="s">
        <v>103</v>
      </c>
      <c r="M960" s="367" t="s">
        <v>2496</v>
      </c>
      <c r="N960" s="140">
        <v>9.5</v>
      </c>
      <c r="O960" s="140"/>
      <c r="P960" s="125" t="str">
        <f>VLOOKUP(Ruimtestaat[[#This Row],[Ruimte code]],Ruimtegroepen[],4,FALSE)</f>
        <v>Sa</v>
      </c>
      <c r="R960" s="33">
        <v>40</v>
      </c>
      <c r="S960" s="33" t="s">
        <v>2</v>
      </c>
      <c r="T960" s="33">
        <f>IF(R960&gt;0,IF(RIGHT(Ruimtestaat[[#This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0" s="33">
        <f>IF(T960&gt;0,VLOOKUP($J960,Ruimtegroepen[],3,FALSE)*VLOOKUP($L960,Vloersoorten[],3,FALSE)*VLOOKUP($S960,Frequenties[],3,FALSE)*VLOOKUP($A960,Locaties[],3,FALSE),0)</f>
        <v>0</v>
      </c>
      <c r="V960" s="33">
        <f>Ruimtestaat[[#This Row],[Uitvoeringen werkdagen]]*Ruimtestaat[[#This Row],[Oppervlak (netto)]]</f>
        <v>1900</v>
      </c>
      <c r="W960" s="154">
        <f>IF(U960&gt;0,Ruimtestaat[[#This Row],[Prest. (m2 /jaar) werkdagen]]/Ruimtestaat[[#This Row],[Norm (m2/uur) werkdagen]],0)</f>
        <v>0</v>
      </c>
      <c r="X960" s="155">
        <f>Ruimtestaat[[#This Row],[uren / jaar werkdagen]]*Tariefsopbouw!$E$35</f>
        <v>0</v>
      </c>
      <c r="Y960" s="33"/>
      <c r="Z960" s="33">
        <f>IF(Ruimtestaat[[#This Row],[Frequentie weekend]]&gt;0,VALUE(LEFT(Y960,1))*R960,0)</f>
        <v>0</v>
      </c>
      <c r="AA960" s="97">
        <f>IF($Z960&gt;0,VLOOKUP($J960,Ruimtegroepen[],3,FALSE)*VLOOKUP($L960,Vloersoorten[],3,FALSE)*VLOOKUP($Y960,Frequenties[],3,FALSE)*VLOOKUP(Ruimtestaat[[#This Row],[Code]],Locaties[],3,FALSE),0)</f>
        <v>0</v>
      </c>
      <c r="AB960" s="97">
        <f>Ruimtestaat[[#This Row],[Uitvoeringen weekend]]*Ruimtestaat[[#This Row],[Oppervlak (netto)]]</f>
        <v>0</v>
      </c>
      <c r="AC960" s="97">
        <f>IF(AA960&gt;0,Ruimtestaat[[#This Row],[Prest. (m2 /jaar) weekend]]/Ruimtestaat[[#This Row],[Norm (m2/uur) weekend]],0)</f>
        <v>0</v>
      </c>
      <c r="AD960" s="155">
        <f>Ruimtestaat[[#This Row],[uren / jaar weekend]]*Tariefsopbouw!$D$40</f>
        <v>0</v>
      </c>
      <c r="AE960" s="154">
        <f>Ruimtestaat[[#This Row],[Prest. (m2 /jaar) weekend]]+Ruimtestaat[[#This Row],[Prest. (m2 /jaar) werkdagen]]</f>
        <v>1900</v>
      </c>
      <c r="AF960" s="154">
        <f>Ruimtestaat[[#This Row],[uren / jaar weekend]]+Ruimtestaat[[#This Row],[uren / jaar werkdagen]]</f>
        <v>0</v>
      </c>
      <c r="AG960" s="69">
        <f>Ruimtestaat[[#This Row],[kosten / jaar weekend]]+Ruimtestaat[[#This Row],[kosten / jaar werkdagen]]</f>
        <v>0</v>
      </c>
      <c r="AH960" s="69"/>
      <c r="AI960" s="256" t="str">
        <f>IF(Ruimtestaat[[#This Row],[Frequentie werkdagen]]="","",_xlfn.CONCAT(Ruimtestaat[[#This Row],[Ruimte code]],"-",Ruimtestaat[[#This Row],[Frequentie werkdagen]]," ",Ruimtestaat[[#This Row],[Vloer code]]))</f>
        <v>5-5w P</v>
      </c>
      <c r="AJ960" s="300" t="str">
        <f>_xlfn.IFNA(VLOOKUP($AI960,Programma!$F$3:$G$1107,2,0),"")</f>
        <v>_</v>
      </c>
      <c r="AK960" s="300" t="str">
        <f>_xlfn.IFNA(VLOOKUP($AI960,Programma!$F$3:$H$1107,3,0),"")</f>
        <v>_</v>
      </c>
      <c r="AL960" s="300" t="str">
        <f>_xlfn.IFNA(VLOOKUP($AI960,Programma!$F$3:$I$1107,4,0),"")</f>
        <v>_</v>
      </c>
      <c r="AM960" s="300" t="str">
        <f>_xlfn.IFNA(VLOOKUP($AI960,Programma!$F$3:$J$1107,5,0),"")</f>
        <v>4w</v>
      </c>
      <c r="AN960" s="300" t="str">
        <f>_xlfn.IFNA(VLOOKUP($AI960,Programma!$F$3:$K$1107,6,0),"")</f>
        <v>1w</v>
      </c>
      <c r="AO960" s="300" t="str">
        <f>_xlfn.IFNA(VLOOKUP($AI960,Programma!$F$3:$L$1107,7,0),"")</f>
        <v>_</v>
      </c>
      <c r="AP960" s="300" t="str">
        <f>_xlfn.IFNA(VLOOKUP($AI960,Programma!$F$3:$M$1107,8,0),"")</f>
        <v>_</v>
      </c>
      <c r="AQ960" s="300" t="str">
        <f>_xlfn.IFNA(VLOOKUP($AI960,Programma!$F$3:$N$1107,9,0),"")</f>
        <v>_</v>
      </c>
      <c r="AR960" s="300" t="str">
        <f>_xlfn.IFNA(VLOOKUP($AI960,Programma!$F$3:$O$1107,10,0),"")</f>
        <v>_</v>
      </c>
      <c r="AS960" s="300" t="str">
        <f>_xlfn.IFNA(VLOOKUP($AI960,Programma!$F$3:$P$1107,11,0),"")</f>
        <v>_</v>
      </c>
      <c r="AT960" s="300" t="str">
        <f>_xlfn.IFNA(VLOOKUP($AI960,Programma!$F$3:$Q$1107,12,0),"")</f>
        <v>_</v>
      </c>
      <c r="AU960" s="300" t="str">
        <f>_xlfn.IFNA(VLOOKUP($AI960,Programma!$F$3:$R$1107,13,0),"")</f>
        <v>_</v>
      </c>
      <c r="AV960" s="300" t="str">
        <f>_xlfn.IFNA(VLOOKUP($AI960,Programma!$F$3:$S$1107,14,0),"")</f>
        <v>_</v>
      </c>
      <c r="AW960" s="300" t="str">
        <f>_xlfn.IFNA(VLOOKUP($AI960,Programma!$F$3:$T$1107,15,0),"")</f>
        <v>_</v>
      </c>
      <c r="AX960" s="300" t="str">
        <f>_xlfn.IFNA(VLOOKUP($AI960,Programma!$F$3:$U$1107,16,0),"")</f>
        <v>_</v>
      </c>
      <c r="AY960" s="300" t="str">
        <f>_xlfn.IFNA(VLOOKUP($AI960,Programma!$F$3:$V$1107,17,0),"")</f>
        <v>_</v>
      </c>
      <c r="AZ960" s="300" t="str">
        <f>_xlfn.IFNA(VLOOKUP($AI960,Programma!$F$3:$W$1107,18,0),"")</f>
        <v>4w</v>
      </c>
      <c r="BA960" s="300" t="str">
        <f>_xlfn.IFNA(VLOOKUP($AI960,Programma!$F$3:$X$1107,19,0),"")</f>
        <v>1w</v>
      </c>
      <c r="BB960" s="300" t="str">
        <f>_xlfn.IFNA(VLOOKUP($AI960,Programma!$F$3:$Y$1107,20,0),"")</f>
        <v>_</v>
      </c>
      <c r="BC960" s="257"/>
      <c r="BD960" s="256" t="str">
        <f>IF(Ruimtestaat[[#This Row],[Frequentie weekend]]="","",_xlfn.CONCAT(Ruimtestaat[[#This Row],[Ruimte code]],"-",Ruimtestaat[[#This Row],[Frequentie weekend]]," ",Ruimtestaat[[#This Row],[Vloer code]]))</f>
        <v/>
      </c>
      <c r="BE960" s="300" t="str">
        <f>_xlfn.IFNA(VLOOKUP($BD960,Programma!$F$3:$G$1107,2,0),"")</f>
        <v/>
      </c>
      <c r="BF960" s="300" t="str">
        <f>_xlfn.IFNA(VLOOKUP($BD960,Programma!$F$3:$H$1107,3,0),"")</f>
        <v/>
      </c>
      <c r="BG960" s="300" t="str">
        <f>_xlfn.IFNA(VLOOKUP($BD960,Programma!$F$3:$I$1107,4,0),"")</f>
        <v/>
      </c>
      <c r="BH960" s="300" t="str">
        <f>_xlfn.IFNA(VLOOKUP($BD960,Programma!$F$3:$J$1107,5,0),"")</f>
        <v/>
      </c>
      <c r="BI960" s="300" t="str">
        <f>_xlfn.IFNA(VLOOKUP($BD960,Programma!$F$3:$K$1107,6,0),"")</f>
        <v/>
      </c>
      <c r="BJ960" s="300" t="str">
        <f>_xlfn.IFNA(VLOOKUP($BD960,Programma!$F$3:$L$1107,7,0),"")</f>
        <v/>
      </c>
      <c r="BK960" s="300" t="str">
        <f>_xlfn.IFNA(VLOOKUP($BD960,Programma!$F$3:$M$1107,8,0),"")</f>
        <v/>
      </c>
      <c r="BL960" s="300" t="str">
        <f>_xlfn.IFNA(VLOOKUP($BD960,Programma!$F$3:$N$1107,9,0),"")</f>
        <v/>
      </c>
      <c r="BM960" s="300" t="str">
        <f>_xlfn.IFNA(VLOOKUP($BD960,Programma!$F$3:$O$1107,10,0),"")</f>
        <v/>
      </c>
      <c r="BN960" s="300" t="str">
        <f>_xlfn.IFNA(VLOOKUP($BD960,Programma!$F$3:$P$1107,11,0),"")</f>
        <v/>
      </c>
      <c r="BO960" s="300" t="str">
        <f>_xlfn.IFNA(VLOOKUP($BD960,Programma!$F$3:$Q$1107,12,0),"")</f>
        <v/>
      </c>
      <c r="BP960" s="300" t="str">
        <f>_xlfn.IFNA(VLOOKUP($BD960,Programma!$F$3:$R$1107,13,0),"")</f>
        <v/>
      </c>
      <c r="BQ960" s="300" t="str">
        <f>_xlfn.IFNA(VLOOKUP($BD960,Programma!$F$3:$S$1107,14,0),"")</f>
        <v/>
      </c>
      <c r="BR960" s="300" t="str">
        <f>_xlfn.IFNA(VLOOKUP($BD960,Programma!$F$3:$T$1107,15,0),"")</f>
        <v/>
      </c>
      <c r="BS960" s="300" t="str">
        <f>_xlfn.IFNA(VLOOKUP($BD960,Programma!$F$3:$U$1107,16,0),"")</f>
        <v/>
      </c>
      <c r="BT960" s="300" t="str">
        <f>_xlfn.IFNA(VLOOKUP($BD960,Programma!$F$3:$V$1107,17,0),"")</f>
        <v/>
      </c>
      <c r="BU960" s="300" t="str">
        <f>_xlfn.IFNA(VLOOKUP($BD960,Programma!$F$3:$W$1107,18,0),"")</f>
        <v/>
      </c>
      <c r="BV960" s="300" t="str">
        <f>_xlfn.IFNA(VLOOKUP($BD960,Programma!$F$3:$X$1107,19,0),"")</f>
        <v/>
      </c>
      <c r="BW960" s="300" t="str">
        <f>_xlfn.IFNA(VLOOKUP($BD960,Programma!$F$3:$Y$1107,20,0),"")</f>
        <v/>
      </c>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c r="GK960" s="4"/>
      <c r="GL960" s="4"/>
      <c r="GM960" s="4"/>
      <c r="GN960" s="4"/>
      <c r="GO960" s="4"/>
      <c r="GP960" s="4"/>
      <c r="GQ960" s="4"/>
      <c r="GR960" s="4"/>
      <c r="GS960" s="4"/>
      <c r="GT960" s="4"/>
      <c r="GU960" s="4"/>
      <c r="GV960" s="4"/>
      <c r="GW960" s="4"/>
      <c r="GX960" s="4"/>
      <c r="GY960" s="4"/>
      <c r="GZ960" s="4"/>
      <c r="HA960" s="4"/>
      <c r="HB960" s="4"/>
      <c r="HC960" s="4"/>
      <c r="HD960" s="4"/>
      <c r="HE960" s="4"/>
      <c r="HF960" s="4"/>
      <c r="HG960" s="4"/>
      <c r="HH960" s="4"/>
      <c r="HI960" s="4"/>
      <c r="HJ960" s="4"/>
      <c r="HK960" s="4"/>
      <c r="HL960" s="4"/>
    </row>
    <row r="961" spans="1:220" ht="15" customHeight="1">
      <c r="A961" s="21">
        <v>10</v>
      </c>
      <c r="B961" s="157" t="str">
        <f>VLOOKUP(Ruimtestaat[[#This Row],[Code]],Locaties[[Code]:[Locatie]],2,FALSE)</f>
        <v>Veurs Voorburg vmbo</v>
      </c>
      <c r="C961" s="157" t="str">
        <f>VLOOKUP(Ruimtestaat[[#This Row],[Code]],Locaties[[#All],[Code]:[Adres]],4,FALSE)</f>
        <v>Delflandlaan 4</v>
      </c>
      <c r="D961" s="157" t="str">
        <f>VLOOKUP(Ruimtestaat[[#This Row],[Code]],Locaties[[#All],[Code]:[Postcode]],5,FALSE)</f>
        <v>2273 CS</v>
      </c>
      <c r="E961" s="157" t="str">
        <f>VLOOKUP(Ruimtestaat[[#This Row],[Code]],Locaties[#All],6,FALSE)</f>
        <v>Voorburg</v>
      </c>
      <c r="F961" s="62"/>
      <c r="G961" s="21" t="s">
        <v>1624</v>
      </c>
      <c r="H961" s="21" t="s">
        <v>1681</v>
      </c>
      <c r="I961" s="62" t="s">
        <v>2469</v>
      </c>
      <c r="J961" s="21">
        <v>8</v>
      </c>
      <c r="K961" s="62" t="str">
        <f>VLOOKUP(Ruimtestaat[[#This Row],[Ruimte code]],Ruimtegroepen[[#All],[Code]:[Ruimte omschrijving]],2,FALSE)</f>
        <v>Mediatheek / OLC</v>
      </c>
      <c r="L961" s="33" t="s">
        <v>101</v>
      </c>
      <c r="M961" s="367" t="s">
        <v>2506</v>
      </c>
      <c r="N961" s="140">
        <v>32.6</v>
      </c>
      <c r="O961" s="140"/>
      <c r="P961" s="125" t="str">
        <f>VLOOKUP(Ruimtestaat[[#This Row],[Ruimte code]],Ruimtegroepen[],4,FALSE)</f>
        <v>Le</v>
      </c>
      <c r="R961" s="33">
        <v>40</v>
      </c>
      <c r="S961" s="33" t="s">
        <v>2</v>
      </c>
      <c r="T961" s="33">
        <f>IF(R961&gt;0,IF(RIGHT(Ruimtestaat[[#This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1" s="33">
        <f>IF(T961&gt;0,VLOOKUP($J961,Ruimtegroepen[],3,FALSE)*VLOOKUP($L961,Vloersoorten[],3,FALSE)*VLOOKUP($S961,Frequenties[],3,FALSE)*VLOOKUP($A961,Locaties[],3,FALSE),0)</f>
        <v>0</v>
      </c>
      <c r="V961" s="33">
        <f>Ruimtestaat[[#This Row],[Uitvoeringen werkdagen]]*Ruimtestaat[[#This Row],[Oppervlak (netto)]]</f>
        <v>6520</v>
      </c>
      <c r="W961" s="154">
        <f>IF(U961&gt;0,Ruimtestaat[[#This Row],[Prest. (m2 /jaar) werkdagen]]/Ruimtestaat[[#This Row],[Norm (m2/uur) werkdagen]],0)</f>
        <v>0</v>
      </c>
      <c r="X961" s="155">
        <f>Ruimtestaat[[#This Row],[uren / jaar werkdagen]]*Tariefsopbouw!$E$35</f>
        <v>0</v>
      </c>
      <c r="Y961" s="33"/>
      <c r="Z961" s="33">
        <f>IF(Ruimtestaat[[#This Row],[Frequentie weekend]]&gt;0,VALUE(LEFT(Y961,1))*R961,0)</f>
        <v>0</v>
      </c>
      <c r="AA961" s="97">
        <f>IF($Z961&gt;0,VLOOKUP($J961,Ruimtegroepen[],3,FALSE)*VLOOKUP($L961,Vloersoorten[],3,FALSE)*VLOOKUP($Y961,Frequenties[],3,FALSE)*VLOOKUP(Ruimtestaat[[#This Row],[Code]],Locaties[],3,FALSE),0)</f>
        <v>0</v>
      </c>
      <c r="AB961" s="97">
        <f>Ruimtestaat[[#This Row],[Uitvoeringen weekend]]*Ruimtestaat[[#This Row],[Oppervlak (netto)]]</f>
        <v>0</v>
      </c>
      <c r="AC961" s="97">
        <f>IF(AA961&gt;0,Ruimtestaat[[#This Row],[Prest. (m2 /jaar) weekend]]/Ruimtestaat[[#This Row],[Norm (m2/uur) weekend]],0)</f>
        <v>0</v>
      </c>
      <c r="AD961" s="155">
        <f>Ruimtestaat[[#This Row],[uren / jaar weekend]]*Tariefsopbouw!$D$40</f>
        <v>0</v>
      </c>
      <c r="AE961" s="154">
        <f>Ruimtestaat[[#This Row],[Prest. (m2 /jaar) weekend]]+Ruimtestaat[[#This Row],[Prest. (m2 /jaar) werkdagen]]</f>
        <v>6520</v>
      </c>
      <c r="AF961" s="154">
        <f>Ruimtestaat[[#This Row],[uren / jaar weekend]]+Ruimtestaat[[#This Row],[uren / jaar werkdagen]]</f>
        <v>0</v>
      </c>
      <c r="AG961" s="69">
        <f>Ruimtestaat[[#This Row],[kosten / jaar weekend]]+Ruimtestaat[[#This Row],[kosten / jaar werkdagen]]</f>
        <v>0</v>
      </c>
      <c r="AH961" s="69"/>
      <c r="AI961" s="256" t="str">
        <f>IF(Ruimtestaat[[#This Row],[Frequentie werkdagen]]="","",_xlfn.CONCAT(Ruimtestaat[[#This Row],[Ruimte code]],"-",Ruimtestaat[[#This Row],[Frequentie werkdagen]]," ",Ruimtestaat[[#This Row],[Vloer code]]))</f>
        <v>8-5w L</v>
      </c>
      <c r="AJ961" s="300" t="str">
        <f>_xlfn.IFNA(VLOOKUP($AI961,Programma!$F$3:$G$1107,2,0),"")</f>
        <v>_</v>
      </c>
      <c r="AK961" s="300" t="str">
        <f>_xlfn.IFNA(VLOOKUP($AI961,Programma!$F$3:$H$1107,3,0),"")</f>
        <v>_</v>
      </c>
      <c r="AL961" s="300" t="str">
        <f>_xlfn.IFNA(VLOOKUP($AI961,Programma!$F$3:$I$1107,4,0),"")</f>
        <v>4w</v>
      </c>
      <c r="AM961" s="300" t="str">
        <f>_xlfn.IFNA(VLOOKUP($AI961,Programma!$F$3:$J$1107,5,0),"")</f>
        <v>1w</v>
      </c>
      <c r="AN961" s="300" t="str">
        <f>_xlfn.IFNA(VLOOKUP($AI961,Programma!$F$3:$K$1107,6,0),"")</f>
        <v>_</v>
      </c>
      <c r="AO961" s="300" t="str">
        <f>_xlfn.IFNA(VLOOKUP($AI961,Programma!$F$3:$L$1107,7,0),"")</f>
        <v>_</v>
      </c>
      <c r="AP961" s="300" t="str">
        <f>_xlfn.IFNA(VLOOKUP($AI961,Programma!$F$3:$M$1107,8,0),"")</f>
        <v>_</v>
      </c>
      <c r="AQ961" s="300" t="str">
        <f>_xlfn.IFNA(VLOOKUP($AI961,Programma!$F$3:$N$1107,9,0),"")</f>
        <v>_</v>
      </c>
      <c r="AR961" s="300" t="str">
        <f>_xlfn.IFNA(VLOOKUP($AI961,Programma!$F$3:$O$1107,10,0),"")</f>
        <v>5w</v>
      </c>
      <c r="AS961" s="300" t="str">
        <f>_xlfn.IFNA(VLOOKUP($AI961,Programma!$F$3:$P$1107,11,0),"")</f>
        <v>5w</v>
      </c>
      <c r="AT961" s="300" t="str">
        <f>_xlfn.IFNA(VLOOKUP($AI961,Programma!$F$3:$Q$1107,12,0),"")</f>
        <v>1w</v>
      </c>
      <c r="AU961" s="300" t="str">
        <f>_xlfn.IFNA(VLOOKUP($AI961,Programma!$F$3:$R$1107,13,0),"")</f>
        <v>1w</v>
      </c>
      <c r="AV961" s="300" t="str">
        <f>_xlfn.IFNA(VLOOKUP($AI961,Programma!$F$3:$S$1107,14,0),"")</f>
        <v>1m</v>
      </c>
      <c r="AW961" s="300" t="str">
        <f>_xlfn.IFNA(VLOOKUP($AI961,Programma!$F$3:$T$1107,15,0),"")</f>
        <v>2j</v>
      </c>
      <c r="AX961" s="300" t="str">
        <f>_xlfn.IFNA(VLOOKUP($AI961,Programma!$F$3:$U$1107,16,0),"")</f>
        <v>1j</v>
      </c>
      <c r="AY961" s="300" t="str">
        <f>_xlfn.IFNA(VLOOKUP($AI961,Programma!$F$3:$V$1107,17,0),"")</f>
        <v>_</v>
      </c>
      <c r="AZ961" s="300" t="str">
        <f>_xlfn.IFNA(VLOOKUP($AI961,Programma!$F$3:$W$1107,18,0),"")</f>
        <v>_</v>
      </c>
      <c r="BA961" s="300" t="str">
        <f>_xlfn.IFNA(VLOOKUP($AI961,Programma!$F$3:$X$1107,19,0),"")</f>
        <v>_</v>
      </c>
      <c r="BB961" s="300" t="str">
        <f>_xlfn.IFNA(VLOOKUP($AI961,Programma!$F$3:$Y$1107,20,0),"")</f>
        <v>_</v>
      </c>
      <c r="BC961" s="257"/>
      <c r="BD961" s="256" t="str">
        <f>IF(Ruimtestaat[[#This Row],[Frequentie weekend]]="","",_xlfn.CONCAT(Ruimtestaat[[#This Row],[Ruimte code]],"-",Ruimtestaat[[#This Row],[Frequentie weekend]]," ",Ruimtestaat[[#This Row],[Vloer code]]))</f>
        <v/>
      </c>
      <c r="BE961" s="300" t="str">
        <f>_xlfn.IFNA(VLOOKUP($BD961,Programma!$F$3:$G$1107,2,0),"")</f>
        <v/>
      </c>
      <c r="BF961" s="300" t="str">
        <f>_xlfn.IFNA(VLOOKUP($BD961,Programma!$F$3:$H$1107,3,0),"")</f>
        <v/>
      </c>
      <c r="BG961" s="300" t="str">
        <f>_xlfn.IFNA(VLOOKUP($BD961,Programma!$F$3:$I$1107,4,0),"")</f>
        <v/>
      </c>
      <c r="BH961" s="300" t="str">
        <f>_xlfn.IFNA(VLOOKUP($BD961,Programma!$F$3:$J$1107,5,0),"")</f>
        <v/>
      </c>
      <c r="BI961" s="300" t="str">
        <f>_xlfn.IFNA(VLOOKUP($BD961,Programma!$F$3:$K$1107,6,0),"")</f>
        <v/>
      </c>
      <c r="BJ961" s="300" t="str">
        <f>_xlfn.IFNA(VLOOKUP($BD961,Programma!$F$3:$L$1107,7,0),"")</f>
        <v/>
      </c>
      <c r="BK961" s="300" t="str">
        <f>_xlfn.IFNA(VLOOKUP($BD961,Programma!$F$3:$M$1107,8,0),"")</f>
        <v/>
      </c>
      <c r="BL961" s="300" t="str">
        <f>_xlfn.IFNA(VLOOKUP($BD961,Programma!$F$3:$N$1107,9,0),"")</f>
        <v/>
      </c>
      <c r="BM961" s="300" t="str">
        <f>_xlfn.IFNA(VLOOKUP($BD961,Programma!$F$3:$O$1107,10,0),"")</f>
        <v/>
      </c>
      <c r="BN961" s="300" t="str">
        <f>_xlfn.IFNA(VLOOKUP($BD961,Programma!$F$3:$P$1107,11,0),"")</f>
        <v/>
      </c>
      <c r="BO961" s="300" t="str">
        <f>_xlfn.IFNA(VLOOKUP($BD961,Programma!$F$3:$Q$1107,12,0),"")</f>
        <v/>
      </c>
      <c r="BP961" s="300" t="str">
        <f>_xlfn.IFNA(VLOOKUP($BD961,Programma!$F$3:$R$1107,13,0),"")</f>
        <v/>
      </c>
      <c r="BQ961" s="300" t="str">
        <f>_xlfn.IFNA(VLOOKUP($BD961,Programma!$F$3:$S$1107,14,0),"")</f>
        <v/>
      </c>
      <c r="BR961" s="300" t="str">
        <f>_xlfn.IFNA(VLOOKUP($BD961,Programma!$F$3:$T$1107,15,0),"")</f>
        <v/>
      </c>
      <c r="BS961" s="300" t="str">
        <f>_xlfn.IFNA(VLOOKUP($BD961,Programma!$F$3:$U$1107,16,0),"")</f>
        <v/>
      </c>
      <c r="BT961" s="300" t="str">
        <f>_xlfn.IFNA(VLOOKUP($BD961,Programma!$F$3:$V$1107,17,0),"")</f>
        <v/>
      </c>
      <c r="BU961" s="300" t="str">
        <f>_xlfn.IFNA(VLOOKUP($BD961,Programma!$F$3:$W$1107,18,0),"")</f>
        <v/>
      </c>
      <c r="BV961" s="300" t="str">
        <f>_xlfn.IFNA(VLOOKUP($BD961,Programma!$F$3:$X$1107,19,0),"")</f>
        <v/>
      </c>
      <c r="BW961" s="300" t="str">
        <f>_xlfn.IFNA(VLOOKUP($BD961,Programma!$F$3:$Y$1107,20,0),"")</f>
        <v/>
      </c>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c r="GK961" s="4"/>
      <c r="GL961" s="4"/>
      <c r="GM961" s="4"/>
      <c r="GN961" s="4"/>
      <c r="GO961" s="4"/>
      <c r="GP961" s="4"/>
      <c r="GQ961" s="4"/>
      <c r="GR961" s="4"/>
      <c r="GS961" s="4"/>
      <c r="GT961" s="4"/>
      <c r="GU961" s="4"/>
      <c r="GV961" s="4"/>
      <c r="GW961" s="4"/>
      <c r="GX961" s="4"/>
      <c r="GY961" s="4"/>
      <c r="GZ961" s="4"/>
      <c r="HA961" s="4"/>
      <c r="HB961" s="4"/>
      <c r="HC961" s="4"/>
      <c r="HD961" s="4"/>
      <c r="HE961" s="4"/>
      <c r="HF961" s="4"/>
      <c r="HG961" s="4"/>
      <c r="HH961" s="4"/>
      <c r="HI961" s="4"/>
      <c r="HJ961" s="4"/>
      <c r="HK961" s="4"/>
      <c r="HL961" s="4"/>
    </row>
    <row r="962" spans="1:220" ht="15" customHeight="1">
      <c r="A962" s="21">
        <v>10</v>
      </c>
      <c r="B962" s="157" t="str">
        <f>VLOOKUP(Ruimtestaat[[#This Row],[Code]],Locaties[[Code]:[Locatie]],2,FALSE)</f>
        <v>Veurs Voorburg vmbo</v>
      </c>
      <c r="C962" s="157" t="str">
        <f>VLOOKUP(Ruimtestaat[[#This Row],[Code]],Locaties[[#All],[Code]:[Adres]],4,FALSE)</f>
        <v>Delflandlaan 4</v>
      </c>
      <c r="D962" s="157" t="str">
        <f>VLOOKUP(Ruimtestaat[[#This Row],[Code]],Locaties[[#All],[Code]:[Postcode]],5,FALSE)</f>
        <v>2273 CS</v>
      </c>
      <c r="E962" s="157" t="str">
        <f>VLOOKUP(Ruimtestaat[[#This Row],[Code]],Locaties[#All],6,FALSE)</f>
        <v>Voorburg</v>
      </c>
      <c r="F962" s="62"/>
      <c r="G962" s="21" t="s">
        <v>1624</v>
      </c>
      <c r="H962" s="21" t="s">
        <v>1683</v>
      </c>
      <c r="I962" s="62" t="s">
        <v>2462</v>
      </c>
      <c r="J962" s="21">
        <v>16</v>
      </c>
      <c r="K962" s="62" t="str">
        <f>VLOOKUP(Ruimtestaat[[#This Row],[Ruimte code]],Ruimtegroepen[[#All],[Code]:[Ruimte omschrijving]],2,FALSE)</f>
        <v>Leslokalen theorie</v>
      </c>
      <c r="L962" s="33" t="s">
        <v>101</v>
      </c>
      <c r="M962" s="367" t="s">
        <v>2506</v>
      </c>
      <c r="N962" s="140">
        <v>54.5</v>
      </c>
      <c r="O962" s="140"/>
      <c r="P962" s="125" t="str">
        <f>VLOOKUP(Ruimtestaat[[#This Row],[Ruimte code]],Ruimtegroepen[],4,FALSE)</f>
        <v>Le</v>
      </c>
      <c r="R962" s="33">
        <v>40</v>
      </c>
      <c r="S962" s="33" t="s">
        <v>2</v>
      </c>
      <c r="T962" s="33">
        <f>IF(R962&gt;0,IF(RIGHT(Ruimtestaat[[#This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2" s="33">
        <f>IF(T962&gt;0,VLOOKUP($J962,Ruimtegroepen[],3,FALSE)*VLOOKUP($L962,Vloersoorten[],3,FALSE)*VLOOKUP($S962,Frequenties[],3,FALSE)*VLOOKUP($A962,Locaties[],3,FALSE),0)</f>
        <v>0</v>
      </c>
      <c r="V962" s="33">
        <f>Ruimtestaat[[#This Row],[Uitvoeringen werkdagen]]*Ruimtestaat[[#This Row],[Oppervlak (netto)]]</f>
        <v>10900</v>
      </c>
      <c r="W962" s="154">
        <f>IF(U962&gt;0,Ruimtestaat[[#This Row],[Prest. (m2 /jaar) werkdagen]]/Ruimtestaat[[#This Row],[Norm (m2/uur) werkdagen]],0)</f>
        <v>0</v>
      </c>
      <c r="X962" s="155">
        <f>Ruimtestaat[[#This Row],[uren / jaar werkdagen]]*Tariefsopbouw!$E$35</f>
        <v>0</v>
      </c>
      <c r="Y962" s="33"/>
      <c r="Z962" s="33">
        <f>IF(Ruimtestaat[[#This Row],[Frequentie weekend]]&gt;0,VALUE(LEFT(Y962,1))*R962,0)</f>
        <v>0</v>
      </c>
      <c r="AA962" s="97">
        <f>IF($Z962&gt;0,VLOOKUP($J962,Ruimtegroepen[],3,FALSE)*VLOOKUP($L962,Vloersoorten[],3,FALSE)*VLOOKUP($Y962,Frequenties[],3,FALSE)*VLOOKUP(Ruimtestaat[[#This Row],[Code]],Locaties[],3,FALSE),0)</f>
        <v>0</v>
      </c>
      <c r="AB962" s="97">
        <f>Ruimtestaat[[#This Row],[Uitvoeringen weekend]]*Ruimtestaat[[#This Row],[Oppervlak (netto)]]</f>
        <v>0</v>
      </c>
      <c r="AC962" s="97">
        <f>IF(AA962&gt;0,Ruimtestaat[[#This Row],[Prest. (m2 /jaar) weekend]]/Ruimtestaat[[#This Row],[Norm (m2/uur) weekend]],0)</f>
        <v>0</v>
      </c>
      <c r="AD962" s="155">
        <f>Ruimtestaat[[#This Row],[uren / jaar weekend]]*Tariefsopbouw!$D$40</f>
        <v>0</v>
      </c>
      <c r="AE962" s="154">
        <f>Ruimtestaat[[#This Row],[Prest. (m2 /jaar) weekend]]+Ruimtestaat[[#This Row],[Prest. (m2 /jaar) werkdagen]]</f>
        <v>10900</v>
      </c>
      <c r="AF962" s="154">
        <f>Ruimtestaat[[#This Row],[uren / jaar weekend]]+Ruimtestaat[[#This Row],[uren / jaar werkdagen]]</f>
        <v>0</v>
      </c>
      <c r="AG962" s="69">
        <f>Ruimtestaat[[#This Row],[kosten / jaar weekend]]+Ruimtestaat[[#This Row],[kosten / jaar werkdagen]]</f>
        <v>0</v>
      </c>
      <c r="AH962" s="69"/>
      <c r="AI962" s="256" t="str">
        <f>IF(Ruimtestaat[[#This Row],[Frequentie werkdagen]]="","",_xlfn.CONCAT(Ruimtestaat[[#This Row],[Ruimte code]],"-",Ruimtestaat[[#This Row],[Frequentie werkdagen]]," ",Ruimtestaat[[#This Row],[Vloer code]]))</f>
        <v>16-5w L</v>
      </c>
      <c r="AJ962" s="300" t="str">
        <f>_xlfn.IFNA(VLOOKUP($AI962,Programma!$F$3:$G$1107,2,0),"")</f>
        <v>_</v>
      </c>
      <c r="AK962" s="300" t="str">
        <f>_xlfn.IFNA(VLOOKUP($AI962,Programma!$F$3:$H$1107,3,0),"")</f>
        <v>_</v>
      </c>
      <c r="AL962" s="300" t="str">
        <f>_xlfn.IFNA(VLOOKUP($AI962,Programma!$F$3:$I$1107,4,0),"")</f>
        <v>4w</v>
      </c>
      <c r="AM962" s="300" t="str">
        <f>_xlfn.IFNA(VLOOKUP($AI962,Programma!$F$3:$J$1107,5,0),"")</f>
        <v>1w</v>
      </c>
      <c r="AN962" s="300" t="str">
        <f>_xlfn.IFNA(VLOOKUP($AI962,Programma!$F$3:$K$1107,6,0),"")</f>
        <v>_</v>
      </c>
      <c r="AO962" s="300" t="str">
        <f>_xlfn.IFNA(VLOOKUP($AI962,Programma!$F$3:$L$1107,7,0),"")</f>
        <v>_</v>
      </c>
      <c r="AP962" s="300" t="str">
        <f>_xlfn.IFNA(VLOOKUP($AI962,Programma!$F$3:$M$1107,8,0),"")</f>
        <v>_</v>
      </c>
      <c r="AQ962" s="300" t="str">
        <f>_xlfn.IFNA(VLOOKUP($AI962,Programma!$F$3:$N$1107,9,0),"")</f>
        <v>_</v>
      </c>
      <c r="AR962" s="300" t="str">
        <f>_xlfn.IFNA(VLOOKUP($AI962,Programma!$F$3:$O$1107,10,0),"")</f>
        <v>5w</v>
      </c>
      <c r="AS962" s="300" t="str">
        <f>_xlfn.IFNA(VLOOKUP($AI962,Programma!$F$3:$P$1107,11,0),"")</f>
        <v>5w</v>
      </c>
      <c r="AT962" s="300" t="str">
        <f>_xlfn.IFNA(VLOOKUP($AI962,Programma!$F$3:$Q$1107,12,0),"")</f>
        <v>1w</v>
      </c>
      <c r="AU962" s="300" t="str">
        <f>_xlfn.IFNA(VLOOKUP($AI962,Programma!$F$3:$R$1107,13,0),"")</f>
        <v>1w</v>
      </c>
      <c r="AV962" s="300" t="str">
        <f>_xlfn.IFNA(VLOOKUP($AI962,Programma!$F$3:$S$1107,14,0),"")</f>
        <v>1m</v>
      </c>
      <c r="AW962" s="300" t="str">
        <f>_xlfn.IFNA(VLOOKUP($AI962,Programma!$F$3:$T$1107,15,0),"")</f>
        <v>2j</v>
      </c>
      <c r="AX962" s="300" t="str">
        <f>_xlfn.IFNA(VLOOKUP($AI962,Programma!$F$3:$U$1107,16,0),"")</f>
        <v>1j</v>
      </c>
      <c r="AY962" s="300" t="str">
        <f>_xlfn.IFNA(VLOOKUP($AI962,Programma!$F$3:$V$1107,17,0),"")</f>
        <v>_</v>
      </c>
      <c r="AZ962" s="300" t="str">
        <f>_xlfn.IFNA(VLOOKUP($AI962,Programma!$F$3:$W$1107,18,0),"")</f>
        <v>_</v>
      </c>
      <c r="BA962" s="300" t="str">
        <f>_xlfn.IFNA(VLOOKUP($AI962,Programma!$F$3:$X$1107,19,0),"")</f>
        <v>_</v>
      </c>
      <c r="BB962" s="300" t="str">
        <f>_xlfn.IFNA(VLOOKUP($AI962,Programma!$F$3:$Y$1107,20,0),"")</f>
        <v>_</v>
      </c>
      <c r="BC962" s="257"/>
      <c r="BD962" s="256" t="str">
        <f>IF(Ruimtestaat[[#This Row],[Frequentie weekend]]="","",_xlfn.CONCAT(Ruimtestaat[[#This Row],[Ruimte code]],"-",Ruimtestaat[[#This Row],[Frequentie weekend]]," ",Ruimtestaat[[#This Row],[Vloer code]]))</f>
        <v/>
      </c>
      <c r="BE962" s="300" t="str">
        <f>_xlfn.IFNA(VLOOKUP($BD962,Programma!$F$3:$G$1107,2,0),"")</f>
        <v/>
      </c>
      <c r="BF962" s="300" t="str">
        <f>_xlfn.IFNA(VLOOKUP($BD962,Programma!$F$3:$H$1107,3,0),"")</f>
        <v/>
      </c>
      <c r="BG962" s="300" t="str">
        <f>_xlfn.IFNA(VLOOKUP($BD962,Programma!$F$3:$I$1107,4,0),"")</f>
        <v/>
      </c>
      <c r="BH962" s="300" t="str">
        <f>_xlfn.IFNA(VLOOKUP($BD962,Programma!$F$3:$J$1107,5,0),"")</f>
        <v/>
      </c>
      <c r="BI962" s="300" t="str">
        <f>_xlfn.IFNA(VLOOKUP($BD962,Programma!$F$3:$K$1107,6,0),"")</f>
        <v/>
      </c>
      <c r="BJ962" s="300" t="str">
        <f>_xlfn.IFNA(VLOOKUP($BD962,Programma!$F$3:$L$1107,7,0),"")</f>
        <v/>
      </c>
      <c r="BK962" s="300" t="str">
        <f>_xlfn.IFNA(VLOOKUP($BD962,Programma!$F$3:$M$1107,8,0),"")</f>
        <v/>
      </c>
      <c r="BL962" s="300" t="str">
        <f>_xlfn.IFNA(VLOOKUP($BD962,Programma!$F$3:$N$1107,9,0),"")</f>
        <v/>
      </c>
      <c r="BM962" s="300" t="str">
        <f>_xlfn.IFNA(VLOOKUP($BD962,Programma!$F$3:$O$1107,10,0),"")</f>
        <v/>
      </c>
      <c r="BN962" s="300" t="str">
        <f>_xlfn.IFNA(VLOOKUP($BD962,Programma!$F$3:$P$1107,11,0),"")</f>
        <v/>
      </c>
      <c r="BO962" s="300" t="str">
        <f>_xlfn.IFNA(VLOOKUP($BD962,Programma!$F$3:$Q$1107,12,0),"")</f>
        <v/>
      </c>
      <c r="BP962" s="300" t="str">
        <f>_xlfn.IFNA(VLOOKUP($BD962,Programma!$F$3:$R$1107,13,0),"")</f>
        <v/>
      </c>
      <c r="BQ962" s="300" t="str">
        <f>_xlfn.IFNA(VLOOKUP($BD962,Programma!$F$3:$S$1107,14,0),"")</f>
        <v/>
      </c>
      <c r="BR962" s="300" t="str">
        <f>_xlfn.IFNA(VLOOKUP($BD962,Programma!$F$3:$T$1107,15,0),"")</f>
        <v/>
      </c>
      <c r="BS962" s="300" t="str">
        <f>_xlfn.IFNA(VLOOKUP($BD962,Programma!$F$3:$U$1107,16,0),"")</f>
        <v/>
      </c>
      <c r="BT962" s="300" t="str">
        <f>_xlfn.IFNA(VLOOKUP($BD962,Programma!$F$3:$V$1107,17,0),"")</f>
        <v/>
      </c>
      <c r="BU962" s="300" t="str">
        <f>_xlfn.IFNA(VLOOKUP($BD962,Programma!$F$3:$W$1107,18,0),"")</f>
        <v/>
      </c>
      <c r="BV962" s="300" t="str">
        <f>_xlfn.IFNA(VLOOKUP($BD962,Programma!$F$3:$X$1107,19,0),"")</f>
        <v/>
      </c>
      <c r="BW962" s="300" t="str">
        <f>_xlfn.IFNA(VLOOKUP($BD962,Programma!$F$3:$Y$1107,20,0),"")</f>
        <v/>
      </c>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c r="GK962" s="4"/>
      <c r="GL962" s="4"/>
      <c r="GM962" s="4"/>
      <c r="GN962" s="4"/>
      <c r="GO962" s="4"/>
      <c r="GP962" s="4"/>
      <c r="GQ962" s="4"/>
      <c r="GR962" s="4"/>
      <c r="GS962" s="4"/>
      <c r="GT962" s="4"/>
      <c r="GU962" s="4"/>
      <c r="GV962" s="4"/>
      <c r="GW962" s="4"/>
      <c r="GX962" s="4"/>
      <c r="GY962" s="4"/>
      <c r="GZ962" s="4"/>
      <c r="HA962" s="4"/>
      <c r="HB962" s="4"/>
      <c r="HC962" s="4"/>
      <c r="HD962" s="4"/>
      <c r="HE962" s="4"/>
      <c r="HF962" s="4"/>
      <c r="HG962" s="4"/>
      <c r="HH962" s="4"/>
      <c r="HI962" s="4"/>
      <c r="HJ962" s="4"/>
      <c r="HK962" s="4"/>
      <c r="HL962" s="4"/>
    </row>
    <row r="963" spans="1:220" ht="15" customHeight="1">
      <c r="A963" s="21">
        <v>10</v>
      </c>
      <c r="B963" s="157" t="str">
        <f>VLOOKUP(Ruimtestaat[[#This Row],[Code]],Locaties[[Code]:[Locatie]],2,FALSE)</f>
        <v>Veurs Voorburg vmbo</v>
      </c>
      <c r="C963" s="157" t="str">
        <f>VLOOKUP(Ruimtestaat[[#This Row],[Code]],Locaties[[#All],[Code]:[Adres]],4,FALSE)</f>
        <v>Delflandlaan 4</v>
      </c>
      <c r="D963" s="157" t="str">
        <f>VLOOKUP(Ruimtestaat[[#This Row],[Code]],Locaties[[#All],[Code]:[Postcode]],5,FALSE)</f>
        <v>2273 CS</v>
      </c>
      <c r="E963" s="157" t="str">
        <f>VLOOKUP(Ruimtestaat[[#This Row],[Code]],Locaties[#All],6,FALSE)</f>
        <v>Voorburg</v>
      </c>
      <c r="F963" s="62"/>
      <c r="G963" s="21" t="s">
        <v>1624</v>
      </c>
      <c r="H963" s="21" t="s">
        <v>1685</v>
      </c>
      <c r="I963" s="62" t="s">
        <v>2469</v>
      </c>
      <c r="J963" s="21">
        <v>6</v>
      </c>
      <c r="K963" s="62" t="str">
        <f>VLOOKUP(Ruimtestaat[[#This Row],[Ruimte code]],Ruimtegroepen[[#All],[Code]:[Ruimte omschrijving]],2,FALSE)</f>
        <v>Gangen/hallen</v>
      </c>
      <c r="L963" s="33" t="s">
        <v>101</v>
      </c>
      <c r="M963" s="367" t="s">
        <v>2506</v>
      </c>
      <c r="N963" s="140">
        <v>21.1</v>
      </c>
      <c r="O963" s="140"/>
      <c r="P963" s="125" t="str">
        <f>VLOOKUP(Ruimtestaat[[#This Row],[Ruimte code]],Ruimtegroepen[],4,FALSE)</f>
        <v>Ve</v>
      </c>
      <c r="R963" s="33">
        <v>40</v>
      </c>
      <c r="S963" s="33" t="s">
        <v>2</v>
      </c>
      <c r="T963" s="33">
        <f>IF(R963&gt;0,IF(RIGHT(Ruimtestaat[[#This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3" s="33">
        <f>IF(T963&gt;0,VLOOKUP($J963,Ruimtegroepen[],3,FALSE)*VLOOKUP($L963,Vloersoorten[],3,FALSE)*VLOOKUP($S963,Frequenties[],3,FALSE)*VLOOKUP($A963,Locaties[],3,FALSE),0)</f>
        <v>0</v>
      </c>
      <c r="V963" s="33">
        <f>Ruimtestaat[[#This Row],[Uitvoeringen werkdagen]]*Ruimtestaat[[#This Row],[Oppervlak (netto)]]</f>
        <v>4220</v>
      </c>
      <c r="W963" s="154">
        <f>IF(U963&gt;0,Ruimtestaat[[#This Row],[Prest. (m2 /jaar) werkdagen]]/Ruimtestaat[[#This Row],[Norm (m2/uur) werkdagen]],0)</f>
        <v>0</v>
      </c>
      <c r="X963" s="155">
        <f>Ruimtestaat[[#This Row],[uren / jaar werkdagen]]*Tariefsopbouw!$E$35</f>
        <v>0</v>
      </c>
      <c r="Y963" s="33"/>
      <c r="Z963" s="33">
        <f>IF(Ruimtestaat[[#This Row],[Frequentie weekend]]&gt;0,VALUE(LEFT(Y963,1))*R963,0)</f>
        <v>0</v>
      </c>
      <c r="AA963" s="97">
        <f>IF($Z963&gt;0,VLOOKUP($J963,Ruimtegroepen[],3,FALSE)*VLOOKUP($L963,Vloersoorten[],3,FALSE)*VLOOKUP($Y963,Frequenties[],3,FALSE)*VLOOKUP(Ruimtestaat[[#This Row],[Code]],Locaties[],3,FALSE),0)</f>
        <v>0</v>
      </c>
      <c r="AB963" s="97">
        <f>Ruimtestaat[[#This Row],[Uitvoeringen weekend]]*Ruimtestaat[[#This Row],[Oppervlak (netto)]]</f>
        <v>0</v>
      </c>
      <c r="AC963" s="97">
        <f>IF(AA963&gt;0,Ruimtestaat[[#This Row],[Prest. (m2 /jaar) weekend]]/Ruimtestaat[[#This Row],[Norm (m2/uur) weekend]],0)</f>
        <v>0</v>
      </c>
      <c r="AD963" s="155">
        <f>Ruimtestaat[[#This Row],[uren / jaar weekend]]*Tariefsopbouw!$D$40</f>
        <v>0</v>
      </c>
      <c r="AE963" s="154">
        <f>Ruimtestaat[[#This Row],[Prest. (m2 /jaar) weekend]]+Ruimtestaat[[#This Row],[Prest. (m2 /jaar) werkdagen]]</f>
        <v>4220</v>
      </c>
      <c r="AF963" s="154">
        <f>Ruimtestaat[[#This Row],[uren / jaar weekend]]+Ruimtestaat[[#This Row],[uren / jaar werkdagen]]</f>
        <v>0</v>
      </c>
      <c r="AG963" s="69">
        <f>Ruimtestaat[[#This Row],[kosten / jaar weekend]]+Ruimtestaat[[#This Row],[kosten / jaar werkdagen]]</f>
        <v>0</v>
      </c>
      <c r="AH963" s="69"/>
      <c r="AI963" s="256" t="str">
        <f>IF(Ruimtestaat[[#This Row],[Frequentie werkdagen]]="","",_xlfn.CONCAT(Ruimtestaat[[#This Row],[Ruimte code]],"-",Ruimtestaat[[#This Row],[Frequentie werkdagen]]," ",Ruimtestaat[[#This Row],[Vloer code]]))</f>
        <v>6-5w L</v>
      </c>
      <c r="AJ963" s="300" t="str">
        <f>_xlfn.IFNA(VLOOKUP($AI963,Programma!$F$3:$G$1107,2,0),"")</f>
        <v>_</v>
      </c>
      <c r="AK963" s="300" t="str">
        <f>_xlfn.IFNA(VLOOKUP($AI963,Programma!$F$3:$H$1107,3,0),"")</f>
        <v>_</v>
      </c>
      <c r="AL963" s="300" t="str">
        <f>_xlfn.IFNA(VLOOKUP($AI963,Programma!$F$3:$I$1107,4,0),"")</f>
        <v>_</v>
      </c>
      <c r="AM963" s="300" t="str">
        <f>_xlfn.IFNA(VLOOKUP($AI963,Programma!$F$3:$J$1107,5,0),"")</f>
        <v>5w</v>
      </c>
      <c r="AN963" s="300" t="str">
        <f>_xlfn.IFNA(VLOOKUP($AI963,Programma!$F$3:$K$1107,6,0),"")</f>
        <v>_</v>
      </c>
      <c r="AO963" s="300" t="str">
        <f>_xlfn.IFNA(VLOOKUP($AI963,Programma!$F$3:$L$1107,7,0),"")</f>
        <v>_</v>
      </c>
      <c r="AP963" s="300" t="str">
        <f>_xlfn.IFNA(VLOOKUP($AI963,Programma!$F$3:$M$1107,8,0),"")</f>
        <v>_</v>
      </c>
      <c r="AQ963" s="300" t="str">
        <f>_xlfn.IFNA(VLOOKUP($AI963,Programma!$F$3:$N$1107,9,0),"")</f>
        <v>_</v>
      </c>
      <c r="AR963" s="300" t="str">
        <f>_xlfn.IFNA(VLOOKUP($AI963,Programma!$F$3:$O$1107,10,0),"")</f>
        <v>5w</v>
      </c>
      <c r="AS963" s="300" t="str">
        <f>_xlfn.IFNA(VLOOKUP($AI963,Programma!$F$3:$P$1107,11,0),"")</f>
        <v>5w</v>
      </c>
      <c r="AT963" s="300" t="str">
        <f>_xlfn.IFNA(VLOOKUP($AI963,Programma!$F$3:$Q$1107,12,0),"")</f>
        <v>1w</v>
      </c>
      <c r="AU963" s="300" t="str">
        <f>_xlfn.IFNA(VLOOKUP($AI963,Programma!$F$3:$R$1107,13,0),"")</f>
        <v>1w</v>
      </c>
      <c r="AV963" s="300" t="str">
        <f>_xlfn.IFNA(VLOOKUP($AI963,Programma!$F$3:$S$1107,14,0),"")</f>
        <v>1m</v>
      </c>
      <c r="AW963" s="300" t="str">
        <f>_xlfn.IFNA(VLOOKUP($AI963,Programma!$F$3:$T$1107,15,0),"")</f>
        <v>2j</v>
      </c>
      <c r="AX963" s="300" t="str">
        <f>_xlfn.IFNA(VLOOKUP($AI963,Programma!$F$3:$U$1107,16,0),"")</f>
        <v>1j</v>
      </c>
      <c r="AY963" s="300" t="str">
        <f>_xlfn.IFNA(VLOOKUP($AI963,Programma!$F$3:$V$1107,17,0),"")</f>
        <v>_</v>
      </c>
      <c r="AZ963" s="300" t="str">
        <f>_xlfn.IFNA(VLOOKUP($AI963,Programma!$F$3:$W$1107,18,0),"")</f>
        <v>_</v>
      </c>
      <c r="BA963" s="300" t="str">
        <f>_xlfn.IFNA(VLOOKUP($AI963,Programma!$F$3:$X$1107,19,0),"")</f>
        <v>_</v>
      </c>
      <c r="BB963" s="300" t="str">
        <f>_xlfn.IFNA(VLOOKUP($AI963,Programma!$F$3:$Y$1107,20,0),"")</f>
        <v>_</v>
      </c>
      <c r="BC963" s="257"/>
      <c r="BD963" s="256" t="str">
        <f>IF(Ruimtestaat[[#This Row],[Frequentie weekend]]="","",_xlfn.CONCAT(Ruimtestaat[[#This Row],[Ruimte code]],"-",Ruimtestaat[[#This Row],[Frequentie weekend]]," ",Ruimtestaat[[#This Row],[Vloer code]]))</f>
        <v/>
      </c>
      <c r="BE963" s="300" t="str">
        <f>_xlfn.IFNA(VLOOKUP($BD963,Programma!$F$3:$G$1107,2,0),"")</f>
        <v/>
      </c>
      <c r="BF963" s="300" t="str">
        <f>_xlfn.IFNA(VLOOKUP($BD963,Programma!$F$3:$H$1107,3,0),"")</f>
        <v/>
      </c>
      <c r="BG963" s="300" t="str">
        <f>_xlfn.IFNA(VLOOKUP($BD963,Programma!$F$3:$I$1107,4,0),"")</f>
        <v/>
      </c>
      <c r="BH963" s="300" t="str">
        <f>_xlfn.IFNA(VLOOKUP($BD963,Programma!$F$3:$J$1107,5,0),"")</f>
        <v/>
      </c>
      <c r="BI963" s="300" t="str">
        <f>_xlfn.IFNA(VLOOKUP($BD963,Programma!$F$3:$K$1107,6,0),"")</f>
        <v/>
      </c>
      <c r="BJ963" s="300" t="str">
        <f>_xlfn.IFNA(VLOOKUP($BD963,Programma!$F$3:$L$1107,7,0),"")</f>
        <v/>
      </c>
      <c r="BK963" s="300" t="str">
        <f>_xlfn.IFNA(VLOOKUP($BD963,Programma!$F$3:$M$1107,8,0),"")</f>
        <v/>
      </c>
      <c r="BL963" s="300" t="str">
        <f>_xlfn.IFNA(VLOOKUP($BD963,Programma!$F$3:$N$1107,9,0),"")</f>
        <v/>
      </c>
      <c r="BM963" s="300" t="str">
        <f>_xlfn.IFNA(VLOOKUP($BD963,Programma!$F$3:$O$1107,10,0),"")</f>
        <v/>
      </c>
      <c r="BN963" s="300" t="str">
        <f>_xlfn.IFNA(VLOOKUP($BD963,Programma!$F$3:$P$1107,11,0),"")</f>
        <v/>
      </c>
      <c r="BO963" s="300" t="str">
        <f>_xlfn.IFNA(VLOOKUP($BD963,Programma!$F$3:$Q$1107,12,0),"")</f>
        <v/>
      </c>
      <c r="BP963" s="300" t="str">
        <f>_xlfn.IFNA(VLOOKUP($BD963,Programma!$F$3:$R$1107,13,0),"")</f>
        <v/>
      </c>
      <c r="BQ963" s="300" t="str">
        <f>_xlfn.IFNA(VLOOKUP($BD963,Programma!$F$3:$S$1107,14,0),"")</f>
        <v/>
      </c>
      <c r="BR963" s="300" t="str">
        <f>_xlfn.IFNA(VLOOKUP($BD963,Programma!$F$3:$T$1107,15,0),"")</f>
        <v/>
      </c>
      <c r="BS963" s="300" t="str">
        <f>_xlfn.IFNA(VLOOKUP($BD963,Programma!$F$3:$U$1107,16,0),"")</f>
        <v/>
      </c>
      <c r="BT963" s="300" t="str">
        <f>_xlfn.IFNA(VLOOKUP($BD963,Programma!$F$3:$V$1107,17,0),"")</f>
        <v/>
      </c>
      <c r="BU963" s="300" t="str">
        <f>_xlfn.IFNA(VLOOKUP($BD963,Programma!$F$3:$W$1107,18,0),"")</f>
        <v/>
      </c>
      <c r="BV963" s="300" t="str">
        <f>_xlfn.IFNA(VLOOKUP($BD963,Programma!$F$3:$X$1107,19,0),"")</f>
        <v/>
      </c>
      <c r="BW963" s="300" t="str">
        <f>_xlfn.IFNA(VLOOKUP($BD963,Programma!$F$3:$Y$1107,20,0),"")</f>
        <v/>
      </c>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c r="GK963" s="4"/>
      <c r="GL963" s="4"/>
      <c r="GM963" s="4"/>
      <c r="GN963" s="4"/>
      <c r="GO963" s="4"/>
      <c r="GP963" s="4"/>
      <c r="GQ963" s="4"/>
      <c r="GR963" s="4"/>
      <c r="GS963" s="4"/>
      <c r="GT963" s="4"/>
      <c r="GU963" s="4"/>
      <c r="GV963" s="4"/>
      <c r="GW963" s="4"/>
      <c r="GX963" s="4"/>
      <c r="GY963" s="4"/>
      <c r="GZ963" s="4"/>
      <c r="HA963" s="4"/>
      <c r="HB963" s="4"/>
      <c r="HC963" s="4"/>
      <c r="HD963" s="4"/>
      <c r="HE963" s="4"/>
      <c r="HF963" s="4"/>
      <c r="HG963" s="4"/>
      <c r="HH963" s="4"/>
      <c r="HI963" s="4"/>
      <c r="HJ963" s="4"/>
      <c r="HK963" s="4"/>
      <c r="HL963" s="4"/>
    </row>
    <row r="964" spans="1:220" ht="15" customHeight="1">
      <c r="A964" s="21">
        <v>10</v>
      </c>
      <c r="B964" s="157" t="str">
        <f>VLOOKUP(Ruimtestaat[[#This Row],[Code]],Locaties[[Code]:[Locatie]],2,FALSE)</f>
        <v>Veurs Voorburg vmbo</v>
      </c>
      <c r="C964" s="157" t="str">
        <f>VLOOKUP(Ruimtestaat[[#This Row],[Code]],Locaties[[#All],[Code]:[Adres]],4,FALSE)</f>
        <v>Delflandlaan 4</v>
      </c>
      <c r="D964" s="157" t="str">
        <f>VLOOKUP(Ruimtestaat[[#This Row],[Code]],Locaties[[#All],[Code]:[Postcode]],5,FALSE)</f>
        <v>2273 CS</v>
      </c>
      <c r="E964" s="157" t="str">
        <f>VLOOKUP(Ruimtestaat[[#This Row],[Code]],Locaties[#All],6,FALSE)</f>
        <v>Voorburg</v>
      </c>
      <c r="F964" s="62"/>
      <c r="G964" s="21" t="s">
        <v>1624</v>
      </c>
      <c r="H964" s="21" t="s">
        <v>1687</v>
      </c>
      <c r="I964" s="62" t="s">
        <v>2390</v>
      </c>
      <c r="J964" s="21">
        <v>5</v>
      </c>
      <c r="K964" s="62" t="str">
        <f>VLOOKUP(Ruimtestaat[[#This Row],[Ruimte code]],Ruimtegroepen[[#All],[Code]:[Ruimte omschrijving]],2,FALSE)</f>
        <v>Sanitair</v>
      </c>
      <c r="L964" s="33" t="s">
        <v>103</v>
      </c>
      <c r="M964" s="367" t="s">
        <v>2496</v>
      </c>
      <c r="N964" s="140">
        <v>4.3</v>
      </c>
      <c r="O964" s="140"/>
      <c r="P964" s="125" t="str">
        <f>VLOOKUP(Ruimtestaat[[#This Row],[Ruimte code]],Ruimtegroepen[],4,FALSE)</f>
        <v>Sa</v>
      </c>
      <c r="R964" s="33">
        <v>40</v>
      </c>
      <c r="S964" s="33" t="s">
        <v>2</v>
      </c>
      <c r="T964" s="33">
        <f>IF(R964&gt;0,IF(RIGHT(Ruimtestaat[[#This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4" s="33">
        <f>IF(T964&gt;0,VLOOKUP($J964,Ruimtegroepen[],3,FALSE)*VLOOKUP($L964,Vloersoorten[],3,FALSE)*VLOOKUP($S964,Frequenties[],3,FALSE)*VLOOKUP($A964,Locaties[],3,FALSE),0)</f>
        <v>0</v>
      </c>
      <c r="V964" s="33">
        <f>Ruimtestaat[[#This Row],[Uitvoeringen werkdagen]]*Ruimtestaat[[#This Row],[Oppervlak (netto)]]</f>
        <v>860</v>
      </c>
      <c r="W964" s="154">
        <f>IF(U964&gt;0,Ruimtestaat[[#This Row],[Prest. (m2 /jaar) werkdagen]]/Ruimtestaat[[#This Row],[Norm (m2/uur) werkdagen]],0)</f>
        <v>0</v>
      </c>
      <c r="X964" s="155">
        <f>Ruimtestaat[[#This Row],[uren / jaar werkdagen]]*Tariefsopbouw!$E$35</f>
        <v>0</v>
      </c>
      <c r="Y964" s="33"/>
      <c r="Z964" s="33">
        <f>IF(Ruimtestaat[[#This Row],[Frequentie weekend]]&gt;0,VALUE(LEFT(Y964,1))*R964,0)</f>
        <v>0</v>
      </c>
      <c r="AA964" s="97">
        <f>IF($Z964&gt;0,VLOOKUP($J964,Ruimtegroepen[],3,FALSE)*VLOOKUP($L964,Vloersoorten[],3,FALSE)*VLOOKUP($Y964,Frequenties[],3,FALSE)*VLOOKUP(Ruimtestaat[[#This Row],[Code]],Locaties[],3,FALSE),0)</f>
        <v>0</v>
      </c>
      <c r="AB964" s="97">
        <f>Ruimtestaat[[#This Row],[Uitvoeringen weekend]]*Ruimtestaat[[#This Row],[Oppervlak (netto)]]</f>
        <v>0</v>
      </c>
      <c r="AC964" s="97">
        <f>IF(AA964&gt;0,Ruimtestaat[[#This Row],[Prest. (m2 /jaar) weekend]]/Ruimtestaat[[#This Row],[Norm (m2/uur) weekend]],0)</f>
        <v>0</v>
      </c>
      <c r="AD964" s="155">
        <f>Ruimtestaat[[#This Row],[uren / jaar weekend]]*Tariefsopbouw!$D$40</f>
        <v>0</v>
      </c>
      <c r="AE964" s="154">
        <f>Ruimtestaat[[#This Row],[Prest. (m2 /jaar) weekend]]+Ruimtestaat[[#This Row],[Prest. (m2 /jaar) werkdagen]]</f>
        <v>860</v>
      </c>
      <c r="AF964" s="154">
        <f>Ruimtestaat[[#This Row],[uren / jaar weekend]]+Ruimtestaat[[#This Row],[uren / jaar werkdagen]]</f>
        <v>0</v>
      </c>
      <c r="AG964" s="69">
        <f>Ruimtestaat[[#This Row],[kosten / jaar weekend]]+Ruimtestaat[[#This Row],[kosten / jaar werkdagen]]</f>
        <v>0</v>
      </c>
      <c r="AH964" s="69"/>
      <c r="AI964" s="256" t="str">
        <f>IF(Ruimtestaat[[#This Row],[Frequentie werkdagen]]="","",_xlfn.CONCAT(Ruimtestaat[[#This Row],[Ruimte code]],"-",Ruimtestaat[[#This Row],[Frequentie werkdagen]]," ",Ruimtestaat[[#This Row],[Vloer code]]))</f>
        <v>5-5w P</v>
      </c>
      <c r="AJ964" s="300" t="str">
        <f>_xlfn.IFNA(VLOOKUP($AI964,Programma!$F$3:$G$1107,2,0),"")</f>
        <v>_</v>
      </c>
      <c r="AK964" s="300" t="str">
        <f>_xlfn.IFNA(VLOOKUP($AI964,Programma!$F$3:$H$1107,3,0),"")</f>
        <v>_</v>
      </c>
      <c r="AL964" s="300" t="str">
        <f>_xlfn.IFNA(VLOOKUP($AI964,Programma!$F$3:$I$1107,4,0),"")</f>
        <v>_</v>
      </c>
      <c r="AM964" s="300" t="str">
        <f>_xlfn.IFNA(VLOOKUP($AI964,Programma!$F$3:$J$1107,5,0),"")</f>
        <v>4w</v>
      </c>
      <c r="AN964" s="300" t="str">
        <f>_xlfn.IFNA(VLOOKUP($AI964,Programma!$F$3:$K$1107,6,0),"")</f>
        <v>1w</v>
      </c>
      <c r="AO964" s="300" t="str">
        <f>_xlfn.IFNA(VLOOKUP($AI964,Programma!$F$3:$L$1107,7,0),"")</f>
        <v>_</v>
      </c>
      <c r="AP964" s="300" t="str">
        <f>_xlfn.IFNA(VLOOKUP($AI964,Programma!$F$3:$M$1107,8,0),"")</f>
        <v>_</v>
      </c>
      <c r="AQ964" s="300" t="str">
        <f>_xlfn.IFNA(VLOOKUP($AI964,Programma!$F$3:$N$1107,9,0),"")</f>
        <v>_</v>
      </c>
      <c r="AR964" s="300" t="str">
        <f>_xlfn.IFNA(VLOOKUP($AI964,Programma!$F$3:$O$1107,10,0),"")</f>
        <v>_</v>
      </c>
      <c r="AS964" s="300" t="str">
        <f>_xlfn.IFNA(VLOOKUP($AI964,Programma!$F$3:$P$1107,11,0),"")</f>
        <v>_</v>
      </c>
      <c r="AT964" s="300" t="str">
        <f>_xlfn.IFNA(VLOOKUP($AI964,Programma!$F$3:$Q$1107,12,0),"")</f>
        <v>_</v>
      </c>
      <c r="AU964" s="300" t="str">
        <f>_xlfn.IFNA(VLOOKUP($AI964,Programma!$F$3:$R$1107,13,0),"")</f>
        <v>_</v>
      </c>
      <c r="AV964" s="300" t="str">
        <f>_xlfn.IFNA(VLOOKUP($AI964,Programma!$F$3:$S$1107,14,0),"")</f>
        <v>_</v>
      </c>
      <c r="AW964" s="300" t="str">
        <f>_xlfn.IFNA(VLOOKUP($AI964,Programma!$F$3:$T$1107,15,0),"")</f>
        <v>_</v>
      </c>
      <c r="AX964" s="300" t="str">
        <f>_xlfn.IFNA(VLOOKUP($AI964,Programma!$F$3:$U$1107,16,0),"")</f>
        <v>_</v>
      </c>
      <c r="AY964" s="300" t="str">
        <f>_xlfn.IFNA(VLOOKUP($AI964,Programma!$F$3:$V$1107,17,0),"")</f>
        <v>_</v>
      </c>
      <c r="AZ964" s="300" t="str">
        <f>_xlfn.IFNA(VLOOKUP($AI964,Programma!$F$3:$W$1107,18,0),"")</f>
        <v>4w</v>
      </c>
      <c r="BA964" s="300" t="str">
        <f>_xlfn.IFNA(VLOOKUP($AI964,Programma!$F$3:$X$1107,19,0),"")</f>
        <v>1w</v>
      </c>
      <c r="BB964" s="300" t="str">
        <f>_xlfn.IFNA(VLOOKUP($AI964,Programma!$F$3:$Y$1107,20,0),"")</f>
        <v>_</v>
      </c>
      <c r="BC964" s="257"/>
      <c r="BD964" s="256" t="str">
        <f>IF(Ruimtestaat[[#This Row],[Frequentie weekend]]="","",_xlfn.CONCAT(Ruimtestaat[[#This Row],[Ruimte code]],"-",Ruimtestaat[[#This Row],[Frequentie weekend]]," ",Ruimtestaat[[#This Row],[Vloer code]]))</f>
        <v/>
      </c>
      <c r="BE964" s="300" t="str">
        <f>_xlfn.IFNA(VLOOKUP($BD964,Programma!$F$3:$G$1107,2,0),"")</f>
        <v/>
      </c>
      <c r="BF964" s="300" t="str">
        <f>_xlfn.IFNA(VLOOKUP($BD964,Programma!$F$3:$H$1107,3,0),"")</f>
        <v/>
      </c>
      <c r="BG964" s="300" t="str">
        <f>_xlfn.IFNA(VLOOKUP($BD964,Programma!$F$3:$I$1107,4,0),"")</f>
        <v/>
      </c>
      <c r="BH964" s="300" t="str">
        <f>_xlfn.IFNA(VLOOKUP($BD964,Programma!$F$3:$J$1107,5,0),"")</f>
        <v/>
      </c>
      <c r="BI964" s="300" t="str">
        <f>_xlfn.IFNA(VLOOKUP($BD964,Programma!$F$3:$K$1107,6,0),"")</f>
        <v/>
      </c>
      <c r="BJ964" s="300" t="str">
        <f>_xlfn.IFNA(VLOOKUP($BD964,Programma!$F$3:$L$1107,7,0),"")</f>
        <v/>
      </c>
      <c r="BK964" s="300" t="str">
        <f>_xlfn.IFNA(VLOOKUP($BD964,Programma!$F$3:$M$1107,8,0),"")</f>
        <v/>
      </c>
      <c r="BL964" s="300" t="str">
        <f>_xlfn.IFNA(VLOOKUP($BD964,Programma!$F$3:$N$1107,9,0),"")</f>
        <v/>
      </c>
      <c r="BM964" s="300" t="str">
        <f>_xlfn.IFNA(VLOOKUP($BD964,Programma!$F$3:$O$1107,10,0),"")</f>
        <v/>
      </c>
      <c r="BN964" s="300" t="str">
        <f>_xlfn.IFNA(VLOOKUP($BD964,Programma!$F$3:$P$1107,11,0),"")</f>
        <v/>
      </c>
      <c r="BO964" s="300" t="str">
        <f>_xlfn.IFNA(VLOOKUP($BD964,Programma!$F$3:$Q$1107,12,0),"")</f>
        <v/>
      </c>
      <c r="BP964" s="300" t="str">
        <f>_xlfn.IFNA(VLOOKUP($BD964,Programma!$F$3:$R$1107,13,0),"")</f>
        <v/>
      </c>
      <c r="BQ964" s="300" t="str">
        <f>_xlfn.IFNA(VLOOKUP($BD964,Programma!$F$3:$S$1107,14,0),"")</f>
        <v/>
      </c>
      <c r="BR964" s="300" t="str">
        <f>_xlfn.IFNA(VLOOKUP($BD964,Programma!$F$3:$T$1107,15,0),"")</f>
        <v/>
      </c>
      <c r="BS964" s="300" t="str">
        <f>_xlfn.IFNA(VLOOKUP($BD964,Programma!$F$3:$U$1107,16,0),"")</f>
        <v/>
      </c>
      <c r="BT964" s="300" t="str">
        <f>_xlfn.IFNA(VLOOKUP($BD964,Programma!$F$3:$V$1107,17,0),"")</f>
        <v/>
      </c>
      <c r="BU964" s="300" t="str">
        <f>_xlfn.IFNA(VLOOKUP($BD964,Programma!$F$3:$W$1107,18,0),"")</f>
        <v/>
      </c>
      <c r="BV964" s="300" t="str">
        <f>_xlfn.IFNA(VLOOKUP($BD964,Programma!$F$3:$X$1107,19,0),"")</f>
        <v/>
      </c>
      <c r="BW964" s="300" t="str">
        <f>_xlfn.IFNA(VLOOKUP($BD964,Programma!$F$3:$Y$1107,20,0),"")</f>
        <v/>
      </c>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c r="GK964" s="4"/>
      <c r="GL964" s="4"/>
      <c r="GM964" s="4"/>
      <c r="GN964" s="4"/>
      <c r="GO964" s="4"/>
      <c r="GP964" s="4"/>
      <c r="GQ964" s="4"/>
      <c r="GR964" s="4"/>
      <c r="GS964" s="4"/>
      <c r="GT964" s="4"/>
      <c r="GU964" s="4"/>
      <c r="GV964" s="4"/>
      <c r="GW964" s="4"/>
      <c r="GX964" s="4"/>
      <c r="GY964" s="4"/>
      <c r="GZ964" s="4"/>
      <c r="HA964" s="4"/>
      <c r="HB964" s="4"/>
      <c r="HC964" s="4"/>
      <c r="HD964" s="4"/>
      <c r="HE964" s="4"/>
      <c r="HF964" s="4"/>
      <c r="HG964" s="4"/>
      <c r="HH964" s="4"/>
      <c r="HI964" s="4"/>
      <c r="HJ964" s="4"/>
      <c r="HK964" s="4"/>
      <c r="HL964" s="4"/>
    </row>
    <row r="965" spans="1:220" ht="15" customHeight="1">
      <c r="A965" s="21">
        <v>10</v>
      </c>
      <c r="B965" s="157" t="str">
        <f>VLOOKUP(Ruimtestaat[[#This Row],[Code]],Locaties[[Code]:[Locatie]],2,FALSE)</f>
        <v>Veurs Voorburg vmbo</v>
      </c>
      <c r="C965" s="157" t="str">
        <f>VLOOKUP(Ruimtestaat[[#This Row],[Code]],Locaties[[#All],[Code]:[Adres]],4,FALSE)</f>
        <v>Delflandlaan 4</v>
      </c>
      <c r="D965" s="157" t="str">
        <f>VLOOKUP(Ruimtestaat[[#This Row],[Code]],Locaties[[#All],[Code]:[Postcode]],5,FALSE)</f>
        <v>2273 CS</v>
      </c>
      <c r="E965" s="157" t="str">
        <f>VLOOKUP(Ruimtestaat[[#This Row],[Code]],Locaties[#All],6,FALSE)</f>
        <v>Voorburg</v>
      </c>
      <c r="F965" s="62"/>
      <c r="G965" s="21" t="s">
        <v>1624</v>
      </c>
      <c r="H965" s="21" t="s">
        <v>1689</v>
      </c>
      <c r="I965" s="62" t="s">
        <v>1627</v>
      </c>
      <c r="J965" s="21">
        <v>5</v>
      </c>
      <c r="K965" s="62" t="str">
        <f>VLOOKUP(Ruimtestaat[[#This Row],[Ruimte code]],Ruimtegroepen[[#All],[Code]:[Ruimte omschrijving]],2,FALSE)</f>
        <v>Sanitair</v>
      </c>
      <c r="L965" s="33" t="s">
        <v>103</v>
      </c>
      <c r="M965" s="367" t="s">
        <v>2496</v>
      </c>
      <c r="N965" s="140">
        <v>4</v>
      </c>
      <c r="O965" s="140"/>
      <c r="P965" s="125" t="str">
        <f>VLOOKUP(Ruimtestaat[[#This Row],[Ruimte code]],Ruimtegroepen[],4,FALSE)</f>
        <v>Sa</v>
      </c>
      <c r="R965" s="33">
        <v>40</v>
      </c>
      <c r="S965" s="33" t="s">
        <v>2</v>
      </c>
      <c r="T965" s="33">
        <f>IF(R965&gt;0,IF(RIGHT(Ruimtestaat[[#This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5" s="33">
        <f>IF(T965&gt;0,VLOOKUP($J965,Ruimtegroepen[],3,FALSE)*VLOOKUP($L965,Vloersoorten[],3,FALSE)*VLOOKUP($S965,Frequenties[],3,FALSE)*VLOOKUP($A965,Locaties[],3,FALSE),0)</f>
        <v>0</v>
      </c>
      <c r="V965" s="33">
        <f>Ruimtestaat[[#This Row],[Uitvoeringen werkdagen]]*Ruimtestaat[[#This Row],[Oppervlak (netto)]]</f>
        <v>800</v>
      </c>
      <c r="W965" s="154">
        <f>IF(U965&gt;0,Ruimtestaat[[#This Row],[Prest. (m2 /jaar) werkdagen]]/Ruimtestaat[[#This Row],[Norm (m2/uur) werkdagen]],0)</f>
        <v>0</v>
      </c>
      <c r="X965" s="155">
        <f>Ruimtestaat[[#This Row],[uren / jaar werkdagen]]*Tariefsopbouw!$E$35</f>
        <v>0</v>
      </c>
      <c r="Y965" s="33"/>
      <c r="Z965" s="33">
        <f>IF(Ruimtestaat[[#This Row],[Frequentie weekend]]&gt;0,VALUE(LEFT(Y965,1))*R965,0)</f>
        <v>0</v>
      </c>
      <c r="AA965" s="97">
        <f>IF($Z965&gt;0,VLOOKUP($J965,Ruimtegroepen[],3,FALSE)*VLOOKUP($L965,Vloersoorten[],3,FALSE)*VLOOKUP($Y965,Frequenties[],3,FALSE)*VLOOKUP(Ruimtestaat[[#This Row],[Code]],Locaties[],3,FALSE),0)</f>
        <v>0</v>
      </c>
      <c r="AB965" s="97">
        <f>Ruimtestaat[[#This Row],[Uitvoeringen weekend]]*Ruimtestaat[[#This Row],[Oppervlak (netto)]]</f>
        <v>0</v>
      </c>
      <c r="AC965" s="97">
        <f>IF(AA965&gt;0,Ruimtestaat[[#This Row],[Prest. (m2 /jaar) weekend]]/Ruimtestaat[[#This Row],[Norm (m2/uur) weekend]],0)</f>
        <v>0</v>
      </c>
      <c r="AD965" s="155">
        <f>Ruimtestaat[[#This Row],[uren / jaar weekend]]*Tariefsopbouw!$D$40</f>
        <v>0</v>
      </c>
      <c r="AE965" s="154">
        <f>Ruimtestaat[[#This Row],[Prest. (m2 /jaar) weekend]]+Ruimtestaat[[#This Row],[Prest. (m2 /jaar) werkdagen]]</f>
        <v>800</v>
      </c>
      <c r="AF965" s="154">
        <f>Ruimtestaat[[#This Row],[uren / jaar weekend]]+Ruimtestaat[[#This Row],[uren / jaar werkdagen]]</f>
        <v>0</v>
      </c>
      <c r="AG965" s="69">
        <f>Ruimtestaat[[#This Row],[kosten / jaar weekend]]+Ruimtestaat[[#This Row],[kosten / jaar werkdagen]]</f>
        <v>0</v>
      </c>
      <c r="AH965" s="69"/>
      <c r="AI965" s="256" t="str">
        <f>IF(Ruimtestaat[[#This Row],[Frequentie werkdagen]]="","",_xlfn.CONCAT(Ruimtestaat[[#This Row],[Ruimte code]],"-",Ruimtestaat[[#This Row],[Frequentie werkdagen]]," ",Ruimtestaat[[#This Row],[Vloer code]]))</f>
        <v>5-5w P</v>
      </c>
      <c r="AJ965" s="300" t="str">
        <f>_xlfn.IFNA(VLOOKUP($AI965,Programma!$F$3:$G$1107,2,0),"")</f>
        <v>_</v>
      </c>
      <c r="AK965" s="300" t="str">
        <f>_xlfn.IFNA(VLOOKUP($AI965,Programma!$F$3:$H$1107,3,0),"")</f>
        <v>_</v>
      </c>
      <c r="AL965" s="300" t="str">
        <f>_xlfn.IFNA(VLOOKUP($AI965,Programma!$F$3:$I$1107,4,0),"")</f>
        <v>_</v>
      </c>
      <c r="AM965" s="300" t="str">
        <f>_xlfn.IFNA(VLOOKUP($AI965,Programma!$F$3:$J$1107,5,0),"")</f>
        <v>4w</v>
      </c>
      <c r="AN965" s="300" t="str">
        <f>_xlfn.IFNA(VLOOKUP($AI965,Programma!$F$3:$K$1107,6,0),"")</f>
        <v>1w</v>
      </c>
      <c r="AO965" s="300" t="str">
        <f>_xlfn.IFNA(VLOOKUP($AI965,Programma!$F$3:$L$1107,7,0),"")</f>
        <v>_</v>
      </c>
      <c r="AP965" s="300" t="str">
        <f>_xlfn.IFNA(VLOOKUP($AI965,Programma!$F$3:$M$1107,8,0),"")</f>
        <v>_</v>
      </c>
      <c r="AQ965" s="300" t="str">
        <f>_xlfn.IFNA(VLOOKUP($AI965,Programma!$F$3:$N$1107,9,0),"")</f>
        <v>_</v>
      </c>
      <c r="AR965" s="300" t="str">
        <f>_xlfn.IFNA(VLOOKUP($AI965,Programma!$F$3:$O$1107,10,0),"")</f>
        <v>_</v>
      </c>
      <c r="AS965" s="300" t="str">
        <f>_xlfn.IFNA(VLOOKUP($AI965,Programma!$F$3:$P$1107,11,0),"")</f>
        <v>_</v>
      </c>
      <c r="AT965" s="300" t="str">
        <f>_xlfn.IFNA(VLOOKUP($AI965,Programma!$F$3:$Q$1107,12,0),"")</f>
        <v>_</v>
      </c>
      <c r="AU965" s="300" t="str">
        <f>_xlfn.IFNA(VLOOKUP($AI965,Programma!$F$3:$R$1107,13,0),"")</f>
        <v>_</v>
      </c>
      <c r="AV965" s="300" t="str">
        <f>_xlfn.IFNA(VLOOKUP($AI965,Programma!$F$3:$S$1107,14,0),"")</f>
        <v>_</v>
      </c>
      <c r="AW965" s="300" t="str">
        <f>_xlfn.IFNA(VLOOKUP($AI965,Programma!$F$3:$T$1107,15,0),"")</f>
        <v>_</v>
      </c>
      <c r="AX965" s="300" t="str">
        <f>_xlfn.IFNA(VLOOKUP($AI965,Programma!$F$3:$U$1107,16,0),"")</f>
        <v>_</v>
      </c>
      <c r="AY965" s="300" t="str">
        <f>_xlfn.IFNA(VLOOKUP($AI965,Programma!$F$3:$V$1107,17,0),"")</f>
        <v>_</v>
      </c>
      <c r="AZ965" s="300" t="str">
        <f>_xlfn.IFNA(VLOOKUP($AI965,Programma!$F$3:$W$1107,18,0),"")</f>
        <v>4w</v>
      </c>
      <c r="BA965" s="300" t="str">
        <f>_xlfn.IFNA(VLOOKUP($AI965,Programma!$F$3:$X$1107,19,0),"")</f>
        <v>1w</v>
      </c>
      <c r="BB965" s="300" t="str">
        <f>_xlfn.IFNA(VLOOKUP($AI965,Programma!$F$3:$Y$1107,20,0),"")</f>
        <v>_</v>
      </c>
      <c r="BC965" s="257"/>
      <c r="BD965" s="256" t="str">
        <f>IF(Ruimtestaat[[#This Row],[Frequentie weekend]]="","",_xlfn.CONCAT(Ruimtestaat[[#This Row],[Ruimte code]],"-",Ruimtestaat[[#This Row],[Frequentie weekend]]," ",Ruimtestaat[[#This Row],[Vloer code]]))</f>
        <v/>
      </c>
      <c r="BE965" s="300" t="str">
        <f>_xlfn.IFNA(VLOOKUP($BD965,Programma!$F$3:$G$1107,2,0),"")</f>
        <v/>
      </c>
      <c r="BF965" s="300" t="str">
        <f>_xlfn.IFNA(VLOOKUP($BD965,Programma!$F$3:$H$1107,3,0),"")</f>
        <v/>
      </c>
      <c r="BG965" s="300" t="str">
        <f>_xlfn.IFNA(VLOOKUP($BD965,Programma!$F$3:$I$1107,4,0),"")</f>
        <v/>
      </c>
      <c r="BH965" s="300" t="str">
        <f>_xlfn.IFNA(VLOOKUP($BD965,Programma!$F$3:$J$1107,5,0),"")</f>
        <v/>
      </c>
      <c r="BI965" s="300" t="str">
        <f>_xlfn.IFNA(VLOOKUP($BD965,Programma!$F$3:$K$1107,6,0),"")</f>
        <v/>
      </c>
      <c r="BJ965" s="300" t="str">
        <f>_xlfn.IFNA(VLOOKUP($BD965,Programma!$F$3:$L$1107,7,0),"")</f>
        <v/>
      </c>
      <c r="BK965" s="300" t="str">
        <f>_xlfn.IFNA(VLOOKUP($BD965,Programma!$F$3:$M$1107,8,0),"")</f>
        <v/>
      </c>
      <c r="BL965" s="300" t="str">
        <f>_xlfn.IFNA(VLOOKUP($BD965,Programma!$F$3:$N$1107,9,0),"")</f>
        <v/>
      </c>
      <c r="BM965" s="300" t="str">
        <f>_xlfn.IFNA(VLOOKUP($BD965,Programma!$F$3:$O$1107,10,0),"")</f>
        <v/>
      </c>
      <c r="BN965" s="300" t="str">
        <f>_xlfn.IFNA(VLOOKUP($BD965,Programma!$F$3:$P$1107,11,0),"")</f>
        <v/>
      </c>
      <c r="BO965" s="300" t="str">
        <f>_xlfn.IFNA(VLOOKUP($BD965,Programma!$F$3:$Q$1107,12,0),"")</f>
        <v/>
      </c>
      <c r="BP965" s="300" t="str">
        <f>_xlfn.IFNA(VLOOKUP($BD965,Programma!$F$3:$R$1107,13,0),"")</f>
        <v/>
      </c>
      <c r="BQ965" s="300" t="str">
        <f>_xlfn.IFNA(VLOOKUP($BD965,Programma!$F$3:$S$1107,14,0),"")</f>
        <v/>
      </c>
      <c r="BR965" s="300" t="str">
        <f>_xlfn.IFNA(VLOOKUP($BD965,Programma!$F$3:$T$1107,15,0),"")</f>
        <v/>
      </c>
      <c r="BS965" s="300" t="str">
        <f>_xlfn.IFNA(VLOOKUP($BD965,Programma!$F$3:$U$1107,16,0),"")</f>
        <v/>
      </c>
      <c r="BT965" s="300" t="str">
        <f>_xlfn.IFNA(VLOOKUP($BD965,Programma!$F$3:$V$1107,17,0),"")</f>
        <v/>
      </c>
      <c r="BU965" s="300" t="str">
        <f>_xlfn.IFNA(VLOOKUP($BD965,Programma!$F$3:$W$1107,18,0),"")</f>
        <v/>
      </c>
      <c r="BV965" s="300" t="str">
        <f>_xlfn.IFNA(VLOOKUP($BD965,Programma!$F$3:$X$1107,19,0),"")</f>
        <v/>
      </c>
      <c r="BW965" s="300" t="str">
        <f>_xlfn.IFNA(VLOOKUP($BD965,Programma!$F$3:$Y$1107,20,0),"")</f>
        <v/>
      </c>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c r="GK965" s="4"/>
      <c r="GL965" s="4"/>
      <c r="GM965" s="4"/>
      <c r="GN965" s="4"/>
      <c r="GO965" s="4"/>
      <c r="GP965" s="4"/>
      <c r="GQ965" s="4"/>
      <c r="GR965" s="4"/>
      <c r="GS965" s="4"/>
      <c r="GT965" s="4"/>
      <c r="GU965" s="4"/>
      <c r="GV965" s="4"/>
      <c r="GW965" s="4"/>
      <c r="GX965" s="4"/>
      <c r="GY965" s="4"/>
      <c r="GZ965" s="4"/>
      <c r="HA965" s="4"/>
      <c r="HB965" s="4"/>
      <c r="HC965" s="4"/>
      <c r="HD965" s="4"/>
      <c r="HE965" s="4"/>
      <c r="HF965" s="4"/>
      <c r="HG965" s="4"/>
      <c r="HH965" s="4"/>
      <c r="HI965" s="4"/>
      <c r="HJ965" s="4"/>
      <c r="HK965" s="4"/>
      <c r="HL965" s="4"/>
    </row>
    <row r="966" spans="1:220" ht="15" customHeight="1">
      <c r="A966" s="21">
        <v>10</v>
      </c>
      <c r="B966" s="157" t="str">
        <f>VLOOKUP(Ruimtestaat[[#This Row],[Code]],Locaties[[Code]:[Locatie]],2,FALSE)</f>
        <v>Veurs Voorburg vmbo</v>
      </c>
      <c r="C966" s="157" t="str">
        <f>VLOOKUP(Ruimtestaat[[#This Row],[Code]],Locaties[[#All],[Code]:[Adres]],4,FALSE)</f>
        <v>Delflandlaan 4</v>
      </c>
      <c r="D966" s="157" t="str">
        <f>VLOOKUP(Ruimtestaat[[#This Row],[Code]],Locaties[[#All],[Code]:[Postcode]],5,FALSE)</f>
        <v>2273 CS</v>
      </c>
      <c r="E966" s="157" t="str">
        <f>VLOOKUP(Ruimtestaat[[#This Row],[Code]],Locaties[#All],6,FALSE)</f>
        <v>Voorburg</v>
      </c>
      <c r="F966" s="62"/>
      <c r="G966" s="21" t="s">
        <v>1624</v>
      </c>
      <c r="H966" s="21" t="s">
        <v>1691</v>
      </c>
      <c r="I966" s="62" t="s">
        <v>2200</v>
      </c>
      <c r="J966" s="21">
        <v>19</v>
      </c>
      <c r="K966" s="62" t="str">
        <f>VLOOKUP(Ruimtestaat[[#This Row],[Ruimte code]],Ruimtegroepen[[#All],[Code]:[Ruimte omschrijving]],2,FALSE)</f>
        <v>kleedruimten</v>
      </c>
      <c r="L966" s="33" t="s">
        <v>102</v>
      </c>
      <c r="M966" s="367" t="s">
        <v>2529</v>
      </c>
      <c r="N966" s="140">
        <v>21.6</v>
      </c>
      <c r="O966" s="140"/>
      <c r="P966" s="125" t="str">
        <f>VLOOKUP(Ruimtestaat[[#This Row],[Ruimte code]],Ruimtegroepen[],4,FALSE)</f>
        <v>Ve</v>
      </c>
      <c r="R966" s="33">
        <v>40</v>
      </c>
      <c r="S966" s="33" t="s">
        <v>2</v>
      </c>
      <c r="T966" s="33">
        <f>IF(R966&gt;0,IF(RIGHT(Ruimtestaat[[#This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6" s="33">
        <f>IF(T966&gt;0,VLOOKUP($J966,Ruimtegroepen[],3,FALSE)*VLOOKUP($L966,Vloersoorten[],3,FALSE)*VLOOKUP($S966,Frequenties[],3,FALSE)*VLOOKUP($A966,Locaties[],3,FALSE),0)</f>
        <v>0</v>
      </c>
      <c r="V966" s="33">
        <f>Ruimtestaat[[#This Row],[Uitvoeringen werkdagen]]*Ruimtestaat[[#This Row],[Oppervlak (netto)]]</f>
        <v>4320</v>
      </c>
      <c r="W966" s="154">
        <f>IF(U966&gt;0,Ruimtestaat[[#This Row],[Prest. (m2 /jaar) werkdagen]]/Ruimtestaat[[#This Row],[Norm (m2/uur) werkdagen]],0)</f>
        <v>0</v>
      </c>
      <c r="X966" s="155">
        <f>Ruimtestaat[[#This Row],[uren / jaar werkdagen]]*Tariefsopbouw!$E$35</f>
        <v>0</v>
      </c>
      <c r="Y966" s="33"/>
      <c r="Z966" s="33">
        <f>IF(Ruimtestaat[[#This Row],[Frequentie weekend]]&gt;0,VALUE(LEFT(Y966,1))*R966,0)</f>
        <v>0</v>
      </c>
      <c r="AA966" s="97">
        <f>IF($Z966&gt;0,VLOOKUP($J966,Ruimtegroepen[],3,FALSE)*VLOOKUP($L966,Vloersoorten[],3,FALSE)*VLOOKUP($Y966,Frequenties[],3,FALSE)*VLOOKUP(Ruimtestaat[[#This Row],[Code]],Locaties[],3,FALSE),0)</f>
        <v>0</v>
      </c>
      <c r="AB966" s="97">
        <f>Ruimtestaat[[#This Row],[Uitvoeringen weekend]]*Ruimtestaat[[#This Row],[Oppervlak (netto)]]</f>
        <v>0</v>
      </c>
      <c r="AC966" s="97">
        <f>IF(AA966&gt;0,Ruimtestaat[[#This Row],[Prest. (m2 /jaar) weekend]]/Ruimtestaat[[#This Row],[Norm (m2/uur) weekend]],0)</f>
        <v>0</v>
      </c>
      <c r="AD966" s="155">
        <f>Ruimtestaat[[#This Row],[uren / jaar weekend]]*Tariefsopbouw!$D$40</f>
        <v>0</v>
      </c>
      <c r="AE966" s="154">
        <f>Ruimtestaat[[#This Row],[Prest. (m2 /jaar) weekend]]+Ruimtestaat[[#This Row],[Prest. (m2 /jaar) werkdagen]]</f>
        <v>4320</v>
      </c>
      <c r="AF966" s="154">
        <f>Ruimtestaat[[#This Row],[uren / jaar weekend]]+Ruimtestaat[[#This Row],[uren / jaar werkdagen]]</f>
        <v>0</v>
      </c>
      <c r="AG966" s="69">
        <f>Ruimtestaat[[#This Row],[kosten / jaar weekend]]+Ruimtestaat[[#This Row],[kosten / jaar werkdagen]]</f>
        <v>0</v>
      </c>
      <c r="AH966" s="69"/>
      <c r="AI966" s="256" t="str">
        <f>IF(Ruimtestaat[[#This Row],[Frequentie werkdagen]]="","",_xlfn.CONCAT(Ruimtestaat[[#This Row],[Ruimte code]],"-",Ruimtestaat[[#This Row],[Frequentie werkdagen]]," ",Ruimtestaat[[#This Row],[Vloer code]]))</f>
        <v>19-5w S</v>
      </c>
      <c r="AJ966" s="300" t="str">
        <f>_xlfn.IFNA(VLOOKUP($AI966,Programma!$F$3:$G$1107,2,0),"")</f>
        <v>_</v>
      </c>
      <c r="AK966" s="300" t="str">
        <f>_xlfn.IFNA(VLOOKUP($AI966,Programma!$F$3:$H$1107,3,0),"")</f>
        <v>_</v>
      </c>
      <c r="AL966" s="300" t="str">
        <f>_xlfn.IFNA(VLOOKUP($AI966,Programma!$F$3:$I$1107,4,0),"")</f>
        <v>5w</v>
      </c>
      <c r="AM966" s="300" t="str">
        <f>_xlfn.IFNA(VLOOKUP($AI966,Programma!$F$3:$J$1107,5,0),"")</f>
        <v>_</v>
      </c>
      <c r="AN966" s="300" t="str">
        <f>_xlfn.IFNA(VLOOKUP($AI966,Programma!$F$3:$K$1107,6,0),"")</f>
        <v>5w</v>
      </c>
      <c r="AO966" s="300" t="str">
        <f>_xlfn.IFNA(VLOOKUP($AI966,Programma!$F$3:$L$1107,7,0),"")</f>
        <v>_</v>
      </c>
      <c r="AP966" s="300" t="str">
        <f>_xlfn.IFNA(VLOOKUP($AI966,Programma!$F$3:$M$1107,8,0),"")</f>
        <v>_</v>
      </c>
      <c r="AQ966" s="300" t="str">
        <f>_xlfn.IFNA(VLOOKUP($AI966,Programma!$F$3:$N$1107,9,0),"")</f>
        <v>_</v>
      </c>
      <c r="AR966" s="300" t="str">
        <f>_xlfn.IFNA(VLOOKUP($AI966,Programma!$F$3:$O$1107,10,0),"")</f>
        <v>5w</v>
      </c>
      <c r="AS966" s="300" t="str">
        <f>_xlfn.IFNA(VLOOKUP($AI966,Programma!$F$3:$P$1107,11,0),"")</f>
        <v>5w</v>
      </c>
      <c r="AT966" s="300" t="str">
        <f>_xlfn.IFNA(VLOOKUP($AI966,Programma!$F$3:$Q$1107,12,0),"")</f>
        <v>1w</v>
      </c>
      <c r="AU966" s="300" t="str">
        <f>_xlfn.IFNA(VLOOKUP($AI966,Programma!$F$3:$R$1107,13,0),"")</f>
        <v>1w</v>
      </c>
      <c r="AV966" s="300" t="str">
        <f>_xlfn.IFNA(VLOOKUP($AI966,Programma!$F$3:$S$1107,14,0),"")</f>
        <v>1m</v>
      </c>
      <c r="AW966" s="300" t="str">
        <f>_xlfn.IFNA(VLOOKUP($AI966,Programma!$F$3:$T$1107,15,0),"")</f>
        <v>2j</v>
      </c>
      <c r="AX966" s="300" t="str">
        <f>_xlfn.IFNA(VLOOKUP($AI966,Programma!$F$3:$U$1107,16,0),"")</f>
        <v>1j</v>
      </c>
      <c r="AY966" s="300" t="str">
        <f>_xlfn.IFNA(VLOOKUP($AI966,Programma!$F$3:$V$1107,17,0),"")</f>
        <v>_</v>
      </c>
      <c r="AZ966" s="300" t="str">
        <f>_xlfn.IFNA(VLOOKUP($AI966,Programma!$F$3:$W$1107,18,0),"")</f>
        <v>_</v>
      </c>
      <c r="BA966" s="300" t="str">
        <f>_xlfn.IFNA(VLOOKUP($AI966,Programma!$F$3:$X$1107,19,0),"")</f>
        <v>_</v>
      </c>
      <c r="BB966" s="300" t="str">
        <f>_xlfn.IFNA(VLOOKUP($AI966,Programma!$F$3:$Y$1107,20,0),"")</f>
        <v>_</v>
      </c>
      <c r="BC966" s="257"/>
      <c r="BD966" s="256" t="str">
        <f>IF(Ruimtestaat[[#This Row],[Frequentie weekend]]="","",_xlfn.CONCAT(Ruimtestaat[[#This Row],[Ruimte code]],"-",Ruimtestaat[[#This Row],[Frequentie weekend]]," ",Ruimtestaat[[#This Row],[Vloer code]]))</f>
        <v/>
      </c>
      <c r="BE966" s="300" t="str">
        <f>_xlfn.IFNA(VLOOKUP($BD966,Programma!$F$3:$G$1107,2,0),"")</f>
        <v/>
      </c>
      <c r="BF966" s="300" t="str">
        <f>_xlfn.IFNA(VLOOKUP($BD966,Programma!$F$3:$H$1107,3,0),"")</f>
        <v/>
      </c>
      <c r="BG966" s="300" t="str">
        <f>_xlfn.IFNA(VLOOKUP($BD966,Programma!$F$3:$I$1107,4,0),"")</f>
        <v/>
      </c>
      <c r="BH966" s="300" t="str">
        <f>_xlfn.IFNA(VLOOKUP($BD966,Programma!$F$3:$J$1107,5,0),"")</f>
        <v/>
      </c>
      <c r="BI966" s="300" t="str">
        <f>_xlfn.IFNA(VLOOKUP($BD966,Programma!$F$3:$K$1107,6,0),"")</f>
        <v/>
      </c>
      <c r="BJ966" s="300" t="str">
        <f>_xlfn.IFNA(VLOOKUP($BD966,Programma!$F$3:$L$1107,7,0),"")</f>
        <v/>
      </c>
      <c r="BK966" s="300" t="str">
        <f>_xlfn.IFNA(VLOOKUP($BD966,Programma!$F$3:$M$1107,8,0),"")</f>
        <v/>
      </c>
      <c r="BL966" s="300" t="str">
        <f>_xlfn.IFNA(VLOOKUP($BD966,Programma!$F$3:$N$1107,9,0),"")</f>
        <v/>
      </c>
      <c r="BM966" s="300" t="str">
        <f>_xlfn.IFNA(VLOOKUP($BD966,Programma!$F$3:$O$1107,10,0),"")</f>
        <v/>
      </c>
      <c r="BN966" s="300" t="str">
        <f>_xlfn.IFNA(VLOOKUP($BD966,Programma!$F$3:$P$1107,11,0),"")</f>
        <v/>
      </c>
      <c r="BO966" s="300" t="str">
        <f>_xlfn.IFNA(VLOOKUP($BD966,Programma!$F$3:$Q$1107,12,0),"")</f>
        <v/>
      </c>
      <c r="BP966" s="300" t="str">
        <f>_xlfn.IFNA(VLOOKUP($BD966,Programma!$F$3:$R$1107,13,0),"")</f>
        <v/>
      </c>
      <c r="BQ966" s="300" t="str">
        <f>_xlfn.IFNA(VLOOKUP($BD966,Programma!$F$3:$S$1107,14,0),"")</f>
        <v/>
      </c>
      <c r="BR966" s="300" t="str">
        <f>_xlfn.IFNA(VLOOKUP($BD966,Programma!$F$3:$T$1107,15,0),"")</f>
        <v/>
      </c>
      <c r="BS966" s="300" t="str">
        <f>_xlfn.IFNA(VLOOKUP($BD966,Programma!$F$3:$U$1107,16,0),"")</f>
        <v/>
      </c>
      <c r="BT966" s="300" t="str">
        <f>_xlfn.IFNA(VLOOKUP($BD966,Programma!$F$3:$V$1107,17,0),"")</f>
        <v/>
      </c>
      <c r="BU966" s="300" t="str">
        <f>_xlfn.IFNA(VLOOKUP($BD966,Programma!$F$3:$W$1107,18,0),"")</f>
        <v/>
      </c>
      <c r="BV966" s="300" t="str">
        <f>_xlfn.IFNA(VLOOKUP($BD966,Programma!$F$3:$X$1107,19,0),"")</f>
        <v/>
      </c>
      <c r="BW966" s="300" t="str">
        <f>_xlfn.IFNA(VLOOKUP($BD966,Programma!$F$3:$Y$1107,20,0),"")</f>
        <v/>
      </c>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c r="GK966" s="4"/>
      <c r="GL966" s="4"/>
      <c r="GM966" s="4"/>
      <c r="GN966" s="4"/>
      <c r="GO966" s="4"/>
      <c r="GP966" s="4"/>
      <c r="GQ966" s="4"/>
      <c r="GR966" s="4"/>
      <c r="GS966" s="4"/>
      <c r="GT966" s="4"/>
      <c r="GU966" s="4"/>
      <c r="GV966" s="4"/>
      <c r="GW966" s="4"/>
      <c r="GX966" s="4"/>
      <c r="GY966" s="4"/>
      <c r="GZ966" s="4"/>
      <c r="HA966" s="4"/>
      <c r="HB966" s="4"/>
      <c r="HC966" s="4"/>
      <c r="HD966" s="4"/>
      <c r="HE966" s="4"/>
      <c r="HF966" s="4"/>
      <c r="HG966" s="4"/>
      <c r="HH966" s="4"/>
      <c r="HI966" s="4"/>
      <c r="HJ966" s="4"/>
      <c r="HK966" s="4"/>
      <c r="HL966" s="4"/>
    </row>
    <row r="967" spans="1:220" ht="15" customHeight="1">
      <c r="A967" s="21">
        <v>10</v>
      </c>
      <c r="B967" s="157" t="str">
        <f>VLOOKUP(Ruimtestaat[[#This Row],[Code]],Locaties[[Code]:[Locatie]],2,FALSE)</f>
        <v>Veurs Voorburg vmbo</v>
      </c>
      <c r="C967" s="157" t="str">
        <f>VLOOKUP(Ruimtestaat[[#This Row],[Code]],Locaties[[#All],[Code]:[Adres]],4,FALSE)</f>
        <v>Delflandlaan 4</v>
      </c>
      <c r="D967" s="157" t="str">
        <f>VLOOKUP(Ruimtestaat[[#This Row],[Code]],Locaties[[#All],[Code]:[Postcode]],5,FALSE)</f>
        <v>2273 CS</v>
      </c>
      <c r="E967" s="157" t="str">
        <f>VLOOKUP(Ruimtestaat[[#This Row],[Code]],Locaties[#All],6,FALSE)</f>
        <v>Voorburg</v>
      </c>
      <c r="F967" s="62"/>
      <c r="G967" s="21" t="s">
        <v>1624</v>
      </c>
      <c r="H967" s="21" t="s">
        <v>1693</v>
      </c>
      <c r="I967" s="62" t="s">
        <v>2215</v>
      </c>
      <c r="J967" s="21">
        <v>5</v>
      </c>
      <c r="K967" s="62" t="str">
        <f>VLOOKUP(Ruimtestaat[[#This Row],[Ruimte code]],Ruimtegroepen[[#All],[Code]:[Ruimte omschrijving]],2,FALSE)</f>
        <v>Sanitair</v>
      </c>
      <c r="L967" s="33" t="s">
        <v>102</v>
      </c>
      <c r="M967" s="367" t="s">
        <v>2529</v>
      </c>
      <c r="N967" s="140">
        <v>6.5</v>
      </c>
      <c r="O967" s="140"/>
      <c r="P967" s="125" t="str">
        <f>VLOOKUP(Ruimtestaat[[#This Row],[Ruimte code]],Ruimtegroepen[],4,FALSE)</f>
        <v>Sa</v>
      </c>
      <c r="R967" s="33">
        <v>40</v>
      </c>
      <c r="S967" s="33" t="s">
        <v>2</v>
      </c>
      <c r="T967" s="33">
        <f>IF(R967&gt;0,IF(RIGHT(Ruimtestaat[[#This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7" s="33">
        <f>IF(T967&gt;0,VLOOKUP($J967,Ruimtegroepen[],3,FALSE)*VLOOKUP($L967,Vloersoorten[],3,FALSE)*VLOOKUP($S967,Frequenties[],3,FALSE)*VLOOKUP($A967,Locaties[],3,FALSE),0)</f>
        <v>0</v>
      </c>
      <c r="V967" s="33">
        <f>Ruimtestaat[[#This Row],[Uitvoeringen werkdagen]]*Ruimtestaat[[#This Row],[Oppervlak (netto)]]</f>
        <v>1300</v>
      </c>
      <c r="W967" s="154">
        <f>IF(U967&gt;0,Ruimtestaat[[#This Row],[Prest. (m2 /jaar) werkdagen]]/Ruimtestaat[[#This Row],[Norm (m2/uur) werkdagen]],0)</f>
        <v>0</v>
      </c>
      <c r="X967" s="155">
        <f>Ruimtestaat[[#This Row],[uren / jaar werkdagen]]*Tariefsopbouw!$E$35</f>
        <v>0</v>
      </c>
      <c r="Y967" s="33"/>
      <c r="Z967" s="33">
        <f>IF(Ruimtestaat[[#This Row],[Frequentie weekend]]&gt;0,VALUE(LEFT(Y967,1))*R967,0)</f>
        <v>0</v>
      </c>
      <c r="AA967" s="97">
        <f>IF($Z967&gt;0,VLOOKUP($J967,Ruimtegroepen[],3,FALSE)*VLOOKUP($L967,Vloersoorten[],3,FALSE)*VLOOKUP($Y967,Frequenties[],3,FALSE)*VLOOKUP(Ruimtestaat[[#This Row],[Code]],Locaties[],3,FALSE),0)</f>
        <v>0</v>
      </c>
      <c r="AB967" s="97">
        <f>Ruimtestaat[[#This Row],[Uitvoeringen weekend]]*Ruimtestaat[[#This Row],[Oppervlak (netto)]]</f>
        <v>0</v>
      </c>
      <c r="AC967" s="97">
        <f>IF(AA967&gt;0,Ruimtestaat[[#This Row],[Prest. (m2 /jaar) weekend]]/Ruimtestaat[[#This Row],[Norm (m2/uur) weekend]],0)</f>
        <v>0</v>
      </c>
      <c r="AD967" s="155">
        <f>Ruimtestaat[[#This Row],[uren / jaar weekend]]*Tariefsopbouw!$D$40</f>
        <v>0</v>
      </c>
      <c r="AE967" s="154">
        <f>Ruimtestaat[[#This Row],[Prest. (m2 /jaar) weekend]]+Ruimtestaat[[#This Row],[Prest. (m2 /jaar) werkdagen]]</f>
        <v>1300</v>
      </c>
      <c r="AF967" s="154">
        <f>Ruimtestaat[[#This Row],[uren / jaar weekend]]+Ruimtestaat[[#This Row],[uren / jaar werkdagen]]</f>
        <v>0</v>
      </c>
      <c r="AG967" s="69">
        <f>Ruimtestaat[[#This Row],[kosten / jaar weekend]]+Ruimtestaat[[#This Row],[kosten / jaar werkdagen]]</f>
        <v>0</v>
      </c>
      <c r="AH967" s="69"/>
      <c r="AI967" s="256" t="str">
        <f>IF(Ruimtestaat[[#This Row],[Frequentie werkdagen]]="","",_xlfn.CONCAT(Ruimtestaat[[#This Row],[Ruimte code]],"-",Ruimtestaat[[#This Row],[Frequentie werkdagen]]," ",Ruimtestaat[[#This Row],[Vloer code]]))</f>
        <v>5-5w S</v>
      </c>
      <c r="AJ967" s="300" t="str">
        <f>_xlfn.IFNA(VLOOKUP($AI967,Programma!$F$3:$G$1107,2,0),"")</f>
        <v>_</v>
      </c>
      <c r="AK967" s="300" t="str">
        <f>_xlfn.IFNA(VLOOKUP($AI967,Programma!$F$3:$H$1107,3,0),"")</f>
        <v>_</v>
      </c>
      <c r="AL967" s="300" t="str">
        <f>_xlfn.IFNA(VLOOKUP($AI967,Programma!$F$3:$I$1107,4,0),"")</f>
        <v>_</v>
      </c>
      <c r="AM967" s="300" t="str">
        <f>_xlfn.IFNA(VLOOKUP($AI967,Programma!$F$3:$J$1107,5,0),"")</f>
        <v>4w</v>
      </c>
      <c r="AN967" s="300" t="str">
        <f>_xlfn.IFNA(VLOOKUP($AI967,Programma!$F$3:$K$1107,6,0),"")</f>
        <v>1w</v>
      </c>
      <c r="AO967" s="300" t="str">
        <f>_xlfn.IFNA(VLOOKUP($AI967,Programma!$F$3:$L$1107,7,0),"")</f>
        <v>_</v>
      </c>
      <c r="AP967" s="300" t="str">
        <f>_xlfn.IFNA(VLOOKUP($AI967,Programma!$F$3:$M$1107,8,0),"")</f>
        <v>_</v>
      </c>
      <c r="AQ967" s="300" t="str">
        <f>_xlfn.IFNA(VLOOKUP($AI967,Programma!$F$3:$N$1107,9,0),"")</f>
        <v>_</v>
      </c>
      <c r="AR967" s="300" t="str">
        <f>_xlfn.IFNA(VLOOKUP($AI967,Programma!$F$3:$O$1107,10,0),"")</f>
        <v>_</v>
      </c>
      <c r="AS967" s="300" t="str">
        <f>_xlfn.IFNA(VLOOKUP($AI967,Programma!$F$3:$P$1107,11,0),"")</f>
        <v>_</v>
      </c>
      <c r="AT967" s="300" t="str">
        <f>_xlfn.IFNA(VLOOKUP($AI967,Programma!$F$3:$Q$1107,12,0),"")</f>
        <v>_</v>
      </c>
      <c r="AU967" s="300" t="str">
        <f>_xlfn.IFNA(VLOOKUP($AI967,Programma!$F$3:$R$1107,13,0),"")</f>
        <v>_</v>
      </c>
      <c r="AV967" s="300" t="str">
        <f>_xlfn.IFNA(VLOOKUP($AI967,Programma!$F$3:$S$1107,14,0),"")</f>
        <v>_</v>
      </c>
      <c r="AW967" s="300" t="str">
        <f>_xlfn.IFNA(VLOOKUP($AI967,Programma!$F$3:$T$1107,15,0),"")</f>
        <v>_</v>
      </c>
      <c r="AX967" s="300" t="str">
        <f>_xlfn.IFNA(VLOOKUP($AI967,Programma!$F$3:$U$1107,16,0),"")</f>
        <v>_</v>
      </c>
      <c r="AY967" s="300" t="str">
        <f>_xlfn.IFNA(VLOOKUP($AI967,Programma!$F$3:$V$1107,17,0),"")</f>
        <v>_</v>
      </c>
      <c r="AZ967" s="300" t="str">
        <f>_xlfn.IFNA(VLOOKUP($AI967,Programma!$F$3:$W$1107,18,0),"")</f>
        <v>4w</v>
      </c>
      <c r="BA967" s="300" t="str">
        <f>_xlfn.IFNA(VLOOKUP($AI967,Programma!$F$3:$X$1107,19,0),"")</f>
        <v>1w</v>
      </c>
      <c r="BB967" s="300" t="str">
        <f>_xlfn.IFNA(VLOOKUP($AI967,Programma!$F$3:$Y$1107,20,0),"")</f>
        <v>_</v>
      </c>
      <c r="BC967" s="257"/>
      <c r="BD967" s="256" t="str">
        <f>IF(Ruimtestaat[[#This Row],[Frequentie weekend]]="","",_xlfn.CONCAT(Ruimtestaat[[#This Row],[Ruimte code]],"-",Ruimtestaat[[#This Row],[Frequentie weekend]]," ",Ruimtestaat[[#This Row],[Vloer code]]))</f>
        <v/>
      </c>
      <c r="BE967" s="300" t="str">
        <f>_xlfn.IFNA(VLOOKUP($BD967,Programma!$F$3:$G$1107,2,0),"")</f>
        <v/>
      </c>
      <c r="BF967" s="300" t="str">
        <f>_xlfn.IFNA(VLOOKUP($BD967,Programma!$F$3:$H$1107,3,0),"")</f>
        <v/>
      </c>
      <c r="BG967" s="300" t="str">
        <f>_xlfn.IFNA(VLOOKUP($BD967,Programma!$F$3:$I$1107,4,0),"")</f>
        <v/>
      </c>
      <c r="BH967" s="300" t="str">
        <f>_xlfn.IFNA(VLOOKUP($BD967,Programma!$F$3:$J$1107,5,0),"")</f>
        <v/>
      </c>
      <c r="BI967" s="300" t="str">
        <f>_xlfn.IFNA(VLOOKUP($BD967,Programma!$F$3:$K$1107,6,0),"")</f>
        <v/>
      </c>
      <c r="BJ967" s="300" t="str">
        <f>_xlfn.IFNA(VLOOKUP($BD967,Programma!$F$3:$L$1107,7,0),"")</f>
        <v/>
      </c>
      <c r="BK967" s="300" t="str">
        <f>_xlfn.IFNA(VLOOKUP($BD967,Programma!$F$3:$M$1107,8,0),"")</f>
        <v/>
      </c>
      <c r="BL967" s="300" t="str">
        <f>_xlfn.IFNA(VLOOKUP($BD967,Programma!$F$3:$N$1107,9,0),"")</f>
        <v/>
      </c>
      <c r="BM967" s="300" t="str">
        <f>_xlfn.IFNA(VLOOKUP($BD967,Programma!$F$3:$O$1107,10,0),"")</f>
        <v/>
      </c>
      <c r="BN967" s="300" t="str">
        <f>_xlfn.IFNA(VLOOKUP($BD967,Programma!$F$3:$P$1107,11,0),"")</f>
        <v/>
      </c>
      <c r="BO967" s="300" t="str">
        <f>_xlfn.IFNA(VLOOKUP($BD967,Programma!$F$3:$Q$1107,12,0),"")</f>
        <v/>
      </c>
      <c r="BP967" s="300" t="str">
        <f>_xlfn.IFNA(VLOOKUP($BD967,Programma!$F$3:$R$1107,13,0),"")</f>
        <v/>
      </c>
      <c r="BQ967" s="300" t="str">
        <f>_xlfn.IFNA(VLOOKUP($BD967,Programma!$F$3:$S$1107,14,0),"")</f>
        <v/>
      </c>
      <c r="BR967" s="300" t="str">
        <f>_xlfn.IFNA(VLOOKUP($BD967,Programma!$F$3:$T$1107,15,0),"")</f>
        <v/>
      </c>
      <c r="BS967" s="300" t="str">
        <f>_xlfn.IFNA(VLOOKUP($BD967,Programma!$F$3:$U$1107,16,0),"")</f>
        <v/>
      </c>
      <c r="BT967" s="300" t="str">
        <f>_xlfn.IFNA(VLOOKUP($BD967,Programma!$F$3:$V$1107,17,0),"")</f>
        <v/>
      </c>
      <c r="BU967" s="300" t="str">
        <f>_xlfn.IFNA(VLOOKUP($BD967,Programma!$F$3:$W$1107,18,0),"")</f>
        <v/>
      </c>
      <c r="BV967" s="300" t="str">
        <f>_xlfn.IFNA(VLOOKUP($BD967,Programma!$F$3:$X$1107,19,0),"")</f>
        <v/>
      </c>
      <c r="BW967" s="300" t="str">
        <f>_xlfn.IFNA(VLOOKUP($BD967,Programma!$F$3:$Y$1107,20,0),"")</f>
        <v/>
      </c>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c r="GK967" s="4"/>
      <c r="GL967" s="4"/>
      <c r="GM967" s="4"/>
      <c r="GN967" s="4"/>
      <c r="GO967" s="4"/>
      <c r="GP967" s="4"/>
      <c r="GQ967" s="4"/>
      <c r="GR967" s="4"/>
      <c r="GS967" s="4"/>
      <c r="GT967" s="4"/>
      <c r="GU967" s="4"/>
      <c r="GV967" s="4"/>
      <c r="GW967" s="4"/>
      <c r="GX967" s="4"/>
      <c r="GY967" s="4"/>
      <c r="GZ967" s="4"/>
      <c r="HA967" s="4"/>
      <c r="HB967" s="4"/>
      <c r="HC967" s="4"/>
      <c r="HD967" s="4"/>
      <c r="HE967" s="4"/>
      <c r="HF967" s="4"/>
      <c r="HG967" s="4"/>
      <c r="HH967" s="4"/>
      <c r="HI967" s="4"/>
      <c r="HJ967" s="4"/>
      <c r="HK967" s="4"/>
      <c r="HL967" s="4"/>
    </row>
    <row r="968" spans="1:220" ht="15" customHeight="1">
      <c r="A968" s="21">
        <v>10</v>
      </c>
      <c r="B968" s="157" t="str">
        <f>VLOOKUP(Ruimtestaat[[#This Row],[Code]],Locaties[[Code]:[Locatie]],2,FALSE)</f>
        <v>Veurs Voorburg vmbo</v>
      </c>
      <c r="C968" s="157" t="str">
        <f>VLOOKUP(Ruimtestaat[[#This Row],[Code]],Locaties[[#All],[Code]:[Adres]],4,FALSE)</f>
        <v>Delflandlaan 4</v>
      </c>
      <c r="D968" s="157" t="str">
        <f>VLOOKUP(Ruimtestaat[[#This Row],[Code]],Locaties[[#All],[Code]:[Postcode]],5,FALSE)</f>
        <v>2273 CS</v>
      </c>
      <c r="E968" s="157" t="str">
        <f>VLOOKUP(Ruimtestaat[[#This Row],[Code]],Locaties[#All],6,FALSE)</f>
        <v>Voorburg</v>
      </c>
      <c r="F968" s="62"/>
      <c r="G968" s="21" t="s">
        <v>1624</v>
      </c>
      <c r="H968" s="21" t="s">
        <v>1695</v>
      </c>
      <c r="I968" s="62" t="s">
        <v>2200</v>
      </c>
      <c r="J968" s="21">
        <v>19</v>
      </c>
      <c r="K968" s="62" t="str">
        <f>VLOOKUP(Ruimtestaat[[#This Row],[Ruimte code]],Ruimtegroepen[[#All],[Code]:[Ruimte omschrijving]],2,FALSE)</f>
        <v>kleedruimten</v>
      </c>
      <c r="L968" s="33" t="s">
        <v>102</v>
      </c>
      <c r="M968" s="367" t="s">
        <v>2529</v>
      </c>
      <c r="N968" s="140">
        <v>20.9</v>
      </c>
      <c r="O968" s="140"/>
      <c r="P968" s="125" t="str">
        <f>VLOOKUP(Ruimtestaat[[#This Row],[Ruimte code]],Ruimtegroepen[],4,FALSE)</f>
        <v>Ve</v>
      </c>
      <c r="R968" s="33">
        <v>40</v>
      </c>
      <c r="S968" s="33" t="s">
        <v>2</v>
      </c>
      <c r="T968" s="33">
        <f>IF(R968&gt;0,IF(RIGHT(Ruimtestaat[[#This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8" s="33">
        <f>IF(T968&gt;0,VLOOKUP($J968,Ruimtegroepen[],3,FALSE)*VLOOKUP($L968,Vloersoorten[],3,FALSE)*VLOOKUP($S968,Frequenties[],3,FALSE)*VLOOKUP($A968,Locaties[],3,FALSE),0)</f>
        <v>0</v>
      </c>
      <c r="V968" s="33">
        <f>Ruimtestaat[[#This Row],[Uitvoeringen werkdagen]]*Ruimtestaat[[#This Row],[Oppervlak (netto)]]</f>
        <v>4180</v>
      </c>
      <c r="W968" s="154">
        <f>IF(U968&gt;0,Ruimtestaat[[#This Row],[Prest. (m2 /jaar) werkdagen]]/Ruimtestaat[[#This Row],[Norm (m2/uur) werkdagen]],0)</f>
        <v>0</v>
      </c>
      <c r="X968" s="155">
        <f>Ruimtestaat[[#This Row],[uren / jaar werkdagen]]*Tariefsopbouw!$E$35</f>
        <v>0</v>
      </c>
      <c r="Y968" s="33"/>
      <c r="Z968" s="33">
        <f>IF(Ruimtestaat[[#This Row],[Frequentie weekend]]&gt;0,VALUE(LEFT(Y968,1))*R968,0)</f>
        <v>0</v>
      </c>
      <c r="AA968" s="97">
        <f>IF($Z968&gt;0,VLOOKUP($J968,Ruimtegroepen[],3,FALSE)*VLOOKUP($L968,Vloersoorten[],3,FALSE)*VLOOKUP($Y968,Frequenties[],3,FALSE)*VLOOKUP(Ruimtestaat[[#This Row],[Code]],Locaties[],3,FALSE),0)</f>
        <v>0</v>
      </c>
      <c r="AB968" s="97">
        <f>Ruimtestaat[[#This Row],[Uitvoeringen weekend]]*Ruimtestaat[[#This Row],[Oppervlak (netto)]]</f>
        <v>0</v>
      </c>
      <c r="AC968" s="97">
        <f>IF(AA968&gt;0,Ruimtestaat[[#This Row],[Prest. (m2 /jaar) weekend]]/Ruimtestaat[[#This Row],[Norm (m2/uur) weekend]],0)</f>
        <v>0</v>
      </c>
      <c r="AD968" s="155">
        <f>Ruimtestaat[[#This Row],[uren / jaar weekend]]*Tariefsopbouw!$D$40</f>
        <v>0</v>
      </c>
      <c r="AE968" s="154">
        <f>Ruimtestaat[[#This Row],[Prest. (m2 /jaar) weekend]]+Ruimtestaat[[#This Row],[Prest. (m2 /jaar) werkdagen]]</f>
        <v>4180</v>
      </c>
      <c r="AF968" s="154">
        <f>Ruimtestaat[[#This Row],[uren / jaar weekend]]+Ruimtestaat[[#This Row],[uren / jaar werkdagen]]</f>
        <v>0</v>
      </c>
      <c r="AG968" s="69">
        <f>Ruimtestaat[[#This Row],[kosten / jaar weekend]]+Ruimtestaat[[#This Row],[kosten / jaar werkdagen]]</f>
        <v>0</v>
      </c>
      <c r="AH968" s="69"/>
      <c r="AI968" s="256" t="str">
        <f>IF(Ruimtestaat[[#This Row],[Frequentie werkdagen]]="","",_xlfn.CONCAT(Ruimtestaat[[#This Row],[Ruimte code]],"-",Ruimtestaat[[#This Row],[Frequentie werkdagen]]," ",Ruimtestaat[[#This Row],[Vloer code]]))</f>
        <v>19-5w S</v>
      </c>
      <c r="AJ968" s="300" t="str">
        <f>_xlfn.IFNA(VLOOKUP($AI968,Programma!$F$3:$G$1107,2,0),"")</f>
        <v>_</v>
      </c>
      <c r="AK968" s="300" t="str">
        <f>_xlfn.IFNA(VLOOKUP($AI968,Programma!$F$3:$H$1107,3,0),"")</f>
        <v>_</v>
      </c>
      <c r="AL968" s="300" t="str">
        <f>_xlfn.IFNA(VLOOKUP($AI968,Programma!$F$3:$I$1107,4,0),"")</f>
        <v>5w</v>
      </c>
      <c r="AM968" s="300" t="str">
        <f>_xlfn.IFNA(VLOOKUP($AI968,Programma!$F$3:$J$1107,5,0),"")</f>
        <v>_</v>
      </c>
      <c r="AN968" s="300" t="str">
        <f>_xlfn.IFNA(VLOOKUP($AI968,Programma!$F$3:$K$1107,6,0),"")</f>
        <v>5w</v>
      </c>
      <c r="AO968" s="300" t="str">
        <f>_xlfn.IFNA(VLOOKUP($AI968,Programma!$F$3:$L$1107,7,0),"")</f>
        <v>_</v>
      </c>
      <c r="AP968" s="300" t="str">
        <f>_xlfn.IFNA(VLOOKUP($AI968,Programma!$F$3:$M$1107,8,0),"")</f>
        <v>_</v>
      </c>
      <c r="AQ968" s="300" t="str">
        <f>_xlfn.IFNA(VLOOKUP($AI968,Programma!$F$3:$N$1107,9,0),"")</f>
        <v>_</v>
      </c>
      <c r="AR968" s="300" t="str">
        <f>_xlfn.IFNA(VLOOKUP($AI968,Programma!$F$3:$O$1107,10,0),"")</f>
        <v>5w</v>
      </c>
      <c r="AS968" s="300" t="str">
        <f>_xlfn.IFNA(VLOOKUP($AI968,Programma!$F$3:$P$1107,11,0),"")</f>
        <v>5w</v>
      </c>
      <c r="AT968" s="300" t="str">
        <f>_xlfn.IFNA(VLOOKUP($AI968,Programma!$F$3:$Q$1107,12,0),"")</f>
        <v>1w</v>
      </c>
      <c r="AU968" s="300" t="str">
        <f>_xlfn.IFNA(VLOOKUP($AI968,Programma!$F$3:$R$1107,13,0),"")</f>
        <v>1w</v>
      </c>
      <c r="AV968" s="300" t="str">
        <f>_xlfn.IFNA(VLOOKUP($AI968,Programma!$F$3:$S$1107,14,0),"")</f>
        <v>1m</v>
      </c>
      <c r="AW968" s="300" t="str">
        <f>_xlfn.IFNA(VLOOKUP($AI968,Programma!$F$3:$T$1107,15,0),"")</f>
        <v>2j</v>
      </c>
      <c r="AX968" s="300" t="str">
        <f>_xlfn.IFNA(VLOOKUP($AI968,Programma!$F$3:$U$1107,16,0),"")</f>
        <v>1j</v>
      </c>
      <c r="AY968" s="300" t="str">
        <f>_xlfn.IFNA(VLOOKUP($AI968,Programma!$F$3:$V$1107,17,0),"")</f>
        <v>_</v>
      </c>
      <c r="AZ968" s="300" t="str">
        <f>_xlfn.IFNA(VLOOKUP($AI968,Programma!$F$3:$W$1107,18,0),"")</f>
        <v>_</v>
      </c>
      <c r="BA968" s="300" t="str">
        <f>_xlfn.IFNA(VLOOKUP($AI968,Programma!$F$3:$X$1107,19,0),"")</f>
        <v>_</v>
      </c>
      <c r="BB968" s="300" t="str">
        <f>_xlfn.IFNA(VLOOKUP($AI968,Programma!$F$3:$Y$1107,20,0),"")</f>
        <v>_</v>
      </c>
      <c r="BC968" s="257"/>
      <c r="BD968" s="256" t="str">
        <f>IF(Ruimtestaat[[#This Row],[Frequentie weekend]]="","",_xlfn.CONCAT(Ruimtestaat[[#This Row],[Ruimte code]],"-",Ruimtestaat[[#This Row],[Frequentie weekend]]," ",Ruimtestaat[[#This Row],[Vloer code]]))</f>
        <v/>
      </c>
      <c r="BE968" s="300" t="str">
        <f>_xlfn.IFNA(VLOOKUP($BD968,Programma!$F$3:$G$1107,2,0),"")</f>
        <v/>
      </c>
      <c r="BF968" s="300" t="str">
        <f>_xlfn.IFNA(VLOOKUP($BD968,Programma!$F$3:$H$1107,3,0),"")</f>
        <v/>
      </c>
      <c r="BG968" s="300" t="str">
        <f>_xlfn.IFNA(VLOOKUP($BD968,Programma!$F$3:$I$1107,4,0),"")</f>
        <v/>
      </c>
      <c r="BH968" s="300" t="str">
        <f>_xlfn.IFNA(VLOOKUP($BD968,Programma!$F$3:$J$1107,5,0),"")</f>
        <v/>
      </c>
      <c r="BI968" s="300" t="str">
        <f>_xlfn.IFNA(VLOOKUP($BD968,Programma!$F$3:$K$1107,6,0),"")</f>
        <v/>
      </c>
      <c r="BJ968" s="300" t="str">
        <f>_xlfn.IFNA(VLOOKUP($BD968,Programma!$F$3:$L$1107,7,0),"")</f>
        <v/>
      </c>
      <c r="BK968" s="300" t="str">
        <f>_xlfn.IFNA(VLOOKUP($BD968,Programma!$F$3:$M$1107,8,0),"")</f>
        <v/>
      </c>
      <c r="BL968" s="300" t="str">
        <f>_xlfn.IFNA(VLOOKUP($BD968,Programma!$F$3:$N$1107,9,0),"")</f>
        <v/>
      </c>
      <c r="BM968" s="300" t="str">
        <f>_xlfn.IFNA(VLOOKUP($BD968,Programma!$F$3:$O$1107,10,0),"")</f>
        <v/>
      </c>
      <c r="BN968" s="300" t="str">
        <f>_xlfn.IFNA(VLOOKUP($BD968,Programma!$F$3:$P$1107,11,0),"")</f>
        <v/>
      </c>
      <c r="BO968" s="300" t="str">
        <f>_xlfn.IFNA(VLOOKUP($BD968,Programma!$F$3:$Q$1107,12,0),"")</f>
        <v/>
      </c>
      <c r="BP968" s="300" t="str">
        <f>_xlfn.IFNA(VLOOKUP($BD968,Programma!$F$3:$R$1107,13,0),"")</f>
        <v/>
      </c>
      <c r="BQ968" s="300" t="str">
        <f>_xlfn.IFNA(VLOOKUP($BD968,Programma!$F$3:$S$1107,14,0),"")</f>
        <v/>
      </c>
      <c r="BR968" s="300" t="str">
        <f>_xlfn.IFNA(VLOOKUP($BD968,Programma!$F$3:$T$1107,15,0),"")</f>
        <v/>
      </c>
      <c r="BS968" s="300" t="str">
        <f>_xlfn.IFNA(VLOOKUP($BD968,Programma!$F$3:$U$1107,16,0),"")</f>
        <v/>
      </c>
      <c r="BT968" s="300" t="str">
        <f>_xlfn.IFNA(VLOOKUP($BD968,Programma!$F$3:$V$1107,17,0),"")</f>
        <v/>
      </c>
      <c r="BU968" s="300" t="str">
        <f>_xlfn.IFNA(VLOOKUP($BD968,Programma!$F$3:$W$1107,18,0),"")</f>
        <v/>
      </c>
      <c r="BV968" s="300" t="str">
        <f>_xlfn.IFNA(VLOOKUP($BD968,Programma!$F$3:$X$1107,19,0),"")</f>
        <v/>
      </c>
      <c r="BW968" s="300" t="str">
        <f>_xlfn.IFNA(VLOOKUP($BD968,Programma!$F$3:$Y$1107,20,0),"")</f>
        <v/>
      </c>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c r="GK968" s="4"/>
      <c r="GL968" s="4"/>
      <c r="GM968" s="4"/>
      <c r="GN968" s="4"/>
      <c r="GO968" s="4"/>
      <c r="GP968" s="4"/>
      <c r="GQ968" s="4"/>
      <c r="GR968" s="4"/>
      <c r="GS968" s="4"/>
      <c r="GT968" s="4"/>
      <c r="GU968" s="4"/>
      <c r="GV968" s="4"/>
      <c r="GW968" s="4"/>
      <c r="GX968" s="4"/>
      <c r="GY968" s="4"/>
      <c r="GZ968" s="4"/>
      <c r="HA968" s="4"/>
      <c r="HB968" s="4"/>
      <c r="HC968" s="4"/>
      <c r="HD968" s="4"/>
      <c r="HE968" s="4"/>
      <c r="HF968" s="4"/>
      <c r="HG968" s="4"/>
      <c r="HH968" s="4"/>
      <c r="HI968" s="4"/>
      <c r="HJ968" s="4"/>
      <c r="HK968" s="4"/>
      <c r="HL968" s="4"/>
    </row>
    <row r="969" spans="1:220" ht="15" customHeight="1">
      <c r="A969" s="21">
        <v>10</v>
      </c>
      <c r="B969" s="157" t="str">
        <f>VLOOKUP(Ruimtestaat[[#This Row],[Code]],Locaties[[Code]:[Locatie]],2,FALSE)</f>
        <v>Veurs Voorburg vmbo</v>
      </c>
      <c r="C969" s="157" t="str">
        <f>VLOOKUP(Ruimtestaat[[#This Row],[Code]],Locaties[[#All],[Code]:[Adres]],4,FALSE)</f>
        <v>Delflandlaan 4</v>
      </c>
      <c r="D969" s="157" t="str">
        <f>VLOOKUP(Ruimtestaat[[#This Row],[Code]],Locaties[[#All],[Code]:[Postcode]],5,FALSE)</f>
        <v>2273 CS</v>
      </c>
      <c r="E969" s="157" t="str">
        <f>VLOOKUP(Ruimtestaat[[#This Row],[Code]],Locaties[#All],6,FALSE)</f>
        <v>Voorburg</v>
      </c>
      <c r="F969" s="62"/>
      <c r="G969" s="21" t="s">
        <v>1624</v>
      </c>
      <c r="H969" s="21" t="s">
        <v>1697</v>
      </c>
      <c r="I969" s="62" t="s">
        <v>2215</v>
      </c>
      <c r="J969" s="21">
        <v>5</v>
      </c>
      <c r="K969" s="62" t="str">
        <f>VLOOKUP(Ruimtestaat[[#This Row],[Ruimte code]],Ruimtegroepen[[#All],[Code]:[Ruimte omschrijving]],2,FALSE)</f>
        <v>Sanitair</v>
      </c>
      <c r="L969" s="33" t="s">
        <v>102</v>
      </c>
      <c r="M969" s="367" t="s">
        <v>2529</v>
      </c>
      <c r="N969" s="140">
        <v>6.5</v>
      </c>
      <c r="O969" s="140"/>
      <c r="P969" s="125" t="str">
        <f>VLOOKUP(Ruimtestaat[[#This Row],[Ruimte code]],Ruimtegroepen[],4,FALSE)</f>
        <v>Sa</v>
      </c>
      <c r="R969" s="33">
        <v>40</v>
      </c>
      <c r="S969" s="33" t="s">
        <v>2</v>
      </c>
      <c r="T969" s="33">
        <f>IF(R969&gt;0,IF(RIGHT(Ruimtestaat[[#This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9" s="33">
        <f>IF(T969&gt;0,VLOOKUP($J969,Ruimtegroepen[],3,FALSE)*VLOOKUP($L969,Vloersoorten[],3,FALSE)*VLOOKUP($S969,Frequenties[],3,FALSE)*VLOOKUP($A969,Locaties[],3,FALSE),0)</f>
        <v>0</v>
      </c>
      <c r="V969" s="33">
        <f>Ruimtestaat[[#This Row],[Uitvoeringen werkdagen]]*Ruimtestaat[[#This Row],[Oppervlak (netto)]]</f>
        <v>1300</v>
      </c>
      <c r="W969" s="154">
        <f>IF(U969&gt;0,Ruimtestaat[[#This Row],[Prest. (m2 /jaar) werkdagen]]/Ruimtestaat[[#This Row],[Norm (m2/uur) werkdagen]],0)</f>
        <v>0</v>
      </c>
      <c r="X969" s="155">
        <f>Ruimtestaat[[#This Row],[uren / jaar werkdagen]]*Tariefsopbouw!$E$35</f>
        <v>0</v>
      </c>
      <c r="Y969" s="33"/>
      <c r="Z969" s="33">
        <f>IF(Ruimtestaat[[#This Row],[Frequentie weekend]]&gt;0,VALUE(LEFT(Y969,1))*R969,0)</f>
        <v>0</v>
      </c>
      <c r="AA969" s="97">
        <f>IF($Z969&gt;0,VLOOKUP($J969,Ruimtegroepen[],3,FALSE)*VLOOKUP($L969,Vloersoorten[],3,FALSE)*VLOOKUP($Y969,Frequenties[],3,FALSE)*VLOOKUP(Ruimtestaat[[#This Row],[Code]],Locaties[],3,FALSE),0)</f>
        <v>0</v>
      </c>
      <c r="AB969" s="97">
        <f>Ruimtestaat[[#This Row],[Uitvoeringen weekend]]*Ruimtestaat[[#This Row],[Oppervlak (netto)]]</f>
        <v>0</v>
      </c>
      <c r="AC969" s="97">
        <f>IF(AA969&gt;0,Ruimtestaat[[#This Row],[Prest. (m2 /jaar) weekend]]/Ruimtestaat[[#This Row],[Norm (m2/uur) weekend]],0)</f>
        <v>0</v>
      </c>
      <c r="AD969" s="155">
        <f>Ruimtestaat[[#This Row],[uren / jaar weekend]]*Tariefsopbouw!$D$40</f>
        <v>0</v>
      </c>
      <c r="AE969" s="154">
        <f>Ruimtestaat[[#This Row],[Prest. (m2 /jaar) weekend]]+Ruimtestaat[[#This Row],[Prest. (m2 /jaar) werkdagen]]</f>
        <v>1300</v>
      </c>
      <c r="AF969" s="154">
        <f>Ruimtestaat[[#This Row],[uren / jaar weekend]]+Ruimtestaat[[#This Row],[uren / jaar werkdagen]]</f>
        <v>0</v>
      </c>
      <c r="AG969" s="69">
        <f>Ruimtestaat[[#This Row],[kosten / jaar weekend]]+Ruimtestaat[[#This Row],[kosten / jaar werkdagen]]</f>
        <v>0</v>
      </c>
      <c r="AH969" s="69"/>
      <c r="AI969" s="256" t="str">
        <f>IF(Ruimtestaat[[#This Row],[Frequentie werkdagen]]="","",_xlfn.CONCAT(Ruimtestaat[[#This Row],[Ruimte code]],"-",Ruimtestaat[[#This Row],[Frequentie werkdagen]]," ",Ruimtestaat[[#This Row],[Vloer code]]))</f>
        <v>5-5w S</v>
      </c>
      <c r="AJ969" s="300" t="str">
        <f>_xlfn.IFNA(VLOOKUP($AI969,Programma!$F$3:$G$1107,2,0),"")</f>
        <v>_</v>
      </c>
      <c r="AK969" s="300" t="str">
        <f>_xlfn.IFNA(VLOOKUP($AI969,Programma!$F$3:$H$1107,3,0),"")</f>
        <v>_</v>
      </c>
      <c r="AL969" s="300" t="str">
        <f>_xlfn.IFNA(VLOOKUP($AI969,Programma!$F$3:$I$1107,4,0),"")</f>
        <v>_</v>
      </c>
      <c r="AM969" s="300" t="str">
        <f>_xlfn.IFNA(VLOOKUP($AI969,Programma!$F$3:$J$1107,5,0),"")</f>
        <v>4w</v>
      </c>
      <c r="AN969" s="300" t="str">
        <f>_xlfn.IFNA(VLOOKUP($AI969,Programma!$F$3:$K$1107,6,0),"")</f>
        <v>1w</v>
      </c>
      <c r="AO969" s="300" t="str">
        <f>_xlfn.IFNA(VLOOKUP($AI969,Programma!$F$3:$L$1107,7,0),"")</f>
        <v>_</v>
      </c>
      <c r="AP969" s="300" t="str">
        <f>_xlfn.IFNA(VLOOKUP($AI969,Programma!$F$3:$M$1107,8,0),"")</f>
        <v>_</v>
      </c>
      <c r="AQ969" s="300" t="str">
        <f>_xlfn.IFNA(VLOOKUP($AI969,Programma!$F$3:$N$1107,9,0),"")</f>
        <v>_</v>
      </c>
      <c r="AR969" s="300" t="str">
        <f>_xlfn.IFNA(VLOOKUP($AI969,Programma!$F$3:$O$1107,10,0),"")</f>
        <v>_</v>
      </c>
      <c r="AS969" s="300" t="str">
        <f>_xlfn.IFNA(VLOOKUP($AI969,Programma!$F$3:$P$1107,11,0),"")</f>
        <v>_</v>
      </c>
      <c r="AT969" s="300" t="str">
        <f>_xlfn.IFNA(VLOOKUP($AI969,Programma!$F$3:$Q$1107,12,0),"")</f>
        <v>_</v>
      </c>
      <c r="AU969" s="300" t="str">
        <f>_xlfn.IFNA(VLOOKUP($AI969,Programma!$F$3:$R$1107,13,0),"")</f>
        <v>_</v>
      </c>
      <c r="AV969" s="300" t="str">
        <f>_xlfn.IFNA(VLOOKUP($AI969,Programma!$F$3:$S$1107,14,0),"")</f>
        <v>_</v>
      </c>
      <c r="AW969" s="300" t="str">
        <f>_xlfn.IFNA(VLOOKUP($AI969,Programma!$F$3:$T$1107,15,0),"")</f>
        <v>_</v>
      </c>
      <c r="AX969" s="300" t="str">
        <f>_xlfn.IFNA(VLOOKUP($AI969,Programma!$F$3:$U$1107,16,0),"")</f>
        <v>_</v>
      </c>
      <c r="AY969" s="300" t="str">
        <f>_xlfn.IFNA(VLOOKUP($AI969,Programma!$F$3:$V$1107,17,0),"")</f>
        <v>_</v>
      </c>
      <c r="AZ969" s="300" t="str">
        <f>_xlfn.IFNA(VLOOKUP($AI969,Programma!$F$3:$W$1107,18,0),"")</f>
        <v>4w</v>
      </c>
      <c r="BA969" s="300" t="str">
        <f>_xlfn.IFNA(VLOOKUP($AI969,Programma!$F$3:$X$1107,19,0),"")</f>
        <v>1w</v>
      </c>
      <c r="BB969" s="300" t="str">
        <f>_xlfn.IFNA(VLOOKUP($AI969,Programma!$F$3:$Y$1107,20,0),"")</f>
        <v>_</v>
      </c>
      <c r="BC969" s="257"/>
      <c r="BD969" s="256" t="str">
        <f>IF(Ruimtestaat[[#This Row],[Frequentie weekend]]="","",_xlfn.CONCAT(Ruimtestaat[[#This Row],[Ruimte code]],"-",Ruimtestaat[[#This Row],[Frequentie weekend]]," ",Ruimtestaat[[#This Row],[Vloer code]]))</f>
        <v/>
      </c>
      <c r="BE969" s="300" t="str">
        <f>_xlfn.IFNA(VLOOKUP($BD969,Programma!$F$3:$G$1107,2,0),"")</f>
        <v/>
      </c>
      <c r="BF969" s="300" t="str">
        <f>_xlfn.IFNA(VLOOKUP($BD969,Programma!$F$3:$H$1107,3,0),"")</f>
        <v/>
      </c>
      <c r="BG969" s="300" t="str">
        <f>_xlfn.IFNA(VLOOKUP($BD969,Programma!$F$3:$I$1107,4,0),"")</f>
        <v/>
      </c>
      <c r="BH969" s="300" t="str">
        <f>_xlfn.IFNA(VLOOKUP($BD969,Programma!$F$3:$J$1107,5,0),"")</f>
        <v/>
      </c>
      <c r="BI969" s="300" t="str">
        <f>_xlfn.IFNA(VLOOKUP($BD969,Programma!$F$3:$K$1107,6,0),"")</f>
        <v/>
      </c>
      <c r="BJ969" s="300" t="str">
        <f>_xlfn.IFNA(VLOOKUP($BD969,Programma!$F$3:$L$1107,7,0),"")</f>
        <v/>
      </c>
      <c r="BK969" s="300" t="str">
        <f>_xlfn.IFNA(VLOOKUP($BD969,Programma!$F$3:$M$1107,8,0),"")</f>
        <v/>
      </c>
      <c r="BL969" s="300" t="str">
        <f>_xlfn.IFNA(VLOOKUP($BD969,Programma!$F$3:$N$1107,9,0),"")</f>
        <v/>
      </c>
      <c r="BM969" s="300" t="str">
        <f>_xlfn.IFNA(VLOOKUP($BD969,Programma!$F$3:$O$1107,10,0),"")</f>
        <v/>
      </c>
      <c r="BN969" s="300" t="str">
        <f>_xlfn.IFNA(VLOOKUP($BD969,Programma!$F$3:$P$1107,11,0),"")</f>
        <v/>
      </c>
      <c r="BO969" s="300" t="str">
        <f>_xlfn.IFNA(VLOOKUP($BD969,Programma!$F$3:$Q$1107,12,0),"")</f>
        <v/>
      </c>
      <c r="BP969" s="300" t="str">
        <f>_xlfn.IFNA(VLOOKUP($BD969,Programma!$F$3:$R$1107,13,0),"")</f>
        <v/>
      </c>
      <c r="BQ969" s="300" t="str">
        <f>_xlfn.IFNA(VLOOKUP($BD969,Programma!$F$3:$S$1107,14,0),"")</f>
        <v/>
      </c>
      <c r="BR969" s="300" t="str">
        <f>_xlfn.IFNA(VLOOKUP($BD969,Programma!$F$3:$T$1107,15,0),"")</f>
        <v/>
      </c>
      <c r="BS969" s="300" t="str">
        <f>_xlfn.IFNA(VLOOKUP($BD969,Programma!$F$3:$U$1107,16,0),"")</f>
        <v/>
      </c>
      <c r="BT969" s="300" t="str">
        <f>_xlfn.IFNA(VLOOKUP($BD969,Programma!$F$3:$V$1107,17,0),"")</f>
        <v/>
      </c>
      <c r="BU969" s="300" t="str">
        <f>_xlfn.IFNA(VLOOKUP($BD969,Programma!$F$3:$W$1107,18,0),"")</f>
        <v/>
      </c>
      <c r="BV969" s="300" t="str">
        <f>_xlfn.IFNA(VLOOKUP($BD969,Programma!$F$3:$X$1107,19,0),"")</f>
        <v/>
      </c>
      <c r="BW969" s="300" t="str">
        <f>_xlfn.IFNA(VLOOKUP($BD969,Programma!$F$3:$Y$1107,20,0),"")</f>
        <v/>
      </c>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c r="GK969" s="4"/>
      <c r="GL969" s="4"/>
      <c r="GM969" s="4"/>
      <c r="GN969" s="4"/>
      <c r="GO969" s="4"/>
      <c r="GP969" s="4"/>
      <c r="GQ969" s="4"/>
      <c r="GR969" s="4"/>
      <c r="GS969" s="4"/>
      <c r="GT969" s="4"/>
      <c r="GU969" s="4"/>
      <c r="GV969" s="4"/>
      <c r="GW969" s="4"/>
      <c r="GX969" s="4"/>
      <c r="GY969" s="4"/>
      <c r="GZ969" s="4"/>
      <c r="HA969" s="4"/>
      <c r="HB969" s="4"/>
      <c r="HC969" s="4"/>
      <c r="HD969" s="4"/>
      <c r="HE969" s="4"/>
      <c r="HF969" s="4"/>
      <c r="HG969" s="4"/>
      <c r="HH969" s="4"/>
      <c r="HI969" s="4"/>
      <c r="HJ969" s="4"/>
      <c r="HK969" s="4"/>
      <c r="HL969" s="4"/>
    </row>
    <row r="970" spans="1:220" ht="15" customHeight="1">
      <c r="A970" s="21">
        <v>10</v>
      </c>
      <c r="B970" s="157" t="str">
        <f>VLOOKUP(Ruimtestaat[[#This Row],[Code]],Locaties[[Code]:[Locatie]],2,FALSE)</f>
        <v>Veurs Voorburg vmbo</v>
      </c>
      <c r="C970" s="157" t="str">
        <f>VLOOKUP(Ruimtestaat[[#This Row],[Code]],Locaties[[#All],[Code]:[Adres]],4,FALSE)</f>
        <v>Delflandlaan 4</v>
      </c>
      <c r="D970" s="157" t="str">
        <f>VLOOKUP(Ruimtestaat[[#This Row],[Code]],Locaties[[#All],[Code]:[Postcode]],5,FALSE)</f>
        <v>2273 CS</v>
      </c>
      <c r="E970" s="157" t="str">
        <f>VLOOKUP(Ruimtestaat[[#This Row],[Code]],Locaties[#All],6,FALSE)</f>
        <v>Voorburg</v>
      </c>
      <c r="F970" s="62"/>
      <c r="G970" s="21" t="s">
        <v>1624</v>
      </c>
      <c r="H970" s="21" t="s">
        <v>1699</v>
      </c>
      <c r="I970" s="62" t="s">
        <v>2472</v>
      </c>
      <c r="J970" s="21">
        <v>6</v>
      </c>
      <c r="K970" s="62" t="str">
        <f>VLOOKUP(Ruimtestaat[[#This Row],[Ruimte code]],Ruimtegroepen[[#All],[Code]:[Ruimte omschrijving]],2,FALSE)</f>
        <v>Gangen/hallen</v>
      </c>
      <c r="L970" s="33" t="s">
        <v>103</v>
      </c>
      <c r="M970" s="367" t="s">
        <v>2528</v>
      </c>
      <c r="N970" s="140">
        <v>7.4</v>
      </c>
      <c r="O970" s="140"/>
      <c r="P970" s="125" t="str">
        <f>VLOOKUP(Ruimtestaat[[#This Row],[Ruimte code]],Ruimtegroepen[],4,FALSE)</f>
        <v>Ve</v>
      </c>
      <c r="R970" s="33">
        <v>40</v>
      </c>
      <c r="S970" s="33" t="s">
        <v>2</v>
      </c>
      <c r="T970" s="33">
        <f>IF(R970&gt;0,IF(RIGHT(Ruimtestaat[[#This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0" s="33">
        <f>IF(T970&gt;0,VLOOKUP($J970,Ruimtegroepen[],3,FALSE)*VLOOKUP($L970,Vloersoorten[],3,FALSE)*VLOOKUP($S970,Frequenties[],3,FALSE)*VLOOKUP($A970,Locaties[],3,FALSE),0)</f>
        <v>0</v>
      </c>
      <c r="V970" s="33">
        <f>Ruimtestaat[[#This Row],[Uitvoeringen werkdagen]]*Ruimtestaat[[#This Row],[Oppervlak (netto)]]</f>
        <v>1480</v>
      </c>
      <c r="W970" s="154">
        <f>IF(U970&gt;0,Ruimtestaat[[#This Row],[Prest. (m2 /jaar) werkdagen]]/Ruimtestaat[[#This Row],[Norm (m2/uur) werkdagen]],0)</f>
        <v>0</v>
      </c>
      <c r="X970" s="155">
        <f>Ruimtestaat[[#This Row],[uren / jaar werkdagen]]*Tariefsopbouw!$E$35</f>
        <v>0</v>
      </c>
      <c r="Y970" s="33"/>
      <c r="Z970" s="33">
        <f>IF(Ruimtestaat[[#This Row],[Frequentie weekend]]&gt;0,VALUE(LEFT(Y970,1))*R970,0)</f>
        <v>0</v>
      </c>
      <c r="AA970" s="97">
        <f>IF($Z970&gt;0,VLOOKUP($J970,Ruimtegroepen[],3,FALSE)*VLOOKUP($L970,Vloersoorten[],3,FALSE)*VLOOKUP($Y970,Frequenties[],3,FALSE)*VLOOKUP(Ruimtestaat[[#This Row],[Code]],Locaties[],3,FALSE),0)</f>
        <v>0</v>
      </c>
      <c r="AB970" s="97">
        <f>Ruimtestaat[[#This Row],[Uitvoeringen weekend]]*Ruimtestaat[[#This Row],[Oppervlak (netto)]]</f>
        <v>0</v>
      </c>
      <c r="AC970" s="97">
        <f>IF(AA970&gt;0,Ruimtestaat[[#This Row],[Prest. (m2 /jaar) weekend]]/Ruimtestaat[[#This Row],[Norm (m2/uur) weekend]],0)</f>
        <v>0</v>
      </c>
      <c r="AD970" s="155">
        <f>Ruimtestaat[[#This Row],[uren / jaar weekend]]*Tariefsopbouw!$D$40</f>
        <v>0</v>
      </c>
      <c r="AE970" s="154">
        <f>Ruimtestaat[[#This Row],[Prest. (m2 /jaar) weekend]]+Ruimtestaat[[#This Row],[Prest. (m2 /jaar) werkdagen]]</f>
        <v>1480</v>
      </c>
      <c r="AF970" s="154">
        <f>Ruimtestaat[[#This Row],[uren / jaar weekend]]+Ruimtestaat[[#This Row],[uren / jaar werkdagen]]</f>
        <v>0</v>
      </c>
      <c r="AG970" s="69">
        <f>Ruimtestaat[[#This Row],[kosten / jaar weekend]]+Ruimtestaat[[#This Row],[kosten / jaar werkdagen]]</f>
        <v>0</v>
      </c>
      <c r="AH970" s="69"/>
      <c r="AI970" s="256" t="str">
        <f>IF(Ruimtestaat[[#This Row],[Frequentie werkdagen]]="","",_xlfn.CONCAT(Ruimtestaat[[#This Row],[Ruimte code]],"-",Ruimtestaat[[#This Row],[Frequentie werkdagen]]," ",Ruimtestaat[[#This Row],[Vloer code]]))</f>
        <v>6-5w P</v>
      </c>
      <c r="AJ970" s="300" t="str">
        <f>_xlfn.IFNA(VLOOKUP($AI970,Programma!$F$3:$G$1107,2,0),"")</f>
        <v>_</v>
      </c>
      <c r="AK970" s="300" t="str">
        <f>_xlfn.IFNA(VLOOKUP($AI970,Programma!$F$3:$H$1107,3,0),"")</f>
        <v>_</v>
      </c>
      <c r="AL970" s="300" t="str">
        <f>_xlfn.IFNA(VLOOKUP($AI970,Programma!$F$3:$I$1107,4,0),"")</f>
        <v>5w</v>
      </c>
      <c r="AM970" s="300" t="str">
        <f>_xlfn.IFNA(VLOOKUP($AI970,Programma!$F$3:$J$1107,5,0),"")</f>
        <v>_</v>
      </c>
      <c r="AN970" s="300" t="str">
        <f>_xlfn.IFNA(VLOOKUP($AI970,Programma!$F$3:$K$1107,6,0),"")</f>
        <v>5w</v>
      </c>
      <c r="AO970" s="300" t="str">
        <f>_xlfn.IFNA(VLOOKUP($AI970,Programma!$F$3:$L$1107,7,0),"")</f>
        <v>_</v>
      </c>
      <c r="AP970" s="300" t="str">
        <f>_xlfn.IFNA(VLOOKUP($AI970,Programma!$F$3:$M$1107,8,0),"")</f>
        <v>_</v>
      </c>
      <c r="AQ970" s="300" t="str">
        <f>_xlfn.IFNA(VLOOKUP($AI970,Programma!$F$3:$N$1107,9,0),"")</f>
        <v>_</v>
      </c>
      <c r="AR970" s="300" t="str">
        <f>_xlfn.IFNA(VLOOKUP($AI970,Programma!$F$3:$O$1107,10,0),"")</f>
        <v>5w</v>
      </c>
      <c r="AS970" s="300" t="str">
        <f>_xlfn.IFNA(VLOOKUP($AI970,Programma!$F$3:$P$1107,11,0),"")</f>
        <v>5w</v>
      </c>
      <c r="AT970" s="300" t="str">
        <f>_xlfn.IFNA(VLOOKUP($AI970,Programma!$F$3:$Q$1107,12,0),"")</f>
        <v>1w</v>
      </c>
      <c r="AU970" s="300" t="str">
        <f>_xlfn.IFNA(VLOOKUP($AI970,Programma!$F$3:$R$1107,13,0),"")</f>
        <v>1w</v>
      </c>
      <c r="AV970" s="300" t="str">
        <f>_xlfn.IFNA(VLOOKUP($AI970,Programma!$F$3:$S$1107,14,0),"")</f>
        <v>1m</v>
      </c>
      <c r="AW970" s="300" t="str">
        <f>_xlfn.IFNA(VLOOKUP($AI970,Programma!$F$3:$T$1107,15,0),"")</f>
        <v>2j</v>
      </c>
      <c r="AX970" s="300" t="str">
        <f>_xlfn.IFNA(VLOOKUP($AI970,Programma!$F$3:$U$1107,16,0),"")</f>
        <v>1j</v>
      </c>
      <c r="AY970" s="300" t="str">
        <f>_xlfn.IFNA(VLOOKUP($AI970,Programma!$F$3:$V$1107,17,0),"")</f>
        <v>_</v>
      </c>
      <c r="AZ970" s="300" t="str">
        <f>_xlfn.IFNA(VLOOKUP($AI970,Programma!$F$3:$W$1107,18,0),"")</f>
        <v>_</v>
      </c>
      <c r="BA970" s="300" t="str">
        <f>_xlfn.IFNA(VLOOKUP($AI970,Programma!$F$3:$X$1107,19,0),"")</f>
        <v>_</v>
      </c>
      <c r="BB970" s="300" t="str">
        <f>_xlfn.IFNA(VLOOKUP($AI970,Programma!$F$3:$Y$1107,20,0),"")</f>
        <v>_</v>
      </c>
      <c r="BC970" s="257"/>
      <c r="BD970" s="256" t="str">
        <f>IF(Ruimtestaat[[#This Row],[Frequentie weekend]]="","",_xlfn.CONCAT(Ruimtestaat[[#This Row],[Ruimte code]],"-",Ruimtestaat[[#This Row],[Frequentie weekend]]," ",Ruimtestaat[[#This Row],[Vloer code]]))</f>
        <v/>
      </c>
      <c r="BE970" s="300" t="str">
        <f>_xlfn.IFNA(VLOOKUP($BD970,Programma!$F$3:$G$1107,2,0),"")</f>
        <v/>
      </c>
      <c r="BF970" s="300" t="str">
        <f>_xlfn.IFNA(VLOOKUP($BD970,Programma!$F$3:$H$1107,3,0),"")</f>
        <v/>
      </c>
      <c r="BG970" s="300" t="str">
        <f>_xlfn.IFNA(VLOOKUP($BD970,Programma!$F$3:$I$1107,4,0),"")</f>
        <v/>
      </c>
      <c r="BH970" s="300" t="str">
        <f>_xlfn.IFNA(VLOOKUP($BD970,Programma!$F$3:$J$1107,5,0),"")</f>
        <v/>
      </c>
      <c r="BI970" s="300" t="str">
        <f>_xlfn.IFNA(VLOOKUP($BD970,Programma!$F$3:$K$1107,6,0),"")</f>
        <v/>
      </c>
      <c r="BJ970" s="300" t="str">
        <f>_xlfn.IFNA(VLOOKUP($BD970,Programma!$F$3:$L$1107,7,0),"")</f>
        <v/>
      </c>
      <c r="BK970" s="300" t="str">
        <f>_xlfn.IFNA(VLOOKUP($BD970,Programma!$F$3:$M$1107,8,0),"")</f>
        <v/>
      </c>
      <c r="BL970" s="300" t="str">
        <f>_xlfn.IFNA(VLOOKUP($BD970,Programma!$F$3:$N$1107,9,0),"")</f>
        <v/>
      </c>
      <c r="BM970" s="300" t="str">
        <f>_xlfn.IFNA(VLOOKUP($BD970,Programma!$F$3:$O$1107,10,0),"")</f>
        <v/>
      </c>
      <c r="BN970" s="300" t="str">
        <f>_xlfn.IFNA(VLOOKUP($BD970,Programma!$F$3:$P$1107,11,0),"")</f>
        <v/>
      </c>
      <c r="BO970" s="300" t="str">
        <f>_xlfn.IFNA(VLOOKUP($BD970,Programma!$F$3:$Q$1107,12,0),"")</f>
        <v/>
      </c>
      <c r="BP970" s="300" t="str">
        <f>_xlfn.IFNA(VLOOKUP($BD970,Programma!$F$3:$R$1107,13,0),"")</f>
        <v/>
      </c>
      <c r="BQ970" s="300" t="str">
        <f>_xlfn.IFNA(VLOOKUP($BD970,Programma!$F$3:$S$1107,14,0),"")</f>
        <v/>
      </c>
      <c r="BR970" s="300" t="str">
        <f>_xlfn.IFNA(VLOOKUP($BD970,Programma!$F$3:$T$1107,15,0),"")</f>
        <v/>
      </c>
      <c r="BS970" s="300" t="str">
        <f>_xlfn.IFNA(VLOOKUP($BD970,Programma!$F$3:$U$1107,16,0),"")</f>
        <v/>
      </c>
      <c r="BT970" s="300" t="str">
        <f>_xlfn.IFNA(VLOOKUP($BD970,Programma!$F$3:$V$1107,17,0),"")</f>
        <v/>
      </c>
      <c r="BU970" s="300" t="str">
        <f>_xlfn.IFNA(VLOOKUP($BD970,Programma!$F$3:$W$1107,18,0),"")</f>
        <v/>
      </c>
      <c r="BV970" s="300" t="str">
        <f>_xlfn.IFNA(VLOOKUP($BD970,Programma!$F$3:$X$1107,19,0),"")</f>
        <v/>
      </c>
      <c r="BW970" s="300" t="str">
        <f>_xlfn.IFNA(VLOOKUP($BD970,Programma!$F$3:$Y$1107,20,0),"")</f>
        <v/>
      </c>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c r="GK970" s="4"/>
      <c r="GL970" s="4"/>
      <c r="GM970" s="4"/>
      <c r="GN970" s="4"/>
      <c r="GO970" s="4"/>
      <c r="GP970" s="4"/>
      <c r="GQ970" s="4"/>
      <c r="GR970" s="4"/>
      <c r="GS970" s="4"/>
      <c r="GT970" s="4"/>
      <c r="GU970" s="4"/>
      <c r="GV970" s="4"/>
      <c r="GW970" s="4"/>
      <c r="GX970" s="4"/>
      <c r="GY970" s="4"/>
      <c r="GZ970" s="4"/>
      <c r="HA970" s="4"/>
      <c r="HB970" s="4"/>
      <c r="HC970" s="4"/>
      <c r="HD970" s="4"/>
      <c r="HE970" s="4"/>
      <c r="HF970" s="4"/>
      <c r="HG970" s="4"/>
      <c r="HH970" s="4"/>
      <c r="HI970" s="4"/>
      <c r="HJ970" s="4"/>
      <c r="HK970" s="4"/>
      <c r="HL970" s="4"/>
    </row>
    <row r="971" spans="1:220" ht="15" customHeight="1">
      <c r="A971" s="21">
        <v>10</v>
      </c>
      <c r="B971" s="157" t="str">
        <f>VLOOKUP(Ruimtestaat[[#This Row],[Code]],Locaties[[Code]:[Locatie]],2,FALSE)</f>
        <v>Veurs Voorburg vmbo</v>
      </c>
      <c r="C971" s="157" t="str">
        <f>VLOOKUP(Ruimtestaat[[#This Row],[Code]],Locaties[[#All],[Code]:[Adres]],4,FALSE)</f>
        <v>Delflandlaan 4</v>
      </c>
      <c r="D971" s="157" t="str">
        <f>VLOOKUP(Ruimtestaat[[#This Row],[Code]],Locaties[[#All],[Code]:[Postcode]],5,FALSE)</f>
        <v>2273 CS</v>
      </c>
      <c r="E971" s="157" t="str">
        <f>VLOOKUP(Ruimtestaat[[#This Row],[Code]],Locaties[#All],6,FALSE)</f>
        <v>Voorburg</v>
      </c>
      <c r="F971" s="62"/>
      <c r="G971" s="21" t="s">
        <v>1624</v>
      </c>
      <c r="H971" s="21" t="s">
        <v>1701</v>
      </c>
      <c r="I971" s="62" t="s">
        <v>2473</v>
      </c>
      <c r="J971" s="21">
        <v>12</v>
      </c>
      <c r="K971" s="62" t="str">
        <f>VLOOKUP(Ruimtestaat[[#This Row],[Ruimte code]],Ruimtegroepen[[#All],[Code]:[Ruimte omschrijving]],2,FALSE)</f>
        <v>Kantine</v>
      </c>
      <c r="L971" s="33" t="s">
        <v>103</v>
      </c>
      <c r="M971" s="367" t="s">
        <v>2528</v>
      </c>
      <c r="N971" s="140">
        <v>70.5</v>
      </c>
      <c r="O971" s="140"/>
      <c r="P971" s="125" t="str">
        <f>VLOOKUP(Ruimtestaat[[#This Row],[Ruimte code]],Ruimtegroepen[],4,FALSE)</f>
        <v>Ve</v>
      </c>
      <c r="R971" s="33">
        <v>40</v>
      </c>
      <c r="S971" s="33" t="s">
        <v>2</v>
      </c>
      <c r="T971" s="33">
        <f>IF(R971&gt;0,IF(RIGHT(Ruimtestaat[[#This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1" s="33">
        <f>IF(T971&gt;0,VLOOKUP($J971,Ruimtegroepen[],3,FALSE)*VLOOKUP($L971,Vloersoorten[],3,FALSE)*VLOOKUP($S971,Frequenties[],3,FALSE)*VLOOKUP($A971,Locaties[],3,FALSE),0)</f>
        <v>0</v>
      </c>
      <c r="V971" s="33">
        <f>Ruimtestaat[[#This Row],[Uitvoeringen werkdagen]]*Ruimtestaat[[#This Row],[Oppervlak (netto)]]</f>
        <v>14100</v>
      </c>
      <c r="W971" s="154">
        <f>IF(U971&gt;0,Ruimtestaat[[#This Row],[Prest. (m2 /jaar) werkdagen]]/Ruimtestaat[[#This Row],[Norm (m2/uur) werkdagen]],0)</f>
        <v>0</v>
      </c>
      <c r="X971" s="155">
        <f>Ruimtestaat[[#This Row],[uren / jaar werkdagen]]*Tariefsopbouw!$E$35</f>
        <v>0</v>
      </c>
      <c r="Y971" s="33"/>
      <c r="Z971" s="33">
        <f>IF(Ruimtestaat[[#This Row],[Frequentie weekend]]&gt;0,VALUE(LEFT(Y971,1))*R971,0)</f>
        <v>0</v>
      </c>
      <c r="AA971" s="97">
        <f>IF($Z971&gt;0,VLOOKUP($J971,Ruimtegroepen[],3,FALSE)*VLOOKUP($L971,Vloersoorten[],3,FALSE)*VLOOKUP($Y971,Frequenties[],3,FALSE)*VLOOKUP(Ruimtestaat[[#This Row],[Code]],Locaties[],3,FALSE),0)</f>
        <v>0</v>
      </c>
      <c r="AB971" s="97">
        <f>Ruimtestaat[[#This Row],[Uitvoeringen weekend]]*Ruimtestaat[[#This Row],[Oppervlak (netto)]]</f>
        <v>0</v>
      </c>
      <c r="AC971" s="97">
        <f>IF(AA971&gt;0,Ruimtestaat[[#This Row],[Prest. (m2 /jaar) weekend]]/Ruimtestaat[[#This Row],[Norm (m2/uur) weekend]],0)</f>
        <v>0</v>
      </c>
      <c r="AD971" s="155">
        <f>Ruimtestaat[[#This Row],[uren / jaar weekend]]*Tariefsopbouw!$D$40</f>
        <v>0</v>
      </c>
      <c r="AE971" s="154">
        <f>Ruimtestaat[[#This Row],[Prest. (m2 /jaar) weekend]]+Ruimtestaat[[#This Row],[Prest. (m2 /jaar) werkdagen]]</f>
        <v>14100</v>
      </c>
      <c r="AF971" s="154">
        <f>Ruimtestaat[[#This Row],[uren / jaar weekend]]+Ruimtestaat[[#This Row],[uren / jaar werkdagen]]</f>
        <v>0</v>
      </c>
      <c r="AG971" s="69">
        <f>Ruimtestaat[[#This Row],[kosten / jaar weekend]]+Ruimtestaat[[#This Row],[kosten / jaar werkdagen]]</f>
        <v>0</v>
      </c>
      <c r="AH971" s="69"/>
      <c r="AI971" s="256" t="str">
        <f>IF(Ruimtestaat[[#This Row],[Frequentie werkdagen]]="","",_xlfn.CONCAT(Ruimtestaat[[#This Row],[Ruimte code]],"-",Ruimtestaat[[#This Row],[Frequentie werkdagen]]," ",Ruimtestaat[[#This Row],[Vloer code]]))</f>
        <v>12-5w P</v>
      </c>
      <c r="AJ971" s="300" t="str">
        <f>_xlfn.IFNA(VLOOKUP($AI971,Programma!$F$3:$G$1107,2,0),"")</f>
        <v>_</v>
      </c>
      <c r="AK971" s="300" t="str">
        <f>_xlfn.IFNA(VLOOKUP($AI971,Programma!$F$3:$H$1107,3,0),"")</f>
        <v>_</v>
      </c>
      <c r="AL971" s="300" t="str">
        <f>_xlfn.IFNA(VLOOKUP($AI971,Programma!$F$3:$I$1107,4,0),"")</f>
        <v>5w</v>
      </c>
      <c r="AM971" s="300" t="str">
        <f>_xlfn.IFNA(VLOOKUP($AI971,Programma!$F$3:$J$1107,5,0),"")</f>
        <v>_</v>
      </c>
      <c r="AN971" s="300" t="str">
        <f>_xlfn.IFNA(VLOOKUP($AI971,Programma!$F$3:$K$1107,6,0),"")</f>
        <v>5w</v>
      </c>
      <c r="AO971" s="300" t="str">
        <f>_xlfn.IFNA(VLOOKUP($AI971,Programma!$F$3:$L$1107,7,0),"")</f>
        <v>_</v>
      </c>
      <c r="AP971" s="300" t="str">
        <f>_xlfn.IFNA(VLOOKUP($AI971,Programma!$F$3:$M$1107,8,0),"")</f>
        <v>_</v>
      </c>
      <c r="AQ971" s="300" t="str">
        <f>_xlfn.IFNA(VLOOKUP($AI971,Programma!$F$3:$N$1107,9,0),"")</f>
        <v>_</v>
      </c>
      <c r="AR971" s="300" t="str">
        <f>_xlfn.IFNA(VLOOKUP($AI971,Programma!$F$3:$O$1107,10,0),"")</f>
        <v>5w</v>
      </c>
      <c r="AS971" s="300" t="str">
        <f>_xlfn.IFNA(VLOOKUP($AI971,Programma!$F$3:$P$1107,11,0),"")</f>
        <v>5w</v>
      </c>
      <c r="AT971" s="300" t="str">
        <f>_xlfn.IFNA(VLOOKUP($AI971,Programma!$F$3:$Q$1107,12,0),"")</f>
        <v>1w</v>
      </c>
      <c r="AU971" s="300" t="str">
        <f>_xlfn.IFNA(VLOOKUP($AI971,Programma!$F$3:$R$1107,13,0),"")</f>
        <v>1w</v>
      </c>
      <c r="AV971" s="300" t="str">
        <f>_xlfn.IFNA(VLOOKUP($AI971,Programma!$F$3:$S$1107,14,0),"")</f>
        <v>1m</v>
      </c>
      <c r="AW971" s="300" t="str">
        <f>_xlfn.IFNA(VLOOKUP($AI971,Programma!$F$3:$T$1107,15,0),"")</f>
        <v>2j</v>
      </c>
      <c r="AX971" s="300" t="str">
        <f>_xlfn.IFNA(VLOOKUP($AI971,Programma!$F$3:$U$1107,16,0),"")</f>
        <v>1j</v>
      </c>
      <c r="AY971" s="300" t="str">
        <f>_xlfn.IFNA(VLOOKUP($AI971,Programma!$F$3:$V$1107,17,0),"")</f>
        <v>_</v>
      </c>
      <c r="AZ971" s="300" t="str">
        <f>_xlfn.IFNA(VLOOKUP($AI971,Programma!$F$3:$W$1107,18,0),"")</f>
        <v>_</v>
      </c>
      <c r="BA971" s="300" t="str">
        <f>_xlfn.IFNA(VLOOKUP($AI971,Programma!$F$3:$X$1107,19,0),"")</f>
        <v>_</v>
      </c>
      <c r="BB971" s="300" t="str">
        <f>_xlfn.IFNA(VLOOKUP($AI971,Programma!$F$3:$Y$1107,20,0),"")</f>
        <v>_</v>
      </c>
      <c r="BC971" s="257"/>
      <c r="BD971" s="256" t="str">
        <f>IF(Ruimtestaat[[#This Row],[Frequentie weekend]]="","",_xlfn.CONCAT(Ruimtestaat[[#This Row],[Ruimte code]],"-",Ruimtestaat[[#This Row],[Frequentie weekend]]," ",Ruimtestaat[[#This Row],[Vloer code]]))</f>
        <v/>
      </c>
      <c r="BE971" s="300" t="str">
        <f>_xlfn.IFNA(VLOOKUP($BD971,Programma!$F$3:$G$1107,2,0),"")</f>
        <v/>
      </c>
      <c r="BF971" s="300" t="str">
        <f>_xlfn.IFNA(VLOOKUP($BD971,Programma!$F$3:$H$1107,3,0),"")</f>
        <v/>
      </c>
      <c r="BG971" s="300" t="str">
        <f>_xlfn.IFNA(VLOOKUP($BD971,Programma!$F$3:$I$1107,4,0),"")</f>
        <v/>
      </c>
      <c r="BH971" s="300" t="str">
        <f>_xlfn.IFNA(VLOOKUP($BD971,Programma!$F$3:$J$1107,5,0),"")</f>
        <v/>
      </c>
      <c r="BI971" s="300" t="str">
        <f>_xlfn.IFNA(VLOOKUP($BD971,Programma!$F$3:$K$1107,6,0),"")</f>
        <v/>
      </c>
      <c r="BJ971" s="300" t="str">
        <f>_xlfn.IFNA(VLOOKUP($BD971,Programma!$F$3:$L$1107,7,0),"")</f>
        <v/>
      </c>
      <c r="BK971" s="300" t="str">
        <f>_xlfn.IFNA(VLOOKUP($BD971,Programma!$F$3:$M$1107,8,0),"")</f>
        <v/>
      </c>
      <c r="BL971" s="300" t="str">
        <f>_xlfn.IFNA(VLOOKUP($BD971,Programma!$F$3:$N$1107,9,0),"")</f>
        <v/>
      </c>
      <c r="BM971" s="300" t="str">
        <f>_xlfn.IFNA(VLOOKUP($BD971,Programma!$F$3:$O$1107,10,0),"")</f>
        <v/>
      </c>
      <c r="BN971" s="300" t="str">
        <f>_xlfn.IFNA(VLOOKUP($BD971,Programma!$F$3:$P$1107,11,0),"")</f>
        <v/>
      </c>
      <c r="BO971" s="300" t="str">
        <f>_xlfn.IFNA(VLOOKUP($BD971,Programma!$F$3:$Q$1107,12,0),"")</f>
        <v/>
      </c>
      <c r="BP971" s="300" t="str">
        <f>_xlfn.IFNA(VLOOKUP($BD971,Programma!$F$3:$R$1107,13,0),"")</f>
        <v/>
      </c>
      <c r="BQ971" s="300" t="str">
        <f>_xlfn.IFNA(VLOOKUP($BD971,Programma!$F$3:$S$1107,14,0),"")</f>
        <v/>
      </c>
      <c r="BR971" s="300" t="str">
        <f>_xlfn.IFNA(VLOOKUP($BD971,Programma!$F$3:$T$1107,15,0),"")</f>
        <v/>
      </c>
      <c r="BS971" s="300" t="str">
        <f>_xlfn.IFNA(VLOOKUP($BD971,Programma!$F$3:$U$1107,16,0),"")</f>
        <v/>
      </c>
      <c r="BT971" s="300" t="str">
        <f>_xlfn.IFNA(VLOOKUP($BD971,Programma!$F$3:$V$1107,17,0),"")</f>
        <v/>
      </c>
      <c r="BU971" s="300" t="str">
        <f>_xlfn.IFNA(VLOOKUP($BD971,Programma!$F$3:$W$1107,18,0),"")</f>
        <v/>
      </c>
      <c r="BV971" s="300" t="str">
        <f>_xlfn.IFNA(VLOOKUP($BD971,Programma!$F$3:$X$1107,19,0),"")</f>
        <v/>
      </c>
      <c r="BW971" s="300" t="str">
        <f>_xlfn.IFNA(VLOOKUP($BD971,Programma!$F$3:$Y$1107,20,0),"")</f>
        <v/>
      </c>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c r="GK971" s="4"/>
      <c r="GL971" s="4"/>
      <c r="GM971" s="4"/>
      <c r="GN971" s="4"/>
      <c r="GO971" s="4"/>
      <c r="GP971" s="4"/>
      <c r="GQ971" s="4"/>
      <c r="GR971" s="4"/>
      <c r="GS971" s="4"/>
      <c r="GT971" s="4"/>
      <c r="GU971" s="4"/>
      <c r="GV971" s="4"/>
      <c r="GW971" s="4"/>
      <c r="GX971" s="4"/>
      <c r="GY971" s="4"/>
      <c r="GZ971" s="4"/>
      <c r="HA971" s="4"/>
      <c r="HB971" s="4"/>
      <c r="HC971" s="4"/>
      <c r="HD971" s="4"/>
      <c r="HE971" s="4"/>
      <c r="HF971" s="4"/>
      <c r="HG971" s="4"/>
      <c r="HH971" s="4"/>
      <c r="HI971" s="4"/>
      <c r="HJ971" s="4"/>
      <c r="HK971" s="4"/>
      <c r="HL971" s="4"/>
    </row>
    <row r="972" spans="1:220" ht="15" customHeight="1">
      <c r="A972" s="21">
        <v>10</v>
      </c>
      <c r="B972" s="157" t="str">
        <f>VLOOKUP(Ruimtestaat[[#This Row],[Code]],Locaties[[Code]:[Locatie]],2,FALSE)</f>
        <v>Veurs Voorburg vmbo</v>
      </c>
      <c r="C972" s="157" t="str">
        <f>VLOOKUP(Ruimtestaat[[#This Row],[Code]],Locaties[[#All],[Code]:[Adres]],4,FALSE)</f>
        <v>Delflandlaan 4</v>
      </c>
      <c r="D972" s="157" t="str">
        <f>VLOOKUP(Ruimtestaat[[#This Row],[Code]],Locaties[[#All],[Code]:[Postcode]],5,FALSE)</f>
        <v>2273 CS</v>
      </c>
      <c r="E972" s="157" t="str">
        <f>VLOOKUP(Ruimtestaat[[#This Row],[Code]],Locaties[#All],6,FALSE)</f>
        <v>Voorburg</v>
      </c>
      <c r="F972" s="62"/>
      <c r="G972" s="21" t="s">
        <v>1624</v>
      </c>
      <c r="H972" s="21" t="s">
        <v>1703</v>
      </c>
      <c r="I972" s="62" t="s">
        <v>2424</v>
      </c>
      <c r="J972" s="21">
        <v>10</v>
      </c>
      <c r="K972" s="62" t="str">
        <f>VLOOKUP(Ruimtestaat[[#This Row],[Ruimte code]],Ruimtegroepen[[#All],[Code]:[Ruimte omschrijving]],2,FALSE)</f>
        <v>Trappenhuizen/lift</v>
      </c>
      <c r="L972" s="33" t="s">
        <v>101</v>
      </c>
      <c r="M972" s="367" t="s">
        <v>2506</v>
      </c>
      <c r="N972" s="140">
        <v>17.899999999999999</v>
      </c>
      <c r="O972" s="140"/>
      <c r="P972" s="125" t="str">
        <f>VLOOKUP(Ruimtestaat[[#This Row],[Ruimte code]],Ruimtegroepen[],4,FALSE)</f>
        <v>Ve</v>
      </c>
      <c r="R972" s="33">
        <v>40</v>
      </c>
      <c r="S972" s="33" t="s">
        <v>2</v>
      </c>
      <c r="T972" s="33">
        <f>IF(R972&gt;0,IF(RIGHT(Ruimtestaat[[#This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2" s="33">
        <f>IF(T972&gt;0,VLOOKUP($J972,Ruimtegroepen[],3,FALSE)*VLOOKUP($L972,Vloersoorten[],3,FALSE)*VLOOKUP($S972,Frequenties[],3,FALSE)*VLOOKUP($A972,Locaties[],3,FALSE),0)</f>
        <v>0</v>
      </c>
      <c r="V972" s="33">
        <f>Ruimtestaat[[#This Row],[Uitvoeringen werkdagen]]*Ruimtestaat[[#This Row],[Oppervlak (netto)]]</f>
        <v>3579.9999999999995</v>
      </c>
      <c r="W972" s="154">
        <f>IF(U972&gt;0,Ruimtestaat[[#This Row],[Prest. (m2 /jaar) werkdagen]]/Ruimtestaat[[#This Row],[Norm (m2/uur) werkdagen]],0)</f>
        <v>0</v>
      </c>
      <c r="X972" s="155">
        <f>Ruimtestaat[[#This Row],[uren / jaar werkdagen]]*Tariefsopbouw!$E$35</f>
        <v>0</v>
      </c>
      <c r="Y972" s="33"/>
      <c r="Z972" s="33">
        <f>IF(Ruimtestaat[[#This Row],[Frequentie weekend]]&gt;0,VALUE(LEFT(Y972,1))*R972,0)</f>
        <v>0</v>
      </c>
      <c r="AA972" s="97">
        <f>IF($Z972&gt;0,VLOOKUP($J972,Ruimtegroepen[],3,FALSE)*VLOOKUP($L972,Vloersoorten[],3,FALSE)*VLOOKUP($Y972,Frequenties[],3,FALSE)*VLOOKUP(Ruimtestaat[[#This Row],[Code]],Locaties[],3,FALSE),0)</f>
        <v>0</v>
      </c>
      <c r="AB972" s="97">
        <f>Ruimtestaat[[#This Row],[Uitvoeringen weekend]]*Ruimtestaat[[#This Row],[Oppervlak (netto)]]</f>
        <v>0</v>
      </c>
      <c r="AC972" s="97">
        <f>IF(AA972&gt;0,Ruimtestaat[[#This Row],[Prest. (m2 /jaar) weekend]]/Ruimtestaat[[#This Row],[Norm (m2/uur) weekend]],0)</f>
        <v>0</v>
      </c>
      <c r="AD972" s="155">
        <f>Ruimtestaat[[#This Row],[uren / jaar weekend]]*Tariefsopbouw!$D$40</f>
        <v>0</v>
      </c>
      <c r="AE972" s="154">
        <f>Ruimtestaat[[#This Row],[Prest. (m2 /jaar) weekend]]+Ruimtestaat[[#This Row],[Prest. (m2 /jaar) werkdagen]]</f>
        <v>3579.9999999999995</v>
      </c>
      <c r="AF972" s="154">
        <f>Ruimtestaat[[#This Row],[uren / jaar weekend]]+Ruimtestaat[[#This Row],[uren / jaar werkdagen]]</f>
        <v>0</v>
      </c>
      <c r="AG972" s="69">
        <f>Ruimtestaat[[#This Row],[kosten / jaar weekend]]+Ruimtestaat[[#This Row],[kosten / jaar werkdagen]]</f>
        <v>0</v>
      </c>
      <c r="AH972" s="69"/>
      <c r="AI972" s="256" t="str">
        <f>IF(Ruimtestaat[[#This Row],[Frequentie werkdagen]]="","",_xlfn.CONCAT(Ruimtestaat[[#This Row],[Ruimte code]],"-",Ruimtestaat[[#This Row],[Frequentie werkdagen]]," ",Ruimtestaat[[#This Row],[Vloer code]]))</f>
        <v>10-5w L</v>
      </c>
      <c r="AJ972" s="300" t="str">
        <f>_xlfn.IFNA(VLOOKUP($AI972,Programma!$F$3:$G$1107,2,0),"")</f>
        <v>_</v>
      </c>
      <c r="AK972" s="300" t="str">
        <f>_xlfn.IFNA(VLOOKUP($AI972,Programma!$F$3:$H$1107,3,0),"")</f>
        <v>_</v>
      </c>
      <c r="AL972" s="300" t="str">
        <f>_xlfn.IFNA(VLOOKUP($AI972,Programma!$F$3:$I$1107,4,0),"")</f>
        <v>4w</v>
      </c>
      <c r="AM972" s="300" t="str">
        <f>_xlfn.IFNA(VLOOKUP($AI972,Programma!$F$3:$J$1107,5,0),"")</f>
        <v>1w</v>
      </c>
      <c r="AN972" s="300" t="str">
        <f>_xlfn.IFNA(VLOOKUP($AI972,Programma!$F$3:$K$1107,6,0),"")</f>
        <v>_</v>
      </c>
      <c r="AO972" s="300" t="str">
        <f>_xlfn.IFNA(VLOOKUP($AI972,Programma!$F$3:$L$1107,7,0),"")</f>
        <v>_</v>
      </c>
      <c r="AP972" s="300" t="str">
        <f>_xlfn.IFNA(VLOOKUP($AI972,Programma!$F$3:$M$1107,8,0),"")</f>
        <v>_</v>
      </c>
      <c r="AQ972" s="300" t="str">
        <f>_xlfn.IFNA(VLOOKUP($AI972,Programma!$F$3:$N$1107,9,0),"")</f>
        <v>_</v>
      </c>
      <c r="AR972" s="300" t="str">
        <f>_xlfn.IFNA(VLOOKUP($AI972,Programma!$F$3:$O$1107,10,0),"")</f>
        <v>5w</v>
      </c>
      <c r="AS972" s="300" t="str">
        <f>_xlfn.IFNA(VLOOKUP($AI972,Programma!$F$3:$P$1107,11,0),"")</f>
        <v>5w</v>
      </c>
      <c r="AT972" s="300" t="str">
        <f>_xlfn.IFNA(VLOOKUP($AI972,Programma!$F$3:$Q$1107,12,0),"")</f>
        <v>1w</v>
      </c>
      <c r="AU972" s="300" t="str">
        <f>_xlfn.IFNA(VLOOKUP($AI972,Programma!$F$3:$R$1107,13,0),"")</f>
        <v>1w</v>
      </c>
      <c r="AV972" s="300" t="str">
        <f>_xlfn.IFNA(VLOOKUP($AI972,Programma!$F$3:$S$1107,14,0),"")</f>
        <v>1m</v>
      </c>
      <c r="AW972" s="300" t="str">
        <f>_xlfn.IFNA(VLOOKUP($AI972,Programma!$F$3:$T$1107,15,0),"")</f>
        <v>2j</v>
      </c>
      <c r="AX972" s="300" t="str">
        <f>_xlfn.IFNA(VLOOKUP($AI972,Programma!$F$3:$U$1107,16,0),"")</f>
        <v>1j</v>
      </c>
      <c r="AY972" s="300" t="str">
        <f>_xlfn.IFNA(VLOOKUP($AI972,Programma!$F$3:$V$1107,17,0),"")</f>
        <v>_</v>
      </c>
      <c r="AZ972" s="300" t="str">
        <f>_xlfn.IFNA(VLOOKUP($AI972,Programma!$F$3:$W$1107,18,0),"")</f>
        <v>_</v>
      </c>
      <c r="BA972" s="300" t="str">
        <f>_xlfn.IFNA(VLOOKUP($AI972,Programma!$F$3:$X$1107,19,0),"")</f>
        <v>_</v>
      </c>
      <c r="BB972" s="300" t="str">
        <f>_xlfn.IFNA(VLOOKUP($AI972,Programma!$F$3:$Y$1107,20,0),"")</f>
        <v>_</v>
      </c>
      <c r="BC972" s="257"/>
      <c r="BD972" s="256" t="str">
        <f>IF(Ruimtestaat[[#This Row],[Frequentie weekend]]="","",_xlfn.CONCAT(Ruimtestaat[[#This Row],[Ruimte code]],"-",Ruimtestaat[[#This Row],[Frequentie weekend]]," ",Ruimtestaat[[#This Row],[Vloer code]]))</f>
        <v/>
      </c>
      <c r="BE972" s="300" t="str">
        <f>_xlfn.IFNA(VLOOKUP($BD972,Programma!$F$3:$G$1107,2,0),"")</f>
        <v/>
      </c>
      <c r="BF972" s="300" t="str">
        <f>_xlfn.IFNA(VLOOKUP($BD972,Programma!$F$3:$H$1107,3,0),"")</f>
        <v/>
      </c>
      <c r="BG972" s="300" t="str">
        <f>_xlfn.IFNA(VLOOKUP($BD972,Programma!$F$3:$I$1107,4,0),"")</f>
        <v/>
      </c>
      <c r="BH972" s="300" t="str">
        <f>_xlfn.IFNA(VLOOKUP($BD972,Programma!$F$3:$J$1107,5,0),"")</f>
        <v/>
      </c>
      <c r="BI972" s="300" t="str">
        <f>_xlfn.IFNA(VLOOKUP($BD972,Programma!$F$3:$K$1107,6,0),"")</f>
        <v/>
      </c>
      <c r="BJ972" s="300" t="str">
        <f>_xlfn.IFNA(VLOOKUP($BD972,Programma!$F$3:$L$1107,7,0),"")</f>
        <v/>
      </c>
      <c r="BK972" s="300" t="str">
        <f>_xlfn.IFNA(VLOOKUP($BD972,Programma!$F$3:$M$1107,8,0),"")</f>
        <v/>
      </c>
      <c r="BL972" s="300" t="str">
        <f>_xlfn.IFNA(VLOOKUP($BD972,Programma!$F$3:$N$1107,9,0),"")</f>
        <v/>
      </c>
      <c r="BM972" s="300" t="str">
        <f>_xlfn.IFNA(VLOOKUP($BD972,Programma!$F$3:$O$1107,10,0),"")</f>
        <v/>
      </c>
      <c r="BN972" s="300" t="str">
        <f>_xlfn.IFNA(VLOOKUP($BD972,Programma!$F$3:$P$1107,11,0),"")</f>
        <v/>
      </c>
      <c r="BO972" s="300" t="str">
        <f>_xlfn.IFNA(VLOOKUP($BD972,Programma!$F$3:$Q$1107,12,0),"")</f>
        <v/>
      </c>
      <c r="BP972" s="300" t="str">
        <f>_xlfn.IFNA(VLOOKUP($BD972,Programma!$F$3:$R$1107,13,0),"")</f>
        <v/>
      </c>
      <c r="BQ972" s="300" t="str">
        <f>_xlfn.IFNA(VLOOKUP($BD972,Programma!$F$3:$S$1107,14,0),"")</f>
        <v/>
      </c>
      <c r="BR972" s="300" t="str">
        <f>_xlfn.IFNA(VLOOKUP($BD972,Programma!$F$3:$T$1107,15,0),"")</f>
        <v/>
      </c>
      <c r="BS972" s="300" t="str">
        <f>_xlfn.IFNA(VLOOKUP($BD972,Programma!$F$3:$U$1107,16,0),"")</f>
        <v/>
      </c>
      <c r="BT972" s="300" t="str">
        <f>_xlfn.IFNA(VLOOKUP($BD972,Programma!$F$3:$V$1107,17,0),"")</f>
        <v/>
      </c>
      <c r="BU972" s="300" t="str">
        <f>_xlfn.IFNA(VLOOKUP($BD972,Programma!$F$3:$W$1107,18,0),"")</f>
        <v/>
      </c>
      <c r="BV972" s="300" t="str">
        <f>_xlfn.IFNA(VLOOKUP($BD972,Programma!$F$3:$X$1107,19,0),"")</f>
        <v/>
      </c>
      <c r="BW972" s="300" t="str">
        <f>_xlfn.IFNA(VLOOKUP($BD972,Programma!$F$3:$Y$1107,20,0),"")</f>
        <v/>
      </c>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c r="GK972" s="4"/>
      <c r="GL972" s="4"/>
      <c r="GM972" s="4"/>
      <c r="GN972" s="4"/>
      <c r="GO972" s="4"/>
      <c r="GP972" s="4"/>
      <c r="GQ972" s="4"/>
      <c r="GR972" s="4"/>
      <c r="GS972" s="4"/>
      <c r="GT972" s="4"/>
      <c r="GU972" s="4"/>
      <c r="GV972" s="4"/>
      <c r="GW972" s="4"/>
      <c r="GX972" s="4"/>
      <c r="GY972" s="4"/>
      <c r="GZ972" s="4"/>
      <c r="HA972" s="4"/>
      <c r="HB972" s="4"/>
      <c r="HC972" s="4"/>
      <c r="HD972" s="4"/>
      <c r="HE972" s="4"/>
      <c r="HF972" s="4"/>
      <c r="HG972" s="4"/>
      <c r="HH972" s="4"/>
      <c r="HI972" s="4"/>
      <c r="HJ972" s="4"/>
      <c r="HK972" s="4"/>
      <c r="HL972" s="4"/>
    </row>
    <row r="973" spans="1:220" ht="15" customHeight="1">
      <c r="A973" s="21">
        <v>10</v>
      </c>
      <c r="B973" s="157" t="str">
        <f>VLOOKUP(Ruimtestaat[[#This Row],[Code]],Locaties[[Code]:[Locatie]],2,FALSE)</f>
        <v>Veurs Voorburg vmbo</v>
      </c>
      <c r="C973" s="157" t="str">
        <f>VLOOKUP(Ruimtestaat[[#This Row],[Code]],Locaties[[#All],[Code]:[Adres]],4,FALSE)</f>
        <v>Delflandlaan 4</v>
      </c>
      <c r="D973" s="157" t="str">
        <f>VLOOKUP(Ruimtestaat[[#This Row],[Code]],Locaties[[#All],[Code]:[Postcode]],5,FALSE)</f>
        <v>2273 CS</v>
      </c>
      <c r="E973" s="157" t="str">
        <f>VLOOKUP(Ruimtestaat[[#This Row],[Code]],Locaties[#All],6,FALSE)</f>
        <v>Voorburg</v>
      </c>
      <c r="F973" s="62"/>
      <c r="G973" s="21" t="s">
        <v>1624</v>
      </c>
      <c r="H973" s="21" t="s">
        <v>1704</v>
      </c>
      <c r="I973" s="62" t="s">
        <v>2474</v>
      </c>
      <c r="J973" s="21">
        <v>19</v>
      </c>
      <c r="K973" s="62" t="str">
        <f>VLOOKUP(Ruimtestaat[[#This Row],[Ruimte code]],Ruimtegroepen[[#All],[Code]:[Ruimte omschrijving]],2,FALSE)</f>
        <v>kleedruimten</v>
      </c>
      <c r="L973" s="33" t="s">
        <v>103</v>
      </c>
      <c r="M973" s="367" t="s">
        <v>2496</v>
      </c>
      <c r="N973" s="140">
        <v>9</v>
      </c>
      <c r="O973" s="140"/>
      <c r="P973" s="125" t="str">
        <f>VLOOKUP(Ruimtestaat[[#This Row],[Ruimte code]],Ruimtegroepen[],4,FALSE)</f>
        <v>Ve</v>
      </c>
      <c r="R973" s="33">
        <v>40</v>
      </c>
      <c r="S973" s="33" t="s">
        <v>2</v>
      </c>
      <c r="T973" s="33">
        <f>IF(R973&gt;0,IF(RIGHT(Ruimtestaat[[#This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3" s="33">
        <f>IF(T973&gt;0,VLOOKUP($J973,Ruimtegroepen[],3,FALSE)*VLOOKUP($L973,Vloersoorten[],3,FALSE)*VLOOKUP($S973,Frequenties[],3,FALSE)*VLOOKUP($A973,Locaties[],3,FALSE),0)</f>
        <v>0</v>
      </c>
      <c r="V973" s="33">
        <f>Ruimtestaat[[#This Row],[Uitvoeringen werkdagen]]*Ruimtestaat[[#This Row],[Oppervlak (netto)]]</f>
        <v>1800</v>
      </c>
      <c r="W973" s="154">
        <f>IF(U973&gt;0,Ruimtestaat[[#This Row],[Prest. (m2 /jaar) werkdagen]]/Ruimtestaat[[#This Row],[Norm (m2/uur) werkdagen]],0)</f>
        <v>0</v>
      </c>
      <c r="X973" s="155">
        <f>Ruimtestaat[[#This Row],[uren / jaar werkdagen]]*Tariefsopbouw!$E$35</f>
        <v>0</v>
      </c>
      <c r="Y973" s="33"/>
      <c r="Z973" s="33">
        <f>IF(Ruimtestaat[[#This Row],[Frequentie weekend]]&gt;0,VALUE(LEFT(Y973,1))*R973,0)</f>
        <v>0</v>
      </c>
      <c r="AA973" s="97">
        <f>IF($Z973&gt;0,VLOOKUP($J973,Ruimtegroepen[],3,FALSE)*VLOOKUP($L973,Vloersoorten[],3,FALSE)*VLOOKUP($Y973,Frequenties[],3,FALSE)*VLOOKUP(Ruimtestaat[[#This Row],[Code]],Locaties[],3,FALSE),0)</f>
        <v>0</v>
      </c>
      <c r="AB973" s="97">
        <f>Ruimtestaat[[#This Row],[Uitvoeringen weekend]]*Ruimtestaat[[#This Row],[Oppervlak (netto)]]</f>
        <v>0</v>
      </c>
      <c r="AC973" s="97">
        <f>IF(AA973&gt;0,Ruimtestaat[[#This Row],[Prest. (m2 /jaar) weekend]]/Ruimtestaat[[#This Row],[Norm (m2/uur) weekend]],0)</f>
        <v>0</v>
      </c>
      <c r="AD973" s="155">
        <f>Ruimtestaat[[#This Row],[uren / jaar weekend]]*Tariefsopbouw!$D$40</f>
        <v>0</v>
      </c>
      <c r="AE973" s="154">
        <f>Ruimtestaat[[#This Row],[Prest. (m2 /jaar) weekend]]+Ruimtestaat[[#This Row],[Prest. (m2 /jaar) werkdagen]]</f>
        <v>1800</v>
      </c>
      <c r="AF973" s="154">
        <f>Ruimtestaat[[#This Row],[uren / jaar weekend]]+Ruimtestaat[[#This Row],[uren / jaar werkdagen]]</f>
        <v>0</v>
      </c>
      <c r="AG973" s="69">
        <f>Ruimtestaat[[#This Row],[kosten / jaar weekend]]+Ruimtestaat[[#This Row],[kosten / jaar werkdagen]]</f>
        <v>0</v>
      </c>
      <c r="AH973" s="69"/>
      <c r="AI973" s="256" t="str">
        <f>IF(Ruimtestaat[[#This Row],[Frequentie werkdagen]]="","",_xlfn.CONCAT(Ruimtestaat[[#This Row],[Ruimte code]],"-",Ruimtestaat[[#This Row],[Frequentie werkdagen]]," ",Ruimtestaat[[#This Row],[Vloer code]]))</f>
        <v>19-5w P</v>
      </c>
      <c r="AJ973" s="300" t="str">
        <f>_xlfn.IFNA(VLOOKUP($AI973,Programma!$F$3:$G$1107,2,0),"")</f>
        <v>_</v>
      </c>
      <c r="AK973" s="300" t="str">
        <f>_xlfn.IFNA(VLOOKUP($AI973,Programma!$F$3:$H$1107,3,0),"")</f>
        <v>_</v>
      </c>
      <c r="AL973" s="300" t="str">
        <f>_xlfn.IFNA(VLOOKUP($AI973,Programma!$F$3:$I$1107,4,0),"")</f>
        <v>5w</v>
      </c>
      <c r="AM973" s="300" t="str">
        <f>_xlfn.IFNA(VLOOKUP($AI973,Programma!$F$3:$J$1107,5,0),"")</f>
        <v>_</v>
      </c>
      <c r="AN973" s="300" t="str">
        <f>_xlfn.IFNA(VLOOKUP($AI973,Programma!$F$3:$K$1107,6,0),"")</f>
        <v>5w</v>
      </c>
      <c r="AO973" s="300" t="str">
        <f>_xlfn.IFNA(VLOOKUP($AI973,Programma!$F$3:$L$1107,7,0),"")</f>
        <v>_</v>
      </c>
      <c r="AP973" s="300" t="str">
        <f>_xlfn.IFNA(VLOOKUP($AI973,Programma!$F$3:$M$1107,8,0),"")</f>
        <v>_</v>
      </c>
      <c r="AQ973" s="300" t="str">
        <f>_xlfn.IFNA(VLOOKUP($AI973,Programma!$F$3:$N$1107,9,0),"")</f>
        <v>_</v>
      </c>
      <c r="AR973" s="300" t="str">
        <f>_xlfn.IFNA(VLOOKUP($AI973,Programma!$F$3:$O$1107,10,0),"")</f>
        <v>5w</v>
      </c>
      <c r="AS973" s="300" t="str">
        <f>_xlfn.IFNA(VLOOKUP($AI973,Programma!$F$3:$P$1107,11,0),"")</f>
        <v>5w</v>
      </c>
      <c r="AT973" s="300" t="str">
        <f>_xlfn.IFNA(VLOOKUP($AI973,Programma!$F$3:$Q$1107,12,0),"")</f>
        <v>1w</v>
      </c>
      <c r="AU973" s="300" t="str">
        <f>_xlfn.IFNA(VLOOKUP($AI973,Programma!$F$3:$R$1107,13,0),"")</f>
        <v>1w</v>
      </c>
      <c r="AV973" s="300" t="str">
        <f>_xlfn.IFNA(VLOOKUP($AI973,Programma!$F$3:$S$1107,14,0),"")</f>
        <v>1m</v>
      </c>
      <c r="AW973" s="300" t="str">
        <f>_xlfn.IFNA(VLOOKUP($AI973,Programma!$F$3:$T$1107,15,0),"")</f>
        <v>2j</v>
      </c>
      <c r="AX973" s="300" t="str">
        <f>_xlfn.IFNA(VLOOKUP($AI973,Programma!$F$3:$U$1107,16,0),"")</f>
        <v>1j</v>
      </c>
      <c r="AY973" s="300" t="str">
        <f>_xlfn.IFNA(VLOOKUP($AI973,Programma!$F$3:$V$1107,17,0),"")</f>
        <v>_</v>
      </c>
      <c r="AZ973" s="300" t="str">
        <f>_xlfn.IFNA(VLOOKUP($AI973,Programma!$F$3:$W$1107,18,0),"")</f>
        <v>_</v>
      </c>
      <c r="BA973" s="300" t="str">
        <f>_xlfn.IFNA(VLOOKUP($AI973,Programma!$F$3:$X$1107,19,0),"")</f>
        <v>_</v>
      </c>
      <c r="BB973" s="300" t="str">
        <f>_xlfn.IFNA(VLOOKUP($AI973,Programma!$F$3:$Y$1107,20,0),"")</f>
        <v>_</v>
      </c>
      <c r="BC973" s="257"/>
      <c r="BD973" s="256" t="str">
        <f>IF(Ruimtestaat[[#This Row],[Frequentie weekend]]="","",_xlfn.CONCAT(Ruimtestaat[[#This Row],[Ruimte code]],"-",Ruimtestaat[[#This Row],[Frequentie weekend]]," ",Ruimtestaat[[#This Row],[Vloer code]]))</f>
        <v/>
      </c>
      <c r="BE973" s="300" t="str">
        <f>_xlfn.IFNA(VLOOKUP($BD973,Programma!$F$3:$G$1107,2,0),"")</f>
        <v/>
      </c>
      <c r="BF973" s="300" t="str">
        <f>_xlfn.IFNA(VLOOKUP($BD973,Programma!$F$3:$H$1107,3,0),"")</f>
        <v/>
      </c>
      <c r="BG973" s="300" t="str">
        <f>_xlfn.IFNA(VLOOKUP($BD973,Programma!$F$3:$I$1107,4,0),"")</f>
        <v/>
      </c>
      <c r="BH973" s="300" t="str">
        <f>_xlfn.IFNA(VLOOKUP($BD973,Programma!$F$3:$J$1107,5,0),"")</f>
        <v/>
      </c>
      <c r="BI973" s="300" t="str">
        <f>_xlfn.IFNA(VLOOKUP($BD973,Programma!$F$3:$K$1107,6,0),"")</f>
        <v/>
      </c>
      <c r="BJ973" s="300" t="str">
        <f>_xlfn.IFNA(VLOOKUP($BD973,Programma!$F$3:$L$1107,7,0),"")</f>
        <v/>
      </c>
      <c r="BK973" s="300" t="str">
        <f>_xlfn.IFNA(VLOOKUP($BD973,Programma!$F$3:$M$1107,8,0),"")</f>
        <v/>
      </c>
      <c r="BL973" s="300" t="str">
        <f>_xlfn.IFNA(VLOOKUP($BD973,Programma!$F$3:$N$1107,9,0),"")</f>
        <v/>
      </c>
      <c r="BM973" s="300" t="str">
        <f>_xlfn.IFNA(VLOOKUP($BD973,Programma!$F$3:$O$1107,10,0),"")</f>
        <v/>
      </c>
      <c r="BN973" s="300" t="str">
        <f>_xlfn.IFNA(VLOOKUP($BD973,Programma!$F$3:$P$1107,11,0),"")</f>
        <v/>
      </c>
      <c r="BO973" s="300" t="str">
        <f>_xlfn.IFNA(VLOOKUP($BD973,Programma!$F$3:$Q$1107,12,0),"")</f>
        <v/>
      </c>
      <c r="BP973" s="300" t="str">
        <f>_xlfn.IFNA(VLOOKUP($BD973,Programma!$F$3:$R$1107,13,0),"")</f>
        <v/>
      </c>
      <c r="BQ973" s="300" t="str">
        <f>_xlfn.IFNA(VLOOKUP($BD973,Programma!$F$3:$S$1107,14,0),"")</f>
        <v/>
      </c>
      <c r="BR973" s="300" t="str">
        <f>_xlfn.IFNA(VLOOKUP($BD973,Programma!$F$3:$T$1107,15,0),"")</f>
        <v/>
      </c>
      <c r="BS973" s="300" t="str">
        <f>_xlfn.IFNA(VLOOKUP($BD973,Programma!$F$3:$U$1107,16,0),"")</f>
        <v/>
      </c>
      <c r="BT973" s="300" t="str">
        <f>_xlfn.IFNA(VLOOKUP($BD973,Programma!$F$3:$V$1107,17,0),"")</f>
        <v/>
      </c>
      <c r="BU973" s="300" t="str">
        <f>_xlfn.IFNA(VLOOKUP($BD973,Programma!$F$3:$W$1107,18,0),"")</f>
        <v/>
      </c>
      <c r="BV973" s="300" t="str">
        <f>_xlfn.IFNA(VLOOKUP($BD973,Programma!$F$3:$X$1107,19,0),"")</f>
        <v/>
      </c>
      <c r="BW973" s="300" t="str">
        <f>_xlfn.IFNA(VLOOKUP($BD973,Programma!$F$3:$Y$1107,20,0),"")</f>
        <v/>
      </c>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c r="GK973" s="4"/>
      <c r="GL973" s="4"/>
      <c r="GM973" s="4"/>
      <c r="GN973" s="4"/>
      <c r="GO973" s="4"/>
      <c r="GP973" s="4"/>
      <c r="GQ973" s="4"/>
      <c r="GR973" s="4"/>
      <c r="GS973" s="4"/>
      <c r="GT973" s="4"/>
      <c r="GU973" s="4"/>
      <c r="GV973" s="4"/>
      <c r="GW973" s="4"/>
      <c r="GX973" s="4"/>
      <c r="GY973" s="4"/>
      <c r="GZ973" s="4"/>
      <c r="HA973" s="4"/>
      <c r="HB973" s="4"/>
      <c r="HC973" s="4"/>
      <c r="HD973" s="4"/>
      <c r="HE973" s="4"/>
      <c r="HF973" s="4"/>
      <c r="HG973" s="4"/>
      <c r="HH973" s="4"/>
      <c r="HI973" s="4"/>
      <c r="HJ973" s="4"/>
      <c r="HK973" s="4"/>
      <c r="HL973" s="4"/>
    </row>
    <row r="974" spans="1:220" ht="15" customHeight="1">
      <c r="A974" s="21">
        <v>10</v>
      </c>
      <c r="B974" s="157" t="str">
        <f>VLOOKUP(Ruimtestaat[[#This Row],[Code]],Locaties[[Code]:[Locatie]],2,FALSE)</f>
        <v>Veurs Voorburg vmbo</v>
      </c>
      <c r="C974" s="157" t="str">
        <f>VLOOKUP(Ruimtestaat[[#This Row],[Code]],Locaties[[#All],[Code]:[Adres]],4,FALSE)</f>
        <v>Delflandlaan 4</v>
      </c>
      <c r="D974" s="157" t="str">
        <f>VLOOKUP(Ruimtestaat[[#This Row],[Code]],Locaties[[#All],[Code]:[Postcode]],5,FALSE)</f>
        <v>2273 CS</v>
      </c>
      <c r="E974" s="157" t="str">
        <f>VLOOKUP(Ruimtestaat[[#This Row],[Code]],Locaties[#All],6,FALSE)</f>
        <v>Voorburg</v>
      </c>
      <c r="F974" s="62"/>
      <c r="G974" s="21" t="s">
        <v>1624</v>
      </c>
      <c r="H974" s="21" t="s">
        <v>2475</v>
      </c>
      <c r="I974" s="62" t="s">
        <v>2476</v>
      </c>
      <c r="J974" s="21">
        <v>5</v>
      </c>
      <c r="K974" s="62" t="str">
        <f>VLOOKUP(Ruimtestaat[[#This Row],[Ruimte code]],Ruimtegroepen[[#All],[Code]:[Ruimte omschrijving]],2,FALSE)</f>
        <v>Sanitair</v>
      </c>
      <c r="L974" s="33" t="s">
        <v>103</v>
      </c>
      <c r="M974" s="367" t="s">
        <v>2496</v>
      </c>
      <c r="N974" s="140">
        <v>3.4</v>
      </c>
      <c r="O974" s="140"/>
      <c r="P974" s="125" t="str">
        <f>VLOOKUP(Ruimtestaat[[#This Row],[Ruimte code]],Ruimtegroepen[],4,FALSE)</f>
        <v>Sa</v>
      </c>
      <c r="R974" s="33">
        <v>40</v>
      </c>
      <c r="S974" s="33" t="s">
        <v>2</v>
      </c>
      <c r="T974" s="33">
        <f>IF(R974&gt;0,IF(RIGHT(Ruimtestaat[[#This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4" s="33">
        <f>IF(T974&gt;0,VLOOKUP($J974,Ruimtegroepen[],3,FALSE)*VLOOKUP($L974,Vloersoorten[],3,FALSE)*VLOOKUP($S974,Frequenties[],3,FALSE)*VLOOKUP($A974,Locaties[],3,FALSE),0)</f>
        <v>0</v>
      </c>
      <c r="V974" s="33">
        <f>Ruimtestaat[[#This Row],[Uitvoeringen werkdagen]]*Ruimtestaat[[#This Row],[Oppervlak (netto)]]</f>
        <v>680</v>
      </c>
      <c r="W974" s="154">
        <f>IF(U974&gt;0,Ruimtestaat[[#This Row],[Prest. (m2 /jaar) werkdagen]]/Ruimtestaat[[#This Row],[Norm (m2/uur) werkdagen]],0)</f>
        <v>0</v>
      </c>
      <c r="X974" s="155">
        <f>Ruimtestaat[[#This Row],[uren / jaar werkdagen]]*Tariefsopbouw!$E$35</f>
        <v>0</v>
      </c>
      <c r="Y974" s="33"/>
      <c r="Z974" s="33">
        <f>IF(Ruimtestaat[[#This Row],[Frequentie weekend]]&gt;0,VALUE(LEFT(Y974,1))*R974,0)</f>
        <v>0</v>
      </c>
      <c r="AA974" s="97">
        <f>IF($Z974&gt;0,VLOOKUP($J974,Ruimtegroepen[],3,FALSE)*VLOOKUP($L974,Vloersoorten[],3,FALSE)*VLOOKUP($Y974,Frequenties[],3,FALSE)*VLOOKUP(Ruimtestaat[[#This Row],[Code]],Locaties[],3,FALSE),0)</f>
        <v>0</v>
      </c>
      <c r="AB974" s="97">
        <f>Ruimtestaat[[#This Row],[Uitvoeringen weekend]]*Ruimtestaat[[#This Row],[Oppervlak (netto)]]</f>
        <v>0</v>
      </c>
      <c r="AC974" s="97">
        <f>IF(AA974&gt;0,Ruimtestaat[[#This Row],[Prest. (m2 /jaar) weekend]]/Ruimtestaat[[#This Row],[Norm (m2/uur) weekend]],0)</f>
        <v>0</v>
      </c>
      <c r="AD974" s="155">
        <f>Ruimtestaat[[#This Row],[uren / jaar weekend]]*Tariefsopbouw!$D$40</f>
        <v>0</v>
      </c>
      <c r="AE974" s="154">
        <f>Ruimtestaat[[#This Row],[Prest. (m2 /jaar) weekend]]+Ruimtestaat[[#This Row],[Prest. (m2 /jaar) werkdagen]]</f>
        <v>680</v>
      </c>
      <c r="AF974" s="154">
        <f>Ruimtestaat[[#This Row],[uren / jaar weekend]]+Ruimtestaat[[#This Row],[uren / jaar werkdagen]]</f>
        <v>0</v>
      </c>
      <c r="AG974" s="69">
        <f>Ruimtestaat[[#This Row],[kosten / jaar weekend]]+Ruimtestaat[[#This Row],[kosten / jaar werkdagen]]</f>
        <v>0</v>
      </c>
      <c r="AH974" s="69"/>
      <c r="AI974" s="256" t="str">
        <f>IF(Ruimtestaat[[#This Row],[Frequentie werkdagen]]="","",_xlfn.CONCAT(Ruimtestaat[[#This Row],[Ruimte code]],"-",Ruimtestaat[[#This Row],[Frequentie werkdagen]]," ",Ruimtestaat[[#This Row],[Vloer code]]))</f>
        <v>5-5w P</v>
      </c>
      <c r="AJ974" s="300" t="str">
        <f>_xlfn.IFNA(VLOOKUP($AI974,Programma!$F$3:$G$1107,2,0),"")</f>
        <v>_</v>
      </c>
      <c r="AK974" s="300" t="str">
        <f>_xlfn.IFNA(VLOOKUP($AI974,Programma!$F$3:$H$1107,3,0),"")</f>
        <v>_</v>
      </c>
      <c r="AL974" s="300" t="str">
        <f>_xlfn.IFNA(VLOOKUP($AI974,Programma!$F$3:$I$1107,4,0),"")</f>
        <v>_</v>
      </c>
      <c r="AM974" s="300" t="str">
        <f>_xlfn.IFNA(VLOOKUP($AI974,Programma!$F$3:$J$1107,5,0),"")</f>
        <v>4w</v>
      </c>
      <c r="AN974" s="300" t="str">
        <f>_xlfn.IFNA(VLOOKUP($AI974,Programma!$F$3:$K$1107,6,0),"")</f>
        <v>1w</v>
      </c>
      <c r="AO974" s="300" t="str">
        <f>_xlfn.IFNA(VLOOKUP($AI974,Programma!$F$3:$L$1107,7,0),"")</f>
        <v>_</v>
      </c>
      <c r="AP974" s="300" t="str">
        <f>_xlfn.IFNA(VLOOKUP($AI974,Programma!$F$3:$M$1107,8,0),"")</f>
        <v>_</v>
      </c>
      <c r="AQ974" s="300" t="str">
        <f>_xlfn.IFNA(VLOOKUP($AI974,Programma!$F$3:$N$1107,9,0),"")</f>
        <v>_</v>
      </c>
      <c r="AR974" s="300" t="str">
        <f>_xlfn.IFNA(VLOOKUP($AI974,Programma!$F$3:$O$1107,10,0),"")</f>
        <v>_</v>
      </c>
      <c r="AS974" s="300" t="str">
        <f>_xlfn.IFNA(VLOOKUP($AI974,Programma!$F$3:$P$1107,11,0),"")</f>
        <v>_</v>
      </c>
      <c r="AT974" s="300" t="str">
        <f>_xlfn.IFNA(VLOOKUP($AI974,Programma!$F$3:$Q$1107,12,0),"")</f>
        <v>_</v>
      </c>
      <c r="AU974" s="300" t="str">
        <f>_xlfn.IFNA(VLOOKUP($AI974,Programma!$F$3:$R$1107,13,0),"")</f>
        <v>_</v>
      </c>
      <c r="AV974" s="300" t="str">
        <f>_xlfn.IFNA(VLOOKUP($AI974,Programma!$F$3:$S$1107,14,0),"")</f>
        <v>_</v>
      </c>
      <c r="AW974" s="300" t="str">
        <f>_xlfn.IFNA(VLOOKUP($AI974,Programma!$F$3:$T$1107,15,0),"")</f>
        <v>_</v>
      </c>
      <c r="AX974" s="300" t="str">
        <f>_xlfn.IFNA(VLOOKUP($AI974,Programma!$F$3:$U$1107,16,0),"")</f>
        <v>_</v>
      </c>
      <c r="AY974" s="300" t="str">
        <f>_xlfn.IFNA(VLOOKUP($AI974,Programma!$F$3:$V$1107,17,0),"")</f>
        <v>_</v>
      </c>
      <c r="AZ974" s="300" t="str">
        <f>_xlfn.IFNA(VLOOKUP($AI974,Programma!$F$3:$W$1107,18,0),"")</f>
        <v>4w</v>
      </c>
      <c r="BA974" s="300" t="str">
        <f>_xlfn.IFNA(VLOOKUP($AI974,Programma!$F$3:$X$1107,19,0),"")</f>
        <v>1w</v>
      </c>
      <c r="BB974" s="300" t="str">
        <f>_xlfn.IFNA(VLOOKUP($AI974,Programma!$F$3:$Y$1107,20,0),"")</f>
        <v>_</v>
      </c>
      <c r="BC974" s="257"/>
      <c r="BD974" s="256" t="str">
        <f>IF(Ruimtestaat[[#This Row],[Frequentie weekend]]="","",_xlfn.CONCAT(Ruimtestaat[[#This Row],[Ruimte code]],"-",Ruimtestaat[[#This Row],[Frequentie weekend]]," ",Ruimtestaat[[#This Row],[Vloer code]]))</f>
        <v/>
      </c>
      <c r="BE974" s="300" t="str">
        <f>_xlfn.IFNA(VLOOKUP($BD974,Programma!$F$3:$G$1107,2,0),"")</f>
        <v/>
      </c>
      <c r="BF974" s="300" t="str">
        <f>_xlfn.IFNA(VLOOKUP($BD974,Programma!$F$3:$H$1107,3,0),"")</f>
        <v/>
      </c>
      <c r="BG974" s="300" t="str">
        <f>_xlfn.IFNA(VLOOKUP($BD974,Programma!$F$3:$I$1107,4,0),"")</f>
        <v/>
      </c>
      <c r="BH974" s="300" t="str">
        <f>_xlfn.IFNA(VLOOKUP($BD974,Programma!$F$3:$J$1107,5,0),"")</f>
        <v/>
      </c>
      <c r="BI974" s="300" t="str">
        <f>_xlfn.IFNA(VLOOKUP($BD974,Programma!$F$3:$K$1107,6,0),"")</f>
        <v/>
      </c>
      <c r="BJ974" s="300" t="str">
        <f>_xlfn.IFNA(VLOOKUP($BD974,Programma!$F$3:$L$1107,7,0),"")</f>
        <v/>
      </c>
      <c r="BK974" s="300" t="str">
        <f>_xlfn.IFNA(VLOOKUP($BD974,Programma!$F$3:$M$1107,8,0),"")</f>
        <v/>
      </c>
      <c r="BL974" s="300" t="str">
        <f>_xlfn.IFNA(VLOOKUP($BD974,Programma!$F$3:$N$1107,9,0),"")</f>
        <v/>
      </c>
      <c r="BM974" s="300" t="str">
        <f>_xlfn.IFNA(VLOOKUP($BD974,Programma!$F$3:$O$1107,10,0),"")</f>
        <v/>
      </c>
      <c r="BN974" s="300" t="str">
        <f>_xlfn.IFNA(VLOOKUP($BD974,Programma!$F$3:$P$1107,11,0),"")</f>
        <v/>
      </c>
      <c r="BO974" s="300" t="str">
        <f>_xlfn.IFNA(VLOOKUP($BD974,Programma!$F$3:$Q$1107,12,0),"")</f>
        <v/>
      </c>
      <c r="BP974" s="300" t="str">
        <f>_xlfn.IFNA(VLOOKUP($BD974,Programma!$F$3:$R$1107,13,0),"")</f>
        <v/>
      </c>
      <c r="BQ974" s="300" t="str">
        <f>_xlfn.IFNA(VLOOKUP($BD974,Programma!$F$3:$S$1107,14,0),"")</f>
        <v/>
      </c>
      <c r="BR974" s="300" t="str">
        <f>_xlfn.IFNA(VLOOKUP($BD974,Programma!$F$3:$T$1107,15,0),"")</f>
        <v/>
      </c>
      <c r="BS974" s="300" t="str">
        <f>_xlfn.IFNA(VLOOKUP($BD974,Programma!$F$3:$U$1107,16,0),"")</f>
        <v/>
      </c>
      <c r="BT974" s="300" t="str">
        <f>_xlfn.IFNA(VLOOKUP($BD974,Programma!$F$3:$V$1107,17,0),"")</f>
        <v/>
      </c>
      <c r="BU974" s="300" t="str">
        <f>_xlfn.IFNA(VLOOKUP($BD974,Programma!$F$3:$W$1107,18,0),"")</f>
        <v/>
      </c>
      <c r="BV974" s="300" t="str">
        <f>_xlfn.IFNA(VLOOKUP($BD974,Programma!$F$3:$X$1107,19,0),"")</f>
        <v/>
      </c>
      <c r="BW974" s="300" t="str">
        <f>_xlfn.IFNA(VLOOKUP($BD974,Programma!$F$3:$Y$1107,20,0),"")</f>
        <v/>
      </c>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c r="GK974" s="4"/>
      <c r="GL974" s="4"/>
      <c r="GM974" s="4"/>
      <c r="GN974" s="4"/>
      <c r="GO974" s="4"/>
      <c r="GP974" s="4"/>
      <c r="GQ974" s="4"/>
      <c r="GR974" s="4"/>
      <c r="GS974" s="4"/>
      <c r="GT974" s="4"/>
      <c r="GU974" s="4"/>
      <c r="GV974" s="4"/>
      <c r="GW974" s="4"/>
      <c r="GX974" s="4"/>
      <c r="GY974" s="4"/>
      <c r="GZ974" s="4"/>
      <c r="HA974" s="4"/>
      <c r="HB974" s="4"/>
      <c r="HC974" s="4"/>
      <c r="HD974" s="4"/>
      <c r="HE974" s="4"/>
      <c r="HF974" s="4"/>
      <c r="HG974" s="4"/>
      <c r="HH974" s="4"/>
      <c r="HI974" s="4"/>
      <c r="HJ974" s="4"/>
      <c r="HK974" s="4"/>
      <c r="HL974" s="4"/>
    </row>
    <row r="975" spans="1:220" ht="15" customHeight="1">
      <c r="A975" s="21">
        <v>10</v>
      </c>
      <c r="B975" s="157" t="str">
        <f>VLOOKUP(Ruimtestaat[[#This Row],[Code]],Locaties[[Code]:[Locatie]],2,FALSE)</f>
        <v>Veurs Voorburg vmbo</v>
      </c>
      <c r="C975" s="157" t="str">
        <f>VLOOKUP(Ruimtestaat[[#This Row],[Code]],Locaties[[#All],[Code]:[Adres]],4,FALSE)</f>
        <v>Delflandlaan 4</v>
      </c>
      <c r="D975" s="157" t="str">
        <f>VLOOKUP(Ruimtestaat[[#This Row],[Code]],Locaties[[#All],[Code]:[Postcode]],5,FALSE)</f>
        <v>2273 CS</v>
      </c>
      <c r="E975" s="157" t="str">
        <f>VLOOKUP(Ruimtestaat[[#This Row],[Code]],Locaties[#All],6,FALSE)</f>
        <v>Voorburg</v>
      </c>
      <c r="F975" s="62"/>
      <c r="G975" s="21" t="s">
        <v>1624</v>
      </c>
      <c r="H975" s="21" t="s">
        <v>1705</v>
      </c>
      <c r="I975" s="62" t="s">
        <v>1288</v>
      </c>
      <c r="J975" s="21">
        <v>18</v>
      </c>
      <c r="K975" s="62" t="str">
        <f>VLOOKUP(Ruimtestaat[[#This Row],[Ruimte code]],Ruimtegroepen[[#All],[Code]:[Ruimte omschrijving]],2,FALSE)</f>
        <v>Gymzaal</v>
      </c>
      <c r="L975" s="33" t="s">
        <v>103</v>
      </c>
      <c r="M975" s="367" t="s">
        <v>2508</v>
      </c>
      <c r="N975" s="140">
        <v>316.10000000000002</v>
      </c>
      <c r="O975" s="140"/>
      <c r="P975" s="125" t="str">
        <f>VLOOKUP(Ruimtestaat[[#This Row],[Ruimte code]],Ruimtegroepen[],4,FALSE)</f>
        <v>Sp</v>
      </c>
      <c r="R975" s="33">
        <v>40</v>
      </c>
      <c r="S975" s="33" t="s">
        <v>2</v>
      </c>
      <c r="T975" s="33">
        <f>IF(R975&gt;0,IF(RIGHT(Ruimtestaat[[#This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5" s="33">
        <f>IF(T975&gt;0,VLOOKUP($J975,Ruimtegroepen[],3,FALSE)*VLOOKUP($L975,Vloersoorten[],3,FALSE)*VLOOKUP($S975,Frequenties[],3,FALSE)*VLOOKUP($A975,Locaties[],3,FALSE),0)</f>
        <v>0</v>
      </c>
      <c r="V975" s="33">
        <f>Ruimtestaat[[#This Row],[Uitvoeringen werkdagen]]*Ruimtestaat[[#This Row],[Oppervlak (netto)]]</f>
        <v>63220.000000000007</v>
      </c>
      <c r="W975" s="154">
        <f>IF(U975&gt;0,Ruimtestaat[[#This Row],[Prest. (m2 /jaar) werkdagen]]/Ruimtestaat[[#This Row],[Norm (m2/uur) werkdagen]],0)</f>
        <v>0</v>
      </c>
      <c r="X975" s="155">
        <f>Ruimtestaat[[#This Row],[uren / jaar werkdagen]]*Tariefsopbouw!$E$35</f>
        <v>0</v>
      </c>
      <c r="Y975" s="33"/>
      <c r="Z975" s="33">
        <f>IF(Ruimtestaat[[#This Row],[Frequentie weekend]]&gt;0,VALUE(LEFT(Y975,1))*R975,0)</f>
        <v>0</v>
      </c>
      <c r="AA975" s="97">
        <f>IF($Z975&gt;0,VLOOKUP($J975,Ruimtegroepen[],3,FALSE)*VLOOKUP($L975,Vloersoorten[],3,FALSE)*VLOOKUP($Y975,Frequenties[],3,FALSE)*VLOOKUP(Ruimtestaat[[#This Row],[Code]],Locaties[],3,FALSE),0)</f>
        <v>0</v>
      </c>
      <c r="AB975" s="97">
        <f>Ruimtestaat[[#This Row],[Uitvoeringen weekend]]*Ruimtestaat[[#This Row],[Oppervlak (netto)]]</f>
        <v>0</v>
      </c>
      <c r="AC975" s="97">
        <f>IF(AA975&gt;0,Ruimtestaat[[#This Row],[Prest. (m2 /jaar) weekend]]/Ruimtestaat[[#This Row],[Norm (m2/uur) weekend]],0)</f>
        <v>0</v>
      </c>
      <c r="AD975" s="155">
        <f>Ruimtestaat[[#This Row],[uren / jaar weekend]]*Tariefsopbouw!$D$40</f>
        <v>0</v>
      </c>
      <c r="AE975" s="154">
        <f>Ruimtestaat[[#This Row],[Prest. (m2 /jaar) weekend]]+Ruimtestaat[[#This Row],[Prest. (m2 /jaar) werkdagen]]</f>
        <v>63220.000000000007</v>
      </c>
      <c r="AF975" s="154">
        <f>Ruimtestaat[[#This Row],[uren / jaar weekend]]+Ruimtestaat[[#This Row],[uren / jaar werkdagen]]</f>
        <v>0</v>
      </c>
      <c r="AG975" s="69">
        <f>Ruimtestaat[[#This Row],[kosten / jaar weekend]]+Ruimtestaat[[#This Row],[kosten / jaar werkdagen]]</f>
        <v>0</v>
      </c>
      <c r="AH975" s="69"/>
      <c r="AI975" s="256" t="str">
        <f>IF(Ruimtestaat[[#This Row],[Frequentie werkdagen]]="","",_xlfn.CONCAT(Ruimtestaat[[#This Row],[Ruimte code]],"-",Ruimtestaat[[#This Row],[Frequentie werkdagen]]," ",Ruimtestaat[[#This Row],[Vloer code]]))</f>
        <v>18-5w P</v>
      </c>
      <c r="AJ975" s="300" t="str">
        <f>_xlfn.IFNA(VLOOKUP($AI975,Programma!$F$3:$G$1107,2,0),"")</f>
        <v>_</v>
      </c>
      <c r="AK975" s="300" t="str">
        <f>_xlfn.IFNA(VLOOKUP($AI975,Programma!$F$3:$H$1107,3,0),"")</f>
        <v>_</v>
      </c>
      <c r="AL975" s="300" t="str">
        <f>_xlfn.IFNA(VLOOKUP($AI975,Programma!$F$3:$I$1107,4,0),"")</f>
        <v>4w</v>
      </c>
      <c r="AM975" s="300" t="str">
        <f>_xlfn.IFNA(VLOOKUP($AI975,Programma!$F$3:$J$1107,5,0),"")</f>
        <v>1w</v>
      </c>
      <c r="AN975" s="300" t="str">
        <f>_xlfn.IFNA(VLOOKUP($AI975,Programma!$F$3:$K$1107,6,0),"")</f>
        <v>4j</v>
      </c>
      <c r="AO975" s="300" t="str">
        <f>_xlfn.IFNA(VLOOKUP($AI975,Programma!$F$3:$L$1107,7,0),"")</f>
        <v>_</v>
      </c>
      <c r="AP975" s="300" t="str">
        <f>_xlfn.IFNA(VLOOKUP($AI975,Programma!$F$3:$M$1107,8,0),"")</f>
        <v>_</v>
      </c>
      <c r="AQ975" s="300" t="str">
        <f>_xlfn.IFNA(VLOOKUP($AI975,Programma!$F$3:$N$1107,9,0),"")</f>
        <v>_</v>
      </c>
      <c r="AR975" s="300" t="str">
        <f>_xlfn.IFNA(VLOOKUP($AI975,Programma!$F$3:$O$1107,10,0),"")</f>
        <v>5w</v>
      </c>
      <c r="AS975" s="300" t="str">
        <f>_xlfn.IFNA(VLOOKUP($AI975,Programma!$F$3:$P$1107,11,0),"")</f>
        <v>5w</v>
      </c>
      <c r="AT975" s="300" t="str">
        <f>_xlfn.IFNA(VLOOKUP($AI975,Programma!$F$3:$Q$1107,12,0),"")</f>
        <v>5w</v>
      </c>
      <c r="AU975" s="300" t="str">
        <f>_xlfn.IFNA(VLOOKUP($AI975,Programma!$F$3:$R$1107,13,0),"")</f>
        <v>5w</v>
      </c>
      <c r="AV975" s="300" t="str">
        <f>_xlfn.IFNA(VLOOKUP($AI975,Programma!$F$3:$S$1107,14,0),"")</f>
        <v>1m</v>
      </c>
      <c r="AW975" s="300" t="str">
        <f>_xlfn.IFNA(VLOOKUP($AI975,Programma!$F$3:$T$1107,15,0),"")</f>
        <v>2j</v>
      </c>
      <c r="AX975" s="300" t="str">
        <f>_xlfn.IFNA(VLOOKUP($AI975,Programma!$F$3:$U$1107,16,0),"")</f>
        <v>1j</v>
      </c>
      <c r="AY975" s="300" t="str">
        <f>_xlfn.IFNA(VLOOKUP($AI975,Programma!$F$3:$V$1107,17,0),"")</f>
        <v>_</v>
      </c>
      <c r="AZ975" s="300" t="str">
        <f>_xlfn.IFNA(VLOOKUP($AI975,Programma!$F$3:$W$1107,18,0),"")</f>
        <v>_</v>
      </c>
      <c r="BA975" s="300" t="str">
        <f>_xlfn.IFNA(VLOOKUP($AI975,Programma!$F$3:$X$1107,19,0),"")</f>
        <v>_</v>
      </c>
      <c r="BB975" s="300" t="str">
        <f>_xlfn.IFNA(VLOOKUP($AI975,Programma!$F$3:$Y$1107,20,0),"")</f>
        <v>_</v>
      </c>
      <c r="BC975" s="257"/>
      <c r="BD975" s="256" t="str">
        <f>IF(Ruimtestaat[[#This Row],[Frequentie weekend]]="","",_xlfn.CONCAT(Ruimtestaat[[#This Row],[Ruimte code]],"-",Ruimtestaat[[#This Row],[Frequentie weekend]]," ",Ruimtestaat[[#This Row],[Vloer code]]))</f>
        <v/>
      </c>
      <c r="BE975" s="300" t="str">
        <f>_xlfn.IFNA(VLOOKUP($BD975,Programma!$F$3:$G$1107,2,0),"")</f>
        <v/>
      </c>
      <c r="BF975" s="300" t="str">
        <f>_xlfn.IFNA(VLOOKUP($BD975,Programma!$F$3:$H$1107,3,0),"")</f>
        <v/>
      </c>
      <c r="BG975" s="300" t="str">
        <f>_xlfn.IFNA(VLOOKUP($BD975,Programma!$F$3:$I$1107,4,0),"")</f>
        <v/>
      </c>
      <c r="BH975" s="300" t="str">
        <f>_xlfn.IFNA(VLOOKUP($BD975,Programma!$F$3:$J$1107,5,0),"")</f>
        <v/>
      </c>
      <c r="BI975" s="300" t="str">
        <f>_xlfn.IFNA(VLOOKUP($BD975,Programma!$F$3:$K$1107,6,0),"")</f>
        <v/>
      </c>
      <c r="BJ975" s="300" t="str">
        <f>_xlfn.IFNA(VLOOKUP($BD975,Programma!$F$3:$L$1107,7,0),"")</f>
        <v/>
      </c>
      <c r="BK975" s="300" t="str">
        <f>_xlfn.IFNA(VLOOKUP($BD975,Programma!$F$3:$M$1107,8,0),"")</f>
        <v/>
      </c>
      <c r="BL975" s="300" t="str">
        <f>_xlfn.IFNA(VLOOKUP($BD975,Programma!$F$3:$N$1107,9,0),"")</f>
        <v/>
      </c>
      <c r="BM975" s="300" t="str">
        <f>_xlfn.IFNA(VLOOKUP($BD975,Programma!$F$3:$O$1107,10,0),"")</f>
        <v/>
      </c>
      <c r="BN975" s="300" t="str">
        <f>_xlfn.IFNA(VLOOKUP($BD975,Programma!$F$3:$P$1107,11,0),"")</f>
        <v/>
      </c>
      <c r="BO975" s="300" t="str">
        <f>_xlfn.IFNA(VLOOKUP($BD975,Programma!$F$3:$Q$1107,12,0),"")</f>
        <v/>
      </c>
      <c r="BP975" s="300" t="str">
        <f>_xlfn.IFNA(VLOOKUP($BD975,Programma!$F$3:$R$1107,13,0),"")</f>
        <v/>
      </c>
      <c r="BQ975" s="300" t="str">
        <f>_xlfn.IFNA(VLOOKUP($BD975,Programma!$F$3:$S$1107,14,0),"")</f>
        <v/>
      </c>
      <c r="BR975" s="300" t="str">
        <f>_xlfn.IFNA(VLOOKUP($BD975,Programma!$F$3:$T$1107,15,0),"")</f>
        <v/>
      </c>
      <c r="BS975" s="300" t="str">
        <f>_xlfn.IFNA(VLOOKUP($BD975,Programma!$F$3:$U$1107,16,0),"")</f>
        <v/>
      </c>
      <c r="BT975" s="300" t="str">
        <f>_xlfn.IFNA(VLOOKUP($BD975,Programma!$F$3:$V$1107,17,0),"")</f>
        <v/>
      </c>
      <c r="BU975" s="300" t="str">
        <f>_xlfn.IFNA(VLOOKUP($BD975,Programma!$F$3:$W$1107,18,0),"")</f>
        <v/>
      </c>
      <c r="BV975" s="300" t="str">
        <f>_xlfn.IFNA(VLOOKUP($BD975,Programma!$F$3:$X$1107,19,0),"")</f>
        <v/>
      </c>
      <c r="BW975" s="300" t="str">
        <f>_xlfn.IFNA(VLOOKUP($BD975,Programma!$F$3:$Y$1107,20,0),"")</f>
        <v/>
      </c>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c r="GK975" s="4"/>
      <c r="GL975" s="4"/>
      <c r="GM975" s="4"/>
      <c r="GN975" s="4"/>
      <c r="GO975" s="4"/>
      <c r="GP975" s="4"/>
      <c r="GQ975" s="4"/>
      <c r="GR975" s="4"/>
      <c r="GS975" s="4"/>
      <c r="GT975" s="4"/>
      <c r="GU975" s="4"/>
      <c r="GV975" s="4"/>
      <c r="GW975" s="4"/>
      <c r="GX975" s="4"/>
      <c r="GY975" s="4"/>
      <c r="GZ975" s="4"/>
      <c r="HA975" s="4"/>
      <c r="HB975" s="4"/>
      <c r="HC975" s="4"/>
      <c r="HD975" s="4"/>
      <c r="HE975" s="4"/>
      <c r="HF975" s="4"/>
      <c r="HG975" s="4"/>
      <c r="HH975" s="4"/>
      <c r="HI975" s="4"/>
      <c r="HJ975" s="4"/>
      <c r="HK975" s="4"/>
      <c r="HL975" s="4"/>
    </row>
    <row r="976" spans="1:220" ht="15" customHeight="1">
      <c r="A976" s="21">
        <v>10</v>
      </c>
      <c r="B976" s="157" t="str">
        <f>VLOOKUP(Ruimtestaat[[#This Row],[Code]],Locaties[[Code]:[Locatie]],2,FALSE)</f>
        <v>Veurs Voorburg vmbo</v>
      </c>
      <c r="C976" s="157" t="str">
        <f>VLOOKUP(Ruimtestaat[[#This Row],[Code]],Locaties[[#All],[Code]:[Adres]],4,FALSE)</f>
        <v>Delflandlaan 4</v>
      </c>
      <c r="D976" s="157" t="str">
        <f>VLOOKUP(Ruimtestaat[[#This Row],[Code]],Locaties[[#All],[Code]:[Postcode]],5,FALSE)</f>
        <v>2273 CS</v>
      </c>
      <c r="E976" s="157" t="str">
        <f>VLOOKUP(Ruimtestaat[[#This Row],[Code]],Locaties[#All],6,FALSE)</f>
        <v>Voorburg</v>
      </c>
      <c r="F976" s="62"/>
      <c r="G976" s="21" t="s">
        <v>1624</v>
      </c>
      <c r="H976" s="21" t="s">
        <v>2058</v>
      </c>
      <c r="I976" s="62" t="s">
        <v>2217</v>
      </c>
      <c r="J976" s="21">
        <v>17</v>
      </c>
      <c r="K976" s="62" t="str">
        <f>VLOOKUP(Ruimtestaat[[#This Row],[Ruimte code]],Ruimtegroepen[[#All],[Code]:[Ruimte omschrijving]],2,FALSE)</f>
        <v>Toestelberging</v>
      </c>
      <c r="L976" s="33" t="s">
        <v>103</v>
      </c>
      <c r="M976" s="367" t="s">
        <v>2508</v>
      </c>
      <c r="N976" s="140">
        <v>35.700000000000003</v>
      </c>
      <c r="O976" s="140"/>
      <c r="P976" s="125" t="str">
        <f>VLOOKUP(Ruimtestaat[[#This Row],[Ruimte code]],Ruimtegroepen[],4,FALSE)</f>
        <v>Ve</v>
      </c>
      <c r="R976" s="33">
        <v>40</v>
      </c>
      <c r="S976" s="33" t="s">
        <v>16</v>
      </c>
      <c r="T976" s="33">
        <f>IF(R976&gt;0,IF(RIGHT(Ruimtestaat[[#This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976" s="33">
        <f>IF(T976&gt;0,VLOOKUP($J976,Ruimtegroepen[],3,FALSE)*VLOOKUP($L976,Vloersoorten[],3,FALSE)*VLOOKUP($S976,Frequenties[],3,FALSE)*VLOOKUP($A976,Locaties[],3,FALSE),0)</f>
        <v>0</v>
      </c>
      <c r="V976" s="33">
        <f>Ruimtestaat[[#This Row],[Uitvoeringen werkdagen]]*Ruimtestaat[[#This Row],[Oppervlak (netto)]]</f>
        <v>428.40000000000003</v>
      </c>
      <c r="W976" s="154">
        <f>IF(U976&gt;0,Ruimtestaat[[#This Row],[Prest. (m2 /jaar) werkdagen]]/Ruimtestaat[[#This Row],[Norm (m2/uur) werkdagen]],0)</f>
        <v>0</v>
      </c>
      <c r="X976" s="155">
        <f>Ruimtestaat[[#This Row],[uren / jaar werkdagen]]*Tariefsopbouw!$E$35</f>
        <v>0</v>
      </c>
      <c r="Y976" s="33"/>
      <c r="Z976" s="33">
        <f>IF(Ruimtestaat[[#This Row],[Frequentie weekend]]&gt;0,VALUE(LEFT(Y976,1))*R976,0)</f>
        <v>0</v>
      </c>
      <c r="AA976" s="97">
        <f>IF($Z976&gt;0,VLOOKUP($J976,Ruimtegroepen[],3,FALSE)*VLOOKUP($L976,Vloersoorten[],3,FALSE)*VLOOKUP($Y976,Frequenties[],3,FALSE)*VLOOKUP(Ruimtestaat[[#This Row],[Code]],Locaties[],3,FALSE),0)</f>
        <v>0</v>
      </c>
      <c r="AB976" s="97">
        <f>Ruimtestaat[[#This Row],[Uitvoeringen weekend]]*Ruimtestaat[[#This Row],[Oppervlak (netto)]]</f>
        <v>0</v>
      </c>
      <c r="AC976" s="97">
        <f>IF(AA976&gt;0,Ruimtestaat[[#This Row],[Prest. (m2 /jaar) weekend]]/Ruimtestaat[[#This Row],[Norm (m2/uur) weekend]],0)</f>
        <v>0</v>
      </c>
      <c r="AD976" s="155">
        <f>Ruimtestaat[[#This Row],[uren / jaar weekend]]*Tariefsopbouw!$D$40</f>
        <v>0</v>
      </c>
      <c r="AE976" s="154">
        <f>Ruimtestaat[[#This Row],[Prest. (m2 /jaar) weekend]]+Ruimtestaat[[#This Row],[Prest. (m2 /jaar) werkdagen]]</f>
        <v>428.40000000000003</v>
      </c>
      <c r="AF976" s="154">
        <f>Ruimtestaat[[#This Row],[uren / jaar weekend]]+Ruimtestaat[[#This Row],[uren / jaar werkdagen]]</f>
        <v>0</v>
      </c>
      <c r="AG976" s="69">
        <f>Ruimtestaat[[#This Row],[kosten / jaar weekend]]+Ruimtestaat[[#This Row],[kosten / jaar werkdagen]]</f>
        <v>0</v>
      </c>
      <c r="AH976" s="69"/>
      <c r="AI976" s="256" t="str">
        <f>IF(Ruimtestaat[[#This Row],[Frequentie werkdagen]]="","",_xlfn.CONCAT(Ruimtestaat[[#This Row],[Ruimte code]],"-",Ruimtestaat[[#This Row],[Frequentie werkdagen]]," ",Ruimtestaat[[#This Row],[Vloer code]]))</f>
        <v>17-1m P</v>
      </c>
      <c r="AJ976" s="300" t="str">
        <f>_xlfn.IFNA(VLOOKUP($AI976,Programma!$F$3:$G$1107,2,0),"")</f>
        <v>_</v>
      </c>
      <c r="AK976" s="300" t="str">
        <f>_xlfn.IFNA(VLOOKUP($AI976,Programma!$F$3:$H$1107,3,0),"")</f>
        <v>_</v>
      </c>
      <c r="AL976" s="300" t="str">
        <f>_xlfn.IFNA(VLOOKUP($AI976,Programma!$F$3:$I$1107,4,0),"")</f>
        <v>1m</v>
      </c>
      <c r="AM976" s="300" t="str">
        <f>_xlfn.IFNA(VLOOKUP($AI976,Programma!$F$3:$J$1107,5,0),"")</f>
        <v>_</v>
      </c>
      <c r="AN976" s="300" t="str">
        <f>_xlfn.IFNA(VLOOKUP($AI976,Programma!$F$3:$K$1107,6,0),"")</f>
        <v>4j</v>
      </c>
      <c r="AO976" s="300" t="str">
        <f>_xlfn.IFNA(VLOOKUP($AI976,Programma!$F$3:$L$1107,7,0),"")</f>
        <v>_</v>
      </c>
      <c r="AP976" s="300" t="str">
        <f>_xlfn.IFNA(VLOOKUP($AI976,Programma!$F$3:$M$1107,8,0),"")</f>
        <v>_</v>
      </c>
      <c r="AQ976" s="300" t="str">
        <f>_xlfn.IFNA(VLOOKUP($AI976,Programma!$F$3:$N$1107,9,0),"")</f>
        <v>_</v>
      </c>
      <c r="AR976" s="300" t="str">
        <f>_xlfn.IFNA(VLOOKUP($AI976,Programma!$F$3:$O$1107,10,0),"")</f>
        <v>1m</v>
      </c>
      <c r="AS976" s="300" t="str">
        <f>_xlfn.IFNA(VLOOKUP($AI976,Programma!$F$3:$P$1107,11,0),"")</f>
        <v>1m</v>
      </c>
      <c r="AT976" s="300" t="str">
        <f>_xlfn.IFNA(VLOOKUP($AI976,Programma!$F$3:$Q$1107,12,0),"")</f>
        <v>1m</v>
      </c>
      <c r="AU976" s="300" t="str">
        <f>_xlfn.IFNA(VLOOKUP($AI976,Programma!$F$3:$R$1107,13,0),"")</f>
        <v>1m</v>
      </c>
      <c r="AV976" s="300" t="str">
        <f>_xlfn.IFNA(VLOOKUP($AI976,Programma!$F$3:$S$1107,14,0),"")</f>
        <v>1m</v>
      </c>
      <c r="AW976" s="300" t="str">
        <f>_xlfn.IFNA(VLOOKUP($AI976,Programma!$F$3:$T$1107,15,0),"")</f>
        <v>2j</v>
      </c>
      <c r="AX976" s="300" t="str">
        <f>_xlfn.IFNA(VLOOKUP($AI976,Programma!$F$3:$U$1107,16,0),"")</f>
        <v>1j</v>
      </c>
      <c r="AY976" s="300" t="str">
        <f>_xlfn.IFNA(VLOOKUP($AI976,Programma!$F$3:$V$1107,17,0),"")</f>
        <v>_</v>
      </c>
      <c r="AZ976" s="300" t="str">
        <f>_xlfn.IFNA(VLOOKUP($AI976,Programma!$F$3:$W$1107,18,0),"")</f>
        <v>_</v>
      </c>
      <c r="BA976" s="300" t="str">
        <f>_xlfn.IFNA(VLOOKUP($AI976,Programma!$F$3:$X$1107,19,0),"")</f>
        <v>_</v>
      </c>
      <c r="BB976" s="300" t="str">
        <f>_xlfn.IFNA(VLOOKUP($AI976,Programma!$F$3:$Y$1107,20,0),"")</f>
        <v>_</v>
      </c>
      <c r="BC976" s="257"/>
      <c r="BD976" s="256" t="str">
        <f>IF(Ruimtestaat[[#This Row],[Frequentie weekend]]="","",_xlfn.CONCAT(Ruimtestaat[[#This Row],[Ruimte code]],"-",Ruimtestaat[[#This Row],[Frequentie weekend]]," ",Ruimtestaat[[#This Row],[Vloer code]]))</f>
        <v/>
      </c>
      <c r="BE976" s="300" t="str">
        <f>_xlfn.IFNA(VLOOKUP($BD976,Programma!$F$3:$G$1107,2,0),"")</f>
        <v/>
      </c>
      <c r="BF976" s="300" t="str">
        <f>_xlfn.IFNA(VLOOKUP($BD976,Programma!$F$3:$H$1107,3,0),"")</f>
        <v/>
      </c>
      <c r="BG976" s="300" t="str">
        <f>_xlfn.IFNA(VLOOKUP($BD976,Programma!$F$3:$I$1107,4,0),"")</f>
        <v/>
      </c>
      <c r="BH976" s="300" t="str">
        <f>_xlfn.IFNA(VLOOKUP($BD976,Programma!$F$3:$J$1107,5,0),"")</f>
        <v/>
      </c>
      <c r="BI976" s="300" t="str">
        <f>_xlfn.IFNA(VLOOKUP($BD976,Programma!$F$3:$K$1107,6,0),"")</f>
        <v/>
      </c>
      <c r="BJ976" s="300" t="str">
        <f>_xlfn.IFNA(VLOOKUP($BD976,Programma!$F$3:$L$1107,7,0),"")</f>
        <v/>
      </c>
      <c r="BK976" s="300" t="str">
        <f>_xlfn.IFNA(VLOOKUP($BD976,Programma!$F$3:$M$1107,8,0),"")</f>
        <v/>
      </c>
      <c r="BL976" s="300" t="str">
        <f>_xlfn.IFNA(VLOOKUP($BD976,Programma!$F$3:$N$1107,9,0),"")</f>
        <v/>
      </c>
      <c r="BM976" s="300" t="str">
        <f>_xlfn.IFNA(VLOOKUP($BD976,Programma!$F$3:$O$1107,10,0),"")</f>
        <v/>
      </c>
      <c r="BN976" s="300" t="str">
        <f>_xlfn.IFNA(VLOOKUP($BD976,Programma!$F$3:$P$1107,11,0),"")</f>
        <v/>
      </c>
      <c r="BO976" s="300" t="str">
        <f>_xlfn.IFNA(VLOOKUP($BD976,Programma!$F$3:$Q$1107,12,0),"")</f>
        <v/>
      </c>
      <c r="BP976" s="300" t="str">
        <f>_xlfn.IFNA(VLOOKUP($BD976,Programma!$F$3:$R$1107,13,0),"")</f>
        <v/>
      </c>
      <c r="BQ976" s="300" t="str">
        <f>_xlfn.IFNA(VLOOKUP($BD976,Programma!$F$3:$S$1107,14,0),"")</f>
        <v/>
      </c>
      <c r="BR976" s="300" t="str">
        <f>_xlfn.IFNA(VLOOKUP($BD976,Programma!$F$3:$T$1107,15,0),"")</f>
        <v/>
      </c>
      <c r="BS976" s="300" t="str">
        <f>_xlfn.IFNA(VLOOKUP($BD976,Programma!$F$3:$U$1107,16,0),"")</f>
        <v/>
      </c>
      <c r="BT976" s="300" t="str">
        <f>_xlfn.IFNA(VLOOKUP($BD976,Programma!$F$3:$V$1107,17,0),"")</f>
        <v/>
      </c>
      <c r="BU976" s="300" t="str">
        <f>_xlfn.IFNA(VLOOKUP($BD976,Programma!$F$3:$W$1107,18,0),"")</f>
        <v/>
      </c>
      <c r="BV976" s="300" t="str">
        <f>_xlfn.IFNA(VLOOKUP($BD976,Programma!$F$3:$X$1107,19,0),"")</f>
        <v/>
      </c>
      <c r="BW976" s="300" t="str">
        <f>_xlfn.IFNA(VLOOKUP($BD976,Programma!$F$3:$Y$1107,20,0),"")</f>
        <v/>
      </c>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c r="GK976" s="4"/>
      <c r="GL976" s="4"/>
      <c r="GM976" s="4"/>
      <c r="GN976" s="4"/>
      <c r="GO976" s="4"/>
      <c r="GP976" s="4"/>
      <c r="GQ976" s="4"/>
      <c r="GR976" s="4"/>
      <c r="GS976" s="4"/>
      <c r="GT976" s="4"/>
      <c r="GU976" s="4"/>
      <c r="GV976" s="4"/>
      <c r="GW976" s="4"/>
      <c r="GX976" s="4"/>
      <c r="GY976" s="4"/>
      <c r="GZ976" s="4"/>
      <c r="HA976" s="4"/>
      <c r="HB976" s="4"/>
      <c r="HC976" s="4"/>
      <c r="HD976" s="4"/>
      <c r="HE976" s="4"/>
      <c r="HF976" s="4"/>
      <c r="HG976" s="4"/>
      <c r="HH976" s="4"/>
      <c r="HI976" s="4"/>
      <c r="HJ976" s="4"/>
      <c r="HK976" s="4"/>
      <c r="HL976" s="4"/>
    </row>
    <row r="977" spans="1:220" ht="15" customHeight="1">
      <c r="A977" s="21">
        <v>10</v>
      </c>
      <c r="B977" s="157" t="str">
        <f>VLOOKUP(Ruimtestaat[[#This Row],[Code]],Locaties[[Code]:[Locatie]],2,FALSE)</f>
        <v>Veurs Voorburg vmbo</v>
      </c>
      <c r="C977" s="157" t="str">
        <f>VLOOKUP(Ruimtestaat[[#This Row],[Code]],Locaties[[#All],[Code]:[Adres]],4,FALSE)</f>
        <v>Delflandlaan 4</v>
      </c>
      <c r="D977" s="157" t="str">
        <f>VLOOKUP(Ruimtestaat[[#This Row],[Code]],Locaties[[#All],[Code]:[Postcode]],5,FALSE)</f>
        <v>2273 CS</v>
      </c>
      <c r="E977" s="157" t="str">
        <f>VLOOKUP(Ruimtestaat[[#This Row],[Code]],Locaties[#All],6,FALSE)</f>
        <v>Voorburg</v>
      </c>
      <c r="F977" s="62"/>
      <c r="G977" s="21" t="s">
        <v>1706</v>
      </c>
      <c r="H977" s="21" t="s">
        <v>1707</v>
      </c>
      <c r="I977" s="62" t="s">
        <v>2424</v>
      </c>
      <c r="J977" s="21">
        <v>10</v>
      </c>
      <c r="K977" s="62" t="str">
        <f>VLOOKUP(Ruimtestaat[[#This Row],[Ruimte code]],Ruimtegroepen[[#All],[Code]:[Ruimte omschrijving]],2,FALSE)</f>
        <v>Trappenhuizen/lift</v>
      </c>
      <c r="L977" s="33" t="s">
        <v>101</v>
      </c>
      <c r="M977" s="367" t="s">
        <v>2506</v>
      </c>
      <c r="N977" s="140">
        <v>15.6</v>
      </c>
      <c r="O977" s="140"/>
      <c r="P977" s="125" t="str">
        <f>VLOOKUP(Ruimtestaat[[#This Row],[Ruimte code]],Ruimtegroepen[],4,FALSE)</f>
        <v>Ve</v>
      </c>
      <c r="R977" s="33">
        <v>40</v>
      </c>
      <c r="S977" s="33" t="s">
        <v>2</v>
      </c>
      <c r="T977" s="33">
        <f>IF(R977&gt;0,IF(RIGHT(Ruimtestaat[[#This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7" s="33">
        <f>IF(T977&gt;0,VLOOKUP($J977,Ruimtegroepen[],3,FALSE)*VLOOKUP($L977,Vloersoorten[],3,FALSE)*VLOOKUP($S977,Frequenties[],3,FALSE)*VLOOKUP($A977,Locaties[],3,FALSE),0)</f>
        <v>0</v>
      </c>
      <c r="V977" s="33">
        <f>Ruimtestaat[[#This Row],[Uitvoeringen werkdagen]]*Ruimtestaat[[#This Row],[Oppervlak (netto)]]</f>
        <v>3120</v>
      </c>
      <c r="W977" s="154">
        <f>IF(U977&gt;0,Ruimtestaat[[#This Row],[Prest. (m2 /jaar) werkdagen]]/Ruimtestaat[[#This Row],[Norm (m2/uur) werkdagen]],0)</f>
        <v>0</v>
      </c>
      <c r="X977" s="155">
        <f>Ruimtestaat[[#This Row],[uren / jaar werkdagen]]*Tariefsopbouw!$E$35</f>
        <v>0</v>
      </c>
      <c r="Y977" s="33"/>
      <c r="Z977" s="33">
        <f>IF(Ruimtestaat[[#This Row],[Frequentie weekend]]&gt;0,VALUE(LEFT(Y977,1))*R977,0)</f>
        <v>0</v>
      </c>
      <c r="AA977" s="97">
        <f>IF($Z977&gt;0,VLOOKUP($J977,Ruimtegroepen[],3,FALSE)*VLOOKUP($L977,Vloersoorten[],3,FALSE)*VLOOKUP($Y977,Frequenties[],3,FALSE)*VLOOKUP(Ruimtestaat[[#This Row],[Code]],Locaties[],3,FALSE),0)</f>
        <v>0</v>
      </c>
      <c r="AB977" s="97">
        <f>Ruimtestaat[[#This Row],[Uitvoeringen weekend]]*Ruimtestaat[[#This Row],[Oppervlak (netto)]]</f>
        <v>0</v>
      </c>
      <c r="AC977" s="97">
        <f>IF(AA977&gt;0,Ruimtestaat[[#This Row],[Prest. (m2 /jaar) weekend]]/Ruimtestaat[[#This Row],[Norm (m2/uur) weekend]],0)</f>
        <v>0</v>
      </c>
      <c r="AD977" s="155">
        <f>Ruimtestaat[[#This Row],[uren / jaar weekend]]*Tariefsopbouw!$D$40</f>
        <v>0</v>
      </c>
      <c r="AE977" s="154">
        <f>Ruimtestaat[[#This Row],[Prest. (m2 /jaar) weekend]]+Ruimtestaat[[#This Row],[Prest. (m2 /jaar) werkdagen]]</f>
        <v>3120</v>
      </c>
      <c r="AF977" s="154">
        <f>Ruimtestaat[[#This Row],[uren / jaar weekend]]+Ruimtestaat[[#This Row],[uren / jaar werkdagen]]</f>
        <v>0</v>
      </c>
      <c r="AG977" s="69">
        <f>Ruimtestaat[[#This Row],[kosten / jaar weekend]]+Ruimtestaat[[#This Row],[kosten / jaar werkdagen]]</f>
        <v>0</v>
      </c>
      <c r="AH977" s="69"/>
      <c r="AI977" s="256" t="str">
        <f>IF(Ruimtestaat[[#This Row],[Frequentie werkdagen]]="","",_xlfn.CONCAT(Ruimtestaat[[#This Row],[Ruimte code]],"-",Ruimtestaat[[#This Row],[Frequentie werkdagen]]," ",Ruimtestaat[[#This Row],[Vloer code]]))</f>
        <v>10-5w L</v>
      </c>
      <c r="AJ977" s="300" t="str">
        <f>_xlfn.IFNA(VLOOKUP($AI977,Programma!$F$3:$G$1107,2,0),"")</f>
        <v>_</v>
      </c>
      <c r="AK977" s="300" t="str">
        <f>_xlfn.IFNA(VLOOKUP($AI977,Programma!$F$3:$H$1107,3,0),"")</f>
        <v>_</v>
      </c>
      <c r="AL977" s="300" t="str">
        <f>_xlfn.IFNA(VLOOKUP($AI977,Programma!$F$3:$I$1107,4,0),"")</f>
        <v>4w</v>
      </c>
      <c r="AM977" s="300" t="str">
        <f>_xlfn.IFNA(VLOOKUP($AI977,Programma!$F$3:$J$1107,5,0),"")</f>
        <v>1w</v>
      </c>
      <c r="AN977" s="300" t="str">
        <f>_xlfn.IFNA(VLOOKUP($AI977,Programma!$F$3:$K$1107,6,0),"")</f>
        <v>_</v>
      </c>
      <c r="AO977" s="300" t="str">
        <f>_xlfn.IFNA(VLOOKUP($AI977,Programma!$F$3:$L$1107,7,0),"")</f>
        <v>_</v>
      </c>
      <c r="AP977" s="300" t="str">
        <f>_xlfn.IFNA(VLOOKUP($AI977,Programma!$F$3:$M$1107,8,0),"")</f>
        <v>_</v>
      </c>
      <c r="AQ977" s="300" t="str">
        <f>_xlfn.IFNA(VLOOKUP($AI977,Programma!$F$3:$N$1107,9,0),"")</f>
        <v>_</v>
      </c>
      <c r="AR977" s="300" t="str">
        <f>_xlfn.IFNA(VLOOKUP($AI977,Programma!$F$3:$O$1107,10,0),"")</f>
        <v>5w</v>
      </c>
      <c r="AS977" s="300" t="str">
        <f>_xlfn.IFNA(VLOOKUP($AI977,Programma!$F$3:$P$1107,11,0),"")</f>
        <v>5w</v>
      </c>
      <c r="AT977" s="300" t="str">
        <f>_xlfn.IFNA(VLOOKUP($AI977,Programma!$F$3:$Q$1107,12,0),"")</f>
        <v>1w</v>
      </c>
      <c r="AU977" s="300" t="str">
        <f>_xlfn.IFNA(VLOOKUP($AI977,Programma!$F$3:$R$1107,13,0),"")</f>
        <v>1w</v>
      </c>
      <c r="AV977" s="300" t="str">
        <f>_xlfn.IFNA(VLOOKUP($AI977,Programma!$F$3:$S$1107,14,0),"")</f>
        <v>1m</v>
      </c>
      <c r="AW977" s="300" t="str">
        <f>_xlfn.IFNA(VLOOKUP($AI977,Programma!$F$3:$T$1107,15,0),"")</f>
        <v>2j</v>
      </c>
      <c r="AX977" s="300" t="str">
        <f>_xlfn.IFNA(VLOOKUP($AI977,Programma!$F$3:$U$1107,16,0),"")</f>
        <v>1j</v>
      </c>
      <c r="AY977" s="300" t="str">
        <f>_xlfn.IFNA(VLOOKUP($AI977,Programma!$F$3:$V$1107,17,0),"")</f>
        <v>_</v>
      </c>
      <c r="AZ977" s="300" t="str">
        <f>_xlfn.IFNA(VLOOKUP($AI977,Programma!$F$3:$W$1107,18,0),"")</f>
        <v>_</v>
      </c>
      <c r="BA977" s="300" t="str">
        <f>_xlfn.IFNA(VLOOKUP($AI977,Programma!$F$3:$X$1107,19,0),"")</f>
        <v>_</v>
      </c>
      <c r="BB977" s="300" t="str">
        <f>_xlfn.IFNA(VLOOKUP($AI977,Programma!$F$3:$Y$1107,20,0),"")</f>
        <v>_</v>
      </c>
      <c r="BC977" s="257"/>
      <c r="BD977" s="256" t="str">
        <f>IF(Ruimtestaat[[#This Row],[Frequentie weekend]]="","",_xlfn.CONCAT(Ruimtestaat[[#This Row],[Ruimte code]],"-",Ruimtestaat[[#This Row],[Frequentie weekend]]," ",Ruimtestaat[[#This Row],[Vloer code]]))</f>
        <v/>
      </c>
      <c r="BE977" s="300" t="str">
        <f>_xlfn.IFNA(VLOOKUP($BD977,Programma!$F$3:$G$1107,2,0),"")</f>
        <v/>
      </c>
      <c r="BF977" s="300" t="str">
        <f>_xlfn.IFNA(VLOOKUP($BD977,Programma!$F$3:$H$1107,3,0),"")</f>
        <v/>
      </c>
      <c r="BG977" s="300" t="str">
        <f>_xlfn.IFNA(VLOOKUP($BD977,Programma!$F$3:$I$1107,4,0),"")</f>
        <v/>
      </c>
      <c r="BH977" s="300" t="str">
        <f>_xlfn.IFNA(VLOOKUP($BD977,Programma!$F$3:$J$1107,5,0),"")</f>
        <v/>
      </c>
      <c r="BI977" s="300" t="str">
        <f>_xlfn.IFNA(VLOOKUP($BD977,Programma!$F$3:$K$1107,6,0),"")</f>
        <v/>
      </c>
      <c r="BJ977" s="300" t="str">
        <f>_xlfn.IFNA(VLOOKUP($BD977,Programma!$F$3:$L$1107,7,0),"")</f>
        <v/>
      </c>
      <c r="BK977" s="300" t="str">
        <f>_xlfn.IFNA(VLOOKUP($BD977,Programma!$F$3:$M$1107,8,0),"")</f>
        <v/>
      </c>
      <c r="BL977" s="300" t="str">
        <f>_xlfn.IFNA(VLOOKUP($BD977,Programma!$F$3:$N$1107,9,0),"")</f>
        <v/>
      </c>
      <c r="BM977" s="300" t="str">
        <f>_xlfn.IFNA(VLOOKUP($BD977,Programma!$F$3:$O$1107,10,0),"")</f>
        <v/>
      </c>
      <c r="BN977" s="300" t="str">
        <f>_xlfn.IFNA(VLOOKUP($BD977,Programma!$F$3:$P$1107,11,0),"")</f>
        <v/>
      </c>
      <c r="BO977" s="300" t="str">
        <f>_xlfn.IFNA(VLOOKUP($BD977,Programma!$F$3:$Q$1107,12,0),"")</f>
        <v/>
      </c>
      <c r="BP977" s="300" t="str">
        <f>_xlfn.IFNA(VLOOKUP($BD977,Programma!$F$3:$R$1107,13,0),"")</f>
        <v/>
      </c>
      <c r="BQ977" s="300" t="str">
        <f>_xlfn.IFNA(VLOOKUP($BD977,Programma!$F$3:$S$1107,14,0),"")</f>
        <v/>
      </c>
      <c r="BR977" s="300" t="str">
        <f>_xlfn.IFNA(VLOOKUP($BD977,Programma!$F$3:$T$1107,15,0),"")</f>
        <v/>
      </c>
      <c r="BS977" s="300" t="str">
        <f>_xlfn.IFNA(VLOOKUP($BD977,Programma!$F$3:$U$1107,16,0),"")</f>
        <v/>
      </c>
      <c r="BT977" s="300" t="str">
        <f>_xlfn.IFNA(VLOOKUP($BD977,Programma!$F$3:$V$1107,17,0),"")</f>
        <v/>
      </c>
      <c r="BU977" s="300" t="str">
        <f>_xlfn.IFNA(VLOOKUP($BD977,Programma!$F$3:$W$1107,18,0),"")</f>
        <v/>
      </c>
      <c r="BV977" s="300" t="str">
        <f>_xlfn.IFNA(VLOOKUP($BD977,Programma!$F$3:$X$1107,19,0),"")</f>
        <v/>
      </c>
      <c r="BW977" s="300" t="str">
        <f>_xlfn.IFNA(VLOOKUP($BD977,Programma!$F$3:$Y$1107,20,0),"")</f>
        <v/>
      </c>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c r="GK977" s="4"/>
      <c r="GL977" s="4"/>
      <c r="GM977" s="4"/>
      <c r="GN977" s="4"/>
      <c r="GO977" s="4"/>
      <c r="GP977" s="4"/>
      <c r="GQ977" s="4"/>
      <c r="GR977" s="4"/>
      <c r="GS977" s="4"/>
      <c r="GT977" s="4"/>
      <c r="GU977" s="4"/>
      <c r="GV977" s="4"/>
      <c r="GW977" s="4"/>
      <c r="GX977" s="4"/>
      <c r="GY977" s="4"/>
      <c r="GZ977" s="4"/>
      <c r="HA977" s="4"/>
      <c r="HB977" s="4"/>
      <c r="HC977" s="4"/>
      <c r="HD977" s="4"/>
      <c r="HE977" s="4"/>
      <c r="HF977" s="4"/>
      <c r="HG977" s="4"/>
      <c r="HH977" s="4"/>
      <c r="HI977" s="4"/>
      <c r="HJ977" s="4"/>
      <c r="HK977" s="4"/>
      <c r="HL977" s="4"/>
    </row>
    <row r="978" spans="1:220" ht="15" customHeight="1">
      <c r="A978" s="21">
        <v>10</v>
      </c>
      <c r="B978" s="157" t="str">
        <f>VLOOKUP(Ruimtestaat[[#This Row],[Code]],Locaties[[Code]:[Locatie]],2,FALSE)</f>
        <v>Veurs Voorburg vmbo</v>
      </c>
      <c r="C978" s="157" t="str">
        <f>VLOOKUP(Ruimtestaat[[#This Row],[Code]],Locaties[[#All],[Code]:[Adres]],4,FALSE)</f>
        <v>Delflandlaan 4</v>
      </c>
      <c r="D978" s="157" t="str">
        <f>VLOOKUP(Ruimtestaat[[#This Row],[Code]],Locaties[[#All],[Code]:[Postcode]],5,FALSE)</f>
        <v>2273 CS</v>
      </c>
      <c r="E978" s="157" t="str">
        <f>VLOOKUP(Ruimtestaat[[#This Row],[Code]],Locaties[#All],6,FALSE)</f>
        <v>Voorburg</v>
      </c>
      <c r="F978" s="62"/>
      <c r="G978" s="21" t="s">
        <v>1706</v>
      </c>
      <c r="H978" s="21" t="s">
        <v>1708</v>
      </c>
      <c r="I978" s="62" t="s">
        <v>1761</v>
      </c>
      <c r="J978" s="21">
        <v>6</v>
      </c>
      <c r="K978" s="62" t="str">
        <f>VLOOKUP(Ruimtestaat[[#This Row],[Ruimte code]],Ruimtegroepen[[#All],[Code]:[Ruimte omschrijving]],2,FALSE)</f>
        <v>Gangen/hallen</v>
      </c>
      <c r="L978" s="33" t="s">
        <v>101</v>
      </c>
      <c r="M978" s="367" t="s">
        <v>2506</v>
      </c>
      <c r="N978" s="140">
        <v>43.6</v>
      </c>
      <c r="O978" s="140"/>
      <c r="P978" s="125" t="str">
        <f>VLOOKUP(Ruimtestaat[[#This Row],[Ruimte code]],Ruimtegroepen[],4,FALSE)</f>
        <v>Ve</v>
      </c>
      <c r="R978" s="33">
        <v>40</v>
      </c>
      <c r="S978" s="33" t="s">
        <v>2</v>
      </c>
      <c r="T978" s="33">
        <f>IF(R978&gt;0,IF(RIGHT(Ruimtestaat[[#This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8" s="33">
        <f>IF(T978&gt;0,VLOOKUP($J978,Ruimtegroepen[],3,FALSE)*VLOOKUP($L978,Vloersoorten[],3,FALSE)*VLOOKUP($S978,Frequenties[],3,FALSE)*VLOOKUP($A978,Locaties[],3,FALSE),0)</f>
        <v>0</v>
      </c>
      <c r="V978" s="33">
        <f>Ruimtestaat[[#This Row],[Uitvoeringen werkdagen]]*Ruimtestaat[[#This Row],[Oppervlak (netto)]]</f>
        <v>8720</v>
      </c>
      <c r="W978" s="154">
        <f>IF(U978&gt;0,Ruimtestaat[[#This Row],[Prest. (m2 /jaar) werkdagen]]/Ruimtestaat[[#This Row],[Norm (m2/uur) werkdagen]],0)</f>
        <v>0</v>
      </c>
      <c r="X978" s="155">
        <f>Ruimtestaat[[#This Row],[uren / jaar werkdagen]]*Tariefsopbouw!$E$35</f>
        <v>0</v>
      </c>
      <c r="Y978" s="33"/>
      <c r="Z978" s="33">
        <f>IF(Ruimtestaat[[#This Row],[Frequentie weekend]]&gt;0,VALUE(LEFT(Y978,1))*R978,0)</f>
        <v>0</v>
      </c>
      <c r="AA978" s="97">
        <f>IF($Z978&gt;0,VLOOKUP($J978,Ruimtegroepen[],3,FALSE)*VLOOKUP($L978,Vloersoorten[],3,FALSE)*VLOOKUP($Y978,Frequenties[],3,FALSE)*VLOOKUP(Ruimtestaat[[#This Row],[Code]],Locaties[],3,FALSE),0)</f>
        <v>0</v>
      </c>
      <c r="AB978" s="97">
        <f>Ruimtestaat[[#This Row],[Uitvoeringen weekend]]*Ruimtestaat[[#This Row],[Oppervlak (netto)]]</f>
        <v>0</v>
      </c>
      <c r="AC978" s="97">
        <f>IF(AA978&gt;0,Ruimtestaat[[#This Row],[Prest. (m2 /jaar) weekend]]/Ruimtestaat[[#This Row],[Norm (m2/uur) weekend]],0)</f>
        <v>0</v>
      </c>
      <c r="AD978" s="155">
        <f>Ruimtestaat[[#This Row],[uren / jaar weekend]]*Tariefsopbouw!$D$40</f>
        <v>0</v>
      </c>
      <c r="AE978" s="154">
        <f>Ruimtestaat[[#This Row],[Prest. (m2 /jaar) weekend]]+Ruimtestaat[[#This Row],[Prest. (m2 /jaar) werkdagen]]</f>
        <v>8720</v>
      </c>
      <c r="AF978" s="154">
        <f>Ruimtestaat[[#This Row],[uren / jaar weekend]]+Ruimtestaat[[#This Row],[uren / jaar werkdagen]]</f>
        <v>0</v>
      </c>
      <c r="AG978" s="69">
        <f>Ruimtestaat[[#This Row],[kosten / jaar weekend]]+Ruimtestaat[[#This Row],[kosten / jaar werkdagen]]</f>
        <v>0</v>
      </c>
      <c r="AH978" s="69"/>
      <c r="AI978" s="256" t="str">
        <f>IF(Ruimtestaat[[#This Row],[Frequentie werkdagen]]="","",_xlfn.CONCAT(Ruimtestaat[[#This Row],[Ruimte code]],"-",Ruimtestaat[[#This Row],[Frequentie werkdagen]]," ",Ruimtestaat[[#This Row],[Vloer code]]))</f>
        <v>6-5w L</v>
      </c>
      <c r="AJ978" s="300" t="str">
        <f>_xlfn.IFNA(VLOOKUP($AI978,Programma!$F$3:$G$1107,2,0),"")</f>
        <v>_</v>
      </c>
      <c r="AK978" s="300" t="str">
        <f>_xlfn.IFNA(VLOOKUP($AI978,Programma!$F$3:$H$1107,3,0),"")</f>
        <v>_</v>
      </c>
      <c r="AL978" s="300" t="str">
        <f>_xlfn.IFNA(VLOOKUP($AI978,Programma!$F$3:$I$1107,4,0),"")</f>
        <v>_</v>
      </c>
      <c r="AM978" s="300" t="str">
        <f>_xlfn.IFNA(VLOOKUP($AI978,Programma!$F$3:$J$1107,5,0),"")</f>
        <v>5w</v>
      </c>
      <c r="AN978" s="300" t="str">
        <f>_xlfn.IFNA(VLOOKUP($AI978,Programma!$F$3:$K$1107,6,0),"")</f>
        <v>_</v>
      </c>
      <c r="AO978" s="300" t="str">
        <f>_xlfn.IFNA(VLOOKUP($AI978,Programma!$F$3:$L$1107,7,0),"")</f>
        <v>_</v>
      </c>
      <c r="AP978" s="300" t="str">
        <f>_xlfn.IFNA(VLOOKUP($AI978,Programma!$F$3:$M$1107,8,0),"")</f>
        <v>_</v>
      </c>
      <c r="AQ978" s="300" t="str">
        <f>_xlfn.IFNA(VLOOKUP($AI978,Programma!$F$3:$N$1107,9,0),"")</f>
        <v>_</v>
      </c>
      <c r="AR978" s="300" t="str">
        <f>_xlfn.IFNA(VLOOKUP($AI978,Programma!$F$3:$O$1107,10,0),"")</f>
        <v>5w</v>
      </c>
      <c r="AS978" s="300" t="str">
        <f>_xlfn.IFNA(VLOOKUP($AI978,Programma!$F$3:$P$1107,11,0),"")</f>
        <v>5w</v>
      </c>
      <c r="AT978" s="300" t="str">
        <f>_xlfn.IFNA(VLOOKUP($AI978,Programma!$F$3:$Q$1107,12,0),"")</f>
        <v>1w</v>
      </c>
      <c r="AU978" s="300" t="str">
        <f>_xlfn.IFNA(VLOOKUP($AI978,Programma!$F$3:$R$1107,13,0),"")</f>
        <v>1w</v>
      </c>
      <c r="AV978" s="300" t="str">
        <f>_xlfn.IFNA(VLOOKUP($AI978,Programma!$F$3:$S$1107,14,0),"")</f>
        <v>1m</v>
      </c>
      <c r="AW978" s="300" t="str">
        <f>_xlfn.IFNA(VLOOKUP($AI978,Programma!$F$3:$T$1107,15,0),"")</f>
        <v>2j</v>
      </c>
      <c r="AX978" s="300" t="str">
        <f>_xlfn.IFNA(VLOOKUP($AI978,Programma!$F$3:$U$1107,16,0),"")</f>
        <v>1j</v>
      </c>
      <c r="AY978" s="300" t="str">
        <f>_xlfn.IFNA(VLOOKUP($AI978,Programma!$F$3:$V$1107,17,0),"")</f>
        <v>_</v>
      </c>
      <c r="AZ978" s="300" t="str">
        <f>_xlfn.IFNA(VLOOKUP($AI978,Programma!$F$3:$W$1107,18,0),"")</f>
        <v>_</v>
      </c>
      <c r="BA978" s="300" t="str">
        <f>_xlfn.IFNA(VLOOKUP($AI978,Programma!$F$3:$X$1107,19,0),"")</f>
        <v>_</v>
      </c>
      <c r="BB978" s="300" t="str">
        <f>_xlfn.IFNA(VLOOKUP($AI978,Programma!$F$3:$Y$1107,20,0),"")</f>
        <v>_</v>
      </c>
      <c r="BC978" s="257"/>
      <c r="BD978" s="256" t="str">
        <f>IF(Ruimtestaat[[#This Row],[Frequentie weekend]]="","",_xlfn.CONCAT(Ruimtestaat[[#This Row],[Ruimte code]],"-",Ruimtestaat[[#This Row],[Frequentie weekend]]," ",Ruimtestaat[[#This Row],[Vloer code]]))</f>
        <v/>
      </c>
      <c r="BE978" s="300" t="str">
        <f>_xlfn.IFNA(VLOOKUP($BD978,Programma!$F$3:$G$1107,2,0),"")</f>
        <v/>
      </c>
      <c r="BF978" s="300" t="str">
        <f>_xlfn.IFNA(VLOOKUP($BD978,Programma!$F$3:$H$1107,3,0),"")</f>
        <v/>
      </c>
      <c r="BG978" s="300" t="str">
        <f>_xlfn.IFNA(VLOOKUP($BD978,Programma!$F$3:$I$1107,4,0),"")</f>
        <v/>
      </c>
      <c r="BH978" s="300" t="str">
        <f>_xlfn.IFNA(VLOOKUP($BD978,Programma!$F$3:$J$1107,5,0),"")</f>
        <v/>
      </c>
      <c r="BI978" s="300" t="str">
        <f>_xlfn.IFNA(VLOOKUP($BD978,Programma!$F$3:$K$1107,6,0),"")</f>
        <v/>
      </c>
      <c r="BJ978" s="300" t="str">
        <f>_xlfn.IFNA(VLOOKUP($BD978,Programma!$F$3:$L$1107,7,0),"")</f>
        <v/>
      </c>
      <c r="BK978" s="300" t="str">
        <f>_xlfn.IFNA(VLOOKUP($BD978,Programma!$F$3:$M$1107,8,0),"")</f>
        <v/>
      </c>
      <c r="BL978" s="300" t="str">
        <f>_xlfn.IFNA(VLOOKUP($BD978,Programma!$F$3:$N$1107,9,0),"")</f>
        <v/>
      </c>
      <c r="BM978" s="300" t="str">
        <f>_xlfn.IFNA(VLOOKUP($BD978,Programma!$F$3:$O$1107,10,0),"")</f>
        <v/>
      </c>
      <c r="BN978" s="300" t="str">
        <f>_xlfn.IFNA(VLOOKUP($BD978,Programma!$F$3:$P$1107,11,0),"")</f>
        <v/>
      </c>
      <c r="BO978" s="300" t="str">
        <f>_xlfn.IFNA(VLOOKUP($BD978,Programma!$F$3:$Q$1107,12,0),"")</f>
        <v/>
      </c>
      <c r="BP978" s="300" t="str">
        <f>_xlfn.IFNA(VLOOKUP($BD978,Programma!$F$3:$R$1107,13,0),"")</f>
        <v/>
      </c>
      <c r="BQ978" s="300" t="str">
        <f>_xlfn.IFNA(VLOOKUP($BD978,Programma!$F$3:$S$1107,14,0),"")</f>
        <v/>
      </c>
      <c r="BR978" s="300" t="str">
        <f>_xlfn.IFNA(VLOOKUP($BD978,Programma!$F$3:$T$1107,15,0),"")</f>
        <v/>
      </c>
      <c r="BS978" s="300" t="str">
        <f>_xlfn.IFNA(VLOOKUP($BD978,Programma!$F$3:$U$1107,16,0),"")</f>
        <v/>
      </c>
      <c r="BT978" s="300" t="str">
        <f>_xlfn.IFNA(VLOOKUP($BD978,Programma!$F$3:$V$1107,17,0),"")</f>
        <v/>
      </c>
      <c r="BU978" s="300" t="str">
        <f>_xlfn.IFNA(VLOOKUP($BD978,Programma!$F$3:$W$1107,18,0),"")</f>
        <v/>
      </c>
      <c r="BV978" s="300" t="str">
        <f>_xlfn.IFNA(VLOOKUP($BD978,Programma!$F$3:$X$1107,19,0),"")</f>
        <v/>
      </c>
      <c r="BW978" s="300" t="str">
        <f>_xlfn.IFNA(VLOOKUP($BD978,Programma!$F$3:$Y$1107,20,0),"")</f>
        <v/>
      </c>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c r="GK978" s="4"/>
      <c r="GL978" s="4"/>
      <c r="GM978" s="4"/>
      <c r="GN978" s="4"/>
      <c r="GO978" s="4"/>
      <c r="GP978" s="4"/>
      <c r="GQ978" s="4"/>
      <c r="GR978" s="4"/>
      <c r="GS978" s="4"/>
      <c r="GT978" s="4"/>
      <c r="GU978" s="4"/>
      <c r="GV978" s="4"/>
      <c r="GW978" s="4"/>
      <c r="GX978" s="4"/>
      <c r="GY978" s="4"/>
      <c r="GZ978" s="4"/>
      <c r="HA978" s="4"/>
      <c r="HB978" s="4"/>
      <c r="HC978" s="4"/>
      <c r="HD978" s="4"/>
      <c r="HE978" s="4"/>
      <c r="HF978" s="4"/>
      <c r="HG978" s="4"/>
      <c r="HH978" s="4"/>
      <c r="HI978" s="4"/>
      <c r="HJ978" s="4"/>
      <c r="HK978" s="4"/>
      <c r="HL978" s="4"/>
    </row>
    <row r="979" spans="1:220" ht="15" customHeight="1">
      <c r="A979" s="21">
        <v>10</v>
      </c>
      <c r="B979" s="157" t="str">
        <f>VLOOKUP(Ruimtestaat[[#This Row],[Code]],Locaties[[Code]:[Locatie]],2,FALSE)</f>
        <v>Veurs Voorburg vmbo</v>
      </c>
      <c r="C979" s="157" t="str">
        <f>VLOOKUP(Ruimtestaat[[#This Row],[Code]],Locaties[[#All],[Code]:[Adres]],4,FALSE)</f>
        <v>Delflandlaan 4</v>
      </c>
      <c r="D979" s="157" t="str">
        <f>VLOOKUP(Ruimtestaat[[#This Row],[Code]],Locaties[[#All],[Code]:[Postcode]],5,FALSE)</f>
        <v>2273 CS</v>
      </c>
      <c r="E979" s="157" t="str">
        <f>VLOOKUP(Ruimtestaat[[#This Row],[Code]],Locaties[#All],6,FALSE)</f>
        <v>Voorburg</v>
      </c>
      <c r="F979" s="62"/>
      <c r="G979" s="21" t="s">
        <v>1706</v>
      </c>
      <c r="H979" s="21" t="s">
        <v>1709</v>
      </c>
      <c r="I979" s="62" t="s">
        <v>2462</v>
      </c>
      <c r="J979" s="21">
        <v>16</v>
      </c>
      <c r="K979" s="62" t="str">
        <f>VLOOKUP(Ruimtestaat[[#This Row],[Ruimte code]],Ruimtegroepen[[#All],[Code]:[Ruimte omschrijving]],2,FALSE)</f>
        <v>Leslokalen theorie</v>
      </c>
      <c r="L979" s="33" t="s">
        <v>101</v>
      </c>
      <c r="M979" s="367" t="s">
        <v>2506</v>
      </c>
      <c r="N979" s="140">
        <v>50.7</v>
      </c>
      <c r="O979" s="140"/>
      <c r="P979" s="125" t="str">
        <f>VLOOKUP(Ruimtestaat[[#This Row],[Ruimte code]],Ruimtegroepen[],4,FALSE)</f>
        <v>Le</v>
      </c>
      <c r="R979" s="33">
        <v>40</v>
      </c>
      <c r="S979" s="33" t="s">
        <v>2</v>
      </c>
      <c r="T979" s="33">
        <f>IF(R979&gt;0,IF(RIGHT(Ruimtestaat[[#This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9" s="33">
        <f>IF(T979&gt;0,VLOOKUP($J979,Ruimtegroepen[],3,FALSE)*VLOOKUP($L979,Vloersoorten[],3,FALSE)*VLOOKUP($S979,Frequenties[],3,FALSE)*VLOOKUP($A979,Locaties[],3,FALSE),0)</f>
        <v>0</v>
      </c>
      <c r="V979" s="33">
        <f>Ruimtestaat[[#This Row],[Uitvoeringen werkdagen]]*Ruimtestaat[[#This Row],[Oppervlak (netto)]]</f>
        <v>10140</v>
      </c>
      <c r="W979" s="154">
        <f>IF(U979&gt;0,Ruimtestaat[[#This Row],[Prest. (m2 /jaar) werkdagen]]/Ruimtestaat[[#This Row],[Norm (m2/uur) werkdagen]],0)</f>
        <v>0</v>
      </c>
      <c r="X979" s="155">
        <f>Ruimtestaat[[#This Row],[uren / jaar werkdagen]]*Tariefsopbouw!$E$35</f>
        <v>0</v>
      </c>
      <c r="Y979" s="33"/>
      <c r="Z979" s="33">
        <f>IF(Ruimtestaat[[#This Row],[Frequentie weekend]]&gt;0,VALUE(LEFT(Y979,1))*R979,0)</f>
        <v>0</v>
      </c>
      <c r="AA979" s="97">
        <f>IF($Z979&gt;0,VLOOKUP($J979,Ruimtegroepen[],3,FALSE)*VLOOKUP($L979,Vloersoorten[],3,FALSE)*VLOOKUP($Y979,Frequenties[],3,FALSE)*VLOOKUP(Ruimtestaat[[#This Row],[Code]],Locaties[],3,FALSE),0)</f>
        <v>0</v>
      </c>
      <c r="AB979" s="97">
        <f>Ruimtestaat[[#This Row],[Uitvoeringen weekend]]*Ruimtestaat[[#This Row],[Oppervlak (netto)]]</f>
        <v>0</v>
      </c>
      <c r="AC979" s="97">
        <f>IF(AA979&gt;0,Ruimtestaat[[#This Row],[Prest. (m2 /jaar) weekend]]/Ruimtestaat[[#This Row],[Norm (m2/uur) weekend]],0)</f>
        <v>0</v>
      </c>
      <c r="AD979" s="155">
        <f>Ruimtestaat[[#This Row],[uren / jaar weekend]]*Tariefsopbouw!$D$40</f>
        <v>0</v>
      </c>
      <c r="AE979" s="154">
        <f>Ruimtestaat[[#This Row],[Prest. (m2 /jaar) weekend]]+Ruimtestaat[[#This Row],[Prest. (m2 /jaar) werkdagen]]</f>
        <v>10140</v>
      </c>
      <c r="AF979" s="154">
        <f>Ruimtestaat[[#This Row],[uren / jaar weekend]]+Ruimtestaat[[#This Row],[uren / jaar werkdagen]]</f>
        <v>0</v>
      </c>
      <c r="AG979" s="69">
        <f>Ruimtestaat[[#This Row],[kosten / jaar weekend]]+Ruimtestaat[[#This Row],[kosten / jaar werkdagen]]</f>
        <v>0</v>
      </c>
      <c r="AH979" s="69"/>
      <c r="AI979" s="256" t="str">
        <f>IF(Ruimtestaat[[#This Row],[Frequentie werkdagen]]="","",_xlfn.CONCAT(Ruimtestaat[[#This Row],[Ruimte code]],"-",Ruimtestaat[[#This Row],[Frequentie werkdagen]]," ",Ruimtestaat[[#This Row],[Vloer code]]))</f>
        <v>16-5w L</v>
      </c>
      <c r="AJ979" s="300" t="str">
        <f>_xlfn.IFNA(VLOOKUP($AI979,Programma!$F$3:$G$1107,2,0),"")</f>
        <v>_</v>
      </c>
      <c r="AK979" s="300" t="str">
        <f>_xlfn.IFNA(VLOOKUP($AI979,Programma!$F$3:$H$1107,3,0),"")</f>
        <v>_</v>
      </c>
      <c r="AL979" s="300" t="str">
        <f>_xlfn.IFNA(VLOOKUP($AI979,Programma!$F$3:$I$1107,4,0),"")</f>
        <v>4w</v>
      </c>
      <c r="AM979" s="300" t="str">
        <f>_xlfn.IFNA(VLOOKUP($AI979,Programma!$F$3:$J$1107,5,0),"")</f>
        <v>1w</v>
      </c>
      <c r="AN979" s="300" t="str">
        <f>_xlfn.IFNA(VLOOKUP($AI979,Programma!$F$3:$K$1107,6,0),"")</f>
        <v>_</v>
      </c>
      <c r="AO979" s="300" t="str">
        <f>_xlfn.IFNA(VLOOKUP($AI979,Programma!$F$3:$L$1107,7,0),"")</f>
        <v>_</v>
      </c>
      <c r="AP979" s="300" t="str">
        <f>_xlfn.IFNA(VLOOKUP($AI979,Programma!$F$3:$M$1107,8,0),"")</f>
        <v>_</v>
      </c>
      <c r="AQ979" s="300" t="str">
        <f>_xlfn.IFNA(VLOOKUP($AI979,Programma!$F$3:$N$1107,9,0),"")</f>
        <v>_</v>
      </c>
      <c r="AR979" s="300" t="str">
        <f>_xlfn.IFNA(VLOOKUP($AI979,Programma!$F$3:$O$1107,10,0),"")</f>
        <v>5w</v>
      </c>
      <c r="AS979" s="300" t="str">
        <f>_xlfn.IFNA(VLOOKUP($AI979,Programma!$F$3:$P$1107,11,0),"")</f>
        <v>5w</v>
      </c>
      <c r="AT979" s="300" t="str">
        <f>_xlfn.IFNA(VLOOKUP($AI979,Programma!$F$3:$Q$1107,12,0),"")</f>
        <v>1w</v>
      </c>
      <c r="AU979" s="300" t="str">
        <f>_xlfn.IFNA(VLOOKUP($AI979,Programma!$F$3:$R$1107,13,0),"")</f>
        <v>1w</v>
      </c>
      <c r="AV979" s="300" t="str">
        <f>_xlfn.IFNA(VLOOKUP($AI979,Programma!$F$3:$S$1107,14,0),"")</f>
        <v>1m</v>
      </c>
      <c r="AW979" s="300" t="str">
        <f>_xlfn.IFNA(VLOOKUP($AI979,Programma!$F$3:$T$1107,15,0),"")</f>
        <v>2j</v>
      </c>
      <c r="AX979" s="300" t="str">
        <f>_xlfn.IFNA(VLOOKUP($AI979,Programma!$F$3:$U$1107,16,0),"")</f>
        <v>1j</v>
      </c>
      <c r="AY979" s="300" t="str">
        <f>_xlfn.IFNA(VLOOKUP($AI979,Programma!$F$3:$V$1107,17,0),"")</f>
        <v>_</v>
      </c>
      <c r="AZ979" s="300" t="str">
        <f>_xlfn.IFNA(VLOOKUP($AI979,Programma!$F$3:$W$1107,18,0),"")</f>
        <v>_</v>
      </c>
      <c r="BA979" s="300" t="str">
        <f>_xlfn.IFNA(VLOOKUP($AI979,Programma!$F$3:$X$1107,19,0),"")</f>
        <v>_</v>
      </c>
      <c r="BB979" s="300" t="str">
        <f>_xlfn.IFNA(VLOOKUP($AI979,Programma!$F$3:$Y$1107,20,0),"")</f>
        <v>_</v>
      </c>
      <c r="BC979" s="257"/>
      <c r="BD979" s="256" t="str">
        <f>IF(Ruimtestaat[[#This Row],[Frequentie weekend]]="","",_xlfn.CONCAT(Ruimtestaat[[#This Row],[Ruimte code]],"-",Ruimtestaat[[#This Row],[Frequentie weekend]]," ",Ruimtestaat[[#This Row],[Vloer code]]))</f>
        <v/>
      </c>
      <c r="BE979" s="300" t="str">
        <f>_xlfn.IFNA(VLOOKUP($BD979,Programma!$F$3:$G$1107,2,0),"")</f>
        <v/>
      </c>
      <c r="BF979" s="300" t="str">
        <f>_xlfn.IFNA(VLOOKUP($BD979,Programma!$F$3:$H$1107,3,0),"")</f>
        <v/>
      </c>
      <c r="BG979" s="300" t="str">
        <f>_xlfn.IFNA(VLOOKUP($BD979,Programma!$F$3:$I$1107,4,0),"")</f>
        <v/>
      </c>
      <c r="BH979" s="300" t="str">
        <f>_xlfn.IFNA(VLOOKUP($BD979,Programma!$F$3:$J$1107,5,0),"")</f>
        <v/>
      </c>
      <c r="BI979" s="300" t="str">
        <f>_xlfn.IFNA(VLOOKUP($BD979,Programma!$F$3:$K$1107,6,0),"")</f>
        <v/>
      </c>
      <c r="BJ979" s="300" t="str">
        <f>_xlfn.IFNA(VLOOKUP($BD979,Programma!$F$3:$L$1107,7,0),"")</f>
        <v/>
      </c>
      <c r="BK979" s="300" t="str">
        <f>_xlfn.IFNA(VLOOKUP($BD979,Programma!$F$3:$M$1107,8,0),"")</f>
        <v/>
      </c>
      <c r="BL979" s="300" t="str">
        <f>_xlfn.IFNA(VLOOKUP($BD979,Programma!$F$3:$N$1107,9,0),"")</f>
        <v/>
      </c>
      <c r="BM979" s="300" t="str">
        <f>_xlfn.IFNA(VLOOKUP($BD979,Programma!$F$3:$O$1107,10,0),"")</f>
        <v/>
      </c>
      <c r="BN979" s="300" t="str">
        <f>_xlfn.IFNA(VLOOKUP($BD979,Programma!$F$3:$P$1107,11,0),"")</f>
        <v/>
      </c>
      <c r="BO979" s="300" t="str">
        <f>_xlfn.IFNA(VLOOKUP($BD979,Programma!$F$3:$Q$1107,12,0),"")</f>
        <v/>
      </c>
      <c r="BP979" s="300" t="str">
        <f>_xlfn.IFNA(VLOOKUP($BD979,Programma!$F$3:$R$1107,13,0),"")</f>
        <v/>
      </c>
      <c r="BQ979" s="300" t="str">
        <f>_xlfn.IFNA(VLOOKUP($BD979,Programma!$F$3:$S$1107,14,0),"")</f>
        <v/>
      </c>
      <c r="BR979" s="300" t="str">
        <f>_xlfn.IFNA(VLOOKUP($BD979,Programma!$F$3:$T$1107,15,0),"")</f>
        <v/>
      </c>
      <c r="BS979" s="300" t="str">
        <f>_xlfn.IFNA(VLOOKUP($BD979,Programma!$F$3:$U$1107,16,0),"")</f>
        <v/>
      </c>
      <c r="BT979" s="300" t="str">
        <f>_xlfn.IFNA(VLOOKUP($BD979,Programma!$F$3:$V$1107,17,0),"")</f>
        <v/>
      </c>
      <c r="BU979" s="300" t="str">
        <f>_xlfn.IFNA(VLOOKUP($BD979,Programma!$F$3:$W$1107,18,0),"")</f>
        <v/>
      </c>
      <c r="BV979" s="300" t="str">
        <f>_xlfn.IFNA(VLOOKUP($BD979,Programma!$F$3:$X$1107,19,0),"")</f>
        <v/>
      </c>
      <c r="BW979" s="300" t="str">
        <f>_xlfn.IFNA(VLOOKUP($BD979,Programma!$F$3:$Y$1107,20,0),"")</f>
        <v/>
      </c>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c r="GK979" s="4"/>
      <c r="GL979" s="4"/>
      <c r="GM979" s="4"/>
      <c r="GN979" s="4"/>
      <c r="GO979" s="4"/>
      <c r="GP979" s="4"/>
      <c r="GQ979" s="4"/>
      <c r="GR979" s="4"/>
      <c r="GS979" s="4"/>
      <c r="GT979" s="4"/>
      <c r="GU979" s="4"/>
      <c r="GV979" s="4"/>
      <c r="GW979" s="4"/>
      <c r="GX979" s="4"/>
      <c r="GY979" s="4"/>
      <c r="GZ979" s="4"/>
      <c r="HA979" s="4"/>
      <c r="HB979" s="4"/>
      <c r="HC979" s="4"/>
      <c r="HD979" s="4"/>
      <c r="HE979" s="4"/>
      <c r="HF979" s="4"/>
      <c r="HG979" s="4"/>
      <c r="HH979" s="4"/>
      <c r="HI979" s="4"/>
      <c r="HJ979" s="4"/>
      <c r="HK979" s="4"/>
      <c r="HL979" s="4"/>
    </row>
    <row r="980" spans="1:220" ht="15" customHeight="1">
      <c r="A980" s="21">
        <v>10</v>
      </c>
      <c r="B980" s="157" t="str">
        <f>VLOOKUP(Ruimtestaat[[#This Row],[Code]],Locaties[[Code]:[Locatie]],2,FALSE)</f>
        <v>Veurs Voorburg vmbo</v>
      </c>
      <c r="C980" s="157" t="str">
        <f>VLOOKUP(Ruimtestaat[[#This Row],[Code]],Locaties[[#All],[Code]:[Adres]],4,FALSE)</f>
        <v>Delflandlaan 4</v>
      </c>
      <c r="D980" s="157" t="str">
        <f>VLOOKUP(Ruimtestaat[[#This Row],[Code]],Locaties[[#All],[Code]:[Postcode]],5,FALSE)</f>
        <v>2273 CS</v>
      </c>
      <c r="E980" s="157" t="str">
        <f>VLOOKUP(Ruimtestaat[[#This Row],[Code]],Locaties[#All],6,FALSE)</f>
        <v>Voorburg</v>
      </c>
      <c r="F980" s="62"/>
      <c r="G980" s="21" t="s">
        <v>1706</v>
      </c>
      <c r="H980" s="21" t="s">
        <v>1710</v>
      </c>
      <c r="I980" s="62" t="s">
        <v>2477</v>
      </c>
      <c r="J980" s="21">
        <v>5</v>
      </c>
      <c r="K980" s="62" t="str">
        <f>VLOOKUP(Ruimtestaat[[#This Row],[Ruimte code]],Ruimtegroepen[[#All],[Code]:[Ruimte omschrijving]],2,FALSE)</f>
        <v>Sanitair</v>
      </c>
      <c r="L980" s="33" t="s">
        <v>103</v>
      </c>
      <c r="M980" s="367" t="s">
        <v>2496</v>
      </c>
      <c r="N980" s="140">
        <v>2.2000000000000002</v>
      </c>
      <c r="O980" s="140"/>
      <c r="P980" s="125" t="str">
        <f>VLOOKUP(Ruimtestaat[[#This Row],[Ruimte code]],Ruimtegroepen[],4,FALSE)</f>
        <v>Sa</v>
      </c>
      <c r="R980" s="33">
        <v>40</v>
      </c>
      <c r="S980" s="33" t="s">
        <v>2</v>
      </c>
      <c r="T980" s="33">
        <f>IF(R980&gt;0,IF(RIGHT(Ruimtestaat[[#This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80" s="33">
        <f>IF(T980&gt;0,VLOOKUP($J980,Ruimtegroepen[],3,FALSE)*VLOOKUP($L980,Vloersoorten[],3,FALSE)*VLOOKUP($S980,Frequenties[],3,FALSE)*VLOOKUP($A980,Locaties[],3,FALSE),0)</f>
        <v>0</v>
      </c>
      <c r="V980" s="33">
        <f>Ruimtestaat[[#This Row],[Uitvoeringen werkdagen]]*Ruimtestaat[[#This Row],[Oppervlak (netto)]]</f>
        <v>440.00000000000006</v>
      </c>
      <c r="W980" s="154">
        <f>IF(U980&gt;0,Ruimtestaat[[#This Row],[Prest. (m2 /jaar) werkdagen]]/Ruimtestaat[[#This Row],[Norm (m2/uur) werkdagen]],0)</f>
        <v>0</v>
      </c>
      <c r="X980" s="155">
        <f>Ruimtestaat[[#This Row],[uren / jaar werkdagen]]*Tariefsopbouw!$E$35</f>
        <v>0</v>
      </c>
      <c r="Y980" s="33"/>
      <c r="Z980" s="33">
        <f>IF(Ruimtestaat[[#This Row],[Frequentie weekend]]&gt;0,VALUE(LEFT(Y980,1))*R980,0)</f>
        <v>0</v>
      </c>
      <c r="AA980" s="97">
        <f>IF($Z980&gt;0,VLOOKUP($J980,Ruimtegroepen[],3,FALSE)*VLOOKUP($L980,Vloersoorten[],3,FALSE)*VLOOKUP($Y980,Frequenties[],3,FALSE)*VLOOKUP(Ruimtestaat[[#This Row],[Code]],Locaties[],3,FALSE),0)</f>
        <v>0</v>
      </c>
      <c r="AB980" s="97">
        <f>Ruimtestaat[[#This Row],[Uitvoeringen weekend]]*Ruimtestaat[[#This Row],[Oppervlak (netto)]]</f>
        <v>0</v>
      </c>
      <c r="AC980" s="97">
        <f>IF(AA980&gt;0,Ruimtestaat[[#This Row],[Prest. (m2 /jaar) weekend]]/Ruimtestaat[[#This Row],[Norm (m2/uur) weekend]],0)</f>
        <v>0</v>
      </c>
      <c r="AD980" s="155">
        <f>Ruimtestaat[[#This Row],[uren / jaar weekend]]*Tariefsopbouw!$D$40</f>
        <v>0</v>
      </c>
      <c r="AE980" s="154">
        <f>Ruimtestaat[[#This Row],[Prest. (m2 /jaar) weekend]]+Ruimtestaat[[#This Row],[Prest. (m2 /jaar) werkdagen]]</f>
        <v>440.00000000000006</v>
      </c>
      <c r="AF980" s="154">
        <f>Ruimtestaat[[#This Row],[uren / jaar weekend]]+Ruimtestaat[[#This Row],[uren / jaar werkdagen]]</f>
        <v>0</v>
      </c>
      <c r="AG980" s="69">
        <f>Ruimtestaat[[#This Row],[kosten / jaar weekend]]+Ruimtestaat[[#This Row],[kosten / jaar werkdagen]]</f>
        <v>0</v>
      </c>
      <c r="AH980" s="69"/>
      <c r="AI980" s="256" t="str">
        <f>IF(Ruimtestaat[[#This Row],[Frequentie werkdagen]]="","",_xlfn.CONCAT(Ruimtestaat[[#This Row],[Ruimte code]],"-",Ruimtestaat[[#This Row],[Frequentie werkdagen]]," ",Ruimtestaat[[#This Row],[Vloer code]]))</f>
        <v>5-5w P</v>
      </c>
      <c r="AJ980" s="300" t="str">
        <f>_xlfn.IFNA(VLOOKUP($AI980,Programma!$F$3:$G$1107,2,0),"")</f>
        <v>_</v>
      </c>
      <c r="AK980" s="300" t="str">
        <f>_xlfn.IFNA(VLOOKUP($AI980,Programma!$F$3:$H$1107,3,0),"")</f>
        <v>_</v>
      </c>
      <c r="AL980" s="300" t="str">
        <f>_xlfn.IFNA(VLOOKUP($AI980,Programma!$F$3:$I$1107,4,0),"")</f>
        <v>_</v>
      </c>
      <c r="AM980" s="300" t="str">
        <f>_xlfn.IFNA(VLOOKUP($AI980,Programma!$F$3:$J$1107,5,0),"")</f>
        <v>4w</v>
      </c>
      <c r="AN980" s="300" t="str">
        <f>_xlfn.IFNA(VLOOKUP($AI980,Programma!$F$3:$K$1107,6,0),"")</f>
        <v>1w</v>
      </c>
      <c r="AO980" s="300" t="str">
        <f>_xlfn.IFNA(VLOOKUP($AI980,Programma!$F$3:$L$1107,7,0),"")</f>
        <v>_</v>
      </c>
      <c r="AP980" s="300" t="str">
        <f>_xlfn.IFNA(VLOOKUP($AI980,Programma!$F$3:$M$1107,8,0),"")</f>
        <v>_</v>
      </c>
      <c r="AQ980" s="300" t="str">
        <f>_xlfn.IFNA(VLOOKUP($AI980,Programma!$F$3:$N$1107,9,0),"")</f>
        <v>_</v>
      </c>
      <c r="AR980" s="300" t="str">
        <f>_xlfn.IFNA(VLOOKUP($AI980,Programma!$F$3:$O$1107,10,0),"")</f>
        <v>_</v>
      </c>
      <c r="AS980" s="300" t="str">
        <f>_xlfn.IFNA(VLOOKUP($AI980,Programma!$F$3:$P$1107,11,0),"")</f>
        <v>_</v>
      </c>
      <c r="AT980" s="300" t="str">
        <f>_xlfn.IFNA(VLOOKUP($AI980,Programma!$F$3:$Q$1107,12,0),"")</f>
        <v>_</v>
      </c>
      <c r="AU980" s="300" t="str">
        <f>_xlfn.IFNA(VLOOKUP($AI980,Programma!$F$3:$R$1107,13,0),"")</f>
        <v>_</v>
      </c>
      <c r="AV980" s="300" t="str">
        <f>_xlfn.IFNA(VLOOKUP($AI980,Programma!$F$3:$S$1107,14,0),"")</f>
        <v>_</v>
      </c>
      <c r="AW980" s="300" t="str">
        <f>_xlfn.IFNA(VLOOKUP($AI980,Programma!$F$3:$T$1107,15,0),"")</f>
        <v>_</v>
      </c>
      <c r="AX980" s="300" t="str">
        <f>_xlfn.IFNA(VLOOKUP($AI980,Programma!$F$3:$U$1107,16,0),"")</f>
        <v>_</v>
      </c>
      <c r="AY980" s="300" t="str">
        <f>_xlfn.IFNA(VLOOKUP($AI980,Programma!$F$3:$V$1107,17,0),"")</f>
        <v>_</v>
      </c>
      <c r="AZ980" s="300" t="str">
        <f>_xlfn.IFNA(VLOOKUP($AI980,Programma!$F$3:$W$1107,18,0),"")</f>
        <v>4w</v>
      </c>
      <c r="BA980" s="300" t="str">
        <f>_xlfn.IFNA(VLOOKUP($AI980,Programma!$F$3:$X$1107,19,0),"")</f>
        <v>1w</v>
      </c>
      <c r="BB980" s="300" t="str">
        <f>_xlfn.IFNA(VLOOKUP($AI980,Programma!$F$3:$Y$1107,20,0),"")</f>
        <v>_</v>
      </c>
      <c r="BC980" s="257"/>
      <c r="BD980" s="256" t="str">
        <f>IF(Ruimtestaat[[#This Row],[Frequentie weekend]]="","",_xlfn.CONCAT(Ruimtestaat[[#This Row],[Ruimte code]],"-",Ruimtestaat[[#This Row],[Frequentie weekend]]," ",Ruimtestaat[[#This Row],[Vloer code]]))</f>
        <v/>
      </c>
      <c r="BE980" s="300" t="str">
        <f>_xlfn.IFNA(VLOOKUP($BD980,Programma!$F$3:$G$1107,2,0),"")</f>
        <v/>
      </c>
      <c r="BF980" s="300" t="str">
        <f>_xlfn.IFNA(VLOOKUP($BD980,Programma!$F$3:$H$1107,3,0),"")</f>
        <v/>
      </c>
      <c r="BG980" s="300" t="str">
        <f>_xlfn.IFNA(VLOOKUP($BD980,Programma!$F$3:$I$1107,4,0),"")</f>
        <v/>
      </c>
      <c r="BH980" s="300" t="str">
        <f>_xlfn.IFNA(VLOOKUP($BD980,Programma!$F$3:$J$1107,5,0),"")</f>
        <v/>
      </c>
      <c r="BI980" s="300" t="str">
        <f>_xlfn.IFNA(VLOOKUP($BD980,Programma!$F$3:$K$1107,6,0),"")</f>
        <v/>
      </c>
      <c r="BJ980" s="300" t="str">
        <f>_xlfn.IFNA(VLOOKUP($BD980,Programma!$F$3:$L$1107,7,0),"")</f>
        <v/>
      </c>
      <c r="BK980" s="300" t="str">
        <f>_xlfn.IFNA(VLOOKUP($BD980,Programma!$F$3:$M$1107,8,0),"")</f>
        <v/>
      </c>
      <c r="BL980" s="300" t="str">
        <f>_xlfn.IFNA(VLOOKUP($BD980,Programma!$F$3:$N$1107,9,0),"")</f>
        <v/>
      </c>
      <c r="BM980" s="300" t="str">
        <f>_xlfn.IFNA(VLOOKUP($BD980,Programma!$F$3:$O$1107,10,0),"")</f>
        <v/>
      </c>
      <c r="BN980" s="300" t="str">
        <f>_xlfn.IFNA(VLOOKUP($BD980,Programma!$F$3:$P$1107,11,0),"")</f>
        <v/>
      </c>
      <c r="BO980" s="300" t="str">
        <f>_xlfn.IFNA(VLOOKUP($BD980,Programma!$F$3:$Q$1107,12,0),"")</f>
        <v/>
      </c>
      <c r="BP980" s="300" t="str">
        <f>_xlfn.IFNA(VLOOKUP($BD980,Programma!$F$3:$R$1107,13,0),"")</f>
        <v/>
      </c>
      <c r="BQ980" s="300" t="str">
        <f>_xlfn.IFNA(VLOOKUP($BD980,Programma!$F$3:$S$1107,14,0),"")</f>
        <v/>
      </c>
      <c r="BR980" s="300" t="str">
        <f>_xlfn.IFNA(VLOOKUP($BD980,Programma!$F$3:$T$1107,15,0),"")</f>
        <v/>
      </c>
      <c r="BS980" s="300" t="str">
        <f>_xlfn.IFNA(VLOOKUP($BD980,Programma!$F$3:$U$1107,16,0),"")</f>
        <v/>
      </c>
      <c r="BT980" s="300" t="str">
        <f>_xlfn.IFNA(VLOOKUP($BD980,Programma!$F$3:$V$1107,17,0),"")</f>
        <v/>
      </c>
      <c r="BU980" s="300" t="str">
        <f>_xlfn.IFNA(VLOOKUP($BD980,Programma!$F$3:$W$1107,18,0),"")</f>
        <v/>
      </c>
      <c r="BV980" s="300" t="str">
        <f>_xlfn.IFNA(VLOOKUP($BD980,Programma!$F$3:$X$1107,19,0),"")</f>
        <v/>
      </c>
      <c r="BW980" s="300" t="str">
        <f>_xlfn.IFNA(VLOOKUP($BD980,Programma!$F$3:$Y$1107,20,0),"")</f>
        <v/>
      </c>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c r="GK980" s="4"/>
      <c r="GL980" s="4"/>
      <c r="GM980" s="4"/>
      <c r="GN980" s="4"/>
      <c r="GO980" s="4"/>
      <c r="GP980" s="4"/>
      <c r="GQ980" s="4"/>
      <c r="GR980" s="4"/>
      <c r="GS980" s="4"/>
      <c r="GT980" s="4"/>
      <c r="GU980" s="4"/>
      <c r="GV980" s="4"/>
      <c r="GW980" s="4"/>
      <c r="GX980" s="4"/>
      <c r="GY980" s="4"/>
      <c r="GZ980" s="4"/>
      <c r="HA980" s="4"/>
      <c r="HB980" s="4"/>
      <c r="HC980" s="4"/>
      <c r="HD980" s="4"/>
      <c r="HE980" s="4"/>
      <c r="HF980" s="4"/>
      <c r="HG980" s="4"/>
      <c r="HH980" s="4"/>
      <c r="HI980" s="4"/>
      <c r="HJ980" s="4"/>
      <c r="HK980" s="4"/>
      <c r="HL980" s="4"/>
    </row>
    <row r="981" spans="1:220" ht="15" customHeight="1">
      <c r="A981" s="21">
        <v>10</v>
      </c>
      <c r="B981" s="157" t="str">
        <f>VLOOKUP(Ruimtestaat[[#This Row],[Code]],Locaties[[Code]:[Locatie]],2,FALSE)</f>
        <v>Veurs Voorburg vmbo</v>
      </c>
      <c r="C981" s="157" t="str">
        <f>VLOOKUP(Ruimtestaat[[#This Row],[Code]],Locaties[[#All],[Code]:[Adres]],4,FALSE)</f>
        <v>Delflandlaan 4</v>
      </c>
      <c r="D981" s="157" t="str">
        <f>VLOOKUP(Ruimtestaat[[#This Row],[Code]],Locaties[[#All],[Code]:[Postcode]],5,FALSE)</f>
        <v>2273 CS</v>
      </c>
      <c r="E981" s="157" t="str">
        <f>VLOOKUP(Ruimtestaat[[#This Row],[Code]],Locaties[#All],6,FALSE)</f>
        <v>Voorburg</v>
      </c>
      <c r="F981" s="62"/>
      <c r="G981" s="21" t="s">
        <v>1706</v>
      </c>
      <c r="H981" s="21" t="s">
        <v>1711</v>
      </c>
      <c r="I981" s="62" t="s">
        <v>2478</v>
      </c>
      <c r="J981" s="21">
        <v>4</v>
      </c>
      <c r="K981" s="62" t="str">
        <f>VLOOKUP(Ruimtestaat[[#This Row],[Ruimte code]],Ruimtegroepen[[#All],[Code]:[Ruimte omschrijving]],2,FALSE)</f>
        <v>Vergader/spreekkamers</v>
      </c>
      <c r="L981" s="33" t="s">
        <v>101</v>
      </c>
      <c r="M981" s="367" t="s">
        <v>2506</v>
      </c>
      <c r="N981" s="140">
        <v>11.1</v>
      </c>
      <c r="O981" s="140"/>
      <c r="P981" s="125" t="str">
        <f>VLOOKUP(Ruimtestaat[[#This Row],[Ruimte code]],Ruimtegroepen[],4,FALSE)</f>
        <v>Bu</v>
      </c>
      <c r="R981" s="33">
        <v>40</v>
      </c>
      <c r="S981" s="33" t="s">
        <v>18</v>
      </c>
      <c r="T981" s="33">
        <f>IF(R981&gt;0,IF(RIGHT(Ruimtestaat[[#This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981" s="33">
        <f>IF(T981&gt;0,VLOOKUP($J981,Ruimtegroepen[],3,FALSE)*VLOOKUP($L981,Vloersoorten[],3,FALSE)*VLOOKUP($S981,Frequenties[],3,FALSE)*VLOOKUP($A981,Locaties[],3,FALSE),0)</f>
        <v>0</v>
      </c>
      <c r="V981" s="33">
        <f>Ruimtestaat[[#This Row],[Uitvoeringen werkdagen]]*Ruimtestaat[[#This Row],[Oppervlak (netto)]]</f>
        <v>1332</v>
      </c>
      <c r="W981" s="154">
        <f>IF(U981&gt;0,Ruimtestaat[[#This Row],[Prest. (m2 /jaar) werkdagen]]/Ruimtestaat[[#This Row],[Norm (m2/uur) werkdagen]],0)</f>
        <v>0</v>
      </c>
      <c r="X981" s="155">
        <f>Ruimtestaat[[#This Row],[uren / jaar werkdagen]]*Tariefsopbouw!$E$35</f>
        <v>0</v>
      </c>
      <c r="Y981" s="33"/>
      <c r="Z981" s="33">
        <f>IF(Ruimtestaat[[#This Row],[Frequentie weekend]]&gt;0,VALUE(LEFT(Y981,1))*R981,0)</f>
        <v>0</v>
      </c>
      <c r="AA981" s="97">
        <f>IF($Z981&gt;0,VLOOKUP($J981,Ruimtegroepen[],3,FALSE)*VLOOKUP($L981,Vloersoorten[],3,FALSE)*VLOOKUP($Y981,Frequenties[],3,FALSE)*VLOOKUP(Ruimtestaat[[#This Row],[Code]],Locaties[],3,FALSE),0)</f>
        <v>0</v>
      </c>
      <c r="AB981" s="97">
        <f>Ruimtestaat[[#This Row],[Uitvoeringen weekend]]*Ruimtestaat[[#This Row],[Oppervlak (netto)]]</f>
        <v>0</v>
      </c>
      <c r="AC981" s="97">
        <f>IF(AA981&gt;0,Ruimtestaat[[#This Row],[Prest. (m2 /jaar) weekend]]/Ruimtestaat[[#This Row],[Norm (m2/uur) weekend]],0)</f>
        <v>0</v>
      </c>
      <c r="AD981" s="155">
        <f>Ruimtestaat[[#This Row],[uren / jaar weekend]]*Tariefsopbouw!$D$40</f>
        <v>0</v>
      </c>
      <c r="AE981" s="154">
        <f>Ruimtestaat[[#This Row],[Prest. (m2 /jaar) weekend]]+Ruimtestaat[[#This Row],[Prest. (m2 /jaar) werkdagen]]</f>
        <v>1332</v>
      </c>
      <c r="AF981" s="154">
        <f>Ruimtestaat[[#This Row],[uren / jaar weekend]]+Ruimtestaat[[#This Row],[uren / jaar werkdagen]]</f>
        <v>0</v>
      </c>
      <c r="AG981" s="69">
        <f>Ruimtestaat[[#This Row],[kosten / jaar weekend]]+Ruimtestaat[[#This Row],[kosten / jaar werkdagen]]</f>
        <v>0</v>
      </c>
      <c r="AH981" s="69"/>
      <c r="AI981" s="256" t="str">
        <f>IF(Ruimtestaat[[#This Row],[Frequentie werkdagen]]="","",_xlfn.CONCAT(Ruimtestaat[[#This Row],[Ruimte code]],"-",Ruimtestaat[[#This Row],[Frequentie werkdagen]]," ",Ruimtestaat[[#This Row],[Vloer code]]))</f>
        <v>4-3w L</v>
      </c>
      <c r="AJ981" s="300" t="str">
        <f>_xlfn.IFNA(VLOOKUP($AI981,Programma!$F$3:$G$1107,2,0),"")</f>
        <v>_</v>
      </c>
      <c r="AK981" s="300" t="str">
        <f>_xlfn.IFNA(VLOOKUP($AI981,Programma!$F$3:$H$1107,3,0),"")</f>
        <v>_</v>
      </c>
      <c r="AL981" s="300" t="str">
        <f>_xlfn.IFNA(VLOOKUP($AI981,Programma!$F$3:$I$1107,4,0),"")</f>
        <v>2w</v>
      </c>
      <c r="AM981" s="300" t="str">
        <f>_xlfn.IFNA(VLOOKUP($AI981,Programma!$F$3:$J$1107,5,0),"")</f>
        <v>1w</v>
      </c>
      <c r="AN981" s="300" t="str">
        <f>_xlfn.IFNA(VLOOKUP($AI981,Programma!$F$3:$K$1107,6,0),"")</f>
        <v>_</v>
      </c>
      <c r="AO981" s="300" t="str">
        <f>_xlfn.IFNA(VLOOKUP($AI981,Programma!$F$3:$L$1107,7,0),"")</f>
        <v>_</v>
      </c>
      <c r="AP981" s="300" t="str">
        <f>_xlfn.IFNA(VLOOKUP($AI981,Programma!$F$3:$M$1107,8,0),"")</f>
        <v>_</v>
      </c>
      <c r="AQ981" s="300" t="str">
        <f>_xlfn.IFNA(VLOOKUP($AI981,Programma!$F$3:$N$1107,9,0),"")</f>
        <v>_</v>
      </c>
      <c r="AR981" s="300" t="str">
        <f>_xlfn.IFNA(VLOOKUP($AI981,Programma!$F$3:$O$1107,10,0),"")</f>
        <v>3w</v>
      </c>
      <c r="AS981" s="300" t="str">
        <f>_xlfn.IFNA(VLOOKUP($AI981,Programma!$F$3:$P$1107,11,0),"")</f>
        <v>3w</v>
      </c>
      <c r="AT981" s="300" t="str">
        <f>_xlfn.IFNA(VLOOKUP($AI981,Programma!$F$3:$Q$1107,12,0),"")</f>
        <v>1w</v>
      </c>
      <c r="AU981" s="300" t="str">
        <f>_xlfn.IFNA(VLOOKUP($AI981,Programma!$F$3:$R$1107,13,0),"")</f>
        <v>1w</v>
      </c>
      <c r="AV981" s="300" t="str">
        <f>_xlfn.IFNA(VLOOKUP($AI981,Programma!$F$3:$S$1107,14,0),"")</f>
        <v>1m</v>
      </c>
      <c r="AW981" s="300" t="str">
        <f>_xlfn.IFNA(VLOOKUP($AI981,Programma!$F$3:$T$1107,15,0),"")</f>
        <v>2j</v>
      </c>
      <c r="AX981" s="300" t="str">
        <f>_xlfn.IFNA(VLOOKUP($AI981,Programma!$F$3:$U$1107,16,0),"")</f>
        <v>1j</v>
      </c>
      <c r="AY981" s="300" t="str">
        <f>_xlfn.IFNA(VLOOKUP($AI981,Programma!$F$3:$V$1107,17,0),"")</f>
        <v>_</v>
      </c>
      <c r="AZ981" s="300" t="str">
        <f>_xlfn.IFNA(VLOOKUP($AI981,Programma!$F$3:$W$1107,18,0),"")</f>
        <v>_</v>
      </c>
      <c r="BA981" s="300" t="str">
        <f>_xlfn.IFNA(VLOOKUP($AI981,Programma!$F$3:$X$1107,19,0),"")</f>
        <v>_</v>
      </c>
      <c r="BB981" s="300" t="str">
        <f>_xlfn.IFNA(VLOOKUP($AI981,Programma!$F$3:$Y$1107,20,0),"")</f>
        <v>_</v>
      </c>
      <c r="BC981" s="257"/>
      <c r="BD981" s="256" t="str">
        <f>IF(Ruimtestaat[[#This Row],[Frequentie weekend]]="","",_xlfn.CONCAT(Ruimtestaat[[#This Row],[Ruimte code]],"-",Ruimtestaat[[#This Row],[Frequentie weekend]]," ",Ruimtestaat[[#This Row],[Vloer code]]))</f>
        <v/>
      </c>
      <c r="BE981" s="300" t="str">
        <f>_xlfn.IFNA(VLOOKUP($BD981,Programma!$F$3:$G$1107,2,0),"")</f>
        <v/>
      </c>
      <c r="BF981" s="300" t="str">
        <f>_xlfn.IFNA(VLOOKUP($BD981,Programma!$F$3:$H$1107,3,0),"")</f>
        <v/>
      </c>
      <c r="BG981" s="300" t="str">
        <f>_xlfn.IFNA(VLOOKUP($BD981,Programma!$F$3:$I$1107,4,0),"")</f>
        <v/>
      </c>
      <c r="BH981" s="300" t="str">
        <f>_xlfn.IFNA(VLOOKUP($BD981,Programma!$F$3:$J$1107,5,0),"")</f>
        <v/>
      </c>
      <c r="BI981" s="300" t="str">
        <f>_xlfn.IFNA(VLOOKUP($BD981,Programma!$F$3:$K$1107,6,0),"")</f>
        <v/>
      </c>
      <c r="BJ981" s="300" t="str">
        <f>_xlfn.IFNA(VLOOKUP($BD981,Programma!$F$3:$L$1107,7,0),"")</f>
        <v/>
      </c>
      <c r="BK981" s="300" t="str">
        <f>_xlfn.IFNA(VLOOKUP($BD981,Programma!$F$3:$M$1107,8,0),"")</f>
        <v/>
      </c>
      <c r="BL981" s="300" t="str">
        <f>_xlfn.IFNA(VLOOKUP($BD981,Programma!$F$3:$N$1107,9,0),"")</f>
        <v/>
      </c>
      <c r="BM981" s="300" t="str">
        <f>_xlfn.IFNA(VLOOKUP($BD981,Programma!$F$3:$O$1107,10,0),"")</f>
        <v/>
      </c>
      <c r="BN981" s="300" t="str">
        <f>_xlfn.IFNA(VLOOKUP($BD981,Programma!$F$3:$P$1107,11,0),"")</f>
        <v/>
      </c>
      <c r="BO981" s="300" t="str">
        <f>_xlfn.IFNA(VLOOKUP($BD981,Programma!$F$3:$Q$1107,12,0),"")</f>
        <v/>
      </c>
      <c r="BP981" s="300" t="str">
        <f>_xlfn.IFNA(VLOOKUP($BD981,Programma!$F$3:$R$1107,13,0),"")</f>
        <v/>
      </c>
      <c r="BQ981" s="300" t="str">
        <f>_xlfn.IFNA(VLOOKUP($BD981,Programma!$F$3:$S$1107,14,0),"")</f>
        <v/>
      </c>
      <c r="BR981" s="300" t="str">
        <f>_xlfn.IFNA(VLOOKUP($BD981,Programma!$F$3:$T$1107,15,0),"")</f>
        <v/>
      </c>
      <c r="BS981" s="300" t="str">
        <f>_xlfn.IFNA(VLOOKUP($BD981,Programma!$F$3:$U$1107,16,0),"")</f>
        <v/>
      </c>
      <c r="BT981" s="300" t="str">
        <f>_xlfn.IFNA(VLOOKUP($BD981,Programma!$F$3:$V$1107,17,0),"")</f>
        <v/>
      </c>
      <c r="BU981" s="300" t="str">
        <f>_xlfn.IFNA(VLOOKUP($BD981,Programma!$F$3:$W$1107,18,0),"")</f>
        <v/>
      </c>
      <c r="BV981" s="300" t="str">
        <f>_xlfn.IFNA(VLOOKUP($BD981,Programma!$F$3:$X$1107,19,0),"")</f>
        <v/>
      </c>
      <c r="BW981" s="300" t="str">
        <f>_xlfn.IFNA(VLOOKUP($BD981,Programma!$F$3:$Y$1107,20,0),"")</f>
        <v/>
      </c>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c r="GK981" s="4"/>
      <c r="GL981" s="4"/>
      <c r="GM981" s="4"/>
      <c r="GN981" s="4"/>
      <c r="GO981" s="4"/>
      <c r="GP981" s="4"/>
      <c r="GQ981" s="4"/>
      <c r="GR981" s="4"/>
      <c r="GS981" s="4"/>
      <c r="GT981" s="4"/>
      <c r="GU981" s="4"/>
      <c r="GV981" s="4"/>
      <c r="GW981" s="4"/>
      <c r="GX981" s="4"/>
      <c r="GY981" s="4"/>
      <c r="GZ981" s="4"/>
      <c r="HA981" s="4"/>
      <c r="HB981" s="4"/>
      <c r="HC981" s="4"/>
      <c r="HD981" s="4"/>
      <c r="HE981" s="4"/>
      <c r="HF981" s="4"/>
      <c r="HG981" s="4"/>
      <c r="HH981" s="4"/>
      <c r="HI981" s="4"/>
      <c r="HJ981" s="4"/>
      <c r="HK981" s="4"/>
      <c r="HL981" s="4"/>
    </row>
    <row r="982" spans="1:220" ht="15" customHeight="1">
      <c r="A982" s="21">
        <v>10</v>
      </c>
      <c r="B982" s="157" t="str">
        <f>VLOOKUP(Ruimtestaat[[#This Row],[Code]],Locaties[[Code]:[Locatie]],2,FALSE)</f>
        <v>Veurs Voorburg vmbo</v>
      </c>
      <c r="C982" s="157" t="str">
        <f>VLOOKUP(Ruimtestaat[[#This Row],[Code]],Locaties[[#All],[Code]:[Adres]],4,FALSE)</f>
        <v>Delflandlaan 4</v>
      </c>
      <c r="D982" s="157" t="str">
        <f>VLOOKUP(Ruimtestaat[[#This Row],[Code]],Locaties[[#All],[Code]:[Postcode]],5,FALSE)</f>
        <v>2273 CS</v>
      </c>
      <c r="E982" s="157" t="str">
        <f>VLOOKUP(Ruimtestaat[[#This Row],[Code]],Locaties[#All],6,FALSE)</f>
        <v>Voorburg</v>
      </c>
      <c r="F982" s="62"/>
      <c r="G982" s="21" t="s">
        <v>1706</v>
      </c>
      <c r="H982" s="21" t="s">
        <v>1713</v>
      </c>
      <c r="I982" s="62" t="s">
        <v>2063</v>
      </c>
      <c r="J982" s="21">
        <v>2</v>
      </c>
      <c r="K982" s="62" t="str">
        <f>VLOOKUP(Ruimtestaat[[#This Row],[Ruimte code]],Ruimtegroepen[[#All],[Code]:[Ruimte omschrijving]],2,FALSE)</f>
        <v>Kantoren</v>
      </c>
      <c r="L982" s="33" t="s">
        <v>100</v>
      </c>
      <c r="M982" s="367" t="s">
        <v>36</v>
      </c>
      <c r="N982" s="140">
        <v>29.2</v>
      </c>
      <c r="O982" s="140"/>
      <c r="P982" s="125" t="str">
        <f>VLOOKUP(Ruimtestaat[[#This Row],[Ruimte code]],Ruimtegroepen[],4,FALSE)</f>
        <v>Bu</v>
      </c>
      <c r="R982" s="33">
        <v>42</v>
      </c>
      <c r="S982" s="33" t="s">
        <v>18</v>
      </c>
      <c r="T982" s="33">
        <f>IF(R982&gt;0,IF(RIGHT(Ruimtestaat[[#This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82" s="33">
        <f>IF(T982&gt;0,VLOOKUP($J982,Ruimtegroepen[],3,FALSE)*VLOOKUP($L982,Vloersoorten[],3,FALSE)*VLOOKUP($S982,Frequenties[],3,FALSE)*VLOOKUP($A982,Locaties[],3,FALSE),0)</f>
        <v>0</v>
      </c>
      <c r="V982" s="33">
        <f>Ruimtestaat[[#This Row],[Uitvoeringen werkdagen]]*Ruimtestaat[[#This Row],[Oppervlak (netto)]]</f>
        <v>3679.2</v>
      </c>
      <c r="W982" s="154">
        <f>IF(U982&gt;0,Ruimtestaat[[#This Row],[Prest. (m2 /jaar) werkdagen]]/Ruimtestaat[[#This Row],[Norm (m2/uur) werkdagen]],0)</f>
        <v>0</v>
      </c>
      <c r="X982" s="155">
        <f>Ruimtestaat[[#This Row],[uren / jaar werkdagen]]*Tariefsopbouw!$E$35</f>
        <v>0</v>
      </c>
      <c r="Y982" s="33"/>
      <c r="Z982" s="33">
        <f>IF(Ruimtestaat[[#This Row],[Frequentie weekend]]&gt;0,VALUE(LEFT(Y982,1))*R982,0)</f>
        <v>0</v>
      </c>
      <c r="AA982" s="97">
        <f>IF($Z982&gt;0,VLOOKUP($J982,Ruimtegroepen[],3,FALSE)*VLOOKUP($L982,Vloersoorten[],3,FALSE)*VLOOKUP($Y982,Frequenties[],3,FALSE)*VLOOKUP(Ruimtestaat[[#This Row],[Code]],Locaties[],3,FALSE),0)</f>
        <v>0</v>
      </c>
      <c r="AB982" s="97">
        <f>Ruimtestaat[[#This Row],[Uitvoeringen weekend]]*Ruimtestaat[[#This Row],[Oppervlak (netto)]]</f>
        <v>0</v>
      </c>
      <c r="AC982" s="97">
        <f>IF(AA982&gt;0,Ruimtestaat[[#This Row],[Prest. (m2 /jaar) weekend]]/Ruimtestaat[[#This Row],[Norm (m2/uur) weekend]],0)</f>
        <v>0</v>
      </c>
      <c r="AD982" s="155">
        <f>Ruimtestaat[[#This Row],[uren / jaar weekend]]*Tariefsopbouw!$D$40</f>
        <v>0</v>
      </c>
      <c r="AE982" s="154">
        <f>Ruimtestaat[[#This Row],[Prest. (m2 /jaar) weekend]]+Ruimtestaat[[#This Row],[Prest. (m2 /jaar) werkdagen]]</f>
        <v>3679.2</v>
      </c>
      <c r="AF982" s="154">
        <f>Ruimtestaat[[#This Row],[uren / jaar weekend]]+Ruimtestaat[[#This Row],[uren / jaar werkdagen]]</f>
        <v>0</v>
      </c>
      <c r="AG982" s="69">
        <f>Ruimtestaat[[#This Row],[kosten / jaar weekend]]+Ruimtestaat[[#This Row],[kosten / jaar werkdagen]]</f>
        <v>0</v>
      </c>
      <c r="AH982" s="69"/>
      <c r="AI982" s="256" t="str">
        <f>IF(Ruimtestaat[[#This Row],[Frequentie werkdagen]]="","",_xlfn.CONCAT(Ruimtestaat[[#This Row],[Ruimte code]],"-",Ruimtestaat[[#This Row],[Frequentie werkdagen]]," ",Ruimtestaat[[#This Row],[Vloer code]]))</f>
        <v>2-3w T</v>
      </c>
      <c r="AJ982" s="300" t="str">
        <f>_xlfn.IFNA(VLOOKUP($AI982,Programma!$F$3:$G$1107,2,0),"")</f>
        <v>2w</v>
      </c>
      <c r="AK982" s="300" t="str">
        <f>_xlfn.IFNA(VLOOKUP($AI982,Programma!$F$3:$H$1107,3,0),"")</f>
        <v>1w</v>
      </c>
      <c r="AL982" s="300" t="str">
        <f>_xlfn.IFNA(VLOOKUP($AI982,Programma!$F$3:$I$1107,4,0),"")</f>
        <v>_</v>
      </c>
      <c r="AM982" s="300" t="str">
        <f>_xlfn.IFNA(VLOOKUP($AI982,Programma!$F$3:$J$1107,5,0),"")</f>
        <v>_</v>
      </c>
      <c r="AN982" s="300" t="str">
        <f>_xlfn.IFNA(VLOOKUP($AI982,Programma!$F$3:$K$1107,6,0),"")</f>
        <v>_</v>
      </c>
      <c r="AO982" s="300" t="str">
        <f>_xlfn.IFNA(VLOOKUP($AI982,Programma!$F$3:$L$1107,7,0),"")</f>
        <v>_</v>
      </c>
      <c r="AP982" s="300" t="str">
        <f>_xlfn.IFNA(VLOOKUP($AI982,Programma!$F$3:$M$1107,8,0),"")</f>
        <v>_</v>
      </c>
      <c r="AQ982" s="300" t="str">
        <f>_xlfn.IFNA(VLOOKUP($AI982,Programma!$F$3:$N$1107,9,0),"")</f>
        <v>_</v>
      </c>
      <c r="AR982" s="300" t="str">
        <f>_xlfn.IFNA(VLOOKUP($AI982,Programma!$F$3:$O$1107,10,0),"")</f>
        <v>3w</v>
      </c>
      <c r="AS982" s="300" t="str">
        <f>_xlfn.IFNA(VLOOKUP($AI982,Programma!$F$3:$P$1107,11,0),"")</f>
        <v>3w</v>
      </c>
      <c r="AT982" s="300" t="str">
        <f>_xlfn.IFNA(VLOOKUP($AI982,Programma!$F$3:$Q$1107,12,0),"")</f>
        <v>1w</v>
      </c>
      <c r="AU982" s="300" t="str">
        <f>_xlfn.IFNA(VLOOKUP($AI982,Programma!$F$3:$R$1107,13,0),"")</f>
        <v>1w</v>
      </c>
      <c r="AV982" s="300" t="str">
        <f>_xlfn.IFNA(VLOOKUP($AI982,Programma!$F$3:$S$1107,14,0),"")</f>
        <v>1m</v>
      </c>
      <c r="AW982" s="300" t="str">
        <f>_xlfn.IFNA(VLOOKUP($AI982,Programma!$F$3:$T$1107,15,0),"")</f>
        <v>2j</v>
      </c>
      <c r="AX982" s="300" t="str">
        <f>_xlfn.IFNA(VLOOKUP($AI982,Programma!$F$3:$U$1107,16,0),"")</f>
        <v>1j</v>
      </c>
      <c r="AY982" s="300" t="str">
        <f>_xlfn.IFNA(VLOOKUP($AI982,Programma!$F$3:$V$1107,17,0),"")</f>
        <v>_</v>
      </c>
      <c r="AZ982" s="300" t="str">
        <f>_xlfn.IFNA(VLOOKUP($AI982,Programma!$F$3:$W$1107,18,0),"")</f>
        <v>_</v>
      </c>
      <c r="BA982" s="300" t="str">
        <f>_xlfn.IFNA(VLOOKUP($AI982,Programma!$F$3:$X$1107,19,0),"")</f>
        <v>_</v>
      </c>
      <c r="BB982" s="300" t="str">
        <f>_xlfn.IFNA(VLOOKUP($AI982,Programma!$F$3:$Y$1107,20,0),"")</f>
        <v>_</v>
      </c>
      <c r="BC982" s="257"/>
      <c r="BD982" s="256" t="str">
        <f>IF(Ruimtestaat[[#This Row],[Frequentie weekend]]="","",_xlfn.CONCAT(Ruimtestaat[[#This Row],[Ruimte code]],"-",Ruimtestaat[[#This Row],[Frequentie weekend]]," ",Ruimtestaat[[#This Row],[Vloer code]]))</f>
        <v/>
      </c>
      <c r="BE982" s="300" t="str">
        <f>_xlfn.IFNA(VLOOKUP($BD982,Programma!$F$3:$G$1107,2,0),"")</f>
        <v/>
      </c>
      <c r="BF982" s="300" t="str">
        <f>_xlfn.IFNA(VLOOKUP($BD982,Programma!$F$3:$H$1107,3,0),"")</f>
        <v/>
      </c>
      <c r="BG982" s="300" t="str">
        <f>_xlfn.IFNA(VLOOKUP($BD982,Programma!$F$3:$I$1107,4,0),"")</f>
        <v/>
      </c>
      <c r="BH982" s="300" t="str">
        <f>_xlfn.IFNA(VLOOKUP($BD982,Programma!$F$3:$J$1107,5,0),"")</f>
        <v/>
      </c>
      <c r="BI982" s="300" t="str">
        <f>_xlfn.IFNA(VLOOKUP($BD982,Programma!$F$3:$K$1107,6,0),"")</f>
        <v/>
      </c>
      <c r="BJ982" s="300" t="str">
        <f>_xlfn.IFNA(VLOOKUP($BD982,Programma!$F$3:$L$1107,7,0),"")</f>
        <v/>
      </c>
      <c r="BK982" s="300" t="str">
        <f>_xlfn.IFNA(VLOOKUP($BD982,Programma!$F$3:$M$1107,8,0),"")</f>
        <v/>
      </c>
      <c r="BL982" s="300" t="str">
        <f>_xlfn.IFNA(VLOOKUP($BD982,Programma!$F$3:$N$1107,9,0),"")</f>
        <v/>
      </c>
      <c r="BM982" s="300" t="str">
        <f>_xlfn.IFNA(VLOOKUP($BD982,Programma!$F$3:$O$1107,10,0),"")</f>
        <v/>
      </c>
      <c r="BN982" s="300" t="str">
        <f>_xlfn.IFNA(VLOOKUP($BD982,Programma!$F$3:$P$1107,11,0),"")</f>
        <v/>
      </c>
      <c r="BO982" s="300" t="str">
        <f>_xlfn.IFNA(VLOOKUP($BD982,Programma!$F$3:$Q$1107,12,0),"")</f>
        <v/>
      </c>
      <c r="BP982" s="300" t="str">
        <f>_xlfn.IFNA(VLOOKUP($BD982,Programma!$F$3:$R$1107,13,0),"")</f>
        <v/>
      </c>
      <c r="BQ982" s="300" t="str">
        <f>_xlfn.IFNA(VLOOKUP($BD982,Programma!$F$3:$S$1107,14,0),"")</f>
        <v/>
      </c>
      <c r="BR982" s="300" t="str">
        <f>_xlfn.IFNA(VLOOKUP($BD982,Programma!$F$3:$T$1107,15,0),"")</f>
        <v/>
      </c>
      <c r="BS982" s="300" t="str">
        <f>_xlfn.IFNA(VLOOKUP($BD982,Programma!$F$3:$U$1107,16,0),"")</f>
        <v/>
      </c>
      <c r="BT982" s="300" t="str">
        <f>_xlfn.IFNA(VLOOKUP($BD982,Programma!$F$3:$V$1107,17,0),"")</f>
        <v/>
      </c>
      <c r="BU982" s="300" t="str">
        <f>_xlfn.IFNA(VLOOKUP($BD982,Programma!$F$3:$W$1107,18,0),"")</f>
        <v/>
      </c>
      <c r="BV982" s="300" t="str">
        <f>_xlfn.IFNA(VLOOKUP($BD982,Programma!$F$3:$X$1107,19,0),"")</f>
        <v/>
      </c>
      <c r="BW982" s="300" t="str">
        <f>_xlfn.IFNA(VLOOKUP($BD982,Programma!$F$3:$Y$1107,20,0),"")</f>
        <v/>
      </c>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c r="GK982" s="4"/>
      <c r="GL982" s="4"/>
      <c r="GM982" s="4"/>
      <c r="GN982" s="4"/>
      <c r="GO982" s="4"/>
      <c r="GP982" s="4"/>
      <c r="GQ982" s="4"/>
      <c r="GR982" s="4"/>
      <c r="GS982" s="4"/>
      <c r="GT982" s="4"/>
      <c r="GU982" s="4"/>
      <c r="GV982" s="4"/>
      <c r="GW982" s="4"/>
      <c r="GX982" s="4"/>
      <c r="GY982" s="4"/>
      <c r="GZ982" s="4"/>
      <c r="HA982" s="4"/>
      <c r="HB982" s="4"/>
      <c r="HC982" s="4"/>
      <c r="HD982" s="4"/>
      <c r="HE982" s="4"/>
      <c r="HF982" s="4"/>
      <c r="HG982" s="4"/>
      <c r="HH982" s="4"/>
      <c r="HI982" s="4"/>
      <c r="HJ982" s="4"/>
      <c r="HK982" s="4"/>
      <c r="HL982" s="4"/>
    </row>
    <row r="983" spans="1:220" ht="15" customHeight="1">
      <c r="A983" s="21">
        <v>10</v>
      </c>
      <c r="B983" s="157" t="str">
        <f>VLOOKUP(Ruimtestaat[[#This Row],[Code]],Locaties[[Code]:[Locatie]],2,FALSE)</f>
        <v>Veurs Voorburg vmbo</v>
      </c>
      <c r="C983" s="157" t="str">
        <f>VLOOKUP(Ruimtestaat[[#This Row],[Code]],Locaties[[#All],[Code]:[Adres]],4,FALSE)</f>
        <v>Delflandlaan 4</v>
      </c>
      <c r="D983" s="157" t="str">
        <f>VLOOKUP(Ruimtestaat[[#This Row],[Code]],Locaties[[#All],[Code]:[Postcode]],5,FALSE)</f>
        <v>2273 CS</v>
      </c>
      <c r="E983" s="157" t="str">
        <f>VLOOKUP(Ruimtestaat[[#This Row],[Code]],Locaties[#All],6,FALSE)</f>
        <v>Voorburg</v>
      </c>
      <c r="F983" s="62"/>
      <c r="G983" s="21" t="s">
        <v>1706</v>
      </c>
      <c r="H983" s="21" t="s">
        <v>1714</v>
      </c>
      <c r="I983" s="62" t="s">
        <v>2454</v>
      </c>
      <c r="J983" s="21">
        <v>8</v>
      </c>
      <c r="K983" s="62" t="str">
        <f>VLOOKUP(Ruimtestaat[[#This Row],[Ruimte code]],Ruimtegroepen[[#All],[Code]:[Ruimte omschrijving]],2,FALSE)</f>
        <v>Mediatheek / OLC</v>
      </c>
      <c r="L983" s="33" t="s">
        <v>101</v>
      </c>
      <c r="M983" s="367" t="s">
        <v>2506</v>
      </c>
      <c r="N983" s="140">
        <v>33.799999999999997</v>
      </c>
      <c r="O983" s="140"/>
      <c r="P983" s="125" t="str">
        <f>VLOOKUP(Ruimtestaat[[#This Row],[Ruimte code]],Ruimtegroepen[],4,FALSE)</f>
        <v>Le</v>
      </c>
      <c r="R983" s="33">
        <v>40</v>
      </c>
      <c r="S983" s="33" t="s">
        <v>2</v>
      </c>
      <c r="T983" s="33">
        <f>IF(R983&gt;0,IF(RIGHT(Ruimtestaat[[#This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83" s="33">
        <f>IF(T983&gt;0,VLOOKUP($J983,Ruimtegroepen[],3,FALSE)*VLOOKUP($L983,Vloersoorten[],3,FALSE)*VLOOKUP($S983,Frequenties[],3,FALSE)*VLOOKUP($A983,Locaties[],3,FALSE),0)</f>
        <v>0</v>
      </c>
      <c r="V983" s="33">
        <f>Ruimtestaat[[#This Row],[Uitvoeringen werkdagen]]*Ruimtestaat[[#This Row],[Oppervlak (netto)]]</f>
        <v>6759.9999999999991</v>
      </c>
      <c r="W983" s="154">
        <f>IF(U983&gt;0,Ruimtestaat[[#This Row],[Prest. (m2 /jaar) werkdagen]]/Ruimtestaat[[#This Row],[Norm (m2/uur) werkdagen]],0)</f>
        <v>0</v>
      </c>
      <c r="X983" s="155">
        <f>Ruimtestaat[[#This Row],[uren / jaar werkdagen]]*Tariefsopbouw!$E$35</f>
        <v>0</v>
      </c>
      <c r="Y983" s="33"/>
      <c r="Z983" s="33">
        <f>IF(Ruimtestaat[[#This Row],[Frequentie weekend]]&gt;0,VALUE(LEFT(Y983,1))*R983,0)</f>
        <v>0</v>
      </c>
      <c r="AA983" s="97">
        <f>IF($Z983&gt;0,VLOOKUP($J983,Ruimtegroepen[],3,FALSE)*VLOOKUP($L983,Vloersoorten[],3,FALSE)*VLOOKUP($Y983,Frequenties[],3,FALSE)*VLOOKUP(Ruimtestaat[[#This Row],[Code]],Locaties[],3,FALSE),0)</f>
        <v>0</v>
      </c>
      <c r="AB983" s="97">
        <f>Ruimtestaat[[#This Row],[Uitvoeringen weekend]]*Ruimtestaat[[#This Row],[Oppervlak (netto)]]</f>
        <v>0</v>
      </c>
      <c r="AC983" s="97">
        <f>IF(AA983&gt;0,Ruimtestaat[[#This Row],[Prest. (m2 /jaar) weekend]]/Ruimtestaat[[#This Row],[Norm (m2/uur) weekend]],0)</f>
        <v>0</v>
      </c>
      <c r="AD983" s="155">
        <f>Ruimtestaat[[#This Row],[uren / jaar weekend]]*Tariefsopbouw!$D$40</f>
        <v>0</v>
      </c>
      <c r="AE983" s="154">
        <f>Ruimtestaat[[#This Row],[Prest. (m2 /jaar) weekend]]+Ruimtestaat[[#This Row],[Prest. (m2 /jaar) werkdagen]]</f>
        <v>6759.9999999999991</v>
      </c>
      <c r="AF983" s="154">
        <f>Ruimtestaat[[#This Row],[uren / jaar weekend]]+Ruimtestaat[[#This Row],[uren / jaar werkdagen]]</f>
        <v>0</v>
      </c>
      <c r="AG983" s="69">
        <f>Ruimtestaat[[#This Row],[kosten / jaar weekend]]+Ruimtestaat[[#This Row],[kosten / jaar werkdagen]]</f>
        <v>0</v>
      </c>
      <c r="AH983" s="69"/>
      <c r="AI983" s="256" t="str">
        <f>IF(Ruimtestaat[[#This Row],[Frequentie werkdagen]]="","",_xlfn.CONCAT(Ruimtestaat[[#This Row],[Ruimte code]],"-",Ruimtestaat[[#This Row],[Frequentie werkdagen]]," ",Ruimtestaat[[#This Row],[Vloer code]]))</f>
        <v>8-5w L</v>
      </c>
      <c r="AJ983" s="300" t="str">
        <f>_xlfn.IFNA(VLOOKUP($AI983,Programma!$F$3:$G$1107,2,0),"")</f>
        <v>_</v>
      </c>
      <c r="AK983" s="300" t="str">
        <f>_xlfn.IFNA(VLOOKUP($AI983,Programma!$F$3:$H$1107,3,0),"")</f>
        <v>_</v>
      </c>
      <c r="AL983" s="300" t="str">
        <f>_xlfn.IFNA(VLOOKUP($AI983,Programma!$F$3:$I$1107,4,0),"")</f>
        <v>4w</v>
      </c>
      <c r="AM983" s="300" t="str">
        <f>_xlfn.IFNA(VLOOKUP($AI983,Programma!$F$3:$J$1107,5,0),"")</f>
        <v>1w</v>
      </c>
      <c r="AN983" s="300" t="str">
        <f>_xlfn.IFNA(VLOOKUP($AI983,Programma!$F$3:$K$1107,6,0),"")</f>
        <v>_</v>
      </c>
      <c r="AO983" s="300" t="str">
        <f>_xlfn.IFNA(VLOOKUP($AI983,Programma!$F$3:$L$1107,7,0),"")</f>
        <v>_</v>
      </c>
      <c r="AP983" s="300" t="str">
        <f>_xlfn.IFNA(VLOOKUP($AI983,Programma!$F$3:$M$1107,8,0),"")</f>
        <v>_</v>
      </c>
      <c r="AQ983" s="300" t="str">
        <f>_xlfn.IFNA(VLOOKUP($AI983,Programma!$F$3:$N$1107,9,0),"")</f>
        <v>_</v>
      </c>
      <c r="AR983" s="300" t="str">
        <f>_xlfn.IFNA(VLOOKUP($AI983,Programma!$F$3:$O$1107,10,0),"")</f>
        <v>5w</v>
      </c>
      <c r="AS983" s="300" t="str">
        <f>_xlfn.IFNA(VLOOKUP($AI983,Programma!$F$3:$P$1107,11,0),"")</f>
        <v>5w</v>
      </c>
      <c r="AT983" s="300" t="str">
        <f>_xlfn.IFNA(VLOOKUP($AI983,Programma!$F$3:$Q$1107,12,0),"")</f>
        <v>1w</v>
      </c>
      <c r="AU983" s="300" t="str">
        <f>_xlfn.IFNA(VLOOKUP($AI983,Programma!$F$3:$R$1107,13,0),"")</f>
        <v>1w</v>
      </c>
      <c r="AV983" s="300" t="str">
        <f>_xlfn.IFNA(VLOOKUP($AI983,Programma!$F$3:$S$1107,14,0),"")</f>
        <v>1m</v>
      </c>
      <c r="AW983" s="300" t="str">
        <f>_xlfn.IFNA(VLOOKUP($AI983,Programma!$F$3:$T$1107,15,0),"")</f>
        <v>2j</v>
      </c>
      <c r="AX983" s="300" t="str">
        <f>_xlfn.IFNA(VLOOKUP($AI983,Programma!$F$3:$U$1107,16,0),"")</f>
        <v>1j</v>
      </c>
      <c r="AY983" s="300" t="str">
        <f>_xlfn.IFNA(VLOOKUP($AI983,Programma!$F$3:$V$1107,17,0),"")</f>
        <v>_</v>
      </c>
      <c r="AZ983" s="300" t="str">
        <f>_xlfn.IFNA(VLOOKUP($AI983,Programma!$F$3:$W$1107,18,0),"")</f>
        <v>_</v>
      </c>
      <c r="BA983" s="300" t="str">
        <f>_xlfn.IFNA(VLOOKUP($AI983,Programma!$F$3:$X$1107,19,0),"")</f>
        <v>_</v>
      </c>
      <c r="BB983" s="300" t="str">
        <f>_xlfn.IFNA(VLOOKUP($AI983,Programma!$F$3:$Y$1107,20,0),"")</f>
        <v>_</v>
      </c>
      <c r="BC983" s="257"/>
      <c r="BD983" s="256" t="str">
        <f>IF(Ruimtestaat[[#This Row],[Frequentie weekend]]="","",_xlfn.CONCAT(Ruimtestaat[[#This Row],[Ruimte code]],"-",Ruimtestaat[[#This Row],[Frequentie weekend]]," ",Ruimtestaat[[#This Row],[Vloer code]]))</f>
        <v/>
      </c>
      <c r="BE983" s="300" t="str">
        <f>_xlfn.IFNA(VLOOKUP($BD983,Programma!$F$3:$G$1107,2,0),"")</f>
        <v/>
      </c>
      <c r="BF983" s="300" t="str">
        <f>_xlfn.IFNA(VLOOKUP($BD983,Programma!$F$3:$H$1107,3,0),"")</f>
        <v/>
      </c>
      <c r="BG983" s="300" t="str">
        <f>_xlfn.IFNA(VLOOKUP($BD983,Programma!$F$3:$I$1107,4,0),"")</f>
        <v/>
      </c>
      <c r="BH983" s="300" t="str">
        <f>_xlfn.IFNA(VLOOKUP($BD983,Programma!$F$3:$J$1107,5,0),"")</f>
        <v/>
      </c>
      <c r="BI983" s="300" t="str">
        <f>_xlfn.IFNA(VLOOKUP($BD983,Programma!$F$3:$K$1107,6,0),"")</f>
        <v/>
      </c>
      <c r="BJ983" s="300" t="str">
        <f>_xlfn.IFNA(VLOOKUP($BD983,Programma!$F$3:$L$1107,7,0),"")</f>
        <v/>
      </c>
      <c r="BK983" s="300" t="str">
        <f>_xlfn.IFNA(VLOOKUP($BD983,Programma!$F$3:$M$1107,8,0),"")</f>
        <v/>
      </c>
      <c r="BL983" s="300" t="str">
        <f>_xlfn.IFNA(VLOOKUP($BD983,Programma!$F$3:$N$1107,9,0),"")</f>
        <v/>
      </c>
      <c r="BM983" s="300" t="str">
        <f>_xlfn.IFNA(VLOOKUP($BD983,Programma!$F$3:$O$1107,10,0),"")</f>
        <v/>
      </c>
      <c r="BN983" s="300" t="str">
        <f>_xlfn.IFNA(VLOOKUP($BD983,Programma!$F$3:$P$1107,11,0),"")</f>
        <v/>
      </c>
      <c r="BO983" s="300" t="str">
        <f>_xlfn.IFNA(VLOOKUP($BD983,Programma!$F$3:$Q$1107,12,0),"")</f>
        <v/>
      </c>
      <c r="BP983" s="300" t="str">
        <f>_xlfn.IFNA(VLOOKUP($BD983,Programma!$F$3:$R$1107,13,0),"")</f>
        <v/>
      </c>
      <c r="BQ983" s="300" t="str">
        <f>_xlfn.IFNA(VLOOKUP($BD983,Programma!$F$3:$S$1107,14,0),"")</f>
        <v/>
      </c>
      <c r="BR983" s="300" t="str">
        <f>_xlfn.IFNA(VLOOKUP($BD983,Programma!$F$3:$T$1107,15,0),"")</f>
        <v/>
      </c>
      <c r="BS983" s="300" t="str">
        <f>_xlfn.IFNA(VLOOKUP($BD983,Programma!$F$3:$U$1107,16,0),"")</f>
        <v/>
      </c>
      <c r="BT983" s="300" t="str">
        <f>_xlfn.IFNA(VLOOKUP($BD983,Programma!$F$3:$V$1107,17,0),"")</f>
        <v/>
      </c>
      <c r="BU983" s="300" t="str">
        <f>_xlfn.IFNA(VLOOKUP($BD983,Programma!$F$3:$W$1107,18,0),"")</f>
        <v/>
      </c>
      <c r="BV983" s="300" t="str">
        <f>_xlfn.IFNA(VLOOKUP($BD983,Programma!$F$3:$X$1107,19,0),"")</f>
        <v/>
      </c>
      <c r="BW983" s="300" t="str">
        <f>_xlfn.IFNA(VLOOKUP($BD983,Programma!$F$3:$Y$1107,20,0),"")</f>
        <v/>
      </c>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c r="GK983" s="4"/>
      <c r="GL983" s="4"/>
      <c r="GM983" s="4"/>
      <c r="GN983" s="4"/>
      <c r="GO983" s="4"/>
      <c r="GP983" s="4"/>
      <c r="GQ983" s="4"/>
      <c r="GR983" s="4"/>
      <c r="GS983" s="4"/>
      <c r="GT983" s="4"/>
      <c r="GU983" s="4"/>
      <c r="GV983" s="4"/>
      <c r="GW983" s="4"/>
      <c r="GX983" s="4"/>
      <c r="GY983" s="4"/>
      <c r="GZ983" s="4"/>
      <c r="HA983" s="4"/>
      <c r="HB983" s="4"/>
      <c r="HC983" s="4"/>
      <c r="HD983" s="4"/>
      <c r="HE983" s="4"/>
      <c r="HF983" s="4"/>
      <c r="HG983" s="4"/>
      <c r="HH983" s="4"/>
      <c r="HI983" s="4"/>
      <c r="HJ983" s="4"/>
      <c r="HK983" s="4"/>
      <c r="HL983" s="4"/>
    </row>
    <row r="984" spans="1:220" ht="15" customHeight="1">
      <c r="A984" s="21">
        <v>10</v>
      </c>
      <c r="B984" s="157" t="str">
        <f>VLOOKUP(Ruimtestaat[[#This Row],[Code]],Locaties[[Code]:[Locatie]],2,FALSE)</f>
        <v>Veurs Voorburg vmbo</v>
      </c>
      <c r="C984" s="157" t="str">
        <f>VLOOKUP(Ruimtestaat[[#This Row],[Code]],Locaties[[#All],[Code]:[Adres]],4,FALSE)</f>
        <v>Delflandlaan 4</v>
      </c>
      <c r="D984" s="157" t="str">
        <f>VLOOKUP(Ruimtestaat[[#This Row],[Code]],Locaties[[#All],[Code]:[Postcode]],5,FALSE)</f>
        <v>2273 CS</v>
      </c>
      <c r="E984" s="157" t="str">
        <f>VLOOKUP(Ruimtestaat[[#This Row],[Code]],Locaties[#All],6,FALSE)</f>
        <v>Voorburg</v>
      </c>
      <c r="F984" s="62"/>
      <c r="G984" s="21" t="s">
        <v>1706</v>
      </c>
      <c r="H984" s="21" t="s">
        <v>1715</v>
      </c>
      <c r="I984" s="62" t="s">
        <v>1761</v>
      </c>
      <c r="J984" s="21">
        <v>6</v>
      </c>
      <c r="K984" s="62" t="str">
        <f>VLOOKUP(Ruimtestaat[[#This Row],[Ruimte code]],Ruimtegroepen[[#All],[Code]:[Ruimte omschrijving]],2,FALSE)</f>
        <v>Gangen/hallen</v>
      </c>
      <c r="L984" s="33" t="s">
        <v>101</v>
      </c>
      <c r="M984" s="367" t="s">
        <v>2506</v>
      </c>
      <c r="N984" s="140">
        <v>32.1</v>
      </c>
      <c r="O984" s="140"/>
      <c r="P984" s="125" t="str">
        <f>VLOOKUP(Ruimtestaat[[#This Row],[Ruimte code]],Ruimtegroepen[],4,FALSE)</f>
        <v>Ve</v>
      </c>
      <c r="R984" s="33">
        <v>40</v>
      </c>
      <c r="S984" s="33" t="s">
        <v>2</v>
      </c>
      <c r="T984" s="33">
        <f>IF(R984&gt;0,IF(RIGHT(Ruimtestaat[[#This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84" s="33">
        <f>IF(T984&gt;0,VLOOKUP($J984,Ruimtegroepen[],3,FALSE)*VLOOKUP($L984,Vloersoorten[],3,FALSE)*VLOOKUP($S984,Frequenties[],3,FALSE)*VLOOKUP($A984,Locaties[],3,FALSE),0)</f>
        <v>0</v>
      </c>
      <c r="V984" s="33">
        <f>Ruimtestaat[[#This Row],[Uitvoeringen werkdagen]]*Ruimtestaat[[#This Row],[Oppervlak (netto)]]</f>
        <v>6420</v>
      </c>
      <c r="W984" s="154">
        <f>IF(U984&gt;0,Ruimtestaat[[#This Row],[Prest. (m2 /jaar) werkdagen]]/Ruimtestaat[[#This Row],[Norm (m2/uur) werkdagen]],0)</f>
        <v>0</v>
      </c>
      <c r="X984" s="155">
        <f>Ruimtestaat[[#This Row],[uren / jaar werkdagen]]*Tariefsopbouw!$E$35</f>
        <v>0</v>
      </c>
      <c r="Y984" s="33"/>
      <c r="Z984" s="33">
        <f>IF(Ruimtestaat[[#This Row],[Frequentie weekend]]&gt;0,VALUE(LEFT(Y984,1))*R984,0)</f>
        <v>0</v>
      </c>
      <c r="AA984" s="97">
        <f>IF($Z984&gt;0,VLOOKUP($J984,Ruimtegroepen[],3,FALSE)*VLOOKUP($L984,Vloersoorten[],3,FALSE)*VLOOKUP($Y984,Frequenties[],3,FALSE)*VLOOKUP(Ruimtestaat[[#This Row],[Code]],Locaties[],3,FALSE),0)</f>
        <v>0</v>
      </c>
      <c r="AB984" s="97">
        <f>Ruimtestaat[[#This Row],[Uitvoeringen weekend]]*Ruimtestaat[[#This Row],[Oppervlak (netto)]]</f>
        <v>0</v>
      </c>
      <c r="AC984" s="97">
        <f>IF(AA984&gt;0,Ruimtestaat[[#This Row],[Prest. (m2 /jaar) weekend]]/Ruimtestaat[[#This Row],[Norm (m2/uur) weekend]],0)</f>
        <v>0</v>
      </c>
      <c r="AD984" s="155">
        <f>Ruimtestaat[[#This Row],[uren / jaar weekend]]*Tariefsopbouw!$D$40</f>
        <v>0</v>
      </c>
      <c r="AE984" s="154">
        <f>Ruimtestaat[[#This Row],[Prest. (m2 /jaar) weekend]]+Ruimtestaat[[#This Row],[Prest. (m2 /jaar) werkdagen]]</f>
        <v>6420</v>
      </c>
      <c r="AF984" s="154">
        <f>Ruimtestaat[[#This Row],[uren / jaar weekend]]+Ruimtestaat[[#This Row],[uren / jaar werkdagen]]</f>
        <v>0</v>
      </c>
      <c r="AG984" s="69">
        <f>Ruimtestaat[[#This Row],[kosten / jaar weekend]]+Ruimtestaat[[#This Row],[kosten / jaar werkdagen]]</f>
        <v>0</v>
      </c>
      <c r="AH984" s="69"/>
      <c r="AI984" s="256" t="str">
        <f>IF(Ruimtestaat[[#This Row],[Frequentie werkdagen]]="","",_xlfn.CONCAT(Ruimtestaat[[#This Row],[Ruimte code]],"-",Ruimtestaat[[#This Row],[Frequentie werkdagen]]," ",Ruimtestaat[[#This Row],[Vloer code]]))</f>
        <v>6-5w L</v>
      </c>
      <c r="AJ984" s="300" t="str">
        <f>_xlfn.IFNA(VLOOKUP($AI984,Programma!$F$3:$G$1107,2,0),"")</f>
        <v>_</v>
      </c>
      <c r="AK984" s="300" t="str">
        <f>_xlfn.IFNA(VLOOKUP($AI984,Programma!$F$3:$H$1107,3,0),"")</f>
        <v>_</v>
      </c>
      <c r="AL984" s="300" t="str">
        <f>_xlfn.IFNA(VLOOKUP($AI984,Programma!$F$3:$I$1107,4,0),"")</f>
        <v>_</v>
      </c>
      <c r="AM984" s="300" t="str">
        <f>_xlfn.IFNA(VLOOKUP($AI984,Programma!$F$3:$J$1107,5,0),"")</f>
        <v>5w</v>
      </c>
      <c r="AN984" s="300" t="str">
        <f>_xlfn.IFNA(VLOOKUP($AI984,Programma!$F$3:$K$1107,6,0),"")</f>
        <v>_</v>
      </c>
      <c r="AO984" s="300" t="str">
        <f>_xlfn.IFNA(VLOOKUP($AI984,Programma!$F$3:$L$1107,7,0),"")</f>
        <v>_</v>
      </c>
      <c r="AP984" s="300" t="str">
        <f>_xlfn.IFNA(VLOOKUP($AI984,Programma!$F$3:$M$1107,8,0),"")</f>
        <v>_</v>
      </c>
      <c r="AQ984" s="300" t="str">
        <f>_xlfn.IFNA(VLOOKUP($AI984,Programma!$F$3:$N$1107,9,0),"")</f>
        <v>_</v>
      </c>
      <c r="AR984" s="300" t="str">
        <f>_xlfn.IFNA(VLOOKUP($AI984,Programma!$F$3:$O$1107,10,0),"")</f>
        <v>5w</v>
      </c>
      <c r="AS984" s="300" t="str">
        <f>_xlfn.IFNA(VLOOKUP($AI984,Programma!$F$3:$P$1107,11,0),"")</f>
        <v>5w</v>
      </c>
      <c r="AT984" s="300" t="str">
        <f>_xlfn.IFNA(VLOOKUP($AI984,Programma!$F$3:$Q$1107,12,0),"")</f>
        <v>1w</v>
      </c>
      <c r="AU984" s="300" t="str">
        <f>_xlfn.IFNA(VLOOKUP($AI984,Programma!$F$3:$R$1107,13,0),"")</f>
        <v>1w</v>
      </c>
      <c r="AV984" s="300" t="str">
        <f>_xlfn.IFNA(VLOOKUP($AI984,Programma!$F$3:$S$1107,14,0),"")</f>
        <v>1m</v>
      </c>
      <c r="AW984" s="300" t="str">
        <f>_xlfn.IFNA(VLOOKUP($AI984,Programma!$F$3:$T$1107,15,0),"")</f>
        <v>2j</v>
      </c>
      <c r="AX984" s="300" t="str">
        <f>_xlfn.IFNA(VLOOKUP($AI984,Programma!$F$3:$U$1107,16,0),"")</f>
        <v>1j</v>
      </c>
      <c r="AY984" s="300" t="str">
        <f>_xlfn.IFNA(VLOOKUP($AI984,Programma!$F$3:$V$1107,17,0),"")</f>
        <v>_</v>
      </c>
      <c r="AZ984" s="300" t="str">
        <f>_xlfn.IFNA(VLOOKUP($AI984,Programma!$F$3:$W$1107,18,0),"")</f>
        <v>_</v>
      </c>
      <c r="BA984" s="300" t="str">
        <f>_xlfn.IFNA(VLOOKUP($AI984,Programma!$F$3:$X$1107,19,0),"")</f>
        <v>_</v>
      </c>
      <c r="BB984" s="300" t="str">
        <f>_xlfn.IFNA(VLOOKUP($AI984,Programma!$F$3:$Y$1107,20,0),"")</f>
        <v>_</v>
      </c>
      <c r="BC984" s="257"/>
      <c r="BD984" s="256" t="str">
        <f>IF(Ruimtestaat[[#This Row],[Frequentie weekend]]="","",_xlfn.CONCAT(Ruimtestaat[[#This Row],[Ruimte code]],"-",Ruimtestaat[[#This Row],[Frequentie weekend]]," ",Ruimtestaat[[#This Row],[Vloer code]]))</f>
        <v/>
      </c>
      <c r="BE984" s="300" t="str">
        <f>_xlfn.IFNA(VLOOKUP($BD984,Programma!$F$3:$G$1107,2,0),"")</f>
        <v/>
      </c>
      <c r="BF984" s="300" t="str">
        <f>_xlfn.IFNA(VLOOKUP($BD984,Programma!$F$3:$H$1107,3,0),"")</f>
        <v/>
      </c>
      <c r="BG984" s="300" t="str">
        <f>_xlfn.IFNA(VLOOKUP($BD984,Programma!$F$3:$I$1107,4,0),"")</f>
        <v/>
      </c>
      <c r="BH984" s="300" t="str">
        <f>_xlfn.IFNA(VLOOKUP($BD984,Programma!$F$3:$J$1107,5,0),"")</f>
        <v/>
      </c>
      <c r="BI984" s="300" t="str">
        <f>_xlfn.IFNA(VLOOKUP($BD984,Programma!$F$3:$K$1107,6,0),"")</f>
        <v/>
      </c>
      <c r="BJ984" s="300" t="str">
        <f>_xlfn.IFNA(VLOOKUP($BD984,Programma!$F$3:$L$1107,7,0),"")</f>
        <v/>
      </c>
      <c r="BK984" s="300" t="str">
        <f>_xlfn.IFNA(VLOOKUP($BD984,Programma!$F$3:$M$1107,8,0),"")</f>
        <v/>
      </c>
      <c r="BL984" s="300" t="str">
        <f>_xlfn.IFNA(VLOOKUP($BD984,Programma!$F$3:$N$1107,9,0),"")</f>
        <v/>
      </c>
      <c r="BM984" s="300" t="str">
        <f>_xlfn.IFNA(VLOOKUP($BD984,Programma!$F$3:$O$1107,10,0),"")</f>
        <v/>
      </c>
      <c r="BN984" s="300" t="str">
        <f>_xlfn.IFNA(VLOOKUP($BD984,Programma!$F$3:$P$1107,11,0),"")</f>
        <v/>
      </c>
      <c r="BO984" s="300" t="str">
        <f>_xlfn.IFNA(VLOOKUP($BD984,Programma!$F$3:$Q$1107,12,0),"")</f>
        <v/>
      </c>
      <c r="BP984" s="300" t="str">
        <f>_xlfn.IFNA(VLOOKUP($BD984,Programma!$F$3:$R$1107,13,0),"")</f>
        <v/>
      </c>
      <c r="BQ984" s="300" t="str">
        <f>_xlfn.IFNA(VLOOKUP($BD984,Programma!$F$3:$S$1107,14,0),"")</f>
        <v/>
      </c>
      <c r="BR984" s="300" t="str">
        <f>_xlfn.IFNA(VLOOKUP($BD984,Programma!$F$3:$T$1107,15,0),"")</f>
        <v/>
      </c>
      <c r="BS984" s="300" t="str">
        <f>_xlfn.IFNA(VLOOKUP($BD984,Programma!$F$3:$U$1107,16,0),"")</f>
        <v/>
      </c>
      <c r="BT984" s="300" t="str">
        <f>_xlfn.IFNA(VLOOKUP($BD984,Programma!$F$3:$V$1107,17,0),"")</f>
        <v/>
      </c>
      <c r="BU984" s="300" t="str">
        <f>_xlfn.IFNA(VLOOKUP($BD984,Programma!$F$3:$W$1107,18,0),"")</f>
        <v/>
      </c>
      <c r="BV984" s="300" t="str">
        <f>_xlfn.IFNA(VLOOKUP($BD984,Programma!$F$3:$X$1107,19,0),"")</f>
        <v/>
      </c>
      <c r="BW984" s="300" t="str">
        <f>_xlfn.IFNA(VLOOKUP($BD984,Programma!$F$3:$Y$1107,20,0),"")</f>
        <v/>
      </c>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c r="GK984" s="4"/>
      <c r="GL984" s="4"/>
      <c r="GM984" s="4"/>
      <c r="GN984" s="4"/>
      <c r="GO984" s="4"/>
      <c r="GP984" s="4"/>
      <c r="GQ984" s="4"/>
      <c r="GR984" s="4"/>
      <c r="GS984" s="4"/>
      <c r="GT984" s="4"/>
      <c r="GU984" s="4"/>
      <c r="GV984" s="4"/>
      <c r="GW984" s="4"/>
      <c r="GX984" s="4"/>
      <c r="GY984" s="4"/>
      <c r="GZ984" s="4"/>
      <c r="HA984" s="4"/>
      <c r="HB984" s="4"/>
      <c r="HC984" s="4"/>
      <c r="HD984" s="4"/>
      <c r="HE984" s="4"/>
      <c r="HF984" s="4"/>
      <c r="HG984" s="4"/>
      <c r="HH984" s="4"/>
      <c r="HI984" s="4"/>
      <c r="HJ984" s="4"/>
      <c r="HK984" s="4"/>
      <c r="HL984" s="4"/>
    </row>
    <row r="985" spans="1:220" ht="15" customHeight="1">
      <c r="A985" s="21">
        <v>10</v>
      </c>
      <c r="B985" s="157" t="str">
        <f>VLOOKUP(Ruimtestaat[[#This Row],[Code]],Locaties[[Code]:[Locatie]],2,FALSE)</f>
        <v>Veurs Voorburg vmbo</v>
      </c>
      <c r="C985" s="157" t="str">
        <f>VLOOKUP(Ruimtestaat[[#This Row],[Code]],Locaties[[#All],[Code]:[Adres]],4,FALSE)</f>
        <v>Delflandlaan 4</v>
      </c>
      <c r="D985" s="157" t="str">
        <f>VLOOKUP(Ruimtestaat[[#This Row],[Code]],Locaties[[#All],[Code]:[Postcode]],5,FALSE)</f>
        <v>2273 CS</v>
      </c>
      <c r="E985" s="157" t="str">
        <f>VLOOKUP(Ruimtestaat[[#This Row],[Code]],Locaties[#All],6,FALSE)</f>
        <v>Voorburg</v>
      </c>
      <c r="F985" s="62"/>
      <c r="G985" s="21" t="s">
        <v>1706</v>
      </c>
      <c r="H985" s="21" t="s">
        <v>1959</v>
      </c>
      <c r="I985" s="62" t="s">
        <v>2462</v>
      </c>
      <c r="J985" s="21">
        <v>16</v>
      </c>
      <c r="K985" s="62" t="str">
        <f>VLOOKUP(Ruimtestaat[[#This Row],[Ruimte code]],Ruimtegroepen[[#All],[Code]:[Ruimte omschrijving]],2,FALSE)</f>
        <v>Leslokalen theorie</v>
      </c>
      <c r="L985" s="33" t="s">
        <v>101</v>
      </c>
      <c r="M985" s="367" t="s">
        <v>2506</v>
      </c>
      <c r="N985" s="140">
        <v>54.5</v>
      </c>
      <c r="O985" s="140"/>
      <c r="P985" s="125" t="str">
        <f>VLOOKUP(Ruimtestaat[[#This Row],[Ruimte code]],Ruimtegroepen[],4,FALSE)</f>
        <v>Le</v>
      </c>
      <c r="R985" s="33">
        <v>40</v>
      </c>
      <c r="S985" s="33" t="s">
        <v>2</v>
      </c>
      <c r="T985" s="33">
        <f>IF(R985&gt;0,IF(RIGHT(Ruimtestaat[[#This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85" s="33">
        <f>IF(T985&gt;0,VLOOKUP($J985,Ruimtegroepen[],3,FALSE)*VLOOKUP($L985,Vloersoorten[],3,FALSE)*VLOOKUP($S985,Frequenties[],3,FALSE)*VLOOKUP($A985,Locaties[],3,FALSE),0)</f>
        <v>0</v>
      </c>
      <c r="V985" s="33">
        <f>Ruimtestaat[[#This Row],[Uitvoeringen werkdagen]]*Ruimtestaat[[#This Row],[Oppervlak (netto)]]</f>
        <v>10900</v>
      </c>
      <c r="W985" s="154">
        <f>IF(U985&gt;0,Ruimtestaat[[#This Row],[Prest. (m2 /jaar) werkdagen]]/Ruimtestaat[[#This Row],[Norm (m2/uur) werkdagen]],0)</f>
        <v>0</v>
      </c>
      <c r="X985" s="155">
        <f>Ruimtestaat[[#This Row],[uren / jaar werkdagen]]*Tariefsopbouw!$E$35</f>
        <v>0</v>
      </c>
      <c r="Y985" s="33"/>
      <c r="Z985" s="33">
        <f>IF(Ruimtestaat[[#This Row],[Frequentie weekend]]&gt;0,VALUE(LEFT(Y985,1))*R985,0)</f>
        <v>0</v>
      </c>
      <c r="AA985" s="97">
        <f>IF($Z985&gt;0,VLOOKUP($J985,Ruimtegroepen[],3,FALSE)*VLOOKUP($L985,Vloersoorten[],3,FALSE)*VLOOKUP($Y985,Frequenties[],3,FALSE)*VLOOKUP(Ruimtestaat[[#This Row],[Code]],Locaties[],3,FALSE),0)</f>
        <v>0</v>
      </c>
      <c r="AB985" s="97">
        <f>Ruimtestaat[[#This Row],[Uitvoeringen weekend]]*Ruimtestaat[[#This Row],[Oppervlak (netto)]]</f>
        <v>0</v>
      </c>
      <c r="AC985" s="97">
        <f>IF(AA985&gt;0,Ruimtestaat[[#This Row],[Prest. (m2 /jaar) weekend]]/Ruimtestaat[[#This Row],[Norm (m2/uur) weekend]],0)</f>
        <v>0</v>
      </c>
      <c r="AD985" s="155">
        <f>Ruimtestaat[[#This Row],[uren / jaar weekend]]*Tariefsopbouw!$D$40</f>
        <v>0</v>
      </c>
      <c r="AE985" s="154">
        <f>Ruimtestaat[[#This Row],[Prest. (m2 /jaar) weekend]]+Ruimtestaat[[#This Row],[Prest. (m2 /jaar) werkdagen]]</f>
        <v>10900</v>
      </c>
      <c r="AF985" s="154">
        <f>Ruimtestaat[[#This Row],[uren / jaar weekend]]+Ruimtestaat[[#This Row],[uren / jaar werkdagen]]</f>
        <v>0</v>
      </c>
      <c r="AG985" s="69">
        <f>Ruimtestaat[[#This Row],[kosten / jaar weekend]]+Ruimtestaat[[#This Row],[kosten / jaar werkdagen]]</f>
        <v>0</v>
      </c>
      <c r="AH985" s="69"/>
      <c r="AI985" s="256" t="str">
        <f>IF(Ruimtestaat[[#This Row],[Frequentie werkdagen]]="","",_xlfn.CONCAT(Ruimtestaat[[#This Row],[Ruimte code]],"-",Ruimtestaat[[#This Row],[Frequentie werkdagen]]," ",Ruimtestaat[[#This Row],[Vloer code]]))</f>
        <v>16-5w L</v>
      </c>
      <c r="AJ985" s="300" t="str">
        <f>_xlfn.IFNA(VLOOKUP($AI985,Programma!$F$3:$G$1107,2,0),"")</f>
        <v>_</v>
      </c>
      <c r="AK985" s="300" t="str">
        <f>_xlfn.IFNA(VLOOKUP($AI985,Programma!$F$3:$H$1107,3,0),"")</f>
        <v>_</v>
      </c>
      <c r="AL985" s="300" t="str">
        <f>_xlfn.IFNA(VLOOKUP($AI985,Programma!$F$3:$I$1107,4,0),"")</f>
        <v>4w</v>
      </c>
      <c r="AM985" s="300" t="str">
        <f>_xlfn.IFNA(VLOOKUP($AI985,Programma!$F$3:$J$1107,5,0),"")</f>
        <v>1w</v>
      </c>
      <c r="AN985" s="300" t="str">
        <f>_xlfn.IFNA(VLOOKUP($AI985,Programma!$F$3:$K$1107,6,0),"")</f>
        <v>_</v>
      </c>
      <c r="AO985" s="300" t="str">
        <f>_xlfn.IFNA(VLOOKUP($AI985,Programma!$F$3:$L$1107,7,0),"")</f>
        <v>_</v>
      </c>
      <c r="AP985" s="300" t="str">
        <f>_xlfn.IFNA(VLOOKUP($AI985,Programma!$F$3:$M$1107,8,0),"")</f>
        <v>_</v>
      </c>
      <c r="AQ985" s="300" t="str">
        <f>_xlfn.IFNA(VLOOKUP($AI985,Programma!$F$3:$N$1107,9,0),"")</f>
        <v>_</v>
      </c>
      <c r="AR985" s="300" t="str">
        <f>_xlfn.IFNA(VLOOKUP($AI985,Programma!$F$3:$O$1107,10,0),"")</f>
        <v>5w</v>
      </c>
      <c r="AS985" s="300" t="str">
        <f>_xlfn.IFNA(VLOOKUP($AI985,Programma!$F$3:$P$1107,11,0),"")</f>
        <v>5w</v>
      </c>
      <c r="AT985" s="300" t="str">
        <f>_xlfn.IFNA(VLOOKUP($AI985,Programma!$F$3:$Q$1107,12,0),"")</f>
        <v>1w</v>
      </c>
      <c r="AU985" s="300" t="str">
        <f>_xlfn.IFNA(VLOOKUP($AI985,Programma!$F$3:$R$1107,13,0),"")</f>
        <v>1w</v>
      </c>
      <c r="AV985" s="300" t="str">
        <f>_xlfn.IFNA(VLOOKUP($AI985,Programma!$F$3:$S$1107,14,0),"")</f>
        <v>1m</v>
      </c>
      <c r="AW985" s="300" t="str">
        <f>_xlfn.IFNA(VLOOKUP($AI985,Programma!$F$3:$T$1107,15,0),"")</f>
        <v>2j</v>
      </c>
      <c r="AX985" s="300" t="str">
        <f>_xlfn.IFNA(VLOOKUP($AI985,Programma!$F$3:$U$1107,16,0),"")</f>
        <v>1j</v>
      </c>
      <c r="AY985" s="300" t="str">
        <f>_xlfn.IFNA(VLOOKUP($AI985,Programma!$F$3:$V$1107,17,0),"")</f>
        <v>_</v>
      </c>
      <c r="AZ985" s="300" t="str">
        <f>_xlfn.IFNA(VLOOKUP($AI985,Programma!$F$3:$W$1107,18,0),"")</f>
        <v>_</v>
      </c>
      <c r="BA985" s="300" t="str">
        <f>_xlfn.IFNA(VLOOKUP($AI985,Programma!$F$3:$X$1107,19,0),"")</f>
        <v>_</v>
      </c>
      <c r="BB985" s="300" t="str">
        <f>_xlfn.IFNA(VLOOKUP($AI985,Programma!$F$3:$Y$1107,20,0),"")</f>
        <v>_</v>
      </c>
      <c r="BC985" s="257"/>
      <c r="BD985" s="256" t="str">
        <f>IF(Ruimtestaat[[#This Row],[Frequentie weekend]]="","",_xlfn.CONCAT(Ruimtestaat[[#This Row],[Ruimte code]],"-",Ruimtestaat[[#This Row],[Frequentie weekend]]," ",Ruimtestaat[[#This Row],[Vloer code]]))</f>
        <v/>
      </c>
      <c r="BE985" s="300" t="str">
        <f>_xlfn.IFNA(VLOOKUP($BD985,Programma!$F$3:$G$1107,2,0),"")</f>
        <v/>
      </c>
      <c r="BF985" s="300" t="str">
        <f>_xlfn.IFNA(VLOOKUP($BD985,Programma!$F$3:$H$1107,3,0),"")</f>
        <v/>
      </c>
      <c r="BG985" s="300" t="str">
        <f>_xlfn.IFNA(VLOOKUP($BD985,Programma!$F$3:$I$1107,4,0),"")</f>
        <v/>
      </c>
      <c r="BH985" s="300" t="str">
        <f>_xlfn.IFNA(VLOOKUP($BD985,Programma!$F$3:$J$1107,5,0),"")</f>
        <v/>
      </c>
      <c r="BI985" s="300" t="str">
        <f>_xlfn.IFNA(VLOOKUP($BD985,Programma!$F$3:$K$1107,6,0),"")</f>
        <v/>
      </c>
      <c r="BJ985" s="300" t="str">
        <f>_xlfn.IFNA(VLOOKUP($BD985,Programma!$F$3:$L$1107,7,0),"")</f>
        <v/>
      </c>
      <c r="BK985" s="300" t="str">
        <f>_xlfn.IFNA(VLOOKUP($BD985,Programma!$F$3:$M$1107,8,0),"")</f>
        <v/>
      </c>
      <c r="BL985" s="300" t="str">
        <f>_xlfn.IFNA(VLOOKUP($BD985,Programma!$F$3:$N$1107,9,0),"")</f>
        <v/>
      </c>
      <c r="BM985" s="300" t="str">
        <f>_xlfn.IFNA(VLOOKUP($BD985,Programma!$F$3:$O$1107,10,0),"")</f>
        <v/>
      </c>
      <c r="BN985" s="300" t="str">
        <f>_xlfn.IFNA(VLOOKUP($BD985,Programma!$F$3:$P$1107,11,0),"")</f>
        <v/>
      </c>
      <c r="BO985" s="300" t="str">
        <f>_xlfn.IFNA(VLOOKUP($BD985,Programma!$F$3:$Q$1107,12,0),"")</f>
        <v/>
      </c>
      <c r="BP985" s="300" t="str">
        <f>_xlfn.IFNA(VLOOKUP($BD985,Programma!$F$3:$R$1107,13,0),"")</f>
        <v/>
      </c>
      <c r="BQ985" s="300" t="str">
        <f>_xlfn.IFNA(VLOOKUP($BD985,Programma!$F$3:$S$1107,14,0),"")</f>
        <v/>
      </c>
      <c r="BR985" s="300" t="str">
        <f>_xlfn.IFNA(VLOOKUP($BD985,Programma!$F$3:$T$1107,15,0),"")</f>
        <v/>
      </c>
      <c r="BS985" s="300" t="str">
        <f>_xlfn.IFNA(VLOOKUP($BD985,Programma!$F$3:$U$1107,16,0),"")</f>
        <v/>
      </c>
      <c r="BT985" s="300" t="str">
        <f>_xlfn.IFNA(VLOOKUP($BD985,Programma!$F$3:$V$1107,17,0),"")</f>
        <v/>
      </c>
      <c r="BU985" s="300" t="str">
        <f>_xlfn.IFNA(VLOOKUP($BD985,Programma!$F$3:$W$1107,18,0),"")</f>
        <v/>
      </c>
      <c r="BV985" s="300" t="str">
        <f>_xlfn.IFNA(VLOOKUP($BD985,Programma!$F$3:$X$1107,19,0),"")</f>
        <v/>
      </c>
      <c r="BW985" s="300" t="str">
        <f>_xlfn.IFNA(VLOOKUP($BD985,Programma!$F$3:$Y$1107,20,0),"")</f>
        <v/>
      </c>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c r="GK985" s="4"/>
      <c r="GL985" s="4"/>
      <c r="GM985" s="4"/>
      <c r="GN985" s="4"/>
      <c r="GO985" s="4"/>
      <c r="GP985" s="4"/>
      <c r="GQ985" s="4"/>
      <c r="GR985" s="4"/>
      <c r="GS985" s="4"/>
      <c r="GT985" s="4"/>
      <c r="GU985" s="4"/>
      <c r="GV985" s="4"/>
      <c r="GW985" s="4"/>
      <c r="GX985" s="4"/>
      <c r="GY985" s="4"/>
      <c r="GZ985" s="4"/>
      <c r="HA985" s="4"/>
      <c r="HB985" s="4"/>
      <c r="HC985" s="4"/>
      <c r="HD985" s="4"/>
      <c r="HE985" s="4"/>
      <c r="HF985" s="4"/>
      <c r="HG985" s="4"/>
      <c r="HH985" s="4"/>
      <c r="HI985" s="4"/>
      <c r="HJ985" s="4"/>
      <c r="HK985" s="4"/>
      <c r="HL985" s="4"/>
    </row>
    <row r="986" spans="1:220" ht="15" customHeight="1">
      <c r="A986" s="21">
        <v>10</v>
      </c>
      <c r="B986" s="157" t="str">
        <f>VLOOKUP(Ruimtestaat[[#This Row],[Code]],Locaties[[Code]:[Locatie]],2,FALSE)</f>
        <v>Veurs Voorburg vmbo</v>
      </c>
      <c r="C986" s="157" t="str">
        <f>VLOOKUP(Ruimtestaat[[#This Row],[Code]],Locaties[[#All],[Code]:[Adres]],4,FALSE)</f>
        <v>Delflandlaan 4</v>
      </c>
      <c r="D986" s="157" t="str">
        <f>VLOOKUP(Ruimtestaat[[#This Row],[Code]],Locaties[[#All],[Code]:[Postcode]],5,FALSE)</f>
        <v>2273 CS</v>
      </c>
      <c r="E986" s="157" t="str">
        <f>VLOOKUP(Ruimtestaat[[#This Row],[Code]],Locaties[#All],6,FALSE)</f>
        <v>Voorburg</v>
      </c>
      <c r="F986" s="62"/>
      <c r="G986" s="21" t="s">
        <v>1706</v>
      </c>
      <c r="H986" s="21" t="s">
        <v>1716</v>
      </c>
      <c r="I986" s="62" t="s">
        <v>1761</v>
      </c>
      <c r="J986" s="21">
        <v>6</v>
      </c>
      <c r="K986" s="62" t="str">
        <f>VLOOKUP(Ruimtestaat[[#This Row],[Ruimte code]],Ruimtegroepen[[#All],[Code]:[Ruimte omschrijving]],2,FALSE)</f>
        <v>Gangen/hallen</v>
      </c>
      <c r="L986" s="33" t="s">
        <v>101</v>
      </c>
      <c r="M986" s="367" t="s">
        <v>2506</v>
      </c>
      <c r="N986" s="140">
        <v>55.2</v>
      </c>
      <c r="O986" s="140"/>
      <c r="P986" s="125" t="str">
        <f>VLOOKUP(Ruimtestaat[[#This Row],[Ruimte code]],Ruimtegroepen[],4,FALSE)</f>
        <v>Ve</v>
      </c>
      <c r="R986" s="33">
        <v>40</v>
      </c>
      <c r="S986" s="33" t="s">
        <v>2</v>
      </c>
      <c r="T986" s="33">
        <f>IF(R986&gt;0,IF(RIGHT(Ruimtestaat[[#This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86" s="33">
        <f>IF(T986&gt;0,VLOOKUP($J986,Ruimtegroepen[],3,FALSE)*VLOOKUP($L986,Vloersoorten[],3,FALSE)*VLOOKUP($S986,Frequenties[],3,FALSE)*VLOOKUP($A986,Locaties[],3,FALSE),0)</f>
        <v>0</v>
      </c>
      <c r="V986" s="33">
        <f>Ruimtestaat[[#This Row],[Uitvoeringen werkdagen]]*Ruimtestaat[[#This Row],[Oppervlak (netto)]]</f>
        <v>11040</v>
      </c>
      <c r="W986" s="154">
        <f>IF(U986&gt;0,Ruimtestaat[[#This Row],[Prest. (m2 /jaar) werkdagen]]/Ruimtestaat[[#This Row],[Norm (m2/uur) werkdagen]],0)</f>
        <v>0</v>
      </c>
      <c r="X986" s="155">
        <f>Ruimtestaat[[#This Row],[uren / jaar werkdagen]]*Tariefsopbouw!$E$35</f>
        <v>0</v>
      </c>
      <c r="Y986" s="33"/>
      <c r="Z986" s="33">
        <f>IF(Ruimtestaat[[#This Row],[Frequentie weekend]]&gt;0,VALUE(LEFT(Y986,1))*R986,0)</f>
        <v>0</v>
      </c>
      <c r="AA986" s="97">
        <f>IF($Z986&gt;0,VLOOKUP($J986,Ruimtegroepen[],3,FALSE)*VLOOKUP($L986,Vloersoorten[],3,FALSE)*VLOOKUP($Y986,Frequenties[],3,FALSE)*VLOOKUP(Ruimtestaat[[#This Row],[Code]],Locaties[],3,FALSE),0)</f>
        <v>0</v>
      </c>
      <c r="AB986" s="97">
        <f>Ruimtestaat[[#This Row],[Uitvoeringen weekend]]*Ruimtestaat[[#This Row],[Oppervlak (netto)]]</f>
        <v>0</v>
      </c>
      <c r="AC986" s="97">
        <f>IF(AA986&gt;0,Ruimtestaat[[#This Row],[Prest. (m2 /jaar) weekend]]/Ruimtestaat[[#This Row],[Norm (m2/uur) weekend]],0)</f>
        <v>0</v>
      </c>
      <c r="AD986" s="155">
        <f>Ruimtestaat[[#This Row],[uren / jaar weekend]]*Tariefsopbouw!$D$40</f>
        <v>0</v>
      </c>
      <c r="AE986" s="154">
        <f>Ruimtestaat[[#This Row],[Prest. (m2 /jaar) weekend]]+Ruimtestaat[[#This Row],[Prest. (m2 /jaar) werkdagen]]</f>
        <v>11040</v>
      </c>
      <c r="AF986" s="154">
        <f>Ruimtestaat[[#This Row],[uren / jaar weekend]]+Ruimtestaat[[#This Row],[uren / jaar werkdagen]]</f>
        <v>0</v>
      </c>
      <c r="AG986" s="69">
        <f>Ruimtestaat[[#This Row],[kosten / jaar weekend]]+Ruimtestaat[[#This Row],[kosten / jaar werkdagen]]</f>
        <v>0</v>
      </c>
      <c r="AH986" s="69"/>
      <c r="AI986" s="256" t="str">
        <f>IF(Ruimtestaat[[#This Row],[Frequentie werkdagen]]="","",_xlfn.CONCAT(Ruimtestaat[[#This Row],[Ruimte code]],"-",Ruimtestaat[[#This Row],[Frequentie werkdagen]]," ",Ruimtestaat[[#This Row],[Vloer code]]))</f>
        <v>6-5w L</v>
      </c>
      <c r="AJ986" s="300" t="str">
        <f>_xlfn.IFNA(VLOOKUP($AI986,Programma!$F$3:$G$1107,2,0),"")</f>
        <v>_</v>
      </c>
      <c r="AK986" s="300" t="str">
        <f>_xlfn.IFNA(VLOOKUP($AI986,Programma!$F$3:$H$1107,3,0),"")</f>
        <v>_</v>
      </c>
      <c r="AL986" s="300" t="str">
        <f>_xlfn.IFNA(VLOOKUP($AI986,Programma!$F$3:$I$1107,4,0),"")</f>
        <v>_</v>
      </c>
      <c r="AM986" s="300" t="str">
        <f>_xlfn.IFNA(VLOOKUP($AI986,Programma!$F$3:$J$1107,5,0),"")</f>
        <v>5w</v>
      </c>
      <c r="AN986" s="300" t="str">
        <f>_xlfn.IFNA(VLOOKUP($AI986,Programma!$F$3:$K$1107,6,0),"")</f>
        <v>_</v>
      </c>
      <c r="AO986" s="300" t="str">
        <f>_xlfn.IFNA(VLOOKUP($AI986,Programma!$F$3:$L$1107,7,0),"")</f>
        <v>_</v>
      </c>
      <c r="AP986" s="300" t="str">
        <f>_xlfn.IFNA(VLOOKUP($AI986,Programma!$F$3:$M$1107,8,0),"")</f>
        <v>_</v>
      </c>
      <c r="AQ986" s="300" t="str">
        <f>_xlfn.IFNA(VLOOKUP($AI986,Programma!$F$3:$N$1107,9,0),"")</f>
        <v>_</v>
      </c>
      <c r="AR986" s="300" t="str">
        <f>_xlfn.IFNA(VLOOKUP($AI986,Programma!$F$3:$O$1107,10,0),"")</f>
        <v>5w</v>
      </c>
      <c r="AS986" s="300" t="str">
        <f>_xlfn.IFNA(VLOOKUP($AI986,Programma!$F$3:$P$1107,11,0),"")</f>
        <v>5w</v>
      </c>
      <c r="AT986" s="300" t="str">
        <f>_xlfn.IFNA(VLOOKUP($AI986,Programma!$F$3:$Q$1107,12,0),"")</f>
        <v>1w</v>
      </c>
      <c r="AU986" s="300" t="str">
        <f>_xlfn.IFNA(VLOOKUP($AI986,Programma!$F$3:$R$1107,13,0),"")</f>
        <v>1w</v>
      </c>
      <c r="AV986" s="300" t="str">
        <f>_xlfn.IFNA(VLOOKUP($AI986,Programma!$F$3:$S$1107,14,0),"")</f>
        <v>1m</v>
      </c>
      <c r="AW986" s="300" t="str">
        <f>_xlfn.IFNA(VLOOKUP($AI986,Programma!$F$3:$T$1107,15,0),"")</f>
        <v>2j</v>
      </c>
      <c r="AX986" s="300" t="str">
        <f>_xlfn.IFNA(VLOOKUP($AI986,Programma!$F$3:$U$1107,16,0),"")</f>
        <v>1j</v>
      </c>
      <c r="AY986" s="300" t="str">
        <f>_xlfn.IFNA(VLOOKUP($AI986,Programma!$F$3:$V$1107,17,0),"")</f>
        <v>_</v>
      </c>
      <c r="AZ986" s="300" t="str">
        <f>_xlfn.IFNA(VLOOKUP($AI986,Programma!$F$3:$W$1107,18,0),"")</f>
        <v>_</v>
      </c>
      <c r="BA986" s="300" t="str">
        <f>_xlfn.IFNA(VLOOKUP($AI986,Programma!$F$3:$X$1107,19,0),"")</f>
        <v>_</v>
      </c>
      <c r="BB986" s="300" t="str">
        <f>_xlfn.IFNA(VLOOKUP($AI986,Programma!$F$3:$Y$1107,20,0),"")</f>
        <v>_</v>
      </c>
      <c r="BC986" s="257"/>
      <c r="BD986" s="256" t="str">
        <f>IF(Ruimtestaat[[#This Row],[Frequentie weekend]]="","",_xlfn.CONCAT(Ruimtestaat[[#This Row],[Ruimte code]],"-",Ruimtestaat[[#This Row],[Frequentie weekend]]," ",Ruimtestaat[[#This Row],[Vloer code]]))</f>
        <v/>
      </c>
      <c r="BE986" s="300" t="str">
        <f>_xlfn.IFNA(VLOOKUP($BD986,Programma!$F$3:$G$1107,2,0),"")</f>
        <v/>
      </c>
      <c r="BF986" s="300" t="str">
        <f>_xlfn.IFNA(VLOOKUP($BD986,Programma!$F$3:$H$1107,3,0),"")</f>
        <v/>
      </c>
      <c r="BG986" s="300" t="str">
        <f>_xlfn.IFNA(VLOOKUP($BD986,Programma!$F$3:$I$1107,4,0),"")</f>
        <v/>
      </c>
      <c r="BH986" s="300" t="str">
        <f>_xlfn.IFNA(VLOOKUP($BD986,Programma!$F$3:$J$1107,5,0),"")</f>
        <v/>
      </c>
      <c r="BI986" s="300" t="str">
        <f>_xlfn.IFNA(VLOOKUP($BD986,Programma!$F$3:$K$1107,6,0),"")</f>
        <v/>
      </c>
      <c r="BJ986" s="300" t="str">
        <f>_xlfn.IFNA(VLOOKUP($BD986,Programma!$F$3:$L$1107,7,0),"")</f>
        <v/>
      </c>
      <c r="BK986" s="300" t="str">
        <f>_xlfn.IFNA(VLOOKUP($BD986,Programma!$F$3:$M$1107,8,0),"")</f>
        <v/>
      </c>
      <c r="BL986" s="300" t="str">
        <f>_xlfn.IFNA(VLOOKUP($BD986,Programma!$F$3:$N$1107,9,0),"")</f>
        <v/>
      </c>
      <c r="BM986" s="300" t="str">
        <f>_xlfn.IFNA(VLOOKUP($BD986,Programma!$F$3:$O$1107,10,0),"")</f>
        <v/>
      </c>
      <c r="BN986" s="300" t="str">
        <f>_xlfn.IFNA(VLOOKUP($BD986,Programma!$F$3:$P$1107,11,0),"")</f>
        <v/>
      </c>
      <c r="BO986" s="300" t="str">
        <f>_xlfn.IFNA(VLOOKUP($BD986,Programma!$F$3:$Q$1107,12,0),"")</f>
        <v/>
      </c>
      <c r="BP986" s="300" t="str">
        <f>_xlfn.IFNA(VLOOKUP($BD986,Programma!$F$3:$R$1107,13,0),"")</f>
        <v/>
      </c>
      <c r="BQ986" s="300" t="str">
        <f>_xlfn.IFNA(VLOOKUP($BD986,Programma!$F$3:$S$1107,14,0),"")</f>
        <v/>
      </c>
      <c r="BR986" s="300" t="str">
        <f>_xlfn.IFNA(VLOOKUP($BD986,Programma!$F$3:$T$1107,15,0),"")</f>
        <v/>
      </c>
      <c r="BS986" s="300" t="str">
        <f>_xlfn.IFNA(VLOOKUP($BD986,Programma!$F$3:$U$1107,16,0),"")</f>
        <v/>
      </c>
      <c r="BT986" s="300" t="str">
        <f>_xlfn.IFNA(VLOOKUP($BD986,Programma!$F$3:$V$1107,17,0),"")</f>
        <v/>
      </c>
      <c r="BU986" s="300" t="str">
        <f>_xlfn.IFNA(VLOOKUP($BD986,Programma!$F$3:$W$1107,18,0),"")</f>
        <v/>
      </c>
      <c r="BV986" s="300" t="str">
        <f>_xlfn.IFNA(VLOOKUP($BD986,Programma!$F$3:$X$1107,19,0),"")</f>
        <v/>
      </c>
      <c r="BW986" s="300" t="str">
        <f>_xlfn.IFNA(VLOOKUP($BD986,Programma!$F$3:$Y$1107,20,0),"")</f>
        <v/>
      </c>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c r="GK986" s="4"/>
      <c r="GL986" s="4"/>
      <c r="GM986" s="4"/>
      <c r="GN986" s="4"/>
      <c r="GO986" s="4"/>
      <c r="GP986" s="4"/>
      <c r="GQ986" s="4"/>
      <c r="GR986" s="4"/>
      <c r="GS986" s="4"/>
      <c r="GT986" s="4"/>
      <c r="GU986" s="4"/>
      <c r="GV986" s="4"/>
      <c r="GW986" s="4"/>
      <c r="GX986" s="4"/>
      <c r="GY986" s="4"/>
      <c r="GZ986" s="4"/>
      <c r="HA986" s="4"/>
      <c r="HB986" s="4"/>
      <c r="HC986" s="4"/>
      <c r="HD986" s="4"/>
      <c r="HE986" s="4"/>
      <c r="HF986" s="4"/>
      <c r="HG986" s="4"/>
      <c r="HH986" s="4"/>
      <c r="HI986" s="4"/>
      <c r="HJ986" s="4"/>
      <c r="HK986" s="4"/>
      <c r="HL986" s="4"/>
    </row>
    <row r="987" spans="1:220" ht="15" customHeight="1">
      <c r="A987" s="21">
        <v>10</v>
      </c>
      <c r="B987" s="157" t="str">
        <f>VLOOKUP(Ruimtestaat[[#This Row],[Code]],Locaties[[Code]:[Locatie]],2,FALSE)</f>
        <v>Veurs Voorburg vmbo</v>
      </c>
      <c r="C987" s="157" t="str">
        <f>VLOOKUP(Ruimtestaat[[#This Row],[Code]],Locaties[[#All],[Code]:[Adres]],4,FALSE)</f>
        <v>Delflandlaan 4</v>
      </c>
      <c r="D987" s="157" t="str">
        <f>VLOOKUP(Ruimtestaat[[#This Row],[Code]],Locaties[[#All],[Code]:[Postcode]],5,FALSE)</f>
        <v>2273 CS</v>
      </c>
      <c r="E987" s="157" t="str">
        <f>VLOOKUP(Ruimtestaat[[#This Row],[Code]],Locaties[#All],6,FALSE)</f>
        <v>Voorburg</v>
      </c>
      <c r="F987" s="62"/>
      <c r="G987" s="21" t="s">
        <v>1706</v>
      </c>
      <c r="H987" s="21" t="s">
        <v>1717</v>
      </c>
      <c r="I987" s="62" t="s">
        <v>2479</v>
      </c>
      <c r="J987" s="21">
        <v>2</v>
      </c>
      <c r="K987" s="62" t="str">
        <f>VLOOKUP(Ruimtestaat[[#This Row],[Ruimte code]],Ruimtegroepen[[#All],[Code]:[Ruimte omschrijving]],2,FALSE)</f>
        <v>Kantoren</v>
      </c>
      <c r="L987" s="33" t="s">
        <v>101</v>
      </c>
      <c r="M987" s="367" t="s">
        <v>2506</v>
      </c>
      <c r="N987" s="140">
        <v>23.7</v>
      </c>
      <c r="O987" s="140"/>
      <c r="P987" s="125" t="str">
        <f>VLOOKUP(Ruimtestaat[[#This Row],[Ruimte code]],Ruimtegroepen[],4,FALSE)</f>
        <v>Bu</v>
      </c>
      <c r="R987" s="33">
        <v>42</v>
      </c>
      <c r="S987" s="33" t="s">
        <v>18</v>
      </c>
      <c r="T987" s="33">
        <f>IF(R987&gt;0,IF(RIGHT(Ruimtestaat[[#This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87" s="33">
        <f>IF(T987&gt;0,VLOOKUP($J987,Ruimtegroepen[],3,FALSE)*VLOOKUP($L987,Vloersoorten[],3,FALSE)*VLOOKUP($S987,Frequenties[],3,FALSE)*VLOOKUP($A987,Locaties[],3,FALSE),0)</f>
        <v>0</v>
      </c>
      <c r="V987" s="33">
        <f>Ruimtestaat[[#This Row],[Uitvoeringen werkdagen]]*Ruimtestaat[[#This Row],[Oppervlak (netto)]]</f>
        <v>2986.2</v>
      </c>
      <c r="W987" s="154">
        <f>IF(U987&gt;0,Ruimtestaat[[#This Row],[Prest. (m2 /jaar) werkdagen]]/Ruimtestaat[[#This Row],[Norm (m2/uur) werkdagen]],0)</f>
        <v>0</v>
      </c>
      <c r="X987" s="155">
        <f>Ruimtestaat[[#This Row],[uren / jaar werkdagen]]*Tariefsopbouw!$E$35</f>
        <v>0</v>
      </c>
      <c r="Y987" s="33"/>
      <c r="Z987" s="33">
        <f>IF(Ruimtestaat[[#This Row],[Frequentie weekend]]&gt;0,VALUE(LEFT(Y987,1))*R987,0)</f>
        <v>0</v>
      </c>
      <c r="AA987" s="97">
        <f>IF($Z987&gt;0,VLOOKUP($J987,Ruimtegroepen[],3,FALSE)*VLOOKUP($L987,Vloersoorten[],3,FALSE)*VLOOKUP($Y987,Frequenties[],3,FALSE)*VLOOKUP(Ruimtestaat[[#This Row],[Code]],Locaties[],3,FALSE),0)</f>
        <v>0</v>
      </c>
      <c r="AB987" s="97">
        <f>Ruimtestaat[[#This Row],[Uitvoeringen weekend]]*Ruimtestaat[[#This Row],[Oppervlak (netto)]]</f>
        <v>0</v>
      </c>
      <c r="AC987" s="97">
        <f>IF(AA987&gt;0,Ruimtestaat[[#This Row],[Prest. (m2 /jaar) weekend]]/Ruimtestaat[[#This Row],[Norm (m2/uur) weekend]],0)</f>
        <v>0</v>
      </c>
      <c r="AD987" s="155">
        <f>Ruimtestaat[[#This Row],[uren / jaar weekend]]*Tariefsopbouw!$D$40</f>
        <v>0</v>
      </c>
      <c r="AE987" s="154">
        <f>Ruimtestaat[[#This Row],[Prest. (m2 /jaar) weekend]]+Ruimtestaat[[#This Row],[Prest. (m2 /jaar) werkdagen]]</f>
        <v>2986.2</v>
      </c>
      <c r="AF987" s="154">
        <f>Ruimtestaat[[#This Row],[uren / jaar weekend]]+Ruimtestaat[[#This Row],[uren / jaar werkdagen]]</f>
        <v>0</v>
      </c>
      <c r="AG987" s="69">
        <f>Ruimtestaat[[#This Row],[kosten / jaar weekend]]+Ruimtestaat[[#This Row],[kosten / jaar werkdagen]]</f>
        <v>0</v>
      </c>
      <c r="AH987" s="69"/>
      <c r="AI987" s="256" t="str">
        <f>IF(Ruimtestaat[[#This Row],[Frequentie werkdagen]]="","",_xlfn.CONCAT(Ruimtestaat[[#This Row],[Ruimte code]],"-",Ruimtestaat[[#This Row],[Frequentie werkdagen]]," ",Ruimtestaat[[#This Row],[Vloer code]]))</f>
        <v>2-3w L</v>
      </c>
      <c r="AJ987" s="300" t="str">
        <f>_xlfn.IFNA(VLOOKUP($AI987,Programma!$F$3:$G$1107,2,0),"")</f>
        <v>_</v>
      </c>
      <c r="AK987" s="300" t="str">
        <f>_xlfn.IFNA(VLOOKUP($AI987,Programma!$F$3:$H$1107,3,0),"")</f>
        <v>_</v>
      </c>
      <c r="AL987" s="300" t="str">
        <f>_xlfn.IFNA(VLOOKUP($AI987,Programma!$F$3:$I$1107,4,0),"")</f>
        <v>2w</v>
      </c>
      <c r="AM987" s="300" t="str">
        <f>_xlfn.IFNA(VLOOKUP($AI987,Programma!$F$3:$J$1107,5,0),"")</f>
        <v>1w</v>
      </c>
      <c r="AN987" s="300" t="str">
        <f>_xlfn.IFNA(VLOOKUP($AI987,Programma!$F$3:$K$1107,6,0),"")</f>
        <v>_</v>
      </c>
      <c r="AO987" s="300" t="str">
        <f>_xlfn.IFNA(VLOOKUP($AI987,Programma!$F$3:$L$1107,7,0),"")</f>
        <v>_</v>
      </c>
      <c r="AP987" s="300" t="str">
        <f>_xlfn.IFNA(VLOOKUP($AI987,Programma!$F$3:$M$1107,8,0),"")</f>
        <v>_</v>
      </c>
      <c r="AQ987" s="300" t="str">
        <f>_xlfn.IFNA(VLOOKUP($AI987,Programma!$F$3:$N$1107,9,0),"")</f>
        <v>_</v>
      </c>
      <c r="AR987" s="300" t="str">
        <f>_xlfn.IFNA(VLOOKUP($AI987,Programma!$F$3:$O$1107,10,0),"")</f>
        <v>3w</v>
      </c>
      <c r="AS987" s="300" t="str">
        <f>_xlfn.IFNA(VLOOKUP($AI987,Programma!$F$3:$P$1107,11,0),"")</f>
        <v>3w</v>
      </c>
      <c r="AT987" s="300" t="str">
        <f>_xlfn.IFNA(VLOOKUP($AI987,Programma!$F$3:$Q$1107,12,0),"")</f>
        <v>1w</v>
      </c>
      <c r="AU987" s="300" t="str">
        <f>_xlfn.IFNA(VLOOKUP($AI987,Programma!$F$3:$R$1107,13,0),"")</f>
        <v>1w</v>
      </c>
      <c r="AV987" s="300" t="str">
        <f>_xlfn.IFNA(VLOOKUP($AI987,Programma!$F$3:$S$1107,14,0),"")</f>
        <v>1m</v>
      </c>
      <c r="AW987" s="300" t="str">
        <f>_xlfn.IFNA(VLOOKUP($AI987,Programma!$F$3:$T$1107,15,0),"")</f>
        <v>2j</v>
      </c>
      <c r="AX987" s="300" t="str">
        <f>_xlfn.IFNA(VLOOKUP($AI987,Programma!$F$3:$U$1107,16,0),"")</f>
        <v>1j</v>
      </c>
      <c r="AY987" s="300" t="str">
        <f>_xlfn.IFNA(VLOOKUP($AI987,Programma!$F$3:$V$1107,17,0),"")</f>
        <v>_</v>
      </c>
      <c r="AZ987" s="300" t="str">
        <f>_xlfn.IFNA(VLOOKUP($AI987,Programma!$F$3:$W$1107,18,0),"")</f>
        <v>_</v>
      </c>
      <c r="BA987" s="300" t="str">
        <f>_xlfn.IFNA(VLOOKUP($AI987,Programma!$F$3:$X$1107,19,0),"")</f>
        <v>_</v>
      </c>
      <c r="BB987" s="300" t="str">
        <f>_xlfn.IFNA(VLOOKUP($AI987,Programma!$F$3:$Y$1107,20,0),"")</f>
        <v>_</v>
      </c>
      <c r="BC987" s="257"/>
      <c r="BD987" s="256" t="str">
        <f>IF(Ruimtestaat[[#This Row],[Frequentie weekend]]="","",_xlfn.CONCAT(Ruimtestaat[[#This Row],[Ruimte code]],"-",Ruimtestaat[[#This Row],[Frequentie weekend]]," ",Ruimtestaat[[#This Row],[Vloer code]]))</f>
        <v/>
      </c>
      <c r="BE987" s="300" t="str">
        <f>_xlfn.IFNA(VLOOKUP($BD987,Programma!$F$3:$G$1107,2,0),"")</f>
        <v/>
      </c>
      <c r="BF987" s="300" t="str">
        <f>_xlfn.IFNA(VLOOKUP($BD987,Programma!$F$3:$H$1107,3,0),"")</f>
        <v/>
      </c>
      <c r="BG987" s="300" t="str">
        <f>_xlfn.IFNA(VLOOKUP($BD987,Programma!$F$3:$I$1107,4,0),"")</f>
        <v/>
      </c>
      <c r="BH987" s="300" t="str">
        <f>_xlfn.IFNA(VLOOKUP($BD987,Programma!$F$3:$J$1107,5,0),"")</f>
        <v/>
      </c>
      <c r="BI987" s="300" t="str">
        <f>_xlfn.IFNA(VLOOKUP($BD987,Programma!$F$3:$K$1107,6,0),"")</f>
        <v/>
      </c>
      <c r="BJ987" s="300" t="str">
        <f>_xlfn.IFNA(VLOOKUP($BD987,Programma!$F$3:$L$1107,7,0),"")</f>
        <v/>
      </c>
      <c r="BK987" s="300" t="str">
        <f>_xlfn.IFNA(VLOOKUP($BD987,Programma!$F$3:$M$1107,8,0),"")</f>
        <v/>
      </c>
      <c r="BL987" s="300" t="str">
        <f>_xlfn.IFNA(VLOOKUP($BD987,Programma!$F$3:$N$1107,9,0),"")</f>
        <v/>
      </c>
      <c r="BM987" s="300" t="str">
        <f>_xlfn.IFNA(VLOOKUP($BD987,Programma!$F$3:$O$1107,10,0),"")</f>
        <v/>
      </c>
      <c r="BN987" s="300" t="str">
        <f>_xlfn.IFNA(VLOOKUP($BD987,Programma!$F$3:$P$1107,11,0),"")</f>
        <v/>
      </c>
      <c r="BO987" s="300" t="str">
        <f>_xlfn.IFNA(VLOOKUP($BD987,Programma!$F$3:$Q$1107,12,0),"")</f>
        <v/>
      </c>
      <c r="BP987" s="300" t="str">
        <f>_xlfn.IFNA(VLOOKUP($BD987,Programma!$F$3:$R$1107,13,0),"")</f>
        <v/>
      </c>
      <c r="BQ987" s="300" t="str">
        <f>_xlfn.IFNA(VLOOKUP($BD987,Programma!$F$3:$S$1107,14,0),"")</f>
        <v/>
      </c>
      <c r="BR987" s="300" t="str">
        <f>_xlfn.IFNA(VLOOKUP($BD987,Programma!$F$3:$T$1107,15,0),"")</f>
        <v/>
      </c>
      <c r="BS987" s="300" t="str">
        <f>_xlfn.IFNA(VLOOKUP($BD987,Programma!$F$3:$U$1107,16,0),"")</f>
        <v/>
      </c>
      <c r="BT987" s="300" t="str">
        <f>_xlfn.IFNA(VLOOKUP($BD987,Programma!$F$3:$V$1107,17,0),"")</f>
        <v/>
      </c>
      <c r="BU987" s="300" t="str">
        <f>_xlfn.IFNA(VLOOKUP($BD987,Programma!$F$3:$W$1107,18,0),"")</f>
        <v/>
      </c>
      <c r="BV987" s="300" t="str">
        <f>_xlfn.IFNA(VLOOKUP($BD987,Programma!$F$3:$X$1107,19,0),"")</f>
        <v/>
      </c>
      <c r="BW987" s="300" t="str">
        <f>_xlfn.IFNA(VLOOKUP($BD987,Programma!$F$3:$Y$1107,20,0),"")</f>
        <v/>
      </c>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c r="GK987" s="4"/>
      <c r="GL987" s="4"/>
      <c r="GM987" s="4"/>
      <c r="GN987" s="4"/>
      <c r="GO987" s="4"/>
      <c r="GP987" s="4"/>
      <c r="GQ987" s="4"/>
      <c r="GR987" s="4"/>
      <c r="GS987" s="4"/>
      <c r="GT987" s="4"/>
      <c r="GU987" s="4"/>
      <c r="GV987" s="4"/>
      <c r="GW987" s="4"/>
      <c r="GX987" s="4"/>
      <c r="GY987" s="4"/>
      <c r="GZ987" s="4"/>
      <c r="HA987" s="4"/>
      <c r="HB987" s="4"/>
      <c r="HC987" s="4"/>
      <c r="HD987" s="4"/>
      <c r="HE987" s="4"/>
      <c r="HF987" s="4"/>
      <c r="HG987" s="4"/>
      <c r="HH987" s="4"/>
      <c r="HI987" s="4"/>
      <c r="HJ987" s="4"/>
      <c r="HK987" s="4"/>
      <c r="HL987" s="4"/>
    </row>
    <row r="988" spans="1:220" ht="15" customHeight="1">
      <c r="A988" s="21">
        <v>10</v>
      </c>
      <c r="B988" s="157" t="str">
        <f>VLOOKUP(Ruimtestaat[[#This Row],[Code]],Locaties[[Code]:[Locatie]],2,FALSE)</f>
        <v>Veurs Voorburg vmbo</v>
      </c>
      <c r="C988" s="157" t="str">
        <f>VLOOKUP(Ruimtestaat[[#This Row],[Code]],Locaties[[#All],[Code]:[Adres]],4,FALSE)</f>
        <v>Delflandlaan 4</v>
      </c>
      <c r="D988" s="157" t="str">
        <f>VLOOKUP(Ruimtestaat[[#This Row],[Code]],Locaties[[#All],[Code]:[Postcode]],5,FALSE)</f>
        <v>2273 CS</v>
      </c>
      <c r="E988" s="157" t="str">
        <f>VLOOKUP(Ruimtestaat[[#This Row],[Code]],Locaties[#All],6,FALSE)</f>
        <v>Voorburg</v>
      </c>
      <c r="F988" s="62"/>
      <c r="G988" s="21" t="s">
        <v>1706</v>
      </c>
      <c r="H988" s="21" t="s">
        <v>1718</v>
      </c>
      <c r="I988" s="62" t="s">
        <v>2480</v>
      </c>
      <c r="J988" s="21">
        <v>15</v>
      </c>
      <c r="K988" s="62" t="str">
        <f>VLOOKUP(Ruimtestaat[[#This Row],[Ruimte code]],Ruimtegroepen[[#All],[Code]:[Ruimte omschrijving]],2,FALSE)</f>
        <v>Keuken/pantry</v>
      </c>
      <c r="L988" s="33" t="s">
        <v>101</v>
      </c>
      <c r="M988" s="367" t="s">
        <v>2506</v>
      </c>
      <c r="N988" s="140">
        <v>7.9</v>
      </c>
      <c r="O988" s="140"/>
      <c r="P988" s="125" t="str">
        <f>VLOOKUP(Ruimtestaat[[#This Row],[Ruimte code]],Ruimtegroepen[],4,FALSE)</f>
        <v>Ve</v>
      </c>
      <c r="R988" s="33">
        <v>40</v>
      </c>
      <c r="S988" s="33" t="s">
        <v>2</v>
      </c>
      <c r="T988" s="33">
        <f>IF(R988&gt;0,IF(RIGHT(Ruimtestaat[[#This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88" s="33">
        <f>IF(T988&gt;0,VLOOKUP($J988,Ruimtegroepen[],3,FALSE)*VLOOKUP($L988,Vloersoorten[],3,FALSE)*VLOOKUP($S988,Frequenties[],3,FALSE)*VLOOKUP($A988,Locaties[],3,FALSE),0)</f>
        <v>0</v>
      </c>
      <c r="V988" s="33">
        <f>Ruimtestaat[[#This Row],[Uitvoeringen werkdagen]]*Ruimtestaat[[#This Row],[Oppervlak (netto)]]</f>
        <v>1580</v>
      </c>
      <c r="W988" s="154">
        <f>IF(U988&gt;0,Ruimtestaat[[#This Row],[Prest. (m2 /jaar) werkdagen]]/Ruimtestaat[[#This Row],[Norm (m2/uur) werkdagen]],0)</f>
        <v>0</v>
      </c>
      <c r="X988" s="155">
        <f>Ruimtestaat[[#This Row],[uren / jaar werkdagen]]*Tariefsopbouw!$E$35</f>
        <v>0</v>
      </c>
      <c r="Y988" s="33"/>
      <c r="Z988" s="33">
        <f>IF(Ruimtestaat[[#This Row],[Frequentie weekend]]&gt;0,VALUE(LEFT(Y988,1))*R988,0)</f>
        <v>0</v>
      </c>
      <c r="AA988" s="97">
        <f>IF($Z988&gt;0,VLOOKUP($J988,Ruimtegroepen[],3,FALSE)*VLOOKUP($L988,Vloersoorten[],3,FALSE)*VLOOKUP($Y988,Frequenties[],3,FALSE)*VLOOKUP(Ruimtestaat[[#This Row],[Code]],Locaties[],3,FALSE),0)</f>
        <v>0</v>
      </c>
      <c r="AB988" s="97">
        <f>Ruimtestaat[[#This Row],[Uitvoeringen weekend]]*Ruimtestaat[[#This Row],[Oppervlak (netto)]]</f>
        <v>0</v>
      </c>
      <c r="AC988" s="97">
        <f>IF(AA988&gt;0,Ruimtestaat[[#This Row],[Prest. (m2 /jaar) weekend]]/Ruimtestaat[[#This Row],[Norm (m2/uur) weekend]],0)</f>
        <v>0</v>
      </c>
      <c r="AD988" s="155">
        <f>Ruimtestaat[[#This Row],[uren / jaar weekend]]*Tariefsopbouw!$D$40</f>
        <v>0</v>
      </c>
      <c r="AE988" s="154">
        <f>Ruimtestaat[[#This Row],[Prest. (m2 /jaar) weekend]]+Ruimtestaat[[#This Row],[Prest. (m2 /jaar) werkdagen]]</f>
        <v>1580</v>
      </c>
      <c r="AF988" s="154">
        <f>Ruimtestaat[[#This Row],[uren / jaar weekend]]+Ruimtestaat[[#This Row],[uren / jaar werkdagen]]</f>
        <v>0</v>
      </c>
      <c r="AG988" s="69">
        <f>Ruimtestaat[[#This Row],[kosten / jaar weekend]]+Ruimtestaat[[#This Row],[kosten / jaar werkdagen]]</f>
        <v>0</v>
      </c>
      <c r="AH988" s="69"/>
      <c r="AI988" s="256" t="str">
        <f>IF(Ruimtestaat[[#This Row],[Frequentie werkdagen]]="","",_xlfn.CONCAT(Ruimtestaat[[#This Row],[Ruimte code]],"-",Ruimtestaat[[#This Row],[Frequentie werkdagen]]," ",Ruimtestaat[[#This Row],[Vloer code]]))</f>
        <v>15-5w L</v>
      </c>
      <c r="AJ988" s="300" t="str">
        <f>_xlfn.IFNA(VLOOKUP($AI988,Programma!$F$3:$G$1107,2,0),"")</f>
        <v>_</v>
      </c>
      <c r="AK988" s="300" t="str">
        <f>_xlfn.IFNA(VLOOKUP($AI988,Programma!$F$3:$H$1107,3,0),"")</f>
        <v>_</v>
      </c>
      <c r="AL988" s="300" t="str">
        <f>_xlfn.IFNA(VLOOKUP($AI988,Programma!$F$3:$I$1107,4,0),"")</f>
        <v>_</v>
      </c>
      <c r="AM988" s="300" t="str">
        <f>_xlfn.IFNA(VLOOKUP($AI988,Programma!$F$3:$J$1107,5,0),"")</f>
        <v>5w</v>
      </c>
      <c r="AN988" s="300" t="str">
        <f>_xlfn.IFNA(VLOOKUP($AI988,Programma!$F$3:$K$1107,6,0),"")</f>
        <v>_</v>
      </c>
      <c r="AO988" s="300" t="str">
        <f>_xlfn.IFNA(VLOOKUP($AI988,Programma!$F$3:$L$1107,7,0),"")</f>
        <v>_</v>
      </c>
      <c r="AP988" s="300" t="str">
        <f>_xlfn.IFNA(VLOOKUP($AI988,Programma!$F$3:$M$1107,8,0),"")</f>
        <v>_</v>
      </c>
      <c r="AQ988" s="300" t="str">
        <f>_xlfn.IFNA(VLOOKUP($AI988,Programma!$F$3:$N$1107,9,0),"")</f>
        <v>_</v>
      </c>
      <c r="AR988" s="300" t="str">
        <f>_xlfn.IFNA(VLOOKUP($AI988,Programma!$F$3:$O$1107,10,0),"")</f>
        <v>5w</v>
      </c>
      <c r="AS988" s="300" t="str">
        <f>_xlfn.IFNA(VLOOKUP($AI988,Programma!$F$3:$P$1107,11,0),"")</f>
        <v>5w</v>
      </c>
      <c r="AT988" s="300" t="str">
        <f>_xlfn.IFNA(VLOOKUP($AI988,Programma!$F$3:$Q$1107,12,0),"")</f>
        <v>1w</v>
      </c>
      <c r="AU988" s="300" t="str">
        <f>_xlfn.IFNA(VLOOKUP($AI988,Programma!$F$3:$R$1107,13,0),"")</f>
        <v>1w</v>
      </c>
      <c r="AV988" s="300" t="str">
        <f>_xlfn.IFNA(VLOOKUP($AI988,Programma!$F$3:$S$1107,14,0),"")</f>
        <v>1m</v>
      </c>
      <c r="AW988" s="300" t="str">
        <f>_xlfn.IFNA(VLOOKUP($AI988,Programma!$F$3:$T$1107,15,0),"")</f>
        <v>2j</v>
      </c>
      <c r="AX988" s="300" t="str">
        <f>_xlfn.IFNA(VLOOKUP($AI988,Programma!$F$3:$U$1107,16,0),"")</f>
        <v>1j</v>
      </c>
      <c r="AY988" s="300" t="str">
        <f>_xlfn.IFNA(VLOOKUP($AI988,Programma!$F$3:$V$1107,17,0),"")</f>
        <v>_</v>
      </c>
      <c r="AZ988" s="300" t="str">
        <f>_xlfn.IFNA(VLOOKUP($AI988,Programma!$F$3:$W$1107,18,0),"")</f>
        <v>_</v>
      </c>
      <c r="BA988" s="300" t="str">
        <f>_xlfn.IFNA(VLOOKUP($AI988,Programma!$F$3:$X$1107,19,0),"")</f>
        <v>_</v>
      </c>
      <c r="BB988" s="300" t="str">
        <f>_xlfn.IFNA(VLOOKUP($AI988,Programma!$F$3:$Y$1107,20,0),"")</f>
        <v>_</v>
      </c>
      <c r="BC988" s="257"/>
      <c r="BD988" s="256" t="str">
        <f>IF(Ruimtestaat[[#This Row],[Frequentie weekend]]="","",_xlfn.CONCAT(Ruimtestaat[[#This Row],[Ruimte code]],"-",Ruimtestaat[[#This Row],[Frequentie weekend]]," ",Ruimtestaat[[#This Row],[Vloer code]]))</f>
        <v/>
      </c>
      <c r="BE988" s="300" t="str">
        <f>_xlfn.IFNA(VLOOKUP($BD988,Programma!$F$3:$G$1107,2,0),"")</f>
        <v/>
      </c>
      <c r="BF988" s="300" t="str">
        <f>_xlfn.IFNA(VLOOKUP($BD988,Programma!$F$3:$H$1107,3,0),"")</f>
        <v/>
      </c>
      <c r="BG988" s="300" t="str">
        <f>_xlfn.IFNA(VLOOKUP($BD988,Programma!$F$3:$I$1107,4,0),"")</f>
        <v/>
      </c>
      <c r="BH988" s="300" t="str">
        <f>_xlfn.IFNA(VLOOKUP($BD988,Programma!$F$3:$J$1107,5,0),"")</f>
        <v/>
      </c>
      <c r="BI988" s="300" t="str">
        <f>_xlfn.IFNA(VLOOKUP($BD988,Programma!$F$3:$K$1107,6,0),"")</f>
        <v/>
      </c>
      <c r="BJ988" s="300" t="str">
        <f>_xlfn.IFNA(VLOOKUP($BD988,Programma!$F$3:$L$1107,7,0),"")</f>
        <v/>
      </c>
      <c r="BK988" s="300" t="str">
        <f>_xlfn.IFNA(VLOOKUP($BD988,Programma!$F$3:$M$1107,8,0),"")</f>
        <v/>
      </c>
      <c r="BL988" s="300" t="str">
        <f>_xlfn.IFNA(VLOOKUP($BD988,Programma!$F$3:$N$1107,9,0),"")</f>
        <v/>
      </c>
      <c r="BM988" s="300" t="str">
        <f>_xlfn.IFNA(VLOOKUP($BD988,Programma!$F$3:$O$1107,10,0),"")</f>
        <v/>
      </c>
      <c r="BN988" s="300" t="str">
        <f>_xlfn.IFNA(VLOOKUP($BD988,Programma!$F$3:$P$1107,11,0),"")</f>
        <v/>
      </c>
      <c r="BO988" s="300" t="str">
        <f>_xlfn.IFNA(VLOOKUP($BD988,Programma!$F$3:$Q$1107,12,0),"")</f>
        <v/>
      </c>
      <c r="BP988" s="300" t="str">
        <f>_xlfn.IFNA(VLOOKUP($BD988,Programma!$F$3:$R$1107,13,0),"")</f>
        <v/>
      </c>
      <c r="BQ988" s="300" t="str">
        <f>_xlfn.IFNA(VLOOKUP($BD988,Programma!$F$3:$S$1107,14,0),"")</f>
        <v/>
      </c>
      <c r="BR988" s="300" t="str">
        <f>_xlfn.IFNA(VLOOKUP($BD988,Programma!$F$3:$T$1107,15,0),"")</f>
        <v/>
      </c>
      <c r="BS988" s="300" t="str">
        <f>_xlfn.IFNA(VLOOKUP($BD988,Programma!$F$3:$U$1107,16,0),"")</f>
        <v/>
      </c>
      <c r="BT988" s="300" t="str">
        <f>_xlfn.IFNA(VLOOKUP($BD988,Programma!$F$3:$V$1107,17,0),"")</f>
        <v/>
      </c>
      <c r="BU988" s="300" t="str">
        <f>_xlfn.IFNA(VLOOKUP($BD988,Programma!$F$3:$W$1107,18,0),"")</f>
        <v/>
      </c>
      <c r="BV988" s="300" t="str">
        <f>_xlfn.IFNA(VLOOKUP($BD988,Programma!$F$3:$X$1107,19,0),"")</f>
        <v/>
      </c>
      <c r="BW988" s="300" t="str">
        <f>_xlfn.IFNA(VLOOKUP($BD988,Programma!$F$3:$Y$1107,20,0),"")</f>
        <v/>
      </c>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c r="GK988" s="4"/>
      <c r="GL988" s="4"/>
      <c r="GM988" s="4"/>
      <c r="GN988" s="4"/>
      <c r="GO988" s="4"/>
      <c r="GP988" s="4"/>
      <c r="GQ988" s="4"/>
      <c r="GR988" s="4"/>
      <c r="GS988" s="4"/>
      <c r="GT988" s="4"/>
      <c r="GU988" s="4"/>
      <c r="GV988" s="4"/>
      <c r="GW988" s="4"/>
      <c r="GX988" s="4"/>
      <c r="GY988" s="4"/>
      <c r="GZ988" s="4"/>
      <c r="HA988" s="4"/>
      <c r="HB988" s="4"/>
      <c r="HC988" s="4"/>
      <c r="HD988" s="4"/>
      <c r="HE988" s="4"/>
      <c r="HF988" s="4"/>
      <c r="HG988" s="4"/>
      <c r="HH988" s="4"/>
      <c r="HI988" s="4"/>
      <c r="HJ988" s="4"/>
      <c r="HK988" s="4"/>
      <c r="HL988" s="4"/>
    </row>
    <row r="989" spans="1:220" ht="15" customHeight="1">
      <c r="A989" s="21">
        <v>10</v>
      </c>
      <c r="B989" s="157" t="str">
        <f>VLOOKUP(Ruimtestaat[[#This Row],[Code]],Locaties[[Code]:[Locatie]],2,FALSE)</f>
        <v>Veurs Voorburg vmbo</v>
      </c>
      <c r="C989" s="157" t="str">
        <f>VLOOKUP(Ruimtestaat[[#This Row],[Code]],Locaties[[#All],[Code]:[Adres]],4,FALSE)</f>
        <v>Delflandlaan 4</v>
      </c>
      <c r="D989" s="157" t="str">
        <f>VLOOKUP(Ruimtestaat[[#This Row],[Code]],Locaties[[#All],[Code]:[Postcode]],5,FALSE)</f>
        <v>2273 CS</v>
      </c>
      <c r="E989" s="157" t="str">
        <f>VLOOKUP(Ruimtestaat[[#This Row],[Code]],Locaties[#All],6,FALSE)</f>
        <v>Voorburg</v>
      </c>
      <c r="F989" s="62"/>
      <c r="G989" s="21" t="s">
        <v>1706</v>
      </c>
      <c r="H989" s="21" t="s">
        <v>1720</v>
      </c>
      <c r="I989" s="62" t="s">
        <v>2481</v>
      </c>
      <c r="J989" s="21">
        <v>5</v>
      </c>
      <c r="K989" s="62" t="str">
        <f>VLOOKUP(Ruimtestaat[[#This Row],[Ruimte code]],Ruimtegroepen[[#All],[Code]:[Ruimte omschrijving]],2,FALSE)</f>
        <v>Sanitair</v>
      </c>
      <c r="L989" s="33" t="s">
        <v>103</v>
      </c>
      <c r="M989" s="367" t="s">
        <v>2496</v>
      </c>
      <c r="N989" s="140">
        <v>9.5</v>
      </c>
      <c r="O989" s="140"/>
      <c r="P989" s="125" t="str">
        <f>VLOOKUP(Ruimtestaat[[#This Row],[Ruimte code]],Ruimtegroepen[],4,FALSE)</f>
        <v>Sa</v>
      </c>
      <c r="R989" s="33">
        <v>40</v>
      </c>
      <c r="S989" s="33" t="s">
        <v>2</v>
      </c>
      <c r="T989" s="33">
        <f>IF(R989&gt;0,IF(RIGHT(Ruimtestaat[[#This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89" s="33">
        <f>IF(T989&gt;0,VLOOKUP($J989,Ruimtegroepen[],3,FALSE)*VLOOKUP($L989,Vloersoorten[],3,FALSE)*VLOOKUP($S989,Frequenties[],3,FALSE)*VLOOKUP($A989,Locaties[],3,FALSE),0)</f>
        <v>0</v>
      </c>
      <c r="V989" s="33">
        <f>Ruimtestaat[[#This Row],[Uitvoeringen werkdagen]]*Ruimtestaat[[#This Row],[Oppervlak (netto)]]</f>
        <v>1900</v>
      </c>
      <c r="W989" s="154">
        <f>IF(U989&gt;0,Ruimtestaat[[#This Row],[Prest. (m2 /jaar) werkdagen]]/Ruimtestaat[[#This Row],[Norm (m2/uur) werkdagen]],0)</f>
        <v>0</v>
      </c>
      <c r="X989" s="155">
        <f>Ruimtestaat[[#This Row],[uren / jaar werkdagen]]*Tariefsopbouw!$E$35</f>
        <v>0</v>
      </c>
      <c r="Y989" s="33"/>
      <c r="Z989" s="33">
        <f>IF(Ruimtestaat[[#This Row],[Frequentie weekend]]&gt;0,VALUE(LEFT(Y989,1))*R989,0)</f>
        <v>0</v>
      </c>
      <c r="AA989" s="97">
        <f>IF($Z989&gt;0,VLOOKUP($J989,Ruimtegroepen[],3,FALSE)*VLOOKUP($L989,Vloersoorten[],3,FALSE)*VLOOKUP($Y989,Frequenties[],3,FALSE)*VLOOKUP(Ruimtestaat[[#This Row],[Code]],Locaties[],3,FALSE),0)</f>
        <v>0</v>
      </c>
      <c r="AB989" s="97">
        <f>Ruimtestaat[[#This Row],[Uitvoeringen weekend]]*Ruimtestaat[[#This Row],[Oppervlak (netto)]]</f>
        <v>0</v>
      </c>
      <c r="AC989" s="97">
        <f>IF(AA989&gt;0,Ruimtestaat[[#This Row],[Prest. (m2 /jaar) weekend]]/Ruimtestaat[[#This Row],[Norm (m2/uur) weekend]],0)</f>
        <v>0</v>
      </c>
      <c r="AD989" s="155">
        <f>Ruimtestaat[[#This Row],[uren / jaar weekend]]*Tariefsopbouw!$D$40</f>
        <v>0</v>
      </c>
      <c r="AE989" s="154">
        <f>Ruimtestaat[[#This Row],[Prest. (m2 /jaar) weekend]]+Ruimtestaat[[#This Row],[Prest. (m2 /jaar) werkdagen]]</f>
        <v>1900</v>
      </c>
      <c r="AF989" s="154">
        <f>Ruimtestaat[[#This Row],[uren / jaar weekend]]+Ruimtestaat[[#This Row],[uren / jaar werkdagen]]</f>
        <v>0</v>
      </c>
      <c r="AG989" s="69">
        <f>Ruimtestaat[[#This Row],[kosten / jaar weekend]]+Ruimtestaat[[#This Row],[kosten / jaar werkdagen]]</f>
        <v>0</v>
      </c>
      <c r="AH989" s="69"/>
      <c r="AI989" s="256" t="str">
        <f>IF(Ruimtestaat[[#This Row],[Frequentie werkdagen]]="","",_xlfn.CONCAT(Ruimtestaat[[#This Row],[Ruimte code]],"-",Ruimtestaat[[#This Row],[Frequentie werkdagen]]," ",Ruimtestaat[[#This Row],[Vloer code]]))</f>
        <v>5-5w P</v>
      </c>
      <c r="AJ989" s="300" t="str">
        <f>_xlfn.IFNA(VLOOKUP($AI989,Programma!$F$3:$G$1107,2,0),"")</f>
        <v>_</v>
      </c>
      <c r="AK989" s="300" t="str">
        <f>_xlfn.IFNA(VLOOKUP($AI989,Programma!$F$3:$H$1107,3,0),"")</f>
        <v>_</v>
      </c>
      <c r="AL989" s="300" t="str">
        <f>_xlfn.IFNA(VLOOKUP($AI989,Programma!$F$3:$I$1107,4,0),"")</f>
        <v>_</v>
      </c>
      <c r="AM989" s="300" t="str">
        <f>_xlfn.IFNA(VLOOKUP($AI989,Programma!$F$3:$J$1107,5,0),"")</f>
        <v>4w</v>
      </c>
      <c r="AN989" s="300" t="str">
        <f>_xlfn.IFNA(VLOOKUP($AI989,Programma!$F$3:$K$1107,6,0),"")</f>
        <v>1w</v>
      </c>
      <c r="AO989" s="300" t="str">
        <f>_xlfn.IFNA(VLOOKUP($AI989,Programma!$F$3:$L$1107,7,0),"")</f>
        <v>_</v>
      </c>
      <c r="AP989" s="300" t="str">
        <f>_xlfn.IFNA(VLOOKUP($AI989,Programma!$F$3:$M$1107,8,0),"")</f>
        <v>_</v>
      </c>
      <c r="AQ989" s="300" t="str">
        <f>_xlfn.IFNA(VLOOKUP($AI989,Programma!$F$3:$N$1107,9,0),"")</f>
        <v>_</v>
      </c>
      <c r="AR989" s="300" t="str">
        <f>_xlfn.IFNA(VLOOKUP($AI989,Programma!$F$3:$O$1107,10,0),"")</f>
        <v>_</v>
      </c>
      <c r="AS989" s="300" t="str">
        <f>_xlfn.IFNA(VLOOKUP($AI989,Programma!$F$3:$P$1107,11,0),"")</f>
        <v>_</v>
      </c>
      <c r="AT989" s="300" t="str">
        <f>_xlfn.IFNA(VLOOKUP($AI989,Programma!$F$3:$Q$1107,12,0),"")</f>
        <v>_</v>
      </c>
      <c r="AU989" s="300" t="str">
        <f>_xlfn.IFNA(VLOOKUP($AI989,Programma!$F$3:$R$1107,13,0),"")</f>
        <v>_</v>
      </c>
      <c r="AV989" s="300" t="str">
        <f>_xlfn.IFNA(VLOOKUP($AI989,Programma!$F$3:$S$1107,14,0),"")</f>
        <v>_</v>
      </c>
      <c r="AW989" s="300" t="str">
        <f>_xlfn.IFNA(VLOOKUP($AI989,Programma!$F$3:$T$1107,15,0),"")</f>
        <v>_</v>
      </c>
      <c r="AX989" s="300" t="str">
        <f>_xlfn.IFNA(VLOOKUP($AI989,Programma!$F$3:$U$1107,16,0),"")</f>
        <v>_</v>
      </c>
      <c r="AY989" s="300" t="str">
        <f>_xlfn.IFNA(VLOOKUP($AI989,Programma!$F$3:$V$1107,17,0),"")</f>
        <v>_</v>
      </c>
      <c r="AZ989" s="300" t="str">
        <f>_xlfn.IFNA(VLOOKUP($AI989,Programma!$F$3:$W$1107,18,0),"")</f>
        <v>4w</v>
      </c>
      <c r="BA989" s="300" t="str">
        <f>_xlfn.IFNA(VLOOKUP($AI989,Programma!$F$3:$X$1107,19,0),"")</f>
        <v>1w</v>
      </c>
      <c r="BB989" s="300" t="str">
        <f>_xlfn.IFNA(VLOOKUP($AI989,Programma!$F$3:$Y$1107,20,0),"")</f>
        <v>_</v>
      </c>
      <c r="BC989" s="257"/>
      <c r="BD989" s="256" t="str">
        <f>IF(Ruimtestaat[[#This Row],[Frequentie weekend]]="","",_xlfn.CONCAT(Ruimtestaat[[#This Row],[Ruimte code]],"-",Ruimtestaat[[#This Row],[Frequentie weekend]]," ",Ruimtestaat[[#This Row],[Vloer code]]))</f>
        <v/>
      </c>
      <c r="BE989" s="300" t="str">
        <f>_xlfn.IFNA(VLOOKUP($BD989,Programma!$F$3:$G$1107,2,0),"")</f>
        <v/>
      </c>
      <c r="BF989" s="300" t="str">
        <f>_xlfn.IFNA(VLOOKUP($BD989,Programma!$F$3:$H$1107,3,0),"")</f>
        <v/>
      </c>
      <c r="BG989" s="300" t="str">
        <f>_xlfn.IFNA(VLOOKUP($BD989,Programma!$F$3:$I$1107,4,0),"")</f>
        <v/>
      </c>
      <c r="BH989" s="300" t="str">
        <f>_xlfn.IFNA(VLOOKUP($BD989,Programma!$F$3:$J$1107,5,0),"")</f>
        <v/>
      </c>
      <c r="BI989" s="300" t="str">
        <f>_xlfn.IFNA(VLOOKUP($BD989,Programma!$F$3:$K$1107,6,0),"")</f>
        <v/>
      </c>
      <c r="BJ989" s="300" t="str">
        <f>_xlfn.IFNA(VLOOKUP($BD989,Programma!$F$3:$L$1107,7,0),"")</f>
        <v/>
      </c>
      <c r="BK989" s="300" t="str">
        <f>_xlfn.IFNA(VLOOKUP($BD989,Programma!$F$3:$M$1107,8,0),"")</f>
        <v/>
      </c>
      <c r="BL989" s="300" t="str">
        <f>_xlfn.IFNA(VLOOKUP($BD989,Programma!$F$3:$N$1107,9,0),"")</f>
        <v/>
      </c>
      <c r="BM989" s="300" t="str">
        <f>_xlfn.IFNA(VLOOKUP($BD989,Programma!$F$3:$O$1107,10,0),"")</f>
        <v/>
      </c>
      <c r="BN989" s="300" t="str">
        <f>_xlfn.IFNA(VLOOKUP($BD989,Programma!$F$3:$P$1107,11,0),"")</f>
        <v/>
      </c>
      <c r="BO989" s="300" t="str">
        <f>_xlfn.IFNA(VLOOKUP($BD989,Programma!$F$3:$Q$1107,12,0),"")</f>
        <v/>
      </c>
      <c r="BP989" s="300" t="str">
        <f>_xlfn.IFNA(VLOOKUP($BD989,Programma!$F$3:$R$1107,13,0),"")</f>
        <v/>
      </c>
      <c r="BQ989" s="300" t="str">
        <f>_xlfn.IFNA(VLOOKUP($BD989,Programma!$F$3:$S$1107,14,0),"")</f>
        <v/>
      </c>
      <c r="BR989" s="300" t="str">
        <f>_xlfn.IFNA(VLOOKUP($BD989,Programma!$F$3:$T$1107,15,0),"")</f>
        <v/>
      </c>
      <c r="BS989" s="300" t="str">
        <f>_xlfn.IFNA(VLOOKUP($BD989,Programma!$F$3:$U$1107,16,0),"")</f>
        <v/>
      </c>
      <c r="BT989" s="300" t="str">
        <f>_xlfn.IFNA(VLOOKUP($BD989,Programma!$F$3:$V$1107,17,0),"")</f>
        <v/>
      </c>
      <c r="BU989" s="300" t="str">
        <f>_xlfn.IFNA(VLOOKUP($BD989,Programma!$F$3:$W$1107,18,0),"")</f>
        <v/>
      </c>
      <c r="BV989" s="300" t="str">
        <f>_xlfn.IFNA(VLOOKUP($BD989,Programma!$F$3:$X$1107,19,0),"")</f>
        <v/>
      </c>
      <c r="BW989" s="300" t="str">
        <f>_xlfn.IFNA(VLOOKUP($BD989,Programma!$F$3:$Y$1107,20,0),"")</f>
        <v/>
      </c>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c r="GK989" s="4"/>
      <c r="GL989" s="4"/>
      <c r="GM989" s="4"/>
      <c r="GN989" s="4"/>
      <c r="GO989" s="4"/>
      <c r="GP989" s="4"/>
      <c r="GQ989" s="4"/>
      <c r="GR989" s="4"/>
      <c r="GS989" s="4"/>
      <c r="GT989" s="4"/>
      <c r="GU989" s="4"/>
      <c r="GV989" s="4"/>
      <c r="GW989" s="4"/>
      <c r="GX989" s="4"/>
      <c r="GY989" s="4"/>
      <c r="GZ989" s="4"/>
      <c r="HA989" s="4"/>
      <c r="HB989" s="4"/>
      <c r="HC989" s="4"/>
      <c r="HD989" s="4"/>
      <c r="HE989" s="4"/>
      <c r="HF989" s="4"/>
      <c r="HG989" s="4"/>
      <c r="HH989" s="4"/>
      <c r="HI989" s="4"/>
      <c r="HJ989" s="4"/>
      <c r="HK989" s="4"/>
      <c r="HL989" s="4"/>
    </row>
    <row r="990" spans="1:220" ht="15" customHeight="1">
      <c r="A990" s="21">
        <v>10</v>
      </c>
      <c r="B990" s="157" t="str">
        <f>VLOOKUP(Ruimtestaat[[#This Row],[Code]],Locaties[[Code]:[Locatie]],2,FALSE)</f>
        <v>Veurs Voorburg vmbo</v>
      </c>
      <c r="C990" s="157" t="str">
        <f>VLOOKUP(Ruimtestaat[[#This Row],[Code]],Locaties[[#All],[Code]:[Adres]],4,FALSE)</f>
        <v>Delflandlaan 4</v>
      </c>
      <c r="D990" s="157" t="str">
        <f>VLOOKUP(Ruimtestaat[[#This Row],[Code]],Locaties[[#All],[Code]:[Postcode]],5,FALSE)</f>
        <v>2273 CS</v>
      </c>
      <c r="E990" s="157" t="str">
        <f>VLOOKUP(Ruimtestaat[[#This Row],[Code]],Locaties[#All],6,FALSE)</f>
        <v>Voorburg</v>
      </c>
      <c r="F990" s="62"/>
      <c r="G990" s="21" t="s">
        <v>1706</v>
      </c>
      <c r="H990" s="21" t="s">
        <v>1722</v>
      </c>
      <c r="I990" s="62" t="s">
        <v>2482</v>
      </c>
      <c r="J990" s="21">
        <v>5</v>
      </c>
      <c r="K990" s="62" t="str">
        <f>VLOOKUP(Ruimtestaat[[#This Row],[Ruimte code]],Ruimtegroepen[[#All],[Code]:[Ruimte omschrijving]],2,FALSE)</f>
        <v>Sanitair</v>
      </c>
      <c r="L990" s="33" t="s">
        <v>103</v>
      </c>
      <c r="M990" s="367" t="s">
        <v>2496</v>
      </c>
      <c r="N990" s="140">
        <v>8.6999999999999993</v>
      </c>
      <c r="O990" s="140"/>
      <c r="P990" s="125" t="str">
        <f>VLOOKUP(Ruimtestaat[[#This Row],[Ruimte code]],Ruimtegroepen[],4,FALSE)</f>
        <v>Sa</v>
      </c>
      <c r="R990" s="33">
        <v>40</v>
      </c>
      <c r="S990" s="33" t="s">
        <v>2</v>
      </c>
      <c r="T990" s="33">
        <f>IF(R990&gt;0,IF(RIGHT(Ruimtestaat[[#This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0" s="33">
        <f>IF(T990&gt;0,VLOOKUP($J990,Ruimtegroepen[],3,FALSE)*VLOOKUP($L990,Vloersoorten[],3,FALSE)*VLOOKUP($S990,Frequenties[],3,FALSE)*VLOOKUP($A990,Locaties[],3,FALSE),0)</f>
        <v>0</v>
      </c>
      <c r="V990" s="33">
        <f>Ruimtestaat[[#This Row],[Uitvoeringen werkdagen]]*Ruimtestaat[[#This Row],[Oppervlak (netto)]]</f>
        <v>1739.9999999999998</v>
      </c>
      <c r="W990" s="154">
        <f>IF(U990&gt;0,Ruimtestaat[[#This Row],[Prest. (m2 /jaar) werkdagen]]/Ruimtestaat[[#This Row],[Norm (m2/uur) werkdagen]],0)</f>
        <v>0</v>
      </c>
      <c r="X990" s="155">
        <f>Ruimtestaat[[#This Row],[uren / jaar werkdagen]]*Tariefsopbouw!$E$35</f>
        <v>0</v>
      </c>
      <c r="Y990" s="33"/>
      <c r="Z990" s="33">
        <f>IF(Ruimtestaat[[#This Row],[Frequentie weekend]]&gt;0,VALUE(LEFT(Y990,1))*R990,0)</f>
        <v>0</v>
      </c>
      <c r="AA990" s="97">
        <f>IF($Z990&gt;0,VLOOKUP($J990,Ruimtegroepen[],3,FALSE)*VLOOKUP($L990,Vloersoorten[],3,FALSE)*VLOOKUP($Y990,Frequenties[],3,FALSE)*VLOOKUP(Ruimtestaat[[#This Row],[Code]],Locaties[],3,FALSE),0)</f>
        <v>0</v>
      </c>
      <c r="AB990" s="97">
        <f>Ruimtestaat[[#This Row],[Uitvoeringen weekend]]*Ruimtestaat[[#This Row],[Oppervlak (netto)]]</f>
        <v>0</v>
      </c>
      <c r="AC990" s="97">
        <f>IF(AA990&gt;0,Ruimtestaat[[#This Row],[Prest. (m2 /jaar) weekend]]/Ruimtestaat[[#This Row],[Norm (m2/uur) weekend]],0)</f>
        <v>0</v>
      </c>
      <c r="AD990" s="155">
        <f>Ruimtestaat[[#This Row],[uren / jaar weekend]]*Tariefsopbouw!$D$40</f>
        <v>0</v>
      </c>
      <c r="AE990" s="154">
        <f>Ruimtestaat[[#This Row],[Prest. (m2 /jaar) weekend]]+Ruimtestaat[[#This Row],[Prest. (m2 /jaar) werkdagen]]</f>
        <v>1739.9999999999998</v>
      </c>
      <c r="AF990" s="154">
        <f>Ruimtestaat[[#This Row],[uren / jaar weekend]]+Ruimtestaat[[#This Row],[uren / jaar werkdagen]]</f>
        <v>0</v>
      </c>
      <c r="AG990" s="69">
        <f>Ruimtestaat[[#This Row],[kosten / jaar weekend]]+Ruimtestaat[[#This Row],[kosten / jaar werkdagen]]</f>
        <v>0</v>
      </c>
      <c r="AH990" s="69"/>
      <c r="AI990" s="256" t="str">
        <f>IF(Ruimtestaat[[#This Row],[Frequentie werkdagen]]="","",_xlfn.CONCAT(Ruimtestaat[[#This Row],[Ruimte code]],"-",Ruimtestaat[[#This Row],[Frequentie werkdagen]]," ",Ruimtestaat[[#This Row],[Vloer code]]))</f>
        <v>5-5w P</v>
      </c>
      <c r="AJ990" s="300" t="str">
        <f>_xlfn.IFNA(VLOOKUP($AI990,Programma!$F$3:$G$1107,2,0),"")</f>
        <v>_</v>
      </c>
      <c r="AK990" s="300" t="str">
        <f>_xlfn.IFNA(VLOOKUP($AI990,Programma!$F$3:$H$1107,3,0),"")</f>
        <v>_</v>
      </c>
      <c r="AL990" s="300" t="str">
        <f>_xlfn.IFNA(VLOOKUP($AI990,Programma!$F$3:$I$1107,4,0),"")</f>
        <v>_</v>
      </c>
      <c r="AM990" s="300" t="str">
        <f>_xlfn.IFNA(VLOOKUP($AI990,Programma!$F$3:$J$1107,5,0),"")</f>
        <v>4w</v>
      </c>
      <c r="AN990" s="300" t="str">
        <f>_xlfn.IFNA(VLOOKUP($AI990,Programma!$F$3:$K$1107,6,0),"")</f>
        <v>1w</v>
      </c>
      <c r="AO990" s="300" t="str">
        <f>_xlfn.IFNA(VLOOKUP($AI990,Programma!$F$3:$L$1107,7,0),"")</f>
        <v>_</v>
      </c>
      <c r="AP990" s="300" t="str">
        <f>_xlfn.IFNA(VLOOKUP($AI990,Programma!$F$3:$M$1107,8,0),"")</f>
        <v>_</v>
      </c>
      <c r="AQ990" s="300" t="str">
        <f>_xlfn.IFNA(VLOOKUP($AI990,Programma!$F$3:$N$1107,9,0),"")</f>
        <v>_</v>
      </c>
      <c r="AR990" s="300" t="str">
        <f>_xlfn.IFNA(VLOOKUP($AI990,Programma!$F$3:$O$1107,10,0),"")</f>
        <v>_</v>
      </c>
      <c r="AS990" s="300" t="str">
        <f>_xlfn.IFNA(VLOOKUP($AI990,Programma!$F$3:$P$1107,11,0),"")</f>
        <v>_</v>
      </c>
      <c r="AT990" s="300" t="str">
        <f>_xlfn.IFNA(VLOOKUP($AI990,Programma!$F$3:$Q$1107,12,0),"")</f>
        <v>_</v>
      </c>
      <c r="AU990" s="300" t="str">
        <f>_xlfn.IFNA(VLOOKUP($AI990,Programma!$F$3:$R$1107,13,0),"")</f>
        <v>_</v>
      </c>
      <c r="AV990" s="300" t="str">
        <f>_xlfn.IFNA(VLOOKUP($AI990,Programma!$F$3:$S$1107,14,0),"")</f>
        <v>_</v>
      </c>
      <c r="AW990" s="300" t="str">
        <f>_xlfn.IFNA(VLOOKUP($AI990,Programma!$F$3:$T$1107,15,0),"")</f>
        <v>_</v>
      </c>
      <c r="AX990" s="300" t="str">
        <f>_xlfn.IFNA(VLOOKUP($AI990,Programma!$F$3:$U$1107,16,0),"")</f>
        <v>_</v>
      </c>
      <c r="AY990" s="300" t="str">
        <f>_xlfn.IFNA(VLOOKUP($AI990,Programma!$F$3:$V$1107,17,0),"")</f>
        <v>_</v>
      </c>
      <c r="AZ990" s="300" t="str">
        <f>_xlfn.IFNA(VLOOKUP($AI990,Programma!$F$3:$W$1107,18,0),"")</f>
        <v>4w</v>
      </c>
      <c r="BA990" s="300" t="str">
        <f>_xlfn.IFNA(VLOOKUP($AI990,Programma!$F$3:$X$1107,19,0),"")</f>
        <v>1w</v>
      </c>
      <c r="BB990" s="300" t="str">
        <f>_xlfn.IFNA(VLOOKUP($AI990,Programma!$F$3:$Y$1107,20,0),"")</f>
        <v>_</v>
      </c>
      <c r="BC990" s="257"/>
      <c r="BD990" s="256" t="str">
        <f>IF(Ruimtestaat[[#This Row],[Frequentie weekend]]="","",_xlfn.CONCAT(Ruimtestaat[[#This Row],[Ruimte code]],"-",Ruimtestaat[[#This Row],[Frequentie weekend]]," ",Ruimtestaat[[#This Row],[Vloer code]]))</f>
        <v/>
      </c>
      <c r="BE990" s="300" t="str">
        <f>_xlfn.IFNA(VLOOKUP($BD990,Programma!$F$3:$G$1107,2,0),"")</f>
        <v/>
      </c>
      <c r="BF990" s="300" t="str">
        <f>_xlfn.IFNA(VLOOKUP($BD990,Programma!$F$3:$H$1107,3,0),"")</f>
        <v/>
      </c>
      <c r="BG990" s="300" t="str">
        <f>_xlfn.IFNA(VLOOKUP($BD990,Programma!$F$3:$I$1107,4,0),"")</f>
        <v/>
      </c>
      <c r="BH990" s="300" t="str">
        <f>_xlfn.IFNA(VLOOKUP($BD990,Programma!$F$3:$J$1107,5,0),"")</f>
        <v/>
      </c>
      <c r="BI990" s="300" t="str">
        <f>_xlfn.IFNA(VLOOKUP($BD990,Programma!$F$3:$K$1107,6,0),"")</f>
        <v/>
      </c>
      <c r="BJ990" s="300" t="str">
        <f>_xlfn.IFNA(VLOOKUP($BD990,Programma!$F$3:$L$1107,7,0),"")</f>
        <v/>
      </c>
      <c r="BK990" s="300" t="str">
        <f>_xlfn.IFNA(VLOOKUP($BD990,Programma!$F$3:$M$1107,8,0),"")</f>
        <v/>
      </c>
      <c r="BL990" s="300" t="str">
        <f>_xlfn.IFNA(VLOOKUP($BD990,Programma!$F$3:$N$1107,9,0),"")</f>
        <v/>
      </c>
      <c r="BM990" s="300" t="str">
        <f>_xlfn.IFNA(VLOOKUP($BD990,Programma!$F$3:$O$1107,10,0),"")</f>
        <v/>
      </c>
      <c r="BN990" s="300" t="str">
        <f>_xlfn.IFNA(VLOOKUP($BD990,Programma!$F$3:$P$1107,11,0),"")</f>
        <v/>
      </c>
      <c r="BO990" s="300" t="str">
        <f>_xlfn.IFNA(VLOOKUP($BD990,Programma!$F$3:$Q$1107,12,0),"")</f>
        <v/>
      </c>
      <c r="BP990" s="300" t="str">
        <f>_xlfn.IFNA(VLOOKUP($BD990,Programma!$F$3:$R$1107,13,0),"")</f>
        <v/>
      </c>
      <c r="BQ990" s="300" t="str">
        <f>_xlfn.IFNA(VLOOKUP($BD990,Programma!$F$3:$S$1107,14,0),"")</f>
        <v/>
      </c>
      <c r="BR990" s="300" t="str">
        <f>_xlfn.IFNA(VLOOKUP($BD990,Programma!$F$3:$T$1107,15,0),"")</f>
        <v/>
      </c>
      <c r="BS990" s="300" t="str">
        <f>_xlfn.IFNA(VLOOKUP($BD990,Programma!$F$3:$U$1107,16,0),"")</f>
        <v/>
      </c>
      <c r="BT990" s="300" t="str">
        <f>_xlfn.IFNA(VLOOKUP($BD990,Programma!$F$3:$V$1107,17,0),"")</f>
        <v/>
      </c>
      <c r="BU990" s="300" t="str">
        <f>_xlfn.IFNA(VLOOKUP($BD990,Programma!$F$3:$W$1107,18,0),"")</f>
        <v/>
      </c>
      <c r="BV990" s="300" t="str">
        <f>_xlfn.IFNA(VLOOKUP($BD990,Programma!$F$3:$X$1107,19,0),"")</f>
        <v/>
      </c>
      <c r="BW990" s="300" t="str">
        <f>_xlfn.IFNA(VLOOKUP($BD990,Programma!$F$3:$Y$1107,20,0),"")</f>
        <v/>
      </c>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c r="GK990" s="4"/>
      <c r="GL990" s="4"/>
      <c r="GM990" s="4"/>
      <c r="GN990" s="4"/>
      <c r="GO990" s="4"/>
      <c r="GP990" s="4"/>
      <c r="GQ990" s="4"/>
      <c r="GR990" s="4"/>
      <c r="GS990" s="4"/>
      <c r="GT990" s="4"/>
      <c r="GU990" s="4"/>
      <c r="GV990" s="4"/>
      <c r="GW990" s="4"/>
      <c r="GX990" s="4"/>
      <c r="GY990" s="4"/>
      <c r="GZ990" s="4"/>
      <c r="HA990" s="4"/>
      <c r="HB990" s="4"/>
      <c r="HC990" s="4"/>
      <c r="HD990" s="4"/>
      <c r="HE990" s="4"/>
      <c r="HF990" s="4"/>
      <c r="HG990" s="4"/>
      <c r="HH990" s="4"/>
      <c r="HI990" s="4"/>
      <c r="HJ990" s="4"/>
      <c r="HK990" s="4"/>
      <c r="HL990" s="4"/>
    </row>
    <row r="991" spans="1:220" ht="15" customHeight="1">
      <c r="A991" s="21">
        <v>10</v>
      </c>
      <c r="B991" s="157" t="str">
        <f>VLOOKUP(Ruimtestaat[[#This Row],[Code]],Locaties[[Code]:[Locatie]],2,FALSE)</f>
        <v>Veurs Voorburg vmbo</v>
      </c>
      <c r="C991" s="157" t="str">
        <f>VLOOKUP(Ruimtestaat[[#This Row],[Code]],Locaties[[#All],[Code]:[Adres]],4,FALSE)</f>
        <v>Delflandlaan 4</v>
      </c>
      <c r="D991" s="157" t="str">
        <f>VLOOKUP(Ruimtestaat[[#This Row],[Code]],Locaties[[#All],[Code]:[Postcode]],5,FALSE)</f>
        <v>2273 CS</v>
      </c>
      <c r="E991" s="157" t="str">
        <f>VLOOKUP(Ruimtestaat[[#This Row],[Code]],Locaties[#All],6,FALSE)</f>
        <v>Voorburg</v>
      </c>
      <c r="F991" s="62"/>
      <c r="G991" s="21" t="s">
        <v>1706</v>
      </c>
      <c r="H991" s="21" t="s">
        <v>1724</v>
      </c>
      <c r="I991" s="62" t="s">
        <v>2483</v>
      </c>
      <c r="J991" s="21">
        <v>14</v>
      </c>
      <c r="K991" s="62" t="str">
        <f>VLOOKUP(Ruimtestaat[[#This Row],[Ruimte code]],Ruimtegroepen[[#All],[Code]:[Ruimte omschrijving]],2,FALSE)</f>
        <v>Praktijklokalen binas/zorg</v>
      </c>
      <c r="L991" s="33" t="s">
        <v>101</v>
      </c>
      <c r="M991" s="367" t="s">
        <v>2506</v>
      </c>
      <c r="N991" s="140">
        <v>70</v>
      </c>
      <c r="O991" s="140"/>
      <c r="P991" s="125" t="str">
        <f>VLOOKUP(Ruimtestaat[[#This Row],[Ruimte code]],Ruimtegroepen[],4,FALSE)</f>
        <v>Le</v>
      </c>
      <c r="R991" s="33">
        <v>40</v>
      </c>
      <c r="S991" s="33" t="s">
        <v>2</v>
      </c>
      <c r="T991" s="33">
        <f>IF(R991&gt;0,IF(RIGHT(Ruimtestaat[[#This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1" s="33">
        <f>IF(T991&gt;0,VLOOKUP($J991,Ruimtegroepen[],3,FALSE)*VLOOKUP($L991,Vloersoorten[],3,FALSE)*VLOOKUP($S991,Frequenties[],3,FALSE)*VLOOKUP($A991,Locaties[],3,FALSE),0)</f>
        <v>0</v>
      </c>
      <c r="V991" s="33">
        <f>Ruimtestaat[[#This Row],[Uitvoeringen werkdagen]]*Ruimtestaat[[#This Row],[Oppervlak (netto)]]</f>
        <v>14000</v>
      </c>
      <c r="W991" s="154">
        <f>IF(U991&gt;0,Ruimtestaat[[#This Row],[Prest. (m2 /jaar) werkdagen]]/Ruimtestaat[[#This Row],[Norm (m2/uur) werkdagen]],0)</f>
        <v>0</v>
      </c>
      <c r="X991" s="155">
        <f>Ruimtestaat[[#This Row],[uren / jaar werkdagen]]*Tariefsopbouw!$E$35</f>
        <v>0</v>
      </c>
      <c r="Y991" s="33"/>
      <c r="Z991" s="33">
        <f>IF(Ruimtestaat[[#This Row],[Frequentie weekend]]&gt;0,VALUE(LEFT(Y991,1))*R991,0)</f>
        <v>0</v>
      </c>
      <c r="AA991" s="97">
        <f>IF($Z991&gt;0,VLOOKUP($J991,Ruimtegroepen[],3,FALSE)*VLOOKUP($L991,Vloersoorten[],3,FALSE)*VLOOKUP($Y991,Frequenties[],3,FALSE)*VLOOKUP(Ruimtestaat[[#This Row],[Code]],Locaties[],3,FALSE),0)</f>
        <v>0</v>
      </c>
      <c r="AB991" s="97">
        <f>Ruimtestaat[[#This Row],[Uitvoeringen weekend]]*Ruimtestaat[[#This Row],[Oppervlak (netto)]]</f>
        <v>0</v>
      </c>
      <c r="AC991" s="97">
        <f>IF(AA991&gt;0,Ruimtestaat[[#This Row],[Prest. (m2 /jaar) weekend]]/Ruimtestaat[[#This Row],[Norm (m2/uur) weekend]],0)</f>
        <v>0</v>
      </c>
      <c r="AD991" s="155">
        <f>Ruimtestaat[[#This Row],[uren / jaar weekend]]*Tariefsopbouw!$D$40</f>
        <v>0</v>
      </c>
      <c r="AE991" s="154">
        <f>Ruimtestaat[[#This Row],[Prest. (m2 /jaar) weekend]]+Ruimtestaat[[#This Row],[Prest. (m2 /jaar) werkdagen]]</f>
        <v>14000</v>
      </c>
      <c r="AF991" s="154">
        <f>Ruimtestaat[[#This Row],[uren / jaar weekend]]+Ruimtestaat[[#This Row],[uren / jaar werkdagen]]</f>
        <v>0</v>
      </c>
      <c r="AG991" s="69">
        <f>Ruimtestaat[[#This Row],[kosten / jaar weekend]]+Ruimtestaat[[#This Row],[kosten / jaar werkdagen]]</f>
        <v>0</v>
      </c>
      <c r="AH991" s="69"/>
      <c r="AI991" s="256" t="str">
        <f>IF(Ruimtestaat[[#This Row],[Frequentie werkdagen]]="","",_xlfn.CONCAT(Ruimtestaat[[#This Row],[Ruimte code]],"-",Ruimtestaat[[#This Row],[Frequentie werkdagen]]," ",Ruimtestaat[[#This Row],[Vloer code]]))</f>
        <v>14-5w L</v>
      </c>
      <c r="AJ991" s="300" t="str">
        <f>_xlfn.IFNA(VLOOKUP($AI991,Programma!$F$3:$G$1107,2,0),"")</f>
        <v>_</v>
      </c>
      <c r="AK991" s="300" t="str">
        <f>_xlfn.IFNA(VLOOKUP($AI991,Programma!$F$3:$H$1107,3,0),"")</f>
        <v>_</v>
      </c>
      <c r="AL991" s="300" t="str">
        <f>_xlfn.IFNA(VLOOKUP($AI991,Programma!$F$3:$I$1107,4,0),"")</f>
        <v>_</v>
      </c>
      <c r="AM991" s="300" t="str">
        <f>_xlfn.IFNA(VLOOKUP($AI991,Programma!$F$3:$J$1107,5,0),"")</f>
        <v>5w</v>
      </c>
      <c r="AN991" s="300" t="str">
        <f>_xlfn.IFNA(VLOOKUP($AI991,Programma!$F$3:$K$1107,6,0),"")</f>
        <v>_</v>
      </c>
      <c r="AO991" s="300" t="str">
        <f>_xlfn.IFNA(VLOOKUP($AI991,Programma!$F$3:$L$1107,7,0),"")</f>
        <v>_</v>
      </c>
      <c r="AP991" s="300" t="str">
        <f>_xlfn.IFNA(VLOOKUP($AI991,Programma!$F$3:$M$1107,8,0),"")</f>
        <v>_</v>
      </c>
      <c r="AQ991" s="300" t="str">
        <f>_xlfn.IFNA(VLOOKUP($AI991,Programma!$F$3:$N$1107,9,0),"")</f>
        <v>_</v>
      </c>
      <c r="AR991" s="300" t="str">
        <f>_xlfn.IFNA(VLOOKUP($AI991,Programma!$F$3:$O$1107,10,0),"")</f>
        <v>5w</v>
      </c>
      <c r="AS991" s="300" t="str">
        <f>_xlfn.IFNA(VLOOKUP($AI991,Programma!$F$3:$P$1107,11,0),"")</f>
        <v>5w</v>
      </c>
      <c r="AT991" s="300" t="str">
        <f>_xlfn.IFNA(VLOOKUP($AI991,Programma!$F$3:$Q$1107,12,0),"")</f>
        <v>1w</v>
      </c>
      <c r="AU991" s="300" t="str">
        <f>_xlfn.IFNA(VLOOKUP($AI991,Programma!$F$3:$R$1107,13,0),"")</f>
        <v>1w</v>
      </c>
      <c r="AV991" s="300" t="str">
        <f>_xlfn.IFNA(VLOOKUP($AI991,Programma!$F$3:$S$1107,14,0),"")</f>
        <v>1m</v>
      </c>
      <c r="AW991" s="300" t="str">
        <f>_xlfn.IFNA(VLOOKUP($AI991,Programma!$F$3:$T$1107,15,0),"")</f>
        <v>2j</v>
      </c>
      <c r="AX991" s="300" t="str">
        <f>_xlfn.IFNA(VLOOKUP($AI991,Programma!$F$3:$U$1107,16,0),"")</f>
        <v>1j</v>
      </c>
      <c r="AY991" s="300" t="str">
        <f>_xlfn.IFNA(VLOOKUP($AI991,Programma!$F$3:$V$1107,17,0),"")</f>
        <v>_</v>
      </c>
      <c r="AZ991" s="300" t="str">
        <f>_xlfn.IFNA(VLOOKUP($AI991,Programma!$F$3:$W$1107,18,0),"")</f>
        <v>_</v>
      </c>
      <c r="BA991" s="300" t="str">
        <f>_xlfn.IFNA(VLOOKUP($AI991,Programma!$F$3:$X$1107,19,0),"")</f>
        <v>_</v>
      </c>
      <c r="BB991" s="300" t="str">
        <f>_xlfn.IFNA(VLOOKUP($AI991,Programma!$F$3:$Y$1107,20,0),"")</f>
        <v>_</v>
      </c>
      <c r="BC991" s="257"/>
      <c r="BD991" s="256" t="str">
        <f>IF(Ruimtestaat[[#This Row],[Frequentie weekend]]="","",_xlfn.CONCAT(Ruimtestaat[[#This Row],[Ruimte code]],"-",Ruimtestaat[[#This Row],[Frequentie weekend]]," ",Ruimtestaat[[#This Row],[Vloer code]]))</f>
        <v/>
      </c>
      <c r="BE991" s="300" t="str">
        <f>_xlfn.IFNA(VLOOKUP($BD991,Programma!$F$3:$G$1107,2,0),"")</f>
        <v/>
      </c>
      <c r="BF991" s="300" t="str">
        <f>_xlfn.IFNA(VLOOKUP($BD991,Programma!$F$3:$H$1107,3,0),"")</f>
        <v/>
      </c>
      <c r="BG991" s="300" t="str">
        <f>_xlfn.IFNA(VLOOKUP($BD991,Programma!$F$3:$I$1107,4,0),"")</f>
        <v/>
      </c>
      <c r="BH991" s="300" t="str">
        <f>_xlfn.IFNA(VLOOKUP($BD991,Programma!$F$3:$J$1107,5,0),"")</f>
        <v/>
      </c>
      <c r="BI991" s="300" t="str">
        <f>_xlfn.IFNA(VLOOKUP($BD991,Programma!$F$3:$K$1107,6,0),"")</f>
        <v/>
      </c>
      <c r="BJ991" s="300" t="str">
        <f>_xlfn.IFNA(VLOOKUP($BD991,Programma!$F$3:$L$1107,7,0),"")</f>
        <v/>
      </c>
      <c r="BK991" s="300" t="str">
        <f>_xlfn.IFNA(VLOOKUP($BD991,Programma!$F$3:$M$1107,8,0),"")</f>
        <v/>
      </c>
      <c r="BL991" s="300" t="str">
        <f>_xlfn.IFNA(VLOOKUP($BD991,Programma!$F$3:$N$1107,9,0),"")</f>
        <v/>
      </c>
      <c r="BM991" s="300" t="str">
        <f>_xlfn.IFNA(VLOOKUP($BD991,Programma!$F$3:$O$1107,10,0),"")</f>
        <v/>
      </c>
      <c r="BN991" s="300" t="str">
        <f>_xlfn.IFNA(VLOOKUP($BD991,Programma!$F$3:$P$1107,11,0),"")</f>
        <v/>
      </c>
      <c r="BO991" s="300" t="str">
        <f>_xlfn.IFNA(VLOOKUP($BD991,Programma!$F$3:$Q$1107,12,0),"")</f>
        <v/>
      </c>
      <c r="BP991" s="300" t="str">
        <f>_xlfn.IFNA(VLOOKUP($BD991,Programma!$F$3:$R$1107,13,0),"")</f>
        <v/>
      </c>
      <c r="BQ991" s="300" t="str">
        <f>_xlfn.IFNA(VLOOKUP($BD991,Programma!$F$3:$S$1107,14,0),"")</f>
        <v/>
      </c>
      <c r="BR991" s="300" t="str">
        <f>_xlfn.IFNA(VLOOKUP($BD991,Programma!$F$3:$T$1107,15,0),"")</f>
        <v/>
      </c>
      <c r="BS991" s="300" t="str">
        <f>_xlfn.IFNA(VLOOKUP($BD991,Programma!$F$3:$U$1107,16,0),"")</f>
        <v/>
      </c>
      <c r="BT991" s="300" t="str">
        <f>_xlfn.IFNA(VLOOKUP($BD991,Programma!$F$3:$V$1107,17,0),"")</f>
        <v/>
      </c>
      <c r="BU991" s="300" t="str">
        <f>_xlfn.IFNA(VLOOKUP($BD991,Programma!$F$3:$W$1107,18,0),"")</f>
        <v/>
      </c>
      <c r="BV991" s="300" t="str">
        <f>_xlfn.IFNA(VLOOKUP($BD991,Programma!$F$3:$X$1107,19,0),"")</f>
        <v/>
      </c>
      <c r="BW991" s="300" t="str">
        <f>_xlfn.IFNA(VLOOKUP($BD991,Programma!$F$3:$Y$1107,20,0),"")</f>
        <v/>
      </c>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c r="GK991" s="4"/>
      <c r="GL991" s="4"/>
      <c r="GM991" s="4"/>
      <c r="GN991" s="4"/>
      <c r="GO991" s="4"/>
      <c r="GP991" s="4"/>
      <c r="GQ991" s="4"/>
      <c r="GR991" s="4"/>
      <c r="GS991" s="4"/>
      <c r="GT991" s="4"/>
      <c r="GU991" s="4"/>
      <c r="GV991" s="4"/>
      <c r="GW991" s="4"/>
      <c r="GX991" s="4"/>
      <c r="GY991" s="4"/>
      <c r="GZ991" s="4"/>
      <c r="HA991" s="4"/>
      <c r="HB991" s="4"/>
      <c r="HC991" s="4"/>
      <c r="HD991" s="4"/>
      <c r="HE991" s="4"/>
      <c r="HF991" s="4"/>
      <c r="HG991" s="4"/>
      <c r="HH991" s="4"/>
      <c r="HI991" s="4"/>
      <c r="HJ991" s="4"/>
      <c r="HK991" s="4"/>
      <c r="HL991" s="4"/>
    </row>
    <row r="992" spans="1:220" ht="15" customHeight="1">
      <c r="A992" s="21">
        <v>10</v>
      </c>
      <c r="B992" s="157" t="str">
        <f>VLOOKUP(Ruimtestaat[[#This Row],[Code]],Locaties[[Code]:[Locatie]],2,FALSE)</f>
        <v>Veurs Voorburg vmbo</v>
      </c>
      <c r="C992" s="157" t="str">
        <f>VLOOKUP(Ruimtestaat[[#This Row],[Code]],Locaties[[#All],[Code]:[Adres]],4,FALSE)</f>
        <v>Delflandlaan 4</v>
      </c>
      <c r="D992" s="157" t="str">
        <f>VLOOKUP(Ruimtestaat[[#This Row],[Code]],Locaties[[#All],[Code]:[Postcode]],5,FALSE)</f>
        <v>2273 CS</v>
      </c>
      <c r="E992" s="157" t="str">
        <f>VLOOKUP(Ruimtestaat[[#This Row],[Code]],Locaties[#All],6,FALSE)</f>
        <v>Voorburg</v>
      </c>
      <c r="F992" s="62"/>
      <c r="G992" s="21" t="s">
        <v>1706</v>
      </c>
      <c r="H992" s="21" t="s">
        <v>1726</v>
      </c>
      <c r="I992" s="62" t="s">
        <v>2484</v>
      </c>
      <c r="J992" s="21">
        <v>13</v>
      </c>
      <c r="K992" s="62" t="str">
        <f>VLOOKUP(Ruimtestaat[[#This Row],[Ruimte code]],Ruimtegroepen[[#All],[Code]:[Ruimte omschrijving]],2,FALSE)</f>
        <v>HV/Technieklokaal</v>
      </c>
      <c r="L992" s="33" t="s">
        <v>101</v>
      </c>
      <c r="M992" s="367" t="s">
        <v>2506</v>
      </c>
      <c r="N992" s="140">
        <v>18.899999999999999</v>
      </c>
      <c r="O992" s="140"/>
      <c r="P992" s="125" t="str">
        <f>VLOOKUP(Ruimtestaat[[#This Row],[Ruimte code]],Ruimtegroepen[],4,FALSE)</f>
        <v>Le</v>
      </c>
      <c r="R992" s="33">
        <v>40</v>
      </c>
      <c r="S992" s="33" t="s">
        <v>2</v>
      </c>
      <c r="T992" s="33">
        <f>IF(R992&gt;0,IF(RIGHT(Ruimtestaat[[#This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2" s="33">
        <f>IF(T992&gt;0,VLOOKUP($J992,Ruimtegroepen[],3,FALSE)*VLOOKUP($L992,Vloersoorten[],3,FALSE)*VLOOKUP($S992,Frequenties[],3,FALSE)*VLOOKUP($A992,Locaties[],3,FALSE),0)</f>
        <v>0</v>
      </c>
      <c r="V992" s="33">
        <f>Ruimtestaat[[#This Row],[Uitvoeringen werkdagen]]*Ruimtestaat[[#This Row],[Oppervlak (netto)]]</f>
        <v>3779.9999999999995</v>
      </c>
      <c r="W992" s="154">
        <f>IF(U992&gt;0,Ruimtestaat[[#This Row],[Prest. (m2 /jaar) werkdagen]]/Ruimtestaat[[#This Row],[Norm (m2/uur) werkdagen]],0)</f>
        <v>0</v>
      </c>
      <c r="X992" s="155">
        <f>Ruimtestaat[[#This Row],[uren / jaar werkdagen]]*Tariefsopbouw!$E$35</f>
        <v>0</v>
      </c>
      <c r="Y992" s="33"/>
      <c r="Z992" s="33">
        <f>IF(Ruimtestaat[[#This Row],[Frequentie weekend]]&gt;0,VALUE(LEFT(Y992,1))*R992,0)</f>
        <v>0</v>
      </c>
      <c r="AA992" s="97">
        <f>IF($Z992&gt;0,VLOOKUP($J992,Ruimtegroepen[],3,FALSE)*VLOOKUP($L992,Vloersoorten[],3,FALSE)*VLOOKUP($Y992,Frequenties[],3,FALSE)*VLOOKUP(Ruimtestaat[[#This Row],[Code]],Locaties[],3,FALSE),0)</f>
        <v>0</v>
      </c>
      <c r="AB992" s="97">
        <f>Ruimtestaat[[#This Row],[Uitvoeringen weekend]]*Ruimtestaat[[#This Row],[Oppervlak (netto)]]</f>
        <v>0</v>
      </c>
      <c r="AC992" s="97">
        <f>IF(AA992&gt;0,Ruimtestaat[[#This Row],[Prest. (m2 /jaar) weekend]]/Ruimtestaat[[#This Row],[Norm (m2/uur) weekend]],0)</f>
        <v>0</v>
      </c>
      <c r="AD992" s="155">
        <f>Ruimtestaat[[#This Row],[uren / jaar weekend]]*Tariefsopbouw!$D$40</f>
        <v>0</v>
      </c>
      <c r="AE992" s="154">
        <f>Ruimtestaat[[#This Row],[Prest. (m2 /jaar) weekend]]+Ruimtestaat[[#This Row],[Prest. (m2 /jaar) werkdagen]]</f>
        <v>3779.9999999999995</v>
      </c>
      <c r="AF992" s="154">
        <f>Ruimtestaat[[#This Row],[uren / jaar weekend]]+Ruimtestaat[[#This Row],[uren / jaar werkdagen]]</f>
        <v>0</v>
      </c>
      <c r="AG992" s="69">
        <f>Ruimtestaat[[#This Row],[kosten / jaar weekend]]+Ruimtestaat[[#This Row],[kosten / jaar werkdagen]]</f>
        <v>0</v>
      </c>
      <c r="AH992" s="69"/>
      <c r="AI992" s="256" t="str">
        <f>IF(Ruimtestaat[[#This Row],[Frequentie werkdagen]]="","",_xlfn.CONCAT(Ruimtestaat[[#This Row],[Ruimte code]],"-",Ruimtestaat[[#This Row],[Frequentie werkdagen]]," ",Ruimtestaat[[#This Row],[Vloer code]]))</f>
        <v>13-5w L</v>
      </c>
      <c r="AJ992" s="300" t="str">
        <f>_xlfn.IFNA(VLOOKUP($AI992,Programma!$F$3:$G$1107,2,0),"")</f>
        <v>_</v>
      </c>
      <c r="AK992" s="300" t="str">
        <f>_xlfn.IFNA(VLOOKUP($AI992,Programma!$F$3:$H$1107,3,0),"")</f>
        <v>_</v>
      </c>
      <c r="AL992" s="300" t="str">
        <f>_xlfn.IFNA(VLOOKUP($AI992,Programma!$F$3:$I$1107,4,0),"")</f>
        <v>4w</v>
      </c>
      <c r="AM992" s="300" t="str">
        <f>_xlfn.IFNA(VLOOKUP($AI992,Programma!$F$3:$J$1107,5,0),"")</f>
        <v>1w</v>
      </c>
      <c r="AN992" s="300" t="str">
        <f>_xlfn.IFNA(VLOOKUP($AI992,Programma!$F$3:$K$1107,6,0),"")</f>
        <v>_</v>
      </c>
      <c r="AO992" s="300" t="str">
        <f>_xlfn.IFNA(VLOOKUP($AI992,Programma!$F$3:$L$1107,7,0),"")</f>
        <v>_</v>
      </c>
      <c r="AP992" s="300" t="str">
        <f>_xlfn.IFNA(VLOOKUP($AI992,Programma!$F$3:$M$1107,8,0),"")</f>
        <v>_</v>
      </c>
      <c r="AQ992" s="300" t="str">
        <f>_xlfn.IFNA(VLOOKUP($AI992,Programma!$F$3:$N$1107,9,0),"")</f>
        <v>_</v>
      </c>
      <c r="AR992" s="300" t="str">
        <f>_xlfn.IFNA(VLOOKUP($AI992,Programma!$F$3:$O$1107,10,0),"")</f>
        <v>5w</v>
      </c>
      <c r="AS992" s="300" t="str">
        <f>_xlfn.IFNA(VLOOKUP($AI992,Programma!$F$3:$P$1107,11,0),"")</f>
        <v>5w</v>
      </c>
      <c r="AT992" s="300" t="str">
        <f>_xlfn.IFNA(VLOOKUP($AI992,Programma!$F$3:$Q$1107,12,0),"")</f>
        <v>1w</v>
      </c>
      <c r="AU992" s="300" t="str">
        <f>_xlfn.IFNA(VLOOKUP($AI992,Programma!$F$3:$R$1107,13,0),"")</f>
        <v>1w</v>
      </c>
      <c r="AV992" s="300" t="str">
        <f>_xlfn.IFNA(VLOOKUP($AI992,Programma!$F$3:$S$1107,14,0),"")</f>
        <v>1m</v>
      </c>
      <c r="AW992" s="300" t="str">
        <f>_xlfn.IFNA(VLOOKUP($AI992,Programma!$F$3:$T$1107,15,0),"")</f>
        <v>2j</v>
      </c>
      <c r="AX992" s="300" t="str">
        <f>_xlfn.IFNA(VLOOKUP($AI992,Programma!$F$3:$U$1107,16,0),"")</f>
        <v>1j</v>
      </c>
      <c r="AY992" s="300" t="str">
        <f>_xlfn.IFNA(VLOOKUP($AI992,Programma!$F$3:$V$1107,17,0),"")</f>
        <v>_</v>
      </c>
      <c r="AZ992" s="300" t="str">
        <f>_xlfn.IFNA(VLOOKUP($AI992,Programma!$F$3:$W$1107,18,0),"")</f>
        <v>_</v>
      </c>
      <c r="BA992" s="300" t="str">
        <f>_xlfn.IFNA(VLOOKUP($AI992,Programma!$F$3:$X$1107,19,0),"")</f>
        <v>_</v>
      </c>
      <c r="BB992" s="300" t="str">
        <f>_xlfn.IFNA(VLOOKUP($AI992,Programma!$F$3:$Y$1107,20,0),"")</f>
        <v>_</v>
      </c>
      <c r="BC992" s="257"/>
      <c r="BD992" s="256" t="str">
        <f>IF(Ruimtestaat[[#This Row],[Frequentie weekend]]="","",_xlfn.CONCAT(Ruimtestaat[[#This Row],[Ruimte code]],"-",Ruimtestaat[[#This Row],[Frequentie weekend]]," ",Ruimtestaat[[#This Row],[Vloer code]]))</f>
        <v/>
      </c>
      <c r="BE992" s="300" t="str">
        <f>_xlfn.IFNA(VLOOKUP($BD992,Programma!$F$3:$G$1107,2,0),"")</f>
        <v/>
      </c>
      <c r="BF992" s="300" t="str">
        <f>_xlfn.IFNA(VLOOKUP($BD992,Programma!$F$3:$H$1107,3,0),"")</f>
        <v/>
      </c>
      <c r="BG992" s="300" t="str">
        <f>_xlfn.IFNA(VLOOKUP($BD992,Programma!$F$3:$I$1107,4,0),"")</f>
        <v/>
      </c>
      <c r="BH992" s="300" t="str">
        <f>_xlfn.IFNA(VLOOKUP($BD992,Programma!$F$3:$J$1107,5,0),"")</f>
        <v/>
      </c>
      <c r="BI992" s="300" t="str">
        <f>_xlfn.IFNA(VLOOKUP($BD992,Programma!$F$3:$K$1107,6,0),"")</f>
        <v/>
      </c>
      <c r="BJ992" s="300" t="str">
        <f>_xlfn.IFNA(VLOOKUP($BD992,Programma!$F$3:$L$1107,7,0),"")</f>
        <v/>
      </c>
      <c r="BK992" s="300" t="str">
        <f>_xlfn.IFNA(VLOOKUP($BD992,Programma!$F$3:$M$1107,8,0),"")</f>
        <v/>
      </c>
      <c r="BL992" s="300" t="str">
        <f>_xlfn.IFNA(VLOOKUP($BD992,Programma!$F$3:$N$1107,9,0),"")</f>
        <v/>
      </c>
      <c r="BM992" s="300" t="str">
        <f>_xlfn.IFNA(VLOOKUP($BD992,Programma!$F$3:$O$1107,10,0),"")</f>
        <v/>
      </c>
      <c r="BN992" s="300" t="str">
        <f>_xlfn.IFNA(VLOOKUP($BD992,Programma!$F$3:$P$1107,11,0),"")</f>
        <v/>
      </c>
      <c r="BO992" s="300" t="str">
        <f>_xlfn.IFNA(VLOOKUP($BD992,Programma!$F$3:$Q$1107,12,0),"")</f>
        <v/>
      </c>
      <c r="BP992" s="300" t="str">
        <f>_xlfn.IFNA(VLOOKUP($BD992,Programma!$F$3:$R$1107,13,0),"")</f>
        <v/>
      </c>
      <c r="BQ992" s="300" t="str">
        <f>_xlfn.IFNA(VLOOKUP($BD992,Programma!$F$3:$S$1107,14,0),"")</f>
        <v/>
      </c>
      <c r="BR992" s="300" t="str">
        <f>_xlfn.IFNA(VLOOKUP($BD992,Programma!$F$3:$T$1107,15,0),"")</f>
        <v/>
      </c>
      <c r="BS992" s="300" t="str">
        <f>_xlfn.IFNA(VLOOKUP($BD992,Programma!$F$3:$U$1107,16,0),"")</f>
        <v/>
      </c>
      <c r="BT992" s="300" t="str">
        <f>_xlfn.IFNA(VLOOKUP($BD992,Programma!$F$3:$V$1107,17,0),"")</f>
        <v/>
      </c>
      <c r="BU992" s="300" t="str">
        <f>_xlfn.IFNA(VLOOKUP($BD992,Programma!$F$3:$W$1107,18,0),"")</f>
        <v/>
      </c>
      <c r="BV992" s="300" t="str">
        <f>_xlfn.IFNA(VLOOKUP($BD992,Programma!$F$3:$X$1107,19,0),"")</f>
        <v/>
      </c>
      <c r="BW992" s="300" t="str">
        <f>_xlfn.IFNA(VLOOKUP($BD992,Programma!$F$3:$Y$1107,20,0),"")</f>
        <v/>
      </c>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c r="GK992" s="4"/>
      <c r="GL992" s="4"/>
      <c r="GM992" s="4"/>
      <c r="GN992" s="4"/>
      <c r="GO992" s="4"/>
      <c r="GP992" s="4"/>
      <c r="GQ992" s="4"/>
      <c r="GR992" s="4"/>
      <c r="GS992" s="4"/>
      <c r="GT992" s="4"/>
      <c r="GU992" s="4"/>
      <c r="GV992" s="4"/>
      <c r="GW992" s="4"/>
      <c r="GX992" s="4"/>
      <c r="GY992" s="4"/>
      <c r="GZ992" s="4"/>
      <c r="HA992" s="4"/>
      <c r="HB992" s="4"/>
      <c r="HC992" s="4"/>
      <c r="HD992" s="4"/>
      <c r="HE992" s="4"/>
      <c r="HF992" s="4"/>
      <c r="HG992" s="4"/>
      <c r="HH992" s="4"/>
      <c r="HI992" s="4"/>
      <c r="HJ992" s="4"/>
      <c r="HK992" s="4"/>
      <c r="HL992" s="4"/>
    </row>
    <row r="993" spans="1:220" ht="15" customHeight="1">
      <c r="A993" s="21">
        <v>10</v>
      </c>
      <c r="B993" s="157" t="str">
        <f>VLOOKUP(Ruimtestaat[[#This Row],[Code]],Locaties[[Code]:[Locatie]],2,FALSE)</f>
        <v>Veurs Voorburg vmbo</v>
      </c>
      <c r="C993" s="157" t="str">
        <f>VLOOKUP(Ruimtestaat[[#This Row],[Code]],Locaties[[#All],[Code]:[Adres]],4,FALSE)</f>
        <v>Delflandlaan 4</v>
      </c>
      <c r="D993" s="157" t="str">
        <f>VLOOKUP(Ruimtestaat[[#This Row],[Code]],Locaties[[#All],[Code]:[Postcode]],5,FALSE)</f>
        <v>2273 CS</v>
      </c>
      <c r="E993" s="157" t="str">
        <f>VLOOKUP(Ruimtestaat[[#This Row],[Code]],Locaties[#All],6,FALSE)</f>
        <v>Voorburg</v>
      </c>
      <c r="F993" s="62"/>
      <c r="G993" s="21" t="s">
        <v>1706</v>
      </c>
      <c r="H993" s="21" t="s">
        <v>1728</v>
      </c>
      <c r="I993" s="62" t="s">
        <v>2483</v>
      </c>
      <c r="J993" s="21">
        <v>13</v>
      </c>
      <c r="K993" s="62" t="str">
        <f>VLOOKUP(Ruimtestaat[[#This Row],[Ruimte code]],Ruimtegroepen[[#All],[Code]:[Ruimte omschrijving]],2,FALSE)</f>
        <v>HV/Technieklokaal</v>
      </c>
      <c r="L993" s="33" t="s">
        <v>101</v>
      </c>
      <c r="M993" s="367" t="s">
        <v>2506</v>
      </c>
      <c r="N993" s="140">
        <v>69.900000000000006</v>
      </c>
      <c r="O993" s="140"/>
      <c r="P993" s="125" t="str">
        <f>VLOOKUP(Ruimtestaat[[#This Row],[Ruimte code]],Ruimtegroepen[],4,FALSE)</f>
        <v>Le</v>
      </c>
      <c r="R993" s="33">
        <v>40</v>
      </c>
      <c r="S993" s="33" t="s">
        <v>2</v>
      </c>
      <c r="T993" s="33">
        <f>IF(R993&gt;0,IF(RIGHT(Ruimtestaat[[#This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3" s="33">
        <f>IF(T993&gt;0,VLOOKUP($J993,Ruimtegroepen[],3,FALSE)*VLOOKUP($L993,Vloersoorten[],3,FALSE)*VLOOKUP($S993,Frequenties[],3,FALSE)*VLOOKUP($A993,Locaties[],3,FALSE),0)</f>
        <v>0</v>
      </c>
      <c r="V993" s="33">
        <f>Ruimtestaat[[#This Row],[Uitvoeringen werkdagen]]*Ruimtestaat[[#This Row],[Oppervlak (netto)]]</f>
        <v>13980.000000000002</v>
      </c>
      <c r="W993" s="154">
        <f>IF(U993&gt;0,Ruimtestaat[[#This Row],[Prest. (m2 /jaar) werkdagen]]/Ruimtestaat[[#This Row],[Norm (m2/uur) werkdagen]],0)</f>
        <v>0</v>
      </c>
      <c r="X993" s="155">
        <f>Ruimtestaat[[#This Row],[uren / jaar werkdagen]]*Tariefsopbouw!$E$35</f>
        <v>0</v>
      </c>
      <c r="Y993" s="33"/>
      <c r="Z993" s="33">
        <f>IF(Ruimtestaat[[#This Row],[Frequentie weekend]]&gt;0,VALUE(LEFT(Y993,1))*R993,0)</f>
        <v>0</v>
      </c>
      <c r="AA993" s="97">
        <f>IF($Z993&gt;0,VLOOKUP($J993,Ruimtegroepen[],3,FALSE)*VLOOKUP($L993,Vloersoorten[],3,FALSE)*VLOOKUP($Y993,Frequenties[],3,FALSE)*VLOOKUP(Ruimtestaat[[#This Row],[Code]],Locaties[],3,FALSE),0)</f>
        <v>0</v>
      </c>
      <c r="AB993" s="97">
        <f>Ruimtestaat[[#This Row],[Uitvoeringen weekend]]*Ruimtestaat[[#This Row],[Oppervlak (netto)]]</f>
        <v>0</v>
      </c>
      <c r="AC993" s="97">
        <f>IF(AA993&gt;0,Ruimtestaat[[#This Row],[Prest. (m2 /jaar) weekend]]/Ruimtestaat[[#This Row],[Norm (m2/uur) weekend]],0)</f>
        <v>0</v>
      </c>
      <c r="AD993" s="155">
        <f>Ruimtestaat[[#This Row],[uren / jaar weekend]]*Tariefsopbouw!$D$40</f>
        <v>0</v>
      </c>
      <c r="AE993" s="154">
        <f>Ruimtestaat[[#This Row],[Prest. (m2 /jaar) weekend]]+Ruimtestaat[[#This Row],[Prest. (m2 /jaar) werkdagen]]</f>
        <v>13980.000000000002</v>
      </c>
      <c r="AF993" s="154">
        <f>Ruimtestaat[[#This Row],[uren / jaar weekend]]+Ruimtestaat[[#This Row],[uren / jaar werkdagen]]</f>
        <v>0</v>
      </c>
      <c r="AG993" s="69">
        <f>Ruimtestaat[[#This Row],[kosten / jaar weekend]]+Ruimtestaat[[#This Row],[kosten / jaar werkdagen]]</f>
        <v>0</v>
      </c>
      <c r="AH993" s="69"/>
      <c r="AI993" s="256" t="str">
        <f>IF(Ruimtestaat[[#This Row],[Frequentie werkdagen]]="","",_xlfn.CONCAT(Ruimtestaat[[#This Row],[Ruimte code]],"-",Ruimtestaat[[#This Row],[Frequentie werkdagen]]," ",Ruimtestaat[[#This Row],[Vloer code]]))</f>
        <v>13-5w L</v>
      </c>
      <c r="AJ993" s="300" t="str">
        <f>_xlfn.IFNA(VLOOKUP($AI993,Programma!$F$3:$G$1107,2,0),"")</f>
        <v>_</v>
      </c>
      <c r="AK993" s="300" t="str">
        <f>_xlfn.IFNA(VLOOKUP($AI993,Programma!$F$3:$H$1107,3,0),"")</f>
        <v>_</v>
      </c>
      <c r="AL993" s="300" t="str">
        <f>_xlfn.IFNA(VLOOKUP($AI993,Programma!$F$3:$I$1107,4,0),"")</f>
        <v>4w</v>
      </c>
      <c r="AM993" s="300" t="str">
        <f>_xlfn.IFNA(VLOOKUP($AI993,Programma!$F$3:$J$1107,5,0),"")</f>
        <v>1w</v>
      </c>
      <c r="AN993" s="300" t="str">
        <f>_xlfn.IFNA(VLOOKUP($AI993,Programma!$F$3:$K$1107,6,0),"")</f>
        <v>_</v>
      </c>
      <c r="AO993" s="300" t="str">
        <f>_xlfn.IFNA(VLOOKUP($AI993,Programma!$F$3:$L$1107,7,0),"")</f>
        <v>_</v>
      </c>
      <c r="AP993" s="300" t="str">
        <f>_xlfn.IFNA(VLOOKUP($AI993,Programma!$F$3:$M$1107,8,0),"")</f>
        <v>_</v>
      </c>
      <c r="AQ993" s="300" t="str">
        <f>_xlfn.IFNA(VLOOKUP($AI993,Programma!$F$3:$N$1107,9,0),"")</f>
        <v>_</v>
      </c>
      <c r="AR993" s="300" t="str">
        <f>_xlfn.IFNA(VLOOKUP($AI993,Programma!$F$3:$O$1107,10,0),"")</f>
        <v>5w</v>
      </c>
      <c r="AS993" s="300" t="str">
        <f>_xlfn.IFNA(VLOOKUP($AI993,Programma!$F$3:$P$1107,11,0),"")</f>
        <v>5w</v>
      </c>
      <c r="AT993" s="300" t="str">
        <f>_xlfn.IFNA(VLOOKUP($AI993,Programma!$F$3:$Q$1107,12,0),"")</f>
        <v>1w</v>
      </c>
      <c r="AU993" s="300" t="str">
        <f>_xlfn.IFNA(VLOOKUP($AI993,Programma!$F$3:$R$1107,13,0),"")</f>
        <v>1w</v>
      </c>
      <c r="AV993" s="300" t="str">
        <f>_xlfn.IFNA(VLOOKUP($AI993,Programma!$F$3:$S$1107,14,0),"")</f>
        <v>1m</v>
      </c>
      <c r="AW993" s="300" t="str">
        <f>_xlfn.IFNA(VLOOKUP($AI993,Programma!$F$3:$T$1107,15,0),"")</f>
        <v>2j</v>
      </c>
      <c r="AX993" s="300" t="str">
        <f>_xlfn.IFNA(VLOOKUP($AI993,Programma!$F$3:$U$1107,16,0),"")</f>
        <v>1j</v>
      </c>
      <c r="AY993" s="300" t="str">
        <f>_xlfn.IFNA(VLOOKUP($AI993,Programma!$F$3:$V$1107,17,0),"")</f>
        <v>_</v>
      </c>
      <c r="AZ993" s="300" t="str">
        <f>_xlfn.IFNA(VLOOKUP($AI993,Programma!$F$3:$W$1107,18,0),"")</f>
        <v>_</v>
      </c>
      <c r="BA993" s="300" t="str">
        <f>_xlfn.IFNA(VLOOKUP($AI993,Programma!$F$3:$X$1107,19,0),"")</f>
        <v>_</v>
      </c>
      <c r="BB993" s="300" t="str">
        <f>_xlfn.IFNA(VLOOKUP($AI993,Programma!$F$3:$Y$1107,20,0),"")</f>
        <v>_</v>
      </c>
      <c r="BC993" s="257"/>
      <c r="BD993" s="256" t="str">
        <f>IF(Ruimtestaat[[#This Row],[Frequentie weekend]]="","",_xlfn.CONCAT(Ruimtestaat[[#This Row],[Ruimte code]],"-",Ruimtestaat[[#This Row],[Frequentie weekend]]," ",Ruimtestaat[[#This Row],[Vloer code]]))</f>
        <v/>
      </c>
      <c r="BE993" s="300" t="str">
        <f>_xlfn.IFNA(VLOOKUP($BD993,Programma!$F$3:$G$1107,2,0),"")</f>
        <v/>
      </c>
      <c r="BF993" s="300" t="str">
        <f>_xlfn.IFNA(VLOOKUP($BD993,Programma!$F$3:$H$1107,3,0),"")</f>
        <v/>
      </c>
      <c r="BG993" s="300" t="str">
        <f>_xlfn.IFNA(VLOOKUP($BD993,Programma!$F$3:$I$1107,4,0),"")</f>
        <v/>
      </c>
      <c r="BH993" s="300" t="str">
        <f>_xlfn.IFNA(VLOOKUP($BD993,Programma!$F$3:$J$1107,5,0),"")</f>
        <v/>
      </c>
      <c r="BI993" s="300" t="str">
        <f>_xlfn.IFNA(VLOOKUP($BD993,Programma!$F$3:$K$1107,6,0),"")</f>
        <v/>
      </c>
      <c r="BJ993" s="300" t="str">
        <f>_xlfn.IFNA(VLOOKUP($BD993,Programma!$F$3:$L$1107,7,0),"")</f>
        <v/>
      </c>
      <c r="BK993" s="300" t="str">
        <f>_xlfn.IFNA(VLOOKUP($BD993,Programma!$F$3:$M$1107,8,0),"")</f>
        <v/>
      </c>
      <c r="BL993" s="300" t="str">
        <f>_xlfn.IFNA(VLOOKUP($BD993,Programma!$F$3:$N$1107,9,0),"")</f>
        <v/>
      </c>
      <c r="BM993" s="300" t="str">
        <f>_xlfn.IFNA(VLOOKUP($BD993,Programma!$F$3:$O$1107,10,0),"")</f>
        <v/>
      </c>
      <c r="BN993" s="300" t="str">
        <f>_xlfn.IFNA(VLOOKUP($BD993,Programma!$F$3:$P$1107,11,0),"")</f>
        <v/>
      </c>
      <c r="BO993" s="300" t="str">
        <f>_xlfn.IFNA(VLOOKUP($BD993,Programma!$F$3:$Q$1107,12,0),"")</f>
        <v/>
      </c>
      <c r="BP993" s="300" t="str">
        <f>_xlfn.IFNA(VLOOKUP($BD993,Programma!$F$3:$R$1107,13,0),"")</f>
        <v/>
      </c>
      <c r="BQ993" s="300" t="str">
        <f>_xlfn.IFNA(VLOOKUP($BD993,Programma!$F$3:$S$1107,14,0),"")</f>
        <v/>
      </c>
      <c r="BR993" s="300" t="str">
        <f>_xlfn.IFNA(VLOOKUP($BD993,Programma!$F$3:$T$1107,15,0),"")</f>
        <v/>
      </c>
      <c r="BS993" s="300" t="str">
        <f>_xlfn.IFNA(VLOOKUP($BD993,Programma!$F$3:$U$1107,16,0),"")</f>
        <v/>
      </c>
      <c r="BT993" s="300" t="str">
        <f>_xlfn.IFNA(VLOOKUP($BD993,Programma!$F$3:$V$1107,17,0),"")</f>
        <v/>
      </c>
      <c r="BU993" s="300" t="str">
        <f>_xlfn.IFNA(VLOOKUP($BD993,Programma!$F$3:$W$1107,18,0),"")</f>
        <v/>
      </c>
      <c r="BV993" s="300" t="str">
        <f>_xlfn.IFNA(VLOOKUP($BD993,Programma!$F$3:$X$1107,19,0),"")</f>
        <v/>
      </c>
      <c r="BW993" s="300" t="str">
        <f>_xlfn.IFNA(VLOOKUP($BD993,Programma!$F$3:$Y$1107,20,0),"")</f>
        <v/>
      </c>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c r="GK993" s="4"/>
      <c r="GL993" s="4"/>
      <c r="GM993" s="4"/>
      <c r="GN993" s="4"/>
      <c r="GO993" s="4"/>
      <c r="GP993" s="4"/>
      <c r="GQ993" s="4"/>
      <c r="GR993" s="4"/>
      <c r="GS993" s="4"/>
      <c r="GT993" s="4"/>
      <c r="GU993" s="4"/>
      <c r="GV993" s="4"/>
      <c r="GW993" s="4"/>
      <c r="GX993" s="4"/>
      <c r="GY993" s="4"/>
      <c r="GZ993" s="4"/>
      <c r="HA993" s="4"/>
      <c r="HB993" s="4"/>
      <c r="HC993" s="4"/>
      <c r="HD993" s="4"/>
      <c r="HE993" s="4"/>
      <c r="HF993" s="4"/>
      <c r="HG993" s="4"/>
      <c r="HH993" s="4"/>
      <c r="HI993" s="4"/>
      <c r="HJ993" s="4"/>
      <c r="HK993" s="4"/>
      <c r="HL993" s="4"/>
    </row>
    <row r="994" spans="1:220" ht="15" customHeight="1">
      <c r="A994" s="21">
        <v>10</v>
      </c>
      <c r="B994" s="157" t="str">
        <f>VLOOKUP(Ruimtestaat[[#This Row],[Code]],Locaties[[Code]:[Locatie]],2,FALSE)</f>
        <v>Veurs Voorburg vmbo</v>
      </c>
      <c r="C994" s="157" t="str">
        <f>VLOOKUP(Ruimtestaat[[#This Row],[Code]],Locaties[[#All],[Code]:[Adres]],4,FALSE)</f>
        <v>Delflandlaan 4</v>
      </c>
      <c r="D994" s="157" t="str">
        <f>VLOOKUP(Ruimtestaat[[#This Row],[Code]],Locaties[[#All],[Code]:[Postcode]],5,FALSE)</f>
        <v>2273 CS</v>
      </c>
      <c r="E994" s="157" t="str">
        <f>VLOOKUP(Ruimtestaat[[#This Row],[Code]],Locaties[#All],6,FALSE)</f>
        <v>Voorburg</v>
      </c>
      <c r="F994" s="62"/>
      <c r="G994" s="21" t="s">
        <v>1706</v>
      </c>
      <c r="H994" s="21" t="s">
        <v>1730</v>
      </c>
      <c r="I994" s="62" t="s">
        <v>1988</v>
      </c>
      <c r="J994" s="21">
        <v>1</v>
      </c>
      <c r="K994" s="62" t="str">
        <f>VLOOKUP(Ruimtestaat[[#This Row],[Ruimte code]],Ruimtegroepen[[#All],[Code]:[Ruimte omschrijving]],2,FALSE)</f>
        <v>Magazijnen/bergingen</v>
      </c>
      <c r="L994" s="33" t="s">
        <v>101</v>
      </c>
      <c r="M994" s="367" t="s">
        <v>2506</v>
      </c>
      <c r="N994" s="140">
        <v>15.2</v>
      </c>
      <c r="O994" s="140"/>
      <c r="P994" s="125" t="str">
        <f>VLOOKUP(Ruimtestaat[[#This Row],[Ruimte code]],Ruimtegroepen[],4,FALSE)</f>
        <v>Ve</v>
      </c>
      <c r="R994" s="33">
        <v>40</v>
      </c>
      <c r="S994" s="33" t="s">
        <v>16</v>
      </c>
      <c r="T994" s="33">
        <f>IF(R994&gt;0,IF(RIGHT(Ruimtestaat[[#This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994" s="33">
        <f>IF(T994&gt;0,VLOOKUP($J994,Ruimtegroepen[],3,FALSE)*VLOOKUP($L994,Vloersoorten[],3,FALSE)*VLOOKUP($S994,Frequenties[],3,FALSE)*VLOOKUP($A994,Locaties[],3,FALSE),0)</f>
        <v>0</v>
      </c>
      <c r="V994" s="33">
        <f>Ruimtestaat[[#This Row],[Uitvoeringen werkdagen]]*Ruimtestaat[[#This Row],[Oppervlak (netto)]]</f>
        <v>182.39999999999998</v>
      </c>
      <c r="W994" s="154">
        <f>IF(U994&gt;0,Ruimtestaat[[#This Row],[Prest. (m2 /jaar) werkdagen]]/Ruimtestaat[[#This Row],[Norm (m2/uur) werkdagen]],0)</f>
        <v>0</v>
      </c>
      <c r="X994" s="155">
        <f>Ruimtestaat[[#This Row],[uren / jaar werkdagen]]*Tariefsopbouw!$E$35</f>
        <v>0</v>
      </c>
      <c r="Y994" s="33"/>
      <c r="Z994" s="33">
        <f>IF(Ruimtestaat[[#This Row],[Frequentie weekend]]&gt;0,VALUE(LEFT(Y994,1))*R994,0)</f>
        <v>0</v>
      </c>
      <c r="AA994" s="97">
        <f>IF($Z994&gt;0,VLOOKUP($J994,Ruimtegroepen[],3,FALSE)*VLOOKUP($L994,Vloersoorten[],3,FALSE)*VLOOKUP($Y994,Frequenties[],3,FALSE)*VLOOKUP(Ruimtestaat[[#This Row],[Code]],Locaties[],3,FALSE),0)</f>
        <v>0</v>
      </c>
      <c r="AB994" s="97">
        <f>Ruimtestaat[[#This Row],[Uitvoeringen weekend]]*Ruimtestaat[[#This Row],[Oppervlak (netto)]]</f>
        <v>0</v>
      </c>
      <c r="AC994" s="97">
        <f>IF(AA994&gt;0,Ruimtestaat[[#This Row],[Prest. (m2 /jaar) weekend]]/Ruimtestaat[[#This Row],[Norm (m2/uur) weekend]],0)</f>
        <v>0</v>
      </c>
      <c r="AD994" s="155">
        <f>Ruimtestaat[[#This Row],[uren / jaar weekend]]*Tariefsopbouw!$D$40</f>
        <v>0</v>
      </c>
      <c r="AE994" s="154">
        <f>Ruimtestaat[[#This Row],[Prest. (m2 /jaar) weekend]]+Ruimtestaat[[#This Row],[Prest. (m2 /jaar) werkdagen]]</f>
        <v>182.39999999999998</v>
      </c>
      <c r="AF994" s="154">
        <f>Ruimtestaat[[#This Row],[uren / jaar weekend]]+Ruimtestaat[[#This Row],[uren / jaar werkdagen]]</f>
        <v>0</v>
      </c>
      <c r="AG994" s="69">
        <f>Ruimtestaat[[#This Row],[kosten / jaar weekend]]+Ruimtestaat[[#This Row],[kosten / jaar werkdagen]]</f>
        <v>0</v>
      </c>
      <c r="AH994" s="69"/>
      <c r="AI994" s="256" t="str">
        <f>IF(Ruimtestaat[[#This Row],[Frequentie werkdagen]]="","",_xlfn.CONCAT(Ruimtestaat[[#This Row],[Ruimte code]],"-",Ruimtestaat[[#This Row],[Frequentie werkdagen]]," ",Ruimtestaat[[#This Row],[Vloer code]]))</f>
        <v>1-1m L</v>
      </c>
      <c r="AJ994" s="300" t="str">
        <f>_xlfn.IFNA(VLOOKUP($AI994,Programma!$F$3:$G$1107,2,0),"")</f>
        <v>_</v>
      </c>
      <c r="AK994" s="300" t="str">
        <f>_xlfn.IFNA(VLOOKUP($AI994,Programma!$F$3:$H$1107,3,0),"")</f>
        <v>_</v>
      </c>
      <c r="AL994" s="300" t="str">
        <f>_xlfn.IFNA(VLOOKUP($AI994,Programma!$F$3:$I$1107,4,0),"")</f>
        <v>1m</v>
      </c>
      <c r="AM994" s="300" t="str">
        <f>_xlfn.IFNA(VLOOKUP($AI994,Programma!$F$3:$J$1107,5,0),"")</f>
        <v>1m</v>
      </c>
      <c r="AN994" s="300" t="str">
        <f>_xlfn.IFNA(VLOOKUP($AI994,Programma!$F$3:$K$1107,6,0),"")</f>
        <v>_</v>
      </c>
      <c r="AO994" s="300" t="str">
        <f>_xlfn.IFNA(VLOOKUP($AI994,Programma!$F$3:$L$1107,7,0),"")</f>
        <v>_</v>
      </c>
      <c r="AP994" s="300" t="str">
        <f>_xlfn.IFNA(VLOOKUP($AI994,Programma!$F$3:$M$1107,8,0),"")</f>
        <v>_</v>
      </c>
      <c r="AQ994" s="300" t="str">
        <f>_xlfn.IFNA(VLOOKUP($AI994,Programma!$F$3:$N$1107,9,0),"")</f>
        <v>_</v>
      </c>
      <c r="AR994" s="300" t="str">
        <f>_xlfn.IFNA(VLOOKUP($AI994,Programma!$F$3:$O$1107,10,0),"")</f>
        <v>_</v>
      </c>
      <c r="AS994" s="300" t="str">
        <f>_xlfn.IFNA(VLOOKUP($AI994,Programma!$F$3:$P$1107,11,0),"")</f>
        <v>_</v>
      </c>
      <c r="AT994" s="300" t="str">
        <f>_xlfn.IFNA(VLOOKUP($AI994,Programma!$F$3:$Q$1107,12,0),"")</f>
        <v>_</v>
      </c>
      <c r="AU994" s="300" t="str">
        <f>_xlfn.IFNA(VLOOKUP($AI994,Programma!$F$3:$R$1107,13,0),"")</f>
        <v>_</v>
      </c>
      <c r="AV994" s="300" t="str">
        <f>_xlfn.IFNA(VLOOKUP($AI994,Programma!$F$3:$S$1107,14,0),"")</f>
        <v>1m</v>
      </c>
      <c r="AW994" s="300" t="str">
        <f>_xlfn.IFNA(VLOOKUP($AI994,Programma!$F$3:$T$1107,15,0),"")</f>
        <v>4j</v>
      </c>
      <c r="AX994" s="300" t="str">
        <f>_xlfn.IFNA(VLOOKUP($AI994,Programma!$F$3:$U$1107,16,0),"")</f>
        <v>4j</v>
      </c>
      <c r="AY994" s="300" t="str">
        <f>_xlfn.IFNA(VLOOKUP($AI994,Programma!$F$3:$V$1107,17,0),"")</f>
        <v>_</v>
      </c>
      <c r="AZ994" s="300" t="str">
        <f>_xlfn.IFNA(VLOOKUP($AI994,Programma!$F$3:$W$1107,18,0),"")</f>
        <v>_</v>
      </c>
      <c r="BA994" s="300" t="str">
        <f>_xlfn.IFNA(VLOOKUP($AI994,Programma!$F$3:$X$1107,19,0),"")</f>
        <v>_</v>
      </c>
      <c r="BB994" s="300" t="str">
        <f>_xlfn.IFNA(VLOOKUP($AI994,Programma!$F$3:$Y$1107,20,0),"")</f>
        <v>_</v>
      </c>
      <c r="BC994" s="257"/>
      <c r="BD994" s="256" t="str">
        <f>IF(Ruimtestaat[[#This Row],[Frequentie weekend]]="","",_xlfn.CONCAT(Ruimtestaat[[#This Row],[Ruimte code]],"-",Ruimtestaat[[#This Row],[Frequentie weekend]]," ",Ruimtestaat[[#This Row],[Vloer code]]))</f>
        <v/>
      </c>
      <c r="BE994" s="300" t="str">
        <f>_xlfn.IFNA(VLOOKUP($BD994,Programma!$F$3:$G$1107,2,0),"")</f>
        <v/>
      </c>
      <c r="BF994" s="300" t="str">
        <f>_xlfn.IFNA(VLOOKUP($BD994,Programma!$F$3:$H$1107,3,0),"")</f>
        <v/>
      </c>
      <c r="BG994" s="300" t="str">
        <f>_xlfn.IFNA(VLOOKUP($BD994,Programma!$F$3:$I$1107,4,0),"")</f>
        <v/>
      </c>
      <c r="BH994" s="300" t="str">
        <f>_xlfn.IFNA(VLOOKUP($BD994,Programma!$F$3:$J$1107,5,0),"")</f>
        <v/>
      </c>
      <c r="BI994" s="300" t="str">
        <f>_xlfn.IFNA(VLOOKUP($BD994,Programma!$F$3:$K$1107,6,0),"")</f>
        <v/>
      </c>
      <c r="BJ994" s="300" t="str">
        <f>_xlfn.IFNA(VLOOKUP($BD994,Programma!$F$3:$L$1107,7,0),"")</f>
        <v/>
      </c>
      <c r="BK994" s="300" t="str">
        <f>_xlfn.IFNA(VLOOKUP($BD994,Programma!$F$3:$M$1107,8,0),"")</f>
        <v/>
      </c>
      <c r="BL994" s="300" t="str">
        <f>_xlfn.IFNA(VLOOKUP($BD994,Programma!$F$3:$N$1107,9,0),"")</f>
        <v/>
      </c>
      <c r="BM994" s="300" t="str">
        <f>_xlfn.IFNA(VLOOKUP($BD994,Programma!$F$3:$O$1107,10,0),"")</f>
        <v/>
      </c>
      <c r="BN994" s="300" t="str">
        <f>_xlfn.IFNA(VLOOKUP($BD994,Programma!$F$3:$P$1107,11,0),"")</f>
        <v/>
      </c>
      <c r="BO994" s="300" t="str">
        <f>_xlfn.IFNA(VLOOKUP($BD994,Programma!$F$3:$Q$1107,12,0),"")</f>
        <v/>
      </c>
      <c r="BP994" s="300" t="str">
        <f>_xlfn.IFNA(VLOOKUP($BD994,Programma!$F$3:$R$1107,13,0),"")</f>
        <v/>
      </c>
      <c r="BQ994" s="300" t="str">
        <f>_xlfn.IFNA(VLOOKUP($BD994,Programma!$F$3:$S$1107,14,0),"")</f>
        <v/>
      </c>
      <c r="BR994" s="300" t="str">
        <f>_xlfn.IFNA(VLOOKUP($BD994,Programma!$F$3:$T$1107,15,0),"")</f>
        <v/>
      </c>
      <c r="BS994" s="300" t="str">
        <f>_xlfn.IFNA(VLOOKUP($BD994,Programma!$F$3:$U$1107,16,0),"")</f>
        <v/>
      </c>
      <c r="BT994" s="300" t="str">
        <f>_xlfn.IFNA(VLOOKUP($BD994,Programma!$F$3:$V$1107,17,0),"")</f>
        <v/>
      </c>
      <c r="BU994" s="300" t="str">
        <f>_xlfn.IFNA(VLOOKUP($BD994,Programma!$F$3:$W$1107,18,0),"")</f>
        <v/>
      </c>
      <c r="BV994" s="300" t="str">
        <f>_xlfn.IFNA(VLOOKUP($BD994,Programma!$F$3:$X$1107,19,0),"")</f>
        <v/>
      </c>
      <c r="BW994" s="300" t="str">
        <f>_xlfn.IFNA(VLOOKUP($BD994,Programma!$F$3:$Y$1107,20,0),"")</f>
        <v/>
      </c>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c r="GK994" s="4"/>
      <c r="GL994" s="4"/>
      <c r="GM994" s="4"/>
      <c r="GN994" s="4"/>
      <c r="GO994" s="4"/>
      <c r="GP994" s="4"/>
      <c r="GQ994" s="4"/>
      <c r="GR994" s="4"/>
      <c r="GS994" s="4"/>
      <c r="GT994" s="4"/>
      <c r="GU994" s="4"/>
      <c r="GV994" s="4"/>
      <c r="GW994" s="4"/>
      <c r="GX994" s="4"/>
      <c r="GY994" s="4"/>
      <c r="GZ994" s="4"/>
      <c r="HA994" s="4"/>
      <c r="HB994" s="4"/>
      <c r="HC994" s="4"/>
      <c r="HD994" s="4"/>
      <c r="HE994" s="4"/>
      <c r="HF994" s="4"/>
      <c r="HG994" s="4"/>
      <c r="HH994" s="4"/>
      <c r="HI994" s="4"/>
      <c r="HJ994" s="4"/>
      <c r="HK994" s="4"/>
      <c r="HL994" s="4"/>
    </row>
    <row r="995" spans="1:220" ht="15" customHeight="1">
      <c r="A995" s="21">
        <v>10</v>
      </c>
      <c r="B995" s="157" t="str">
        <f>VLOOKUP(Ruimtestaat[[#This Row],[Code]],Locaties[[Code]:[Locatie]],2,FALSE)</f>
        <v>Veurs Voorburg vmbo</v>
      </c>
      <c r="C995" s="157" t="str">
        <f>VLOOKUP(Ruimtestaat[[#This Row],[Code]],Locaties[[#All],[Code]:[Adres]],4,FALSE)</f>
        <v>Delflandlaan 4</v>
      </c>
      <c r="D995" s="157" t="str">
        <f>VLOOKUP(Ruimtestaat[[#This Row],[Code]],Locaties[[#All],[Code]:[Postcode]],5,FALSE)</f>
        <v>2273 CS</v>
      </c>
      <c r="E995" s="157" t="str">
        <f>VLOOKUP(Ruimtestaat[[#This Row],[Code]],Locaties[#All],6,FALSE)</f>
        <v>Voorburg</v>
      </c>
      <c r="F995" s="62"/>
      <c r="G995" s="21" t="s">
        <v>1706</v>
      </c>
      <c r="H995" s="21" t="s">
        <v>1732</v>
      </c>
      <c r="I995" s="62" t="s">
        <v>2464</v>
      </c>
      <c r="J995" s="21">
        <v>10</v>
      </c>
      <c r="K995" s="62" t="str">
        <f>VLOOKUP(Ruimtestaat[[#This Row],[Ruimte code]],Ruimtegroepen[[#All],[Code]:[Ruimte omschrijving]],2,FALSE)</f>
        <v>Trappenhuizen/lift</v>
      </c>
      <c r="L995" s="33" t="s">
        <v>101</v>
      </c>
      <c r="M995" s="367" t="s">
        <v>2506</v>
      </c>
      <c r="N995" s="140">
        <v>17.899999999999999</v>
      </c>
      <c r="O995" s="140"/>
      <c r="P995" s="125" t="str">
        <f>VLOOKUP(Ruimtestaat[[#This Row],[Ruimte code]],Ruimtegroepen[],4,FALSE)</f>
        <v>Ve</v>
      </c>
      <c r="R995" s="33">
        <v>40</v>
      </c>
      <c r="S995" s="33" t="s">
        <v>2</v>
      </c>
      <c r="T995" s="33">
        <f>IF(R995&gt;0,IF(RIGHT(Ruimtestaat[[#This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5" s="33">
        <f>IF(T995&gt;0,VLOOKUP($J995,Ruimtegroepen[],3,FALSE)*VLOOKUP($L995,Vloersoorten[],3,FALSE)*VLOOKUP($S995,Frequenties[],3,FALSE)*VLOOKUP($A995,Locaties[],3,FALSE),0)</f>
        <v>0</v>
      </c>
      <c r="V995" s="33">
        <f>Ruimtestaat[[#This Row],[Uitvoeringen werkdagen]]*Ruimtestaat[[#This Row],[Oppervlak (netto)]]</f>
        <v>3579.9999999999995</v>
      </c>
      <c r="W995" s="154">
        <f>IF(U995&gt;0,Ruimtestaat[[#This Row],[Prest. (m2 /jaar) werkdagen]]/Ruimtestaat[[#This Row],[Norm (m2/uur) werkdagen]],0)</f>
        <v>0</v>
      </c>
      <c r="X995" s="155">
        <f>Ruimtestaat[[#This Row],[uren / jaar werkdagen]]*Tariefsopbouw!$E$35</f>
        <v>0</v>
      </c>
      <c r="Y995" s="33"/>
      <c r="Z995" s="33">
        <f>IF(Ruimtestaat[[#This Row],[Frequentie weekend]]&gt;0,VALUE(LEFT(Y995,1))*R995,0)</f>
        <v>0</v>
      </c>
      <c r="AA995" s="97">
        <f>IF($Z995&gt;0,VLOOKUP($J995,Ruimtegroepen[],3,FALSE)*VLOOKUP($L995,Vloersoorten[],3,FALSE)*VLOOKUP($Y995,Frequenties[],3,FALSE)*VLOOKUP(Ruimtestaat[[#This Row],[Code]],Locaties[],3,FALSE),0)</f>
        <v>0</v>
      </c>
      <c r="AB995" s="97">
        <f>Ruimtestaat[[#This Row],[Uitvoeringen weekend]]*Ruimtestaat[[#This Row],[Oppervlak (netto)]]</f>
        <v>0</v>
      </c>
      <c r="AC995" s="97">
        <f>IF(AA995&gt;0,Ruimtestaat[[#This Row],[Prest. (m2 /jaar) weekend]]/Ruimtestaat[[#This Row],[Norm (m2/uur) weekend]],0)</f>
        <v>0</v>
      </c>
      <c r="AD995" s="155">
        <f>Ruimtestaat[[#This Row],[uren / jaar weekend]]*Tariefsopbouw!$D$40</f>
        <v>0</v>
      </c>
      <c r="AE995" s="154">
        <f>Ruimtestaat[[#This Row],[Prest. (m2 /jaar) weekend]]+Ruimtestaat[[#This Row],[Prest. (m2 /jaar) werkdagen]]</f>
        <v>3579.9999999999995</v>
      </c>
      <c r="AF995" s="154">
        <f>Ruimtestaat[[#This Row],[uren / jaar weekend]]+Ruimtestaat[[#This Row],[uren / jaar werkdagen]]</f>
        <v>0</v>
      </c>
      <c r="AG995" s="69">
        <f>Ruimtestaat[[#This Row],[kosten / jaar weekend]]+Ruimtestaat[[#This Row],[kosten / jaar werkdagen]]</f>
        <v>0</v>
      </c>
      <c r="AH995" s="69"/>
      <c r="AI995" s="256" t="str">
        <f>IF(Ruimtestaat[[#This Row],[Frequentie werkdagen]]="","",_xlfn.CONCAT(Ruimtestaat[[#This Row],[Ruimte code]],"-",Ruimtestaat[[#This Row],[Frequentie werkdagen]]," ",Ruimtestaat[[#This Row],[Vloer code]]))</f>
        <v>10-5w L</v>
      </c>
      <c r="AJ995" s="300" t="str">
        <f>_xlfn.IFNA(VLOOKUP($AI995,Programma!$F$3:$G$1107,2,0),"")</f>
        <v>_</v>
      </c>
      <c r="AK995" s="300" t="str">
        <f>_xlfn.IFNA(VLOOKUP($AI995,Programma!$F$3:$H$1107,3,0),"")</f>
        <v>_</v>
      </c>
      <c r="AL995" s="300" t="str">
        <f>_xlfn.IFNA(VLOOKUP($AI995,Programma!$F$3:$I$1107,4,0),"")</f>
        <v>4w</v>
      </c>
      <c r="AM995" s="300" t="str">
        <f>_xlfn.IFNA(VLOOKUP($AI995,Programma!$F$3:$J$1107,5,0),"")</f>
        <v>1w</v>
      </c>
      <c r="AN995" s="300" t="str">
        <f>_xlfn.IFNA(VLOOKUP($AI995,Programma!$F$3:$K$1107,6,0),"")</f>
        <v>_</v>
      </c>
      <c r="AO995" s="300" t="str">
        <f>_xlfn.IFNA(VLOOKUP($AI995,Programma!$F$3:$L$1107,7,0),"")</f>
        <v>_</v>
      </c>
      <c r="AP995" s="300" t="str">
        <f>_xlfn.IFNA(VLOOKUP($AI995,Programma!$F$3:$M$1107,8,0),"")</f>
        <v>_</v>
      </c>
      <c r="AQ995" s="300" t="str">
        <f>_xlfn.IFNA(VLOOKUP($AI995,Programma!$F$3:$N$1107,9,0),"")</f>
        <v>_</v>
      </c>
      <c r="AR995" s="300" t="str">
        <f>_xlfn.IFNA(VLOOKUP($AI995,Programma!$F$3:$O$1107,10,0),"")</f>
        <v>5w</v>
      </c>
      <c r="AS995" s="300" t="str">
        <f>_xlfn.IFNA(VLOOKUP($AI995,Programma!$F$3:$P$1107,11,0),"")</f>
        <v>5w</v>
      </c>
      <c r="AT995" s="300" t="str">
        <f>_xlfn.IFNA(VLOOKUP($AI995,Programma!$F$3:$Q$1107,12,0),"")</f>
        <v>1w</v>
      </c>
      <c r="AU995" s="300" t="str">
        <f>_xlfn.IFNA(VLOOKUP($AI995,Programma!$F$3:$R$1107,13,0),"")</f>
        <v>1w</v>
      </c>
      <c r="AV995" s="300" t="str">
        <f>_xlfn.IFNA(VLOOKUP($AI995,Programma!$F$3:$S$1107,14,0),"")</f>
        <v>1m</v>
      </c>
      <c r="AW995" s="300" t="str">
        <f>_xlfn.IFNA(VLOOKUP($AI995,Programma!$F$3:$T$1107,15,0),"")</f>
        <v>2j</v>
      </c>
      <c r="AX995" s="300" t="str">
        <f>_xlfn.IFNA(VLOOKUP($AI995,Programma!$F$3:$U$1107,16,0),"")</f>
        <v>1j</v>
      </c>
      <c r="AY995" s="300" t="str">
        <f>_xlfn.IFNA(VLOOKUP($AI995,Programma!$F$3:$V$1107,17,0),"")</f>
        <v>_</v>
      </c>
      <c r="AZ995" s="300" t="str">
        <f>_xlfn.IFNA(VLOOKUP($AI995,Programma!$F$3:$W$1107,18,0),"")</f>
        <v>_</v>
      </c>
      <c r="BA995" s="300" t="str">
        <f>_xlfn.IFNA(VLOOKUP($AI995,Programma!$F$3:$X$1107,19,0),"")</f>
        <v>_</v>
      </c>
      <c r="BB995" s="300" t="str">
        <f>_xlfn.IFNA(VLOOKUP($AI995,Programma!$F$3:$Y$1107,20,0),"")</f>
        <v>_</v>
      </c>
      <c r="BC995" s="257"/>
      <c r="BD995" s="256" t="str">
        <f>IF(Ruimtestaat[[#This Row],[Frequentie weekend]]="","",_xlfn.CONCAT(Ruimtestaat[[#This Row],[Ruimte code]],"-",Ruimtestaat[[#This Row],[Frequentie weekend]]," ",Ruimtestaat[[#This Row],[Vloer code]]))</f>
        <v/>
      </c>
      <c r="BE995" s="300" t="str">
        <f>_xlfn.IFNA(VLOOKUP($BD995,Programma!$F$3:$G$1107,2,0),"")</f>
        <v/>
      </c>
      <c r="BF995" s="300" t="str">
        <f>_xlfn.IFNA(VLOOKUP($BD995,Programma!$F$3:$H$1107,3,0),"")</f>
        <v/>
      </c>
      <c r="BG995" s="300" t="str">
        <f>_xlfn.IFNA(VLOOKUP($BD995,Programma!$F$3:$I$1107,4,0),"")</f>
        <v/>
      </c>
      <c r="BH995" s="300" t="str">
        <f>_xlfn.IFNA(VLOOKUP($BD995,Programma!$F$3:$J$1107,5,0),"")</f>
        <v/>
      </c>
      <c r="BI995" s="300" t="str">
        <f>_xlfn.IFNA(VLOOKUP($BD995,Programma!$F$3:$K$1107,6,0),"")</f>
        <v/>
      </c>
      <c r="BJ995" s="300" t="str">
        <f>_xlfn.IFNA(VLOOKUP($BD995,Programma!$F$3:$L$1107,7,0),"")</f>
        <v/>
      </c>
      <c r="BK995" s="300" t="str">
        <f>_xlfn.IFNA(VLOOKUP($BD995,Programma!$F$3:$M$1107,8,0),"")</f>
        <v/>
      </c>
      <c r="BL995" s="300" t="str">
        <f>_xlfn.IFNA(VLOOKUP($BD995,Programma!$F$3:$N$1107,9,0),"")</f>
        <v/>
      </c>
      <c r="BM995" s="300" t="str">
        <f>_xlfn.IFNA(VLOOKUP($BD995,Programma!$F$3:$O$1107,10,0),"")</f>
        <v/>
      </c>
      <c r="BN995" s="300" t="str">
        <f>_xlfn.IFNA(VLOOKUP($BD995,Programma!$F$3:$P$1107,11,0),"")</f>
        <v/>
      </c>
      <c r="BO995" s="300" t="str">
        <f>_xlfn.IFNA(VLOOKUP($BD995,Programma!$F$3:$Q$1107,12,0),"")</f>
        <v/>
      </c>
      <c r="BP995" s="300" t="str">
        <f>_xlfn.IFNA(VLOOKUP($BD995,Programma!$F$3:$R$1107,13,0),"")</f>
        <v/>
      </c>
      <c r="BQ995" s="300" t="str">
        <f>_xlfn.IFNA(VLOOKUP($BD995,Programma!$F$3:$S$1107,14,0),"")</f>
        <v/>
      </c>
      <c r="BR995" s="300" t="str">
        <f>_xlfn.IFNA(VLOOKUP($BD995,Programma!$F$3:$T$1107,15,0),"")</f>
        <v/>
      </c>
      <c r="BS995" s="300" t="str">
        <f>_xlfn.IFNA(VLOOKUP($BD995,Programma!$F$3:$U$1107,16,0),"")</f>
        <v/>
      </c>
      <c r="BT995" s="300" t="str">
        <f>_xlfn.IFNA(VLOOKUP($BD995,Programma!$F$3:$V$1107,17,0),"")</f>
        <v/>
      </c>
      <c r="BU995" s="300" t="str">
        <f>_xlfn.IFNA(VLOOKUP($BD995,Programma!$F$3:$W$1107,18,0),"")</f>
        <v/>
      </c>
      <c r="BV995" s="300" t="str">
        <f>_xlfn.IFNA(VLOOKUP($BD995,Programma!$F$3:$X$1107,19,0),"")</f>
        <v/>
      </c>
      <c r="BW995" s="300" t="str">
        <f>_xlfn.IFNA(VLOOKUP($BD995,Programma!$F$3:$Y$1107,20,0),"")</f>
        <v/>
      </c>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c r="GK995" s="4"/>
      <c r="GL995" s="4"/>
      <c r="GM995" s="4"/>
      <c r="GN995" s="4"/>
      <c r="GO995" s="4"/>
      <c r="GP995" s="4"/>
      <c r="GQ995" s="4"/>
      <c r="GR995" s="4"/>
      <c r="GS995" s="4"/>
      <c r="GT995" s="4"/>
      <c r="GU995" s="4"/>
      <c r="GV995" s="4"/>
      <c r="GW995" s="4"/>
      <c r="GX995" s="4"/>
      <c r="GY995" s="4"/>
      <c r="GZ995" s="4"/>
      <c r="HA995" s="4"/>
      <c r="HB995" s="4"/>
      <c r="HC995" s="4"/>
      <c r="HD995" s="4"/>
      <c r="HE995" s="4"/>
      <c r="HF995" s="4"/>
      <c r="HG995" s="4"/>
      <c r="HH995" s="4"/>
      <c r="HI995" s="4"/>
      <c r="HJ995" s="4"/>
      <c r="HK995" s="4"/>
      <c r="HL995" s="4"/>
    </row>
    <row r="996" spans="1:220" ht="15" customHeight="1">
      <c r="A996" s="21">
        <v>10</v>
      </c>
      <c r="B996" s="157" t="str">
        <f>VLOOKUP(Ruimtestaat[[#This Row],[Code]],Locaties[[Code]:[Locatie]],2,FALSE)</f>
        <v>Veurs Voorburg vmbo</v>
      </c>
      <c r="C996" s="157" t="str">
        <f>VLOOKUP(Ruimtestaat[[#This Row],[Code]],Locaties[[#All],[Code]:[Adres]],4,FALSE)</f>
        <v>Delflandlaan 4</v>
      </c>
      <c r="D996" s="157" t="str">
        <f>VLOOKUP(Ruimtestaat[[#This Row],[Code]],Locaties[[#All],[Code]:[Postcode]],5,FALSE)</f>
        <v>2273 CS</v>
      </c>
      <c r="E996" s="157" t="str">
        <f>VLOOKUP(Ruimtestaat[[#This Row],[Code]],Locaties[#All],6,FALSE)</f>
        <v>Voorburg</v>
      </c>
      <c r="F996" s="62"/>
      <c r="G996" s="21" t="s">
        <v>1706</v>
      </c>
      <c r="H996" s="21" t="s">
        <v>1734</v>
      </c>
      <c r="I996" s="62" t="s">
        <v>2485</v>
      </c>
      <c r="J996" s="21">
        <v>16</v>
      </c>
      <c r="K996" s="62" t="str">
        <f>VLOOKUP(Ruimtestaat[[#This Row],[Ruimte code]],Ruimtegroepen[[#All],[Code]:[Ruimte omschrijving]],2,FALSE)</f>
        <v>Leslokalen theorie</v>
      </c>
      <c r="L996" s="33" t="s">
        <v>101</v>
      </c>
      <c r="M996" s="367" t="s">
        <v>2506</v>
      </c>
      <c r="N996" s="140">
        <v>17.100000000000001</v>
      </c>
      <c r="O996" s="140"/>
      <c r="P996" s="125" t="str">
        <f>VLOOKUP(Ruimtestaat[[#This Row],[Ruimte code]],Ruimtegroepen[],4,FALSE)</f>
        <v>Le</v>
      </c>
      <c r="R996" s="33">
        <v>40</v>
      </c>
      <c r="S996" s="33" t="s">
        <v>2</v>
      </c>
      <c r="T996" s="33">
        <f>IF(R996&gt;0,IF(RIGHT(Ruimtestaat[[#This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6" s="33">
        <f>IF(T996&gt;0,VLOOKUP($J996,Ruimtegroepen[],3,FALSE)*VLOOKUP($L996,Vloersoorten[],3,FALSE)*VLOOKUP($S996,Frequenties[],3,FALSE)*VLOOKUP($A996,Locaties[],3,FALSE),0)</f>
        <v>0</v>
      </c>
      <c r="V996" s="33">
        <f>Ruimtestaat[[#This Row],[Uitvoeringen werkdagen]]*Ruimtestaat[[#This Row],[Oppervlak (netto)]]</f>
        <v>3420.0000000000005</v>
      </c>
      <c r="W996" s="154">
        <f>IF(U996&gt;0,Ruimtestaat[[#This Row],[Prest. (m2 /jaar) werkdagen]]/Ruimtestaat[[#This Row],[Norm (m2/uur) werkdagen]],0)</f>
        <v>0</v>
      </c>
      <c r="X996" s="155">
        <f>Ruimtestaat[[#This Row],[uren / jaar werkdagen]]*Tariefsopbouw!$E$35</f>
        <v>0</v>
      </c>
      <c r="Y996" s="33"/>
      <c r="Z996" s="33">
        <f>IF(Ruimtestaat[[#This Row],[Frequentie weekend]]&gt;0,VALUE(LEFT(Y996,1))*R996,0)</f>
        <v>0</v>
      </c>
      <c r="AA996" s="97">
        <f>IF($Z996&gt;0,VLOOKUP($J996,Ruimtegroepen[],3,FALSE)*VLOOKUP($L996,Vloersoorten[],3,FALSE)*VLOOKUP($Y996,Frequenties[],3,FALSE)*VLOOKUP(Ruimtestaat[[#This Row],[Code]],Locaties[],3,FALSE),0)</f>
        <v>0</v>
      </c>
      <c r="AB996" s="97">
        <f>Ruimtestaat[[#This Row],[Uitvoeringen weekend]]*Ruimtestaat[[#This Row],[Oppervlak (netto)]]</f>
        <v>0</v>
      </c>
      <c r="AC996" s="97">
        <f>IF(AA996&gt;0,Ruimtestaat[[#This Row],[Prest. (m2 /jaar) weekend]]/Ruimtestaat[[#This Row],[Norm (m2/uur) weekend]],0)</f>
        <v>0</v>
      </c>
      <c r="AD996" s="155">
        <f>Ruimtestaat[[#This Row],[uren / jaar weekend]]*Tariefsopbouw!$D$40</f>
        <v>0</v>
      </c>
      <c r="AE996" s="154">
        <f>Ruimtestaat[[#This Row],[Prest. (m2 /jaar) weekend]]+Ruimtestaat[[#This Row],[Prest. (m2 /jaar) werkdagen]]</f>
        <v>3420.0000000000005</v>
      </c>
      <c r="AF996" s="154">
        <f>Ruimtestaat[[#This Row],[uren / jaar weekend]]+Ruimtestaat[[#This Row],[uren / jaar werkdagen]]</f>
        <v>0</v>
      </c>
      <c r="AG996" s="69">
        <f>Ruimtestaat[[#This Row],[kosten / jaar weekend]]+Ruimtestaat[[#This Row],[kosten / jaar werkdagen]]</f>
        <v>0</v>
      </c>
      <c r="AH996" s="69"/>
      <c r="AI996" s="256" t="str">
        <f>IF(Ruimtestaat[[#This Row],[Frequentie werkdagen]]="","",_xlfn.CONCAT(Ruimtestaat[[#This Row],[Ruimte code]],"-",Ruimtestaat[[#This Row],[Frequentie werkdagen]]," ",Ruimtestaat[[#This Row],[Vloer code]]))</f>
        <v>16-5w L</v>
      </c>
      <c r="AJ996" s="300" t="str">
        <f>_xlfn.IFNA(VLOOKUP($AI996,Programma!$F$3:$G$1107,2,0),"")</f>
        <v>_</v>
      </c>
      <c r="AK996" s="300" t="str">
        <f>_xlfn.IFNA(VLOOKUP($AI996,Programma!$F$3:$H$1107,3,0),"")</f>
        <v>_</v>
      </c>
      <c r="AL996" s="300" t="str">
        <f>_xlfn.IFNA(VLOOKUP($AI996,Programma!$F$3:$I$1107,4,0),"")</f>
        <v>4w</v>
      </c>
      <c r="AM996" s="300" t="str">
        <f>_xlfn.IFNA(VLOOKUP($AI996,Programma!$F$3:$J$1107,5,0),"")</f>
        <v>1w</v>
      </c>
      <c r="AN996" s="300" t="str">
        <f>_xlfn.IFNA(VLOOKUP($AI996,Programma!$F$3:$K$1107,6,0),"")</f>
        <v>_</v>
      </c>
      <c r="AO996" s="300" t="str">
        <f>_xlfn.IFNA(VLOOKUP($AI996,Programma!$F$3:$L$1107,7,0),"")</f>
        <v>_</v>
      </c>
      <c r="AP996" s="300" t="str">
        <f>_xlfn.IFNA(VLOOKUP($AI996,Programma!$F$3:$M$1107,8,0),"")</f>
        <v>_</v>
      </c>
      <c r="AQ996" s="300" t="str">
        <f>_xlfn.IFNA(VLOOKUP($AI996,Programma!$F$3:$N$1107,9,0),"")</f>
        <v>_</v>
      </c>
      <c r="AR996" s="300" t="str">
        <f>_xlfn.IFNA(VLOOKUP($AI996,Programma!$F$3:$O$1107,10,0),"")</f>
        <v>5w</v>
      </c>
      <c r="AS996" s="300" t="str">
        <f>_xlfn.IFNA(VLOOKUP($AI996,Programma!$F$3:$P$1107,11,0),"")</f>
        <v>5w</v>
      </c>
      <c r="AT996" s="300" t="str">
        <f>_xlfn.IFNA(VLOOKUP($AI996,Programma!$F$3:$Q$1107,12,0),"")</f>
        <v>1w</v>
      </c>
      <c r="AU996" s="300" t="str">
        <f>_xlfn.IFNA(VLOOKUP($AI996,Programma!$F$3:$R$1107,13,0),"")</f>
        <v>1w</v>
      </c>
      <c r="AV996" s="300" t="str">
        <f>_xlfn.IFNA(VLOOKUP($AI996,Programma!$F$3:$S$1107,14,0),"")</f>
        <v>1m</v>
      </c>
      <c r="AW996" s="300" t="str">
        <f>_xlfn.IFNA(VLOOKUP($AI996,Programma!$F$3:$T$1107,15,0),"")</f>
        <v>2j</v>
      </c>
      <c r="AX996" s="300" t="str">
        <f>_xlfn.IFNA(VLOOKUP($AI996,Programma!$F$3:$U$1107,16,0),"")</f>
        <v>1j</v>
      </c>
      <c r="AY996" s="300" t="str">
        <f>_xlfn.IFNA(VLOOKUP($AI996,Programma!$F$3:$V$1107,17,0),"")</f>
        <v>_</v>
      </c>
      <c r="AZ996" s="300" t="str">
        <f>_xlfn.IFNA(VLOOKUP($AI996,Programma!$F$3:$W$1107,18,0),"")</f>
        <v>_</v>
      </c>
      <c r="BA996" s="300" t="str">
        <f>_xlfn.IFNA(VLOOKUP($AI996,Programma!$F$3:$X$1107,19,0),"")</f>
        <v>_</v>
      </c>
      <c r="BB996" s="300" t="str">
        <f>_xlfn.IFNA(VLOOKUP($AI996,Programma!$F$3:$Y$1107,20,0),"")</f>
        <v>_</v>
      </c>
      <c r="BC996" s="257"/>
      <c r="BD996" s="256" t="str">
        <f>IF(Ruimtestaat[[#This Row],[Frequentie weekend]]="","",_xlfn.CONCAT(Ruimtestaat[[#This Row],[Ruimte code]],"-",Ruimtestaat[[#This Row],[Frequentie weekend]]," ",Ruimtestaat[[#This Row],[Vloer code]]))</f>
        <v/>
      </c>
      <c r="BE996" s="300" t="str">
        <f>_xlfn.IFNA(VLOOKUP($BD996,Programma!$F$3:$G$1107,2,0),"")</f>
        <v/>
      </c>
      <c r="BF996" s="300" t="str">
        <f>_xlfn.IFNA(VLOOKUP($BD996,Programma!$F$3:$H$1107,3,0),"")</f>
        <v/>
      </c>
      <c r="BG996" s="300" t="str">
        <f>_xlfn.IFNA(VLOOKUP($BD996,Programma!$F$3:$I$1107,4,0),"")</f>
        <v/>
      </c>
      <c r="BH996" s="300" t="str">
        <f>_xlfn.IFNA(VLOOKUP($BD996,Programma!$F$3:$J$1107,5,0),"")</f>
        <v/>
      </c>
      <c r="BI996" s="300" t="str">
        <f>_xlfn.IFNA(VLOOKUP($BD996,Programma!$F$3:$K$1107,6,0),"")</f>
        <v/>
      </c>
      <c r="BJ996" s="300" t="str">
        <f>_xlfn.IFNA(VLOOKUP($BD996,Programma!$F$3:$L$1107,7,0),"")</f>
        <v/>
      </c>
      <c r="BK996" s="300" t="str">
        <f>_xlfn.IFNA(VLOOKUP($BD996,Programma!$F$3:$M$1107,8,0),"")</f>
        <v/>
      </c>
      <c r="BL996" s="300" t="str">
        <f>_xlfn.IFNA(VLOOKUP($BD996,Programma!$F$3:$N$1107,9,0),"")</f>
        <v/>
      </c>
      <c r="BM996" s="300" t="str">
        <f>_xlfn.IFNA(VLOOKUP($BD996,Programma!$F$3:$O$1107,10,0),"")</f>
        <v/>
      </c>
      <c r="BN996" s="300" t="str">
        <f>_xlfn.IFNA(VLOOKUP($BD996,Programma!$F$3:$P$1107,11,0),"")</f>
        <v/>
      </c>
      <c r="BO996" s="300" t="str">
        <f>_xlfn.IFNA(VLOOKUP($BD996,Programma!$F$3:$Q$1107,12,0),"")</f>
        <v/>
      </c>
      <c r="BP996" s="300" t="str">
        <f>_xlfn.IFNA(VLOOKUP($BD996,Programma!$F$3:$R$1107,13,0),"")</f>
        <v/>
      </c>
      <c r="BQ996" s="300" t="str">
        <f>_xlfn.IFNA(VLOOKUP($BD996,Programma!$F$3:$S$1107,14,0),"")</f>
        <v/>
      </c>
      <c r="BR996" s="300" t="str">
        <f>_xlfn.IFNA(VLOOKUP($BD996,Programma!$F$3:$T$1107,15,0),"")</f>
        <v/>
      </c>
      <c r="BS996" s="300" t="str">
        <f>_xlfn.IFNA(VLOOKUP($BD996,Programma!$F$3:$U$1107,16,0),"")</f>
        <v/>
      </c>
      <c r="BT996" s="300" t="str">
        <f>_xlfn.IFNA(VLOOKUP($BD996,Programma!$F$3:$V$1107,17,0),"")</f>
        <v/>
      </c>
      <c r="BU996" s="300" t="str">
        <f>_xlfn.IFNA(VLOOKUP($BD996,Programma!$F$3:$W$1107,18,0),"")</f>
        <v/>
      </c>
      <c r="BV996" s="300" t="str">
        <f>_xlfn.IFNA(VLOOKUP($BD996,Programma!$F$3:$X$1107,19,0),"")</f>
        <v/>
      </c>
      <c r="BW996" s="300" t="str">
        <f>_xlfn.IFNA(VLOOKUP($BD996,Programma!$F$3:$Y$1107,20,0),"")</f>
        <v/>
      </c>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c r="GK996" s="4"/>
      <c r="GL996" s="4"/>
      <c r="GM996" s="4"/>
      <c r="GN996" s="4"/>
      <c r="GO996" s="4"/>
      <c r="GP996" s="4"/>
      <c r="GQ996" s="4"/>
      <c r="GR996" s="4"/>
      <c r="GS996" s="4"/>
      <c r="GT996" s="4"/>
      <c r="GU996" s="4"/>
      <c r="GV996" s="4"/>
      <c r="GW996" s="4"/>
      <c r="GX996" s="4"/>
      <c r="GY996" s="4"/>
      <c r="GZ996" s="4"/>
      <c r="HA996" s="4"/>
      <c r="HB996" s="4"/>
      <c r="HC996" s="4"/>
      <c r="HD996" s="4"/>
      <c r="HE996" s="4"/>
      <c r="HF996" s="4"/>
      <c r="HG996" s="4"/>
      <c r="HH996" s="4"/>
      <c r="HI996" s="4"/>
      <c r="HJ996" s="4"/>
      <c r="HK996" s="4"/>
      <c r="HL996" s="4"/>
    </row>
    <row r="997" spans="1:220" ht="15" customHeight="1">
      <c r="A997" s="21">
        <v>10</v>
      </c>
      <c r="B997" s="157" t="str">
        <f>VLOOKUP(Ruimtestaat[[#This Row],[Code]],Locaties[[Code]:[Locatie]],2,FALSE)</f>
        <v>Veurs Voorburg vmbo</v>
      </c>
      <c r="C997" s="157" t="str">
        <f>VLOOKUP(Ruimtestaat[[#This Row],[Code]],Locaties[[#All],[Code]:[Adres]],4,FALSE)</f>
        <v>Delflandlaan 4</v>
      </c>
      <c r="D997" s="157" t="str">
        <f>VLOOKUP(Ruimtestaat[[#This Row],[Code]],Locaties[[#All],[Code]:[Postcode]],5,FALSE)</f>
        <v>2273 CS</v>
      </c>
      <c r="E997" s="157" t="str">
        <f>VLOOKUP(Ruimtestaat[[#This Row],[Code]],Locaties[#All],6,FALSE)</f>
        <v>Voorburg</v>
      </c>
      <c r="F997" s="62"/>
      <c r="G997" s="21" t="s">
        <v>1706</v>
      </c>
      <c r="H997" s="21" t="s">
        <v>1736</v>
      </c>
      <c r="I997" s="62" t="s">
        <v>2485</v>
      </c>
      <c r="J997" s="21">
        <v>16</v>
      </c>
      <c r="K997" s="62" t="str">
        <f>VLOOKUP(Ruimtestaat[[#This Row],[Ruimte code]],Ruimtegroepen[[#All],[Code]:[Ruimte omschrijving]],2,FALSE)</f>
        <v>Leslokalen theorie</v>
      </c>
      <c r="L997" s="33" t="s">
        <v>101</v>
      </c>
      <c r="M997" s="367" t="s">
        <v>2506</v>
      </c>
      <c r="N997" s="140">
        <v>18.3</v>
      </c>
      <c r="O997" s="140"/>
      <c r="P997" s="125" t="str">
        <f>VLOOKUP(Ruimtestaat[[#This Row],[Ruimte code]],Ruimtegroepen[],4,FALSE)</f>
        <v>Le</v>
      </c>
      <c r="R997" s="33">
        <v>40</v>
      </c>
      <c r="S997" s="33" t="s">
        <v>2</v>
      </c>
      <c r="T997" s="33">
        <f>IF(R997&gt;0,IF(RIGHT(Ruimtestaat[[#This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7" s="33">
        <f>IF(T997&gt;0,VLOOKUP($J997,Ruimtegroepen[],3,FALSE)*VLOOKUP($L997,Vloersoorten[],3,FALSE)*VLOOKUP($S997,Frequenties[],3,FALSE)*VLOOKUP($A997,Locaties[],3,FALSE),0)</f>
        <v>0</v>
      </c>
      <c r="V997" s="33">
        <f>Ruimtestaat[[#This Row],[Uitvoeringen werkdagen]]*Ruimtestaat[[#This Row],[Oppervlak (netto)]]</f>
        <v>3660</v>
      </c>
      <c r="W997" s="154">
        <f>IF(U997&gt;0,Ruimtestaat[[#This Row],[Prest. (m2 /jaar) werkdagen]]/Ruimtestaat[[#This Row],[Norm (m2/uur) werkdagen]],0)</f>
        <v>0</v>
      </c>
      <c r="X997" s="155">
        <f>Ruimtestaat[[#This Row],[uren / jaar werkdagen]]*Tariefsopbouw!$E$35</f>
        <v>0</v>
      </c>
      <c r="Y997" s="33"/>
      <c r="Z997" s="33">
        <f>IF(Ruimtestaat[[#This Row],[Frequentie weekend]]&gt;0,VALUE(LEFT(Y997,1))*R997,0)</f>
        <v>0</v>
      </c>
      <c r="AA997" s="97">
        <f>IF($Z997&gt;0,VLOOKUP($J997,Ruimtegroepen[],3,FALSE)*VLOOKUP($L997,Vloersoorten[],3,FALSE)*VLOOKUP($Y997,Frequenties[],3,FALSE)*VLOOKUP(Ruimtestaat[[#This Row],[Code]],Locaties[],3,FALSE),0)</f>
        <v>0</v>
      </c>
      <c r="AB997" s="97">
        <f>Ruimtestaat[[#This Row],[Uitvoeringen weekend]]*Ruimtestaat[[#This Row],[Oppervlak (netto)]]</f>
        <v>0</v>
      </c>
      <c r="AC997" s="97">
        <f>IF(AA997&gt;0,Ruimtestaat[[#This Row],[Prest. (m2 /jaar) weekend]]/Ruimtestaat[[#This Row],[Norm (m2/uur) weekend]],0)</f>
        <v>0</v>
      </c>
      <c r="AD997" s="155">
        <f>Ruimtestaat[[#This Row],[uren / jaar weekend]]*Tariefsopbouw!$D$40</f>
        <v>0</v>
      </c>
      <c r="AE997" s="154">
        <f>Ruimtestaat[[#This Row],[Prest. (m2 /jaar) weekend]]+Ruimtestaat[[#This Row],[Prest. (m2 /jaar) werkdagen]]</f>
        <v>3660</v>
      </c>
      <c r="AF997" s="154">
        <f>Ruimtestaat[[#This Row],[uren / jaar weekend]]+Ruimtestaat[[#This Row],[uren / jaar werkdagen]]</f>
        <v>0</v>
      </c>
      <c r="AG997" s="69">
        <f>Ruimtestaat[[#This Row],[kosten / jaar weekend]]+Ruimtestaat[[#This Row],[kosten / jaar werkdagen]]</f>
        <v>0</v>
      </c>
      <c r="AH997" s="69"/>
      <c r="AI997" s="256" t="str">
        <f>IF(Ruimtestaat[[#This Row],[Frequentie werkdagen]]="","",_xlfn.CONCAT(Ruimtestaat[[#This Row],[Ruimte code]],"-",Ruimtestaat[[#This Row],[Frequentie werkdagen]]," ",Ruimtestaat[[#This Row],[Vloer code]]))</f>
        <v>16-5w L</v>
      </c>
      <c r="AJ997" s="300" t="str">
        <f>_xlfn.IFNA(VLOOKUP($AI997,Programma!$F$3:$G$1107,2,0),"")</f>
        <v>_</v>
      </c>
      <c r="AK997" s="300" t="str">
        <f>_xlfn.IFNA(VLOOKUP($AI997,Programma!$F$3:$H$1107,3,0),"")</f>
        <v>_</v>
      </c>
      <c r="AL997" s="300" t="str">
        <f>_xlfn.IFNA(VLOOKUP($AI997,Programma!$F$3:$I$1107,4,0),"")</f>
        <v>4w</v>
      </c>
      <c r="AM997" s="300" t="str">
        <f>_xlfn.IFNA(VLOOKUP($AI997,Programma!$F$3:$J$1107,5,0),"")</f>
        <v>1w</v>
      </c>
      <c r="AN997" s="300" t="str">
        <f>_xlfn.IFNA(VLOOKUP($AI997,Programma!$F$3:$K$1107,6,0),"")</f>
        <v>_</v>
      </c>
      <c r="AO997" s="300" t="str">
        <f>_xlfn.IFNA(VLOOKUP($AI997,Programma!$F$3:$L$1107,7,0),"")</f>
        <v>_</v>
      </c>
      <c r="AP997" s="300" t="str">
        <f>_xlfn.IFNA(VLOOKUP($AI997,Programma!$F$3:$M$1107,8,0),"")</f>
        <v>_</v>
      </c>
      <c r="AQ997" s="300" t="str">
        <f>_xlfn.IFNA(VLOOKUP($AI997,Programma!$F$3:$N$1107,9,0),"")</f>
        <v>_</v>
      </c>
      <c r="AR997" s="300" t="str">
        <f>_xlfn.IFNA(VLOOKUP($AI997,Programma!$F$3:$O$1107,10,0),"")</f>
        <v>5w</v>
      </c>
      <c r="AS997" s="300" t="str">
        <f>_xlfn.IFNA(VLOOKUP($AI997,Programma!$F$3:$P$1107,11,0),"")</f>
        <v>5w</v>
      </c>
      <c r="AT997" s="300" t="str">
        <f>_xlfn.IFNA(VLOOKUP($AI997,Programma!$F$3:$Q$1107,12,0),"")</f>
        <v>1w</v>
      </c>
      <c r="AU997" s="300" t="str">
        <f>_xlfn.IFNA(VLOOKUP($AI997,Programma!$F$3:$R$1107,13,0),"")</f>
        <v>1w</v>
      </c>
      <c r="AV997" s="300" t="str">
        <f>_xlfn.IFNA(VLOOKUP($AI997,Programma!$F$3:$S$1107,14,0),"")</f>
        <v>1m</v>
      </c>
      <c r="AW997" s="300" t="str">
        <f>_xlfn.IFNA(VLOOKUP($AI997,Programma!$F$3:$T$1107,15,0),"")</f>
        <v>2j</v>
      </c>
      <c r="AX997" s="300" t="str">
        <f>_xlfn.IFNA(VLOOKUP($AI997,Programma!$F$3:$U$1107,16,0),"")</f>
        <v>1j</v>
      </c>
      <c r="AY997" s="300" t="str">
        <f>_xlfn.IFNA(VLOOKUP($AI997,Programma!$F$3:$V$1107,17,0),"")</f>
        <v>_</v>
      </c>
      <c r="AZ997" s="300" t="str">
        <f>_xlfn.IFNA(VLOOKUP($AI997,Programma!$F$3:$W$1107,18,0),"")</f>
        <v>_</v>
      </c>
      <c r="BA997" s="300" t="str">
        <f>_xlfn.IFNA(VLOOKUP($AI997,Programma!$F$3:$X$1107,19,0),"")</f>
        <v>_</v>
      </c>
      <c r="BB997" s="300" t="str">
        <f>_xlfn.IFNA(VLOOKUP($AI997,Programma!$F$3:$Y$1107,20,0),"")</f>
        <v>_</v>
      </c>
      <c r="BC997" s="257"/>
      <c r="BD997" s="256" t="str">
        <f>IF(Ruimtestaat[[#This Row],[Frequentie weekend]]="","",_xlfn.CONCAT(Ruimtestaat[[#This Row],[Ruimte code]],"-",Ruimtestaat[[#This Row],[Frequentie weekend]]," ",Ruimtestaat[[#This Row],[Vloer code]]))</f>
        <v/>
      </c>
      <c r="BE997" s="300" t="str">
        <f>_xlfn.IFNA(VLOOKUP($BD997,Programma!$F$3:$G$1107,2,0),"")</f>
        <v/>
      </c>
      <c r="BF997" s="300" t="str">
        <f>_xlfn.IFNA(VLOOKUP($BD997,Programma!$F$3:$H$1107,3,0),"")</f>
        <v/>
      </c>
      <c r="BG997" s="300" t="str">
        <f>_xlfn.IFNA(VLOOKUP($BD997,Programma!$F$3:$I$1107,4,0),"")</f>
        <v/>
      </c>
      <c r="BH997" s="300" t="str">
        <f>_xlfn.IFNA(VLOOKUP($BD997,Programma!$F$3:$J$1107,5,0),"")</f>
        <v/>
      </c>
      <c r="BI997" s="300" t="str">
        <f>_xlfn.IFNA(VLOOKUP($BD997,Programma!$F$3:$K$1107,6,0),"")</f>
        <v/>
      </c>
      <c r="BJ997" s="300" t="str">
        <f>_xlfn.IFNA(VLOOKUP($BD997,Programma!$F$3:$L$1107,7,0),"")</f>
        <v/>
      </c>
      <c r="BK997" s="300" t="str">
        <f>_xlfn.IFNA(VLOOKUP($BD997,Programma!$F$3:$M$1107,8,0),"")</f>
        <v/>
      </c>
      <c r="BL997" s="300" t="str">
        <f>_xlfn.IFNA(VLOOKUP($BD997,Programma!$F$3:$N$1107,9,0),"")</f>
        <v/>
      </c>
      <c r="BM997" s="300" t="str">
        <f>_xlfn.IFNA(VLOOKUP($BD997,Programma!$F$3:$O$1107,10,0),"")</f>
        <v/>
      </c>
      <c r="BN997" s="300" t="str">
        <f>_xlfn.IFNA(VLOOKUP($BD997,Programma!$F$3:$P$1107,11,0),"")</f>
        <v/>
      </c>
      <c r="BO997" s="300" t="str">
        <f>_xlfn.IFNA(VLOOKUP($BD997,Programma!$F$3:$Q$1107,12,0),"")</f>
        <v/>
      </c>
      <c r="BP997" s="300" t="str">
        <f>_xlfn.IFNA(VLOOKUP($BD997,Programma!$F$3:$R$1107,13,0),"")</f>
        <v/>
      </c>
      <c r="BQ997" s="300" t="str">
        <f>_xlfn.IFNA(VLOOKUP($BD997,Programma!$F$3:$S$1107,14,0),"")</f>
        <v/>
      </c>
      <c r="BR997" s="300" t="str">
        <f>_xlfn.IFNA(VLOOKUP($BD997,Programma!$F$3:$T$1107,15,0),"")</f>
        <v/>
      </c>
      <c r="BS997" s="300" t="str">
        <f>_xlfn.IFNA(VLOOKUP($BD997,Programma!$F$3:$U$1107,16,0),"")</f>
        <v/>
      </c>
      <c r="BT997" s="300" t="str">
        <f>_xlfn.IFNA(VLOOKUP($BD997,Programma!$F$3:$V$1107,17,0),"")</f>
        <v/>
      </c>
      <c r="BU997" s="300" t="str">
        <f>_xlfn.IFNA(VLOOKUP($BD997,Programma!$F$3:$W$1107,18,0),"")</f>
        <v/>
      </c>
      <c r="BV997" s="300" t="str">
        <f>_xlfn.IFNA(VLOOKUP($BD997,Programma!$F$3:$X$1107,19,0),"")</f>
        <v/>
      </c>
      <c r="BW997" s="300" t="str">
        <f>_xlfn.IFNA(VLOOKUP($BD997,Programma!$F$3:$Y$1107,20,0),"")</f>
        <v/>
      </c>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c r="GK997" s="4"/>
      <c r="GL997" s="4"/>
      <c r="GM997" s="4"/>
      <c r="GN997" s="4"/>
      <c r="GO997" s="4"/>
      <c r="GP997" s="4"/>
      <c r="GQ997" s="4"/>
      <c r="GR997" s="4"/>
      <c r="GS997" s="4"/>
      <c r="GT997" s="4"/>
      <c r="GU997" s="4"/>
      <c r="GV997" s="4"/>
      <c r="GW997" s="4"/>
      <c r="GX997" s="4"/>
      <c r="GY997" s="4"/>
      <c r="GZ997" s="4"/>
      <c r="HA997" s="4"/>
      <c r="HB997" s="4"/>
      <c r="HC997" s="4"/>
      <c r="HD997" s="4"/>
      <c r="HE997" s="4"/>
      <c r="HF997" s="4"/>
      <c r="HG997" s="4"/>
      <c r="HH997" s="4"/>
      <c r="HI997" s="4"/>
      <c r="HJ997" s="4"/>
      <c r="HK997" s="4"/>
      <c r="HL997" s="4"/>
    </row>
    <row r="998" spans="1:220" ht="15" customHeight="1">
      <c r="A998" s="21">
        <v>10</v>
      </c>
      <c r="B998" s="157" t="str">
        <f>VLOOKUP(Ruimtestaat[[#This Row],[Code]],Locaties[[Code]:[Locatie]],2,FALSE)</f>
        <v>Veurs Voorburg vmbo</v>
      </c>
      <c r="C998" s="157" t="str">
        <f>VLOOKUP(Ruimtestaat[[#This Row],[Code]],Locaties[[#All],[Code]:[Adres]],4,FALSE)</f>
        <v>Delflandlaan 4</v>
      </c>
      <c r="D998" s="157" t="str">
        <f>VLOOKUP(Ruimtestaat[[#This Row],[Code]],Locaties[[#All],[Code]:[Postcode]],5,FALSE)</f>
        <v>2273 CS</v>
      </c>
      <c r="E998" s="157" t="str">
        <f>VLOOKUP(Ruimtestaat[[#This Row],[Code]],Locaties[#All],6,FALSE)</f>
        <v>Voorburg</v>
      </c>
      <c r="F998" s="62"/>
      <c r="G998" s="21" t="s">
        <v>1706</v>
      </c>
      <c r="H998" s="21" t="s">
        <v>1738</v>
      </c>
      <c r="I998" s="62" t="s">
        <v>2486</v>
      </c>
      <c r="J998" s="21">
        <v>14</v>
      </c>
      <c r="K998" s="62" t="str">
        <f>VLOOKUP(Ruimtestaat[[#This Row],[Ruimte code]],Ruimtegroepen[[#All],[Code]:[Ruimte omschrijving]],2,FALSE)</f>
        <v>Praktijklokalen binas/zorg</v>
      </c>
      <c r="L998" s="33" t="s">
        <v>101</v>
      </c>
      <c r="M998" s="367" t="s">
        <v>2506</v>
      </c>
      <c r="N998" s="140">
        <v>60.7</v>
      </c>
      <c r="O998" s="140"/>
      <c r="P998" s="125" t="str">
        <f>VLOOKUP(Ruimtestaat[[#This Row],[Ruimte code]],Ruimtegroepen[],4,FALSE)</f>
        <v>Le</v>
      </c>
      <c r="R998" s="33">
        <v>40</v>
      </c>
      <c r="S998" s="33" t="s">
        <v>2</v>
      </c>
      <c r="T998" s="33">
        <f>IF(R998&gt;0,IF(RIGHT(Ruimtestaat[[#This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8" s="33">
        <f>IF(T998&gt;0,VLOOKUP($J998,Ruimtegroepen[],3,FALSE)*VLOOKUP($L998,Vloersoorten[],3,FALSE)*VLOOKUP($S998,Frequenties[],3,FALSE)*VLOOKUP($A998,Locaties[],3,FALSE),0)</f>
        <v>0</v>
      </c>
      <c r="V998" s="33">
        <f>Ruimtestaat[[#This Row],[Uitvoeringen werkdagen]]*Ruimtestaat[[#This Row],[Oppervlak (netto)]]</f>
        <v>12140</v>
      </c>
      <c r="W998" s="154">
        <f>IF(U998&gt;0,Ruimtestaat[[#This Row],[Prest. (m2 /jaar) werkdagen]]/Ruimtestaat[[#This Row],[Norm (m2/uur) werkdagen]],0)</f>
        <v>0</v>
      </c>
      <c r="X998" s="155">
        <f>Ruimtestaat[[#This Row],[uren / jaar werkdagen]]*Tariefsopbouw!$E$35</f>
        <v>0</v>
      </c>
      <c r="Y998" s="33"/>
      <c r="Z998" s="33">
        <f>IF(Ruimtestaat[[#This Row],[Frequentie weekend]]&gt;0,VALUE(LEFT(Y998,1))*R998,0)</f>
        <v>0</v>
      </c>
      <c r="AA998" s="97">
        <f>IF($Z998&gt;0,VLOOKUP($J998,Ruimtegroepen[],3,FALSE)*VLOOKUP($L998,Vloersoorten[],3,FALSE)*VLOOKUP($Y998,Frequenties[],3,FALSE)*VLOOKUP(Ruimtestaat[[#This Row],[Code]],Locaties[],3,FALSE),0)</f>
        <v>0</v>
      </c>
      <c r="AB998" s="97">
        <f>Ruimtestaat[[#This Row],[Uitvoeringen weekend]]*Ruimtestaat[[#This Row],[Oppervlak (netto)]]</f>
        <v>0</v>
      </c>
      <c r="AC998" s="97">
        <f>IF(AA998&gt;0,Ruimtestaat[[#This Row],[Prest. (m2 /jaar) weekend]]/Ruimtestaat[[#This Row],[Norm (m2/uur) weekend]],0)</f>
        <v>0</v>
      </c>
      <c r="AD998" s="155">
        <f>Ruimtestaat[[#This Row],[uren / jaar weekend]]*Tariefsopbouw!$D$40</f>
        <v>0</v>
      </c>
      <c r="AE998" s="154">
        <f>Ruimtestaat[[#This Row],[Prest. (m2 /jaar) weekend]]+Ruimtestaat[[#This Row],[Prest. (m2 /jaar) werkdagen]]</f>
        <v>12140</v>
      </c>
      <c r="AF998" s="154">
        <f>Ruimtestaat[[#This Row],[uren / jaar weekend]]+Ruimtestaat[[#This Row],[uren / jaar werkdagen]]</f>
        <v>0</v>
      </c>
      <c r="AG998" s="69">
        <f>Ruimtestaat[[#This Row],[kosten / jaar weekend]]+Ruimtestaat[[#This Row],[kosten / jaar werkdagen]]</f>
        <v>0</v>
      </c>
      <c r="AH998" s="69"/>
      <c r="AI998" s="256" t="str">
        <f>IF(Ruimtestaat[[#This Row],[Frequentie werkdagen]]="","",_xlfn.CONCAT(Ruimtestaat[[#This Row],[Ruimte code]],"-",Ruimtestaat[[#This Row],[Frequentie werkdagen]]," ",Ruimtestaat[[#This Row],[Vloer code]]))</f>
        <v>14-5w L</v>
      </c>
      <c r="AJ998" s="300" t="str">
        <f>_xlfn.IFNA(VLOOKUP($AI998,Programma!$F$3:$G$1107,2,0),"")</f>
        <v>_</v>
      </c>
      <c r="AK998" s="300" t="str">
        <f>_xlfn.IFNA(VLOOKUP($AI998,Programma!$F$3:$H$1107,3,0),"")</f>
        <v>_</v>
      </c>
      <c r="AL998" s="300" t="str">
        <f>_xlfn.IFNA(VLOOKUP($AI998,Programma!$F$3:$I$1107,4,0),"")</f>
        <v>_</v>
      </c>
      <c r="AM998" s="300" t="str">
        <f>_xlfn.IFNA(VLOOKUP($AI998,Programma!$F$3:$J$1107,5,0),"")</f>
        <v>5w</v>
      </c>
      <c r="AN998" s="300" t="str">
        <f>_xlfn.IFNA(VLOOKUP($AI998,Programma!$F$3:$K$1107,6,0),"")</f>
        <v>_</v>
      </c>
      <c r="AO998" s="300" t="str">
        <f>_xlfn.IFNA(VLOOKUP($AI998,Programma!$F$3:$L$1107,7,0),"")</f>
        <v>_</v>
      </c>
      <c r="AP998" s="300" t="str">
        <f>_xlfn.IFNA(VLOOKUP($AI998,Programma!$F$3:$M$1107,8,0),"")</f>
        <v>_</v>
      </c>
      <c r="AQ998" s="300" t="str">
        <f>_xlfn.IFNA(VLOOKUP($AI998,Programma!$F$3:$N$1107,9,0),"")</f>
        <v>_</v>
      </c>
      <c r="AR998" s="300" t="str">
        <f>_xlfn.IFNA(VLOOKUP($AI998,Programma!$F$3:$O$1107,10,0),"")</f>
        <v>5w</v>
      </c>
      <c r="AS998" s="300" t="str">
        <f>_xlfn.IFNA(VLOOKUP($AI998,Programma!$F$3:$P$1107,11,0),"")</f>
        <v>5w</v>
      </c>
      <c r="AT998" s="300" t="str">
        <f>_xlfn.IFNA(VLOOKUP($AI998,Programma!$F$3:$Q$1107,12,0),"")</f>
        <v>1w</v>
      </c>
      <c r="AU998" s="300" t="str">
        <f>_xlfn.IFNA(VLOOKUP($AI998,Programma!$F$3:$R$1107,13,0),"")</f>
        <v>1w</v>
      </c>
      <c r="AV998" s="300" t="str">
        <f>_xlfn.IFNA(VLOOKUP($AI998,Programma!$F$3:$S$1107,14,0),"")</f>
        <v>1m</v>
      </c>
      <c r="AW998" s="300" t="str">
        <f>_xlfn.IFNA(VLOOKUP($AI998,Programma!$F$3:$T$1107,15,0),"")</f>
        <v>2j</v>
      </c>
      <c r="AX998" s="300" t="str">
        <f>_xlfn.IFNA(VLOOKUP($AI998,Programma!$F$3:$U$1107,16,0),"")</f>
        <v>1j</v>
      </c>
      <c r="AY998" s="300" t="str">
        <f>_xlfn.IFNA(VLOOKUP($AI998,Programma!$F$3:$V$1107,17,0),"")</f>
        <v>_</v>
      </c>
      <c r="AZ998" s="300" t="str">
        <f>_xlfn.IFNA(VLOOKUP($AI998,Programma!$F$3:$W$1107,18,0),"")</f>
        <v>_</v>
      </c>
      <c r="BA998" s="300" t="str">
        <f>_xlfn.IFNA(VLOOKUP($AI998,Programma!$F$3:$X$1107,19,0),"")</f>
        <v>_</v>
      </c>
      <c r="BB998" s="300" t="str">
        <f>_xlfn.IFNA(VLOOKUP($AI998,Programma!$F$3:$Y$1107,20,0),"")</f>
        <v>_</v>
      </c>
      <c r="BC998" s="257"/>
      <c r="BD998" s="256" t="str">
        <f>IF(Ruimtestaat[[#This Row],[Frequentie weekend]]="","",_xlfn.CONCAT(Ruimtestaat[[#This Row],[Ruimte code]],"-",Ruimtestaat[[#This Row],[Frequentie weekend]]," ",Ruimtestaat[[#This Row],[Vloer code]]))</f>
        <v/>
      </c>
      <c r="BE998" s="300" t="str">
        <f>_xlfn.IFNA(VLOOKUP($BD998,Programma!$F$3:$G$1107,2,0),"")</f>
        <v/>
      </c>
      <c r="BF998" s="300" t="str">
        <f>_xlfn.IFNA(VLOOKUP($BD998,Programma!$F$3:$H$1107,3,0),"")</f>
        <v/>
      </c>
      <c r="BG998" s="300" t="str">
        <f>_xlfn.IFNA(VLOOKUP($BD998,Programma!$F$3:$I$1107,4,0),"")</f>
        <v/>
      </c>
      <c r="BH998" s="300" t="str">
        <f>_xlfn.IFNA(VLOOKUP($BD998,Programma!$F$3:$J$1107,5,0),"")</f>
        <v/>
      </c>
      <c r="BI998" s="300" t="str">
        <f>_xlfn.IFNA(VLOOKUP($BD998,Programma!$F$3:$K$1107,6,0),"")</f>
        <v/>
      </c>
      <c r="BJ998" s="300" t="str">
        <f>_xlfn.IFNA(VLOOKUP($BD998,Programma!$F$3:$L$1107,7,0),"")</f>
        <v/>
      </c>
      <c r="BK998" s="300" t="str">
        <f>_xlfn.IFNA(VLOOKUP($BD998,Programma!$F$3:$M$1107,8,0),"")</f>
        <v/>
      </c>
      <c r="BL998" s="300" t="str">
        <f>_xlfn.IFNA(VLOOKUP($BD998,Programma!$F$3:$N$1107,9,0),"")</f>
        <v/>
      </c>
      <c r="BM998" s="300" t="str">
        <f>_xlfn.IFNA(VLOOKUP($BD998,Programma!$F$3:$O$1107,10,0),"")</f>
        <v/>
      </c>
      <c r="BN998" s="300" t="str">
        <f>_xlfn.IFNA(VLOOKUP($BD998,Programma!$F$3:$P$1107,11,0),"")</f>
        <v/>
      </c>
      <c r="BO998" s="300" t="str">
        <f>_xlfn.IFNA(VLOOKUP($BD998,Programma!$F$3:$Q$1107,12,0),"")</f>
        <v/>
      </c>
      <c r="BP998" s="300" t="str">
        <f>_xlfn.IFNA(VLOOKUP($BD998,Programma!$F$3:$R$1107,13,0),"")</f>
        <v/>
      </c>
      <c r="BQ998" s="300" t="str">
        <f>_xlfn.IFNA(VLOOKUP($BD998,Programma!$F$3:$S$1107,14,0),"")</f>
        <v/>
      </c>
      <c r="BR998" s="300" t="str">
        <f>_xlfn.IFNA(VLOOKUP($BD998,Programma!$F$3:$T$1107,15,0),"")</f>
        <v/>
      </c>
      <c r="BS998" s="300" t="str">
        <f>_xlfn.IFNA(VLOOKUP($BD998,Programma!$F$3:$U$1107,16,0),"")</f>
        <v/>
      </c>
      <c r="BT998" s="300" t="str">
        <f>_xlfn.IFNA(VLOOKUP($BD998,Programma!$F$3:$V$1107,17,0),"")</f>
        <v/>
      </c>
      <c r="BU998" s="300" t="str">
        <f>_xlfn.IFNA(VLOOKUP($BD998,Programma!$F$3:$W$1107,18,0),"")</f>
        <v/>
      </c>
      <c r="BV998" s="300" t="str">
        <f>_xlfn.IFNA(VLOOKUP($BD998,Programma!$F$3:$X$1107,19,0),"")</f>
        <v/>
      </c>
      <c r="BW998" s="300" t="str">
        <f>_xlfn.IFNA(VLOOKUP($BD998,Programma!$F$3:$Y$1107,20,0),"")</f>
        <v/>
      </c>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c r="GK998" s="4"/>
      <c r="GL998" s="4"/>
      <c r="GM998" s="4"/>
      <c r="GN998" s="4"/>
      <c r="GO998" s="4"/>
      <c r="GP998" s="4"/>
      <c r="GQ998" s="4"/>
      <c r="GR998" s="4"/>
      <c r="GS998" s="4"/>
      <c r="GT998" s="4"/>
      <c r="GU998" s="4"/>
      <c r="GV998" s="4"/>
      <c r="GW998" s="4"/>
      <c r="GX998" s="4"/>
      <c r="GY998" s="4"/>
      <c r="GZ998" s="4"/>
      <c r="HA998" s="4"/>
      <c r="HB998" s="4"/>
      <c r="HC998" s="4"/>
      <c r="HD998" s="4"/>
      <c r="HE998" s="4"/>
      <c r="HF998" s="4"/>
      <c r="HG998" s="4"/>
      <c r="HH998" s="4"/>
      <c r="HI998" s="4"/>
      <c r="HJ998" s="4"/>
      <c r="HK998" s="4"/>
      <c r="HL998" s="4"/>
    </row>
    <row r="999" spans="1:220" ht="15" customHeight="1">
      <c r="A999" s="21">
        <v>10</v>
      </c>
      <c r="B999" s="157" t="str">
        <f>VLOOKUP(Ruimtestaat[[#This Row],[Code]],Locaties[[Code]:[Locatie]],2,FALSE)</f>
        <v>Veurs Voorburg vmbo</v>
      </c>
      <c r="C999" s="157" t="str">
        <f>VLOOKUP(Ruimtestaat[[#This Row],[Code]],Locaties[[#All],[Code]:[Adres]],4,FALSE)</f>
        <v>Delflandlaan 4</v>
      </c>
      <c r="D999" s="157" t="str">
        <f>VLOOKUP(Ruimtestaat[[#This Row],[Code]],Locaties[[#All],[Code]:[Postcode]],5,FALSE)</f>
        <v>2273 CS</v>
      </c>
      <c r="E999" s="157" t="str">
        <f>VLOOKUP(Ruimtestaat[[#This Row],[Code]],Locaties[#All],6,FALSE)</f>
        <v>Voorburg</v>
      </c>
      <c r="F999" s="62"/>
      <c r="G999" s="21" t="s">
        <v>1706</v>
      </c>
      <c r="H999" s="21" t="s">
        <v>1740</v>
      </c>
      <c r="I999" s="62" t="s">
        <v>2487</v>
      </c>
      <c r="J999" s="21">
        <v>2</v>
      </c>
      <c r="K999" s="62" t="str">
        <f>VLOOKUP(Ruimtestaat[[#This Row],[Ruimte code]],Ruimtegroepen[[#All],[Code]:[Ruimte omschrijving]],2,FALSE)</f>
        <v>Kantoren</v>
      </c>
      <c r="L999" s="33" t="s">
        <v>101</v>
      </c>
      <c r="M999" s="367" t="s">
        <v>2506</v>
      </c>
      <c r="N999" s="140">
        <v>20.6</v>
      </c>
      <c r="O999" s="140"/>
      <c r="P999" s="125" t="str">
        <f>VLOOKUP(Ruimtestaat[[#This Row],[Ruimte code]],Ruimtegroepen[],4,FALSE)</f>
        <v>Bu</v>
      </c>
      <c r="R999" s="33">
        <v>42</v>
      </c>
      <c r="S999" s="33" t="s">
        <v>18</v>
      </c>
      <c r="T999" s="33">
        <f>IF(R999&gt;0,IF(RIGHT(Ruimtestaat[[#This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99" s="33">
        <f>IF(T999&gt;0,VLOOKUP($J999,Ruimtegroepen[],3,FALSE)*VLOOKUP($L999,Vloersoorten[],3,FALSE)*VLOOKUP($S999,Frequenties[],3,FALSE)*VLOOKUP($A999,Locaties[],3,FALSE),0)</f>
        <v>0</v>
      </c>
      <c r="V999" s="33">
        <f>Ruimtestaat[[#This Row],[Uitvoeringen werkdagen]]*Ruimtestaat[[#This Row],[Oppervlak (netto)]]</f>
        <v>2595.6000000000004</v>
      </c>
      <c r="W999" s="154">
        <f>IF(U999&gt;0,Ruimtestaat[[#This Row],[Prest. (m2 /jaar) werkdagen]]/Ruimtestaat[[#This Row],[Norm (m2/uur) werkdagen]],0)</f>
        <v>0</v>
      </c>
      <c r="X999" s="155">
        <f>Ruimtestaat[[#This Row],[uren / jaar werkdagen]]*Tariefsopbouw!$E$35</f>
        <v>0</v>
      </c>
      <c r="Y999" s="33"/>
      <c r="Z999" s="33">
        <f>IF(Ruimtestaat[[#This Row],[Frequentie weekend]]&gt;0,VALUE(LEFT(Y999,1))*R999,0)</f>
        <v>0</v>
      </c>
      <c r="AA999" s="97">
        <f>IF($Z999&gt;0,VLOOKUP($J999,Ruimtegroepen[],3,FALSE)*VLOOKUP($L999,Vloersoorten[],3,FALSE)*VLOOKUP($Y999,Frequenties[],3,FALSE)*VLOOKUP(Ruimtestaat[[#This Row],[Code]],Locaties[],3,FALSE),0)</f>
        <v>0</v>
      </c>
      <c r="AB999" s="97">
        <f>Ruimtestaat[[#This Row],[Uitvoeringen weekend]]*Ruimtestaat[[#This Row],[Oppervlak (netto)]]</f>
        <v>0</v>
      </c>
      <c r="AC999" s="97">
        <f>IF(AA999&gt;0,Ruimtestaat[[#This Row],[Prest. (m2 /jaar) weekend]]/Ruimtestaat[[#This Row],[Norm (m2/uur) weekend]],0)</f>
        <v>0</v>
      </c>
      <c r="AD999" s="155">
        <f>Ruimtestaat[[#This Row],[uren / jaar weekend]]*Tariefsopbouw!$D$40</f>
        <v>0</v>
      </c>
      <c r="AE999" s="154">
        <f>Ruimtestaat[[#This Row],[Prest. (m2 /jaar) weekend]]+Ruimtestaat[[#This Row],[Prest. (m2 /jaar) werkdagen]]</f>
        <v>2595.6000000000004</v>
      </c>
      <c r="AF999" s="154">
        <f>Ruimtestaat[[#This Row],[uren / jaar weekend]]+Ruimtestaat[[#This Row],[uren / jaar werkdagen]]</f>
        <v>0</v>
      </c>
      <c r="AG999" s="69">
        <f>Ruimtestaat[[#This Row],[kosten / jaar weekend]]+Ruimtestaat[[#This Row],[kosten / jaar werkdagen]]</f>
        <v>0</v>
      </c>
      <c r="AH999" s="69"/>
      <c r="AI999" s="256" t="str">
        <f>IF(Ruimtestaat[[#This Row],[Frequentie werkdagen]]="","",_xlfn.CONCAT(Ruimtestaat[[#This Row],[Ruimte code]],"-",Ruimtestaat[[#This Row],[Frequentie werkdagen]]," ",Ruimtestaat[[#This Row],[Vloer code]]))</f>
        <v>2-3w L</v>
      </c>
      <c r="AJ999" s="300" t="str">
        <f>_xlfn.IFNA(VLOOKUP($AI999,Programma!$F$3:$G$1107,2,0),"")</f>
        <v>_</v>
      </c>
      <c r="AK999" s="300" t="str">
        <f>_xlfn.IFNA(VLOOKUP($AI999,Programma!$F$3:$H$1107,3,0),"")</f>
        <v>_</v>
      </c>
      <c r="AL999" s="300" t="str">
        <f>_xlfn.IFNA(VLOOKUP($AI999,Programma!$F$3:$I$1107,4,0),"")</f>
        <v>2w</v>
      </c>
      <c r="AM999" s="300" t="str">
        <f>_xlfn.IFNA(VLOOKUP($AI999,Programma!$F$3:$J$1107,5,0),"")</f>
        <v>1w</v>
      </c>
      <c r="AN999" s="300" t="str">
        <f>_xlfn.IFNA(VLOOKUP($AI999,Programma!$F$3:$K$1107,6,0),"")</f>
        <v>_</v>
      </c>
      <c r="AO999" s="300" t="str">
        <f>_xlfn.IFNA(VLOOKUP($AI999,Programma!$F$3:$L$1107,7,0),"")</f>
        <v>_</v>
      </c>
      <c r="AP999" s="300" t="str">
        <f>_xlfn.IFNA(VLOOKUP($AI999,Programma!$F$3:$M$1107,8,0),"")</f>
        <v>_</v>
      </c>
      <c r="AQ999" s="300" t="str">
        <f>_xlfn.IFNA(VLOOKUP($AI999,Programma!$F$3:$N$1107,9,0),"")</f>
        <v>_</v>
      </c>
      <c r="AR999" s="300" t="str">
        <f>_xlfn.IFNA(VLOOKUP($AI999,Programma!$F$3:$O$1107,10,0),"")</f>
        <v>3w</v>
      </c>
      <c r="AS999" s="300" t="str">
        <f>_xlfn.IFNA(VLOOKUP($AI999,Programma!$F$3:$P$1107,11,0),"")</f>
        <v>3w</v>
      </c>
      <c r="AT999" s="300" t="str">
        <f>_xlfn.IFNA(VLOOKUP($AI999,Programma!$F$3:$Q$1107,12,0),"")</f>
        <v>1w</v>
      </c>
      <c r="AU999" s="300" t="str">
        <f>_xlfn.IFNA(VLOOKUP($AI999,Programma!$F$3:$R$1107,13,0),"")</f>
        <v>1w</v>
      </c>
      <c r="AV999" s="300" t="str">
        <f>_xlfn.IFNA(VLOOKUP($AI999,Programma!$F$3:$S$1107,14,0),"")</f>
        <v>1m</v>
      </c>
      <c r="AW999" s="300" t="str">
        <f>_xlfn.IFNA(VLOOKUP($AI999,Programma!$F$3:$T$1107,15,0),"")</f>
        <v>2j</v>
      </c>
      <c r="AX999" s="300" t="str">
        <f>_xlfn.IFNA(VLOOKUP($AI999,Programma!$F$3:$U$1107,16,0),"")</f>
        <v>1j</v>
      </c>
      <c r="AY999" s="300" t="str">
        <f>_xlfn.IFNA(VLOOKUP($AI999,Programma!$F$3:$V$1107,17,0),"")</f>
        <v>_</v>
      </c>
      <c r="AZ999" s="300" t="str">
        <f>_xlfn.IFNA(VLOOKUP($AI999,Programma!$F$3:$W$1107,18,0),"")</f>
        <v>_</v>
      </c>
      <c r="BA999" s="300" t="str">
        <f>_xlfn.IFNA(VLOOKUP($AI999,Programma!$F$3:$X$1107,19,0),"")</f>
        <v>_</v>
      </c>
      <c r="BB999" s="300" t="str">
        <f>_xlfn.IFNA(VLOOKUP($AI999,Programma!$F$3:$Y$1107,20,0),"")</f>
        <v>_</v>
      </c>
      <c r="BC999" s="257"/>
      <c r="BD999" s="256" t="str">
        <f>IF(Ruimtestaat[[#This Row],[Frequentie weekend]]="","",_xlfn.CONCAT(Ruimtestaat[[#This Row],[Ruimte code]],"-",Ruimtestaat[[#This Row],[Frequentie weekend]]," ",Ruimtestaat[[#This Row],[Vloer code]]))</f>
        <v/>
      </c>
      <c r="BE999" s="300" t="str">
        <f>_xlfn.IFNA(VLOOKUP($BD999,Programma!$F$3:$G$1107,2,0),"")</f>
        <v/>
      </c>
      <c r="BF999" s="300" t="str">
        <f>_xlfn.IFNA(VLOOKUP($BD999,Programma!$F$3:$H$1107,3,0),"")</f>
        <v/>
      </c>
      <c r="BG999" s="300" t="str">
        <f>_xlfn.IFNA(VLOOKUP($BD999,Programma!$F$3:$I$1107,4,0),"")</f>
        <v/>
      </c>
      <c r="BH999" s="300" t="str">
        <f>_xlfn.IFNA(VLOOKUP($BD999,Programma!$F$3:$J$1107,5,0),"")</f>
        <v/>
      </c>
      <c r="BI999" s="300" t="str">
        <f>_xlfn.IFNA(VLOOKUP($BD999,Programma!$F$3:$K$1107,6,0),"")</f>
        <v/>
      </c>
      <c r="BJ999" s="300" t="str">
        <f>_xlfn.IFNA(VLOOKUP($BD999,Programma!$F$3:$L$1107,7,0),"")</f>
        <v/>
      </c>
      <c r="BK999" s="300" t="str">
        <f>_xlfn.IFNA(VLOOKUP($BD999,Programma!$F$3:$M$1107,8,0),"")</f>
        <v/>
      </c>
      <c r="BL999" s="300" t="str">
        <f>_xlfn.IFNA(VLOOKUP($BD999,Programma!$F$3:$N$1107,9,0),"")</f>
        <v/>
      </c>
      <c r="BM999" s="300" t="str">
        <f>_xlfn.IFNA(VLOOKUP($BD999,Programma!$F$3:$O$1107,10,0),"")</f>
        <v/>
      </c>
      <c r="BN999" s="300" t="str">
        <f>_xlfn.IFNA(VLOOKUP($BD999,Programma!$F$3:$P$1107,11,0),"")</f>
        <v/>
      </c>
      <c r="BO999" s="300" t="str">
        <f>_xlfn.IFNA(VLOOKUP($BD999,Programma!$F$3:$Q$1107,12,0),"")</f>
        <v/>
      </c>
      <c r="BP999" s="300" t="str">
        <f>_xlfn.IFNA(VLOOKUP($BD999,Programma!$F$3:$R$1107,13,0),"")</f>
        <v/>
      </c>
      <c r="BQ999" s="300" t="str">
        <f>_xlfn.IFNA(VLOOKUP($BD999,Programma!$F$3:$S$1107,14,0),"")</f>
        <v/>
      </c>
      <c r="BR999" s="300" t="str">
        <f>_xlfn.IFNA(VLOOKUP($BD999,Programma!$F$3:$T$1107,15,0),"")</f>
        <v/>
      </c>
      <c r="BS999" s="300" t="str">
        <f>_xlfn.IFNA(VLOOKUP($BD999,Programma!$F$3:$U$1107,16,0),"")</f>
        <v/>
      </c>
      <c r="BT999" s="300" t="str">
        <f>_xlfn.IFNA(VLOOKUP($BD999,Programma!$F$3:$V$1107,17,0),"")</f>
        <v/>
      </c>
      <c r="BU999" s="300" t="str">
        <f>_xlfn.IFNA(VLOOKUP($BD999,Programma!$F$3:$W$1107,18,0),"")</f>
        <v/>
      </c>
      <c r="BV999" s="300" t="str">
        <f>_xlfn.IFNA(VLOOKUP($BD999,Programma!$F$3:$X$1107,19,0),"")</f>
        <v/>
      </c>
      <c r="BW999" s="300" t="str">
        <f>_xlfn.IFNA(VLOOKUP($BD999,Programma!$F$3:$Y$1107,20,0),"")</f>
        <v/>
      </c>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c r="GK999" s="4"/>
      <c r="GL999" s="4"/>
      <c r="GM999" s="4"/>
      <c r="GN999" s="4"/>
      <c r="GO999" s="4"/>
      <c r="GP999" s="4"/>
      <c r="GQ999" s="4"/>
      <c r="GR999" s="4"/>
      <c r="GS999" s="4"/>
      <c r="GT999" s="4"/>
      <c r="GU999" s="4"/>
      <c r="GV999" s="4"/>
      <c r="GW999" s="4"/>
      <c r="GX999" s="4"/>
      <c r="GY999" s="4"/>
      <c r="GZ999" s="4"/>
      <c r="HA999" s="4"/>
      <c r="HB999" s="4"/>
      <c r="HC999" s="4"/>
      <c r="HD999" s="4"/>
      <c r="HE999" s="4"/>
      <c r="HF999" s="4"/>
      <c r="HG999" s="4"/>
      <c r="HH999" s="4"/>
      <c r="HI999" s="4"/>
      <c r="HJ999" s="4"/>
      <c r="HK999" s="4"/>
      <c r="HL999" s="4"/>
    </row>
    <row r="1000" spans="1:220" ht="15" customHeight="1">
      <c r="A1000" s="21">
        <v>10</v>
      </c>
      <c r="B1000" s="157" t="str">
        <f>VLOOKUP(Ruimtestaat[[#This Row],[Code]],Locaties[[Code]:[Locatie]],2,FALSE)</f>
        <v>Veurs Voorburg vmbo</v>
      </c>
      <c r="C1000" s="157" t="str">
        <f>VLOOKUP(Ruimtestaat[[#This Row],[Code]],Locaties[[#All],[Code]:[Adres]],4,FALSE)</f>
        <v>Delflandlaan 4</v>
      </c>
      <c r="D1000" s="157" t="str">
        <f>VLOOKUP(Ruimtestaat[[#This Row],[Code]],Locaties[[#All],[Code]:[Postcode]],5,FALSE)</f>
        <v>2273 CS</v>
      </c>
      <c r="E1000" s="157" t="str">
        <f>VLOOKUP(Ruimtestaat[[#This Row],[Code]],Locaties[#All],6,FALSE)</f>
        <v>Voorburg</v>
      </c>
      <c r="F1000" s="62"/>
      <c r="G1000" s="21" t="s">
        <v>1706</v>
      </c>
      <c r="H1000" s="21" t="s">
        <v>1742</v>
      </c>
      <c r="I1000" s="62" t="s">
        <v>2462</v>
      </c>
      <c r="J1000" s="21">
        <v>16</v>
      </c>
      <c r="K1000" s="62" t="str">
        <f>VLOOKUP(Ruimtestaat[[#This Row],[Ruimte code]],Ruimtegroepen[[#All],[Code]:[Ruimte omschrijving]],2,FALSE)</f>
        <v>Leslokalen theorie</v>
      </c>
      <c r="L1000" s="33" t="s">
        <v>101</v>
      </c>
      <c r="M1000" s="367" t="s">
        <v>2506</v>
      </c>
      <c r="N1000" s="140">
        <v>55</v>
      </c>
      <c r="O1000" s="140"/>
      <c r="P1000" s="125" t="str">
        <f>VLOOKUP(Ruimtestaat[[#This Row],[Ruimte code]],Ruimtegroepen[],4,FALSE)</f>
        <v>Le</v>
      </c>
      <c r="R1000" s="33">
        <v>40</v>
      </c>
      <c r="S1000" s="33" t="s">
        <v>2</v>
      </c>
      <c r="T1000" s="33">
        <f>IF(R1000&gt;0,IF(RIGHT(Ruimtestaat[[#This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0" s="33">
        <f>IF(T1000&gt;0,VLOOKUP($J1000,Ruimtegroepen[],3,FALSE)*VLOOKUP($L1000,Vloersoorten[],3,FALSE)*VLOOKUP($S1000,Frequenties[],3,FALSE)*VLOOKUP($A1000,Locaties[],3,FALSE),0)</f>
        <v>0</v>
      </c>
      <c r="V1000" s="33">
        <f>Ruimtestaat[[#This Row],[Uitvoeringen werkdagen]]*Ruimtestaat[[#This Row],[Oppervlak (netto)]]</f>
        <v>11000</v>
      </c>
      <c r="W1000" s="154">
        <f>IF(U1000&gt;0,Ruimtestaat[[#This Row],[Prest. (m2 /jaar) werkdagen]]/Ruimtestaat[[#This Row],[Norm (m2/uur) werkdagen]],0)</f>
        <v>0</v>
      </c>
      <c r="X1000" s="155">
        <f>Ruimtestaat[[#This Row],[uren / jaar werkdagen]]*Tariefsopbouw!$E$35</f>
        <v>0</v>
      </c>
      <c r="Y1000" s="33"/>
      <c r="Z1000" s="33">
        <f>IF(Ruimtestaat[[#This Row],[Frequentie weekend]]&gt;0,VALUE(LEFT(Y1000,1))*R1000,0)</f>
        <v>0</v>
      </c>
      <c r="AA1000" s="97">
        <f>IF($Z1000&gt;0,VLOOKUP($J1000,Ruimtegroepen[],3,FALSE)*VLOOKUP($L1000,Vloersoorten[],3,FALSE)*VLOOKUP($Y1000,Frequenties[],3,FALSE)*VLOOKUP(Ruimtestaat[[#This Row],[Code]],Locaties[],3,FALSE),0)</f>
        <v>0</v>
      </c>
      <c r="AB1000" s="97">
        <f>Ruimtestaat[[#This Row],[Uitvoeringen weekend]]*Ruimtestaat[[#This Row],[Oppervlak (netto)]]</f>
        <v>0</v>
      </c>
      <c r="AC1000" s="97">
        <f>IF(AA1000&gt;0,Ruimtestaat[[#This Row],[Prest. (m2 /jaar) weekend]]/Ruimtestaat[[#This Row],[Norm (m2/uur) weekend]],0)</f>
        <v>0</v>
      </c>
      <c r="AD1000" s="155">
        <f>Ruimtestaat[[#This Row],[uren / jaar weekend]]*Tariefsopbouw!$D$40</f>
        <v>0</v>
      </c>
      <c r="AE1000" s="154">
        <f>Ruimtestaat[[#This Row],[Prest. (m2 /jaar) weekend]]+Ruimtestaat[[#This Row],[Prest. (m2 /jaar) werkdagen]]</f>
        <v>11000</v>
      </c>
      <c r="AF1000" s="154">
        <f>Ruimtestaat[[#This Row],[uren / jaar weekend]]+Ruimtestaat[[#This Row],[uren / jaar werkdagen]]</f>
        <v>0</v>
      </c>
      <c r="AG1000" s="69">
        <f>Ruimtestaat[[#This Row],[kosten / jaar weekend]]+Ruimtestaat[[#This Row],[kosten / jaar werkdagen]]</f>
        <v>0</v>
      </c>
      <c r="AH1000" s="69"/>
      <c r="AI1000" s="256" t="str">
        <f>IF(Ruimtestaat[[#This Row],[Frequentie werkdagen]]="","",_xlfn.CONCAT(Ruimtestaat[[#This Row],[Ruimte code]],"-",Ruimtestaat[[#This Row],[Frequentie werkdagen]]," ",Ruimtestaat[[#This Row],[Vloer code]]))</f>
        <v>16-5w L</v>
      </c>
      <c r="AJ1000" s="300" t="str">
        <f>_xlfn.IFNA(VLOOKUP($AI1000,Programma!$F$3:$G$1107,2,0),"")</f>
        <v>_</v>
      </c>
      <c r="AK1000" s="300" t="str">
        <f>_xlfn.IFNA(VLOOKUP($AI1000,Programma!$F$3:$H$1107,3,0),"")</f>
        <v>_</v>
      </c>
      <c r="AL1000" s="300" t="str">
        <f>_xlfn.IFNA(VLOOKUP($AI1000,Programma!$F$3:$I$1107,4,0),"")</f>
        <v>4w</v>
      </c>
      <c r="AM1000" s="300" t="str">
        <f>_xlfn.IFNA(VLOOKUP($AI1000,Programma!$F$3:$J$1107,5,0),"")</f>
        <v>1w</v>
      </c>
      <c r="AN1000" s="300" t="str">
        <f>_xlfn.IFNA(VLOOKUP($AI1000,Programma!$F$3:$K$1107,6,0),"")</f>
        <v>_</v>
      </c>
      <c r="AO1000" s="300" t="str">
        <f>_xlfn.IFNA(VLOOKUP($AI1000,Programma!$F$3:$L$1107,7,0),"")</f>
        <v>_</v>
      </c>
      <c r="AP1000" s="300" t="str">
        <f>_xlfn.IFNA(VLOOKUP($AI1000,Programma!$F$3:$M$1107,8,0),"")</f>
        <v>_</v>
      </c>
      <c r="AQ1000" s="300" t="str">
        <f>_xlfn.IFNA(VLOOKUP($AI1000,Programma!$F$3:$N$1107,9,0),"")</f>
        <v>_</v>
      </c>
      <c r="AR1000" s="300" t="str">
        <f>_xlfn.IFNA(VLOOKUP($AI1000,Programma!$F$3:$O$1107,10,0),"")</f>
        <v>5w</v>
      </c>
      <c r="AS1000" s="300" t="str">
        <f>_xlfn.IFNA(VLOOKUP($AI1000,Programma!$F$3:$P$1107,11,0),"")</f>
        <v>5w</v>
      </c>
      <c r="AT1000" s="300" t="str">
        <f>_xlfn.IFNA(VLOOKUP($AI1000,Programma!$F$3:$Q$1107,12,0),"")</f>
        <v>1w</v>
      </c>
      <c r="AU1000" s="300" t="str">
        <f>_xlfn.IFNA(VLOOKUP($AI1000,Programma!$F$3:$R$1107,13,0),"")</f>
        <v>1w</v>
      </c>
      <c r="AV1000" s="300" t="str">
        <f>_xlfn.IFNA(VLOOKUP($AI1000,Programma!$F$3:$S$1107,14,0),"")</f>
        <v>1m</v>
      </c>
      <c r="AW1000" s="300" t="str">
        <f>_xlfn.IFNA(VLOOKUP($AI1000,Programma!$F$3:$T$1107,15,0),"")</f>
        <v>2j</v>
      </c>
      <c r="AX1000" s="300" t="str">
        <f>_xlfn.IFNA(VLOOKUP($AI1000,Programma!$F$3:$U$1107,16,0),"")</f>
        <v>1j</v>
      </c>
      <c r="AY1000" s="300" t="str">
        <f>_xlfn.IFNA(VLOOKUP($AI1000,Programma!$F$3:$V$1107,17,0),"")</f>
        <v>_</v>
      </c>
      <c r="AZ1000" s="300" t="str">
        <f>_xlfn.IFNA(VLOOKUP($AI1000,Programma!$F$3:$W$1107,18,0),"")</f>
        <v>_</v>
      </c>
      <c r="BA1000" s="300" t="str">
        <f>_xlfn.IFNA(VLOOKUP($AI1000,Programma!$F$3:$X$1107,19,0),"")</f>
        <v>_</v>
      </c>
      <c r="BB1000" s="300" t="str">
        <f>_xlfn.IFNA(VLOOKUP($AI1000,Programma!$F$3:$Y$1107,20,0),"")</f>
        <v>_</v>
      </c>
      <c r="BC1000" s="257"/>
      <c r="BD1000" s="256" t="str">
        <f>IF(Ruimtestaat[[#This Row],[Frequentie weekend]]="","",_xlfn.CONCAT(Ruimtestaat[[#This Row],[Ruimte code]],"-",Ruimtestaat[[#This Row],[Frequentie weekend]]," ",Ruimtestaat[[#This Row],[Vloer code]]))</f>
        <v/>
      </c>
      <c r="BE1000" s="300" t="str">
        <f>_xlfn.IFNA(VLOOKUP($BD1000,Programma!$F$3:$G$1107,2,0),"")</f>
        <v/>
      </c>
      <c r="BF1000" s="300" t="str">
        <f>_xlfn.IFNA(VLOOKUP($BD1000,Programma!$F$3:$H$1107,3,0),"")</f>
        <v/>
      </c>
      <c r="BG1000" s="300" t="str">
        <f>_xlfn.IFNA(VLOOKUP($BD1000,Programma!$F$3:$I$1107,4,0),"")</f>
        <v/>
      </c>
      <c r="BH1000" s="300" t="str">
        <f>_xlfn.IFNA(VLOOKUP($BD1000,Programma!$F$3:$J$1107,5,0),"")</f>
        <v/>
      </c>
      <c r="BI1000" s="300" t="str">
        <f>_xlfn.IFNA(VLOOKUP($BD1000,Programma!$F$3:$K$1107,6,0),"")</f>
        <v/>
      </c>
      <c r="BJ1000" s="300" t="str">
        <f>_xlfn.IFNA(VLOOKUP($BD1000,Programma!$F$3:$L$1107,7,0),"")</f>
        <v/>
      </c>
      <c r="BK1000" s="300" t="str">
        <f>_xlfn.IFNA(VLOOKUP($BD1000,Programma!$F$3:$M$1107,8,0),"")</f>
        <v/>
      </c>
      <c r="BL1000" s="300" t="str">
        <f>_xlfn.IFNA(VLOOKUP($BD1000,Programma!$F$3:$N$1107,9,0),"")</f>
        <v/>
      </c>
      <c r="BM1000" s="300" t="str">
        <f>_xlfn.IFNA(VLOOKUP($BD1000,Programma!$F$3:$O$1107,10,0),"")</f>
        <v/>
      </c>
      <c r="BN1000" s="300" t="str">
        <f>_xlfn.IFNA(VLOOKUP($BD1000,Programma!$F$3:$P$1107,11,0),"")</f>
        <v/>
      </c>
      <c r="BO1000" s="300" t="str">
        <f>_xlfn.IFNA(VLOOKUP($BD1000,Programma!$F$3:$Q$1107,12,0),"")</f>
        <v/>
      </c>
      <c r="BP1000" s="300" t="str">
        <f>_xlfn.IFNA(VLOOKUP($BD1000,Programma!$F$3:$R$1107,13,0),"")</f>
        <v/>
      </c>
      <c r="BQ1000" s="300" t="str">
        <f>_xlfn.IFNA(VLOOKUP($BD1000,Programma!$F$3:$S$1107,14,0),"")</f>
        <v/>
      </c>
      <c r="BR1000" s="300" t="str">
        <f>_xlfn.IFNA(VLOOKUP($BD1000,Programma!$F$3:$T$1107,15,0),"")</f>
        <v/>
      </c>
      <c r="BS1000" s="300" t="str">
        <f>_xlfn.IFNA(VLOOKUP($BD1000,Programma!$F$3:$U$1107,16,0),"")</f>
        <v/>
      </c>
      <c r="BT1000" s="300" t="str">
        <f>_xlfn.IFNA(VLOOKUP($BD1000,Programma!$F$3:$V$1107,17,0),"")</f>
        <v/>
      </c>
      <c r="BU1000" s="300" t="str">
        <f>_xlfn.IFNA(VLOOKUP($BD1000,Programma!$F$3:$W$1107,18,0),"")</f>
        <v/>
      </c>
      <c r="BV1000" s="300" t="str">
        <f>_xlfn.IFNA(VLOOKUP($BD1000,Programma!$F$3:$X$1107,19,0),"")</f>
        <v/>
      </c>
      <c r="BW1000" s="300" t="str">
        <f>_xlfn.IFNA(VLOOKUP($BD1000,Programma!$F$3:$Y$1107,20,0),"")</f>
        <v/>
      </c>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c r="GK1000" s="4"/>
      <c r="GL1000" s="4"/>
      <c r="GM1000" s="4"/>
      <c r="GN1000" s="4"/>
      <c r="GO1000" s="4"/>
      <c r="GP1000" s="4"/>
      <c r="GQ1000" s="4"/>
      <c r="GR1000" s="4"/>
      <c r="GS1000" s="4"/>
      <c r="GT1000" s="4"/>
      <c r="GU1000" s="4"/>
      <c r="GV1000" s="4"/>
      <c r="GW1000" s="4"/>
      <c r="GX1000" s="4"/>
      <c r="GY1000" s="4"/>
      <c r="GZ1000" s="4"/>
      <c r="HA1000" s="4"/>
      <c r="HB1000" s="4"/>
      <c r="HC1000" s="4"/>
      <c r="HD1000" s="4"/>
      <c r="HE1000" s="4"/>
      <c r="HF1000" s="4"/>
      <c r="HG1000" s="4"/>
      <c r="HH1000" s="4"/>
      <c r="HI1000" s="4"/>
      <c r="HJ1000" s="4"/>
      <c r="HK1000" s="4"/>
      <c r="HL1000" s="4"/>
    </row>
    <row r="1001" spans="1:220" ht="15" customHeight="1">
      <c r="A1001" s="21">
        <v>10</v>
      </c>
      <c r="B1001" s="157" t="str">
        <f>VLOOKUP(Ruimtestaat[[#This Row],[Code]],Locaties[[Code]:[Locatie]],2,FALSE)</f>
        <v>Veurs Voorburg vmbo</v>
      </c>
      <c r="C1001" s="157" t="str">
        <f>VLOOKUP(Ruimtestaat[[#This Row],[Code]],Locaties[[#All],[Code]:[Adres]],4,FALSE)</f>
        <v>Delflandlaan 4</v>
      </c>
      <c r="D1001" s="157" t="str">
        <f>VLOOKUP(Ruimtestaat[[#This Row],[Code]],Locaties[[#All],[Code]:[Postcode]],5,FALSE)</f>
        <v>2273 CS</v>
      </c>
      <c r="E1001" s="157" t="str">
        <f>VLOOKUP(Ruimtestaat[[#This Row],[Code]],Locaties[#All],6,FALSE)</f>
        <v>Voorburg</v>
      </c>
      <c r="F1001" s="62"/>
      <c r="G1001" s="21" t="s">
        <v>1706</v>
      </c>
      <c r="H1001" s="21" t="s">
        <v>1744</v>
      </c>
      <c r="I1001" s="62" t="s">
        <v>1761</v>
      </c>
      <c r="J1001" s="21">
        <v>6</v>
      </c>
      <c r="K1001" s="62" t="str">
        <f>VLOOKUP(Ruimtestaat[[#This Row],[Ruimte code]],Ruimtegroepen[[#All],[Code]:[Ruimte omschrijving]],2,FALSE)</f>
        <v>Gangen/hallen</v>
      </c>
      <c r="L1001" s="33" t="s">
        <v>101</v>
      </c>
      <c r="M1001" s="367" t="s">
        <v>2506</v>
      </c>
      <c r="N1001" s="140">
        <v>59</v>
      </c>
      <c r="O1001" s="140"/>
      <c r="P1001" s="125" t="str">
        <f>VLOOKUP(Ruimtestaat[[#This Row],[Ruimte code]],Ruimtegroepen[],4,FALSE)</f>
        <v>Ve</v>
      </c>
      <c r="R1001" s="33">
        <v>40</v>
      </c>
      <c r="S1001" s="33" t="s">
        <v>2</v>
      </c>
      <c r="T1001" s="33">
        <f>IF(R1001&gt;0,IF(RIGHT(Ruimtestaat[[#This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1" s="33">
        <f>IF(T1001&gt;0,VLOOKUP($J1001,Ruimtegroepen[],3,FALSE)*VLOOKUP($L1001,Vloersoorten[],3,FALSE)*VLOOKUP($S1001,Frequenties[],3,FALSE)*VLOOKUP($A1001,Locaties[],3,FALSE),0)</f>
        <v>0</v>
      </c>
      <c r="V1001" s="33">
        <f>Ruimtestaat[[#This Row],[Uitvoeringen werkdagen]]*Ruimtestaat[[#This Row],[Oppervlak (netto)]]</f>
        <v>11800</v>
      </c>
      <c r="W1001" s="154">
        <f>IF(U1001&gt;0,Ruimtestaat[[#This Row],[Prest. (m2 /jaar) werkdagen]]/Ruimtestaat[[#This Row],[Norm (m2/uur) werkdagen]],0)</f>
        <v>0</v>
      </c>
      <c r="X1001" s="155">
        <f>Ruimtestaat[[#This Row],[uren / jaar werkdagen]]*Tariefsopbouw!$E$35</f>
        <v>0</v>
      </c>
      <c r="Y1001" s="33"/>
      <c r="Z1001" s="33">
        <f>IF(Ruimtestaat[[#This Row],[Frequentie weekend]]&gt;0,VALUE(LEFT(Y1001,1))*R1001,0)</f>
        <v>0</v>
      </c>
      <c r="AA1001" s="97">
        <f>IF($Z1001&gt;0,VLOOKUP($J1001,Ruimtegroepen[],3,FALSE)*VLOOKUP($L1001,Vloersoorten[],3,FALSE)*VLOOKUP($Y1001,Frequenties[],3,FALSE)*VLOOKUP(Ruimtestaat[[#This Row],[Code]],Locaties[],3,FALSE),0)</f>
        <v>0</v>
      </c>
      <c r="AB1001" s="97">
        <f>Ruimtestaat[[#This Row],[Uitvoeringen weekend]]*Ruimtestaat[[#This Row],[Oppervlak (netto)]]</f>
        <v>0</v>
      </c>
      <c r="AC1001" s="97">
        <f>IF(AA1001&gt;0,Ruimtestaat[[#This Row],[Prest. (m2 /jaar) weekend]]/Ruimtestaat[[#This Row],[Norm (m2/uur) weekend]],0)</f>
        <v>0</v>
      </c>
      <c r="AD1001" s="155">
        <f>Ruimtestaat[[#This Row],[uren / jaar weekend]]*Tariefsopbouw!$D$40</f>
        <v>0</v>
      </c>
      <c r="AE1001" s="154">
        <f>Ruimtestaat[[#This Row],[Prest. (m2 /jaar) weekend]]+Ruimtestaat[[#This Row],[Prest. (m2 /jaar) werkdagen]]</f>
        <v>11800</v>
      </c>
      <c r="AF1001" s="154">
        <f>Ruimtestaat[[#This Row],[uren / jaar weekend]]+Ruimtestaat[[#This Row],[uren / jaar werkdagen]]</f>
        <v>0</v>
      </c>
      <c r="AG1001" s="69">
        <f>Ruimtestaat[[#This Row],[kosten / jaar weekend]]+Ruimtestaat[[#This Row],[kosten / jaar werkdagen]]</f>
        <v>0</v>
      </c>
      <c r="AH1001" s="69"/>
      <c r="AI1001" s="256" t="str">
        <f>IF(Ruimtestaat[[#This Row],[Frequentie werkdagen]]="","",_xlfn.CONCAT(Ruimtestaat[[#This Row],[Ruimte code]],"-",Ruimtestaat[[#This Row],[Frequentie werkdagen]]," ",Ruimtestaat[[#This Row],[Vloer code]]))</f>
        <v>6-5w L</v>
      </c>
      <c r="AJ1001" s="300" t="str">
        <f>_xlfn.IFNA(VLOOKUP($AI1001,Programma!$F$3:$G$1107,2,0),"")</f>
        <v>_</v>
      </c>
      <c r="AK1001" s="300" t="str">
        <f>_xlfn.IFNA(VLOOKUP($AI1001,Programma!$F$3:$H$1107,3,0),"")</f>
        <v>_</v>
      </c>
      <c r="AL1001" s="300" t="str">
        <f>_xlfn.IFNA(VLOOKUP($AI1001,Programma!$F$3:$I$1107,4,0),"")</f>
        <v>_</v>
      </c>
      <c r="AM1001" s="300" t="str">
        <f>_xlfn.IFNA(VLOOKUP($AI1001,Programma!$F$3:$J$1107,5,0),"")</f>
        <v>5w</v>
      </c>
      <c r="AN1001" s="300" t="str">
        <f>_xlfn.IFNA(VLOOKUP($AI1001,Programma!$F$3:$K$1107,6,0),"")</f>
        <v>_</v>
      </c>
      <c r="AO1001" s="300" t="str">
        <f>_xlfn.IFNA(VLOOKUP($AI1001,Programma!$F$3:$L$1107,7,0),"")</f>
        <v>_</v>
      </c>
      <c r="AP1001" s="300" t="str">
        <f>_xlfn.IFNA(VLOOKUP($AI1001,Programma!$F$3:$M$1107,8,0),"")</f>
        <v>_</v>
      </c>
      <c r="AQ1001" s="300" t="str">
        <f>_xlfn.IFNA(VLOOKUP($AI1001,Programma!$F$3:$N$1107,9,0),"")</f>
        <v>_</v>
      </c>
      <c r="AR1001" s="300" t="str">
        <f>_xlfn.IFNA(VLOOKUP($AI1001,Programma!$F$3:$O$1107,10,0),"")</f>
        <v>5w</v>
      </c>
      <c r="AS1001" s="300" t="str">
        <f>_xlfn.IFNA(VLOOKUP($AI1001,Programma!$F$3:$P$1107,11,0),"")</f>
        <v>5w</v>
      </c>
      <c r="AT1001" s="300" t="str">
        <f>_xlfn.IFNA(VLOOKUP($AI1001,Programma!$F$3:$Q$1107,12,0),"")</f>
        <v>1w</v>
      </c>
      <c r="AU1001" s="300" t="str">
        <f>_xlfn.IFNA(VLOOKUP($AI1001,Programma!$F$3:$R$1107,13,0),"")</f>
        <v>1w</v>
      </c>
      <c r="AV1001" s="300" t="str">
        <f>_xlfn.IFNA(VLOOKUP($AI1001,Programma!$F$3:$S$1107,14,0),"")</f>
        <v>1m</v>
      </c>
      <c r="AW1001" s="300" t="str">
        <f>_xlfn.IFNA(VLOOKUP($AI1001,Programma!$F$3:$T$1107,15,0),"")</f>
        <v>2j</v>
      </c>
      <c r="AX1001" s="300" t="str">
        <f>_xlfn.IFNA(VLOOKUP($AI1001,Programma!$F$3:$U$1107,16,0),"")</f>
        <v>1j</v>
      </c>
      <c r="AY1001" s="300" t="str">
        <f>_xlfn.IFNA(VLOOKUP($AI1001,Programma!$F$3:$V$1107,17,0),"")</f>
        <v>_</v>
      </c>
      <c r="AZ1001" s="300" t="str">
        <f>_xlfn.IFNA(VLOOKUP($AI1001,Programma!$F$3:$W$1107,18,0),"")</f>
        <v>_</v>
      </c>
      <c r="BA1001" s="300" t="str">
        <f>_xlfn.IFNA(VLOOKUP($AI1001,Programma!$F$3:$X$1107,19,0),"")</f>
        <v>_</v>
      </c>
      <c r="BB1001" s="300" t="str">
        <f>_xlfn.IFNA(VLOOKUP($AI1001,Programma!$F$3:$Y$1107,20,0),"")</f>
        <v>_</v>
      </c>
      <c r="BC1001" s="257"/>
      <c r="BD1001" s="256" t="str">
        <f>IF(Ruimtestaat[[#This Row],[Frequentie weekend]]="","",_xlfn.CONCAT(Ruimtestaat[[#This Row],[Ruimte code]],"-",Ruimtestaat[[#This Row],[Frequentie weekend]]," ",Ruimtestaat[[#This Row],[Vloer code]]))</f>
        <v/>
      </c>
      <c r="BE1001" s="300" t="str">
        <f>_xlfn.IFNA(VLOOKUP($BD1001,Programma!$F$3:$G$1107,2,0),"")</f>
        <v/>
      </c>
      <c r="BF1001" s="300" t="str">
        <f>_xlfn.IFNA(VLOOKUP($BD1001,Programma!$F$3:$H$1107,3,0),"")</f>
        <v/>
      </c>
      <c r="BG1001" s="300" t="str">
        <f>_xlfn.IFNA(VLOOKUP($BD1001,Programma!$F$3:$I$1107,4,0),"")</f>
        <v/>
      </c>
      <c r="BH1001" s="300" t="str">
        <f>_xlfn.IFNA(VLOOKUP($BD1001,Programma!$F$3:$J$1107,5,0),"")</f>
        <v/>
      </c>
      <c r="BI1001" s="300" t="str">
        <f>_xlfn.IFNA(VLOOKUP($BD1001,Programma!$F$3:$K$1107,6,0),"")</f>
        <v/>
      </c>
      <c r="BJ1001" s="300" t="str">
        <f>_xlfn.IFNA(VLOOKUP($BD1001,Programma!$F$3:$L$1107,7,0),"")</f>
        <v/>
      </c>
      <c r="BK1001" s="300" t="str">
        <f>_xlfn.IFNA(VLOOKUP($BD1001,Programma!$F$3:$M$1107,8,0),"")</f>
        <v/>
      </c>
      <c r="BL1001" s="300" t="str">
        <f>_xlfn.IFNA(VLOOKUP($BD1001,Programma!$F$3:$N$1107,9,0),"")</f>
        <v/>
      </c>
      <c r="BM1001" s="300" t="str">
        <f>_xlfn.IFNA(VLOOKUP($BD1001,Programma!$F$3:$O$1107,10,0),"")</f>
        <v/>
      </c>
      <c r="BN1001" s="300" t="str">
        <f>_xlfn.IFNA(VLOOKUP($BD1001,Programma!$F$3:$P$1107,11,0),"")</f>
        <v/>
      </c>
      <c r="BO1001" s="300" t="str">
        <f>_xlfn.IFNA(VLOOKUP($BD1001,Programma!$F$3:$Q$1107,12,0),"")</f>
        <v/>
      </c>
      <c r="BP1001" s="300" t="str">
        <f>_xlfn.IFNA(VLOOKUP($BD1001,Programma!$F$3:$R$1107,13,0),"")</f>
        <v/>
      </c>
      <c r="BQ1001" s="300" t="str">
        <f>_xlfn.IFNA(VLOOKUP($BD1001,Programma!$F$3:$S$1107,14,0),"")</f>
        <v/>
      </c>
      <c r="BR1001" s="300" t="str">
        <f>_xlfn.IFNA(VLOOKUP($BD1001,Programma!$F$3:$T$1107,15,0),"")</f>
        <v/>
      </c>
      <c r="BS1001" s="300" t="str">
        <f>_xlfn.IFNA(VLOOKUP($BD1001,Programma!$F$3:$U$1107,16,0),"")</f>
        <v/>
      </c>
      <c r="BT1001" s="300" t="str">
        <f>_xlfn.IFNA(VLOOKUP($BD1001,Programma!$F$3:$V$1107,17,0),"")</f>
        <v/>
      </c>
      <c r="BU1001" s="300" t="str">
        <f>_xlfn.IFNA(VLOOKUP($BD1001,Programma!$F$3:$W$1107,18,0),"")</f>
        <v/>
      </c>
      <c r="BV1001" s="300" t="str">
        <f>_xlfn.IFNA(VLOOKUP($BD1001,Programma!$F$3:$X$1107,19,0),"")</f>
        <v/>
      </c>
      <c r="BW1001" s="300" t="str">
        <f>_xlfn.IFNA(VLOOKUP($BD1001,Programma!$F$3:$Y$1107,20,0),"")</f>
        <v/>
      </c>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c r="GK1001" s="4"/>
      <c r="GL1001" s="4"/>
      <c r="GM1001" s="4"/>
      <c r="GN1001" s="4"/>
      <c r="GO1001" s="4"/>
      <c r="GP1001" s="4"/>
      <c r="GQ1001" s="4"/>
      <c r="GR1001" s="4"/>
      <c r="GS1001" s="4"/>
      <c r="GT1001" s="4"/>
      <c r="GU1001" s="4"/>
      <c r="GV1001" s="4"/>
      <c r="GW1001" s="4"/>
      <c r="GX1001" s="4"/>
      <c r="GY1001" s="4"/>
      <c r="GZ1001" s="4"/>
      <c r="HA1001" s="4"/>
      <c r="HB1001" s="4"/>
      <c r="HC1001" s="4"/>
      <c r="HD1001" s="4"/>
      <c r="HE1001" s="4"/>
      <c r="HF1001" s="4"/>
      <c r="HG1001" s="4"/>
      <c r="HH1001" s="4"/>
      <c r="HI1001" s="4"/>
      <c r="HJ1001" s="4"/>
      <c r="HK1001" s="4"/>
      <c r="HL1001" s="4"/>
    </row>
    <row r="1002" spans="1:220" ht="15" customHeight="1">
      <c r="A1002" s="21">
        <v>10</v>
      </c>
      <c r="B1002" s="157" t="str">
        <f>VLOOKUP(Ruimtestaat[[#This Row],[Code]],Locaties[[Code]:[Locatie]],2,FALSE)</f>
        <v>Veurs Voorburg vmbo</v>
      </c>
      <c r="C1002" s="157" t="str">
        <f>VLOOKUP(Ruimtestaat[[#This Row],[Code]],Locaties[[#All],[Code]:[Adres]],4,FALSE)</f>
        <v>Delflandlaan 4</v>
      </c>
      <c r="D1002" s="157" t="str">
        <f>VLOOKUP(Ruimtestaat[[#This Row],[Code]],Locaties[[#All],[Code]:[Postcode]],5,FALSE)</f>
        <v>2273 CS</v>
      </c>
      <c r="E1002" s="157" t="str">
        <f>VLOOKUP(Ruimtestaat[[#This Row],[Code]],Locaties[#All],6,FALSE)</f>
        <v>Voorburg</v>
      </c>
      <c r="F1002" s="62"/>
      <c r="G1002" s="21" t="s">
        <v>1706</v>
      </c>
      <c r="H1002" s="21" t="s">
        <v>1746</v>
      </c>
      <c r="I1002" s="62" t="s">
        <v>1988</v>
      </c>
      <c r="J1002" s="21">
        <v>1</v>
      </c>
      <c r="K1002" s="62" t="str">
        <f>VLOOKUP(Ruimtestaat[[#This Row],[Ruimte code]],Ruimtegroepen[[#All],[Code]:[Ruimte omschrijving]],2,FALSE)</f>
        <v>Magazijnen/bergingen</v>
      </c>
      <c r="L1002" s="33" t="s">
        <v>101</v>
      </c>
      <c r="M1002" s="367" t="s">
        <v>2506</v>
      </c>
      <c r="N1002" s="140">
        <v>7.7</v>
      </c>
      <c r="O1002" s="140"/>
      <c r="P1002" s="125" t="str">
        <f>VLOOKUP(Ruimtestaat[[#This Row],[Ruimte code]],Ruimtegroepen[],4,FALSE)</f>
        <v>Ve</v>
      </c>
      <c r="R1002" s="33">
        <v>40</v>
      </c>
      <c r="S1002" s="33" t="s">
        <v>16</v>
      </c>
      <c r="T1002" s="33">
        <f>IF(R1002&gt;0,IF(RIGHT(Ruimtestaat[[#This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002" s="33">
        <f>IF(T1002&gt;0,VLOOKUP($J1002,Ruimtegroepen[],3,FALSE)*VLOOKUP($L1002,Vloersoorten[],3,FALSE)*VLOOKUP($S1002,Frequenties[],3,FALSE)*VLOOKUP($A1002,Locaties[],3,FALSE),0)</f>
        <v>0</v>
      </c>
      <c r="V1002" s="33">
        <f>Ruimtestaat[[#This Row],[Uitvoeringen werkdagen]]*Ruimtestaat[[#This Row],[Oppervlak (netto)]]</f>
        <v>92.4</v>
      </c>
      <c r="W1002" s="154">
        <f>IF(U1002&gt;0,Ruimtestaat[[#This Row],[Prest. (m2 /jaar) werkdagen]]/Ruimtestaat[[#This Row],[Norm (m2/uur) werkdagen]],0)</f>
        <v>0</v>
      </c>
      <c r="X1002" s="155">
        <f>Ruimtestaat[[#This Row],[uren / jaar werkdagen]]*Tariefsopbouw!$E$35</f>
        <v>0</v>
      </c>
      <c r="Y1002" s="33"/>
      <c r="Z1002" s="33">
        <f>IF(Ruimtestaat[[#This Row],[Frequentie weekend]]&gt;0,VALUE(LEFT(Y1002,1))*R1002,0)</f>
        <v>0</v>
      </c>
      <c r="AA1002" s="97">
        <f>IF($Z1002&gt;0,VLOOKUP($J1002,Ruimtegroepen[],3,FALSE)*VLOOKUP($L1002,Vloersoorten[],3,FALSE)*VLOOKUP($Y1002,Frequenties[],3,FALSE)*VLOOKUP(Ruimtestaat[[#This Row],[Code]],Locaties[],3,FALSE),0)</f>
        <v>0</v>
      </c>
      <c r="AB1002" s="97">
        <f>Ruimtestaat[[#This Row],[Uitvoeringen weekend]]*Ruimtestaat[[#This Row],[Oppervlak (netto)]]</f>
        <v>0</v>
      </c>
      <c r="AC1002" s="97">
        <f>IF(AA1002&gt;0,Ruimtestaat[[#This Row],[Prest. (m2 /jaar) weekend]]/Ruimtestaat[[#This Row],[Norm (m2/uur) weekend]],0)</f>
        <v>0</v>
      </c>
      <c r="AD1002" s="155">
        <f>Ruimtestaat[[#This Row],[uren / jaar weekend]]*Tariefsopbouw!$D$40</f>
        <v>0</v>
      </c>
      <c r="AE1002" s="154">
        <f>Ruimtestaat[[#This Row],[Prest. (m2 /jaar) weekend]]+Ruimtestaat[[#This Row],[Prest. (m2 /jaar) werkdagen]]</f>
        <v>92.4</v>
      </c>
      <c r="AF1002" s="154">
        <f>Ruimtestaat[[#This Row],[uren / jaar weekend]]+Ruimtestaat[[#This Row],[uren / jaar werkdagen]]</f>
        <v>0</v>
      </c>
      <c r="AG1002" s="69">
        <f>Ruimtestaat[[#This Row],[kosten / jaar weekend]]+Ruimtestaat[[#This Row],[kosten / jaar werkdagen]]</f>
        <v>0</v>
      </c>
      <c r="AH1002" s="69"/>
      <c r="AI1002" s="256" t="str">
        <f>IF(Ruimtestaat[[#This Row],[Frequentie werkdagen]]="","",_xlfn.CONCAT(Ruimtestaat[[#This Row],[Ruimte code]],"-",Ruimtestaat[[#This Row],[Frequentie werkdagen]]," ",Ruimtestaat[[#This Row],[Vloer code]]))</f>
        <v>1-1m L</v>
      </c>
      <c r="AJ1002" s="300" t="str">
        <f>_xlfn.IFNA(VLOOKUP($AI1002,Programma!$F$3:$G$1107,2,0),"")</f>
        <v>_</v>
      </c>
      <c r="AK1002" s="300" t="str">
        <f>_xlfn.IFNA(VLOOKUP($AI1002,Programma!$F$3:$H$1107,3,0),"")</f>
        <v>_</v>
      </c>
      <c r="AL1002" s="300" t="str">
        <f>_xlfn.IFNA(VLOOKUP($AI1002,Programma!$F$3:$I$1107,4,0),"")</f>
        <v>1m</v>
      </c>
      <c r="AM1002" s="300" t="str">
        <f>_xlfn.IFNA(VLOOKUP($AI1002,Programma!$F$3:$J$1107,5,0),"")</f>
        <v>1m</v>
      </c>
      <c r="AN1002" s="300" t="str">
        <f>_xlfn.IFNA(VLOOKUP($AI1002,Programma!$F$3:$K$1107,6,0),"")</f>
        <v>_</v>
      </c>
      <c r="AO1002" s="300" t="str">
        <f>_xlfn.IFNA(VLOOKUP($AI1002,Programma!$F$3:$L$1107,7,0),"")</f>
        <v>_</v>
      </c>
      <c r="AP1002" s="300" t="str">
        <f>_xlfn.IFNA(VLOOKUP($AI1002,Programma!$F$3:$M$1107,8,0),"")</f>
        <v>_</v>
      </c>
      <c r="AQ1002" s="300" t="str">
        <f>_xlfn.IFNA(VLOOKUP($AI1002,Programma!$F$3:$N$1107,9,0),"")</f>
        <v>_</v>
      </c>
      <c r="AR1002" s="300" t="str">
        <f>_xlfn.IFNA(VLOOKUP($AI1002,Programma!$F$3:$O$1107,10,0),"")</f>
        <v>_</v>
      </c>
      <c r="AS1002" s="300" t="str">
        <f>_xlfn.IFNA(VLOOKUP($AI1002,Programma!$F$3:$P$1107,11,0),"")</f>
        <v>_</v>
      </c>
      <c r="AT1002" s="300" t="str">
        <f>_xlfn.IFNA(VLOOKUP($AI1002,Programma!$F$3:$Q$1107,12,0),"")</f>
        <v>_</v>
      </c>
      <c r="AU1002" s="300" t="str">
        <f>_xlfn.IFNA(VLOOKUP($AI1002,Programma!$F$3:$R$1107,13,0),"")</f>
        <v>_</v>
      </c>
      <c r="AV1002" s="300" t="str">
        <f>_xlfn.IFNA(VLOOKUP($AI1002,Programma!$F$3:$S$1107,14,0),"")</f>
        <v>1m</v>
      </c>
      <c r="AW1002" s="300" t="str">
        <f>_xlfn.IFNA(VLOOKUP($AI1002,Programma!$F$3:$T$1107,15,0),"")</f>
        <v>4j</v>
      </c>
      <c r="AX1002" s="300" t="str">
        <f>_xlfn.IFNA(VLOOKUP($AI1002,Programma!$F$3:$U$1107,16,0),"")</f>
        <v>4j</v>
      </c>
      <c r="AY1002" s="300" t="str">
        <f>_xlfn.IFNA(VLOOKUP($AI1002,Programma!$F$3:$V$1107,17,0),"")</f>
        <v>_</v>
      </c>
      <c r="AZ1002" s="300" t="str">
        <f>_xlfn.IFNA(VLOOKUP($AI1002,Programma!$F$3:$W$1107,18,0),"")</f>
        <v>_</v>
      </c>
      <c r="BA1002" s="300" t="str">
        <f>_xlfn.IFNA(VLOOKUP($AI1002,Programma!$F$3:$X$1107,19,0),"")</f>
        <v>_</v>
      </c>
      <c r="BB1002" s="300" t="str">
        <f>_xlfn.IFNA(VLOOKUP($AI1002,Programma!$F$3:$Y$1107,20,0),"")</f>
        <v>_</v>
      </c>
      <c r="BC1002" s="257"/>
      <c r="BD1002" s="256" t="str">
        <f>IF(Ruimtestaat[[#This Row],[Frequentie weekend]]="","",_xlfn.CONCAT(Ruimtestaat[[#This Row],[Ruimte code]],"-",Ruimtestaat[[#This Row],[Frequentie weekend]]," ",Ruimtestaat[[#This Row],[Vloer code]]))</f>
        <v/>
      </c>
      <c r="BE1002" s="300" t="str">
        <f>_xlfn.IFNA(VLOOKUP($BD1002,Programma!$F$3:$G$1107,2,0),"")</f>
        <v/>
      </c>
      <c r="BF1002" s="300" t="str">
        <f>_xlfn.IFNA(VLOOKUP($BD1002,Programma!$F$3:$H$1107,3,0),"")</f>
        <v/>
      </c>
      <c r="BG1002" s="300" t="str">
        <f>_xlfn.IFNA(VLOOKUP($BD1002,Programma!$F$3:$I$1107,4,0),"")</f>
        <v/>
      </c>
      <c r="BH1002" s="300" t="str">
        <f>_xlfn.IFNA(VLOOKUP($BD1002,Programma!$F$3:$J$1107,5,0),"")</f>
        <v/>
      </c>
      <c r="BI1002" s="300" t="str">
        <f>_xlfn.IFNA(VLOOKUP($BD1002,Programma!$F$3:$K$1107,6,0),"")</f>
        <v/>
      </c>
      <c r="BJ1002" s="300" t="str">
        <f>_xlfn.IFNA(VLOOKUP($BD1002,Programma!$F$3:$L$1107,7,0),"")</f>
        <v/>
      </c>
      <c r="BK1002" s="300" t="str">
        <f>_xlfn.IFNA(VLOOKUP($BD1002,Programma!$F$3:$M$1107,8,0),"")</f>
        <v/>
      </c>
      <c r="BL1002" s="300" t="str">
        <f>_xlfn.IFNA(VLOOKUP($BD1002,Programma!$F$3:$N$1107,9,0),"")</f>
        <v/>
      </c>
      <c r="BM1002" s="300" t="str">
        <f>_xlfn.IFNA(VLOOKUP($BD1002,Programma!$F$3:$O$1107,10,0),"")</f>
        <v/>
      </c>
      <c r="BN1002" s="300" t="str">
        <f>_xlfn.IFNA(VLOOKUP($BD1002,Programma!$F$3:$P$1107,11,0),"")</f>
        <v/>
      </c>
      <c r="BO1002" s="300" t="str">
        <f>_xlfn.IFNA(VLOOKUP($BD1002,Programma!$F$3:$Q$1107,12,0),"")</f>
        <v/>
      </c>
      <c r="BP1002" s="300" t="str">
        <f>_xlfn.IFNA(VLOOKUP($BD1002,Programma!$F$3:$R$1107,13,0),"")</f>
        <v/>
      </c>
      <c r="BQ1002" s="300" t="str">
        <f>_xlfn.IFNA(VLOOKUP($BD1002,Programma!$F$3:$S$1107,14,0),"")</f>
        <v/>
      </c>
      <c r="BR1002" s="300" t="str">
        <f>_xlfn.IFNA(VLOOKUP($BD1002,Programma!$F$3:$T$1107,15,0),"")</f>
        <v/>
      </c>
      <c r="BS1002" s="300" t="str">
        <f>_xlfn.IFNA(VLOOKUP($BD1002,Programma!$F$3:$U$1107,16,0),"")</f>
        <v/>
      </c>
      <c r="BT1002" s="300" t="str">
        <f>_xlfn.IFNA(VLOOKUP($BD1002,Programma!$F$3:$V$1107,17,0),"")</f>
        <v/>
      </c>
      <c r="BU1002" s="300" t="str">
        <f>_xlfn.IFNA(VLOOKUP($BD1002,Programma!$F$3:$W$1107,18,0),"")</f>
        <v/>
      </c>
      <c r="BV1002" s="300" t="str">
        <f>_xlfn.IFNA(VLOOKUP($BD1002,Programma!$F$3:$X$1107,19,0),"")</f>
        <v/>
      </c>
      <c r="BW1002" s="300" t="str">
        <f>_xlfn.IFNA(VLOOKUP($BD1002,Programma!$F$3:$Y$1107,20,0),"")</f>
        <v/>
      </c>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c r="GK1002" s="4"/>
      <c r="GL1002" s="4"/>
      <c r="GM1002" s="4"/>
      <c r="GN1002" s="4"/>
      <c r="GO1002" s="4"/>
      <c r="GP1002" s="4"/>
      <c r="GQ1002" s="4"/>
      <c r="GR1002" s="4"/>
      <c r="GS1002" s="4"/>
      <c r="GT1002" s="4"/>
      <c r="GU1002" s="4"/>
      <c r="GV1002" s="4"/>
      <c r="GW1002" s="4"/>
      <c r="GX1002" s="4"/>
      <c r="GY1002" s="4"/>
      <c r="GZ1002" s="4"/>
      <c r="HA1002" s="4"/>
      <c r="HB1002" s="4"/>
      <c r="HC1002" s="4"/>
      <c r="HD1002" s="4"/>
      <c r="HE1002" s="4"/>
      <c r="HF1002" s="4"/>
      <c r="HG1002" s="4"/>
      <c r="HH1002" s="4"/>
      <c r="HI1002" s="4"/>
      <c r="HJ1002" s="4"/>
      <c r="HK1002" s="4"/>
      <c r="HL1002" s="4"/>
    </row>
    <row r="1003" spans="1:220" ht="15" customHeight="1">
      <c r="A1003" s="21">
        <v>10</v>
      </c>
      <c r="B1003" s="157" t="str">
        <f>VLOOKUP(Ruimtestaat[[#This Row],[Code]],Locaties[[Code]:[Locatie]],2,FALSE)</f>
        <v>Veurs Voorburg vmbo</v>
      </c>
      <c r="C1003" s="157" t="str">
        <f>VLOOKUP(Ruimtestaat[[#This Row],[Code]],Locaties[[#All],[Code]:[Adres]],4,FALSE)</f>
        <v>Delflandlaan 4</v>
      </c>
      <c r="D1003" s="157" t="str">
        <f>VLOOKUP(Ruimtestaat[[#This Row],[Code]],Locaties[[#All],[Code]:[Postcode]],5,FALSE)</f>
        <v>2273 CS</v>
      </c>
      <c r="E1003" s="157" t="str">
        <f>VLOOKUP(Ruimtestaat[[#This Row],[Code]],Locaties[#All],6,FALSE)</f>
        <v>Voorburg</v>
      </c>
      <c r="F1003" s="62"/>
      <c r="G1003" s="21" t="s">
        <v>1706</v>
      </c>
      <c r="H1003" s="21" t="s">
        <v>1969</v>
      </c>
      <c r="I1003" s="62" t="s">
        <v>2488</v>
      </c>
      <c r="J1003" s="21">
        <v>14</v>
      </c>
      <c r="K1003" s="62" t="str">
        <f>VLOOKUP(Ruimtestaat[[#This Row],[Ruimte code]],Ruimtegroepen[[#All],[Code]:[Ruimte omschrijving]],2,FALSE)</f>
        <v>Praktijklokalen binas/zorg</v>
      </c>
      <c r="L1003" s="33" t="s">
        <v>101</v>
      </c>
      <c r="M1003" s="367" t="s">
        <v>2506</v>
      </c>
      <c r="N1003" s="140">
        <v>65.400000000000006</v>
      </c>
      <c r="O1003" s="140"/>
      <c r="P1003" s="125" t="str">
        <f>VLOOKUP(Ruimtestaat[[#This Row],[Ruimte code]],Ruimtegroepen[],4,FALSE)</f>
        <v>Le</v>
      </c>
      <c r="R1003" s="33">
        <v>40</v>
      </c>
      <c r="S1003" s="33" t="s">
        <v>2</v>
      </c>
      <c r="T1003" s="33">
        <f>IF(R1003&gt;0,IF(RIGHT(Ruimtestaat[[#This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3" s="33">
        <f>IF(T1003&gt;0,VLOOKUP($J1003,Ruimtegroepen[],3,FALSE)*VLOOKUP($L1003,Vloersoorten[],3,FALSE)*VLOOKUP($S1003,Frequenties[],3,FALSE)*VLOOKUP($A1003,Locaties[],3,FALSE),0)</f>
        <v>0</v>
      </c>
      <c r="V1003" s="33">
        <f>Ruimtestaat[[#This Row],[Uitvoeringen werkdagen]]*Ruimtestaat[[#This Row],[Oppervlak (netto)]]</f>
        <v>13080.000000000002</v>
      </c>
      <c r="W1003" s="154">
        <f>IF(U1003&gt;0,Ruimtestaat[[#This Row],[Prest. (m2 /jaar) werkdagen]]/Ruimtestaat[[#This Row],[Norm (m2/uur) werkdagen]],0)</f>
        <v>0</v>
      </c>
      <c r="X1003" s="155">
        <f>Ruimtestaat[[#This Row],[uren / jaar werkdagen]]*Tariefsopbouw!$E$35</f>
        <v>0</v>
      </c>
      <c r="Y1003" s="33"/>
      <c r="Z1003" s="33">
        <f>IF(Ruimtestaat[[#This Row],[Frequentie weekend]]&gt;0,VALUE(LEFT(Y1003,1))*R1003,0)</f>
        <v>0</v>
      </c>
      <c r="AA1003" s="97">
        <f>IF($Z1003&gt;0,VLOOKUP($J1003,Ruimtegroepen[],3,FALSE)*VLOOKUP($L1003,Vloersoorten[],3,FALSE)*VLOOKUP($Y1003,Frequenties[],3,FALSE)*VLOOKUP(Ruimtestaat[[#This Row],[Code]],Locaties[],3,FALSE),0)</f>
        <v>0</v>
      </c>
      <c r="AB1003" s="97">
        <f>Ruimtestaat[[#This Row],[Uitvoeringen weekend]]*Ruimtestaat[[#This Row],[Oppervlak (netto)]]</f>
        <v>0</v>
      </c>
      <c r="AC1003" s="97">
        <f>IF(AA1003&gt;0,Ruimtestaat[[#This Row],[Prest. (m2 /jaar) weekend]]/Ruimtestaat[[#This Row],[Norm (m2/uur) weekend]],0)</f>
        <v>0</v>
      </c>
      <c r="AD1003" s="155">
        <f>Ruimtestaat[[#This Row],[uren / jaar weekend]]*Tariefsopbouw!$D$40</f>
        <v>0</v>
      </c>
      <c r="AE1003" s="154">
        <f>Ruimtestaat[[#This Row],[Prest. (m2 /jaar) weekend]]+Ruimtestaat[[#This Row],[Prest. (m2 /jaar) werkdagen]]</f>
        <v>13080.000000000002</v>
      </c>
      <c r="AF1003" s="154">
        <f>Ruimtestaat[[#This Row],[uren / jaar weekend]]+Ruimtestaat[[#This Row],[uren / jaar werkdagen]]</f>
        <v>0</v>
      </c>
      <c r="AG1003" s="69">
        <f>Ruimtestaat[[#This Row],[kosten / jaar weekend]]+Ruimtestaat[[#This Row],[kosten / jaar werkdagen]]</f>
        <v>0</v>
      </c>
      <c r="AH1003" s="69"/>
      <c r="AI1003" s="256" t="str">
        <f>IF(Ruimtestaat[[#This Row],[Frequentie werkdagen]]="","",_xlfn.CONCAT(Ruimtestaat[[#This Row],[Ruimte code]],"-",Ruimtestaat[[#This Row],[Frequentie werkdagen]]," ",Ruimtestaat[[#This Row],[Vloer code]]))</f>
        <v>14-5w L</v>
      </c>
      <c r="AJ1003" s="300" t="str">
        <f>_xlfn.IFNA(VLOOKUP($AI1003,Programma!$F$3:$G$1107,2,0),"")</f>
        <v>_</v>
      </c>
      <c r="AK1003" s="300" t="str">
        <f>_xlfn.IFNA(VLOOKUP($AI1003,Programma!$F$3:$H$1107,3,0),"")</f>
        <v>_</v>
      </c>
      <c r="AL1003" s="300" t="str">
        <f>_xlfn.IFNA(VLOOKUP($AI1003,Programma!$F$3:$I$1107,4,0),"")</f>
        <v>_</v>
      </c>
      <c r="AM1003" s="300" t="str">
        <f>_xlfn.IFNA(VLOOKUP($AI1003,Programma!$F$3:$J$1107,5,0),"")</f>
        <v>5w</v>
      </c>
      <c r="AN1003" s="300" t="str">
        <f>_xlfn.IFNA(VLOOKUP($AI1003,Programma!$F$3:$K$1107,6,0),"")</f>
        <v>_</v>
      </c>
      <c r="AO1003" s="300" t="str">
        <f>_xlfn.IFNA(VLOOKUP($AI1003,Programma!$F$3:$L$1107,7,0),"")</f>
        <v>_</v>
      </c>
      <c r="AP1003" s="300" t="str">
        <f>_xlfn.IFNA(VLOOKUP($AI1003,Programma!$F$3:$M$1107,8,0),"")</f>
        <v>_</v>
      </c>
      <c r="AQ1003" s="300" t="str">
        <f>_xlfn.IFNA(VLOOKUP($AI1003,Programma!$F$3:$N$1107,9,0),"")</f>
        <v>_</v>
      </c>
      <c r="AR1003" s="300" t="str">
        <f>_xlfn.IFNA(VLOOKUP($AI1003,Programma!$F$3:$O$1107,10,0),"")</f>
        <v>5w</v>
      </c>
      <c r="AS1003" s="300" t="str">
        <f>_xlfn.IFNA(VLOOKUP($AI1003,Programma!$F$3:$P$1107,11,0),"")</f>
        <v>5w</v>
      </c>
      <c r="AT1003" s="300" t="str">
        <f>_xlfn.IFNA(VLOOKUP($AI1003,Programma!$F$3:$Q$1107,12,0),"")</f>
        <v>1w</v>
      </c>
      <c r="AU1003" s="300" t="str">
        <f>_xlfn.IFNA(VLOOKUP($AI1003,Programma!$F$3:$R$1107,13,0),"")</f>
        <v>1w</v>
      </c>
      <c r="AV1003" s="300" t="str">
        <f>_xlfn.IFNA(VLOOKUP($AI1003,Programma!$F$3:$S$1107,14,0),"")</f>
        <v>1m</v>
      </c>
      <c r="AW1003" s="300" t="str">
        <f>_xlfn.IFNA(VLOOKUP($AI1003,Programma!$F$3:$T$1107,15,0),"")</f>
        <v>2j</v>
      </c>
      <c r="AX1003" s="300" t="str">
        <f>_xlfn.IFNA(VLOOKUP($AI1003,Programma!$F$3:$U$1107,16,0),"")</f>
        <v>1j</v>
      </c>
      <c r="AY1003" s="300" t="str">
        <f>_xlfn.IFNA(VLOOKUP($AI1003,Programma!$F$3:$V$1107,17,0),"")</f>
        <v>_</v>
      </c>
      <c r="AZ1003" s="300" t="str">
        <f>_xlfn.IFNA(VLOOKUP($AI1003,Programma!$F$3:$W$1107,18,0),"")</f>
        <v>_</v>
      </c>
      <c r="BA1003" s="300" t="str">
        <f>_xlfn.IFNA(VLOOKUP($AI1003,Programma!$F$3:$X$1107,19,0),"")</f>
        <v>_</v>
      </c>
      <c r="BB1003" s="300" t="str">
        <f>_xlfn.IFNA(VLOOKUP($AI1003,Programma!$F$3:$Y$1107,20,0),"")</f>
        <v>_</v>
      </c>
      <c r="BC1003" s="257"/>
      <c r="BD1003" s="256" t="str">
        <f>IF(Ruimtestaat[[#This Row],[Frequentie weekend]]="","",_xlfn.CONCAT(Ruimtestaat[[#This Row],[Ruimte code]],"-",Ruimtestaat[[#This Row],[Frequentie weekend]]," ",Ruimtestaat[[#This Row],[Vloer code]]))</f>
        <v/>
      </c>
      <c r="BE1003" s="300" t="str">
        <f>_xlfn.IFNA(VLOOKUP($BD1003,Programma!$F$3:$G$1107,2,0),"")</f>
        <v/>
      </c>
      <c r="BF1003" s="300" t="str">
        <f>_xlfn.IFNA(VLOOKUP($BD1003,Programma!$F$3:$H$1107,3,0),"")</f>
        <v/>
      </c>
      <c r="BG1003" s="300" t="str">
        <f>_xlfn.IFNA(VLOOKUP($BD1003,Programma!$F$3:$I$1107,4,0),"")</f>
        <v/>
      </c>
      <c r="BH1003" s="300" t="str">
        <f>_xlfn.IFNA(VLOOKUP($BD1003,Programma!$F$3:$J$1107,5,0),"")</f>
        <v/>
      </c>
      <c r="BI1003" s="300" t="str">
        <f>_xlfn.IFNA(VLOOKUP($BD1003,Programma!$F$3:$K$1107,6,0),"")</f>
        <v/>
      </c>
      <c r="BJ1003" s="300" t="str">
        <f>_xlfn.IFNA(VLOOKUP($BD1003,Programma!$F$3:$L$1107,7,0),"")</f>
        <v/>
      </c>
      <c r="BK1003" s="300" t="str">
        <f>_xlfn.IFNA(VLOOKUP($BD1003,Programma!$F$3:$M$1107,8,0),"")</f>
        <v/>
      </c>
      <c r="BL1003" s="300" t="str">
        <f>_xlfn.IFNA(VLOOKUP($BD1003,Programma!$F$3:$N$1107,9,0),"")</f>
        <v/>
      </c>
      <c r="BM1003" s="300" t="str">
        <f>_xlfn.IFNA(VLOOKUP($BD1003,Programma!$F$3:$O$1107,10,0),"")</f>
        <v/>
      </c>
      <c r="BN1003" s="300" t="str">
        <f>_xlfn.IFNA(VLOOKUP($BD1003,Programma!$F$3:$P$1107,11,0),"")</f>
        <v/>
      </c>
      <c r="BO1003" s="300" t="str">
        <f>_xlfn.IFNA(VLOOKUP($BD1003,Programma!$F$3:$Q$1107,12,0),"")</f>
        <v/>
      </c>
      <c r="BP1003" s="300" t="str">
        <f>_xlfn.IFNA(VLOOKUP($BD1003,Programma!$F$3:$R$1107,13,0),"")</f>
        <v/>
      </c>
      <c r="BQ1003" s="300" t="str">
        <f>_xlfn.IFNA(VLOOKUP($BD1003,Programma!$F$3:$S$1107,14,0),"")</f>
        <v/>
      </c>
      <c r="BR1003" s="300" t="str">
        <f>_xlfn.IFNA(VLOOKUP($BD1003,Programma!$F$3:$T$1107,15,0),"")</f>
        <v/>
      </c>
      <c r="BS1003" s="300" t="str">
        <f>_xlfn.IFNA(VLOOKUP($BD1003,Programma!$F$3:$U$1107,16,0),"")</f>
        <v/>
      </c>
      <c r="BT1003" s="300" t="str">
        <f>_xlfn.IFNA(VLOOKUP($BD1003,Programma!$F$3:$V$1107,17,0),"")</f>
        <v/>
      </c>
      <c r="BU1003" s="300" t="str">
        <f>_xlfn.IFNA(VLOOKUP($BD1003,Programma!$F$3:$W$1107,18,0),"")</f>
        <v/>
      </c>
      <c r="BV1003" s="300" t="str">
        <f>_xlfn.IFNA(VLOOKUP($BD1003,Programma!$F$3:$X$1107,19,0),"")</f>
        <v/>
      </c>
      <c r="BW1003" s="300" t="str">
        <f>_xlfn.IFNA(VLOOKUP($BD1003,Programma!$F$3:$Y$1107,20,0),"")</f>
        <v/>
      </c>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c r="GK1003" s="4"/>
      <c r="GL1003" s="4"/>
      <c r="GM1003" s="4"/>
      <c r="GN1003" s="4"/>
      <c r="GO1003" s="4"/>
      <c r="GP1003" s="4"/>
      <c r="GQ1003" s="4"/>
      <c r="GR1003" s="4"/>
      <c r="GS1003" s="4"/>
      <c r="GT1003" s="4"/>
      <c r="GU1003" s="4"/>
      <c r="GV1003" s="4"/>
      <c r="GW1003" s="4"/>
      <c r="GX1003" s="4"/>
      <c r="GY1003" s="4"/>
      <c r="GZ1003" s="4"/>
      <c r="HA1003" s="4"/>
      <c r="HB1003" s="4"/>
      <c r="HC1003" s="4"/>
      <c r="HD1003" s="4"/>
      <c r="HE1003" s="4"/>
      <c r="HF1003" s="4"/>
      <c r="HG1003" s="4"/>
      <c r="HH1003" s="4"/>
      <c r="HI1003" s="4"/>
      <c r="HJ1003" s="4"/>
      <c r="HK1003" s="4"/>
      <c r="HL1003" s="4"/>
    </row>
    <row r="1004" spans="1:220" ht="15" customHeight="1">
      <c r="A1004" s="21">
        <v>10</v>
      </c>
      <c r="B1004" s="157" t="str">
        <f>VLOOKUP(Ruimtestaat[[#This Row],[Code]],Locaties[[Code]:[Locatie]],2,FALSE)</f>
        <v>Veurs Voorburg vmbo</v>
      </c>
      <c r="C1004" s="157" t="str">
        <f>VLOOKUP(Ruimtestaat[[#This Row],[Code]],Locaties[[#All],[Code]:[Adres]],4,FALSE)</f>
        <v>Delflandlaan 4</v>
      </c>
      <c r="D1004" s="157" t="str">
        <f>VLOOKUP(Ruimtestaat[[#This Row],[Code]],Locaties[[#All],[Code]:[Postcode]],5,FALSE)</f>
        <v>2273 CS</v>
      </c>
      <c r="E1004" s="157" t="str">
        <f>VLOOKUP(Ruimtestaat[[#This Row],[Code]],Locaties[#All],6,FALSE)</f>
        <v>Voorburg</v>
      </c>
      <c r="F1004" s="62"/>
      <c r="G1004" s="21" t="s">
        <v>1706</v>
      </c>
      <c r="H1004" s="21" t="s">
        <v>1971</v>
      </c>
      <c r="I1004" s="62" t="s">
        <v>2489</v>
      </c>
      <c r="J1004" s="21">
        <v>15</v>
      </c>
      <c r="K1004" s="62" t="str">
        <f>VLOOKUP(Ruimtestaat[[#This Row],[Ruimte code]],Ruimtegroepen[[#All],[Code]:[Ruimte omschrijving]],2,FALSE)</f>
        <v>Keuken/pantry</v>
      </c>
      <c r="L1004" s="33" t="s">
        <v>101</v>
      </c>
      <c r="M1004" s="367" t="s">
        <v>2506</v>
      </c>
      <c r="N1004" s="140">
        <v>22.1</v>
      </c>
      <c r="O1004" s="140"/>
      <c r="P1004" s="125" t="str">
        <f>VLOOKUP(Ruimtestaat[[#This Row],[Ruimte code]],Ruimtegroepen[],4,FALSE)</f>
        <v>Ve</v>
      </c>
      <c r="R1004" s="33">
        <v>40</v>
      </c>
      <c r="S1004" s="33" t="s">
        <v>2</v>
      </c>
      <c r="T1004" s="33">
        <f>IF(R1004&gt;0,IF(RIGHT(Ruimtestaat[[#This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4" s="33">
        <f>IF(T1004&gt;0,VLOOKUP($J1004,Ruimtegroepen[],3,FALSE)*VLOOKUP($L1004,Vloersoorten[],3,FALSE)*VLOOKUP($S1004,Frequenties[],3,FALSE)*VLOOKUP($A1004,Locaties[],3,FALSE),0)</f>
        <v>0</v>
      </c>
      <c r="V1004" s="33">
        <f>Ruimtestaat[[#This Row],[Uitvoeringen werkdagen]]*Ruimtestaat[[#This Row],[Oppervlak (netto)]]</f>
        <v>4420</v>
      </c>
      <c r="W1004" s="154">
        <f>IF(U1004&gt;0,Ruimtestaat[[#This Row],[Prest. (m2 /jaar) werkdagen]]/Ruimtestaat[[#This Row],[Norm (m2/uur) werkdagen]],0)</f>
        <v>0</v>
      </c>
      <c r="X1004" s="155">
        <f>Ruimtestaat[[#This Row],[uren / jaar werkdagen]]*Tariefsopbouw!$E$35</f>
        <v>0</v>
      </c>
      <c r="Y1004" s="33"/>
      <c r="Z1004" s="33">
        <f>IF(Ruimtestaat[[#This Row],[Frequentie weekend]]&gt;0,VALUE(LEFT(Y1004,1))*R1004,0)</f>
        <v>0</v>
      </c>
      <c r="AA1004" s="97">
        <f>IF($Z1004&gt;0,VLOOKUP($J1004,Ruimtegroepen[],3,FALSE)*VLOOKUP($L1004,Vloersoorten[],3,FALSE)*VLOOKUP($Y1004,Frequenties[],3,FALSE)*VLOOKUP(Ruimtestaat[[#This Row],[Code]],Locaties[],3,FALSE),0)</f>
        <v>0</v>
      </c>
      <c r="AB1004" s="97">
        <f>Ruimtestaat[[#This Row],[Uitvoeringen weekend]]*Ruimtestaat[[#This Row],[Oppervlak (netto)]]</f>
        <v>0</v>
      </c>
      <c r="AC1004" s="97">
        <f>IF(AA1004&gt;0,Ruimtestaat[[#This Row],[Prest. (m2 /jaar) weekend]]/Ruimtestaat[[#This Row],[Norm (m2/uur) weekend]],0)</f>
        <v>0</v>
      </c>
      <c r="AD1004" s="155">
        <f>Ruimtestaat[[#This Row],[uren / jaar weekend]]*Tariefsopbouw!$D$40</f>
        <v>0</v>
      </c>
      <c r="AE1004" s="154">
        <f>Ruimtestaat[[#This Row],[Prest. (m2 /jaar) weekend]]+Ruimtestaat[[#This Row],[Prest. (m2 /jaar) werkdagen]]</f>
        <v>4420</v>
      </c>
      <c r="AF1004" s="154">
        <f>Ruimtestaat[[#This Row],[uren / jaar weekend]]+Ruimtestaat[[#This Row],[uren / jaar werkdagen]]</f>
        <v>0</v>
      </c>
      <c r="AG1004" s="69">
        <f>Ruimtestaat[[#This Row],[kosten / jaar weekend]]+Ruimtestaat[[#This Row],[kosten / jaar werkdagen]]</f>
        <v>0</v>
      </c>
      <c r="AH1004" s="69"/>
      <c r="AI1004" s="256" t="str">
        <f>IF(Ruimtestaat[[#This Row],[Frequentie werkdagen]]="","",_xlfn.CONCAT(Ruimtestaat[[#This Row],[Ruimte code]],"-",Ruimtestaat[[#This Row],[Frequentie werkdagen]]," ",Ruimtestaat[[#This Row],[Vloer code]]))</f>
        <v>15-5w L</v>
      </c>
      <c r="AJ1004" s="300" t="str">
        <f>_xlfn.IFNA(VLOOKUP($AI1004,Programma!$F$3:$G$1107,2,0),"")</f>
        <v>_</v>
      </c>
      <c r="AK1004" s="300" t="str">
        <f>_xlfn.IFNA(VLOOKUP($AI1004,Programma!$F$3:$H$1107,3,0),"")</f>
        <v>_</v>
      </c>
      <c r="AL1004" s="300" t="str">
        <f>_xlfn.IFNA(VLOOKUP($AI1004,Programma!$F$3:$I$1107,4,0),"")</f>
        <v>_</v>
      </c>
      <c r="AM1004" s="300" t="str">
        <f>_xlfn.IFNA(VLOOKUP($AI1004,Programma!$F$3:$J$1107,5,0),"")</f>
        <v>5w</v>
      </c>
      <c r="AN1004" s="300" t="str">
        <f>_xlfn.IFNA(VLOOKUP($AI1004,Programma!$F$3:$K$1107,6,0),"")</f>
        <v>_</v>
      </c>
      <c r="AO1004" s="300" t="str">
        <f>_xlfn.IFNA(VLOOKUP($AI1004,Programma!$F$3:$L$1107,7,0),"")</f>
        <v>_</v>
      </c>
      <c r="AP1004" s="300" t="str">
        <f>_xlfn.IFNA(VLOOKUP($AI1004,Programma!$F$3:$M$1107,8,0),"")</f>
        <v>_</v>
      </c>
      <c r="AQ1004" s="300" t="str">
        <f>_xlfn.IFNA(VLOOKUP($AI1004,Programma!$F$3:$N$1107,9,0),"")</f>
        <v>_</v>
      </c>
      <c r="AR1004" s="300" t="str">
        <f>_xlfn.IFNA(VLOOKUP($AI1004,Programma!$F$3:$O$1107,10,0),"")</f>
        <v>5w</v>
      </c>
      <c r="AS1004" s="300" t="str">
        <f>_xlfn.IFNA(VLOOKUP($AI1004,Programma!$F$3:$P$1107,11,0),"")</f>
        <v>5w</v>
      </c>
      <c r="AT1004" s="300" t="str">
        <f>_xlfn.IFNA(VLOOKUP($AI1004,Programma!$F$3:$Q$1107,12,0),"")</f>
        <v>1w</v>
      </c>
      <c r="AU1004" s="300" t="str">
        <f>_xlfn.IFNA(VLOOKUP($AI1004,Programma!$F$3:$R$1107,13,0),"")</f>
        <v>1w</v>
      </c>
      <c r="AV1004" s="300" t="str">
        <f>_xlfn.IFNA(VLOOKUP($AI1004,Programma!$F$3:$S$1107,14,0),"")</f>
        <v>1m</v>
      </c>
      <c r="AW1004" s="300" t="str">
        <f>_xlfn.IFNA(VLOOKUP($AI1004,Programma!$F$3:$T$1107,15,0),"")</f>
        <v>2j</v>
      </c>
      <c r="AX1004" s="300" t="str">
        <f>_xlfn.IFNA(VLOOKUP($AI1004,Programma!$F$3:$U$1107,16,0),"")</f>
        <v>1j</v>
      </c>
      <c r="AY1004" s="300" t="str">
        <f>_xlfn.IFNA(VLOOKUP($AI1004,Programma!$F$3:$V$1107,17,0),"")</f>
        <v>_</v>
      </c>
      <c r="AZ1004" s="300" t="str">
        <f>_xlfn.IFNA(VLOOKUP($AI1004,Programma!$F$3:$W$1107,18,0),"")</f>
        <v>_</v>
      </c>
      <c r="BA1004" s="300" t="str">
        <f>_xlfn.IFNA(VLOOKUP($AI1004,Programma!$F$3:$X$1107,19,0),"")</f>
        <v>_</v>
      </c>
      <c r="BB1004" s="300" t="str">
        <f>_xlfn.IFNA(VLOOKUP($AI1004,Programma!$F$3:$Y$1107,20,0),"")</f>
        <v>_</v>
      </c>
      <c r="BC1004" s="257"/>
      <c r="BD1004" s="256" t="str">
        <f>IF(Ruimtestaat[[#This Row],[Frequentie weekend]]="","",_xlfn.CONCAT(Ruimtestaat[[#This Row],[Ruimte code]],"-",Ruimtestaat[[#This Row],[Frequentie weekend]]," ",Ruimtestaat[[#This Row],[Vloer code]]))</f>
        <v/>
      </c>
      <c r="BE1004" s="300" t="str">
        <f>_xlfn.IFNA(VLOOKUP($BD1004,Programma!$F$3:$G$1107,2,0),"")</f>
        <v/>
      </c>
      <c r="BF1004" s="300" t="str">
        <f>_xlfn.IFNA(VLOOKUP($BD1004,Programma!$F$3:$H$1107,3,0),"")</f>
        <v/>
      </c>
      <c r="BG1004" s="300" t="str">
        <f>_xlfn.IFNA(VLOOKUP($BD1004,Programma!$F$3:$I$1107,4,0),"")</f>
        <v/>
      </c>
      <c r="BH1004" s="300" t="str">
        <f>_xlfn.IFNA(VLOOKUP($BD1004,Programma!$F$3:$J$1107,5,0),"")</f>
        <v/>
      </c>
      <c r="BI1004" s="300" t="str">
        <f>_xlfn.IFNA(VLOOKUP($BD1004,Programma!$F$3:$K$1107,6,0),"")</f>
        <v/>
      </c>
      <c r="BJ1004" s="300" t="str">
        <f>_xlfn.IFNA(VLOOKUP($BD1004,Programma!$F$3:$L$1107,7,0),"")</f>
        <v/>
      </c>
      <c r="BK1004" s="300" t="str">
        <f>_xlfn.IFNA(VLOOKUP($BD1004,Programma!$F$3:$M$1107,8,0),"")</f>
        <v/>
      </c>
      <c r="BL1004" s="300" t="str">
        <f>_xlfn.IFNA(VLOOKUP($BD1004,Programma!$F$3:$N$1107,9,0),"")</f>
        <v/>
      </c>
      <c r="BM1004" s="300" t="str">
        <f>_xlfn.IFNA(VLOOKUP($BD1004,Programma!$F$3:$O$1107,10,0),"")</f>
        <v/>
      </c>
      <c r="BN1004" s="300" t="str">
        <f>_xlfn.IFNA(VLOOKUP($BD1004,Programma!$F$3:$P$1107,11,0),"")</f>
        <v/>
      </c>
      <c r="BO1004" s="300" t="str">
        <f>_xlfn.IFNA(VLOOKUP($BD1004,Programma!$F$3:$Q$1107,12,0),"")</f>
        <v/>
      </c>
      <c r="BP1004" s="300" t="str">
        <f>_xlfn.IFNA(VLOOKUP($BD1004,Programma!$F$3:$R$1107,13,0),"")</f>
        <v/>
      </c>
      <c r="BQ1004" s="300" t="str">
        <f>_xlfn.IFNA(VLOOKUP($BD1004,Programma!$F$3:$S$1107,14,0),"")</f>
        <v/>
      </c>
      <c r="BR1004" s="300" t="str">
        <f>_xlfn.IFNA(VLOOKUP($BD1004,Programma!$F$3:$T$1107,15,0),"")</f>
        <v/>
      </c>
      <c r="BS1004" s="300" t="str">
        <f>_xlfn.IFNA(VLOOKUP($BD1004,Programma!$F$3:$U$1107,16,0),"")</f>
        <v/>
      </c>
      <c r="BT1004" s="300" t="str">
        <f>_xlfn.IFNA(VLOOKUP($BD1004,Programma!$F$3:$V$1107,17,0),"")</f>
        <v/>
      </c>
      <c r="BU1004" s="300" t="str">
        <f>_xlfn.IFNA(VLOOKUP($BD1004,Programma!$F$3:$W$1107,18,0),"")</f>
        <v/>
      </c>
      <c r="BV1004" s="300" t="str">
        <f>_xlfn.IFNA(VLOOKUP($BD1004,Programma!$F$3:$X$1107,19,0),"")</f>
        <v/>
      </c>
      <c r="BW1004" s="300" t="str">
        <f>_xlfn.IFNA(VLOOKUP($BD1004,Programma!$F$3:$Y$1107,20,0),"")</f>
        <v/>
      </c>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c r="GK1004" s="4"/>
      <c r="GL1004" s="4"/>
      <c r="GM1004" s="4"/>
      <c r="GN1004" s="4"/>
      <c r="GO1004" s="4"/>
      <c r="GP1004" s="4"/>
      <c r="GQ1004" s="4"/>
      <c r="GR1004" s="4"/>
      <c r="GS1004" s="4"/>
      <c r="GT1004" s="4"/>
      <c r="GU1004" s="4"/>
      <c r="GV1004" s="4"/>
      <c r="GW1004" s="4"/>
      <c r="GX1004" s="4"/>
      <c r="GY1004" s="4"/>
      <c r="GZ1004" s="4"/>
      <c r="HA1004" s="4"/>
      <c r="HB1004" s="4"/>
      <c r="HC1004" s="4"/>
      <c r="HD1004" s="4"/>
      <c r="HE1004" s="4"/>
      <c r="HF1004" s="4"/>
      <c r="HG1004" s="4"/>
      <c r="HH1004" s="4"/>
      <c r="HI1004" s="4"/>
      <c r="HJ1004" s="4"/>
      <c r="HK1004" s="4"/>
      <c r="HL1004" s="4"/>
    </row>
    <row r="1005" spans="1:220" ht="15" customHeight="1">
      <c r="A1005" s="21">
        <v>10</v>
      </c>
      <c r="B1005" s="157" t="str">
        <f>VLOOKUP(Ruimtestaat[[#This Row],[Code]],Locaties[[Code]:[Locatie]],2,FALSE)</f>
        <v>Veurs Voorburg vmbo</v>
      </c>
      <c r="C1005" s="157" t="str">
        <f>VLOOKUP(Ruimtestaat[[#This Row],[Code]],Locaties[[#All],[Code]:[Adres]],4,FALSE)</f>
        <v>Delflandlaan 4</v>
      </c>
      <c r="D1005" s="157" t="str">
        <f>VLOOKUP(Ruimtestaat[[#This Row],[Code]],Locaties[[#All],[Code]:[Postcode]],5,FALSE)</f>
        <v>2273 CS</v>
      </c>
      <c r="E1005" s="157" t="str">
        <f>VLOOKUP(Ruimtestaat[[#This Row],[Code]],Locaties[#All],6,FALSE)</f>
        <v>Voorburg</v>
      </c>
      <c r="F1005" s="62"/>
      <c r="G1005" s="21" t="s">
        <v>1706</v>
      </c>
      <c r="H1005" s="21" t="s">
        <v>1973</v>
      </c>
      <c r="I1005" s="62" t="s">
        <v>2490</v>
      </c>
      <c r="J1005" s="21">
        <v>16</v>
      </c>
      <c r="K1005" s="62" t="str">
        <f>VLOOKUP(Ruimtestaat[[#This Row],[Ruimte code]],Ruimtegroepen[[#All],[Code]:[Ruimte omschrijving]],2,FALSE)</f>
        <v>Leslokalen theorie</v>
      </c>
      <c r="L1005" s="33" t="s">
        <v>101</v>
      </c>
      <c r="M1005" s="367" t="s">
        <v>2506</v>
      </c>
      <c r="N1005" s="140">
        <v>56.8</v>
      </c>
      <c r="O1005" s="140"/>
      <c r="P1005" s="125" t="str">
        <f>VLOOKUP(Ruimtestaat[[#This Row],[Ruimte code]],Ruimtegroepen[],4,FALSE)</f>
        <v>Le</v>
      </c>
      <c r="R1005" s="33">
        <v>40</v>
      </c>
      <c r="S1005" s="33" t="s">
        <v>2</v>
      </c>
      <c r="T1005" s="33">
        <f>IF(R1005&gt;0,IF(RIGHT(Ruimtestaat[[#This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5" s="33">
        <f>IF(T1005&gt;0,VLOOKUP($J1005,Ruimtegroepen[],3,FALSE)*VLOOKUP($L1005,Vloersoorten[],3,FALSE)*VLOOKUP($S1005,Frequenties[],3,FALSE)*VLOOKUP($A1005,Locaties[],3,FALSE),0)</f>
        <v>0</v>
      </c>
      <c r="V1005" s="33">
        <f>Ruimtestaat[[#This Row],[Uitvoeringen werkdagen]]*Ruimtestaat[[#This Row],[Oppervlak (netto)]]</f>
        <v>11360</v>
      </c>
      <c r="W1005" s="154">
        <f>IF(U1005&gt;0,Ruimtestaat[[#This Row],[Prest. (m2 /jaar) werkdagen]]/Ruimtestaat[[#This Row],[Norm (m2/uur) werkdagen]],0)</f>
        <v>0</v>
      </c>
      <c r="X1005" s="155">
        <f>Ruimtestaat[[#This Row],[uren / jaar werkdagen]]*Tariefsopbouw!$E$35</f>
        <v>0</v>
      </c>
      <c r="Y1005" s="33"/>
      <c r="Z1005" s="33">
        <f>IF(Ruimtestaat[[#This Row],[Frequentie weekend]]&gt;0,VALUE(LEFT(Y1005,1))*R1005,0)</f>
        <v>0</v>
      </c>
      <c r="AA1005" s="97">
        <f>IF($Z1005&gt;0,VLOOKUP($J1005,Ruimtegroepen[],3,FALSE)*VLOOKUP($L1005,Vloersoorten[],3,FALSE)*VLOOKUP($Y1005,Frequenties[],3,FALSE)*VLOOKUP(Ruimtestaat[[#This Row],[Code]],Locaties[],3,FALSE),0)</f>
        <v>0</v>
      </c>
      <c r="AB1005" s="97">
        <f>Ruimtestaat[[#This Row],[Uitvoeringen weekend]]*Ruimtestaat[[#This Row],[Oppervlak (netto)]]</f>
        <v>0</v>
      </c>
      <c r="AC1005" s="97">
        <f>IF(AA1005&gt;0,Ruimtestaat[[#This Row],[Prest. (m2 /jaar) weekend]]/Ruimtestaat[[#This Row],[Norm (m2/uur) weekend]],0)</f>
        <v>0</v>
      </c>
      <c r="AD1005" s="155">
        <f>Ruimtestaat[[#This Row],[uren / jaar weekend]]*Tariefsopbouw!$D$40</f>
        <v>0</v>
      </c>
      <c r="AE1005" s="154">
        <f>Ruimtestaat[[#This Row],[Prest. (m2 /jaar) weekend]]+Ruimtestaat[[#This Row],[Prest. (m2 /jaar) werkdagen]]</f>
        <v>11360</v>
      </c>
      <c r="AF1005" s="154">
        <f>Ruimtestaat[[#This Row],[uren / jaar weekend]]+Ruimtestaat[[#This Row],[uren / jaar werkdagen]]</f>
        <v>0</v>
      </c>
      <c r="AG1005" s="69">
        <f>Ruimtestaat[[#This Row],[kosten / jaar weekend]]+Ruimtestaat[[#This Row],[kosten / jaar werkdagen]]</f>
        <v>0</v>
      </c>
      <c r="AH1005" s="69"/>
      <c r="AI1005" s="256" t="str">
        <f>IF(Ruimtestaat[[#This Row],[Frequentie werkdagen]]="","",_xlfn.CONCAT(Ruimtestaat[[#This Row],[Ruimte code]],"-",Ruimtestaat[[#This Row],[Frequentie werkdagen]]," ",Ruimtestaat[[#This Row],[Vloer code]]))</f>
        <v>16-5w L</v>
      </c>
      <c r="AJ1005" s="300" t="str">
        <f>_xlfn.IFNA(VLOOKUP($AI1005,Programma!$F$3:$G$1107,2,0),"")</f>
        <v>_</v>
      </c>
      <c r="AK1005" s="300" t="str">
        <f>_xlfn.IFNA(VLOOKUP($AI1005,Programma!$F$3:$H$1107,3,0),"")</f>
        <v>_</v>
      </c>
      <c r="AL1005" s="300" t="str">
        <f>_xlfn.IFNA(VLOOKUP($AI1005,Programma!$F$3:$I$1107,4,0),"")</f>
        <v>4w</v>
      </c>
      <c r="AM1005" s="300" t="str">
        <f>_xlfn.IFNA(VLOOKUP($AI1005,Programma!$F$3:$J$1107,5,0),"")</f>
        <v>1w</v>
      </c>
      <c r="AN1005" s="300" t="str">
        <f>_xlfn.IFNA(VLOOKUP($AI1005,Programma!$F$3:$K$1107,6,0),"")</f>
        <v>_</v>
      </c>
      <c r="AO1005" s="300" t="str">
        <f>_xlfn.IFNA(VLOOKUP($AI1005,Programma!$F$3:$L$1107,7,0),"")</f>
        <v>_</v>
      </c>
      <c r="AP1005" s="300" t="str">
        <f>_xlfn.IFNA(VLOOKUP($AI1005,Programma!$F$3:$M$1107,8,0),"")</f>
        <v>_</v>
      </c>
      <c r="AQ1005" s="300" t="str">
        <f>_xlfn.IFNA(VLOOKUP($AI1005,Programma!$F$3:$N$1107,9,0),"")</f>
        <v>_</v>
      </c>
      <c r="AR1005" s="300" t="str">
        <f>_xlfn.IFNA(VLOOKUP($AI1005,Programma!$F$3:$O$1107,10,0),"")</f>
        <v>5w</v>
      </c>
      <c r="AS1005" s="300" t="str">
        <f>_xlfn.IFNA(VLOOKUP($AI1005,Programma!$F$3:$P$1107,11,0),"")</f>
        <v>5w</v>
      </c>
      <c r="AT1005" s="300" t="str">
        <f>_xlfn.IFNA(VLOOKUP($AI1005,Programma!$F$3:$Q$1107,12,0),"")</f>
        <v>1w</v>
      </c>
      <c r="AU1005" s="300" t="str">
        <f>_xlfn.IFNA(VLOOKUP($AI1005,Programma!$F$3:$R$1107,13,0),"")</f>
        <v>1w</v>
      </c>
      <c r="AV1005" s="300" t="str">
        <f>_xlfn.IFNA(VLOOKUP($AI1005,Programma!$F$3:$S$1107,14,0),"")</f>
        <v>1m</v>
      </c>
      <c r="AW1005" s="300" t="str">
        <f>_xlfn.IFNA(VLOOKUP($AI1005,Programma!$F$3:$T$1107,15,0),"")</f>
        <v>2j</v>
      </c>
      <c r="AX1005" s="300" t="str">
        <f>_xlfn.IFNA(VLOOKUP($AI1005,Programma!$F$3:$U$1107,16,0),"")</f>
        <v>1j</v>
      </c>
      <c r="AY1005" s="300" t="str">
        <f>_xlfn.IFNA(VLOOKUP($AI1005,Programma!$F$3:$V$1107,17,0),"")</f>
        <v>_</v>
      </c>
      <c r="AZ1005" s="300" t="str">
        <f>_xlfn.IFNA(VLOOKUP($AI1005,Programma!$F$3:$W$1107,18,0),"")</f>
        <v>_</v>
      </c>
      <c r="BA1005" s="300" t="str">
        <f>_xlfn.IFNA(VLOOKUP($AI1005,Programma!$F$3:$X$1107,19,0),"")</f>
        <v>_</v>
      </c>
      <c r="BB1005" s="300" t="str">
        <f>_xlfn.IFNA(VLOOKUP($AI1005,Programma!$F$3:$Y$1107,20,0),"")</f>
        <v>_</v>
      </c>
      <c r="BC1005" s="257"/>
      <c r="BD1005" s="256" t="str">
        <f>IF(Ruimtestaat[[#This Row],[Frequentie weekend]]="","",_xlfn.CONCAT(Ruimtestaat[[#This Row],[Ruimte code]],"-",Ruimtestaat[[#This Row],[Frequentie weekend]]," ",Ruimtestaat[[#This Row],[Vloer code]]))</f>
        <v/>
      </c>
      <c r="BE1005" s="300" t="str">
        <f>_xlfn.IFNA(VLOOKUP($BD1005,Programma!$F$3:$G$1107,2,0),"")</f>
        <v/>
      </c>
      <c r="BF1005" s="300" t="str">
        <f>_xlfn.IFNA(VLOOKUP($BD1005,Programma!$F$3:$H$1107,3,0),"")</f>
        <v/>
      </c>
      <c r="BG1005" s="300" t="str">
        <f>_xlfn.IFNA(VLOOKUP($BD1005,Programma!$F$3:$I$1107,4,0),"")</f>
        <v/>
      </c>
      <c r="BH1005" s="300" t="str">
        <f>_xlfn.IFNA(VLOOKUP($BD1005,Programma!$F$3:$J$1107,5,0),"")</f>
        <v/>
      </c>
      <c r="BI1005" s="300" t="str">
        <f>_xlfn.IFNA(VLOOKUP($BD1005,Programma!$F$3:$K$1107,6,0),"")</f>
        <v/>
      </c>
      <c r="BJ1005" s="300" t="str">
        <f>_xlfn.IFNA(VLOOKUP($BD1005,Programma!$F$3:$L$1107,7,0),"")</f>
        <v/>
      </c>
      <c r="BK1005" s="300" t="str">
        <f>_xlfn.IFNA(VLOOKUP($BD1005,Programma!$F$3:$M$1107,8,0),"")</f>
        <v/>
      </c>
      <c r="BL1005" s="300" t="str">
        <f>_xlfn.IFNA(VLOOKUP($BD1005,Programma!$F$3:$N$1107,9,0),"")</f>
        <v/>
      </c>
      <c r="BM1005" s="300" t="str">
        <f>_xlfn.IFNA(VLOOKUP($BD1005,Programma!$F$3:$O$1107,10,0),"")</f>
        <v/>
      </c>
      <c r="BN1005" s="300" t="str">
        <f>_xlfn.IFNA(VLOOKUP($BD1005,Programma!$F$3:$P$1107,11,0),"")</f>
        <v/>
      </c>
      <c r="BO1005" s="300" t="str">
        <f>_xlfn.IFNA(VLOOKUP($BD1005,Programma!$F$3:$Q$1107,12,0),"")</f>
        <v/>
      </c>
      <c r="BP1005" s="300" t="str">
        <f>_xlfn.IFNA(VLOOKUP($BD1005,Programma!$F$3:$R$1107,13,0),"")</f>
        <v/>
      </c>
      <c r="BQ1005" s="300" t="str">
        <f>_xlfn.IFNA(VLOOKUP($BD1005,Programma!$F$3:$S$1107,14,0),"")</f>
        <v/>
      </c>
      <c r="BR1005" s="300" t="str">
        <f>_xlfn.IFNA(VLOOKUP($BD1005,Programma!$F$3:$T$1107,15,0),"")</f>
        <v/>
      </c>
      <c r="BS1005" s="300" t="str">
        <f>_xlfn.IFNA(VLOOKUP($BD1005,Programma!$F$3:$U$1107,16,0),"")</f>
        <v/>
      </c>
      <c r="BT1005" s="300" t="str">
        <f>_xlfn.IFNA(VLOOKUP($BD1005,Programma!$F$3:$V$1107,17,0),"")</f>
        <v/>
      </c>
      <c r="BU1005" s="300" t="str">
        <f>_xlfn.IFNA(VLOOKUP($BD1005,Programma!$F$3:$W$1107,18,0),"")</f>
        <v/>
      </c>
      <c r="BV1005" s="300" t="str">
        <f>_xlfn.IFNA(VLOOKUP($BD1005,Programma!$F$3:$X$1107,19,0),"")</f>
        <v/>
      </c>
      <c r="BW1005" s="300" t="str">
        <f>_xlfn.IFNA(VLOOKUP($BD1005,Programma!$F$3:$Y$1107,20,0),"")</f>
        <v/>
      </c>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c r="GK1005" s="4"/>
      <c r="GL1005" s="4"/>
      <c r="GM1005" s="4"/>
      <c r="GN1005" s="4"/>
      <c r="GO1005" s="4"/>
      <c r="GP1005" s="4"/>
      <c r="GQ1005" s="4"/>
      <c r="GR1005" s="4"/>
      <c r="GS1005" s="4"/>
      <c r="GT1005" s="4"/>
      <c r="GU1005" s="4"/>
      <c r="GV1005" s="4"/>
      <c r="GW1005" s="4"/>
      <c r="GX1005" s="4"/>
      <c r="GY1005" s="4"/>
      <c r="GZ1005" s="4"/>
      <c r="HA1005" s="4"/>
      <c r="HB1005" s="4"/>
      <c r="HC1005" s="4"/>
      <c r="HD1005" s="4"/>
      <c r="HE1005" s="4"/>
      <c r="HF1005" s="4"/>
      <c r="HG1005" s="4"/>
      <c r="HH1005" s="4"/>
      <c r="HI1005" s="4"/>
      <c r="HJ1005" s="4"/>
      <c r="HK1005" s="4"/>
      <c r="HL1005" s="4"/>
    </row>
    <row r="1006" spans="1:220" ht="15" customHeight="1">
      <c r="A1006" s="21">
        <v>10</v>
      </c>
      <c r="B1006" s="157" t="str">
        <f>VLOOKUP(Ruimtestaat[[#This Row],[Code]],Locaties[[Code]:[Locatie]],2,FALSE)</f>
        <v>Veurs Voorburg vmbo</v>
      </c>
      <c r="C1006" s="157" t="str">
        <f>VLOOKUP(Ruimtestaat[[#This Row],[Code]],Locaties[[#All],[Code]:[Adres]],4,FALSE)</f>
        <v>Delflandlaan 4</v>
      </c>
      <c r="D1006" s="157" t="str">
        <f>VLOOKUP(Ruimtestaat[[#This Row],[Code]],Locaties[[#All],[Code]:[Postcode]],5,FALSE)</f>
        <v>2273 CS</v>
      </c>
      <c r="E1006" s="157" t="str">
        <f>VLOOKUP(Ruimtestaat[[#This Row],[Code]],Locaties[#All],6,FALSE)</f>
        <v>Voorburg</v>
      </c>
      <c r="F1006" s="62"/>
      <c r="G1006" s="21" t="s">
        <v>1706</v>
      </c>
      <c r="H1006" s="21" t="s">
        <v>1975</v>
      </c>
      <c r="I1006" s="62" t="s">
        <v>2462</v>
      </c>
      <c r="J1006" s="21">
        <v>16</v>
      </c>
      <c r="K1006" s="62" t="str">
        <f>VLOOKUP(Ruimtestaat[[#This Row],[Ruimte code]],Ruimtegroepen[[#All],[Code]:[Ruimte omschrijving]],2,FALSE)</f>
        <v>Leslokalen theorie</v>
      </c>
      <c r="L1006" s="33" t="s">
        <v>101</v>
      </c>
      <c r="M1006" s="367" t="s">
        <v>2506</v>
      </c>
      <c r="N1006" s="140">
        <v>54.3</v>
      </c>
      <c r="O1006" s="140"/>
      <c r="P1006" s="125" t="str">
        <f>VLOOKUP(Ruimtestaat[[#This Row],[Ruimte code]],Ruimtegroepen[],4,FALSE)</f>
        <v>Le</v>
      </c>
      <c r="R1006" s="33">
        <v>40</v>
      </c>
      <c r="S1006" s="33" t="s">
        <v>2</v>
      </c>
      <c r="T1006" s="33">
        <f>IF(R1006&gt;0,IF(RIGHT(Ruimtestaat[[#This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6" s="33">
        <f>IF(T1006&gt;0,VLOOKUP($J1006,Ruimtegroepen[],3,FALSE)*VLOOKUP($L1006,Vloersoorten[],3,FALSE)*VLOOKUP($S1006,Frequenties[],3,FALSE)*VLOOKUP($A1006,Locaties[],3,FALSE),0)</f>
        <v>0</v>
      </c>
      <c r="V1006" s="33">
        <f>Ruimtestaat[[#This Row],[Uitvoeringen werkdagen]]*Ruimtestaat[[#This Row],[Oppervlak (netto)]]</f>
        <v>10860</v>
      </c>
      <c r="W1006" s="154">
        <f>IF(U1006&gt;0,Ruimtestaat[[#This Row],[Prest. (m2 /jaar) werkdagen]]/Ruimtestaat[[#This Row],[Norm (m2/uur) werkdagen]],0)</f>
        <v>0</v>
      </c>
      <c r="X1006" s="155">
        <f>Ruimtestaat[[#This Row],[uren / jaar werkdagen]]*Tariefsopbouw!$E$35</f>
        <v>0</v>
      </c>
      <c r="Y1006" s="33"/>
      <c r="Z1006" s="33">
        <f>IF(Ruimtestaat[[#This Row],[Frequentie weekend]]&gt;0,VALUE(LEFT(Y1006,1))*R1006,0)</f>
        <v>0</v>
      </c>
      <c r="AA1006" s="97">
        <f>IF($Z1006&gt;0,VLOOKUP($J1006,Ruimtegroepen[],3,FALSE)*VLOOKUP($L1006,Vloersoorten[],3,FALSE)*VLOOKUP($Y1006,Frequenties[],3,FALSE)*VLOOKUP(Ruimtestaat[[#This Row],[Code]],Locaties[],3,FALSE),0)</f>
        <v>0</v>
      </c>
      <c r="AB1006" s="97">
        <f>Ruimtestaat[[#This Row],[Uitvoeringen weekend]]*Ruimtestaat[[#This Row],[Oppervlak (netto)]]</f>
        <v>0</v>
      </c>
      <c r="AC1006" s="97">
        <f>IF(AA1006&gt;0,Ruimtestaat[[#This Row],[Prest. (m2 /jaar) weekend]]/Ruimtestaat[[#This Row],[Norm (m2/uur) weekend]],0)</f>
        <v>0</v>
      </c>
      <c r="AD1006" s="155">
        <f>Ruimtestaat[[#This Row],[uren / jaar weekend]]*Tariefsopbouw!$D$40</f>
        <v>0</v>
      </c>
      <c r="AE1006" s="154">
        <f>Ruimtestaat[[#This Row],[Prest. (m2 /jaar) weekend]]+Ruimtestaat[[#This Row],[Prest. (m2 /jaar) werkdagen]]</f>
        <v>10860</v>
      </c>
      <c r="AF1006" s="154">
        <f>Ruimtestaat[[#This Row],[uren / jaar weekend]]+Ruimtestaat[[#This Row],[uren / jaar werkdagen]]</f>
        <v>0</v>
      </c>
      <c r="AG1006" s="69">
        <f>Ruimtestaat[[#This Row],[kosten / jaar weekend]]+Ruimtestaat[[#This Row],[kosten / jaar werkdagen]]</f>
        <v>0</v>
      </c>
      <c r="AH1006" s="69"/>
      <c r="AI1006" s="256" t="str">
        <f>IF(Ruimtestaat[[#This Row],[Frequentie werkdagen]]="","",_xlfn.CONCAT(Ruimtestaat[[#This Row],[Ruimte code]],"-",Ruimtestaat[[#This Row],[Frequentie werkdagen]]," ",Ruimtestaat[[#This Row],[Vloer code]]))</f>
        <v>16-5w L</v>
      </c>
      <c r="AJ1006" s="300" t="str">
        <f>_xlfn.IFNA(VLOOKUP($AI1006,Programma!$F$3:$G$1107,2,0),"")</f>
        <v>_</v>
      </c>
      <c r="AK1006" s="300" t="str">
        <f>_xlfn.IFNA(VLOOKUP($AI1006,Programma!$F$3:$H$1107,3,0),"")</f>
        <v>_</v>
      </c>
      <c r="AL1006" s="300" t="str">
        <f>_xlfn.IFNA(VLOOKUP($AI1006,Programma!$F$3:$I$1107,4,0),"")</f>
        <v>4w</v>
      </c>
      <c r="AM1006" s="300" t="str">
        <f>_xlfn.IFNA(VLOOKUP($AI1006,Programma!$F$3:$J$1107,5,0),"")</f>
        <v>1w</v>
      </c>
      <c r="AN1006" s="300" t="str">
        <f>_xlfn.IFNA(VLOOKUP($AI1006,Programma!$F$3:$K$1107,6,0),"")</f>
        <v>_</v>
      </c>
      <c r="AO1006" s="300" t="str">
        <f>_xlfn.IFNA(VLOOKUP($AI1006,Programma!$F$3:$L$1107,7,0),"")</f>
        <v>_</v>
      </c>
      <c r="AP1006" s="300" t="str">
        <f>_xlfn.IFNA(VLOOKUP($AI1006,Programma!$F$3:$M$1107,8,0),"")</f>
        <v>_</v>
      </c>
      <c r="AQ1006" s="300" t="str">
        <f>_xlfn.IFNA(VLOOKUP($AI1006,Programma!$F$3:$N$1107,9,0),"")</f>
        <v>_</v>
      </c>
      <c r="AR1006" s="300" t="str">
        <f>_xlfn.IFNA(VLOOKUP($AI1006,Programma!$F$3:$O$1107,10,0),"")</f>
        <v>5w</v>
      </c>
      <c r="AS1006" s="300" t="str">
        <f>_xlfn.IFNA(VLOOKUP($AI1006,Programma!$F$3:$P$1107,11,0),"")</f>
        <v>5w</v>
      </c>
      <c r="AT1006" s="300" t="str">
        <f>_xlfn.IFNA(VLOOKUP($AI1006,Programma!$F$3:$Q$1107,12,0),"")</f>
        <v>1w</v>
      </c>
      <c r="AU1006" s="300" t="str">
        <f>_xlfn.IFNA(VLOOKUP($AI1006,Programma!$F$3:$R$1107,13,0),"")</f>
        <v>1w</v>
      </c>
      <c r="AV1006" s="300" t="str">
        <f>_xlfn.IFNA(VLOOKUP($AI1006,Programma!$F$3:$S$1107,14,0),"")</f>
        <v>1m</v>
      </c>
      <c r="AW1006" s="300" t="str">
        <f>_xlfn.IFNA(VLOOKUP($AI1006,Programma!$F$3:$T$1107,15,0),"")</f>
        <v>2j</v>
      </c>
      <c r="AX1006" s="300" t="str">
        <f>_xlfn.IFNA(VLOOKUP($AI1006,Programma!$F$3:$U$1107,16,0),"")</f>
        <v>1j</v>
      </c>
      <c r="AY1006" s="300" t="str">
        <f>_xlfn.IFNA(VLOOKUP($AI1006,Programma!$F$3:$V$1107,17,0),"")</f>
        <v>_</v>
      </c>
      <c r="AZ1006" s="300" t="str">
        <f>_xlfn.IFNA(VLOOKUP($AI1006,Programma!$F$3:$W$1107,18,0),"")</f>
        <v>_</v>
      </c>
      <c r="BA1006" s="300" t="str">
        <f>_xlfn.IFNA(VLOOKUP($AI1006,Programma!$F$3:$X$1107,19,0),"")</f>
        <v>_</v>
      </c>
      <c r="BB1006" s="300" t="str">
        <f>_xlfn.IFNA(VLOOKUP($AI1006,Programma!$F$3:$Y$1107,20,0),"")</f>
        <v>_</v>
      </c>
      <c r="BC1006" s="257"/>
      <c r="BD1006" s="256" t="str">
        <f>IF(Ruimtestaat[[#This Row],[Frequentie weekend]]="","",_xlfn.CONCAT(Ruimtestaat[[#This Row],[Ruimte code]],"-",Ruimtestaat[[#This Row],[Frequentie weekend]]," ",Ruimtestaat[[#This Row],[Vloer code]]))</f>
        <v/>
      </c>
      <c r="BE1006" s="300" t="str">
        <f>_xlfn.IFNA(VLOOKUP($BD1006,Programma!$F$3:$G$1107,2,0),"")</f>
        <v/>
      </c>
      <c r="BF1006" s="300" t="str">
        <f>_xlfn.IFNA(VLOOKUP($BD1006,Programma!$F$3:$H$1107,3,0),"")</f>
        <v/>
      </c>
      <c r="BG1006" s="300" t="str">
        <f>_xlfn.IFNA(VLOOKUP($BD1006,Programma!$F$3:$I$1107,4,0),"")</f>
        <v/>
      </c>
      <c r="BH1006" s="300" t="str">
        <f>_xlfn.IFNA(VLOOKUP($BD1006,Programma!$F$3:$J$1107,5,0),"")</f>
        <v/>
      </c>
      <c r="BI1006" s="300" t="str">
        <f>_xlfn.IFNA(VLOOKUP($BD1006,Programma!$F$3:$K$1107,6,0),"")</f>
        <v/>
      </c>
      <c r="BJ1006" s="300" t="str">
        <f>_xlfn.IFNA(VLOOKUP($BD1006,Programma!$F$3:$L$1107,7,0),"")</f>
        <v/>
      </c>
      <c r="BK1006" s="300" t="str">
        <f>_xlfn.IFNA(VLOOKUP($BD1006,Programma!$F$3:$M$1107,8,0),"")</f>
        <v/>
      </c>
      <c r="BL1006" s="300" t="str">
        <f>_xlfn.IFNA(VLOOKUP($BD1006,Programma!$F$3:$N$1107,9,0),"")</f>
        <v/>
      </c>
      <c r="BM1006" s="300" t="str">
        <f>_xlfn.IFNA(VLOOKUP($BD1006,Programma!$F$3:$O$1107,10,0),"")</f>
        <v/>
      </c>
      <c r="BN1006" s="300" t="str">
        <f>_xlfn.IFNA(VLOOKUP($BD1006,Programma!$F$3:$P$1107,11,0),"")</f>
        <v/>
      </c>
      <c r="BO1006" s="300" t="str">
        <f>_xlfn.IFNA(VLOOKUP($BD1006,Programma!$F$3:$Q$1107,12,0),"")</f>
        <v/>
      </c>
      <c r="BP1006" s="300" t="str">
        <f>_xlfn.IFNA(VLOOKUP($BD1006,Programma!$F$3:$R$1107,13,0),"")</f>
        <v/>
      </c>
      <c r="BQ1006" s="300" t="str">
        <f>_xlfn.IFNA(VLOOKUP($BD1006,Programma!$F$3:$S$1107,14,0),"")</f>
        <v/>
      </c>
      <c r="BR1006" s="300" t="str">
        <f>_xlfn.IFNA(VLOOKUP($BD1006,Programma!$F$3:$T$1107,15,0),"")</f>
        <v/>
      </c>
      <c r="BS1006" s="300" t="str">
        <f>_xlfn.IFNA(VLOOKUP($BD1006,Programma!$F$3:$U$1107,16,0),"")</f>
        <v/>
      </c>
      <c r="BT1006" s="300" t="str">
        <f>_xlfn.IFNA(VLOOKUP($BD1006,Programma!$F$3:$V$1107,17,0),"")</f>
        <v/>
      </c>
      <c r="BU1006" s="300" t="str">
        <f>_xlfn.IFNA(VLOOKUP($BD1006,Programma!$F$3:$W$1107,18,0),"")</f>
        <v/>
      </c>
      <c r="BV1006" s="300" t="str">
        <f>_xlfn.IFNA(VLOOKUP($BD1006,Programma!$F$3:$X$1107,19,0),"")</f>
        <v/>
      </c>
      <c r="BW1006" s="300" t="str">
        <f>_xlfn.IFNA(VLOOKUP($BD1006,Programma!$F$3:$Y$1107,20,0),"")</f>
        <v/>
      </c>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c r="GK1006" s="4"/>
      <c r="GL1006" s="4"/>
      <c r="GM1006" s="4"/>
      <c r="GN1006" s="4"/>
      <c r="GO1006" s="4"/>
      <c r="GP1006" s="4"/>
      <c r="GQ1006" s="4"/>
      <c r="GR1006" s="4"/>
      <c r="GS1006" s="4"/>
      <c r="GT1006" s="4"/>
      <c r="GU1006" s="4"/>
      <c r="GV1006" s="4"/>
      <c r="GW1006" s="4"/>
      <c r="GX1006" s="4"/>
      <c r="GY1006" s="4"/>
      <c r="GZ1006" s="4"/>
      <c r="HA1006" s="4"/>
      <c r="HB1006" s="4"/>
      <c r="HC1006" s="4"/>
      <c r="HD1006" s="4"/>
      <c r="HE1006" s="4"/>
      <c r="HF1006" s="4"/>
      <c r="HG1006" s="4"/>
      <c r="HH1006" s="4"/>
      <c r="HI1006" s="4"/>
      <c r="HJ1006" s="4"/>
      <c r="HK1006" s="4"/>
      <c r="HL1006" s="4"/>
    </row>
    <row r="1007" spans="1:220" ht="15" customHeight="1">
      <c r="A1007" s="21">
        <v>10</v>
      </c>
      <c r="B1007" s="157" t="str">
        <f>VLOOKUP(Ruimtestaat[[#This Row],[Code]],Locaties[[Code]:[Locatie]],2,FALSE)</f>
        <v>Veurs Voorburg vmbo</v>
      </c>
      <c r="C1007" s="157" t="str">
        <f>VLOOKUP(Ruimtestaat[[#This Row],[Code]],Locaties[[#All],[Code]:[Adres]],4,FALSE)</f>
        <v>Delflandlaan 4</v>
      </c>
      <c r="D1007" s="157" t="str">
        <f>VLOOKUP(Ruimtestaat[[#This Row],[Code]],Locaties[[#All],[Code]:[Postcode]],5,FALSE)</f>
        <v>2273 CS</v>
      </c>
      <c r="E1007" s="157" t="str">
        <f>VLOOKUP(Ruimtestaat[[#This Row],[Code]],Locaties[#All],6,FALSE)</f>
        <v>Voorburg</v>
      </c>
      <c r="F1007" s="62"/>
      <c r="G1007" s="21" t="s">
        <v>1706</v>
      </c>
      <c r="H1007" s="21" t="s">
        <v>1976</v>
      </c>
      <c r="I1007" s="62" t="s">
        <v>2462</v>
      </c>
      <c r="J1007" s="21">
        <v>16</v>
      </c>
      <c r="K1007" s="62" t="str">
        <f>VLOOKUP(Ruimtestaat[[#This Row],[Ruimte code]],Ruimtegroepen[[#All],[Code]:[Ruimte omschrijving]],2,FALSE)</f>
        <v>Leslokalen theorie</v>
      </c>
      <c r="L1007" s="33" t="s">
        <v>101</v>
      </c>
      <c r="M1007" s="367" t="s">
        <v>2506</v>
      </c>
      <c r="N1007" s="140">
        <v>54.4</v>
      </c>
      <c r="O1007" s="140"/>
      <c r="P1007" s="125" t="str">
        <f>VLOOKUP(Ruimtestaat[[#This Row],[Ruimte code]],Ruimtegroepen[],4,FALSE)</f>
        <v>Le</v>
      </c>
      <c r="R1007" s="33">
        <v>40</v>
      </c>
      <c r="S1007" s="33" t="s">
        <v>2</v>
      </c>
      <c r="T1007" s="33">
        <f>IF(R1007&gt;0,IF(RIGHT(Ruimtestaat[[#This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7" s="33">
        <f>IF(T1007&gt;0,VLOOKUP($J1007,Ruimtegroepen[],3,FALSE)*VLOOKUP($L1007,Vloersoorten[],3,FALSE)*VLOOKUP($S1007,Frequenties[],3,FALSE)*VLOOKUP($A1007,Locaties[],3,FALSE),0)</f>
        <v>0</v>
      </c>
      <c r="V1007" s="33">
        <f>Ruimtestaat[[#This Row],[Uitvoeringen werkdagen]]*Ruimtestaat[[#This Row],[Oppervlak (netto)]]</f>
        <v>10880</v>
      </c>
      <c r="W1007" s="154">
        <f>IF(U1007&gt;0,Ruimtestaat[[#This Row],[Prest. (m2 /jaar) werkdagen]]/Ruimtestaat[[#This Row],[Norm (m2/uur) werkdagen]],0)</f>
        <v>0</v>
      </c>
      <c r="X1007" s="155">
        <f>Ruimtestaat[[#This Row],[uren / jaar werkdagen]]*Tariefsopbouw!$E$35</f>
        <v>0</v>
      </c>
      <c r="Y1007" s="33"/>
      <c r="Z1007" s="33">
        <f>IF(Ruimtestaat[[#This Row],[Frequentie weekend]]&gt;0,VALUE(LEFT(Y1007,1))*R1007,0)</f>
        <v>0</v>
      </c>
      <c r="AA1007" s="97">
        <f>IF($Z1007&gt;0,VLOOKUP($J1007,Ruimtegroepen[],3,FALSE)*VLOOKUP($L1007,Vloersoorten[],3,FALSE)*VLOOKUP($Y1007,Frequenties[],3,FALSE)*VLOOKUP(Ruimtestaat[[#This Row],[Code]],Locaties[],3,FALSE),0)</f>
        <v>0</v>
      </c>
      <c r="AB1007" s="97">
        <f>Ruimtestaat[[#This Row],[Uitvoeringen weekend]]*Ruimtestaat[[#This Row],[Oppervlak (netto)]]</f>
        <v>0</v>
      </c>
      <c r="AC1007" s="97">
        <f>IF(AA1007&gt;0,Ruimtestaat[[#This Row],[Prest. (m2 /jaar) weekend]]/Ruimtestaat[[#This Row],[Norm (m2/uur) weekend]],0)</f>
        <v>0</v>
      </c>
      <c r="AD1007" s="155">
        <f>Ruimtestaat[[#This Row],[uren / jaar weekend]]*Tariefsopbouw!$D$40</f>
        <v>0</v>
      </c>
      <c r="AE1007" s="154">
        <f>Ruimtestaat[[#This Row],[Prest. (m2 /jaar) weekend]]+Ruimtestaat[[#This Row],[Prest. (m2 /jaar) werkdagen]]</f>
        <v>10880</v>
      </c>
      <c r="AF1007" s="154">
        <f>Ruimtestaat[[#This Row],[uren / jaar weekend]]+Ruimtestaat[[#This Row],[uren / jaar werkdagen]]</f>
        <v>0</v>
      </c>
      <c r="AG1007" s="69">
        <f>Ruimtestaat[[#This Row],[kosten / jaar weekend]]+Ruimtestaat[[#This Row],[kosten / jaar werkdagen]]</f>
        <v>0</v>
      </c>
      <c r="AH1007" s="69"/>
      <c r="AI1007" s="256" t="str">
        <f>IF(Ruimtestaat[[#This Row],[Frequentie werkdagen]]="","",_xlfn.CONCAT(Ruimtestaat[[#This Row],[Ruimte code]],"-",Ruimtestaat[[#This Row],[Frequentie werkdagen]]," ",Ruimtestaat[[#This Row],[Vloer code]]))</f>
        <v>16-5w L</v>
      </c>
      <c r="AJ1007" s="300" t="str">
        <f>_xlfn.IFNA(VLOOKUP($AI1007,Programma!$F$3:$G$1107,2,0),"")</f>
        <v>_</v>
      </c>
      <c r="AK1007" s="300" t="str">
        <f>_xlfn.IFNA(VLOOKUP($AI1007,Programma!$F$3:$H$1107,3,0),"")</f>
        <v>_</v>
      </c>
      <c r="AL1007" s="300" t="str">
        <f>_xlfn.IFNA(VLOOKUP($AI1007,Programma!$F$3:$I$1107,4,0),"")</f>
        <v>4w</v>
      </c>
      <c r="AM1007" s="300" t="str">
        <f>_xlfn.IFNA(VLOOKUP($AI1007,Programma!$F$3:$J$1107,5,0),"")</f>
        <v>1w</v>
      </c>
      <c r="AN1007" s="300" t="str">
        <f>_xlfn.IFNA(VLOOKUP($AI1007,Programma!$F$3:$K$1107,6,0),"")</f>
        <v>_</v>
      </c>
      <c r="AO1007" s="300" t="str">
        <f>_xlfn.IFNA(VLOOKUP($AI1007,Programma!$F$3:$L$1107,7,0),"")</f>
        <v>_</v>
      </c>
      <c r="AP1007" s="300" t="str">
        <f>_xlfn.IFNA(VLOOKUP($AI1007,Programma!$F$3:$M$1107,8,0),"")</f>
        <v>_</v>
      </c>
      <c r="AQ1007" s="300" t="str">
        <f>_xlfn.IFNA(VLOOKUP($AI1007,Programma!$F$3:$N$1107,9,0),"")</f>
        <v>_</v>
      </c>
      <c r="AR1007" s="300" t="str">
        <f>_xlfn.IFNA(VLOOKUP($AI1007,Programma!$F$3:$O$1107,10,0),"")</f>
        <v>5w</v>
      </c>
      <c r="AS1007" s="300" t="str">
        <f>_xlfn.IFNA(VLOOKUP($AI1007,Programma!$F$3:$P$1107,11,0),"")</f>
        <v>5w</v>
      </c>
      <c r="AT1007" s="300" t="str">
        <f>_xlfn.IFNA(VLOOKUP($AI1007,Programma!$F$3:$Q$1107,12,0),"")</f>
        <v>1w</v>
      </c>
      <c r="AU1007" s="300" t="str">
        <f>_xlfn.IFNA(VLOOKUP($AI1007,Programma!$F$3:$R$1107,13,0),"")</f>
        <v>1w</v>
      </c>
      <c r="AV1007" s="300" t="str">
        <f>_xlfn.IFNA(VLOOKUP($AI1007,Programma!$F$3:$S$1107,14,0),"")</f>
        <v>1m</v>
      </c>
      <c r="AW1007" s="300" t="str">
        <f>_xlfn.IFNA(VLOOKUP($AI1007,Programma!$F$3:$T$1107,15,0),"")</f>
        <v>2j</v>
      </c>
      <c r="AX1007" s="300" t="str">
        <f>_xlfn.IFNA(VLOOKUP($AI1007,Programma!$F$3:$U$1107,16,0),"")</f>
        <v>1j</v>
      </c>
      <c r="AY1007" s="300" t="str">
        <f>_xlfn.IFNA(VLOOKUP($AI1007,Programma!$F$3:$V$1107,17,0),"")</f>
        <v>_</v>
      </c>
      <c r="AZ1007" s="300" t="str">
        <f>_xlfn.IFNA(VLOOKUP($AI1007,Programma!$F$3:$W$1107,18,0),"")</f>
        <v>_</v>
      </c>
      <c r="BA1007" s="300" t="str">
        <f>_xlfn.IFNA(VLOOKUP($AI1007,Programma!$F$3:$X$1107,19,0),"")</f>
        <v>_</v>
      </c>
      <c r="BB1007" s="300" t="str">
        <f>_xlfn.IFNA(VLOOKUP($AI1007,Programma!$F$3:$Y$1107,20,0),"")</f>
        <v>_</v>
      </c>
      <c r="BC1007" s="257"/>
      <c r="BD1007" s="256" t="str">
        <f>IF(Ruimtestaat[[#This Row],[Frequentie weekend]]="","",_xlfn.CONCAT(Ruimtestaat[[#This Row],[Ruimte code]],"-",Ruimtestaat[[#This Row],[Frequentie weekend]]," ",Ruimtestaat[[#This Row],[Vloer code]]))</f>
        <v/>
      </c>
      <c r="BE1007" s="300" t="str">
        <f>_xlfn.IFNA(VLOOKUP($BD1007,Programma!$F$3:$G$1107,2,0),"")</f>
        <v/>
      </c>
      <c r="BF1007" s="300" t="str">
        <f>_xlfn.IFNA(VLOOKUP($BD1007,Programma!$F$3:$H$1107,3,0),"")</f>
        <v/>
      </c>
      <c r="BG1007" s="300" t="str">
        <f>_xlfn.IFNA(VLOOKUP($BD1007,Programma!$F$3:$I$1107,4,0),"")</f>
        <v/>
      </c>
      <c r="BH1007" s="300" t="str">
        <f>_xlfn.IFNA(VLOOKUP($BD1007,Programma!$F$3:$J$1107,5,0),"")</f>
        <v/>
      </c>
      <c r="BI1007" s="300" t="str">
        <f>_xlfn.IFNA(VLOOKUP($BD1007,Programma!$F$3:$K$1107,6,0),"")</f>
        <v/>
      </c>
      <c r="BJ1007" s="300" t="str">
        <f>_xlfn.IFNA(VLOOKUP($BD1007,Programma!$F$3:$L$1107,7,0),"")</f>
        <v/>
      </c>
      <c r="BK1007" s="300" t="str">
        <f>_xlfn.IFNA(VLOOKUP($BD1007,Programma!$F$3:$M$1107,8,0),"")</f>
        <v/>
      </c>
      <c r="BL1007" s="300" t="str">
        <f>_xlfn.IFNA(VLOOKUP($BD1007,Programma!$F$3:$N$1107,9,0),"")</f>
        <v/>
      </c>
      <c r="BM1007" s="300" t="str">
        <f>_xlfn.IFNA(VLOOKUP($BD1007,Programma!$F$3:$O$1107,10,0),"")</f>
        <v/>
      </c>
      <c r="BN1007" s="300" t="str">
        <f>_xlfn.IFNA(VLOOKUP($BD1007,Programma!$F$3:$P$1107,11,0),"")</f>
        <v/>
      </c>
      <c r="BO1007" s="300" t="str">
        <f>_xlfn.IFNA(VLOOKUP($BD1007,Programma!$F$3:$Q$1107,12,0),"")</f>
        <v/>
      </c>
      <c r="BP1007" s="300" t="str">
        <f>_xlfn.IFNA(VLOOKUP($BD1007,Programma!$F$3:$R$1107,13,0),"")</f>
        <v/>
      </c>
      <c r="BQ1007" s="300" t="str">
        <f>_xlfn.IFNA(VLOOKUP($BD1007,Programma!$F$3:$S$1107,14,0),"")</f>
        <v/>
      </c>
      <c r="BR1007" s="300" t="str">
        <f>_xlfn.IFNA(VLOOKUP($BD1007,Programma!$F$3:$T$1107,15,0),"")</f>
        <v/>
      </c>
      <c r="BS1007" s="300" t="str">
        <f>_xlfn.IFNA(VLOOKUP($BD1007,Programma!$F$3:$U$1107,16,0),"")</f>
        <v/>
      </c>
      <c r="BT1007" s="300" t="str">
        <f>_xlfn.IFNA(VLOOKUP($BD1007,Programma!$F$3:$V$1107,17,0),"")</f>
        <v/>
      </c>
      <c r="BU1007" s="300" t="str">
        <f>_xlfn.IFNA(VLOOKUP($BD1007,Programma!$F$3:$W$1107,18,0),"")</f>
        <v/>
      </c>
      <c r="BV1007" s="300" t="str">
        <f>_xlfn.IFNA(VLOOKUP($BD1007,Programma!$F$3:$X$1107,19,0),"")</f>
        <v/>
      </c>
      <c r="BW1007" s="300" t="str">
        <f>_xlfn.IFNA(VLOOKUP($BD1007,Programma!$F$3:$Y$1107,20,0),"")</f>
        <v/>
      </c>
      <c r="BX1007" s="4"/>
      <c r="BY1007" s="4"/>
      <c r="BZ1007" s="4"/>
      <c r="CA1007" s="4"/>
      <c r="CB1007" s="4"/>
      <c r="CC1007" s="4"/>
      <c r="CD1007" s="4"/>
      <c r="CE1007" s="4"/>
      <c r="CF1007" s="4"/>
      <c r="CG1007" s="4"/>
      <c r="CH1007" s="4"/>
      <c r="CI1007" s="4"/>
      <c r="CJ1007" s="4"/>
      <c r="CK1007" s="4"/>
      <c r="CL1007" s="4"/>
      <c r="CM1007" s="4"/>
      <c r="CN1007" s="4"/>
      <c r="CO1007" s="4"/>
      <c r="CP1007" s="4"/>
      <c r="CQ1007" s="4"/>
      <c r="CR1007" s="4"/>
      <c r="CS1007" s="4"/>
      <c r="CT1007" s="4"/>
      <c r="CU1007" s="4"/>
      <c r="CV1007" s="4"/>
      <c r="CW1007" s="4"/>
      <c r="CX1007" s="4"/>
      <c r="CY1007" s="4"/>
      <c r="CZ1007" s="4"/>
      <c r="DA1007" s="4"/>
      <c r="DB1007" s="4"/>
      <c r="DC1007" s="4"/>
      <c r="DD1007" s="4"/>
      <c r="DE1007" s="4"/>
      <c r="DF1007" s="4"/>
      <c r="DG1007" s="4"/>
      <c r="DH1007" s="4"/>
      <c r="DI1007" s="4"/>
      <c r="DJ1007" s="4"/>
      <c r="DK1007" s="4"/>
      <c r="DL1007" s="4"/>
      <c r="DM1007" s="4"/>
      <c r="DN1007" s="4"/>
      <c r="DO1007" s="4"/>
      <c r="DP1007" s="4"/>
      <c r="DQ1007" s="4"/>
      <c r="DR1007" s="4"/>
      <c r="DS1007" s="4"/>
      <c r="DT1007" s="4"/>
      <c r="DU1007" s="4"/>
      <c r="DV1007" s="4"/>
      <c r="DW1007" s="4"/>
      <c r="DX1007" s="4"/>
      <c r="DY1007" s="4"/>
      <c r="DZ1007" s="4"/>
      <c r="EA1007" s="4"/>
      <c r="EB1007" s="4"/>
      <c r="EC1007" s="4"/>
      <c r="ED1007" s="4"/>
      <c r="EE1007" s="4"/>
      <c r="EF1007" s="4"/>
      <c r="EG1007" s="4"/>
      <c r="EH1007" s="4"/>
      <c r="EI1007" s="4"/>
      <c r="EJ1007" s="4"/>
      <c r="EK1007" s="4"/>
      <c r="EL1007" s="4"/>
      <c r="EM1007" s="4"/>
      <c r="EN1007" s="4"/>
      <c r="EO1007" s="4"/>
      <c r="EP1007" s="4"/>
      <c r="EQ1007" s="4"/>
      <c r="ER1007" s="4"/>
      <c r="ES1007" s="4"/>
      <c r="ET1007" s="4"/>
      <c r="EU1007" s="4"/>
      <c r="EV1007" s="4"/>
      <c r="EW1007" s="4"/>
      <c r="EX1007" s="4"/>
      <c r="EY1007" s="4"/>
      <c r="EZ1007" s="4"/>
      <c r="FA1007" s="4"/>
      <c r="FB1007" s="4"/>
      <c r="FC1007" s="4"/>
      <c r="FD1007" s="4"/>
      <c r="FE1007" s="4"/>
      <c r="FF1007" s="4"/>
      <c r="FG1007" s="4"/>
      <c r="FH1007" s="4"/>
      <c r="FI1007" s="4"/>
      <c r="FJ1007" s="4"/>
      <c r="FK1007" s="4"/>
      <c r="FL1007" s="4"/>
      <c r="FM1007" s="4"/>
      <c r="FN1007" s="4"/>
      <c r="FO1007" s="4"/>
      <c r="FP1007" s="4"/>
      <c r="FQ1007" s="4"/>
      <c r="FR1007" s="4"/>
      <c r="FS1007" s="4"/>
      <c r="FT1007" s="4"/>
      <c r="FU1007" s="4"/>
      <c r="FV1007" s="4"/>
      <c r="FW1007" s="4"/>
      <c r="FX1007" s="4"/>
      <c r="FY1007" s="4"/>
      <c r="FZ1007" s="4"/>
      <c r="GA1007" s="4"/>
      <c r="GB1007" s="4"/>
      <c r="GC1007" s="4"/>
      <c r="GD1007" s="4"/>
      <c r="GE1007" s="4"/>
      <c r="GF1007" s="4"/>
      <c r="GG1007" s="4"/>
      <c r="GH1007" s="4"/>
      <c r="GI1007" s="4"/>
      <c r="GJ1007" s="4"/>
      <c r="GK1007" s="4"/>
      <c r="GL1007" s="4"/>
      <c r="GM1007" s="4"/>
      <c r="GN1007" s="4"/>
      <c r="GO1007" s="4"/>
      <c r="GP1007" s="4"/>
      <c r="GQ1007" s="4"/>
      <c r="GR1007" s="4"/>
      <c r="GS1007" s="4"/>
      <c r="GT1007" s="4"/>
      <c r="GU1007" s="4"/>
      <c r="GV1007" s="4"/>
      <c r="GW1007" s="4"/>
      <c r="GX1007" s="4"/>
      <c r="GY1007" s="4"/>
      <c r="GZ1007" s="4"/>
      <c r="HA1007" s="4"/>
      <c r="HB1007" s="4"/>
      <c r="HC1007" s="4"/>
      <c r="HD1007" s="4"/>
      <c r="HE1007" s="4"/>
      <c r="HF1007" s="4"/>
      <c r="HG1007" s="4"/>
      <c r="HH1007" s="4"/>
      <c r="HI1007" s="4"/>
      <c r="HJ1007" s="4"/>
      <c r="HK1007" s="4"/>
      <c r="HL1007" s="4"/>
    </row>
    <row r="1008" spans="1:220" ht="15" customHeight="1">
      <c r="A1008" s="21">
        <v>10</v>
      </c>
      <c r="B1008" s="157" t="str">
        <f>VLOOKUP(Ruimtestaat[[#This Row],[Code]],Locaties[[Code]:[Locatie]],2,FALSE)</f>
        <v>Veurs Voorburg vmbo</v>
      </c>
      <c r="C1008" s="157" t="str">
        <f>VLOOKUP(Ruimtestaat[[#This Row],[Code]],Locaties[[#All],[Code]:[Adres]],4,FALSE)</f>
        <v>Delflandlaan 4</v>
      </c>
      <c r="D1008" s="157" t="str">
        <f>VLOOKUP(Ruimtestaat[[#This Row],[Code]],Locaties[[#All],[Code]:[Postcode]],5,FALSE)</f>
        <v>2273 CS</v>
      </c>
      <c r="E1008" s="157" t="str">
        <f>VLOOKUP(Ruimtestaat[[#This Row],[Code]],Locaties[#All],6,FALSE)</f>
        <v>Voorburg</v>
      </c>
      <c r="F1008" s="62"/>
      <c r="G1008" s="21" t="s">
        <v>1706</v>
      </c>
      <c r="H1008" s="21" t="s">
        <v>2317</v>
      </c>
      <c r="I1008" s="62" t="s">
        <v>2491</v>
      </c>
      <c r="J1008" s="21">
        <v>5</v>
      </c>
      <c r="K1008" s="62" t="str">
        <f>VLOOKUP(Ruimtestaat[[#This Row],[Ruimte code]],Ruimtegroepen[[#All],[Code]:[Ruimte omschrijving]],2,FALSE)</f>
        <v>Sanitair</v>
      </c>
      <c r="L1008" s="33" t="s">
        <v>102</v>
      </c>
      <c r="M1008" s="367" t="s">
        <v>2496</v>
      </c>
      <c r="N1008" s="140">
        <v>2.2000000000000002</v>
      </c>
      <c r="O1008" s="140"/>
      <c r="P1008" s="125" t="str">
        <f>VLOOKUP(Ruimtestaat[[#This Row],[Ruimte code]],Ruimtegroepen[],4,FALSE)</f>
        <v>Sa</v>
      </c>
      <c r="R1008" s="33">
        <v>40</v>
      </c>
      <c r="S1008" s="33" t="s">
        <v>2</v>
      </c>
      <c r="T1008" s="33">
        <f>IF(R1008&gt;0,IF(RIGHT(Ruimtestaat[[#This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8" s="33">
        <f>IF(T1008&gt;0,VLOOKUP($J1008,Ruimtegroepen[],3,FALSE)*VLOOKUP($L1008,Vloersoorten[],3,FALSE)*VLOOKUP($S1008,Frequenties[],3,FALSE)*VLOOKUP($A1008,Locaties[],3,FALSE),0)</f>
        <v>0</v>
      </c>
      <c r="V1008" s="33">
        <f>Ruimtestaat[[#This Row],[Uitvoeringen werkdagen]]*Ruimtestaat[[#This Row],[Oppervlak (netto)]]</f>
        <v>440.00000000000006</v>
      </c>
      <c r="W1008" s="154">
        <f>IF(U1008&gt;0,Ruimtestaat[[#This Row],[Prest. (m2 /jaar) werkdagen]]/Ruimtestaat[[#This Row],[Norm (m2/uur) werkdagen]],0)</f>
        <v>0</v>
      </c>
      <c r="X1008" s="155">
        <f>Ruimtestaat[[#This Row],[uren / jaar werkdagen]]*Tariefsopbouw!$E$35</f>
        <v>0</v>
      </c>
      <c r="Y1008" s="33"/>
      <c r="Z1008" s="33">
        <f>IF(Ruimtestaat[[#This Row],[Frequentie weekend]]&gt;0,VALUE(LEFT(Y1008,1))*R1008,0)</f>
        <v>0</v>
      </c>
      <c r="AA1008" s="97">
        <f>IF($Z1008&gt;0,VLOOKUP($J1008,Ruimtegroepen[],3,FALSE)*VLOOKUP($L1008,Vloersoorten[],3,FALSE)*VLOOKUP($Y1008,Frequenties[],3,FALSE)*VLOOKUP(Ruimtestaat[[#This Row],[Code]],Locaties[],3,FALSE),0)</f>
        <v>0</v>
      </c>
      <c r="AB1008" s="97">
        <f>Ruimtestaat[[#This Row],[Uitvoeringen weekend]]*Ruimtestaat[[#This Row],[Oppervlak (netto)]]</f>
        <v>0</v>
      </c>
      <c r="AC1008" s="97">
        <f>IF(AA1008&gt;0,Ruimtestaat[[#This Row],[Prest. (m2 /jaar) weekend]]/Ruimtestaat[[#This Row],[Norm (m2/uur) weekend]],0)</f>
        <v>0</v>
      </c>
      <c r="AD1008" s="155">
        <f>Ruimtestaat[[#This Row],[uren / jaar weekend]]*Tariefsopbouw!$D$40</f>
        <v>0</v>
      </c>
      <c r="AE1008" s="154">
        <f>Ruimtestaat[[#This Row],[Prest. (m2 /jaar) weekend]]+Ruimtestaat[[#This Row],[Prest. (m2 /jaar) werkdagen]]</f>
        <v>440.00000000000006</v>
      </c>
      <c r="AF1008" s="154">
        <f>Ruimtestaat[[#This Row],[uren / jaar weekend]]+Ruimtestaat[[#This Row],[uren / jaar werkdagen]]</f>
        <v>0</v>
      </c>
      <c r="AG1008" s="69">
        <f>Ruimtestaat[[#This Row],[kosten / jaar weekend]]+Ruimtestaat[[#This Row],[kosten / jaar werkdagen]]</f>
        <v>0</v>
      </c>
      <c r="AH1008" s="69"/>
      <c r="AI1008" s="256" t="str">
        <f>IF(Ruimtestaat[[#This Row],[Frequentie werkdagen]]="","",_xlfn.CONCAT(Ruimtestaat[[#This Row],[Ruimte code]],"-",Ruimtestaat[[#This Row],[Frequentie werkdagen]]," ",Ruimtestaat[[#This Row],[Vloer code]]))</f>
        <v>5-5w S</v>
      </c>
      <c r="AJ1008" s="300" t="str">
        <f>_xlfn.IFNA(VLOOKUP($AI1008,Programma!$F$3:$G$1107,2,0),"")</f>
        <v>_</v>
      </c>
      <c r="AK1008" s="300" t="str">
        <f>_xlfn.IFNA(VLOOKUP($AI1008,Programma!$F$3:$H$1107,3,0),"")</f>
        <v>_</v>
      </c>
      <c r="AL1008" s="300" t="str">
        <f>_xlfn.IFNA(VLOOKUP($AI1008,Programma!$F$3:$I$1107,4,0),"")</f>
        <v>_</v>
      </c>
      <c r="AM1008" s="300" t="str">
        <f>_xlfn.IFNA(VLOOKUP($AI1008,Programma!$F$3:$J$1107,5,0),"")</f>
        <v>4w</v>
      </c>
      <c r="AN1008" s="300" t="str">
        <f>_xlfn.IFNA(VLOOKUP($AI1008,Programma!$F$3:$K$1107,6,0),"")</f>
        <v>1w</v>
      </c>
      <c r="AO1008" s="300" t="str">
        <f>_xlfn.IFNA(VLOOKUP($AI1008,Programma!$F$3:$L$1107,7,0),"")</f>
        <v>_</v>
      </c>
      <c r="AP1008" s="300" t="str">
        <f>_xlfn.IFNA(VLOOKUP($AI1008,Programma!$F$3:$M$1107,8,0),"")</f>
        <v>_</v>
      </c>
      <c r="AQ1008" s="300" t="str">
        <f>_xlfn.IFNA(VLOOKUP($AI1008,Programma!$F$3:$N$1107,9,0),"")</f>
        <v>_</v>
      </c>
      <c r="AR1008" s="300" t="str">
        <f>_xlfn.IFNA(VLOOKUP($AI1008,Programma!$F$3:$O$1107,10,0),"")</f>
        <v>_</v>
      </c>
      <c r="AS1008" s="300" t="str">
        <f>_xlfn.IFNA(VLOOKUP($AI1008,Programma!$F$3:$P$1107,11,0),"")</f>
        <v>_</v>
      </c>
      <c r="AT1008" s="300" t="str">
        <f>_xlfn.IFNA(VLOOKUP($AI1008,Programma!$F$3:$Q$1107,12,0),"")</f>
        <v>_</v>
      </c>
      <c r="AU1008" s="300" t="str">
        <f>_xlfn.IFNA(VLOOKUP($AI1008,Programma!$F$3:$R$1107,13,0),"")</f>
        <v>_</v>
      </c>
      <c r="AV1008" s="300" t="str">
        <f>_xlfn.IFNA(VLOOKUP($AI1008,Programma!$F$3:$S$1107,14,0),"")</f>
        <v>_</v>
      </c>
      <c r="AW1008" s="300" t="str">
        <f>_xlfn.IFNA(VLOOKUP($AI1008,Programma!$F$3:$T$1107,15,0),"")</f>
        <v>_</v>
      </c>
      <c r="AX1008" s="300" t="str">
        <f>_xlfn.IFNA(VLOOKUP($AI1008,Programma!$F$3:$U$1107,16,0),"")</f>
        <v>_</v>
      </c>
      <c r="AY1008" s="300" t="str">
        <f>_xlfn.IFNA(VLOOKUP($AI1008,Programma!$F$3:$V$1107,17,0),"")</f>
        <v>_</v>
      </c>
      <c r="AZ1008" s="300" t="str">
        <f>_xlfn.IFNA(VLOOKUP($AI1008,Programma!$F$3:$W$1107,18,0),"")</f>
        <v>4w</v>
      </c>
      <c r="BA1008" s="300" t="str">
        <f>_xlfn.IFNA(VLOOKUP($AI1008,Programma!$F$3:$X$1107,19,0),"")</f>
        <v>1w</v>
      </c>
      <c r="BB1008" s="300" t="str">
        <f>_xlfn.IFNA(VLOOKUP($AI1008,Programma!$F$3:$Y$1107,20,0),"")</f>
        <v>_</v>
      </c>
      <c r="BC1008" s="257"/>
      <c r="BD1008" s="256" t="str">
        <f>IF(Ruimtestaat[[#This Row],[Frequentie weekend]]="","",_xlfn.CONCAT(Ruimtestaat[[#This Row],[Ruimte code]],"-",Ruimtestaat[[#This Row],[Frequentie weekend]]," ",Ruimtestaat[[#This Row],[Vloer code]]))</f>
        <v/>
      </c>
      <c r="BE1008" s="300" t="str">
        <f>_xlfn.IFNA(VLOOKUP($BD1008,Programma!$F$3:$G$1107,2,0),"")</f>
        <v/>
      </c>
      <c r="BF1008" s="300" t="str">
        <f>_xlfn.IFNA(VLOOKUP($BD1008,Programma!$F$3:$H$1107,3,0),"")</f>
        <v/>
      </c>
      <c r="BG1008" s="300" t="str">
        <f>_xlfn.IFNA(VLOOKUP($BD1008,Programma!$F$3:$I$1107,4,0),"")</f>
        <v/>
      </c>
      <c r="BH1008" s="300" t="str">
        <f>_xlfn.IFNA(VLOOKUP($BD1008,Programma!$F$3:$J$1107,5,0),"")</f>
        <v/>
      </c>
      <c r="BI1008" s="300" t="str">
        <f>_xlfn.IFNA(VLOOKUP($BD1008,Programma!$F$3:$K$1107,6,0),"")</f>
        <v/>
      </c>
      <c r="BJ1008" s="300" t="str">
        <f>_xlfn.IFNA(VLOOKUP($BD1008,Programma!$F$3:$L$1107,7,0),"")</f>
        <v/>
      </c>
      <c r="BK1008" s="300" t="str">
        <f>_xlfn.IFNA(VLOOKUP($BD1008,Programma!$F$3:$M$1107,8,0),"")</f>
        <v/>
      </c>
      <c r="BL1008" s="300" t="str">
        <f>_xlfn.IFNA(VLOOKUP($BD1008,Programma!$F$3:$N$1107,9,0),"")</f>
        <v/>
      </c>
      <c r="BM1008" s="300" t="str">
        <f>_xlfn.IFNA(VLOOKUP($BD1008,Programma!$F$3:$O$1107,10,0),"")</f>
        <v/>
      </c>
      <c r="BN1008" s="300" t="str">
        <f>_xlfn.IFNA(VLOOKUP($BD1008,Programma!$F$3:$P$1107,11,0),"")</f>
        <v/>
      </c>
      <c r="BO1008" s="300" t="str">
        <f>_xlfn.IFNA(VLOOKUP($BD1008,Programma!$F$3:$Q$1107,12,0),"")</f>
        <v/>
      </c>
      <c r="BP1008" s="300" t="str">
        <f>_xlfn.IFNA(VLOOKUP($BD1008,Programma!$F$3:$R$1107,13,0),"")</f>
        <v/>
      </c>
      <c r="BQ1008" s="300" t="str">
        <f>_xlfn.IFNA(VLOOKUP($BD1008,Programma!$F$3:$S$1107,14,0),"")</f>
        <v/>
      </c>
      <c r="BR1008" s="300" t="str">
        <f>_xlfn.IFNA(VLOOKUP($BD1008,Programma!$F$3:$T$1107,15,0),"")</f>
        <v/>
      </c>
      <c r="BS1008" s="300" t="str">
        <f>_xlfn.IFNA(VLOOKUP($BD1008,Programma!$F$3:$U$1107,16,0),"")</f>
        <v/>
      </c>
      <c r="BT1008" s="300" t="str">
        <f>_xlfn.IFNA(VLOOKUP($BD1008,Programma!$F$3:$V$1107,17,0),"")</f>
        <v/>
      </c>
      <c r="BU1008" s="300" t="str">
        <f>_xlfn.IFNA(VLOOKUP($BD1008,Programma!$F$3:$W$1107,18,0),"")</f>
        <v/>
      </c>
      <c r="BV1008" s="300" t="str">
        <f>_xlfn.IFNA(VLOOKUP($BD1008,Programma!$F$3:$X$1107,19,0),"")</f>
        <v/>
      </c>
      <c r="BW1008" s="300" t="str">
        <f>_xlfn.IFNA(VLOOKUP($BD1008,Programma!$F$3:$Y$1107,20,0),"")</f>
        <v/>
      </c>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c r="GK1008" s="4"/>
      <c r="GL1008" s="4"/>
      <c r="GM1008" s="4"/>
      <c r="GN1008" s="4"/>
      <c r="GO1008" s="4"/>
      <c r="GP1008" s="4"/>
      <c r="GQ1008" s="4"/>
      <c r="GR1008" s="4"/>
      <c r="GS1008" s="4"/>
      <c r="GT1008" s="4"/>
      <c r="GU1008" s="4"/>
      <c r="GV1008" s="4"/>
      <c r="GW1008" s="4"/>
      <c r="GX1008" s="4"/>
      <c r="GY1008" s="4"/>
      <c r="GZ1008" s="4"/>
      <c r="HA1008" s="4"/>
      <c r="HB1008" s="4"/>
      <c r="HC1008" s="4"/>
      <c r="HD1008" s="4"/>
      <c r="HE1008" s="4"/>
      <c r="HF1008" s="4"/>
      <c r="HG1008" s="4"/>
      <c r="HH1008" s="4"/>
      <c r="HI1008" s="4"/>
      <c r="HJ1008" s="4"/>
      <c r="HK1008" s="4"/>
      <c r="HL1008" s="4"/>
    </row>
    <row r="1009" spans="2:220" ht="15" customHeight="1">
      <c r="B1009" s="157" t="e">
        <f>VLOOKUP(Ruimtestaat[[#This Row],[Code]],Locaties[[Code]:[Locatie]],2,FALSE)</f>
        <v>#N/A</v>
      </c>
      <c r="C1009" s="157" t="e">
        <f>VLOOKUP(Ruimtestaat[[#This Row],[Code]],Locaties[[#All],[Code]:[Adres]],4,FALSE)</f>
        <v>#N/A</v>
      </c>
      <c r="D1009" s="157" t="e">
        <f>VLOOKUP(Ruimtestaat[[#This Row],[Code]],Locaties[[#All],[Code]:[Postcode]],5,FALSE)</f>
        <v>#N/A</v>
      </c>
      <c r="E1009" s="157" t="e">
        <f>VLOOKUP(Ruimtestaat[[#This Row],[Code]],Locaties[#All],6,FALSE)</f>
        <v>#N/A</v>
      </c>
      <c r="F1009" s="62"/>
      <c r="K1009" s="62" t="e">
        <f>VLOOKUP(Ruimtestaat[[#This Row],[Ruimte code]],Ruimtegroepen[[#All],[Code]:[Ruimte omschrijving]],2,FALSE)</f>
        <v>#N/A</v>
      </c>
      <c r="L1009" s="33"/>
      <c r="M1009" s="367"/>
      <c r="N1009" s="140"/>
      <c r="O1009" s="299"/>
      <c r="P1009" s="125" t="e">
        <f>VLOOKUP(Ruimtestaat[[#This Row],[Ruimte code]],Ruimtegroepen[],4,FALSE)</f>
        <v>#N/A</v>
      </c>
      <c r="R1009" s="33"/>
      <c r="S1009" s="33"/>
      <c r="T1009" s="33">
        <f>IF(R1009&gt;0,IF(RIGHT(Ruimtestaat[[#This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09" s="33">
        <f>IF(T1009&gt;0,VLOOKUP($J1009,Ruimtegroepen[],3,FALSE)*VLOOKUP($L1009,Vloersoorten[],3,FALSE)*VLOOKUP($S1009,Frequenties[],3,FALSE)*VLOOKUP($A1009,Locaties[],3,FALSE),0)</f>
        <v>0</v>
      </c>
      <c r="V1009" s="33">
        <f>Ruimtestaat[[#This Row],[Uitvoeringen werkdagen]]*Ruimtestaat[[#This Row],[Oppervlak (netto)]]</f>
        <v>0</v>
      </c>
      <c r="W1009" s="154">
        <f>IF(U1009&gt;0,Ruimtestaat[[#This Row],[Prest. (m2 /jaar) werkdagen]]/Ruimtestaat[[#This Row],[Norm (m2/uur) werkdagen]],0)</f>
        <v>0</v>
      </c>
      <c r="X1009" s="155">
        <f>Ruimtestaat[[#This Row],[uren / jaar werkdagen]]*Tariefsopbouw!$E$35</f>
        <v>0</v>
      </c>
      <c r="Y1009" s="33"/>
      <c r="Z1009" s="33">
        <f>IF(Ruimtestaat[[#This Row],[Frequentie weekend]]&gt;0,VALUE(LEFT(Y1009,1))*R1009,0)</f>
        <v>0</v>
      </c>
      <c r="AA1009" s="97">
        <f>IF($Z1009&gt;0,VLOOKUP($J1009,Ruimtegroepen[],3,FALSE)*VLOOKUP($L1009,Vloersoorten[],3,FALSE)*VLOOKUP($Y1009,Frequenties[],3,FALSE)*VLOOKUP(Ruimtestaat[[#This Row],[Code]],Locaties[],3,FALSE),0)</f>
        <v>0</v>
      </c>
      <c r="AB1009" s="97">
        <f>Ruimtestaat[[#This Row],[Uitvoeringen weekend]]*Ruimtestaat[[#This Row],[Oppervlak (netto)]]</f>
        <v>0</v>
      </c>
      <c r="AC1009" s="97">
        <f>IF(AA1009&gt;0,Ruimtestaat[[#This Row],[Prest. (m2 /jaar) weekend]]/Ruimtestaat[[#This Row],[Norm (m2/uur) weekend]],0)</f>
        <v>0</v>
      </c>
      <c r="AD1009" s="155">
        <f>Ruimtestaat[[#This Row],[uren / jaar weekend]]*Tariefsopbouw!$D$40</f>
        <v>0</v>
      </c>
      <c r="AE1009" s="154">
        <f>Ruimtestaat[[#This Row],[Prest. (m2 /jaar) weekend]]+Ruimtestaat[[#This Row],[Prest. (m2 /jaar) werkdagen]]</f>
        <v>0</v>
      </c>
      <c r="AF1009" s="154">
        <f>Ruimtestaat[[#This Row],[uren / jaar weekend]]+Ruimtestaat[[#This Row],[uren / jaar werkdagen]]</f>
        <v>0</v>
      </c>
      <c r="AG1009" s="69">
        <f>Ruimtestaat[[#This Row],[kosten / jaar weekend]]+Ruimtestaat[[#This Row],[kosten / jaar werkdagen]]</f>
        <v>0</v>
      </c>
      <c r="AH1009" s="69"/>
      <c r="AI1009" s="256" t="str">
        <f>IF(Ruimtestaat[[#This Row],[Frequentie werkdagen]]="","",_xlfn.CONCAT(Ruimtestaat[[#This Row],[Ruimte code]],"-",Ruimtestaat[[#This Row],[Frequentie werkdagen]]," ",Ruimtestaat[[#This Row],[Vloer code]]))</f>
        <v/>
      </c>
      <c r="AJ1009" s="300" t="str">
        <f>_xlfn.IFNA(VLOOKUP($AI1009,Programma!$F$3:$G$1107,2,0),"")</f>
        <v/>
      </c>
      <c r="AK1009" s="300" t="str">
        <f>_xlfn.IFNA(VLOOKUP($AI1009,Programma!$F$3:$H$1107,3,0),"")</f>
        <v/>
      </c>
      <c r="AL1009" s="300" t="str">
        <f>_xlfn.IFNA(VLOOKUP($AI1009,Programma!$F$3:$I$1107,4,0),"")</f>
        <v/>
      </c>
      <c r="AM1009" s="300" t="str">
        <f>_xlfn.IFNA(VLOOKUP($AI1009,Programma!$F$3:$J$1107,5,0),"")</f>
        <v/>
      </c>
      <c r="AN1009" s="300" t="str">
        <f>_xlfn.IFNA(VLOOKUP($AI1009,Programma!$F$3:$K$1107,6,0),"")</f>
        <v/>
      </c>
      <c r="AO1009" s="300" t="str">
        <f>_xlfn.IFNA(VLOOKUP($AI1009,Programma!$F$3:$L$1107,7,0),"")</f>
        <v/>
      </c>
      <c r="AP1009" s="300" t="str">
        <f>_xlfn.IFNA(VLOOKUP($AI1009,Programma!$F$3:$M$1107,8,0),"")</f>
        <v/>
      </c>
      <c r="AQ1009" s="300" t="str">
        <f>_xlfn.IFNA(VLOOKUP($AI1009,Programma!$F$3:$N$1107,9,0),"")</f>
        <v/>
      </c>
      <c r="AR1009" s="300" t="str">
        <f>_xlfn.IFNA(VLOOKUP($AI1009,Programma!$F$3:$O$1107,10,0),"")</f>
        <v/>
      </c>
      <c r="AS1009" s="300" t="str">
        <f>_xlfn.IFNA(VLOOKUP($AI1009,Programma!$F$3:$P$1107,11,0),"")</f>
        <v/>
      </c>
      <c r="AT1009" s="300" t="str">
        <f>_xlfn.IFNA(VLOOKUP($AI1009,Programma!$F$3:$Q$1107,12,0),"")</f>
        <v/>
      </c>
      <c r="AU1009" s="300" t="str">
        <f>_xlfn.IFNA(VLOOKUP($AI1009,Programma!$F$3:$R$1107,13,0),"")</f>
        <v/>
      </c>
      <c r="AV1009" s="300" t="str">
        <f>_xlfn.IFNA(VLOOKUP($AI1009,Programma!$F$3:$S$1107,14,0),"")</f>
        <v/>
      </c>
      <c r="AW1009" s="300" t="str">
        <f>_xlfn.IFNA(VLOOKUP($AI1009,Programma!$F$3:$T$1107,15,0),"")</f>
        <v/>
      </c>
      <c r="AX1009" s="300" t="str">
        <f>_xlfn.IFNA(VLOOKUP($AI1009,Programma!$F$3:$U$1107,16,0),"")</f>
        <v/>
      </c>
      <c r="AY1009" s="300" t="str">
        <f>_xlfn.IFNA(VLOOKUP($AI1009,Programma!$F$3:$V$1107,17,0),"")</f>
        <v/>
      </c>
      <c r="AZ1009" s="300" t="str">
        <f>_xlfn.IFNA(VLOOKUP($AI1009,Programma!$F$3:$W$1107,18,0),"")</f>
        <v/>
      </c>
      <c r="BA1009" s="300" t="str">
        <f>_xlfn.IFNA(VLOOKUP($AI1009,Programma!$F$3:$X$1107,19,0),"")</f>
        <v/>
      </c>
      <c r="BB1009" s="300" t="str">
        <f>_xlfn.IFNA(VLOOKUP($AI1009,Programma!$F$3:$Y$1107,20,0),"")</f>
        <v/>
      </c>
      <c r="BC1009" s="257"/>
      <c r="BD1009" s="256" t="str">
        <f>IF(Ruimtestaat[[#This Row],[Frequentie weekend]]="","",_xlfn.CONCAT(Ruimtestaat[[#This Row],[Ruimte code]],"-",Ruimtestaat[[#This Row],[Frequentie weekend]]," ",Ruimtestaat[[#This Row],[Vloer code]]))</f>
        <v/>
      </c>
      <c r="BE1009" s="300" t="str">
        <f>_xlfn.IFNA(VLOOKUP($BD1009,Programma!$F$3:$G$1107,2,0),"")</f>
        <v/>
      </c>
      <c r="BF1009" s="300" t="str">
        <f>_xlfn.IFNA(VLOOKUP($BD1009,Programma!$F$3:$H$1107,3,0),"")</f>
        <v/>
      </c>
      <c r="BG1009" s="300" t="str">
        <f>_xlfn.IFNA(VLOOKUP($BD1009,Programma!$F$3:$I$1107,4,0),"")</f>
        <v/>
      </c>
      <c r="BH1009" s="300" t="str">
        <f>_xlfn.IFNA(VLOOKUP($BD1009,Programma!$F$3:$J$1107,5,0),"")</f>
        <v/>
      </c>
      <c r="BI1009" s="300" t="str">
        <f>_xlfn.IFNA(VLOOKUP($BD1009,Programma!$F$3:$K$1107,6,0),"")</f>
        <v/>
      </c>
      <c r="BJ1009" s="300" t="str">
        <f>_xlfn.IFNA(VLOOKUP($BD1009,Programma!$F$3:$L$1107,7,0),"")</f>
        <v/>
      </c>
      <c r="BK1009" s="300" t="str">
        <f>_xlfn.IFNA(VLOOKUP($BD1009,Programma!$F$3:$M$1107,8,0),"")</f>
        <v/>
      </c>
      <c r="BL1009" s="300" t="str">
        <f>_xlfn.IFNA(VLOOKUP($BD1009,Programma!$F$3:$N$1107,9,0),"")</f>
        <v/>
      </c>
      <c r="BM1009" s="300" t="str">
        <f>_xlfn.IFNA(VLOOKUP($BD1009,Programma!$F$3:$O$1107,10,0),"")</f>
        <v/>
      </c>
      <c r="BN1009" s="300" t="str">
        <f>_xlfn.IFNA(VLOOKUP($BD1009,Programma!$F$3:$P$1107,11,0),"")</f>
        <v/>
      </c>
      <c r="BO1009" s="300" t="str">
        <f>_xlfn.IFNA(VLOOKUP($BD1009,Programma!$F$3:$Q$1107,12,0),"")</f>
        <v/>
      </c>
      <c r="BP1009" s="300" t="str">
        <f>_xlfn.IFNA(VLOOKUP($BD1009,Programma!$F$3:$R$1107,13,0),"")</f>
        <v/>
      </c>
      <c r="BQ1009" s="300" t="str">
        <f>_xlfn.IFNA(VLOOKUP($BD1009,Programma!$F$3:$S$1107,14,0),"")</f>
        <v/>
      </c>
      <c r="BR1009" s="300" t="str">
        <f>_xlfn.IFNA(VLOOKUP($BD1009,Programma!$F$3:$T$1107,15,0),"")</f>
        <v/>
      </c>
      <c r="BS1009" s="300" t="str">
        <f>_xlfn.IFNA(VLOOKUP($BD1009,Programma!$F$3:$U$1107,16,0),"")</f>
        <v/>
      </c>
      <c r="BT1009" s="300" t="str">
        <f>_xlfn.IFNA(VLOOKUP($BD1009,Programma!$F$3:$V$1107,17,0),"")</f>
        <v/>
      </c>
      <c r="BU1009" s="300" t="str">
        <f>_xlfn.IFNA(VLOOKUP($BD1009,Programma!$F$3:$W$1107,18,0),"")</f>
        <v/>
      </c>
      <c r="BV1009" s="300" t="str">
        <f>_xlfn.IFNA(VLOOKUP($BD1009,Programma!$F$3:$X$1107,19,0),"")</f>
        <v/>
      </c>
      <c r="BW1009" s="300" t="str">
        <f>_xlfn.IFNA(VLOOKUP($BD1009,Programma!$F$3:$Y$1107,20,0),"")</f>
        <v/>
      </c>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c r="GK1009" s="4"/>
      <c r="GL1009" s="4"/>
      <c r="GM1009" s="4"/>
      <c r="GN1009" s="4"/>
      <c r="GO1009" s="4"/>
      <c r="GP1009" s="4"/>
      <c r="GQ1009" s="4"/>
      <c r="GR1009" s="4"/>
      <c r="GS1009" s="4"/>
      <c r="GT1009" s="4"/>
      <c r="GU1009" s="4"/>
      <c r="GV1009" s="4"/>
      <c r="GW1009" s="4"/>
      <c r="GX1009" s="4"/>
      <c r="GY1009" s="4"/>
      <c r="GZ1009" s="4"/>
      <c r="HA1009" s="4"/>
      <c r="HB1009" s="4"/>
      <c r="HC1009" s="4"/>
      <c r="HD1009" s="4"/>
      <c r="HE1009" s="4"/>
      <c r="HF1009" s="4"/>
      <c r="HG1009" s="4"/>
      <c r="HH1009" s="4"/>
      <c r="HI1009" s="4"/>
      <c r="HJ1009" s="4"/>
      <c r="HK1009" s="4"/>
      <c r="HL1009" s="4"/>
    </row>
  </sheetData>
  <sortState xmlns:xlrd2="http://schemas.microsoft.com/office/spreadsheetml/2017/richdata2" ref="B5:S1009">
    <sortCondition ref="F5:F1009"/>
  </sortState>
  <mergeCells count="13">
    <mergeCell ref="AJ2:BB2"/>
    <mergeCell ref="BE2:BW2"/>
    <mergeCell ref="AJ3:AQ3"/>
    <mergeCell ref="AR3:AY3"/>
    <mergeCell ref="AZ3:BB3"/>
    <mergeCell ref="BE3:BL3"/>
    <mergeCell ref="BM3:BT3"/>
    <mergeCell ref="BU3:BW3"/>
    <mergeCell ref="A1:P1"/>
    <mergeCell ref="R1:AG1"/>
    <mergeCell ref="S3:X3"/>
    <mergeCell ref="Y3:AD3"/>
    <mergeCell ref="AE3:AG3"/>
  </mergeCells>
  <phoneticPr fontId="12"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5"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91"/>
  <sheetViews>
    <sheetView showGridLines="0" view="pageBreakPreview" zoomScaleNormal="100" zoomScaleSheetLayoutView="100" workbookViewId="0">
      <selection sqref="A1:H1"/>
    </sheetView>
  </sheetViews>
  <sheetFormatPr defaultColWidth="9.140625" defaultRowHeight="15" customHeight="1"/>
  <cols>
    <col min="1" max="1" width="9.7109375" style="4" customWidth="1"/>
    <col min="2" max="2" width="37.42578125" style="4" bestFit="1" customWidth="1"/>
    <col min="3" max="3" width="14.85546875" style="21" customWidth="1"/>
    <col min="4" max="4" width="67.85546875" style="4" bestFit="1" customWidth="1"/>
    <col min="5" max="5" width="17.7109375" style="4" bestFit="1" customWidth="1"/>
    <col min="6" max="6" width="17.7109375" style="119"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394" t="s">
        <v>161</v>
      </c>
      <c r="B1" s="394"/>
      <c r="C1" s="394"/>
      <c r="D1" s="394"/>
      <c r="E1" s="394"/>
      <c r="F1" s="394"/>
      <c r="G1" s="394"/>
      <c r="H1" s="394"/>
    </row>
    <row r="2" spans="1:13" s="9" customFormat="1" ht="15" customHeight="1">
      <c r="A2" s="436" t="s">
        <v>265</v>
      </c>
      <c r="B2" s="396"/>
      <c r="C2" s="396"/>
      <c r="D2" s="396"/>
      <c r="E2" s="396"/>
      <c r="F2" s="396"/>
      <c r="G2" s="396"/>
      <c r="H2" s="396"/>
    </row>
    <row r="3" spans="1:13" ht="15" customHeight="1">
      <c r="B3" s="21"/>
      <c r="C3" s="4"/>
      <c r="D3" s="274"/>
      <c r="E3" s="275"/>
    </row>
    <row r="4" spans="1:13" ht="15" customHeight="1">
      <c r="A4" s="4" t="s">
        <v>169</v>
      </c>
      <c r="B4" s="35"/>
      <c r="C4" s="35"/>
      <c r="D4" s="35"/>
      <c r="E4" s="35"/>
      <c r="F4" s="120"/>
      <c r="G4" s="36"/>
    </row>
    <row r="5" spans="1:13" ht="15" customHeight="1">
      <c r="A5" s="4" t="s">
        <v>227</v>
      </c>
      <c r="B5" s="35"/>
      <c r="C5" s="35"/>
      <c r="D5" s="35"/>
      <c r="E5" s="35"/>
      <c r="F5" s="120"/>
      <c r="G5" s="36"/>
    </row>
    <row r="6" spans="1:13" ht="15" customHeight="1">
      <c r="A6" s="4" t="s">
        <v>220</v>
      </c>
      <c r="B6" s="38"/>
      <c r="C6" s="39"/>
      <c r="D6" s="39"/>
      <c r="E6" s="39"/>
      <c r="F6" s="121"/>
    </row>
    <row r="7" spans="1:13" ht="15" customHeight="1">
      <c r="B7" s="38"/>
      <c r="C7" s="38"/>
      <c r="D7" s="34"/>
      <c r="E7" s="437" t="s">
        <v>249</v>
      </c>
      <c r="F7" s="437"/>
      <c r="G7" s="437"/>
      <c r="H7" s="437"/>
      <c r="I7" s="437"/>
      <c r="M7" s="163"/>
    </row>
    <row r="8" spans="1:13" s="8" customFormat="1" ht="26.25" customHeight="1">
      <c r="A8" s="47" t="s">
        <v>200</v>
      </c>
      <c r="B8" s="48" t="s">
        <v>151</v>
      </c>
      <c r="C8" s="49" t="s">
        <v>143</v>
      </c>
      <c r="D8" s="47" t="s">
        <v>1315</v>
      </c>
      <c r="E8" s="47" t="s">
        <v>266</v>
      </c>
      <c r="F8" s="47" t="s">
        <v>1265</v>
      </c>
      <c r="G8" s="47" t="s">
        <v>1316</v>
      </c>
      <c r="H8" s="47" t="s">
        <v>1595</v>
      </c>
      <c r="I8" s="47" t="s">
        <v>2589</v>
      </c>
      <c r="M8" s="174"/>
    </row>
    <row r="9" spans="1:13" ht="15" customHeight="1">
      <c r="A9" s="198">
        <v>1</v>
      </c>
      <c r="B9" s="267" t="s">
        <v>156</v>
      </c>
      <c r="C9" s="50">
        <v>0</v>
      </c>
      <c r="D9" s="199" t="s">
        <v>152</v>
      </c>
      <c r="E9" s="247" t="e">
        <f>InvulVloer19[[#This Row],[Prijs]]*Tariefsopbouw!$I$37+InvulVloer19[[#This Row],[Prijs]]</f>
        <v>#DIV/0!</v>
      </c>
      <c r="F9" s="361" t="e">
        <f>InvulVloer19[[#This Row],[2026]]*Tariefsopbouw!$K$37+InvulVloer19[[#This Row],[2026]]</f>
        <v>#DIV/0!</v>
      </c>
      <c r="G9" s="361" t="e">
        <f>InvulVloer19[[#This Row],[2027]]*Tariefsopbouw!$M$37+InvulVloer19[[#This Row],[2027]]</f>
        <v>#DIV/0!</v>
      </c>
      <c r="H9" s="361" t="e">
        <f>InvulVloer19[[#This Row],[2028]]*Tariefsopbouw!$O$37+InvulVloer19[[#This Row],[2028]]</f>
        <v>#DIV/0!</v>
      </c>
      <c r="I9" s="361" t="e">
        <f>InvulVloer19[[#This Row],[2029]]*Tariefsopbouw!$Q$37+InvulVloer19[[#This Row],[2029]]</f>
        <v>#DIV/0!</v>
      </c>
      <c r="M9" s="163"/>
    </row>
    <row r="10" spans="1:13" ht="15" customHeight="1">
      <c r="A10" s="198">
        <v>2</v>
      </c>
      <c r="B10" s="267" t="s">
        <v>250</v>
      </c>
      <c r="C10" s="50">
        <v>0</v>
      </c>
      <c r="D10" s="199" t="s">
        <v>152</v>
      </c>
      <c r="E10" s="247" t="e">
        <f>InvulVloer19[[#This Row],[Prijs]]*Tariefsopbouw!$I$37+InvulVloer19[[#This Row],[Prijs]]</f>
        <v>#DIV/0!</v>
      </c>
      <c r="F10" s="247" t="e">
        <f>InvulVloer19[[#This Row],[2026]]*Tariefsopbouw!$K$37+InvulVloer19[[#This Row],[2026]]</f>
        <v>#DIV/0!</v>
      </c>
      <c r="G10" s="247" t="e">
        <f>InvulVloer19[[#This Row],[2027]]*Tariefsopbouw!$M$37+InvulVloer19[[#This Row],[2027]]</f>
        <v>#DIV/0!</v>
      </c>
      <c r="H10" s="247" t="e">
        <f>InvulVloer19[[#This Row],[2028]]*Tariefsopbouw!$O$37+InvulVloer19[[#This Row],[2028]]</f>
        <v>#DIV/0!</v>
      </c>
      <c r="I10" s="247" t="e">
        <f>InvulVloer19[[#This Row],[2029]]*Tariefsopbouw!$Q$37+InvulVloer19[[#This Row],[2029]]</f>
        <v>#DIV/0!</v>
      </c>
      <c r="M10" s="173"/>
    </row>
    <row r="11" spans="1:13" ht="15" customHeight="1">
      <c r="A11" s="198">
        <v>3</v>
      </c>
      <c r="B11" s="267" t="s">
        <v>157</v>
      </c>
      <c r="C11" s="50">
        <v>0</v>
      </c>
      <c r="D11" s="199" t="s">
        <v>153</v>
      </c>
      <c r="E11" s="247" t="e">
        <f>InvulVloer19[[#This Row],[Prijs]]*Tariefsopbouw!$I$37+InvulVloer19[[#This Row],[Prijs]]</f>
        <v>#DIV/0!</v>
      </c>
      <c r="F11" s="247" t="e">
        <f>InvulVloer19[[#This Row],[2026]]*Tariefsopbouw!$K$37+InvulVloer19[[#This Row],[2026]]</f>
        <v>#DIV/0!</v>
      </c>
      <c r="G11" s="247" t="e">
        <f>InvulVloer19[[#This Row],[2027]]*Tariefsopbouw!$M$37+InvulVloer19[[#This Row],[2027]]</f>
        <v>#DIV/0!</v>
      </c>
      <c r="H11" s="247" t="e">
        <f>InvulVloer19[[#This Row],[2028]]*Tariefsopbouw!$O$37+InvulVloer19[[#This Row],[2028]]</f>
        <v>#DIV/0!</v>
      </c>
      <c r="I11" s="247" t="e">
        <f>InvulVloer19[[#This Row],[2029]]*Tariefsopbouw!$Q$37+InvulVloer19[[#This Row],[2029]]</f>
        <v>#DIV/0!</v>
      </c>
      <c r="M11" s="175"/>
    </row>
    <row r="12" spans="1:13" ht="15" customHeight="1">
      <c r="A12" s="198">
        <v>4</v>
      </c>
      <c r="B12" s="267" t="s">
        <v>251</v>
      </c>
      <c r="C12" s="50">
        <v>0</v>
      </c>
      <c r="D12" s="199" t="s">
        <v>152</v>
      </c>
      <c r="E12" s="247" t="e">
        <f>InvulVloer19[[#This Row],[Prijs]]*Tariefsopbouw!$I$37+InvulVloer19[[#This Row],[Prijs]]</f>
        <v>#DIV/0!</v>
      </c>
      <c r="F12" s="247" t="e">
        <f>InvulVloer19[[#This Row],[2026]]*Tariefsopbouw!$K$37+InvulVloer19[[#This Row],[2026]]</f>
        <v>#DIV/0!</v>
      </c>
      <c r="G12" s="247" t="e">
        <f>InvulVloer19[[#This Row],[2027]]*Tariefsopbouw!$M$37+InvulVloer19[[#This Row],[2027]]</f>
        <v>#DIV/0!</v>
      </c>
      <c r="H12" s="247" t="e">
        <f>InvulVloer19[[#This Row],[2028]]*Tariefsopbouw!$O$37+InvulVloer19[[#This Row],[2028]]</f>
        <v>#DIV/0!</v>
      </c>
      <c r="I12" s="247" t="e">
        <f>InvulVloer19[[#This Row],[2029]]*Tariefsopbouw!$Q$37+InvulVloer19[[#This Row],[2029]]</f>
        <v>#DIV/0!</v>
      </c>
    </row>
    <row r="13" spans="1:13" ht="15" customHeight="1">
      <c r="A13" s="198">
        <v>5</v>
      </c>
      <c r="B13" s="267" t="s">
        <v>252</v>
      </c>
      <c r="C13" s="50">
        <v>0</v>
      </c>
      <c r="D13" s="199" t="s">
        <v>152</v>
      </c>
      <c r="E13" s="247" t="e">
        <f>InvulVloer19[[#This Row],[Prijs]]*Tariefsopbouw!$I$37+InvulVloer19[[#This Row],[Prijs]]</f>
        <v>#DIV/0!</v>
      </c>
      <c r="F13" s="247" t="e">
        <f>InvulVloer19[[#This Row],[2026]]*Tariefsopbouw!$K$37+InvulVloer19[[#This Row],[2026]]</f>
        <v>#DIV/0!</v>
      </c>
      <c r="G13" s="247" t="e">
        <f>InvulVloer19[[#This Row],[2027]]*Tariefsopbouw!$M$37+InvulVloer19[[#This Row],[2027]]</f>
        <v>#DIV/0!</v>
      </c>
      <c r="H13" s="247" t="e">
        <f>InvulVloer19[[#This Row],[2028]]*Tariefsopbouw!$O$37+InvulVloer19[[#This Row],[2028]]</f>
        <v>#DIV/0!</v>
      </c>
      <c r="I13" s="247" t="e">
        <f>InvulVloer19[[#This Row],[2029]]*Tariefsopbouw!$Q$37+InvulVloer19[[#This Row],[2029]]</f>
        <v>#DIV/0!</v>
      </c>
    </row>
    <row r="14" spans="1:13" ht="15" customHeight="1">
      <c r="A14" s="198">
        <v>6</v>
      </c>
      <c r="B14" s="267" t="s">
        <v>158</v>
      </c>
      <c r="C14" s="50">
        <v>0</v>
      </c>
      <c r="D14" s="199" t="s">
        <v>152</v>
      </c>
      <c r="E14" s="247" t="e">
        <f>InvulVloer19[[#This Row],[Prijs]]*Tariefsopbouw!$I$37+InvulVloer19[[#This Row],[Prijs]]</f>
        <v>#DIV/0!</v>
      </c>
      <c r="F14" s="247" t="e">
        <f>InvulVloer19[[#This Row],[2026]]*Tariefsopbouw!$K$37+InvulVloer19[[#This Row],[2026]]</f>
        <v>#DIV/0!</v>
      </c>
      <c r="G14" s="247" t="e">
        <f>InvulVloer19[[#This Row],[2027]]*Tariefsopbouw!$M$37+InvulVloer19[[#This Row],[2027]]</f>
        <v>#DIV/0!</v>
      </c>
      <c r="H14" s="247" t="e">
        <f>InvulVloer19[[#This Row],[2028]]*Tariefsopbouw!$O$37+InvulVloer19[[#This Row],[2028]]</f>
        <v>#DIV/0!</v>
      </c>
      <c r="I14" s="247" t="e">
        <f>InvulVloer19[[#This Row],[2029]]*Tariefsopbouw!$Q$37+InvulVloer19[[#This Row],[2029]]</f>
        <v>#DIV/0!</v>
      </c>
    </row>
    <row r="15" spans="1:13" ht="15" customHeight="1">
      <c r="A15" s="198">
        <v>7</v>
      </c>
      <c r="B15" s="268" t="s">
        <v>1601</v>
      </c>
      <c r="C15" s="50">
        <v>0</v>
      </c>
      <c r="D15" s="199" t="s">
        <v>152</v>
      </c>
      <c r="E15" s="247" t="e">
        <f>InvulVloer19[[#This Row],[Prijs]]*Tariefsopbouw!$I$37+InvulVloer19[[#This Row],[Prijs]]</f>
        <v>#DIV/0!</v>
      </c>
      <c r="F15" s="247" t="e">
        <f>InvulVloer19[[#This Row],[2026]]*Tariefsopbouw!$K$37+InvulVloer19[[#This Row],[2026]]</f>
        <v>#DIV/0!</v>
      </c>
      <c r="G15" s="247" t="e">
        <f>InvulVloer19[[#This Row],[2027]]*Tariefsopbouw!$M$37+InvulVloer19[[#This Row],[2027]]</f>
        <v>#DIV/0!</v>
      </c>
      <c r="H15" s="247" t="e">
        <f>InvulVloer19[[#This Row],[2028]]*Tariefsopbouw!$O$37+InvulVloer19[[#This Row],[2028]]</f>
        <v>#DIV/0!</v>
      </c>
      <c r="I15" s="247" t="e">
        <f>InvulVloer19[[#This Row],[2029]]*Tariefsopbouw!$Q$37+InvulVloer19[[#This Row],[2029]]</f>
        <v>#DIV/0!</v>
      </c>
    </row>
    <row r="16" spans="1:13" ht="15" customHeight="1">
      <c r="A16" s="198">
        <v>8</v>
      </c>
      <c r="B16" s="199" t="s">
        <v>160</v>
      </c>
      <c r="C16" s="50">
        <v>0</v>
      </c>
      <c r="D16" s="245" t="s">
        <v>152</v>
      </c>
      <c r="E16" s="247" t="e">
        <f>InvulVloer19[[#This Row],[Prijs]]*Tariefsopbouw!$I$37+InvulVloer19[[#This Row],[Prijs]]</f>
        <v>#DIV/0!</v>
      </c>
      <c r="F16" s="247" t="e">
        <f>InvulVloer19[[#This Row],[2026]]*Tariefsopbouw!$K$37+InvulVloer19[[#This Row],[2026]]</f>
        <v>#DIV/0!</v>
      </c>
      <c r="G16" s="247" t="e">
        <f>InvulVloer19[[#This Row],[2027]]*Tariefsopbouw!$M$37+InvulVloer19[[#This Row],[2027]]</f>
        <v>#DIV/0!</v>
      </c>
      <c r="H16" s="247" t="e">
        <f>InvulVloer19[[#This Row],[2028]]*Tariefsopbouw!$O$37+InvulVloer19[[#This Row],[2028]]</f>
        <v>#DIV/0!</v>
      </c>
      <c r="I16" s="247" t="e">
        <f>InvulVloer19[[#This Row],[2029]]*Tariefsopbouw!$Q$37+InvulVloer19[[#This Row],[2029]]</f>
        <v>#DIV/0!</v>
      </c>
    </row>
    <row r="17" spans="1:13" ht="15" customHeight="1">
      <c r="A17" s="198">
        <v>9</v>
      </c>
      <c r="B17" s="360" t="s">
        <v>188</v>
      </c>
      <c r="C17" s="50">
        <v>0</v>
      </c>
      <c r="D17" s="199" t="s">
        <v>152</v>
      </c>
      <c r="E17" s="247" t="e">
        <f>InvulVloer19[[#This Row],[Prijs]]*Tariefsopbouw!$I$37+InvulVloer19[[#This Row],[Prijs]]</f>
        <v>#DIV/0!</v>
      </c>
      <c r="F17" s="247" t="e">
        <f>InvulVloer19[[#This Row],[2026]]*Tariefsopbouw!$K$37+InvulVloer19[[#This Row],[2026]]</f>
        <v>#DIV/0!</v>
      </c>
      <c r="G17" s="247" t="e">
        <f>InvulVloer19[[#This Row],[2027]]*Tariefsopbouw!$M$37+InvulVloer19[[#This Row],[2027]]</f>
        <v>#DIV/0!</v>
      </c>
      <c r="H17" s="247" t="e">
        <f>InvulVloer19[[#This Row],[2028]]*Tariefsopbouw!$O$37+InvulVloer19[[#This Row],[2028]]</f>
        <v>#DIV/0!</v>
      </c>
      <c r="I17" s="247" t="e">
        <f>InvulVloer19[[#This Row],[2029]]*Tariefsopbouw!$Q$37+InvulVloer19[[#This Row],[2029]]</f>
        <v>#DIV/0!</v>
      </c>
    </row>
    <row r="18" spans="1:13" ht="15" customHeight="1">
      <c r="B18" s="21"/>
      <c r="E18" s="40"/>
      <c r="F18" s="122"/>
      <c r="G18" s="40"/>
      <c r="H18" s="40"/>
    </row>
    <row r="19" spans="1:13" s="33" customFormat="1" ht="26.25" customHeight="1">
      <c r="A19" s="47" t="s">
        <v>199</v>
      </c>
      <c r="B19" s="48" t="s">
        <v>136</v>
      </c>
      <c r="C19" s="47" t="s">
        <v>200</v>
      </c>
      <c r="D19" s="51" t="s">
        <v>232</v>
      </c>
      <c r="E19" s="51" t="s">
        <v>154</v>
      </c>
      <c r="F19" s="123" t="s">
        <v>155</v>
      </c>
      <c r="G19" s="51" t="s">
        <v>159</v>
      </c>
      <c r="H19" s="52" t="s">
        <v>138</v>
      </c>
      <c r="I19" s="52" t="s">
        <v>1283</v>
      </c>
    </row>
    <row r="20" spans="1:13" ht="15" customHeight="1">
      <c r="A20" s="198">
        <v>1</v>
      </c>
      <c r="B20" s="199" t="str">
        <f>VLOOKUP(OverzichtVloer20[[#This Row],[Code Locatie]],Locaties[],2,0)</f>
        <v>Buro Scholengroep Spinoza *</v>
      </c>
      <c r="C20" s="198">
        <v>1</v>
      </c>
      <c r="D20" s="200" t="str">
        <f>IF(Vloeronderhoud!$C20&gt;0,VLOOKUP(Vloeronderhoud!$C20,$A$8:$B$17,2,FALSE),"")</f>
        <v>Sprayen/opblokken</v>
      </c>
      <c r="E20" s="201" t="s">
        <v>101</v>
      </c>
      <c r="F20" s="202">
        <f>SUMIFS('Ruimtestaat'!$N:$N,'Ruimtestaat'!L:L,Vloeronderhoud!E20,'Ruimtestaat'!A:A,Vloeronderhoud!A20)</f>
        <v>0</v>
      </c>
      <c r="G20" s="35">
        <v>1</v>
      </c>
      <c r="H20" s="203">
        <f>VLOOKUP(OverzichtVloer20[[#This Row],[Code Taak]],InvulVloer19[],3,3)*F20*G20</f>
        <v>0</v>
      </c>
      <c r="I20" s="260">
        <f>OverzichtVloer20[[#This Row],[Kosten/jaar excl. BTW]]*1.21</f>
        <v>0</v>
      </c>
      <c r="M20" s="163"/>
    </row>
    <row r="21" spans="1:13" ht="15" customHeight="1">
      <c r="A21" s="198">
        <v>1</v>
      </c>
      <c r="B21" s="199" t="str">
        <f>VLOOKUP(OverzichtVloer20[[#This Row],[Code Locatie]],Locaties[],2,0)</f>
        <v>Buro Scholengroep Spinoza *</v>
      </c>
      <c r="C21" s="198">
        <v>2</v>
      </c>
      <c r="D21" s="200" t="str">
        <f>IF(Vloeronderhoud!$C21&gt;0,VLOOKUP(Vloeronderhoud!$C21,$A$8:$B$17,2,FALSE),"")</f>
        <v>Topstrippen en conserveren</v>
      </c>
      <c r="E21" s="201" t="s">
        <v>101</v>
      </c>
      <c r="F21" s="202">
        <f>SUMIFS('Ruimtestaat'!$N:$N,'Ruimtestaat'!L:L,Vloeronderhoud!E21,'Ruimtestaat'!A:A,Vloeronderhoud!A21)</f>
        <v>0</v>
      </c>
      <c r="G21" s="35">
        <v>1</v>
      </c>
      <c r="H21" s="203">
        <f>VLOOKUP(OverzichtVloer20[[#This Row],[Code Taak]],InvulVloer19[],3,3)*F21*G21</f>
        <v>0</v>
      </c>
      <c r="I21" s="260">
        <f>OverzichtVloer20[[#This Row],[Kosten/jaar excl. BTW]]*1.21</f>
        <v>0</v>
      </c>
      <c r="M21" s="163"/>
    </row>
    <row r="22" spans="1:13" ht="15" customHeight="1">
      <c r="A22" s="198">
        <v>1</v>
      </c>
      <c r="B22" s="199" t="str">
        <f>VLOOKUP(OverzichtVloer20[[#This Row],[Code Locatie]],Locaties[],2,0)</f>
        <v>Buro Scholengroep Spinoza *</v>
      </c>
      <c r="C22" s="198">
        <v>3</v>
      </c>
      <c r="D22" s="200" t="str">
        <f>IF(Vloeronderhoud!$C22&gt;0,VLOOKUP(Vloeronderhoud!$C22,$A$8:$B$17,2,FALSE),"")</f>
        <v>Diepstrippen, sealen en conserveren</v>
      </c>
      <c r="E22" s="261" t="s">
        <v>101</v>
      </c>
      <c r="F22" s="202">
        <f>SUMIFS('Ruimtestaat'!$N:$N,'Ruimtestaat'!L:L,Vloeronderhoud!E22,'Ruimtestaat'!A:A,Vloeronderhoud!A22)</f>
        <v>0</v>
      </c>
      <c r="G22" s="35">
        <v>0.25</v>
      </c>
      <c r="H22" s="203">
        <f>VLOOKUP(OverzichtVloer20[[#This Row],[Code Taak]],InvulVloer19[],3,3)*F22*G22</f>
        <v>0</v>
      </c>
      <c r="I22" s="260">
        <f>OverzichtVloer20[[#This Row],[Kosten/jaar excl. BTW]]*1.21</f>
        <v>0</v>
      </c>
      <c r="M22" s="163"/>
    </row>
    <row r="23" spans="1:13" ht="14.25" customHeight="1">
      <c r="A23" s="198">
        <v>1</v>
      </c>
      <c r="B23" s="199" t="str">
        <f>VLOOKUP(OverzichtVloer20[[#This Row],[Code Locatie]],Locaties[],2,0)</f>
        <v>Buro Scholengroep Spinoza *</v>
      </c>
      <c r="C23" s="198">
        <v>4</v>
      </c>
      <c r="D23" s="200" t="str">
        <f>IF(Vloeronderhoud!$C23&gt;0,VLOOKUP(Vloeronderhoud!$C23,$A$8:$B$17,2,FALSE),"")</f>
        <v>Tapijtreinigen, sproei-extractiemethode</v>
      </c>
      <c r="E23" s="201" t="s">
        <v>100</v>
      </c>
      <c r="F23" s="202">
        <f>SUMIFS('Ruimtestaat'!$N:$N,'Ruimtestaat'!L:L,Vloeronderhoud!E23,'Ruimtestaat'!A:A,Vloeronderhoud!A23)</f>
        <v>0</v>
      </c>
      <c r="G23" s="35">
        <v>1</v>
      </c>
      <c r="H23" s="203">
        <f>VLOOKUP(OverzichtVloer20[[#This Row],[Code Taak]],InvulVloer19[],3,3)*F23*G23</f>
        <v>0</v>
      </c>
      <c r="I23" s="260">
        <f>OverzichtVloer20[[#This Row],[Kosten/jaar excl. BTW]]*1.21</f>
        <v>0</v>
      </c>
      <c r="M23" s="163"/>
    </row>
    <row r="24" spans="1:13" ht="14.25" customHeight="1">
      <c r="A24" s="198">
        <v>1</v>
      </c>
      <c r="B24" s="245" t="str">
        <f>VLOOKUP(OverzichtVloer20[[#This Row],[Code Locatie]],Locaties[],2,0)</f>
        <v>Buro Scholengroep Spinoza *</v>
      </c>
      <c r="C24" s="248">
        <v>7</v>
      </c>
      <c r="D24" s="301" t="str">
        <f>IF(Vloeronderhoud!$C24&gt;0,VLOOKUP(Vloeronderhoud!$C24,$A$8:$B$17,2,FALSE),"")</f>
        <v>Olieen houten vloer</v>
      </c>
      <c r="E24" s="261" t="s">
        <v>1325</v>
      </c>
      <c r="F24" s="302">
        <f>SUMIFS('Ruimtestaat'!$N:$N,'Ruimtestaat'!L:L,Vloeronderhoud!E24,'Ruimtestaat'!A:A,Vloeronderhoud!A24)</f>
        <v>0</v>
      </c>
      <c r="G24" s="35">
        <v>1</v>
      </c>
      <c r="H24" s="249">
        <f>VLOOKUP(OverzichtVloer20[[#This Row],[Code Taak]],InvulVloer19[],3,3)*F24*G24</f>
        <v>0</v>
      </c>
      <c r="I24" s="303">
        <f>OverzichtVloer20[[#This Row],[Kosten/jaar excl. BTW]]*1.21</f>
        <v>0</v>
      </c>
      <c r="M24" s="163"/>
    </row>
    <row r="25" spans="1:13" ht="14.25" customHeight="1">
      <c r="A25" s="198">
        <v>1</v>
      </c>
      <c r="B25" s="245" t="str">
        <f>VLOOKUP(OverzichtVloer20[[#This Row],[Code Locatie]],Locaties[],2,0)</f>
        <v>Buro Scholengroep Spinoza *</v>
      </c>
      <c r="C25" s="248">
        <v>9</v>
      </c>
      <c r="D25" s="301" t="str">
        <f>IF(Vloeronderhoud!$C25&gt;0,VLOOKUP(Vloeronderhoud!$C25,$A$8:$B$17,2,FALSE),"")</f>
        <v>Machinaal schrobben en droogzuigen</v>
      </c>
      <c r="E25" s="261" t="s">
        <v>102</v>
      </c>
      <c r="F25" s="302">
        <f>SUMIFS('Ruimtestaat'!$N:$N,'Ruimtestaat'!L:L,Vloeronderhoud!E25,'Ruimtestaat'!A:A,Vloeronderhoud!A25)</f>
        <v>0</v>
      </c>
      <c r="G25" s="35">
        <v>1</v>
      </c>
      <c r="H25" s="249">
        <f>VLOOKUP(OverzichtVloer20[[#This Row],[Code Taak]],InvulVloer19[],3,3)*F25*G25</f>
        <v>0</v>
      </c>
      <c r="I25" s="303">
        <f>OverzichtVloer20[[#This Row],[Kosten/jaar excl. BTW]]*1.21</f>
        <v>0</v>
      </c>
      <c r="M25" s="163"/>
    </row>
    <row r="26" spans="1:13" ht="14.25" customHeight="1">
      <c r="A26" s="198">
        <v>1</v>
      </c>
      <c r="B26" s="245" t="str">
        <f>VLOOKUP(OverzichtVloer20[[#This Row],[Code Locatie]],Locaties[],2,0)</f>
        <v>Buro Scholengroep Spinoza *</v>
      </c>
      <c r="C26" s="248">
        <v>9</v>
      </c>
      <c r="D26" s="301" t="str">
        <f>IF(Vloeronderhoud!$C26&gt;0,VLOOKUP(Vloeronderhoud!$C26,$A$8:$B$17,2,FALSE),"")</f>
        <v>Machinaal schrobben en droogzuigen</v>
      </c>
      <c r="E26" s="261" t="s">
        <v>103</v>
      </c>
      <c r="F26" s="302">
        <f>SUMIFS('Ruimtestaat'!$N:$N,'Ruimtestaat'!L:L,Vloeronderhoud!E26,'Ruimtestaat'!A:A,Vloeronderhoud!A26)</f>
        <v>0</v>
      </c>
      <c r="G26" s="35">
        <v>1</v>
      </c>
      <c r="H26" s="249">
        <f>VLOOKUP(OverzichtVloer20[[#This Row],[Code Taak]],InvulVloer19[],3,3)*F26*G26</f>
        <v>0</v>
      </c>
      <c r="I26" s="303">
        <f>OverzichtVloer20[[#This Row],[Kosten/jaar excl. BTW]]*1.21</f>
        <v>0</v>
      </c>
      <c r="M26" s="163"/>
    </row>
    <row r="27" spans="1:13" ht="14.25" customHeight="1">
      <c r="A27" s="198">
        <v>2</v>
      </c>
      <c r="B27" s="245" t="str">
        <f>VLOOKUP(OverzichtVloer20[[#This Row],[Code Locatie]],Locaties[],2,0)</f>
        <v>'s Gravendreef College</v>
      </c>
      <c r="C27" s="248">
        <v>1</v>
      </c>
      <c r="D27" s="301" t="str">
        <f>IF(Vloeronderhoud!$C27&gt;0,VLOOKUP(Vloeronderhoud!$C27,$A$8:$B$17,2,FALSE),"")</f>
        <v>Sprayen/opblokken</v>
      </c>
      <c r="E27" s="261" t="s">
        <v>101</v>
      </c>
      <c r="F27" s="302">
        <f>SUMIFS('Ruimtestaat'!$N:$N,'Ruimtestaat'!L:L,Vloeronderhoud!E27,'Ruimtestaat'!A:A,Vloeronderhoud!A27)</f>
        <v>4942.7599999999993</v>
      </c>
      <c r="G27" s="35">
        <v>1</v>
      </c>
      <c r="H27" s="249">
        <f>VLOOKUP(OverzichtVloer20[[#This Row],[Code Taak]],InvulVloer19[],3,3)*F27*G27</f>
        <v>0</v>
      </c>
      <c r="I27" s="303">
        <f>OverzichtVloer20[[#This Row],[Kosten/jaar excl. BTW]]*1.21</f>
        <v>0</v>
      </c>
      <c r="M27" s="163"/>
    </row>
    <row r="28" spans="1:13" ht="14.25" customHeight="1">
      <c r="A28" s="198">
        <v>2</v>
      </c>
      <c r="B28" s="245" t="str">
        <f>VLOOKUP(OverzichtVloer20[[#This Row],[Code Locatie]],Locaties[],2,0)</f>
        <v>'s Gravendreef College</v>
      </c>
      <c r="C28" s="248">
        <v>2</v>
      </c>
      <c r="D28" s="301" t="str">
        <f>IF(Vloeronderhoud!$C28&gt;0,VLOOKUP(Vloeronderhoud!$C28,$A$8:$B$17,2,FALSE),"")</f>
        <v>Topstrippen en conserveren</v>
      </c>
      <c r="E28" s="261" t="s">
        <v>101</v>
      </c>
      <c r="F28" s="302">
        <f>SUMIFS('Ruimtestaat'!$N:$N,'Ruimtestaat'!L:L,Vloeronderhoud!E28,'Ruimtestaat'!A:A,Vloeronderhoud!A28)</f>
        <v>4942.7599999999993</v>
      </c>
      <c r="G28" s="35">
        <v>1</v>
      </c>
      <c r="H28" s="249">
        <f>VLOOKUP(OverzichtVloer20[[#This Row],[Code Taak]],InvulVloer19[],3,3)*F28*G28</f>
        <v>0</v>
      </c>
      <c r="I28" s="303">
        <f>OverzichtVloer20[[#This Row],[Kosten/jaar excl. BTW]]*1.21</f>
        <v>0</v>
      </c>
      <c r="M28" s="163"/>
    </row>
    <row r="29" spans="1:13" ht="14.25" customHeight="1">
      <c r="A29" s="198">
        <v>2</v>
      </c>
      <c r="B29" s="245" t="str">
        <f>VLOOKUP(OverzichtVloer20[[#This Row],[Code Locatie]],Locaties[],2,0)</f>
        <v>'s Gravendreef College</v>
      </c>
      <c r="C29" s="248">
        <v>3</v>
      </c>
      <c r="D29" s="301" t="str">
        <f>IF(Vloeronderhoud!$C29&gt;0,VLOOKUP(Vloeronderhoud!$C29,$A$8:$B$17,2,FALSE),"")</f>
        <v>Diepstrippen, sealen en conserveren</v>
      </c>
      <c r="E29" s="261" t="s">
        <v>101</v>
      </c>
      <c r="F29" s="302">
        <f>SUMIFS('Ruimtestaat'!$N:$N,'Ruimtestaat'!L:L,Vloeronderhoud!E29,'Ruimtestaat'!A:A,Vloeronderhoud!A29)</f>
        <v>4942.7599999999993</v>
      </c>
      <c r="G29" s="35">
        <v>0.25</v>
      </c>
      <c r="H29" s="249">
        <f>VLOOKUP(OverzichtVloer20[[#This Row],[Code Taak]],InvulVloer19[],3,3)*F29*G29</f>
        <v>0</v>
      </c>
      <c r="I29" s="303">
        <f>OverzichtVloer20[[#This Row],[Kosten/jaar excl. BTW]]*1.21</f>
        <v>0</v>
      </c>
      <c r="M29" s="163"/>
    </row>
    <row r="30" spans="1:13" ht="14.25" customHeight="1">
      <c r="A30" s="198">
        <v>2</v>
      </c>
      <c r="B30" s="245" t="str">
        <f>VLOOKUP(OverzichtVloer20[[#This Row],[Code Locatie]],Locaties[],2,0)</f>
        <v>'s Gravendreef College</v>
      </c>
      <c r="C30" s="248">
        <v>4</v>
      </c>
      <c r="D30" s="301" t="str">
        <f>IF(Vloeronderhoud!$C30&gt;0,VLOOKUP(Vloeronderhoud!$C30,$A$8:$B$17,2,FALSE),"")</f>
        <v>Tapijtreinigen, sproei-extractiemethode</v>
      </c>
      <c r="E30" s="261" t="s">
        <v>100</v>
      </c>
      <c r="F30" s="302">
        <f>SUMIFS('Ruimtestaat'!$N:$N,'Ruimtestaat'!L:L,Vloeronderhoud!E30,'Ruimtestaat'!A:A,Vloeronderhoud!A30)</f>
        <v>59.53</v>
      </c>
      <c r="G30" s="35">
        <v>1</v>
      </c>
      <c r="H30" s="249">
        <f>VLOOKUP(OverzichtVloer20[[#This Row],[Code Taak]],InvulVloer19[],3,3)*F30*G30</f>
        <v>0</v>
      </c>
      <c r="I30" s="303">
        <f>OverzichtVloer20[[#This Row],[Kosten/jaar excl. BTW]]*1.21</f>
        <v>0</v>
      </c>
      <c r="M30" s="163"/>
    </row>
    <row r="31" spans="1:13" ht="14.25" customHeight="1">
      <c r="A31" s="198">
        <v>2</v>
      </c>
      <c r="B31" s="245" t="str">
        <f>VLOOKUP(OverzichtVloer20[[#This Row],[Code Locatie]],Locaties[],2,0)</f>
        <v>'s Gravendreef College</v>
      </c>
      <c r="C31" s="248">
        <v>7</v>
      </c>
      <c r="D31" s="301" t="str">
        <f>IF(Vloeronderhoud!$C31&gt;0,VLOOKUP(Vloeronderhoud!$C31,$A$8:$B$17,2,FALSE),"")</f>
        <v>Olieen houten vloer</v>
      </c>
      <c r="E31" s="261" t="s">
        <v>1325</v>
      </c>
      <c r="F31" s="302">
        <f>SUMIFS('Ruimtestaat'!$N:$N,'Ruimtestaat'!L:L,Vloeronderhoud!E31,'Ruimtestaat'!A:A,Vloeronderhoud!A31)</f>
        <v>0</v>
      </c>
      <c r="G31" s="35">
        <v>1</v>
      </c>
      <c r="H31" s="249">
        <f>VLOOKUP(OverzichtVloer20[[#This Row],[Code Taak]],InvulVloer19[],3,3)*F31*G31</f>
        <v>0</v>
      </c>
      <c r="I31" s="303">
        <f>OverzichtVloer20[[#This Row],[Kosten/jaar excl. BTW]]*1.21</f>
        <v>0</v>
      </c>
      <c r="M31" s="163"/>
    </row>
    <row r="32" spans="1:13" ht="14.25" customHeight="1">
      <c r="A32" s="198">
        <v>2</v>
      </c>
      <c r="B32" s="245" t="str">
        <f>VLOOKUP(OverzichtVloer20[[#This Row],[Code Locatie]],Locaties[],2,0)</f>
        <v>'s Gravendreef College</v>
      </c>
      <c r="C32" s="248">
        <v>9</v>
      </c>
      <c r="D32" s="301" t="str">
        <f>IF(Vloeronderhoud!$C32&gt;0,VLOOKUP(Vloeronderhoud!$C32,$A$8:$B$17,2,FALSE),"")</f>
        <v>Machinaal schrobben en droogzuigen</v>
      </c>
      <c r="E32" s="261" t="s">
        <v>102</v>
      </c>
      <c r="F32" s="302">
        <f>SUMIFS('Ruimtestaat'!$N:$N,'Ruimtestaat'!L:L,Vloeronderhoud!E32,'Ruimtestaat'!A:A,Vloeronderhoud!A32)</f>
        <v>355.8</v>
      </c>
      <c r="G32" s="35">
        <v>1</v>
      </c>
      <c r="H32" s="249">
        <f>VLOOKUP(OverzichtVloer20[[#This Row],[Code Taak]],InvulVloer19[],3,3)*F32*G32</f>
        <v>0</v>
      </c>
      <c r="I32" s="303">
        <f>OverzichtVloer20[[#This Row],[Kosten/jaar excl. BTW]]*1.21</f>
        <v>0</v>
      </c>
      <c r="M32" s="163"/>
    </row>
    <row r="33" spans="1:13" ht="14.25" customHeight="1">
      <c r="A33" s="198">
        <v>2</v>
      </c>
      <c r="B33" s="245" t="str">
        <f>VLOOKUP(OverzichtVloer20[[#This Row],[Code Locatie]],Locaties[],2,0)</f>
        <v>'s Gravendreef College</v>
      </c>
      <c r="C33" s="248">
        <v>9</v>
      </c>
      <c r="D33" s="301" t="str">
        <f>IF(Vloeronderhoud!$C33&gt;0,VLOOKUP(Vloeronderhoud!$C33,$A$8:$B$17,2,FALSE),"")</f>
        <v>Machinaal schrobben en droogzuigen</v>
      </c>
      <c r="E33" s="261" t="s">
        <v>103</v>
      </c>
      <c r="F33" s="302">
        <f>SUMIFS('Ruimtestaat'!$N:$N,'Ruimtestaat'!L:L,Vloeronderhoud!E33,'Ruimtestaat'!A:A,Vloeronderhoud!A33)</f>
        <v>642</v>
      </c>
      <c r="G33" s="35">
        <v>1</v>
      </c>
      <c r="H33" s="249">
        <f>VLOOKUP(OverzichtVloer20[[#This Row],[Code Taak]],InvulVloer19[],3,3)*F33*G33</f>
        <v>0</v>
      </c>
      <c r="I33" s="303">
        <f>OverzichtVloer20[[#This Row],[Kosten/jaar excl. BTW]]*1.21</f>
        <v>0</v>
      </c>
      <c r="M33" s="163"/>
    </row>
    <row r="34" spans="1:13" ht="14.25" customHeight="1">
      <c r="A34" s="198">
        <v>3</v>
      </c>
      <c r="B34" s="245" t="str">
        <f>VLOOKUP(OverzichtVloer20[[#This Row],[Code Locatie]],Locaties[],2,0)</f>
        <v>'s Gravendreef College - Dependance</v>
      </c>
      <c r="C34" s="248">
        <v>1</v>
      </c>
      <c r="D34" s="301" t="str">
        <f>IF(Vloeronderhoud!$C34&gt;0,VLOOKUP(Vloeronderhoud!$C34,$A$8:$B$17,2,FALSE),"")</f>
        <v>Sprayen/opblokken</v>
      </c>
      <c r="E34" s="261" t="s">
        <v>101</v>
      </c>
      <c r="F34" s="302">
        <f>SUMIFS('Ruimtestaat'!$N:$N,'Ruimtestaat'!L:L,Vloeronderhoud!E34,'Ruimtestaat'!A:A,Vloeronderhoud!A34)</f>
        <v>863.37999999999988</v>
      </c>
      <c r="G34" s="35">
        <v>1</v>
      </c>
      <c r="H34" s="249">
        <f>VLOOKUP(OverzichtVloer20[[#This Row],[Code Taak]],InvulVloer19[],3,3)*F34*G34</f>
        <v>0</v>
      </c>
      <c r="I34" s="303">
        <f>OverzichtVloer20[[#This Row],[Kosten/jaar excl. BTW]]*1.21</f>
        <v>0</v>
      </c>
      <c r="M34" s="163"/>
    </row>
    <row r="35" spans="1:13" ht="14.25" customHeight="1">
      <c r="A35" s="198">
        <v>3</v>
      </c>
      <c r="B35" s="245" t="str">
        <f>VLOOKUP(OverzichtVloer20[[#This Row],[Code Locatie]],Locaties[],2,0)</f>
        <v>'s Gravendreef College - Dependance</v>
      </c>
      <c r="C35" s="248">
        <v>2</v>
      </c>
      <c r="D35" s="301" t="str">
        <f>IF(Vloeronderhoud!$C35&gt;0,VLOOKUP(Vloeronderhoud!$C35,$A$8:$B$17,2,FALSE),"")</f>
        <v>Topstrippen en conserveren</v>
      </c>
      <c r="E35" s="261" t="s">
        <v>101</v>
      </c>
      <c r="F35" s="302">
        <f>SUMIFS('Ruimtestaat'!$N:$N,'Ruimtestaat'!L:L,Vloeronderhoud!E35,'Ruimtestaat'!A:A,Vloeronderhoud!A35)</f>
        <v>863.37999999999988</v>
      </c>
      <c r="G35" s="35">
        <v>1</v>
      </c>
      <c r="H35" s="249">
        <f>VLOOKUP(OverzichtVloer20[[#This Row],[Code Taak]],InvulVloer19[],3,3)*F35*G35</f>
        <v>0</v>
      </c>
      <c r="I35" s="303">
        <f>OverzichtVloer20[[#This Row],[Kosten/jaar excl. BTW]]*1.21</f>
        <v>0</v>
      </c>
      <c r="M35" s="163"/>
    </row>
    <row r="36" spans="1:13" ht="14.25" customHeight="1">
      <c r="A36" s="198">
        <v>3</v>
      </c>
      <c r="B36" s="245" t="str">
        <f>VLOOKUP(OverzichtVloer20[[#This Row],[Code Locatie]],Locaties[],2,0)</f>
        <v>'s Gravendreef College - Dependance</v>
      </c>
      <c r="C36" s="248">
        <v>3</v>
      </c>
      <c r="D36" s="301" t="str">
        <f>IF(Vloeronderhoud!$C36&gt;0,VLOOKUP(Vloeronderhoud!$C36,$A$8:$B$17,2,FALSE),"")</f>
        <v>Diepstrippen, sealen en conserveren</v>
      </c>
      <c r="E36" s="261" t="s">
        <v>101</v>
      </c>
      <c r="F36" s="302">
        <f>SUMIFS('Ruimtestaat'!$N:$N,'Ruimtestaat'!L:L,Vloeronderhoud!E36,'Ruimtestaat'!A:A,Vloeronderhoud!A36)</f>
        <v>863.37999999999988</v>
      </c>
      <c r="G36" s="35">
        <v>0.25</v>
      </c>
      <c r="H36" s="249">
        <f>VLOOKUP(OverzichtVloer20[[#This Row],[Code Taak]],InvulVloer19[],3,3)*F36*G36</f>
        <v>0</v>
      </c>
      <c r="I36" s="303">
        <f>OverzichtVloer20[[#This Row],[Kosten/jaar excl. BTW]]*1.21</f>
        <v>0</v>
      </c>
      <c r="M36" s="163"/>
    </row>
    <row r="37" spans="1:13" ht="14.25" customHeight="1">
      <c r="A37" s="198">
        <v>3</v>
      </c>
      <c r="B37" s="245" t="str">
        <f>VLOOKUP(OverzichtVloer20[[#This Row],[Code Locatie]],Locaties[],2,0)</f>
        <v>'s Gravendreef College - Dependance</v>
      </c>
      <c r="C37" s="248">
        <v>4</v>
      </c>
      <c r="D37" s="301" t="str">
        <f>IF(Vloeronderhoud!$C37&gt;0,VLOOKUP(Vloeronderhoud!$C37,$A$8:$B$17,2,FALSE),"")</f>
        <v>Tapijtreinigen, sproei-extractiemethode</v>
      </c>
      <c r="E37" s="261" t="s">
        <v>100</v>
      </c>
      <c r="F37" s="302">
        <f>SUMIFS('Ruimtestaat'!$N:$N,'Ruimtestaat'!L:L,Vloeronderhoud!E37,'Ruimtestaat'!A:A,Vloeronderhoud!A37)</f>
        <v>8</v>
      </c>
      <c r="G37" s="35">
        <v>1</v>
      </c>
      <c r="H37" s="249">
        <f>VLOOKUP(OverzichtVloer20[[#This Row],[Code Taak]],InvulVloer19[],3,3)*F37*G37</f>
        <v>0</v>
      </c>
      <c r="I37" s="303">
        <f>OverzichtVloer20[[#This Row],[Kosten/jaar excl. BTW]]*1.21</f>
        <v>0</v>
      </c>
      <c r="M37" s="163"/>
    </row>
    <row r="38" spans="1:13" ht="14.25" customHeight="1">
      <c r="A38" s="198">
        <v>3</v>
      </c>
      <c r="B38" s="245" t="str">
        <f>VLOOKUP(OverzichtVloer20[[#This Row],[Code Locatie]],Locaties[],2,0)</f>
        <v>'s Gravendreef College - Dependance</v>
      </c>
      <c r="C38" s="248">
        <v>7</v>
      </c>
      <c r="D38" s="301" t="str">
        <f>IF(Vloeronderhoud!$C38&gt;0,VLOOKUP(Vloeronderhoud!$C38,$A$8:$B$17,2,FALSE),"")</f>
        <v>Olieen houten vloer</v>
      </c>
      <c r="E38" s="261" t="s">
        <v>1325</v>
      </c>
      <c r="F38" s="302">
        <f>SUMIFS('Ruimtestaat'!$N:$N,'Ruimtestaat'!L:L,Vloeronderhoud!E38,'Ruimtestaat'!A:A,Vloeronderhoud!A38)</f>
        <v>0</v>
      </c>
      <c r="G38" s="35">
        <v>1</v>
      </c>
      <c r="H38" s="249">
        <f>VLOOKUP(OverzichtVloer20[[#This Row],[Code Taak]],InvulVloer19[],3,3)*F38*G38</f>
        <v>0</v>
      </c>
      <c r="I38" s="303">
        <f>OverzichtVloer20[[#This Row],[Kosten/jaar excl. BTW]]*1.21</f>
        <v>0</v>
      </c>
      <c r="M38" s="163"/>
    </row>
    <row r="39" spans="1:13" ht="14.25" customHeight="1">
      <c r="A39" s="198">
        <v>3</v>
      </c>
      <c r="B39" s="245" t="str">
        <f>VLOOKUP(OverzichtVloer20[[#This Row],[Code Locatie]],Locaties[],2,0)</f>
        <v>'s Gravendreef College - Dependance</v>
      </c>
      <c r="C39" s="248">
        <v>9</v>
      </c>
      <c r="D39" s="301" t="str">
        <f>IF(Vloeronderhoud!$C39&gt;0,VLOOKUP(Vloeronderhoud!$C39,$A$8:$B$17,2,FALSE),"")</f>
        <v>Machinaal schrobben en droogzuigen</v>
      </c>
      <c r="E39" s="261" t="s">
        <v>102</v>
      </c>
      <c r="F39" s="302">
        <f>SUMIFS('Ruimtestaat'!$N:$N,'Ruimtestaat'!L:L,Vloeronderhoud!E39,'Ruimtestaat'!A:A,Vloeronderhoud!A39)</f>
        <v>35.28</v>
      </c>
      <c r="G39" s="35">
        <v>1</v>
      </c>
      <c r="H39" s="249">
        <f>VLOOKUP(OverzichtVloer20[[#This Row],[Code Taak]],InvulVloer19[],3,3)*F39*G39</f>
        <v>0</v>
      </c>
      <c r="I39" s="303">
        <f>OverzichtVloer20[[#This Row],[Kosten/jaar excl. BTW]]*1.21</f>
        <v>0</v>
      </c>
      <c r="M39" s="163"/>
    </row>
    <row r="40" spans="1:13" ht="14.25" customHeight="1">
      <c r="A40" s="198">
        <v>3</v>
      </c>
      <c r="B40" s="245" t="str">
        <f>VLOOKUP(OverzichtVloer20[[#This Row],[Code Locatie]],Locaties[],2,0)</f>
        <v>'s Gravendreef College - Dependance</v>
      </c>
      <c r="C40" s="248">
        <v>9</v>
      </c>
      <c r="D40" s="301" t="str">
        <f>IF(Vloeronderhoud!$C40&gt;0,VLOOKUP(Vloeronderhoud!$C40,$A$8:$B$17,2,FALSE),"")</f>
        <v>Machinaal schrobben en droogzuigen</v>
      </c>
      <c r="E40" s="261" t="s">
        <v>103</v>
      </c>
      <c r="F40" s="302">
        <f>SUMIFS('Ruimtestaat'!$N:$N,'Ruimtestaat'!L:L,Vloeronderhoud!E40,'Ruimtestaat'!A:A,Vloeronderhoud!A40)</f>
        <v>0</v>
      </c>
      <c r="G40" s="35">
        <v>1</v>
      </c>
      <c r="H40" s="249">
        <f>VLOOKUP(OverzichtVloer20[[#This Row],[Code Taak]],InvulVloer19[],3,3)*F40*G40</f>
        <v>0</v>
      </c>
      <c r="I40" s="303">
        <f>OverzichtVloer20[[#This Row],[Kosten/jaar excl. BTW]]*1.21</f>
        <v>0</v>
      </c>
      <c r="M40" s="163"/>
    </row>
    <row r="41" spans="1:13" ht="14.25" customHeight="1">
      <c r="A41" s="198">
        <v>4</v>
      </c>
      <c r="B41" s="245" t="str">
        <f>VLOOKUP(OverzichtVloer20[[#This Row],[Code Locatie]],Locaties[],2,0)</f>
        <v>Sint-Maartenscollege</v>
      </c>
      <c r="C41" s="248">
        <v>1</v>
      </c>
      <c r="D41" s="301" t="str">
        <f>IF(Vloeronderhoud!$C41&gt;0,VLOOKUP(Vloeronderhoud!$C41,$A$8:$B$17,2,FALSE),"")</f>
        <v>Sprayen/opblokken</v>
      </c>
      <c r="E41" s="261" t="s">
        <v>101</v>
      </c>
      <c r="F41" s="302">
        <f>SUMIFS('Ruimtestaat'!$N:$N,'Ruimtestaat'!L:L,Vloeronderhoud!E41,'Ruimtestaat'!A:A,Vloeronderhoud!A41)</f>
        <v>6664</v>
      </c>
      <c r="G41" s="35">
        <v>1</v>
      </c>
      <c r="H41" s="249">
        <f>VLOOKUP(OverzichtVloer20[[#This Row],[Code Taak]],InvulVloer19[],3,3)*F41*G41</f>
        <v>0</v>
      </c>
      <c r="I41" s="303">
        <f>OverzichtVloer20[[#This Row],[Kosten/jaar excl. BTW]]*1.21</f>
        <v>0</v>
      </c>
      <c r="M41" s="163"/>
    </row>
    <row r="42" spans="1:13" ht="14.25" customHeight="1">
      <c r="A42" s="198">
        <v>4</v>
      </c>
      <c r="B42" s="245" t="str">
        <f>VLOOKUP(OverzichtVloer20[[#This Row],[Code Locatie]],Locaties[],2,0)</f>
        <v>Sint-Maartenscollege</v>
      </c>
      <c r="C42" s="248">
        <v>2</v>
      </c>
      <c r="D42" s="301" t="str">
        <f>IF(Vloeronderhoud!$C42&gt;0,VLOOKUP(Vloeronderhoud!$C42,$A$8:$B$17,2,FALSE),"")</f>
        <v>Topstrippen en conserveren</v>
      </c>
      <c r="E42" s="261" t="s">
        <v>101</v>
      </c>
      <c r="F42" s="302">
        <f>SUMIFS('Ruimtestaat'!$N:$N,'Ruimtestaat'!L:L,Vloeronderhoud!E42,'Ruimtestaat'!A:A,Vloeronderhoud!A42)</f>
        <v>6664</v>
      </c>
      <c r="G42" s="35">
        <v>1</v>
      </c>
      <c r="H42" s="249">
        <f>VLOOKUP(OverzichtVloer20[[#This Row],[Code Taak]],InvulVloer19[],3,3)*F42*G42</f>
        <v>0</v>
      </c>
      <c r="I42" s="303">
        <f>OverzichtVloer20[[#This Row],[Kosten/jaar excl. BTW]]*1.21</f>
        <v>0</v>
      </c>
      <c r="M42" s="163"/>
    </row>
    <row r="43" spans="1:13" ht="14.25" customHeight="1">
      <c r="A43" s="198">
        <v>4</v>
      </c>
      <c r="B43" s="245" t="str">
        <f>VLOOKUP(OverzichtVloer20[[#This Row],[Code Locatie]],Locaties[],2,0)</f>
        <v>Sint-Maartenscollege</v>
      </c>
      <c r="C43" s="248">
        <v>3</v>
      </c>
      <c r="D43" s="301" t="str">
        <f>IF(Vloeronderhoud!$C43&gt;0,VLOOKUP(Vloeronderhoud!$C43,$A$8:$B$17,2,FALSE),"")</f>
        <v>Diepstrippen, sealen en conserveren</v>
      </c>
      <c r="E43" s="261" t="s">
        <v>101</v>
      </c>
      <c r="F43" s="302">
        <f>SUMIFS('Ruimtestaat'!$N:$N,'Ruimtestaat'!L:L,Vloeronderhoud!E43,'Ruimtestaat'!A:A,Vloeronderhoud!A43)</f>
        <v>6664</v>
      </c>
      <c r="G43" s="35">
        <v>0.25</v>
      </c>
      <c r="H43" s="249">
        <f>VLOOKUP(OverzichtVloer20[[#This Row],[Code Taak]],InvulVloer19[],3,3)*F43*G43</f>
        <v>0</v>
      </c>
      <c r="I43" s="303">
        <f>OverzichtVloer20[[#This Row],[Kosten/jaar excl. BTW]]*1.21</f>
        <v>0</v>
      </c>
      <c r="M43" s="163"/>
    </row>
    <row r="44" spans="1:13" ht="14.25" customHeight="1">
      <c r="A44" s="198">
        <v>4</v>
      </c>
      <c r="B44" s="245" t="str">
        <f>VLOOKUP(OverzichtVloer20[[#This Row],[Code Locatie]],Locaties[],2,0)</f>
        <v>Sint-Maartenscollege</v>
      </c>
      <c r="C44" s="248">
        <v>4</v>
      </c>
      <c r="D44" s="301" t="str">
        <f>IF(Vloeronderhoud!$C44&gt;0,VLOOKUP(Vloeronderhoud!$C44,$A$8:$B$17,2,FALSE),"")</f>
        <v>Tapijtreinigen, sproei-extractiemethode</v>
      </c>
      <c r="E44" s="261" t="s">
        <v>100</v>
      </c>
      <c r="F44" s="302">
        <f>SUMIFS('Ruimtestaat'!$N:$N,'Ruimtestaat'!L:L,Vloeronderhoud!E44,'Ruimtestaat'!A:A,Vloeronderhoud!A44)</f>
        <v>250</v>
      </c>
      <c r="G44" s="35">
        <v>1</v>
      </c>
      <c r="H44" s="249">
        <f>VLOOKUP(OverzichtVloer20[[#This Row],[Code Taak]],InvulVloer19[],3,3)*F44*G44</f>
        <v>0</v>
      </c>
      <c r="I44" s="303">
        <f>OverzichtVloer20[[#This Row],[Kosten/jaar excl. BTW]]*1.21</f>
        <v>0</v>
      </c>
      <c r="M44" s="163"/>
    </row>
    <row r="45" spans="1:13" ht="14.25" customHeight="1">
      <c r="A45" s="198">
        <v>4</v>
      </c>
      <c r="B45" s="245" t="str">
        <f>VLOOKUP(OverzichtVloer20[[#This Row],[Code Locatie]],Locaties[],2,0)</f>
        <v>Sint-Maartenscollege</v>
      </c>
      <c r="C45" s="248">
        <v>7</v>
      </c>
      <c r="D45" s="301" t="str">
        <f>IF(Vloeronderhoud!$C45&gt;0,VLOOKUP(Vloeronderhoud!$C45,$A$8:$B$17,2,FALSE),"")</f>
        <v>Olieen houten vloer</v>
      </c>
      <c r="E45" s="261" t="s">
        <v>1325</v>
      </c>
      <c r="F45" s="302">
        <f>SUMIFS('Ruimtestaat'!$N:$N,'Ruimtestaat'!L:L,Vloeronderhoud!E45,'Ruimtestaat'!A:A,Vloeronderhoud!A45)</f>
        <v>61</v>
      </c>
      <c r="G45" s="35">
        <v>1</v>
      </c>
      <c r="H45" s="249">
        <f>VLOOKUP(OverzichtVloer20[[#This Row],[Code Taak]],InvulVloer19[],3,3)*F45*G45</f>
        <v>0</v>
      </c>
      <c r="I45" s="303">
        <f>OverzichtVloer20[[#This Row],[Kosten/jaar excl. BTW]]*1.21</f>
        <v>0</v>
      </c>
      <c r="M45" s="163"/>
    </row>
    <row r="46" spans="1:13" ht="14.25" customHeight="1">
      <c r="A46" s="198">
        <v>4</v>
      </c>
      <c r="B46" s="245" t="str">
        <f>VLOOKUP(OverzichtVloer20[[#This Row],[Code Locatie]],Locaties[],2,0)</f>
        <v>Sint-Maartenscollege</v>
      </c>
      <c r="C46" s="248">
        <v>9</v>
      </c>
      <c r="D46" s="301" t="str">
        <f>IF(Vloeronderhoud!$C46&gt;0,VLOOKUP(Vloeronderhoud!$C46,$A$8:$B$17,2,FALSE),"")</f>
        <v>Machinaal schrobben en droogzuigen</v>
      </c>
      <c r="E46" s="261" t="s">
        <v>102</v>
      </c>
      <c r="F46" s="302">
        <f>SUMIFS('Ruimtestaat'!$N:$N,'Ruimtestaat'!L:L,Vloeronderhoud!E46,'Ruimtestaat'!A:A,Vloeronderhoud!A46)</f>
        <v>1002</v>
      </c>
      <c r="G46" s="35">
        <v>1</v>
      </c>
      <c r="H46" s="249">
        <f>VLOOKUP(OverzichtVloer20[[#This Row],[Code Taak]],InvulVloer19[],3,3)*F46*G46</f>
        <v>0</v>
      </c>
      <c r="I46" s="303">
        <f>OverzichtVloer20[[#This Row],[Kosten/jaar excl. BTW]]*1.21</f>
        <v>0</v>
      </c>
      <c r="M46" s="163"/>
    </row>
    <row r="47" spans="1:13" ht="14.25" customHeight="1">
      <c r="A47" s="198">
        <v>4</v>
      </c>
      <c r="B47" s="245" t="str">
        <f>VLOOKUP(OverzichtVloer20[[#This Row],[Code Locatie]],Locaties[],2,0)</f>
        <v>Sint-Maartenscollege</v>
      </c>
      <c r="C47" s="248">
        <v>9</v>
      </c>
      <c r="D47" s="301" t="str">
        <f>IF(Vloeronderhoud!$C47&gt;0,VLOOKUP(Vloeronderhoud!$C47,$A$8:$B$17,2,FALSE),"")</f>
        <v>Machinaal schrobben en droogzuigen</v>
      </c>
      <c r="E47" s="261" t="s">
        <v>103</v>
      </c>
      <c r="F47" s="302">
        <f>SUMIFS('Ruimtestaat'!$N:$N,'Ruimtestaat'!L:L,Vloeronderhoud!E47,'Ruimtestaat'!A:A,Vloeronderhoud!A47)</f>
        <v>692</v>
      </c>
      <c r="G47" s="35">
        <v>1</v>
      </c>
      <c r="H47" s="249">
        <f>VLOOKUP(OverzichtVloer20[[#This Row],[Code Taak]],InvulVloer19[],3,3)*F47*G47</f>
        <v>0</v>
      </c>
      <c r="I47" s="303">
        <f>OverzichtVloer20[[#This Row],[Kosten/jaar excl. BTW]]*1.21</f>
        <v>0</v>
      </c>
      <c r="M47" s="163"/>
    </row>
    <row r="48" spans="1:13" ht="14.25" customHeight="1">
      <c r="A48" s="198">
        <v>5</v>
      </c>
      <c r="B48" s="245" t="str">
        <f>VLOOKUP(OverzichtVloer20[[#This Row],[Code Locatie]],Locaties[],2,0)</f>
        <v>François Vatel vmbo</v>
      </c>
      <c r="C48" s="248">
        <v>1</v>
      </c>
      <c r="D48" s="301" t="str">
        <f>IF(Vloeronderhoud!$C48&gt;0,VLOOKUP(Vloeronderhoud!$C48,$A$8:$B$17,2,FALSE),"")</f>
        <v>Sprayen/opblokken</v>
      </c>
      <c r="E48" s="261" t="s">
        <v>101</v>
      </c>
      <c r="F48" s="302">
        <f>SUMIFS('Ruimtestaat'!$N:$N,'Ruimtestaat'!L:L,Vloeronderhoud!E48,'Ruimtestaat'!A:A,Vloeronderhoud!A48)</f>
        <v>2490</v>
      </c>
      <c r="G48" s="35">
        <v>1</v>
      </c>
      <c r="H48" s="249">
        <f>VLOOKUP(OverzichtVloer20[[#This Row],[Code Taak]],InvulVloer19[],3,3)*F48*G48</f>
        <v>0</v>
      </c>
      <c r="I48" s="303">
        <f>OverzichtVloer20[[#This Row],[Kosten/jaar excl. BTW]]*1.21</f>
        <v>0</v>
      </c>
      <c r="M48" s="163"/>
    </row>
    <row r="49" spans="1:13" ht="14.25" customHeight="1">
      <c r="A49" s="198">
        <v>5</v>
      </c>
      <c r="B49" s="245" t="str">
        <f>VLOOKUP(OverzichtVloer20[[#This Row],[Code Locatie]],Locaties[],2,0)</f>
        <v>François Vatel vmbo</v>
      </c>
      <c r="C49" s="248">
        <v>2</v>
      </c>
      <c r="D49" s="301" t="str">
        <f>IF(Vloeronderhoud!$C49&gt;0,VLOOKUP(Vloeronderhoud!$C49,$A$8:$B$17,2,FALSE),"")</f>
        <v>Topstrippen en conserveren</v>
      </c>
      <c r="E49" s="261" t="s">
        <v>101</v>
      </c>
      <c r="F49" s="302">
        <f>SUMIFS('Ruimtestaat'!$N:$N,'Ruimtestaat'!L:L,Vloeronderhoud!E49,'Ruimtestaat'!A:A,Vloeronderhoud!A49)</f>
        <v>2490</v>
      </c>
      <c r="G49" s="35">
        <v>1</v>
      </c>
      <c r="H49" s="249">
        <f>VLOOKUP(OverzichtVloer20[[#This Row],[Code Taak]],InvulVloer19[],3,3)*F49*G49</f>
        <v>0</v>
      </c>
      <c r="I49" s="303">
        <f>OverzichtVloer20[[#This Row],[Kosten/jaar excl. BTW]]*1.21</f>
        <v>0</v>
      </c>
      <c r="M49" s="163"/>
    </row>
    <row r="50" spans="1:13" ht="14.25" customHeight="1">
      <c r="A50" s="198">
        <v>5</v>
      </c>
      <c r="B50" s="245" t="str">
        <f>VLOOKUP(OverzichtVloer20[[#This Row],[Code Locatie]],Locaties[],2,0)</f>
        <v>François Vatel vmbo</v>
      </c>
      <c r="C50" s="248">
        <v>3</v>
      </c>
      <c r="D50" s="301" t="str">
        <f>IF(Vloeronderhoud!$C50&gt;0,VLOOKUP(Vloeronderhoud!$C50,$A$8:$B$17,2,FALSE),"")</f>
        <v>Diepstrippen, sealen en conserveren</v>
      </c>
      <c r="E50" s="261" t="s">
        <v>101</v>
      </c>
      <c r="F50" s="302">
        <f>SUMIFS('Ruimtestaat'!$N:$N,'Ruimtestaat'!L:L,Vloeronderhoud!E50,'Ruimtestaat'!A:A,Vloeronderhoud!A50)</f>
        <v>2490</v>
      </c>
      <c r="G50" s="35">
        <v>0.25</v>
      </c>
      <c r="H50" s="249">
        <f>VLOOKUP(OverzichtVloer20[[#This Row],[Code Taak]],InvulVloer19[],3,3)*F50*G50</f>
        <v>0</v>
      </c>
      <c r="I50" s="303">
        <f>OverzichtVloer20[[#This Row],[Kosten/jaar excl. BTW]]*1.21</f>
        <v>0</v>
      </c>
      <c r="M50" s="163"/>
    </row>
    <row r="51" spans="1:13" ht="14.25" customHeight="1">
      <c r="A51" s="198">
        <v>5</v>
      </c>
      <c r="B51" s="245" t="str">
        <f>VLOOKUP(OverzichtVloer20[[#This Row],[Code Locatie]],Locaties[],2,0)</f>
        <v>François Vatel vmbo</v>
      </c>
      <c r="C51" s="248">
        <v>4</v>
      </c>
      <c r="D51" s="301" t="str">
        <f>IF(Vloeronderhoud!$C51&gt;0,VLOOKUP(Vloeronderhoud!$C51,$A$8:$B$17,2,FALSE),"")</f>
        <v>Tapijtreinigen, sproei-extractiemethode</v>
      </c>
      <c r="E51" s="261" t="s">
        <v>100</v>
      </c>
      <c r="F51" s="302">
        <f>SUMIFS('Ruimtestaat'!$N:$N,'Ruimtestaat'!L:L,Vloeronderhoud!E51,'Ruimtestaat'!A:A,Vloeronderhoud!A51)</f>
        <v>232</v>
      </c>
      <c r="G51" s="35">
        <v>1</v>
      </c>
      <c r="H51" s="249">
        <f>VLOOKUP(OverzichtVloer20[[#This Row],[Code Taak]],InvulVloer19[],3,3)*F51*G51</f>
        <v>0</v>
      </c>
      <c r="I51" s="303">
        <f>OverzichtVloer20[[#This Row],[Kosten/jaar excl. BTW]]*1.21</f>
        <v>0</v>
      </c>
      <c r="M51" s="163"/>
    </row>
    <row r="52" spans="1:13" ht="14.25" customHeight="1">
      <c r="A52" s="198">
        <v>5</v>
      </c>
      <c r="B52" s="245" t="str">
        <f>VLOOKUP(OverzichtVloer20[[#This Row],[Code Locatie]],Locaties[],2,0)</f>
        <v>François Vatel vmbo</v>
      </c>
      <c r="C52" s="248">
        <v>7</v>
      </c>
      <c r="D52" s="301" t="str">
        <f>IF(Vloeronderhoud!$C52&gt;0,VLOOKUP(Vloeronderhoud!$C52,$A$8:$B$17,2,FALSE),"")</f>
        <v>Olieen houten vloer</v>
      </c>
      <c r="E52" s="261" t="s">
        <v>1325</v>
      </c>
      <c r="F52" s="302">
        <f>SUMIFS('Ruimtestaat'!$N:$N,'Ruimtestaat'!L:L,Vloeronderhoud!E52,'Ruimtestaat'!A:A,Vloeronderhoud!A52)</f>
        <v>64</v>
      </c>
      <c r="G52" s="35">
        <v>1</v>
      </c>
      <c r="H52" s="249">
        <f>VLOOKUP(OverzichtVloer20[[#This Row],[Code Taak]],InvulVloer19[],3,3)*F52*G52</f>
        <v>0</v>
      </c>
      <c r="I52" s="303">
        <f>OverzichtVloer20[[#This Row],[Kosten/jaar excl. BTW]]*1.21</f>
        <v>0</v>
      </c>
      <c r="M52" s="163"/>
    </row>
    <row r="53" spans="1:13" ht="14.25" customHeight="1">
      <c r="A53" s="198">
        <v>5</v>
      </c>
      <c r="B53" s="245" t="str">
        <f>VLOOKUP(OverzichtVloer20[[#This Row],[Code Locatie]],Locaties[],2,0)</f>
        <v>François Vatel vmbo</v>
      </c>
      <c r="C53" s="248">
        <v>9</v>
      </c>
      <c r="D53" s="301" t="str">
        <f>IF(Vloeronderhoud!$C53&gt;0,VLOOKUP(Vloeronderhoud!$C53,$A$8:$B$17,2,FALSE),"")</f>
        <v>Machinaal schrobben en droogzuigen</v>
      </c>
      <c r="E53" s="261" t="s">
        <v>102</v>
      </c>
      <c r="F53" s="302">
        <f>SUMIFS('Ruimtestaat'!$N:$N,'Ruimtestaat'!L:L,Vloeronderhoud!E53,'Ruimtestaat'!A:A,Vloeronderhoud!A53)</f>
        <v>225</v>
      </c>
      <c r="G53" s="35">
        <v>1</v>
      </c>
      <c r="H53" s="249">
        <f>VLOOKUP(OverzichtVloer20[[#This Row],[Code Taak]],InvulVloer19[],3,3)*F53*G53</f>
        <v>0</v>
      </c>
      <c r="I53" s="303">
        <f>OverzichtVloer20[[#This Row],[Kosten/jaar excl. BTW]]*1.21</f>
        <v>0</v>
      </c>
      <c r="M53" s="163"/>
    </row>
    <row r="54" spans="1:13" ht="14.25" customHeight="1">
      <c r="A54" s="198">
        <v>5</v>
      </c>
      <c r="B54" s="245" t="str">
        <f>VLOOKUP(OverzichtVloer20[[#This Row],[Code Locatie]],Locaties[],2,0)</f>
        <v>François Vatel vmbo</v>
      </c>
      <c r="C54" s="248">
        <v>9</v>
      </c>
      <c r="D54" s="301" t="str">
        <f>IF(Vloeronderhoud!$C54&gt;0,VLOOKUP(Vloeronderhoud!$C54,$A$8:$B$17,2,FALSE),"")</f>
        <v>Machinaal schrobben en droogzuigen</v>
      </c>
      <c r="E54" s="261" t="s">
        <v>103</v>
      </c>
      <c r="F54" s="302">
        <f>SUMIFS('Ruimtestaat'!$N:$N,'Ruimtestaat'!L:L,Vloeronderhoud!E54,'Ruimtestaat'!A:A,Vloeronderhoud!A54)</f>
        <v>1293</v>
      </c>
      <c r="G54" s="35">
        <v>1</v>
      </c>
      <c r="H54" s="249">
        <f>VLOOKUP(OverzichtVloer20[[#This Row],[Code Taak]],InvulVloer19[],3,3)*F54*G54</f>
        <v>0</v>
      </c>
      <c r="I54" s="303">
        <f>OverzichtVloer20[[#This Row],[Kosten/jaar excl. BTW]]*1.21</f>
        <v>0</v>
      </c>
      <c r="M54" s="163"/>
    </row>
    <row r="55" spans="1:13" ht="14.25" customHeight="1">
      <c r="A55" s="198">
        <v>6</v>
      </c>
      <c r="B55" s="245" t="str">
        <f>VLOOKUP(OverzichtVloer20[[#This Row],[Code Locatie]],Locaties[],2,0)</f>
        <v>Veurs Lyceum</v>
      </c>
      <c r="C55" s="248">
        <v>1</v>
      </c>
      <c r="D55" s="301" t="str">
        <f>IF(Vloeronderhoud!$C55&gt;0,VLOOKUP(Vloeronderhoud!$C55,$A$8:$B$17,2,FALSE),"")</f>
        <v>Sprayen/opblokken</v>
      </c>
      <c r="E55" s="261" t="s">
        <v>101</v>
      </c>
      <c r="F55" s="302">
        <f>SUMIFS('Ruimtestaat'!$N:$N,'Ruimtestaat'!L:L,Vloeronderhoud!E55,'Ruimtestaat'!A:A,Vloeronderhoud!A55)</f>
        <v>864</v>
      </c>
      <c r="G55" s="35">
        <v>1</v>
      </c>
      <c r="H55" s="249">
        <f>VLOOKUP(OverzichtVloer20[[#This Row],[Code Taak]],InvulVloer19[],3,3)*F55*G55</f>
        <v>0</v>
      </c>
      <c r="I55" s="303">
        <f>OverzichtVloer20[[#This Row],[Kosten/jaar excl. BTW]]*1.21</f>
        <v>0</v>
      </c>
      <c r="M55" s="163"/>
    </row>
    <row r="56" spans="1:13" ht="14.25" customHeight="1">
      <c r="A56" s="198">
        <v>6</v>
      </c>
      <c r="B56" s="245" t="str">
        <f>VLOOKUP(OverzichtVloer20[[#This Row],[Code Locatie]],Locaties[],2,0)</f>
        <v>Veurs Lyceum</v>
      </c>
      <c r="C56" s="248">
        <v>2</v>
      </c>
      <c r="D56" s="301" t="str">
        <f>IF(Vloeronderhoud!$C56&gt;0,VLOOKUP(Vloeronderhoud!$C56,$A$8:$B$17,2,FALSE),"")</f>
        <v>Topstrippen en conserveren</v>
      </c>
      <c r="E56" s="261" t="s">
        <v>101</v>
      </c>
      <c r="F56" s="302">
        <f>SUMIFS('Ruimtestaat'!$N:$N,'Ruimtestaat'!L:L,Vloeronderhoud!E56,'Ruimtestaat'!A:A,Vloeronderhoud!A56)</f>
        <v>864</v>
      </c>
      <c r="G56" s="35">
        <v>1</v>
      </c>
      <c r="H56" s="249">
        <f>VLOOKUP(OverzichtVloer20[[#This Row],[Code Taak]],InvulVloer19[],3,3)*F56*G56</f>
        <v>0</v>
      </c>
      <c r="I56" s="303">
        <f>OverzichtVloer20[[#This Row],[Kosten/jaar excl. BTW]]*1.21</f>
        <v>0</v>
      </c>
      <c r="M56" s="163"/>
    </row>
    <row r="57" spans="1:13" ht="14.25" customHeight="1">
      <c r="A57" s="198">
        <v>6</v>
      </c>
      <c r="B57" s="245" t="str">
        <f>VLOOKUP(OverzichtVloer20[[#This Row],[Code Locatie]],Locaties[],2,0)</f>
        <v>Veurs Lyceum</v>
      </c>
      <c r="C57" s="248">
        <v>3</v>
      </c>
      <c r="D57" s="301" t="str">
        <f>IF(Vloeronderhoud!$C57&gt;0,VLOOKUP(Vloeronderhoud!$C57,$A$8:$B$17,2,FALSE),"")</f>
        <v>Diepstrippen, sealen en conserveren</v>
      </c>
      <c r="E57" s="261" t="s">
        <v>101</v>
      </c>
      <c r="F57" s="302">
        <f>SUMIFS('Ruimtestaat'!$N:$N,'Ruimtestaat'!L:L,Vloeronderhoud!E57,'Ruimtestaat'!A:A,Vloeronderhoud!A57)</f>
        <v>864</v>
      </c>
      <c r="G57" s="35">
        <v>0.25</v>
      </c>
      <c r="H57" s="249">
        <f>VLOOKUP(OverzichtVloer20[[#This Row],[Code Taak]],InvulVloer19[],3,3)*F57*G57</f>
        <v>0</v>
      </c>
      <c r="I57" s="303">
        <f>OverzichtVloer20[[#This Row],[Kosten/jaar excl. BTW]]*1.21</f>
        <v>0</v>
      </c>
      <c r="M57" s="163"/>
    </row>
    <row r="58" spans="1:13" ht="14.25" customHeight="1">
      <c r="A58" s="198">
        <v>6</v>
      </c>
      <c r="B58" s="245" t="str">
        <f>VLOOKUP(OverzichtVloer20[[#This Row],[Code Locatie]],Locaties[],2,0)</f>
        <v>Veurs Lyceum</v>
      </c>
      <c r="C58" s="248">
        <v>4</v>
      </c>
      <c r="D58" s="301" t="str">
        <f>IF(Vloeronderhoud!$C58&gt;0,VLOOKUP(Vloeronderhoud!$C58,$A$8:$B$17,2,FALSE),"")</f>
        <v>Tapijtreinigen, sproei-extractiemethode</v>
      </c>
      <c r="E58" s="261" t="s">
        <v>100</v>
      </c>
      <c r="F58" s="302">
        <f>SUMIFS('Ruimtestaat'!$N:$N,'Ruimtestaat'!L:L,Vloeronderhoud!E58,'Ruimtestaat'!A:A,Vloeronderhoud!A58)</f>
        <v>1725</v>
      </c>
      <c r="G58" s="35">
        <v>1</v>
      </c>
      <c r="H58" s="249">
        <f>VLOOKUP(OverzichtVloer20[[#This Row],[Code Taak]],InvulVloer19[],3,3)*F58*G58</f>
        <v>0</v>
      </c>
      <c r="I58" s="303">
        <f>OverzichtVloer20[[#This Row],[Kosten/jaar excl. BTW]]*1.21</f>
        <v>0</v>
      </c>
      <c r="M58" s="163"/>
    </row>
    <row r="59" spans="1:13" ht="14.25" customHeight="1">
      <c r="A59" s="198">
        <v>6</v>
      </c>
      <c r="B59" s="245" t="str">
        <f>VLOOKUP(OverzichtVloer20[[#This Row],[Code Locatie]],Locaties[],2,0)</f>
        <v>Veurs Lyceum</v>
      </c>
      <c r="C59" s="248">
        <v>7</v>
      </c>
      <c r="D59" s="301" t="str">
        <f>IF(Vloeronderhoud!$C59&gt;0,VLOOKUP(Vloeronderhoud!$C59,$A$8:$B$17,2,FALSE),"")</f>
        <v>Olieen houten vloer</v>
      </c>
      <c r="E59" s="261" t="s">
        <v>1325</v>
      </c>
      <c r="F59" s="302">
        <f>SUMIFS('Ruimtestaat'!$N:$N,'Ruimtestaat'!L:L,Vloeronderhoud!E59,'Ruimtestaat'!A:A,Vloeronderhoud!A59)</f>
        <v>0</v>
      </c>
      <c r="G59" s="35">
        <v>1</v>
      </c>
      <c r="H59" s="249">
        <f>VLOOKUP(OverzichtVloer20[[#This Row],[Code Taak]],InvulVloer19[],3,3)*F59*G59</f>
        <v>0</v>
      </c>
      <c r="I59" s="303">
        <f>OverzichtVloer20[[#This Row],[Kosten/jaar excl. BTW]]*1.21</f>
        <v>0</v>
      </c>
      <c r="M59" s="163"/>
    </row>
    <row r="60" spans="1:13" ht="14.25" customHeight="1">
      <c r="A60" s="198">
        <v>6</v>
      </c>
      <c r="B60" s="245" t="str">
        <f>VLOOKUP(OverzichtVloer20[[#This Row],[Code Locatie]],Locaties[],2,0)</f>
        <v>Veurs Lyceum</v>
      </c>
      <c r="C60" s="248">
        <v>9</v>
      </c>
      <c r="D60" s="301" t="str">
        <f>IF(Vloeronderhoud!$C60&gt;0,VLOOKUP(Vloeronderhoud!$C60,$A$8:$B$17,2,FALSE),"")</f>
        <v>Machinaal schrobben en droogzuigen</v>
      </c>
      <c r="E60" s="261" t="s">
        <v>102</v>
      </c>
      <c r="F60" s="302">
        <f>SUMIFS('Ruimtestaat'!$N:$N,'Ruimtestaat'!L:L,Vloeronderhoud!E60,'Ruimtestaat'!A:A,Vloeronderhoud!A60)</f>
        <v>970</v>
      </c>
      <c r="G60" s="35">
        <v>1</v>
      </c>
      <c r="H60" s="249">
        <f>VLOOKUP(OverzichtVloer20[[#This Row],[Code Taak]],InvulVloer19[],3,3)*F60*G60</f>
        <v>0</v>
      </c>
      <c r="I60" s="303">
        <f>OverzichtVloer20[[#This Row],[Kosten/jaar excl. BTW]]*1.21</f>
        <v>0</v>
      </c>
      <c r="M60" s="163"/>
    </row>
    <row r="61" spans="1:13" ht="14.25" customHeight="1">
      <c r="A61" s="198">
        <v>6</v>
      </c>
      <c r="B61" s="245" t="str">
        <f>VLOOKUP(OverzichtVloer20[[#This Row],[Code Locatie]],Locaties[],2,0)</f>
        <v>Veurs Lyceum</v>
      </c>
      <c r="C61" s="248">
        <v>9</v>
      </c>
      <c r="D61" s="301" t="str">
        <f>IF(Vloeronderhoud!$C61&gt;0,VLOOKUP(Vloeronderhoud!$C61,$A$8:$B$17,2,FALSE),"")</f>
        <v>Machinaal schrobben en droogzuigen</v>
      </c>
      <c r="E61" s="261" t="s">
        <v>103</v>
      </c>
      <c r="F61" s="302">
        <f>SUMIFS('Ruimtestaat'!$N:$N,'Ruimtestaat'!L:L,Vloeronderhoud!E61,'Ruimtestaat'!A:A,Vloeronderhoud!A61)</f>
        <v>1773</v>
      </c>
      <c r="G61" s="35">
        <v>1</v>
      </c>
      <c r="H61" s="249">
        <f>VLOOKUP(OverzichtVloer20[[#This Row],[Code Taak]],InvulVloer19[],3,3)*F61*G61</f>
        <v>0</v>
      </c>
      <c r="I61" s="303">
        <f>OverzichtVloer20[[#This Row],[Kosten/jaar excl. BTW]]*1.21</f>
        <v>0</v>
      </c>
      <c r="M61" s="163"/>
    </row>
    <row r="62" spans="1:13" ht="14.25" customHeight="1">
      <c r="A62" s="198">
        <v>7</v>
      </c>
      <c r="B62" s="245" t="str">
        <f>VLOOKUP(OverzichtVloer20[[#This Row],[Code Locatie]],Locaties[],2,0)</f>
        <v>Gymnasium Novum</v>
      </c>
      <c r="C62" s="248">
        <v>1</v>
      </c>
      <c r="D62" s="301" t="str">
        <f>IF(Vloeronderhoud!$C62&gt;0,VLOOKUP(Vloeronderhoud!$C62,$A$8:$B$17,2,FALSE),"")</f>
        <v>Sprayen/opblokken</v>
      </c>
      <c r="E62" s="261" t="s">
        <v>101</v>
      </c>
      <c r="F62" s="302">
        <f>SUMIFS('Ruimtestaat'!$N:$N,'Ruimtestaat'!L:L,Vloeronderhoud!E62,'Ruimtestaat'!A:A,Vloeronderhoud!A62)</f>
        <v>4093.4000000000005</v>
      </c>
      <c r="G62" s="35">
        <v>1</v>
      </c>
      <c r="H62" s="249">
        <f>VLOOKUP(OverzichtVloer20[[#This Row],[Code Taak]],InvulVloer19[],3,3)*F62*G62</f>
        <v>0</v>
      </c>
      <c r="I62" s="303">
        <f>OverzichtVloer20[[#This Row],[Kosten/jaar excl. BTW]]*1.21</f>
        <v>0</v>
      </c>
      <c r="M62" s="163"/>
    </row>
    <row r="63" spans="1:13" ht="14.25" customHeight="1">
      <c r="A63" s="198">
        <v>7</v>
      </c>
      <c r="B63" s="245" t="str">
        <f>VLOOKUP(OverzichtVloer20[[#This Row],[Code Locatie]],Locaties[],2,0)</f>
        <v>Gymnasium Novum</v>
      </c>
      <c r="C63" s="248">
        <v>2</v>
      </c>
      <c r="D63" s="301" t="str">
        <f>IF(Vloeronderhoud!$C63&gt;0,VLOOKUP(Vloeronderhoud!$C63,$A$8:$B$17,2,FALSE),"")</f>
        <v>Topstrippen en conserveren</v>
      </c>
      <c r="E63" s="261" t="s">
        <v>101</v>
      </c>
      <c r="F63" s="302">
        <f>SUMIFS('Ruimtestaat'!$N:$N,'Ruimtestaat'!L:L,Vloeronderhoud!E63,'Ruimtestaat'!A:A,Vloeronderhoud!A63)</f>
        <v>4093.4000000000005</v>
      </c>
      <c r="G63" s="35">
        <v>1</v>
      </c>
      <c r="H63" s="249">
        <f>VLOOKUP(OverzichtVloer20[[#This Row],[Code Taak]],InvulVloer19[],3,3)*F63*G63</f>
        <v>0</v>
      </c>
      <c r="I63" s="303">
        <f>OverzichtVloer20[[#This Row],[Kosten/jaar excl. BTW]]*1.21</f>
        <v>0</v>
      </c>
      <c r="M63" s="163"/>
    </row>
    <row r="64" spans="1:13" ht="14.25" customHeight="1">
      <c r="A64" s="198">
        <v>7</v>
      </c>
      <c r="B64" s="245" t="str">
        <f>VLOOKUP(OverzichtVloer20[[#This Row],[Code Locatie]],Locaties[],2,0)</f>
        <v>Gymnasium Novum</v>
      </c>
      <c r="C64" s="248">
        <v>3</v>
      </c>
      <c r="D64" s="301" t="str">
        <f>IF(Vloeronderhoud!$C64&gt;0,VLOOKUP(Vloeronderhoud!$C64,$A$8:$B$17,2,FALSE),"")</f>
        <v>Diepstrippen, sealen en conserveren</v>
      </c>
      <c r="E64" s="261" t="s">
        <v>101</v>
      </c>
      <c r="F64" s="302">
        <f>SUMIFS('Ruimtestaat'!$N:$N,'Ruimtestaat'!L:L,Vloeronderhoud!E64,'Ruimtestaat'!A:A,Vloeronderhoud!A64)</f>
        <v>4093.4000000000005</v>
      </c>
      <c r="G64" s="35">
        <v>0.25</v>
      </c>
      <c r="H64" s="249">
        <f>VLOOKUP(OverzichtVloer20[[#This Row],[Code Taak]],InvulVloer19[],3,3)*F64*G64</f>
        <v>0</v>
      </c>
      <c r="I64" s="303">
        <f>OverzichtVloer20[[#This Row],[Kosten/jaar excl. BTW]]*1.21</f>
        <v>0</v>
      </c>
      <c r="M64" s="163"/>
    </row>
    <row r="65" spans="1:13" ht="14.25" customHeight="1">
      <c r="A65" s="198">
        <v>7</v>
      </c>
      <c r="B65" s="245" t="str">
        <f>VLOOKUP(OverzichtVloer20[[#This Row],[Code Locatie]],Locaties[],2,0)</f>
        <v>Gymnasium Novum</v>
      </c>
      <c r="C65" s="248">
        <v>4</v>
      </c>
      <c r="D65" s="301" t="str">
        <f>IF(Vloeronderhoud!$C65&gt;0,VLOOKUP(Vloeronderhoud!$C65,$A$8:$B$17,2,FALSE),"")</f>
        <v>Tapijtreinigen, sproei-extractiemethode</v>
      </c>
      <c r="E65" s="261" t="s">
        <v>100</v>
      </c>
      <c r="F65" s="302">
        <f>SUMIFS('Ruimtestaat'!$N:$N,'Ruimtestaat'!L:L,Vloeronderhoud!E65,'Ruimtestaat'!A:A,Vloeronderhoud!A65)</f>
        <v>25</v>
      </c>
      <c r="G65" s="35">
        <v>1</v>
      </c>
      <c r="H65" s="249">
        <f>VLOOKUP(OverzichtVloer20[[#This Row],[Code Taak]],InvulVloer19[],3,3)*F65*G65</f>
        <v>0</v>
      </c>
      <c r="I65" s="303">
        <f>OverzichtVloer20[[#This Row],[Kosten/jaar excl. BTW]]*1.21</f>
        <v>0</v>
      </c>
      <c r="M65" s="163"/>
    </row>
    <row r="66" spans="1:13" ht="14.25" customHeight="1">
      <c r="A66" s="198">
        <v>7</v>
      </c>
      <c r="B66" s="245" t="str">
        <f>VLOOKUP(OverzichtVloer20[[#This Row],[Code Locatie]],Locaties[],2,0)</f>
        <v>Gymnasium Novum</v>
      </c>
      <c r="C66" s="248">
        <v>7</v>
      </c>
      <c r="D66" s="301" t="str">
        <f>IF(Vloeronderhoud!$C66&gt;0,VLOOKUP(Vloeronderhoud!$C66,$A$8:$B$17,2,FALSE),"")</f>
        <v>Olieen houten vloer</v>
      </c>
      <c r="E66" s="261" t="s">
        <v>1325</v>
      </c>
      <c r="F66" s="302">
        <f>SUMIFS('Ruimtestaat'!$N:$N,'Ruimtestaat'!L:L,Vloeronderhoud!E66,'Ruimtestaat'!A:A,Vloeronderhoud!A66)</f>
        <v>24</v>
      </c>
      <c r="G66" s="35">
        <v>1</v>
      </c>
      <c r="H66" s="249">
        <f>VLOOKUP(OverzichtVloer20[[#This Row],[Code Taak]],InvulVloer19[],3,3)*F66*G66</f>
        <v>0</v>
      </c>
      <c r="I66" s="303">
        <f>OverzichtVloer20[[#This Row],[Kosten/jaar excl. BTW]]*1.21</f>
        <v>0</v>
      </c>
      <c r="M66" s="163"/>
    </row>
    <row r="67" spans="1:13" ht="14.25" customHeight="1">
      <c r="A67" s="198">
        <v>7</v>
      </c>
      <c r="B67" s="245" t="str">
        <f>VLOOKUP(OverzichtVloer20[[#This Row],[Code Locatie]],Locaties[],2,0)</f>
        <v>Gymnasium Novum</v>
      </c>
      <c r="C67" s="248">
        <v>9</v>
      </c>
      <c r="D67" s="301" t="str">
        <f>IF(Vloeronderhoud!$C67&gt;0,VLOOKUP(Vloeronderhoud!$C67,$A$8:$B$17,2,FALSE),"")</f>
        <v>Machinaal schrobben en droogzuigen</v>
      </c>
      <c r="E67" s="261" t="s">
        <v>102</v>
      </c>
      <c r="F67" s="302">
        <f>SUMIFS('Ruimtestaat'!$N:$N,'Ruimtestaat'!L:L,Vloeronderhoud!E67,'Ruimtestaat'!A:A,Vloeronderhoud!A67)</f>
        <v>381</v>
      </c>
      <c r="G67" s="35">
        <v>1</v>
      </c>
      <c r="H67" s="249">
        <f>VLOOKUP(OverzichtVloer20[[#This Row],[Code Taak]],InvulVloer19[],3,3)*F67*G67</f>
        <v>0</v>
      </c>
      <c r="I67" s="303">
        <f>OverzichtVloer20[[#This Row],[Kosten/jaar excl. BTW]]*1.21</f>
        <v>0</v>
      </c>
      <c r="M67" s="163"/>
    </row>
    <row r="68" spans="1:13" ht="14.25" customHeight="1">
      <c r="A68" s="198">
        <v>7</v>
      </c>
      <c r="B68" s="245" t="str">
        <f>VLOOKUP(OverzichtVloer20[[#This Row],[Code Locatie]],Locaties[],2,0)</f>
        <v>Gymnasium Novum</v>
      </c>
      <c r="C68" s="248">
        <v>9</v>
      </c>
      <c r="D68" s="301" t="str">
        <f>IF(Vloeronderhoud!$C68&gt;0,VLOOKUP(Vloeronderhoud!$C68,$A$8:$B$17,2,FALSE),"")</f>
        <v>Machinaal schrobben en droogzuigen</v>
      </c>
      <c r="E68" s="261" t="s">
        <v>103</v>
      </c>
      <c r="F68" s="302">
        <f>SUMIFS('Ruimtestaat'!$N:$N,'Ruimtestaat'!L:L,Vloeronderhoud!E68,'Ruimtestaat'!A:A,Vloeronderhoud!A68)</f>
        <v>222</v>
      </c>
      <c r="G68" s="35">
        <v>1</v>
      </c>
      <c r="H68" s="249">
        <f>VLOOKUP(OverzichtVloer20[[#This Row],[Code Taak]],InvulVloer19[],3,3)*F68*G68</f>
        <v>0</v>
      </c>
      <c r="I68" s="303">
        <f>OverzichtVloer20[[#This Row],[Kosten/jaar excl. BTW]]*1.21</f>
        <v>0</v>
      </c>
      <c r="M68" s="163"/>
    </row>
    <row r="69" spans="1:13" ht="14.25" customHeight="1">
      <c r="A69" s="198">
        <v>8</v>
      </c>
      <c r="B69" s="245" t="str">
        <f>VLOOKUP(OverzichtVloer20[[#This Row],[Code Locatie]],Locaties[],2,0)</f>
        <v>Dalton College</v>
      </c>
      <c r="C69" s="248">
        <v>1</v>
      </c>
      <c r="D69" s="301" t="str">
        <f>IF(Vloeronderhoud!$C69&gt;0,VLOOKUP(Vloeronderhoud!$C69,$A$8:$B$17,2,FALSE),"")</f>
        <v>Sprayen/opblokken</v>
      </c>
      <c r="E69" s="261" t="s">
        <v>101</v>
      </c>
      <c r="F69" s="302">
        <f>SUMIFS('Ruimtestaat'!$N:$N,'Ruimtestaat'!L:L,Vloeronderhoud!E69,'Ruimtestaat'!A:A,Vloeronderhoud!A69)</f>
        <v>5557</v>
      </c>
      <c r="G69" s="35">
        <v>1</v>
      </c>
      <c r="H69" s="249">
        <f>VLOOKUP(OverzichtVloer20[[#This Row],[Code Taak]],InvulVloer19[],3,3)*F69*G69</f>
        <v>0</v>
      </c>
      <c r="I69" s="303">
        <f>OverzichtVloer20[[#This Row],[Kosten/jaar excl. BTW]]*1.21</f>
        <v>0</v>
      </c>
      <c r="M69" s="163"/>
    </row>
    <row r="70" spans="1:13" ht="14.25" customHeight="1">
      <c r="A70" s="198">
        <v>8</v>
      </c>
      <c r="B70" s="245" t="str">
        <f>VLOOKUP(OverzichtVloer20[[#This Row],[Code Locatie]],Locaties[],2,0)</f>
        <v>Dalton College</v>
      </c>
      <c r="C70" s="248">
        <v>2</v>
      </c>
      <c r="D70" s="301" t="str">
        <f>IF(Vloeronderhoud!$C70&gt;0,VLOOKUP(Vloeronderhoud!$C70,$A$8:$B$17,2,FALSE),"")</f>
        <v>Topstrippen en conserveren</v>
      </c>
      <c r="E70" s="261" t="s">
        <v>101</v>
      </c>
      <c r="F70" s="302">
        <f>SUMIFS('Ruimtestaat'!$N:$N,'Ruimtestaat'!L:L,Vloeronderhoud!E70,'Ruimtestaat'!A:A,Vloeronderhoud!A70)</f>
        <v>5557</v>
      </c>
      <c r="G70" s="35">
        <v>1</v>
      </c>
      <c r="H70" s="249">
        <f>VLOOKUP(OverzichtVloer20[[#This Row],[Code Taak]],InvulVloer19[],3,3)*F70*G70</f>
        <v>0</v>
      </c>
      <c r="I70" s="303">
        <f>OverzichtVloer20[[#This Row],[Kosten/jaar excl. BTW]]*1.21</f>
        <v>0</v>
      </c>
      <c r="M70" s="163"/>
    </row>
    <row r="71" spans="1:13" ht="14.25" customHeight="1">
      <c r="A71" s="198">
        <v>8</v>
      </c>
      <c r="B71" s="245" t="str">
        <f>VLOOKUP(OverzichtVloer20[[#This Row],[Code Locatie]],Locaties[],2,0)</f>
        <v>Dalton College</v>
      </c>
      <c r="C71" s="248">
        <v>3</v>
      </c>
      <c r="D71" s="301" t="str">
        <f>IF(Vloeronderhoud!$C71&gt;0,VLOOKUP(Vloeronderhoud!$C71,$A$8:$B$17,2,FALSE),"")</f>
        <v>Diepstrippen, sealen en conserveren</v>
      </c>
      <c r="E71" s="261" t="s">
        <v>101</v>
      </c>
      <c r="F71" s="302">
        <f>SUMIFS('Ruimtestaat'!$N:$N,'Ruimtestaat'!L:L,Vloeronderhoud!E71,'Ruimtestaat'!A:A,Vloeronderhoud!A71)</f>
        <v>5557</v>
      </c>
      <c r="G71" s="35">
        <v>0.25</v>
      </c>
      <c r="H71" s="249">
        <f>VLOOKUP(OverzichtVloer20[[#This Row],[Code Taak]],InvulVloer19[],3,3)*F71*G71</f>
        <v>0</v>
      </c>
      <c r="I71" s="303">
        <f>OverzichtVloer20[[#This Row],[Kosten/jaar excl. BTW]]*1.21</f>
        <v>0</v>
      </c>
      <c r="M71" s="163"/>
    </row>
    <row r="72" spans="1:13" ht="14.25" customHeight="1">
      <c r="A72" s="198">
        <v>8</v>
      </c>
      <c r="B72" s="245" t="str">
        <f>VLOOKUP(OverzichtVloer20[[#This Row],[Code Locatie]],Locaties[],2,0)</f>
        <v>Dalton College</v>
      </c>
      <c r="C72" s="248">
        <v>4</v>
      </c>
      <c r="D72" s="301" t="str">
        <f>IF(Vloeronderhoud!$C72&gt;0,VLOOKUP(Vloeronderhoud!$C72,$A$8:$B$17,2,FALSE),"")</f>
        <v>Tapijtreinigen, sproei-extractiemethode</v>
      </c>
      <c r="E72" s="261" t="s">
        <v>100</v>
      </c>
      <c r="F72" s="302">
        <f>SUMIFS('Ruimtestaat'!$N:$N,'Ruimtestaat'!L:L,Vloeronderhoud!E72,'Ruimtestaat'!A:A,Vloeronderhoud!A72)</f>
        <v>694</v>
      </c>
      <c r="G72" s="35">
        <v>1</v>
      </c>
      <c r="H72" s="249">
        <f>VLOOKUP(OverzichtVloer20[[#This Row],[Code Taak]],InvulVloer19[],3,3)*F72*G72</f>
        <v>0</v>
      </c>
      <c r="I72" s="303">
        <f>OverzichtVloer20[[#This Row],[Kosten/jaar excl. BTW]]*1.21</f>
        <v>0</v>
      </c>
      <c r="M72" s="163"/>
    </row>
    <row r="73" spans="1:13" ht="14.25" customHeight="1">
      <c r="A73" s="198">
        <v>8</v>
      </c>
      <c r="B73" s="245" t="str">
        <f>VLOOKUP(OverzichtVloer20[[#This Row],[Code Locatie]],Locaties[],2,0)</f>
        <v>Dalton College</v>
      </c>
      <c r="C73" s="248">
        <v>7</v>
      </c>
      <c r="D73" s="301" t="str">
        <f>IF(Vloeronderhoud!$C73&gt;0,VLOOKUP(Vloeronderhoud!$C73,$A$8:$B$17,2,FALSE),"")</f>
        <v>Olieen houten vloer</v>
      </c>
      <c r="E73" s="261" t="s">
        <v>1325</v>
      </c>
      <c r="F73" s="302">
        <f>SUMIFS('Ruimtestaat'!$N:$N,'Ruimtestaat'!L:L,Vloeronderhoud!E73,'Ruimtestaat'!A:A,Vloeronderhoud!A73)</f>
        <v>0</v>
      </c>
      <c r="G73" s="35">
        <v>1</v>
      </c>
      <c r="H73" s="249">
        <f>VLOOKUP(OverzichtVloer20[[#This Row],[Code Taak]],InvulVloer19[],3,3)*F73*G73</f>
        <v>0</v>
      </c>
      <c r="I73" s="303">
        <f>OverzichtVloer20[[#This Row],[Kosten/jaar excl. BTW]]*1.21</f>
        <v>0</v>
      </c>
      <c r="M73" s="163"/>
    </row>
    <row r="74" spans="1:13" ht="14.25" customHeight="1">
      <c r="A74" s="198">
        <v>8</v>
      </c>
      <c r="B74" s="245" t="str">
        <f>VLOOKUP(OverzichtVloer20[[#This Row],[Code Locatie]],Locaties[],2,0)</f>
        <v>Dalton College</v>
      </c>
      <c r="C74" s="248">
        <v>9</v>
      </c>
      <c r="D74" s="301" t="str">
        <f>IF(Vloeronderhoud!$C74&gt;0,VLOOKUP(Vloeronderhoud!$C74,$A$8:$B$17,2,FALSE),"")</f>
        <v>Machinaal schrobben en droogzuigen</v>
      </c>
      <c r="E74" s="261" t="s">
        <v>102</v>
      </c>
      <c r="F74" s="302">
        <f>SUMIFS('Ruimtestaat'!$N:$N,'Ruimtestaat'!L:L,Vloeronderhoud!E74,'Ruimtestaat'!A:A,Vloeronderhoud!A74)</f>
        <v>2310</v>
      </c>
      <c r="G74" s="35">
        <v>1</v>
      </c>
      <c r="H74" s="249">
        <f>VLOOKUP(OverzichtVloer20[[#This Row],[Code Taak]],InvulVloer19[],3,3)*F74*G74</f>
        <v>0</v>
      </c>
      <c r="I74" s="303">
        <f>OverzichtVloer20[[#This Row],[Kosten/jaar excl. BTW]]*1.21</f>
        <v>0</v>
      </c>
      <c r="M74" s="163"/>
    </row>
    <row r="75" spans="1:13" ht="14.25" customHeight="1">
      <c r="A75" s="198">
        <v>8</v>
      </c>
      <c r="B75" s="245" t="str">
        <f>VLOOKUP(OverzichtVloer20[[#This Row],[Code Locatie]],Locaties[],2,0)</f>
        <v>Dalton College</v>
      </c>
      <c r="C75" s="248">
        <v>9</v>
      </c>
      <c r="D75" s="301" t="str">
        <f>IF(Vloeronderhoud!$C75&gt;0,VLOOKUP(Vloeronderhoud!$C75,$A$8:$B$17,2,FALSE),"")</f>
        <v>Machinaal schrobben en droogzuigen</v>
      </c>
      <c r="E75" s="261" t="s">
        <v>103</v>
      </c>
      <c r="F75" s="302">
        <f>SUMIFS('Ruimtestaat'!$N:$N,'Ruimtestaat'!L:L,Vloeronderhoud!E75,'Ruimtestaat'!A:A,Vloeronderhoud!A75)</f>
        <v>967</v>
      </c>
      <c r="G75" s="35">
        <v>1</v>
      </c>
      <c r="H75" s="249">
        <f>VLOOKUP(OverzichtVloer20[[#This Row],[Code Taak]],InvulVloer19[],3,3)*F75*G75</f>
        <v>0</v>
      </c>
      <c r="I75" s="303">
        <f>OverzichtVloer20[[#This Row],[Kosten/jaar excl. BTW]]*1.21</f>
        <v>0</v>
      </c>
      <c r="M75" s="163"/>
    </row>
    <row r="76" spans="1:13" ht="14.25" customHeight="1">
      <c r="A76" s="198">
        <v>9</v>
      </c>
      <c r="B76" s="245" t="str">
        <f>VLOOKUP(OverzichtVloer20[[#This Row],[Code Locatie]],Locaties[],2,0)</f>
        <v>Novum-Maartenshal</v>
      </c>
      <c r="C76" s="248">
        <v>1</v>
      </c>
      <c r="D76" s="301" t="str">
        <f>IF(Vloeronderhoud!$C76&gt;0,VLOOKUP(Vloeronderhoud!$C76,$A$8:$B$17,2,FALSE),"")</f>
        <v>Sprayen/opblokken</v>
      </c>
      <c r="E76" s="261" t="s">
        <v>101</v>
      </c>
      <c r="F76" s="302">
        <f>SUMIFS('Ruimtestaat'!$N:$N,'Ruimtestaat'!L:L,Vloeronderhoud!E76,'Ruimtestaat'!A:A,Vloeronderhoud!A76)</f>
        <v>0</v>
      </c>
      <c r="G76" s="35">
        <v>1</v>
      </c>
      <c r="H76" s="249">
        <f>VLOOKUP(OverzichtVloer20[[#This Row],[Code Taak]],InvulVloer19[],3,3)*F76*G76</f>
        <v>0</v>
      </c>
      <c r="I76" s="303">
        <f>OverzichtVloer20[[#This Row],[Kosten/jaar excl. BTW]]*1.21</f>
        <v>0</v>
      </c>
      <c r="M76" s="163"/>
    </row>
    <row r="77" spans="1:13" ht="14.25" customHeight="1">
      <c r="A77" s="198">
        <v>9</v>
      </c>
      <c r="B77" s="245" t="str">
        <f>VLOOKUP(OverzichtVloer20[[#This Row],[Code Locatie]],Locaties[],2,0)</f>
        <v>Novum-Maartenshal</v>
      </c>
      <c r="C77" s="248">
        <v>2</v>
      </c>
      <c r="D77" s="301" t="str">
        <f>IF(Vloeronderhoud!$C77&gt;0,VLOOKUP(Vloeronderhoud!$C77,$A$8:$B$17,2,FALSE),"")</f>
        <v>Topstrippen en conserveren</v>
      </c>
      <c r="E77" s="261" t="s">
        <v>101</v>
      </c>
      <c r="F77" s="302">
        <f>SUMIFS('Ruimtestaat'!$N:$N,'Ruimtestaat'!L:L,Vloeronderhoud!E77,'Ruimtestaat'!A:A,Vloeronderhoud!A77)</f>
        <v>0</v>
      </c>
      <c r="G77" s="35">
        <v>1</v>
      </c>
      <c r="H77" s="249">
        <f>VLOOKUP(OverzichtVloer20[[#This Row],[Code Taak]],InvulVloer19[],3,3)*F77*G77</f>
        <v>0</v>
      </c>
      <c r="I77" s="303">
        <f>OverzichtVloer20[[#This Row],[Kosten/jaar excl. BTW]]*1.21</f>
        <v>0</v>
      </c>
      <c r="M77" s="163"/>
    </row>
    <row r="78" spans="1:13" ht="14.25" customHeight="1">
      <c r="A78" s="198">
        <v>9</v>
      </c>
      <c r="B78" s="245" t="str">
        <f>VLOOKUP(OverzichtVloer20[[#This Row],[Code Locatie]],Locaties[],2,0)</f>
        <v>Novum-Maartenshal</v>
      </c>
      <c r="C78" s="248">
        <v>3</v>
      </c>
      <c r="D78" s="301" t="str">
        <f>IF(Vloeronderhoud!$C78&gt;0,VLOOKUP(Vloeronderhoud!$C78,$A$8:$B$17,2,FALSE),"")</f>
        <v>Diepstrippen, sealen en conserveren</v>
      </c>
      <c r="E78" s="261" t="s">
        <v>101</v>
      </c>
      <c r="F78" s="302">
        <f>SUMIFS('Ruimtestaat'!$N:$N,'Ruimtestaat'!L:L,Vloeronderhoud!E78,'Ruimtestaat'!A:A,Vloeronderhoud!A78)</f>
        <v>0</v>
      </c>
      <c r="G78" s="35">
        <v>0.25</v>
      </c>
      <c r="H78" s="249">
        <f>VLOOKUP(OverzichtVloer20[[#This Row],[Code Taak]],InvulVloer19[],3,3)*F78*G78</f>
        <v>0</v>
      </c>
      <c r="I78" s="303">
        <f>OverzichtVloer20[[#This Row],[Kosten/jaar excl. BTW]]*1.21</f>
        <v>0</v>
      </c>
      <c r="M78" s="163"/>
    </row>
    <row r="79" spans="1:13" ht="14.25" customHeight="1">
      <c r="A79" s="198">
        <v>9</v>
      </c>
      <c r="B79" s="245" t="str">
        <f>VLOOKUP(OverzichtVloer20[[#This Row],[Code Locatie]],Locaties[],2,0)</f>
        <v>Novum-Maartenshal</v>
      </c>
      <c r="C79" s="248">
        <v>4</v>
      </c>
      <c r="D79" s="301" t="str">
        <f>IF(Vloeronderhoud!$C79&gt;0,VLOOKUP(Vloeronderhoud!$C79,$A$8:$B$17,2,FALSE),"")</f>
        <v>Tapijtreinigen, sproei-extractiemethode</v>
      </c>
      <c r="E79" s="261" t="s">
        <v>100</v>
      </c>
      <c r="F79" s="302">
        <f>SUMIFS('Ruimtestaat'!$N:$N,'Ruimtestaat'!L:L,Vloeronderhoud!E79,'Ruimtestaat'!A:A,Vloeronderhoud!A79)</f>
        <v>0</v>
      </c>
      <c r="G79" s="35">
        <v>1</v>
      </c>
      <c r="H79" s="249">
        <f>VLOOKUP(OverzichtVloer20[[#This Row],[Code Taak]],InvulVloer19[],3,3)*F79*G79</f>
        <v>0</v>
      </c>
      <c r="I79" s="303">
        <f>OverzichtVloer20[[#This Row],[Kosten/jaar excl. BTW]]*1.21</f>
        <v>0</v>
      </c>
      <c r="M79" s="163"/>
    </row>
    <row r="80" spans="1:13" ht="14.25" customHeight="1">
      <c r="A80" s="198">
        <v>9</v>
      </c>
      <c r="B80" s="245" t="str">
        <f>VLOOKUP(OverzichtVloer20[[#This Row],[Code Locatie]],Locaties[],2,0)</f>
        <v>Novum-Maartenshal</v>
      </c>
      <c r="C80" s="248">
        <v>7</v>
      </c>
      <c r="D80" s="301" t="str">
        <f>IF(Vloeronderhoud!$C80&gt;0,VLOOKUP(Vloeronderhoud!$C80,$A$8:$B$17,2,FALSE),"")</f>
        <v>Olieen houten vloer</v>
      </c>
      <c r="E80" s="261" t="s">
        <v>1325</v>
      </c>
      <c r="F80" s="302">
        <f>SUMIFS('Ruimtestaat'!$N:$N,'Ruimtestaat'!L:L,Vloeronderhoud!E80,'Ruimtestaat'!A:A,Vloeronderhoud!A80)</f>
        <v>0</v>
      </c>
      <c r="G80" s="35">
        <v>1</v>
      </c>
      <c r="H80" s="249">
        <f>VLOOKUP(OverzichtVloer20[[#This Row],[Code Taak]],InvulVloer19[],3,3)*F80*G80</f>
        <v>0</v>
      </c>
      <c r="I80" s="303">
        <f>OverzichtVloer20[[#This Row],[Kosten/jaar excl. BTW]]*1.21</f>
        <v>0</v>
      </c>
      <c r="M80" s="163"/>
    </row>
    <row r="81" spans="1:13" ht="14.25" customHeight="1">
      <c r="A81" s="198">
        <v>9</v>
      </c>
      <c r="B81" s="245" t="str">
        <f>VLOOKUP(OverzichtVloer20[[#This Row],[Code Locatie]],Locaties[],2,0)</f>
        <v>Novum-Maartenshal</v>
      </c>
      <c r="C81" s="248">
        <v>9</v>
      </c>
      <c r="D81" s="301" t="str">
        <f>IF(Vloeronderhoud!$C81&gt;0,VLOOKUP(Vloeronderhoud!$C81,$A$8:$B$17,2,FALSE),"")</f>
        <v>Machinaal schrobben en droogzuigen</v>
      </c>
      <c r="E81" s="261" t="s">
        <v>102</v>
      </c>
      <c r="F81" s="302">
        <f>SUMIFS('Ruimtestaat'!$N:$N,'Ruimtestaat'!L:L,Vloeronderhoud!E81,'Ruimtestaat'!A:A,Vloeronderhoud!A81)</f>
        <v>484.03999999999996</v>
      </c>
      <c r="G81" s="35">
        <v>1</v>
      </c>
      <c r="H81" s="249">
        <f>VLOOKUP(OverzichtVloer20[[#This Row],[Code Taak]],InvulVloer19[],3,3)*F81*G81</f>
        <v>0</v>
      </c>
      <c r="I81" s="303">
        <f>OverzichtVloer20[[#This Row],[Kosten/jaar excl. BTW]]*1.21</f>
        <v>0</v>
      </c>
      <c r="M81" s="163"/>
    </row>
    <row r="82" spans="1:13" ht="14.25" customHeight="1">
      <c r="A82" s="198">
        <v>9</v>
      </c>
      <c r="B82" s="245" t="str">
        <f>VLOOKUP(OverzichtVloer20[[#This Row],[Code Locatie]],Locaties[],2,0)</f>
        <v>Novum-Maartenshal</v>
      </c>
      <c r="C82" s="248">
        <v>9</v>
      </c>
      <c r="D82" s="301" t="str">
        <f>IF(Vloeronderhoud!$C82&gt;0,VLOOKUP(Vloeronderhoud!$C82,$A$8:$B$17,2,FALSE),"")</f>
        <v>Machinaal schrobben en droogzuigen</v>
      </c>
      <c r="E82" s="261" t="s">
        <v>103</v>
      </c>
      <c r="F82" s="302">
        <f>SUMIFS('Ruimtestaat'!$N:$N,'Ruimtestaat'!L:L,Vloeronderhoud!E82,'Ruimtestaat'!A:A,Vloeronderhoud!A82)</f>
        <v>1207.1300000000001</v>
      </c>
      <c r="G82" s="35">
        <v>1</v>
      </c>
      <c r="H82" s="249">
        <f>VLOOKUP(OverzichtVloer20[[#This Row],[Code Taak]],InvulVloer19[],3,3)*F82*G82</f>
        <v>0</v>
      </c>
      <c r="I82" s="303">
        <f>OverzichtVloer20[[#This Row],[Kosten/jaar excl. BTW]]*1.21</f>
        <v>0</v>
      </c>
      <c r="M82" s="163"/>
    </row>
    <row r="83" spans="1:13" ht="14.25" customHeight="1">
      <c r="A83" s="198">
        <v>10</v>
      </c>
      <c r="B83" s="245" t="str">
        <f>VLOOKUP(OverzichtVloer20[[#This Row],[Code Locatie]],Locaties[],2,0)</f>
        <v>Veurs Voorburg vmbo</v>
      </c>
      <c r="C83" s="248">
        <v>1</v>
      </c>
      <c r="D83" s="301" t="str">
        <f>IF(Vloeronderhoud!$C83&gt;0,VLOOKUP(Vloeronderhoud!$C83,$A$8:$B$17,2,FALSE),"")</f>
        <v>Sprayen/opblokken</v>
      </c>
      <c r="E83" s="261" t="s">
        <v>101</v>
      </c>
      <c r="F83" s="302">
        <f>SUMIFS('Ruimtestaat'!$N:$N,'Ruimtestaat'!L:L,Vloeronderhoud!E83,'Ruimtestaat'!A:A,Vloeronderhoud!A83)</f>
        <v>2370.5000000000005</v>
      </c>
      <c r="G83" s="35">
        <v>1</v>
      </c>
      <c r="H83" s="249">
        <f>VLOOKUP(OverzichtVloer20[[#This Row],[Code Taak]],InvulVloer19[],3,3)*F83*G83</f>
        <v>0</v>
      </c>
      <c r="I83" s="303">
        <f>OverzichtVloer20[[#This Row],[Kosten/jaar excl. BTW]]*1.21</f>
        <v>0</v>
      </c>
      <c r="M83" s="163"/>
    </row>
    <row r="84" spans="1:13" ht="14.25" customHeight="1">
      <c r="A84" s="198">
        <v>10</v>
      </c>
      <c r="B84" s="245" t="str">
        <f>VLOOKUP(OverzichtVloer20[[#This Row],[Code Locatie]],Locaties[],2,0)</f>
        <v>Veurs Voorburg vmbo</v>
      </c>
      <c r="C84" s="248">
        <v>2</v>
      </c>
      <c r="D84" s="301" t="str">
        <f>IF(Vloeronderhoud!$C84&gt;0,VLOOKUP(Vloeronderhoud!$C84,$A$8:$B$17,2,FALSE),"")</f>
        <v>Topstrippen en conserveren</v>
      </c>
      <c r="E84" s="261" t="s">
        <v>101</v>
      </c>
      <c r="F84" s="302">
        <f>SUMIFS('Ruimtestaat'!$N:$N,'Ruimtestaat'!L:L,Vloeronderhoud!E84,'Ruimtestaat'!A:A,Vloeronderhoud!A84)</f>
        <v>2370.5000000000005</v>
      </c>
      <c r="G84" s="35">
        <v>1</v>
      </c>
      <c r="H84" s="249">
        <f>VLOOKUP(OverzichtVloer20[[#This Row],[Code Taak]],InvulVloer19[],3,3)*F84*G84</f>
        <v>0</v>
      </c>
      <c r="I84" s="303">
        <f>OverzichtVloer20[[#This Row],[Kosten/jaar excl. BTW]]*1.21</f>
        <v>0</v>
      </c>
      <c r="M84" s="163"/>
    </row>
    <row r="85" spans="1:13" ht="14.25" customHeight="1">
      <c r="A85" s="198">
        <v>10</v>
      </c>
      <c r="B85" s="245" t="str">
        <f>VLOOKUP(OverzichtVloer20[[#This Row],[Code Locatie]],Locaties[],2,0)</f>
        <v>Veurs Voorburg vmbo</v>
      </c>
      <c r="C85" s="248">
        <v>3</v>
      </c>
      <c r="D85" s="301" t="str">
        <f>IF(Vloeronderhoud!$C85&gt;0,VLOOKUP(Vloeronderhoud!$C85,$A$8:$B$17,2,FALSE),"")</f>
        <v>Diepstrippen, sealen en conserveren</v>
      </c>
      <c r="E85" s="261" t="s">
        <v>101</v>
      </c>
      <c r="F85" s="302">
        <f>SUMIFS('Ruimtestaat'!$N:$N,'Ruimtestaat'!L:L,Vloeronderhoud!E85,'Ruimtestaat'!A:A,Vloeronderhoud!A85)</f>
        <v>2370.5000000000005</v>
      </c>
      <c r="G85" s="35">
        <v>0.25</v>
      </c>
      <c r="H85" s="249">
        <f>VLOOKUP(OverzichtVloer20[[#This Row],[Code Taak]],InvulVloer19[],3,3)*F85*G85</f>
        <v>0</v>
      </c>
      <c r="I85" s="303">
        <f>OverzichtVloer20[[#This Row],[Kosten/jaar excl. BTW]]*1.21</f>
        <v>0</v>
      </c>
      <c r="M85" s="163"/>
    </row>
    <row r="86" spans="1:13" ht="14.25" customHeight="1">
      <c r="A86" s="198">
        <v>10</v>
      </c>
      <c r="B86" s="245" t="str">
        <f>VLOOKUP(OverzichtVloer20[[#This Row],[Code Locatie]],Locaties[],2,0)</f>
        <v>Veurs Voorburg vmbo</v>
      </c>
      <c r="C86" s="248">
        <v>4</v>
      </c>
      <c r="D86" s="301" t="str">
        <f>IF(Vloeronderhoud!$C86&gt;0,VLOOKUP(Vloeronderhoud!$C86,$A$8:$B$17,2,FALSE),"")</f>
        <v>Tapijtreinigen, sproei-extractiemethode</v>
      </c>
      <c r="E86" s="261" t="s">
        <v>100</v>
      </c>
      <c r="F86" s="302">
        <f>SUMIFS('Ruimtestaat'!$N:$N,'Ruimtestaat'!L:L,Vloeronderhoud!E86,'Ruimtestaat'!A:A,Vloeronderhoud!A86)</f>
        <v>202.5</v>
      </c>
      <c r="G86" s="35">
        <v>1</v>
      </c>
      <c r="H86" s="249">
        <f>VLOOKUP(OverzichtVloer20[[#This Row],[Code Taak]],InvulVloer19[],3,3)*F86*G86</f>
        <v>0</v>
      </c>
      <c r="I86" s="303">
        <f>OverzichtVloer20[[#This Row],[Kosten/jaar excl. BTW]]*1.21</f>
        <v>0</v>
      </c>
      <c r="M86" s="163"/>
    </row>
    <row r="87" spans="1:13" ht="14.25" customHeight="1">
      <c r="A87" s="198">
        <v>10</v>
      </c>
      <c r="B87" s="245" t="str">
        <f>VLOOKUP(OverzichtVloer20[[#This Row],[Code Locatie]],Locaties[],2,0)</f>
        <v>Veurs Voorburg vmbo</v>
      </c>
      <c r="C87" s="248">
        <v>7</v>
      </c>
      <c r="D87" s="301" t="str">
        <f>IF(Vloeronderhoud!$C87&gt;0,VLOOKUP(Vloeronderhoud!$C87,$A$8:$B$17,2,FALSE),"")</f>
        <v>Olieen houten vloer</v>
      </c>
      <c r="E87" s="261" t="s">
        <v>1325</v>
      </c>
      <c r="F87" s="302">
        <f>SUMIFS('Ruimtestaat'!$N:$N,'Ruimtestaat'!L:L,Vloeronderhoud!E87,'Ruimtestaat'!A:A,Vloeronderhoud!A87)</f>
        <v>0</v>
      </c>
      <c r="G87" s="35">
        <v>1</v>
      </c>
      <c r="H87" s="249">
        <f>VLOOKUP(OverzichtVloer20[[#This Row],[Code Taak]],InvulVloer19[],3,3)*F87*G87</f>
        <v>0</v>
      </c>
      <c r="I87" s="303">
        <f>OverzichtVloer20[[#This Row],[Kosten/jaar excl. BTW]]*1.21</f>
        <v>0</v>
      </c>
      <c r="M87" s="163"/>
    </row>
    <row r="88" spans="1:13" ht="14.25" customHeight="1">
      <c r="A88" s="198">
        <v>10</v>
      </c>
      <c r="B88" s="245" t="str">
        <f>VLOOKUP(OverzichtVloer20[[#This Row],[Code Locatie]],Locaties[],2,0)</f>
        <v>Veurs Voorburg vmbo</v>
      </c>
      <c r="C88" s="248">
        <v>9</v>
      </c>
      <c r="D88" s="301" t="str">
        <f>IF(Vloeronderhoud!$C88&gt;0,VLOOKUP(Vloeronderhoud!$C88,$A$8:$B$17,2,FALSE),"")</f>
        <v>Machinaal schrobben en droogzuigen</v>
      </c>
      <c r="E88" s="261" t="s">
        <v>102</v>
      </c>
      <c r="F88" s="302">
        <f>SUMIFS('Ruimtestaat'!$N:$N,'Ruimtestaat'!L:L,Vloeronderhoud!E88,'Ruimtestaat'!A:A,Vloeronderhoud!A88)</f>
        <v>57.7</v>
      </c>
      <c r="G88" s="35">
        <v>1</v>
      </c>
      <c r="H88" s="249">
        <f>VLOOKUP(OverzichtVloer20[[#This Row],[Code Taak]],InvulVloer19[],3,3)*F88*G88</f>
        <v>0</v>
      </c>
      <c r="I88" s="303">
        <f>OverzichtVloer20[[#This Row],[Kosten/jaar excl. BTW]]*1.21</f>
        <v>0</v>
      </c>
      <c r="M88" s="163"/>
    </row>
    <row r="89" spans="1:13" ht="14.25" customHeight="1">
      <c r="A89" s="198">
        <v>10</v>
      </c>
      <c r="B89" s="245" t="str">
        <f>VLOOKUP(OverzichtVloer20[[#This Row],[Code Locatie]],Locaties[],2,0)</f>
        <v>Veurs Voorburg vmbo</v>
      </c>
      <c r="C89" s="248">
        <v>9</v>
      </c>
      <c r="D89" s="301" t="str">
        <f>IF(Vloeronderhoud!$C89&gt;0,VLOOKUP(Vloeronderhoud!$C89,$A$8:$B$17,2,FALSE),"")</f>
        <v>Machinaal schrobben en droogzuigen</v>
      </c>
      <c r="E89" s="261" t="s">
        <v>103</v>
      </c>
      <c r="F89" s="302">
        <f>SUMIFS('Ruimtestaat'!$N:$N,'Ruimtestaat'!L:L,Vloeronderhoud!E89,'Ruimtestaat'!A:A,Vloeronderhoud!A89)</f>
        <v>929.80000000000007</v>
      </c>
      <c r="G89" s="35">
        <v>1</v>
      </c>
      <c r="H89" s="249">
        <f>VLOOKUP(OverzichtVloer20[[#This Row],[Code Taak]],InvulVloer19[],3,3)*F89*G89</f>
        <v>0</v>
      </c>
      <c r="I89" s="303">
        <f>OverzichtVloer20[[#This Row],[Kosten/jaar excl. BTW]]*1.21</f>
        <v>0</v>
      </c>
      <c r="M89" s="163"/>
    </row>
    <row r="90" spans="1:13" ht="15" customHeight="1">
      <c r="A90" s="191"/>
      <c r="B90" s="192" t="s">
        <v>32</v>
      </c>
      <c r="C90" s="191"/>
      <c r="D90" s="193"/>
      <c r="E90" s="191"/>
      <c r="F90" s="194"/>
      <c r="G90" s="191"/>
      <c r="H90" s="195">
        <f>SUBTOTAL(109,OverzichtVloer20[Kosten/jaar excl. BTW])</f>
        <v>0</v>
      </c>
      <c r="I90" s="195">
        <f>SUBTOTAL(109,OverzichtVloer20[Kosten/jaar incl BTW])</f>
        <v>0</v>
      </c>
    </row>
    <row r="91" spans="1:13" ht="15" customHeight="1">
      <c r="A91" s="37"/>
      <c r="C91" s="35"/>
      <c r="D91" s="35"/>
      <c r="E91" s="35"/>
      <c r="F91" s="122"/>
      <c r="G91" s="41"/>
      <c r="H91"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8"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35"/>
  <sheetViews>
    <sheetView showGridLines="0" view="pageBreakPreview" zoomScaleNormal="100" zoomScaleSheetLayoutView="100" workbookViewId="0">
      <selection activeCell="A2" sqref="A2:H2"/>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7.7109375" style="4" bestFit="1" customWidth="1"/>
    <col min="7" max="7" width="18.85546875" style="4" customWidth="1"/>
    <col min="8" max="8" width="17.5703125" style="4" customWidth="1"/>
    <col min="9" max="9" width="17.7109375" style="4" bestFit="1" customWidth="1"/>
    <col min="10" max="16384" width="9.140625" style="4"/>
  </cols>
  <sheetData>
    <row r="1" spans="1:9" s="9" customFormat="1" ht="26.25" customHeight="1">
      <c r="A1" s="422" t="s">
        <v>39</v>
      </c>
      <c r="B1" s="422"/>
      <c r="C1" s="422"/>
      <c r="D1" s="422"/>
      <c r="E1" s="422"/>
      <c r="F1" s="422"/>
      <c r="G1" s="422"/>
      <c r="H1" s="422"/>
    </row>
    <row r="2" spans="1:9" s="9" customFormat="1" ht="15" customHeight="1">
      <c r="A2" s="420" t="s">
        <v>203</v>
      </c>
      <c r="B2" s="438"/>
      <c r="C2" s="438"/>
      <c r="D2" s="438"/>
      <c r="E2" s="438"/>
      <c r="F2" s="438"/>
      <c r="G2" s="438"/>
      <c r="H2" s="439"/>
    </row>
    <row r="3" spans="1:9" ht="15" customHeight="1">
      <c r="B3" s="21"/>
      <c r="D3" s="274"/>
      <c r="E3" s="275"/>
    </row>
    <row r="4" spans="1:9" ht="15" customHeight="1">
      <c r="A4" s="4" t="s">
        <v>169</v>
      </c>
      <c r="B4" s="21"/>
      <c r="D4" s="274"/>
      <c r="E4" s="274"/>
    </row>
    <row r="5" spans="1:9" ht="15" customHeight="1">
      <c r="A5" s="4" t="s">
        <v>227</v>
      </c>
      <c r="B5" s="21"/>
      <c r="D5" s="4"/>
    </row>
    <row r="6" spans="1:9" ht="15" customHeight="1">
      <c r="A6" s="4" t="s">
        <v>187</v>
      </c>
      <c r="B6" s="38"/>
      <c r="C6" s="38"/>
      <c r="D6" s="34"/>
      <c r="E6" s="34"/>
      <c r="F6" s="39"/>
      <c r="G6" s="39"/>
    </row>
    <row r="7" spans="1:9" ht="15" customHeight="1">
      <c r="A7" s="4"/>
      <c r="B7" s="38"/>
      <c r="C7" s="38"/>
      <c r="D7" s="34"/>
      <c r="E7" s="437" t="s">
        <v>249</v>
      </c>
      <c r="F7" s="437"/>
      <c r="G7" s="437"/>
      <c r="H7" s="437"/>
      <c r="I7" s="437"/>
    </row>
    <row r="8" spans="1:9" s="8" customFormat="1" ht="26.25" customHeight="1">
      <c r="A8" s="47" t="s">
        <v>201</v>
      </c>
      <c r="B8" s="48" t="s">
        <v>137</v>
      </c>
      <c r="C8" s="49" t="s">
        <v>168</v>
      </c>
      <c r="D8" s="47" t="s">
        <v>142</v>
      </c>
      <c r="E8" s="47" t="s">
        <v>266</v>
      </c>
      <c r="F8" s="47" t="s">
        <v>1265</v>
      </c>
      <c r="G8" s="47" t="s">
        <v>1316</v>
      </c>
      <c r="H8" s="47" t="s">
        <v>1595</v>
      </c>
      <c r="I8" s="47" t="s">
        <v>2589</v>
      </c>
    </row>
    <row r="9" spans="1:9" ht="15" customHeight="1">
      <c r="A9" s="198">
        <v>1</v>
      </c>
      <c r="B9" s="267" t="s">
        <v>219</v>
      </c>
      <c r="C9" s="50">
        <v>0</v>
      </c>
      <c r="D9" s="199" t="s">
        <v>140</v>
      </c>
      <c r="E9" s="247" t="e">
        <f>(InvulGlas[[#This Row],[Prijs excl. BTW]]*Tariefsopbouw!$I$37)+InvulGlas[[#This Row],[Prijs excl. BTW]]</f>
        <v>#DIV/0!</v>
      </c>
      <c r="F9" s="247" t="e">
        <f>E9*Tariefsopbouw!$K$37+Glasbewassing!E9</f>
        <v>#DIV/0!</v>
      </c>
      <c r="G9" s="247" t="e">
        <f>F9*Tariefsopbouw!$M$37+Glasbewassing!F9</f>
        <v>#DIV/0!</v>
      </c>
      <c r="H9" s="247" t="e">
        <f>G9*Tariefsopbouw!$O$37+Glasbewassing!G9</f>
        <v>#DIV/0!</v>
      </c>
      <c r="I9" s="247" t="e">
        <f>H9*Tariefsopbouw!$Q$37+Glasbewassing!H9</f>
        <v>#DIV/0!</v>
      </c>
    </row>
    <row r="10" spans="1:9" ht="15" customHeight="1">
      <c r="A10" s="198">
        <v>2</v>
      </c>
      <c r="B10" s="267" t="s">
        <v>139</v>
      </c>
      <c r="C10" s="50">
        <v>0</v>
      </c>
      <c r="D10" s="199" t="s">
        <v>140</v>
      </c>
      <c r="E10" s="247" t="e">
        <f>(InvulGlas[[#This Row],[Prijs excl. BTW]]*Tariefsopbouw!$I$37)+InvulGlas[[#This Row],[Prijs excl. BTW]]</f>
        <v>#DIV/0!</v>
      </c>
      <c r="F10" s="247" t="e">
        <f>E10*Tariefsopbouw!$K$37+Glasbewassing!E10</f>
        <v>#DIV/0!</v>
      </c>
      <c r="G10" s="247" t="e">
        <f>F10*Tariefsopbouw!$M$37+Glasbewassing!F10</f>
        <v>#DIV/0!</v>
      </c>
      <c r="H10" s="247" t="e">
        <f>G10*Tariefsopbouw!$O$37+Glasbewassing!G10</f>
        <v>#DIV/0!</v>
      </c>
      <c r="I10" s="247" t="e">
        <f>H10*Tariefsopbouw!$Q$37+Glasbewassing!H10</f>
        <v>#DIV/0!</v>
      </c>
    </row>
    <row r="11" spans="1:9" ht="15" customHeight="1">
      <c r="A11" s="198">
        <v>3</v>
      </c>
      <c r="B11" s="267" t="s">
        <v>141</v>
      </c>
      <c r="C11" s="50">
        <v>0</v>
      </c>
      <c r="D11" s="245" t="s">
        <v>140</v>
      </c>
      <c r="E11" s="247" t="e">
        <f>(InvulGlas[[#This Row],[Prijs excl. BTW]]*Tariefsopbouw!$I$37)+InvulGlas[[#This Row],[Prijs excl. BTW]]</f>
        <v>#DIV/0!</v>
      </c>
      <c r="F11" s="247" t="e">
        <f>E11*Tariefsopbouw!$K$37+Glasbewassing!E11</f>
        <v>#DIV/0!</v>
      </c>
      <c r="G11" s="247" t="e">
        <f>F11*Tariefsopbouw!$M$37+Glasbewassing!F11</f>
        <v>#DIV/0!</v>
      </c>
      <c r="H11" s="247" t="e">
        <f>G11*Tariefsopbouw!$O$37+Glasbewassing!G11</f>
        <v>#DIV/0!</v>
      </c>
      <c r="I11" s="247" t="e">
        <f>H11*Tariefsopbouw!$Q$37+Glasbewassing!H11</f>
        <v>#DIV/0!</v>
      </c>
    </row>
    <row r="12" spans="1:9" ht="15" customHeight="1">
      <c r="A12" s="198">
        <v>4</v>
      </c>
      <c r="B12" s="268" t="s">
        <v>268</v>
      </c>
      <c r="C12" s="50">
        <v>0</v>
      </c>
      <c r="D12" s="199" t="s">
        <v>140</v>
      </c>
      <c r="E12" s="247" t="e">
        <f>(InvulGlas[[#This Row],[Prijs excl. BTW]]*Tariefsopbouw!$I$37)+InvulGlas[[#This Row],[Prijs excl. BTW]]</f>
        <v>#DIV/0!</v>
      </c>
      <c r="F12" s="247" t="e">
        <f>E12*Tariefsopbouw!$K$37+Glasbewassing!E12</f>
        <v>#DIV/0!</v>
      </c>
      <c r="G12" s="247" t="e">
        <f>F12*Tariefsopbouw!$M$37+Glasbewassing!F12</f>
        <v>#DIV/0!</v>
      </c>
      <c r="H12" s="247" t="e">
        <f>G12*Tariefsopbouw!$O$37+Glasbewassing!G12</f>
        <v>#DIV/0!</v>
      </c>
      <c r="I12" s="247" t="e">
        <f>H12*Tariefsopbouw!$Q$37+Glasbewassing!H12</f>
        <v>#DIV/0!</v>
      </c>
    </row>
    <row r="13" spans="1:9" ht="15" customHeight="1">
      <c r="A13" s="198">
        <v>5</v>
      </c>
      <c r="B13" s="268" t="s">
        <v>1286</v>
      </c>
      <c r="C13" s="50">
        <v>0</v>
      </c>
      <c r="D13" s="199" t="s">
        <v>140</v>
      </c>
      <c r="E13" s="247" t="e">
        <f>(InvulGlas[[#This Row],[Prijs excl. BTW]]*Tariefsopbouw!$I$37)+InvulGlas[[#This Row],[Prijs excl. BTW]]</f>
        <v>#DIV/0!</v>
      </c>
      <c r="F13" s="247" t="e">
        <f>E13*Tariefsopbouw!$K$37+Glasbewassing!E13</f>
        <v>#DIV/0!</v>
      </c>
      <c r="G13" s="247" t="e">
        <f>F13*Tariefsopbouw!$M$37+Glasbewassing!F13</f>
        <v>#DIV/0!</v>
      </c>
      <c r="H13" s="247" t="e">
        <f>G13*Tariefsopbouw!$O$37+Glasbewassing!G13</f>
        <v>#DIV/0!</v>
      </c>
      <c r="I13" s="247" t="e">
        <f>H13*Tariefsopbouw!$Q$37+Glasbewassing!H13</f>
        <v>#DIV/0!</v>
      </c>
    </row>
    <row r="14" spans="1:9" ht="15" customHeight="1">
      <c r="A14" s="198">
        <v>6</v>
      </c>
      <c r="B14" s="267" t="s">
        <v>218</v>
      </c>
      <c r="C14" s="50">
        <v>0</v>
      </c>
      <c r="D14" s="199" t="s">
        <v>140</v>
      </c>
      <c r="E14" s="247" t="e">
        <f>(InvulGlas[[#This Row],[Prijs excl. BTW]]*Tariefsopbouw!$I$37)+InvulGlas[[#This Row],[Prijs excl. BTW]]</f>
        <v>#DIV/0!</v>
      </c>
      <c r="F14" s="247" t="e">
        <f>E14*Tariefsopbouw!$K$37+Glasbewassing!E14</f>
        <v>#DIV/0!</v>
      </c>
      <c r="G14" s="247" t="e">
        <f>F14*Tariefsopbouw!$M$37+Glasbewassing!F14</f>
        <v>#DIV/0!</v>
      </c>
      <c r="H14" s="247" t="e">
        <f>G14*Tariefsopbouw!$O$37+Glasbewassing!G14</f>
        <v>#DIV/0!</v>
      </c>
      <c r="I14" s="247" t="e">
        <f>H14*Tariefsopbouw!$Q$37+Glasbewassing!H14</f>
        <v>#DIV/0!</v>
      </c>
    </row>
    <row r="15" spans="1:9" ht="15" customHeight="1">
      <c r="A15" s="198">
        <v>7</v>
      </c>
      <c r="B15" s="268" t="s">
        <v>2554</v>
      </c>
      <c r="C15" s="50">
        <v>0</v>
      </c>
      <c r="D15" s="199" t="s">
        <v>140</v>
      </c>
      <c r="E15" s="247" t="e">
        <f>(InvulGlas[[#This Row],[Prijs excl. BTW]]*Tariefsopbouw!$I$37)+InvulGlas[[#This Row],[Prijs excl. BTW]]</f>
        <v>#DIV/0!</v>
      </c>
      <c r="F15" s="247" t="e">
        <f>E15*Tariefsopbouw!$K$37+Glasbewassing!E15</f>
        <v>#DIV/0!</v>
      </c>
      <c r="G15" s="247" t="e">
        <f>F15*Tariefsopbouw!$M$37+Glasbewassing!F15</f>
        <v>#DIV/0!</v>
      </c>
      <c r="H15" s="247" t="e">
        <f>G15*Tariefsopbouw!$O$37+Glasbewassing!G15</f>
        <v>#DIV/0!</v>
      </c>
      <c r="I15" s="247" t="e">
        <f>H15*Tariefsopbouw!$Q$37+Glasbewassing!H15</f>
        <v>#DIV/0!</v>
      </c>
    </row>
    <row r="16" spans="1:9" ht="15" customHeight="1">
      <c r="A16" s="248">
        <v>8</v>
      </c>
      <c r="B16" s="268" t="s">
        <v>2552</v>
      </c>
      <c r="C16" s="266">
        <v>0</v>
      </c>
      <c r="D16" s="199" t="s">
        <v>140</v>
      </c>
      <c r="E16" s="247" t="e">
        <f>(InvulGlas[[#This Row],[Prijs excl. BTW]]*Tariefsopbouw!$I$37)+InvulGlas[[#This Row],[Prijs excl. BTW]]</f>
        <v>#DIV/0!</v>
      </c>
      <c r="F16" s="247" t="e">
        <f>E16*Tariefsopbouw!$K$37+Glasbewassing!E16</f>
        <v>#DIV/0!</v>
      </c>
      <c r="G16" s="247" t="e">
        <f>F16*Tariefsopbouw!$M$37+Glasbewassing!F16</f>
        <v>#DIV/0!</v>
      </c>
      <c r="H16" s="247" t="e">
        <f>G16*Tariefsopbouw!$O$37+Glasbewassing!G16</f>
        <v>#DIV/0!</v>
      </c>
      <c r="I16" s="247" t="e">
        <f>H16*Tariefsopbouw!$Q$37+Glasbewassing!H16</f>
        <v>#DIV/0!</v>
      </c>
    </row>
    <row r="17" spans="1:9" ht="15" customHeight="1">
      <c r="A17" s="198">
        <v>9</v>
      </c>
      <c r="B17" s="268" t="s">
        <v>2555</v>
      </c>
      <c r="C17" s="50">
        <v>0</v>
      </c>
      <c r="D17" s="199" t="s">
        <v>140</v>
      </c>
      <c r="E17" s="247" t="e">
        <f>(InvulGlas[[#This Row],[Prijs excl. BTW]]*Tariefsopbouw!$I$37)+InvulGlas[[#This Row],[Prijs excl. BTW]]</f>
        <v>#DIV/0!</v>
      </c>
      <c r="F17" s="247" t="e">
        <f>E17*Tariefsopbouw!$K$37+Glasbewassing!E17</f>
        <v>#DIV/0!</v>
      </c>
      <c r="G17" s="247" t="e">
        <f>F17*Tariefsopbouw!$M$37+Glasbewassing!F17</f>
        <v>#DIV/0!</v>
      </c>
      <c r="H17" s="247" t="e">
        <f>G17*Tariefsopbouw!$O$37+Glasbewassing!G17</f>
        <v>#DIV/0!</v>
      </c>
      <c r="I17" s="247" t="e">
        <f>H17*Tariefsopbouw!$Q$37+Glasbewassing!H17</f>
        <v>#DIV/0!</v>
      </c>
    </row>
    <row r="18" spans="1:9" ht="15" customHeight="1">
      <c r="A18" s="198" t="s">
        <v>148</v>
      </c>
      <c r="B18" s="267" t="s">
        <v>144</v>
      </c>
      <c r="C18" s="50">
        <v>0</v>
      </c>
      <c r="D18" s="245" t="s">
        <v>1600</v>
      </c>
      <c r="E18" s="247" t="e">
        <f>(InvulGlas[[#This Row],[Prijs excl. BTW]]*Tariefsopbouw!$I$37)+InvulGlas[[#This Row],[Prijs excl. BTW]]</f>
        <v>#DIV/0!</v>
      </c>
      <c r="F18" s="247" t="e">
        <f>E18*Tariefsopbouw!$K$37+Glasbewassing!E18</f>
        <v>#DIV/0!</v>
      </c>
      <c r="G18" s="247" t="e">
        <f>F18*Tariefsopbouw!$M$37+Glasbewassing!F18</f>
        <v>#DIV/0!</v>
      </c>
      <c r="H18" s="247" t="e">
        <f>G18*Tariefsopbouw!$O$37+Glasbewassing!G18</f>
        <v>#DIV/0!</v>
      </c>
      <c r="I18" s="247" t="e">
        <f>H18*Tariefsopbouw!$Q$37+Glasbewassing!H18</f>
        <v>#DIV/0!</v>
      </c>
    </row>
    <row r="19" spans="1:9" ht="15" customHeight="1">
      <c r="A19" s="198" t="s">
        <v>149</v>
      </c>
      <c r="B19" s="267" t="s">
        <v>145</v>
      </c>
      <c r="C19" s="50">
        <v>0</v>
      </c>
      <c r="D19" s="245" t="s">
        <v>1600</v>
      </c>
      <c r="E19" s="247" t="e">
        <f>(InvulGlas[[#This Row],[Prijs excl. BTW]]*Tariefsopbouw!$I$37)+InvulGlas[[#This Row],[Prijs excl. BTW]]</f>
        <v>#DIV/0!</v>
      </c>
      <c r="F19" s="247" t="e">
        <f>E19*Tariefsopbouw!$K$37+Glasbewassing!E19</f>
        <v>#DIV/0!</v>
      </c>
      <c r="G19" s="247" t="e">
        <f>F19*Tariefsopbouw!$M$37+Glasbewassing!F19</f>
        <v>#DIV/0!</v>
      </c>
      <c r="H19" s="247" t="e">
        <f>G19*Tariefsopbouw!$O$37+Glasbewassing!G19</f>
        <v>#DIV/0!</v>
      </c>
      <c r="I19" s="247" t="e">
        <f>H19*Tariefsopbouw!$Q$37+Glasbewassing!H19</f>
        <v>#DIV/0!</v>
      </c>
    </row>
    <row r="20" spans="1:9" ht="15" customHeight="1">
      <c r="A20" s="198" t="s">
        <v>150</v>
      </c>
      <c r="B20" s="267" t="s">
        <v>146</v>
      </c>
      <c r="C20" s="50">
        <v>0</v>
      </c>
      <c r="D20" s="245" t="s">
        <v>1600</v>
      </c>
      <c r="E20" s="247" t="e">
        <f>(InvulGlas[[#This Row],[Prijs excl. BTW]]*Tariefsopbouw!$I$37)+InvulGlas[[#This Row],[Prijs excl. BTW]]</f>
        <v>#DIV/0!</v>
      </c>
      <c r="F20" s="247" t="e">
        <f>E20*Tariefsopbouw!$K$37+Glasbewassing!E20</f>
        <v>#DIV/0!</v>
      </c>
      <c r="G20" s="247" t="e">
        <f>F20*Tariefsopbouw!$M$37+Glasbewassing!F20</f>
        <v>#DIV/0!</v>
      </c>
      <c r="H20" s="247" t="e">
        <f>G20*Tariefsopbouw!$O$37+Glasbewassing!G20</f>
        <v>#DIV/0!</v>
      </c>
      <c r="I20" s="247" t="e">
        <f>H20*Tariefsopbouw!$Q$37+Glasbewassing!H20</f>
        <v>#DIV/0!</v>
      </c>
    </row>
    <row r="21" spans="1:9" ht="15" customHeight="1">
      <c r="A21" s="198" t="s">
        <v>233</v>
      </c>
      <c r="B21" s="267" t="s">
        <v>234</v>
      </c>
      <c r="C21" s="50">
        <v>0</v>
      </c>
      <c r="D21" s="245" t="s">
        <v>1600</v>
      </c>
      <c r="E21" s="247" t="e">
        <f>(InvulGlas[[#This Row],[Prijs excl. BTW]]*Tariefsopbouw!$I$37)+InvulGlas[[#This Row],[Prijs excl. BTW]]</f>
        <v>#DIV/0!</v>
      </c>
      <c r="F21" s="247" t="e">
        <f>E21*Tariefsopbouw!$K$37+Glasbewassing!E21</f>
        <v>#DIV/0!</v>
      </c>
      <c r="G21" s="247" t="e">
        <f>F21*Tariefsopbouw!$M$37+Glasbewassing!F21</f>
        <v>#DIV/0!</v>
      </c>
      <c r="H21" s="247" t="e">
        <f>G21*Tariefsopbouw!$O$37+Glasbewassing!G21</f>
        <v>#DIV/0!</v>
      </c>
      <c r="I21" s="247" t="e">
        <f>H21*Tariefsopbouw!$Q$37+Glasbewassing!H21</f>
        <v>#DIV/0!</v>
      </c>
    </row>
    <row r="22" spans="1:9" ht="15" customHeight="1">
      <c r="C22" s="35"/>
      <c r="D22" s="35"/>
    </row>
    <row r="23" spans="1:9" s="56" customFormat="1" ht="26.25" customHeight="1">
      <c r="A23" s="57" t="s">
        <v>199</v>
      </c>
      <c r="B23" s="57" t="s">
        <v>136</v>
      </c>
      <c r="C23" s="57" t="s">
        <v>201</v>
      </c>
      <c r="D23" s="58" t="s">
        <v>137</v>
      </c>
      <c r="E23" s="58" t="s">
        <v>147</v>
      </c>
      <c r="F23" s="58" t="s">
        <v>118</v>
      </c>
      <c r="G23" s="59" t="s">
        <v>138</v>
      </c>
      <c r="H23" s="251" t="s">
        <v>1280</v>
      </c>
      <c r="I23" s="255" t="s">
        <v>1596</v>
      </c>
    </row>
    <row r="24" spans="1:9" ht="15" customHeight="1">
      <c r="A24" s="248">
        <v>2</v>
      </c>
      <c r="B24" s="62" t="str">
        <f>VLOOKUP(OverzichtGlas[[#This Row],[Code Locatie]],Totalisatie!$A$7:$B$16,2,FALSE)</f>
        <v>'s Gravendreef College</v>
      </c>
      <c r="C24" s="248">
        <v>1</v>
      </c>
      <c r="D24" s="301" t="str">
        <f>IF(Glasbewassing!$C24&gt;0,VLOOKUP(Glasbewassing!$C24,$A$8:$B$21,2,FALSE),"Hier vult u de inzet van eventuele hoogwerkers in")</f>
        <v>Gevelglas binnenzijde</v>
      </c>
      <c r="E24" s="21">
        <v>531</v>
      </c>
      <c r="F24" s="261">
        <v>2</v>
      </c>
      <c r="G24" s="249">
        <f>IF(C24&gt;0,VLOOKUP(OverzichtGlas[[#This Row],[Code taak]],InvulGlas[],3,0)*E24*F24,0)</f>
        <v>0</v>
      </c>
      <c r="H24" s="249">
        <f>OverzichtGlas[[#This Row],[Kosten/jaar excl. BTW]]*1.21</f>
        <v>0</v>
      </c>
      <c r="I24" s="248"/>
    </row>
    <row r="25" spans="1:9" ht="15" customHeight="1">
      <c r="A25" s="248">
        <v>2</v>
      </c>
      <c r="B25" s="62" t="str">
        <f>VLOOKUP(OverzichtGlas[[#This Row],[Code Locatie]],Totalisatie!$A$7:$B$16,2,FALSE)</f>
        <v>'s Gravendreef College</v>
      </c>
      <c r="C25" s="248">
        <v>2</v>
      </c>
      <c r="D25" s="301" t="str">
        <f>IF(Glasbewassing!$C25&gt;0,VLOOKUP(Glasbewassing!$C25,$A$8:$B$21,2,FALSE),"Hier vult u de inzet van eventuele hoogwerkers in")</f>
        <v>Gevelglas buitenzijde</v>
      </c>
      <c r="E25" s="21">
        <v>531</v>
      </c>
      <c r="F25" s="261">
        <v>2</v>
      </c>
      <c r="G25" s="249">
        <f>IF(C25&gt;0,VLOOKUP(OverzichtGlas[[#This Row],[Code taak]],InvulGlas[],3,0)*E25*F25,0)</f>
        <v>0</v>
      </c>
      <c r="H25" s="249">
        <f>OverzichtGlas[[#This Row],[Kosten/jaar excl. BTW]]*1.21</f>
        <v>0</v>
      </c>
      <c r="I25" s="248"/>
    </row>
    <row r="26" spans="1:9" ht="15" customHeight="1">
      <c r="A26" s="248">
        <v>2</v>
      </c>
      <c r="B26" s="62" t="str">
        <f>VLOOKUP(OverzichtGlas[[#This Row],[Code Locatie]],Totalisatie!$A$7:$B$16,2,FALSE)</f>
        <v>'s Gravendreef College</v>
      </c>
      <c r="C26" s="248">
        <v>3</v>
      </c>
      <c r="D26" s="301" t="str">
        <f>IF(Glasbewassing!$C26&gt;0,VLOOKUP(Glasbewassing!$C26,$A$8:$B$21,2,FALSE),"Hier vult u de inzet van eventuele hoogwerkers in")</f>
        <v>Separatieglas (enkel gemeten, dubbel te wassen)</v>
      </c>
      <c r="E26" s="21">
        <v>516</v>
      </c>
      <c r="F26" s="261">
        <v>2</v>
      </c>
      <c r="G26" s="249">
        <f>IF(C26&gt;0,VLOOKUP(OverzichtGlas[[#This Row],[Code taak]],InvulGlas[],3,0)*E26*F26,0)</f>
        <v>0</v>
      </c>
      <c r="H26" s="249">
        <f>OverzichtGlas[[#This Row],[Kosten/jaar excl. BTW]]*1.21</f>
        <v>0</v>
      </c>
      <c r="I26" s="248"/>
    </row>
    <row r="27" spans="1:9" ht="15" customHeight="1">
      <c r="A27" s="248">
        <v>2</v>
      </c>
      <c r="B27" s="62" t="str">
        <f>VLOOKUP(OverzichtGlas[[#This Row],[Code Locatie]],Totalisatie!$A$7:$B$16,2,FALSE)</f>
        <v>'s Gravendreef College</v>
      </c>
      <c r="C27" s="358"/>
      <c r="D27" s="34" t="str">
        <f>IF(Glasbewassing!$C27&gt;0,VLOOKUP(Glasbewassing!$C27,$A$8:$B$21,2,FALSE),"Hier vult u de inzet van eventuele hoogwerkers in")</f>
        <v>Hier vult u de inzet van eventuele hoogwerkers in</v>
      </c>
      <c r="E27" s="295"/>
      <c r="F27" s="261">
        <v>2</v>
      </c>
      <c r="G27" s="249">
        <f>IF(C27&gt;0,VLOOKUP(OverzichtGlas[[#This Row],[Code taak]],InvulGlas[],3,0)*E27*F27,0)</f>
        <v>0</v>
      </c>
      <c r="H27" s="249">
        <f>OverzichtGlas[[#This Row],[Kosten/jaar excl. BTW]]*1.21</f>
        <v>0</v>
      </c>
      <c r="I27" s="248"/>
    </row>
    <row r="28" spans="1:9" ht="15" customHeight="1">
      <c r="A28" s="248">
        <v>2</v>
      </c>
      <c r="B28" s="62" t="str">
        <f>VLOOKUP(OverzichtGlas[[#This Row],[Code Locatie]],Totalisatie!$A$7:$B$16,2,FALSE)</f>
        <v>'s Gravendreef College</v>
      </c>
      <c r="C28" s="358"/>
      <c r="D28" s="34" t="str">
        <f>IF(Glasbewassing!$C28&gt;0,VLOOKUP(Glasbewassing!$C28,$A$8:$B$21,2,FALSE),"Hier vult u de inzet van eventuele hoogwerkers in")</f>
        <v>Hier vult u de inzet van eventuele hoogwerkers in</v>
      </c>
      <c r="E28" s="295"/>
      <c r="F28" s="261">
        <v>2</v>
      </c>
      <c r="G28" s="249">
        <f>IF(C28&gt;0,VLOOKUP(OverzichtGlas[[#This Row],[Code taak]],InvulGlas[],3,0)*E28*F28,0)</f>
        <v>0</v>
      </c>
      <c r="H28" s="249">
        <f>OverzichtGlas[[#This Row],[Kosten/jaar excl. BTW]]*1.21</f>
        <v>0</v>
      </c>
      <c r="I28" s="248"/>
    </row>
    <row r="29" spans="1:9" ht="15" customHeight="1">
      <c r="A29" s="248">
        <v>3</v>
      </c>
      <c r="B29" s="62" t="str">
        <f>VLOOKUP(OverzichtGlas[[#This Row],[Code Locatie]],Totalisatie!$A$7:$B$16,2,FALSE)</f>
        <v>'s Gravendreef College - Dependance</v>
      </c>
      <c r="C29" s="248">
        <v>1</v>
      </c>
      <c r="D29" s="301" t="str">
        <f>IF(Glasbewassing!$C29&gt;0,VLOOKUP(Glasbewassing!$C29,$A$8:$B$21,2,FALSE),"Hier vult u de inzet van eventuele hoogwerkers in")</f>
        <v>Gevelglas binnenzijde</v>
      </c>
      <c r="E29" s="21">
        <v>108.5</v>
      </c>
      <c r="F29" s="261">
        <v>2</v>
      </c>
      <c r="G29" s="249">
        <f>IF(C29&gt;0,VLOOKUP(OverzichtGlas[[#This Row],[Code taak]],InvulGlas[],3,0)*E29*F29,0)</f>
        <v>0</v>
      </c>
      <c r="H29" s="249">
        <f>OverzichtGlas[[#This Row],[Kosten/jaar excl. BTW]]*1.21</f>
        <v>0</v>
      </c>
      <c r="I29" s="248"/>
    </row>
    <row r="30" spans="1:9" ht="15" customHeight="1">
      <c r="A30" s="248">
        <v>3</v>
      </c>
      <c r="B30" s="62" t="str">
        <f>VLOOKUP(OverzichtGlas[[#This Row],[Code Locatie]],Totalisatie!$A$7:$B$16,2,FALSE)</f>
        <v>'s Gravendreef College - Dependance</v>
      </c>
      <c r="C30" s="248">
        <v>2</v>
      </c>
      <c r="D30" s="301" t="str">
        <f>IF(Glasbewassing!$C30&gt;0,VLOOKUP(Glasbewassing!$C30,$A$8:$B$21,2,FALSE),"Hier vult u de inzet van eventuele hoogwerkers in")</f>
        <v>Gevelglas buitenzijde</v>
      </c>
      <c r="E30" s="21">
        <v>108.5</v>
      </c>
      <c r="F30" s="261">
        <v>2</v>
      </c>
      <c r="G30" s="249">
        <f>IF(C30&gt;0,VLOOKUP(OverzichtGlas[[#This Row],[Code taak]],InvulGlas[],3,0)*E30*F30,0)</f>
        <v>0</v>
      </c>
      <c r="H30" s="249">
        <f>OverzichtGlas[[#This Row],[Kosten/jaar excl. BTW]]*1.21</f>
        <v>0</v>
      </c>
      <c r="I30" s="248"/>
    </row>
    <row r="31" spans="1:9" ht="15" customHeight="1">
      <c r="A31" s="248">
        <v>3</v>
      </c>
      <c r="B31" s="62" t="str">
        <f>VLOOKUP(OverzichtGlas[[#This Row],[Code Locatie]],Totalisatie!$A$7:$B$16,2,FALSE)</f>
        <v>'s Gravendreef College - Dependance</v>
      </c>
      <c r="C31" s="248">
        <v>3</v>
      </c>
      <c r="D31" s="301" t="str">
        <f>IF(Glasbewassing!$C31&gt;0,VLOOKUP(Glasbewassing!$C31,$A$8:$B$21,2,FALSE),"Hier vult u de inzet van eventuele hoogwerkers in")</f>
        <v>Separatieglas (enkel gemeten, dubbel te wassen)</v>
      </c>
      <c r="E31" s="21">
        <v>77.3</v>
      </c>
      <c r="F31" s="261">
        <v>2</v>
      </c>
      <c r="G31" s="249">
        <f>IF(C31&gt;0,VLOOKUP(OverzichtGlas[[#This Row],[Code taak]],InvulGlas[],3,0)*E31*F31,0)</f>
        <v>0</v>
      </c>
      <c r="H31" s="249">
        <f>OverzichtGlas[[#This Row],[Kosten/jaar excl. BTW]]*1.21</f>
        <v>0</v>
      </c>
      <c r="I31" s="248"/>
    </row>
    <row r="32" spans="1:9" ht="15" customHeight="1">
      <c r="A32" s="248">
        <v>3</v>
      </c>
      <c r="B32" s="62" t="str">
        <f>VLOOKUP(OverzichtGlas[[#This Row],[Code Locatie]],Totalisatie!$A$7:$B$16,2,FALSE)</f>
        <v>'s Gravendreef College - Dependance</v>
      </c>
      <c r="C32" s="358"/>
      <c r="D32" s="34" t="str">
        <f>IF(Glasbewassing!$C32&gt;0,VLOOKUP(Glasbewassing!$C32,$A$8:$B$21,2,FALSE),"Hier vult u de inzet van eventuele hoogwerkers in")</f>
        <v>Hier vult u de inzet van eventuele hoogwerkers in</v>
      </c>
      <c r="E32" s="295"/>
      <c r="F32" s="261">
        <v>2</v>
      </c>
      <c r="G32" s="249">
        <f>IF(C32&gt;0,VLOOKUP(OverzichtGlas[[#This Row],[Code taak]],InvulGlas[],3,0)*E32*F32,0)</f>
        <v>0</v>
      </c>
      <c r="H32" s="249">
        <f>OverzichtGlas[[#This Row],[Kosten/jaar excl. BTW]]*1.21</f>
        <v>0</v>
      </c>
      <c r="I32" s="248"/>
    </row>
    <row r="33" spans="1:9" ht="15" customHeight="1">
      <c r="A33" s="248">
        <v>3</v>
      </c>
      <c r="B33" s="62" t="str">
        <f>VLOOKUP(OverzichtGlas[[#This Row],[Code Locatie]],Totalisatie!$A$7:$B$16,2,FALSE)</f>
        <v>'s Gravendreef College - Dependance</v>
      </c>
      <c r="C33" s="358"/>
      <c r="D33" s="34" t="str">
        <f>IF(Glasbewassing!$C33&gt;0,VLOOKUP(Glasbewassing!$C33,$A$8:$B$21,2,FALSE),"Hier vult u de inzet van eventuele hoogwerkers in")</f>
        <v>Hier vult u de inzet van eventuele hoogwerkers in</v>
      </c>
      <c r="E33" s="295"/>
      <c r="F33" s="261">
        <v>2</v>
      </c>
      <c r="G33" s="249">
        <f>IF(C33&gt;0,VLOOKUP(OverzichtGlas[[#This Row],[Code taak]],InvulGlas[],3,0)*E33*F33,0)</f>
        <v>0</v>
      </c>
      <c r="H33" s="249">
        <f>OverzichtGlas[[#This Row],[Kosten/jaar excl. BTW]]*1.21</f>
        <v>0</v>
      </c>
      <c r="I33" s="248"/>
    </row>
    <row r="34" spans="1:9" ht="15" customHeight="1">
      <c r="A34" s="248">
        <v>4</v>
      </c>
      <c r="B34" s="62" t="str">
        <f>VLOOKUP(OverzichtGlas[[#This Row],[Code Locatie]],Totalisatie!$A$7:$B$16,2,FALSE)</f>
        <v>Sint-Maartenscollege</v>
      </c>
      <c r="C34" s="248">
        <v>1</v>
      </c>
      <c r="D34" s="301" t="str">
        <f>IF(Glasbewassing!$C34&gt;0,VLOOKUP(Glasbewassing!$C34,$A$8:$B$21,2,FALSE),"Hier vult u de inzet van eventuele hoogwerkers in")</f>
        <v>Gevelglas binnenzijde</v>
      </c>
      <c r="E34" s="21">
        <v>1303</v>
      </c>
      <c r="F34" s="261">
        <v>2</v>
      </c>
      <c r="G34" s="249">
        <f>IF(C34&gt;0,VLOOKUP(OverzichtGlas[[#This Row],[Code taak]],InvulGlas[],3,0)*E34*F34,0)</f>
        <v>0</v>
      </c>
      <c r="H34" s="249">
        <f>OverzichtGlas[[#This Row],[Kosten/jaar excl. BTW]]*1.21</f>
        <v>0</v>
      </c>
      <c r="I34" s="248"/>
    </row>
    <row r="35" spans="1:9" ht="15" customHeight="1">
      <c r="A35" s="248">
        <v>4</v>
      </c>
      <c r="B35" s="62" t="str">
        <f>VLOOKUP(OverzichtGlas[[#This Row],[Code Locatie]],Totalisatie!$A$7:$B$16,2,FALSE)</f>
        <v>Sint-Maartenscollege</v>
      </c>
      <c r="C35" s="248">
        <v>2</v>
      </c>
      <c r="D35" s="301" t="str">
        <f>IF(Glasbewassing!$C35&gt;0,VLOOKUP(Glasbewassing!$C35,$A$8:$B$21,2,FALSE),"Hier vult u de inzet van eventuele hoogwerkers in")</f>
        <v>Gevelglas buitenzijde</v>
      </c>
      <c r="E35" s="21">
        <v>1303</v>
      </c>
      <c r="F35" s="261">
        <v>2</v>
      </c>
      <c r="G35" s="249">
        <f>IF(C35&gt;0,VLOOKUP(OverzichtGlas[[#This Row],[Code taak]],InvulGlas[],3,0)*E35*F35,0)</f>
        <v>0</v>
      </c>
      <c r="H35" s="249">
        <f>OverzichtGlas[[#This Row],[Kosten/jaar excl. BTW]]*1.21</f>
        <v>0</v>
      </c>
      <c r="I35" s="248"/>
    </row>
    <row r="36" spans="1:9" ht="15" customHeight="1">
      <c r="A36" s="248">
        <v>4</v>
      </c>
      <c r="B36" s="62" t="str">
        <f>VLOOKUP(OverzichtGlas[[#This Row],[Code Locatie]],Totalisatie!$A$7:$B$16,2,FALSE)</f>
        <v>Sint-Maartenscollege</v>
      </c>
      <c r="C36" s="248">
        <v>3</v>
      </c>
      <c r="D36" s="301" t="str">
        <f>IF(Glasbewassing!$C36&gt;0,VLOOKUP(Glasbewassing!$C36,$A$8:$B$21,2,FALSE),"Hier vult u de inzet van eventuele hoogwerkers in")</f>
        <v>Separatieglas (enkel gemeten, dubbel te wassen)</v>
      </c>
      <c r="E36" s="21">
        <v>1188</v>
      </c>
      <c r="F36" s="261">
        <v>2</v>
      </c>
      <c r="G36" s="249">
        <f>IF(C36&gt;0,VLOOKUP(OverzichtGlas[[#This Row],[Code taak]],InvulGlas[],3,0)*E36*F36,0)</f>
        <v>0</v>
      </c>
      <c r="H36" s="249">
        <f>OverzichtGlas[[#This Row],[Kosten/jaar excl. BTW]]*1.21</f>
        <v>0</v>
      </c>
      <c r="I36" s="248"/>
    </row>
    <row r="37" spans="1:9" ht="15" customHeight="1">
      <c r="A37" s="248">
        <v>4</v>
      </c>
      <c r="B37" s="62" t="str">
        <f>VLOOKUP(OverzichtGlas[[#This Row],[Code Locatie]],Totalisatie!$A$7:$B$16,2,FALSE)</f>
        <v>Sint-Maartenscollege</v>
      </c>
      <c r="C37" s="248">
        <v>6</v>
      </c>
      <c r="D37" s="301" t="str">
        <f>IF(Glasbewassing!$C37&gt;0,VLOOKUP(Glasbewassing!$C37,$A$8:$B$21,2,FALSE),"Hier vult u de inzet van eventuele hoogwerkers in")</f>
        <v>Lichtkoepels (enkel gemeten, dubbel te wassen)</v>
      </c>
      <c r="E37" s="21">
        <v>18</v>
      </c>
      <c r="F37" s="261">
        <v>2</v>
      </c>
      <c r="G37" s="249">
        <f>IF(C37&gt;0,VLOOKUP(OverzichtGlas[[#This Row],[Code taak]],InvulGlas[],3,0)*E37*F37,0)</f>
        <v>0</v>
      </c>
      <c r="H37" s="249">
        <f>OverzichtGlas[[#This Row],[Kosten/jaar excl. BTW]]*1.21</f>
        <v>0</v>
      </c>
      <c r="I37" s="248"/>
    </row>
    <row r="38" spans="1:9" ht="15" customHeight="1">
      <c r="A38" s="248">
        <v>4</v>
      </c>
      <c r="B38" s="62" t="str">
        <f>VLOOKUP(OverzichtGlas[[#This Row],[Code Locatie]],Totalisatie!$A$7:$B$16,2,FALSE)</f>
        <v>Sint-Maartenscollege</v>
      </c>
      <c r="C38" s="358"/>
      <c r="D38" s="34" t="str">
        <f>IF(Glasbewassing!$C38&gt;0,VLOOKUP(Glasbewassing!$C38,$A$8:$B$21,2,FALSE),"Hier vult u de inzet van eventuele hoogwerkers in")</f>
        <v>Hier vult u de inzet van eventuele hoogwerkers in</v>
      </c>
      <c r="E38" s="295"/>
      <c r="F38" s="261">
        <v>2</v>
      </c>
      <c r="G38" s="249">
        <f>IF(C38&gt;0,VLOOKUP(OverzichtGlas[[#This Row],[Code taak]],InvulGlas[],3,0)*E38*F38,0)</f>
        <v>0</v>
      </c>
      <c r="H38" s="249">
        <f>OverzichtGlas[[#This Row],[Kosten/jaar excl. BTW]]*1.21</f>
        <v>0</v>
      </c>
      <c r="I38" s="248"/>
    </row>
    <row r="39" spans="1:9" ht="15" customHeight="1">
      <c r="A39" s="248">
        <v>4</v>
      </c>
      <c r="B39" s="62" t="str">
        <f>VLOOKUP(OverzichtGlas[[#This Row],[Code Locatie]],Totalisatie!$A$7:$B$16,2,FALSE)</f>
        <v>Sint-Maartenscollege</v>
      </c>
      <c r="C39" s="358"/>
      <c r="D39" s="34" t="str">
        <f>IF(Glasbewassing!$C39&gt;0,VLOOKUP(Glasbewassing!$C39,$A$8:$B$21,2,FALSE),"Hier vult u de inzet van eventuele hoogwerkers in")</f>
        <v>Hier vult u de inzet van eventuele hoogwerkers in</v>
      </c>
      <c r="E39" s="295"/>
      <c r="F39" s="261">
        <v>2</v>
      </c>
      <c r="G39" s="249">
        <f>IF(C39&gt;0,VLOOKUP(OverzichtGlas[[#This Row],[Code taak]],InvulGlas[],3,0)*E39*F39,0)</f>
        <v>0</v>
      </c>
      <c r="H39" s="249">
        <f>OverzichtGlas[[#This Row],[Kosten/jaar excl. BTW]]*1.21</f>
        <v>0</v>
      </c>
      <c r="I39" s="248"/>
    </row>
    <row r="40" spans="1:9" ht="15" customHeight="1">
      <c r="A40" s="248">
        <v>5</v>
      </c>
      <c r="B40" s="62" t="str">
        <f>VLOOKUP(OverzichtGlas[[#This Row],[Code Locatie]],Totalisatie!$A$7:$B$16,2,FALSE)</f>
        <v>François Vatel vmbo</v>
      </c>
      <c r="C40" s="248">
        <v>1</v>
      </c>
      <c r="D40" s="301" t="str">
        <f>IF(Glasbewassing!$C40&gt;0,VLOOKUP(Glasbewassing!$C40,$A$8:$B$21,2,FALSE),"Hier vult u de inzet van eventuele hoogwerkers in")</f>
        <v>Gevelglas binnenzijde</v>
      </c>
      <c r="E40" s="21">
        <v>864</v>
      </c>
      <c r="F40" s="261">
        <v>2</v>
      </c>
      <c r="G40" s="249">
        <f>IF(C40&gt;0,VLOOKUP(OverzichtGlas[[#This Row],[Code taak]],InvulGlas[],3,0)*E40*F40,0)</f>
        <v>0</v>
      </c>
      <c r="H40" s="249">
        <f>OverzichtGlas[[#This Row],[Kosten/jaar excl. BTW]]*1.21</f>
        <v>0</v>
      </c>
      <c r="I40" s="248"/>
    </row>
    <row r="41" spans="1:9" ht="15" customHeight="1">
      <c r="A41" s="248">
        <v>5</v>
      </c>
      <c r="B41" s="62" t="str">
        <f>VLOOKUP(OverzichtGlas[[#This Row],[Code Locatie]],Totalisatie!$A$7:$B$16,2,FALSE)</f>
        <v>François Vatel vmbo</v>
      </c>
      <c r="C41" s="248">
        <v>2</v>
      </c>
      <c r="D41" s="301" t="str">
        <f>IF(Glasbewassing!$C41&gt;0,VLOOKUP(Glasbewassing!$C41,$A$8:$B$21,2,FALSE),"Hier vult u de inzet van eventuele hoogwerkers in")</f>
        <v>Gevelglas buitenzijde</v>
      </c>
      <c r="E41" s="21">
        <v>864</v>
      </c>
      <c r="F41" s="261">
        <v>2</v>
      </c>
      <c r="G41" s="249">
        <f>IF(C41&gt;0,VLOOKUP(OverzichtGlas[[#This Row],[Code taak]],InvulGlas[],3,0)*E41*F41,0)</f>
        <v>0</v>
      </c>
      <c r="H41" s="249">
        <f>OverzichtGlas[[#This Row],[Kosten/jaar excl. BTW]]*1.21</f>
        <v>0</v>
      </c>
      <c r="I41" s="248"/>
    </row>
    <row r="42" spans="1:9" ht="15" customHeight="1">
      <c r="A42" s="248">
        <v>5</v>
      </c>
      <c r="B42" s="62" t="str">
        <f>VLOOKUP(OverzichtGlas[[#This Row],[Code Locatie]],Totalisatie!$A$7:$B$16,2,FALSE)</f>
        <v>François Vatel vmbo</v>
      </c>
      <c r="C42" s="248">
        <v>3</v>
      </c>
      <c r="D42" s="301" t="str">
        <f>IF(Glasbewassing!$C42&gt;0,VLOOKUP(Glasbewassing!$C42,$A$8:$B$21,2,FALSE),"Hier vult u de inzet van eventuele hoogwerkers in")</f>
        <v>Separatieglas (enkel gemeten, dubbel te wassen)</v>
      </c>
      <c r="E42" s="21">
        <v>402</v>
      </c>
      <c r="F42" s="261">
        <v>2</v>
      </c>
      <c r="G42" s="249">
        <f>IF(C42&gt;0,VLOOKUP(OverzichtGlas[[#This Row],[Code taak]],InvulGlas[],3,0)*E42*F42,0)</f>
        <v>0</v>
      </c>
      <c r="H42" s="249">
        <f>OverzichtGlas[[#This Row],[Kosten/jaar excl. BTW]]*1.21</f>
        <v>0</v>
      </c>
      <c r="I42" s="248"/>
    </row>
    <row r="43" spans="1:9" ht="15" customHeight="1">
      <c r="A43" s="248">
        <v>5</v>
      </c>
      <c r="B43" s="62" t="str">
        <f>VLOOKUP(OverzichtGlas[[#This Row],[Code Locatie]],Totalisatie!$A$7:$B$16,2,FALSE)</f>
        <v>François Vatel vmbo</v>
      </c>
      <c r="C43" s="248">
        <v>3</v>
      </c>
      <c r="D43" s="301" t="str">
        <f>IF(Glasbewassing!$C43&gt;0,VLOOKUP(Glasbewassing!$C43,$A$8:$B$21,2,FALSE),"Hier vult u de inzet van eventuele hoogwerkers in")</f>
        <v>Separatieglas (enkel gemeten, dubbel te wassen)</v>
      </c>
      <c r="E43" s="21">
        <v>40</v>
      </c>
      <c r="F43" s="261">
        <v>2</v>
      </c>
      <c r="G43" s="249">
        <f>IF(C43&gt;0,VLOOKUP(OverzichtGlas[[#This Row],[Code taak]],InvulGlas[],3,0)*E43*F43,0)</f>
        <v>0</v>
      </c>
      <c r="H43" s="249">
        <f>OverzichtGlas[[#This Row],[Kosten/jaar excl. BTW]]*1.21</f>
        <v>0</v>
      </c>
      <c r="I43" s="248"/>
    </row>
    <row r="44" spans="1:9" ht="15" customHeight="1">
      <c r="A44" s="248">
        <v>5</v>
      </c>
      <c r="B44" s="62" t="str">
        <f>VLOOKUP(OverzichtGlas[[#This Row],[Code Locatie]],Totalisatie!$A$7:$B$16,2,FALSE)</f>
        <v>François Vatel vmbo</v>
      </c>
      <c r="C44" s="358"/>
      <c r="D44" s="34" t="str">
        <f>IF(Glasbewassing!$C44&gt;0,VLOOKUP(Glasbewassing!$C44,$A$8:$B$21,2,FALSE),"Hier vult u de inzet van eventuele hoogwerkers in")</f>
        <v>Hier vult u de inzet van eventuele hoogwerkers in</v>
      </c>
      <c r="E44" s="295"/>
      <c r="F44" s="261">
        <v>2</v>
      </c>
      <c r="G44" s="249">
        <f>IF(C44&gt;0,VLOOKUP(OverzichtGlas[[#This Row],[Code taak]],InvulGlas[],3,0)*E44*F44,0)</f>
        <v>0</v>
      </c>
      <c r="H44" s="249">
        <f>OverzichtGlas[[#This Row],[Kosten/jaar excl. BTW]]*1.21</f>
        <v>0</v>
      </c>
      <c r="I44" s="248"/>
    </row>
    <row r="45" spans="1:9" ht="15" customHeight="1">
      <c r="A45" s="248">
        <v>5</v>
      </c>
      <c r="B45" s="62" t="str">
        <f>VLOOKUP(OverzichtGlas[[#This Row],[Code Locatie]],Totalisatie!$A$7:$B$16,2,FALSE)</f>
        <v>François Vatel vmbo</v>
      </c>
      <c r="C45" s="358"/>
      <c r="D45" s="34" t="str">
        <f>IF(Glasbewassing!$C45&gt;0,VLOOKUP(Glasbewassing!$C45,$A$8:$B$21,2,FALSE),"Hier vult u de inzet van eventuele hoogwerkers in")</f>
        <v>Hier vult u de inzet van eventuele hoogwerkers in</v>
      </c>
      <c r="E45" s="295"/>
      <c r="F45" s="261">
        <v>2</v>
      </c>
      <c r="G45" s="249">
        <f>IF(C45&gt;0,VLOOKUP(OverzichtGlas[[#This Row],[Code taak]],InvulGlas[],3,0)*E45*F45,0)</f>
        <v>0</v>
      </c>
      <c r="H45" s="249">
        <f>OverzichtGlas[[#This Row],[Kosten/jaar excl. BTW]]*1.21</f>
        <v>0</v>
      </c>
      <c r="I45" s="248"/>
    </row>
    <row r="46" spans="1:9" ht="15" customHeight="1">
      <c r="A46" s="248">
        <v>6</v>
      </c>
      <c r="B46" s="62" t="str">
        <f>VLOOKUP(OverzichtGlas[[#This Row],[Code Locatie]],Totalisatie!$A$7:$B$16,2,FALSE)</f>
        <v>Veurs Lyceum</v>
      </c>
      <c r="C46" s="248">
        <v>1</v>
      </c>
      <c r="D46" s="301" t="str">
        <f>IF(Glasbewassing!$C46&gt;0,VLOOKUP(Glasbewassing!$C46,$A$8:$B$21,2,FALSE),"Hier vult u de inzet van eventuele hoogwerkers in")</f>
        <v>Gevelglas binnenzijde</v>
      </c>
      <c r="E46" s="21">
        <v>792</v>
      </c>
      <c r="F46" s="261">
        <v>2</v>
      </c>
      <c r="G46" s="249">
        <f>IF(C46&gt;0,VLOOKUP(OverzichtGlas[[#This Row],[Code taak]],InvulGlas[],3,0)*E46*F46,0)</f>
        <v>0</v>
      </c>
      <c r="H46" s="249">
        <f>OverzichtGlas[[#This Row],[Kosten/jaar excl. BTW]]*1.21</f>
        <v>0</v>
      </c>
      <c r="I46" s="248"/>
    </row>
    <row r="47" spans="1:9" ht="15" customHeight="1">
      <c r="A47" s="248">
        <v>6</v>
      </c>
      <c r="B47" s="62" t="str">
        <f>VLOOKUP(OverzichtGlas[[#This Row],[Code Locatie]],Totalisatie!$A$7:$B$16,2,FALSE)</f>
        <v>Veurs Lyceum</v>
      </c>
      <c r="C47" s="248">
        <v>2</v>
      </c>
      <c r="D47" s="301" t="str">
        <f>IF(Glasbewassing!$C47&gt;0,VLOOKUP(Glasbewassing!$C47,$A$8:$B$21,2,FALSE),"Hier vult u de inzet van eventuele hoogwerkers in")</f>
        <v>Gevelglas buitenzijde</v>
      </c>
      <c r="E47" s="21">
        <v>792</v>
      </c>
      <c r="F47" s="261">
        <v>2</v>
      </c>
      <c r="G47" s="249">
        <f>IF(C47&gt;0,VLOOKUP(OverzichtGlas[[#This Row],[Code taak]],InvulGlas[],3,0)*E47*F47,0)</f>
        <v>0</v>
      </c>
      <c r="H47" s="249">
        <f>OverzichtGlas[[#This Row],[Kosten/jaar excl. BTW]]*1.21</f>
        <v>0</v>
      </c>
      <c r="I47" s="248"/>
    </row>
    <row r="48" spans="1:9" ht="15" customHeight="1">
      <c r="A48" s="248">
        <v>6</v>
      </c>
      <c r="B48" s="62" t="str">
        <f>VLOOKUP(OverzichtGlas[[#This Row],[Code Locatie]],Totalisatie!$A$7:$B$16,2,FALSE)</f>
        <v>Veurs Lyceum</v>
      </c>
      <c r="C48" s="248">
        <v>3</v>
      </c>
      <c r="D48" s="301" t="str">
        <f>IF(Glasbewassing!$C48&gt;0,VLOOKUP(Glasbewassing!$C48,$A$8:$B$21,2,FALSE),"Hier vult u de inzet van eventuele hoogwerkers in")</f>
        <v>Separatieglas (enkel gemeten, dubbel te wassen)</v>
      </c>
      <c r="E48" s="21">
        <v>216</v>
      </c>
      <c r="F48" s="261">
        <v>2</v>
      </c>
      <c r="G48" s="249">
        <f>IF(C48&gt;0,VLOOKUP(OverzichtGlas[[#This Row],[Code taak]],InvulGlas[],3,0)*E48*F48,0)</f>
        <v>0</v>
      </c>
      <c r="H48" s="249">
        <f>OverzichtGlas[[#This Row],[Kosten/jaar excl. BTW]]*1.21</f>
        <v>0</v>
      </c>
      <c r="I48" s="248"/>
    </row>
    <row r="49" spans="1:9" ht="15" customHeight="1">
      <c r="A49" s="248">
        <v>6</v>
      </c>
      <c r="B49" s="62" t="str">
        <f>VLOOKUP(OverzichtGlas[[#This Row],[Code Locatie]],Totalisatie!$A$7:$B$16,2,FALSE)</f>
        <v>Veurs Lyceum</v>
      </c>
      <c r="C49" s="358"/>
      <c r="D49" s="34" t="str">
        <f>IF(Glasbewassing!$C49&gt;0,VLOOKUP(Glasbewassing!$C49,$A$8:$B$21,2,FALSE),"Hier vult u de inzet van eventuele hoogwerkers in")</f>
        <v>Hier vult u de inzet van eventuele hoogwerkers in</v>
      </c>
      <c r="E49" s="295"/>
      <c r="F49" s="261">
        <v>2</v>
      </c>
      <c r="G49" s="249">
        <f>IF(C49&gt;0,VLOOKUP(OverzichtGlas[[#This Row],[Code taak]],InvulGlas[],3,0)*E49*F49,0)</f>
        <v>0</v>
      </c>
      <c r="H49" s="249">
        <f>OverzichtGlas[[#This Row],[Kosten/jaar excl. BTW]]*1.21</f>
        <v>0</v>
      </c>
      <c r="I49" s="248"/>
    </row>
    <row r="50" spans="1:9" ht="15" customHeight="1">
      <c r="A50" s="248">
        <v>6</v>
      </c>
      <c r="B50" s="62" t="str">
        <f>VLOOKUP(OverzichtGlas[[#This Row],[Code Locatie]],Totalisatie!$A$7:$B$16,2,FALSE)</f>
        <v>Veurs Lyceum</v>
      </c>
      <c r="C50" s="358"/>
      <c r="D50" s="34" t="str">
        <f>IF(Glasbewassing!$C50&gt;0,VLOOKUP(Glasbewassing!$C50,$A$8:$B$21,2,FALSE),"Hier vult u de inzet van eventuele hoogwerkers in")</f>
        <v>Hier vult u de inzet van eventuele hoogwerkers in</v>
      </c>
      <c r="E50" s="295"/>
      <c r="F50" s="261">
        <v>2</v>
      </c>
      <c r="G50" s="249">
        <f>IF(C50&gt;0,VLOOKUP(OverzichtGlas[[#This Row],[Code taak]],InvulGlas[],3,0)*E50*F50,0)</f>
        <v>0</v>
      </c>
      <c r="H50" s="249">
        <f>OverzichtGlas[[#This Row],[Kosten/jaar excl. BTW]]*1.21</f>
        <v>0</v>
      </c>
      <c r="I50" s="248"/>
    </row>
    <row r="51" spans="1:9" ht="15" customHeight="1">
      <c r="A51" s="248">
        <v>7</v>
      </c>
      <c r="B51" s="62" t="str">
        <f>VLOOKUP(OverzichtGlas[[#This Row],[Code Locatie]],Totalisatie!$A$7:$B$16,2,FALSE)</f>
        <v>Gymnasium Novum</v>
      </c>
      <c r="C51" s="248">
        <v>1</v>
      </c>
      <c r="D51" s="301" t="str">
        <f>IF(Glasbewassing!$C51&gt;0,VLOOKUP(Glasbewassing!$C51,$A$8:$B$21,2,FALSE),"Hier vult u de inzet van eventuele hoogwerkers in")</f>
        <v>Gevelglas binnenzijde</v>
      </c>
      <c r="E51" s="21">
        <v>1003</v>
      </c>
      <c r="F51" s="261">
        <v>2</v>
      </c>
      <c r="G51" s="249">
        <f>IF(C51&gt;0,VLOOKUP(OverzichtGlas[[#This Row],[Code taak]],InvulGlas[],3,0)*E51*F51,0)</f>
        <v>0</v>
      </c>
      <c r="H51" s="249">
        <f>OverzichtGlas[[#This Row],[Kosten/jaar excl. BTW]]*1.21</f>
        <v>0</v>
      </c>
      <c r="I51" s="248"/>
    </row>
    <row r="52" spans="1:9" ht="15" customHeight="1">
      <c r="A52" s="248">
        <v>7</v>
      </c>
      <c r="B52" s="62" t="str">
        <f>VLOOKUP(OverzichtGlas[[#This Row],[Code Locatie]],Totalisatie!$A$7:$B$16,2,FALSE)</f>
        <v>Gymnasium Novum</v>
      </c>
      <c r="C52" s="248">
        <v>2</v>
      </c>
      <c r="D52" s="301" t="str">
        <f>IF(Glasbewassing!$C52&gt;0,VLOOKUP(Glasbewassing!$C52,$A$8:$B$21,2,FALSE),"Hier vult u de inzet van eventuele hoogwerkers in")</f>
        <v>Gevelglas buitenzijde</v>
      </c>
      <c r="E52" s="21">
        <v>996</v>
      </c>
      <c r="F52" s="261">
        <v>2</v>
      </c>
      <c r="G52" s="249">
        <f>IF(C52&gt;0,VLOOKUP(OverzichtGlas[[#This Row],[Code taak]],InvulGlas[],3,0)*E52*F52,0)</f>
        <v>0</v>
      </c>
      <c r="H52" s="249">
        <f>OverzichtGlas[[#This Row],[Kosten/jaar excl. BTW]]*1.21</f>
        <v>0</v>
      </c>
      <c r="I52" s="248"/>
    </row>
    <row r="53" spans="1:9" ht="15" customHeight="1">
      <c r="A53" s="248">
        <v>7</v>
      </c>
      <c r="B53" s="62" t="str">
        <f>VLOOKUP(OverzichtGlas[[#This Row],[Code Locatie]],Totalisatie!$A$7:$B$16,2,FALSE)</f>
        <v>Gymnasium Novum</v>
      </c>
      <c r="C53" s="248">
        <v>3</v>
      </c>
      <c r="D53" s="301" t="str">
        <f>IF(Glasbewassing!$C53&gt;0,VLOOKUP(Glasbewassing!$C53,$A$8:$B$21,2,FALSE),"Hier vult u de inzet van eventuele hoogwerkers in")</f>
        <v>Separatieglas (enkel gemeten, dubbel te wassen)</v>
      </c>
      <c r="E53" s="21">
        <v>622</v>
      </c>
      <c r="F53" s="261">
        <v>2</v>
      </c>
      <c r="G53" s="249">
        <f>IF(C53&gt;0,VLOOKUP(OverzichtGlas[[#This Row],[Code taak]],InvulGlas[],3,0)*E53*F53,0)</f>
        <v>0</v>
      </c>
      <c r="H53" s="249">
        <f>OverzichtGlas[[#This Row],[Kosten/jaar excl. BTW]]*1.21</f>
        <v>0</v>
      </c>
      <c r="I53" s="248"/>
    </row>
    <row r="54" spans="1:9" ht="15" customHeight="1">
      <c r="A54" s="248">
        <v>7</v>
      </c>
      <c r="B54" s="62" t="str">
        <f>VLOOKUP(OverzichtGlas[[#This Row],[Code Locatie]],Totalisatie!$A$7:$B$16,2,FALSE)</f>
        <v>Gymnasium Novum</v>
      </c>
      <c r="C54" s="248">
        <v>7</v>
      </c>
      <c r="D54" s="301" t="str">
        <f>IF(Glasbewassing!$C54&gt;0,VLOOKUP(Glasbewassing!$C54,$A$8:$B$21,2,FALSE),"Hier vult u de inzet van eventuele hoogwerkers in")</f>
        <v>Liftschacht (enkelzijdig, alleen buitenzijde)</v>
      </c>
      <c r="E54" s="21">
        <v>17</v>
      </c>
      <c r="F54" s="261">
        <v>2</v>
      </c>
      <c r="G54" s="249">
        <f>IF(C54&gt;0,VLOOKUP(OverzichtGlas[[#This Row],[Code taak]],InvulGlas[],3,0)*E54*F54,0)</f>
        <v>0</v>
      </c>
      <c r="H54" s="249">
        <f>OverzichtGlas[[#This Row],[Kosten/jaar excl. BTW]]*1.21</f>
        <v>0</v>
      </c>
      <c r="I54" s="248"/>
    </row>
    <row r="55" spans="1:9" ht="15" customHeight="1">
      <c r="A55" s="248">
        <v>7</v>
      </c>
      <c r="B55" s="62" t="str">
        <f>VLOOKUP(OverzichtGlas[[#This Row],[Code Locatie]],Totalisatie!$A$7:$B$16,2,FALSE)</f>
        <v>Gymnasium Novum</v>
      </c>
      <c r="C55" s="248">
        <v>1</v>
      </c>
      <c r="D55" s="301" t="str">
        <f>IF(Glasbewassing!$C55&gt;0,VLOOKUP(Glasbewassing!$C55,$A$8:$B$21,2,FALSE),"Hier vult u de inzet van eventuele hoogwerkers in")</f>
        <v>Gevelglas binnenzijde</v>
      </c>
      <c r="E55" s="21">
        <v>32.75</v>
      </c>
      <c r="F55" s="261">
        <v>2</v>
      </c>
      <c r="G55" s="249">
        <f>IF(C55&gt;0,VLOOKUP(OverzichtGlas[[#This Row],[Code taak]],InvulGlas[],3,0)*E55*F55,0)</f>
        <v>0</v>
      </c>
      <c r="H55" s="249">
        <f>OverzichtGlas[[#This Row],[Kosten/jaar excl. BTW]]*1.21</f>
        <v>0</v>
      </c>
      <c r="I55" s="248" t="s">
        <v>2553</v>
      </c>
    </row>
    <row r="56" spans="1:9" ht="15" customHeight="1">
      <c r="A56" s="248">
        <v>7</v>
      </c>
      <c r="B56" s="62" t="str">
        <f>VLOOKUP(OverzichtGlas[[#This Row],[Code Locatie]],Totalisatie!$A$7:$B$16,2,FALSE)</f>
        <v>Gymnasium Novum</v>
      </c>
      <c r="C56" s="248">
        <v>2</v>
      </c>
      <c r="D56" s="301" t="str">
        <f>IF(Glasbewassing!$C56&gt;0,VLOOKUP(Glasbewassing!$C56,$A$8:$B$21,2,FALSE),"Hier vult u de inzet van eventuele hoogwerkers in")</f>
        <v>Gevelglas buitenzijde</v>
      </c>
      <c r="E56" s="21">
        <v>32.75</v>
      </c>
      <c r="F56" s="261">
        <v>2</v>
      </c>
      <c r="G56" s="249">
        <f>IF(C56&gt;0,VLOOKUP(OverzichtGlas[[#This Row],[Code taak]],InvulGlas[],3,0)*E56*F56,0)</f>
        <v>0</v>
      </c>
      <c r="H56" s="249">
        <f>OverzichtGlas[[#This Row],[Kosten/jaar excl. BTW]]*1.21</f>
        <v>0</v>
      </c>
      <c r="I56" s="248" t="s">
        <v>2553</v>
      </c>
    </row>
    <row r="57" spans="1:9" ht="15" customHeight="1">
      <c r="A57" s="248">
        <v>7</v>
      </c>
      <c r="B57" s="62" t="str">
        <f>VLOOKUP(OverzichtGlas[[#This Row],[Code Locatie]],Totalisatie!$A$7:$B$16,2,FALSE)</f>
        <v>Gymnasium Novum</v>
      </c>
      <c r="C57" s="358"/>
      <c r="D57" s="34" t="str">
        <f>IF(Glasbewassing!$C57&gt;0,VLOOKUP(Glasbewassing!$C57,$A$8:$B$21,2,FALSE),"Hier vult u de inzet van eventuele hoogwerkers in")</f>
        <v>Hier vult u de inzet van eventuele hoogwerkers in</v>
      </c>
      <c r="E57" s="295"/>
      <c r="F57" s="261">
        <v>2</v>
      </c>
      <c r="G57" s="249">
        <f>IF(C57&gt;0,VLOOKUP(OverzichtGlas[[#This Row],[Code taak]],InvulGlas[],3,0)*E57*F57,0)</f>
        <v>0</v>
      </c>
      <c r="H57" s="249">
        <f>OverzichtGlas[[#This Row],[Kosten/jaar excl. BTW]]*1.21</f>
        <v>0</v>
      </c>
      <c r="I57" s="248"/>
    </row>
    <row r="58" spans="1:9" ht="15" customHeight="1">
      <c r="A58" s="248">
        <v>7</v>
      </c>
      <c r="B58" s="62" t="str">
        <f>VLOOKUP(OverzichtGlas[[#This Row],[Code Locatie]],Totalisatie!$A$7:$B$16,2,FALSE)</f>
        <v>Gymnasium Novum</v>
      </c>
      <c r="C58" s="358"/>
      <c r="D58" s="34" t="str">
        <f>IF(Glasbewassing!$C58&gt;0,VLOOKUP(Glasbewassing!$C58,$A$8:$B$21,2,FALSE),"Hier vult u de inzet van eventuele hoogwerkers in")</f>
        <v>Hier vult u de inzet van eventuele hoogwerkers in</v>
      </c>
      <c r="E58" s="295"/>
      <c r="F58" s="261">
        <v>2</v>
      </c>
      <c r="G58" s="249">
        <f>IF(C58&gt;0,VLOOKUP(OverzichtGlas[[#This Row],[Code taak]],InvulGlas[],3,0)*E58*F58,0)</f>
        <v>0</v>
      </c>
      <c r="H58" s="249">
        <f>OverzichtGlas[[#This Row],[Kosten/jaar excl. BTW]]*1.21</f>
        <v>0</v>
      </c>
      <c r="I58" s="248"/>
    </row>
    <row r="59" spans="1:9" ht="15" customHeight="1">
      <c r="A59" s="248">
        <v>8</v>
      </c>
      <c r="B59" s="62" t="str">
        <f>VLOOKUP(OverzichtGlas[[#This Row],[Code Locatie]],Totalisatie!$A$7:$B$16,2,FALSE)</f>
        <v>Dalton College</v>
      </c>
      <c r="C59" s="248">
        <v>1</v>
      </c>
      <c r="D59" s="301" t="str">
        <f>IF(Glasbewassing!$C59&gt;0,VLOOKUP(Glasbewassing!$C59,$A$8:$B$21,2,FALSE),"Hier vult u de inzet van eventuele hoogwerkers in")</f>
        <v>Gevelglas binnenzijde</v>
      </c>
      <c r="E59" s="21">
        <v>1888</v>
      </c>
      <c r="F59" s="261">
        <v>2</v>
      </c>
      <c r="G59" s="249">
        <f>IF(C59&gt;0,VLOOKUP(OverzichtGlas[[#This Row],[Code taak]],InvulGlas[],3,0)*E59*F59,0)</f>
        <v>0</v>
      </c>
      <c r="H59" s="249">
        <f>OverzichtGlas[[#This Row],[Kosten/jaar excl. BTW]]*1.21</f>
        <v>0</v>
      </c>
      <c r="I59" s="248"/>
    </row>
    <row r="60" spans="1:9" ht="15" customHeight="1">
      <c r="A60" s="248">
        <v>8</v>
      </c>
      <c r="B60" s="62" t="str">
        <f>VLOOKUP(OverzichtGlas[[#This Row],[Code Locatie]],Totalisatie!$A$7:$B$16,2,FALSE)</f>
        <v>Dalton College</v>
      </c>
      <c r="C60" s="248">
        <v>2</v>
      </c>
      <c r="D60" s="301" t="str">
        <f>IF(Glasbewassing!$C60&gt;0,VLOOKUP(Glasbewassing!$C60,$A$8:$B$21,2,FALSE),"Hier vult u de inzet van eventuele hoogwerkers in")</f>
        <v>Gevelglas buitenzijde</v>
      </c>
      <c r="E60" s="21">
        <v>1888</v>
      </c>
      <c r="F60" s="261">
        <v>2</v>
      </c>
      <c r="G60" s="249">
        <f>IF(C60&gt;0,VLOOKUP(OverzichtGlas[[#This Row],[Code taak]],InvulGlas[],3,0)*E60*F60,0)</f>
        <v>0</v>
      </c>
      <c r="H60" s="249">
        <f>OverzichtGlas[[#This Row],[Kosten/jaar excl. BTW]]*1.21</f>
        <v>0</v>
      </c>
      <c r="I60" s="248"/>
    </row>
    <row r="61" spans="1:9" ht="15" customHeight="1">
      <c r="A61" s="248">
        <v>8</v>
      </c>
      <c r="B61" s="62" t="str">
        <f>VLOOKUP(OverzichtGlas[[#This Row],[Code Locatie]],Totalisatie!$A$7:$B$16,2,FALSE)</f>
        <v>Dalton College</v>
      </c>
      <c r="C61" s="248">
        <v>3</v>
      </c>
      <c r="D61" s="301" t="str">
        <f>IF(Glasbewassing!$C61&gt;0,VLOOKUP(Glasbewassing!$C61,$A$8:$B$21,2,FALSE),"Hier vult u de inzet van eventuele hoogwerkers in")</f>
        <v>Separatieglas (enkel gemeten, dubbel te wassen)</v>
      </c>
      <c r="E61" s="21">
        <v>487</v>
      </c>
      <c r="F61" s="261">
        <v>2</v>
      </c>
      <c r="G61" s="249">
        <f>IF(C61&gt;0,VLOOKUP(OverzichtGlas[[#This Row],[Code taak]],InvulGlas[],3,0)*E61*F61,0)</f>
        <v>0</v>
      </c>
      <c r="H61" s="249">
        <f>OverzichtGlas[[#This Row],[Kosten/jaar excl. BTW]]*1.21</f>
        <v>0</v>
      </c>
      <c r="I61" s="248"/>
    </row>
    <row r="62" spans="1:9" ht="15" customHeight="1">
      <c r="A62" s="248">
        <v>8</v>
      </c>
      <c r="B62" s="62" t="str">
        <f>VLOOKUP(OverzichtGlas[[#This Row],[Code Locatie]],Totalisatie!$A$7:$B$16,2,FALSE)</f>
        <v>Dalton College</v>
      </c>
      <c r="C62" s="248">
        <v>9</v>
      </c>
      <c r="D62" s="301" t="str">
        <f>IF(Glasbewassing!$C62&gt;0,VLOOKUP(Glasbewassing!$C62,$A$8:$B$21,2,FALSE),"Hier vult u de inzet van eventuele hoogwerkers in")</f>
        <v>Dakglas (enkel gemeten, dubbel te wassen)</v>
      </c>
      <c r="E62" s="21">
        <v>24</v>
      </c>
      <c r="F62" s="261">
        <v>2</v>
      </c>
      <c r="G62" s="249">
        <f>IF(C62&gt;0,VLOOKUP(OverzichtGlas[[#This Row],[Code taak]],InvulGlas[],3,0)*E62*F62,0)</f>
        <v>0</v>
      </c>
      <c r="H62" s="249">
        <f>OverzichtGlas[[#This Row],[Kosten/jaar excl. BTW]]*1.21</f>
        <v>0</v>
      </c>
      <c r="I62" s="248"/>
    </row>
    <row r="63" spans="1:9" ht="15" customHeight="1">
      <c r="A63" s="248">
        <v>8</v>
      </c>
      <c r="B63" s="62" t="str">
        <f>VLOOKUP(OverzichtGlas[[#This Row],[Code Locatie]],Totalisatie!$A$7:$B$16,2,FALSE)</f>
        <v>Dalton College</v>
      </c>
      <c r="C63" s="358"/>
      <c r="D63" s="34" t="str">
        <f>IF(Glasbewassing!$C63&gt;0,VLOOKUP(Glasbewassing!$C63,$A$8:$B$21,2,FALSE),"Hier vult u de inzet van eventuele hoogwerkers in")</f>
        <v>Hier vult u de inzet van eventuele hoogwerkers in</v>
      </c>
      <c r="E63" s="295"/>
      <c r="F63" s="261">
        <v>2</v>
      </c>
      <c r="G63" s="249">
        <f>IF(C63&gt;0,VLOOKUP(OverzichtGlas[[#This Row],[Code taak]],InvulGlas[],3,0)*E63*F63,0)</f>
        <v>0</v>
      </c>
      <c r="H63" s="249">
        <f>OverzichtGlas[[#This Row],[Kosten/jaar excl. BTW]]*1.21</f>
        <v>0</v>
      </c>
      <c r="I63" s="248"/>
    </row>
    <row r="64" spans="1:9" ht="15" customHeight="1">
      <c r="A64" s="248">
        <v>8</v>
      </c>
      <c r="B64" s="62" t="str">
        <f>VLOOKUP(OverzichtGlas[[#This Row],[Code Locatie]],Totalisatie!$A$7:$B$16,2,FALSE)</f>
        <v>Dalton College</v>
      </c>
      <c r="C64" s="358"/>
      <c r="D64" s="34" t="str">
        <f>IF(Glasbewassing!$C64&gt;0,VLOOKUP(Glasbewassing!$C64,$A$8:$B$21,2,FALSE),"Hier vult u de inzet van eventuele hoogwerkers in")</f>
        <v>Hier vult u de inzet van eventuele hoogwerkers in</v>
      </c>
      <c r="E64" s="295"/>
      <c r="F64" s="261">
        <v>2</v>
      </c>
      <c r="G64" s="249">
        <f>IF(C64&gt;0,VLOOKUP(OverzichtGlas[[#This Row],[Code taak]],InvulGlas[],3,0)*E64*F64,0)</f>
        <v>0</v>
      </c>
      <c r="H64" s="249">
        <f>OverzichtGlas[[#This Row],[Kosten/jaar excl. BTW]]*1.21</f>
        <v>0</v>
      </c>
      <c r="I64" s="248"/>
    </row>
    <row r="65" spans="1:9" ht="15" customHeight="1">
      <c r="A65" s="248">
        <v>9</v>
      </c>
      <c r="B65" s="62" t="str">
        <f>VLOOKUP(OverzichtGlas[[#This Row],[Code Locatie]],Totalisatie!$A$7:$B$16,2,FALSE)</f>
        <v>Novum-Maartenshal</v>
      </c>
      <c r="C65" s="248">
        <v>1</v>
      </c>
      <c r="D65" s="301" t="str">
        <f>IF(Glasbewassing!$C65&gt;0,VLOOKUP(Glasbewassing!$C65,$A$8:$B$21,2,FALSE),"Hier vult u de inzet van eventuele hoogwerkers in")</f>
        <v>Gevelglas binnenzijde</v>
      </c>
      <c r="E65" s="21">
        <v>151</v>
      </c>
      <c r="F65" s="261">
        <v>2</v>
      </c>
      <c r="G65" s="249">
        <f>IF(C65&gt;0,VLOOKUP(OverzichtGlas[[#This Row],[Code taak]],InvulGlas[],3,0)*E65*F65,0)</f>
        <v>0</v>
      </c>
      <c r="H65" s="249">
        <f>OverzichtGlas[[#This Row],[Kosten/jaar excl. BTW]]*1.21</f>
        <v>0</v>
      </c>
      <c r="I65" s="248"/>
    </row>
    <row r="66" spans="1:9" ht="15" customHeight="1">
      <c r="A66" s="248">
        <v>9</v>
      </c>
      <c r="B66" s="62" t="str">
        <f>VLOOKUP(OverzichtGlas[[#This Row],[Code Locatie]],Totalisatie!$A$7:$B$16,2,FALSE)</f>
        <v>Novum-Maartenshal</v>
      </c>
      <c r="C66" s="248">
        <v>2</v>
      </c>
      <c r="D66" s="301" t="str">
        <f>IF(Glasbewassing!$C66&gt;0,VLOOKUP(Glasbewassing!$C66,$A$8:$B$21,2,FALSE),"Hier vult u de inzet van eventuele hoogwerkers in")</f>
        <v>Gevelglas buitenzijde</v>
      </c>
      <c r="E66" s="21">
        <v>151</v>
      </c>
      <c r="F66" s="261">
        <v>2</v>
      </c>
      <c r="G66" s="249">
        <f>IF(C66&gt;0,VLOOKUP(OverzichtGlas[[#This Row],[Code taak]],InvulGlas[],3,0)*E66*F66,0)</f>
        <v>0</v>
      </c>
      <c r="H66" s="249">
        <f>OverzichtGlas[[#This Row],[Kosten/jaar excl. BTW]]*1.21</f>
        <v>0</v>
      </c>
      <c r="I66" s="248"/>
    </row>
    <row r="67" spans="1:9" ht="15" customHeight="1">
      <c r="A67" s="248">
        <v>9</v>
      </c>
      <c r="B67" s="62" t="str">
        <f>VLOOKUP(OverzichtGlas[[#This Row],[Code Locatie]],Totalisatie!$A$7:$B$16,2,FALSE)</f>
        <v>Novum-Maartenshal</v>
      </c>
      <c r="C67" s="248">
        <v>3</v>
      </c>
      <c r="D67" s="301" t="str">
        <f>IF(Glasbewassing!$C67&gt;0,VLOOKUP(Glasbewassing!$C67,$A$8:$B$21,2,FALSE),"Hier vult u de inzet van eventuele hoogwerkers in")</f>
        <v>Separatieglas (enkel gemeten, dubbel te wassen)</v>
      </c>
      <c r="E67" s="21">
        <v>13</v>
      </c>
      <c r="F67" s="261">
        <v>2</v>
      </c>
      <c r="G67" s="249">
        <f>IF(C67&gt;0,VLOOKUP(OverzichtGlas[[#This Row],[Code taak]],InvulGlas[],3,0)*E67*F67,0)</f>
        <v>0</v>
      </c>
      <c r="H67" s="249">
        <f>OverzichtGlas[[#This Row],[Kosten/jaar excl. BTW]]*1.21</f>
        <v>0</v>
      </c>
      <c r="I67" s="248"/>
    </row>
    <row r="68" spans="1:9" ht="15" customHeight="1">
      <c r="A68" s="248">
        <v>9</v>
      </c>
      <c r="B68" s="62" t="str">
        <f>VLOOKUP(OverzichtGlas[[#This Row],[Code Locatie]],Totalisatie!$A$7:$B$16,2,FALSE)</f>
        <v>Novum-Maartenshal</v>
      </c>
      <c r="C68" s="358"/>
      <c r="D68" s="34" t="str">
        <f>IF(Glasbewassing!$C68&gt;0,VLOOKUP(Glasbewassing!$C68,$A$8:$B$21,2,FALSE),"Hier vult u de inzet van eventuele hoogwerkers in")</f>
        <v>Hier vult u de inzet van eventuele hoogwerkers in</v>
      </c>
      <c r="E68" s="295"/>
      <c r="F68" s="261">
        <v>2</v>
      </c>
      <c r="G68" s="249">
        <f>IF(C68&gt;0,VLOOKUP(OverzichtGlas[[#This Row],[Code taak]],InvulGlas[],3,0)*E68*F68,0)</f>
        <v>0</v>
      </c>
      <c r="H68" s="249">
        <f>OverzichtGlas[[#This Row],[Kosten/jaar excl. BTW]]*1.21</f>
        <v>0</v>
      </c>
      <c r="I68" s="248"/>
    </row>
    <row r="69" spans="1:9" ht="15" customHeight="1">
      <c r="A69" s="248">
        <v>9</v>
      </c>
      <c r="B69" s="62" t="str">
        <f>VLOOKUP(OverzichtGlas[[#This Row],[Code Locatie]],Totalisatie!$A$7:$B$16,2,FALSE)</f>
        <v>Novum-Maartenshal</v>
      </c>
      <c r="C69" s="358"/>
      <c r="D69" s="34" t="str">
        <f>IF(Glasbewassing!$C69&gt;0,VLOOKUP(Glasbewassing!$C69,$A$8:$B$21,2,FALSE),"Hier vult u de inzet van eventuele hoogwerkers in")</f>
        <v>Hier vult u de inzet van eventuele hoogwerkers in</v>
      </c>
      <c r="E69" s="295"/>
      <c r="F69" s="261">
        <v>2</v>
      </c>
      <c r="G69" s="249">
        <f>IF(C69&gt;0,VLOOKUP(OverzichtGlas[[#This Row],[Code taak]],InvulGlas[],3,0)*E69*F69,0)</f>
        <v>0</v>
      </c>
      <c r="H69" s="249">
        <f>OverzichtGlas[[#This Row],[Kosten/jaar excl. BTW]]*1.21</f>
        <v>0</v>
      </c>
      <c r="I69" s="248"/>
    </row>
    <row r="70" spans="1:9" ht="15" customHeight="1">
      <c r="A70" s="248">
        <v>10</v>
      </c>
      <c r="B70" s="62" t="str">
        <f>VLOOKUP(OverzichtGlas[[#This Row],[Code Locatie]],Totalisatie!$A$7:$B$16,2,FALSE)</f>
        <v>Veurs Voorburg vmbo</v>
      </c>
      <c r="C70" s="248">
        <v>1</v>
      </c>
      <c r="D70" s="301" t="str">
        <f>IF(Glasbewassing!$C70&gt;0,VLOOKUP(Glasbewassing!$C70,$A$8:$B$21,2,FALSE),"Hier vult u de inzet van eventuele hoogwerkers in")</f>
        <v>Gevelglas binnenzijde</v>
      </c>
      <c r="E70" s="21">
        <v>744.82</v>
      </c>
      <c r="F70" s="261">
        <v>2</v>
      </c>
      <c r="G70" s="249">
        <f>IF(C70&gt;0,VLOOKUP(OverzichtGlas[[#This Row],[Code taak]],InvulGlas[],3,0)*E70*F70,0)</f>
        <v>0</v>
      </c>
      <c r="H70" s="249">
        <f>OverzichtGlas[[#This Row],[Kosten/jaar excl. BTW]]*1.21</f>
        <v>0</v>
      </c>
      <c r="I70" s="248"/>
    </row>
    <row r="71" spans="1:9" ht="15" customHeight="1">
      <c r="A71" s="248">
        <v>10</v>
      </c>
      <c r="B71" s="62" t="str">
        <f>VLOOKUP(OverzichtGlas[[#This Row],[Code Locatie]],Totalisatie!$A$7:$B$16,2,FALSE)</f>
        <v>Veurs Voorburg vmbo</v>
      </c>
      <c r="C71" s="248">
        <v>2</v>
      </c>
      <c r="D71" s="301" t="str">
        <f>IF(Glasbewassing!$C71&gt;0,VLOOKUP(Glasbewassing!$C71,$A$8:$B$21,2,FALSE),"Hier vult u de inzet van eventuele hoogwerkers in")</f>
        <v>Gevelglas buitenzijde</v>
      </c>
      <c r="E71" s="21">
        <v>744.82</v>
      </c>
      <c r="F71" s="261">
        <v>2</v>
      </c>
      <c r="G71" s="249">
        <f>IF(C71&gt;0,VLOOKUP(OverzichtGlas[[#This Row],[Code taak]],InvulGlas[],3,0)*E71*F71,0)</f>
        <v>0</v>
      </c>
      <c r="H71" s="249">
        <f>OverzichtGlas[[#This Row],[Kosten/jaar excl. BTW]]*1.21</f>
        <v>0</v>
      </c>
      <c r="I71" s="248"/>
    </row>
    <row r="72" spans="1:9" ht="15" customHeight="1">
      <c r="A72" s="248">
        <v>10</v>
      </c>
      <c r="B72" s="62" t="str">
        <f>VLOOKUP(OverzichtGlas[[#This Row],[Code Locatie]],Totalisatie!$A$7:$B$16,2,FALSE)</f>
        <v>Veurs Voorburg vmbo</v>
      </c>
      <c r="C72" s="248">
        <v>3</v>
      </c>
      <c r="D72" s="301" t="str">
        <f>IF(Glasbewassing!$C72&gt;0,VLOOKUP(Glasbewassing!$C72,$A$8:$B$21,2,FALSE),"Hier vult u de inzet van eventuele hoogwerkers in")</f>
        <v>Separatieglas (enkel gemeten, dubbel te wassen)</v>
      </c>
      <c r="E72" s="21">
        <v>470.91</v>
      </c>
      <c r="F72" s="261">
        <v>2</v>
      </c>
      <c r="G72" s="249">
        <f>IF(C72&gt;0,VLOOKUP(OverzichtGlas[[#This Row],[Code taak]],InvulGlas[],3,0)*E72*F72,0)</f>
        <v>0</v>
      </c>
      <c r="H72" s="249">
        <f>OverzichtGlas[[#This Row],[Kosten/jaar excl. BTW]]*1.21</f>
        <v>0</v>
      </c>
      <c r="I72" s="248"/>
    </row>
    <row r="73" spans="1:9" ht="15" customHeight="1">
      <c r="A73" s="248">
        <v>10</v>
      </c>
      <c r="B73" s="62" t="str">
        <f>VLOOKUP(OverzichtGlas[[#This Row],[Code Locatie]],Totalisatie!$A$7:$B$16,2,FALSE)</f>
        <v>Veurs Voorburg vmbo</v>
      </c>
      <c r="C73" s="358"/>
      <c r="D73" s="34" t="str">
        <f>IF(Glasbewassing!$C73&gt;0,VLOOKUP(Glasbewassing!$C73,$A$8:$B$21,2,FALSE),"Hier vult u de inzet van eventuele hoogwerkers in")</f>
        <v>Hier vult u de inzet van eventuele hoogwerkers in</v>
      </c>
      <c r="E73" s="295"/>
      <c r="F73" s="261">
        <v>2</v>
      </c>
      <c r="G73" s="249">
        <f>IF(C73&gt;0,VLOOKUP(OverzichtGlas[[#This Row],[Code taak]],InvulGlas[],3,0)*E73*F73,0)</f>
        <v>0</v>
      </c>
      <c r="H73" s="249">
        <f>OverzichtGlas[[#This Row],[Kosten/jaar excl. BTW]]*1.21</f>
        <v>0</v>
      </c>
      <c r="I73" s="248"/>
    </row>
    <row r="74" spans="1:9" ht="15" customHeight="1">
      <c r="A74" s="248">
        <v>10</v>
      </c>
      <c r="B74" s="62" t="str">
        <f>VLOOKUP(OverzichtGlas[[#This Row],[Code Locatie]],Totalisatie!$A$7:$B$16,2,FALSE)</f>
        <v>Veurs Voorburg vmbo</v>
      </c>
      <c r="C74" s="358"/>
      <c r="D74" s="34" t="str">
        <f>IF(Glasbewassing!$C74&gt;0,VLOOKUP(Glasbewassing!$C74,$A$8:$B$21,2,FALSE),"Hier vult u de inzet van eventuele hoogwerkers in")</f>
        <v>Hier vult u de inzet van eventuele hoogwerkers in</v>
      </c>
      <c r="E74" s="295"/>
      <c r="F74" s="261">
        <v>2</v>
      </c>
      <c r="G74" s="249">
        <f>IF(C74&gt;0,VLOOKUP(OverzichtGlas[[#This Row],[Code taak]],InvulGlas[],3,0)*E74*F74,0)</f>
        <v>0</v>
      </c>
      <c r="H74" s="249">
        <f>OverzichtGlas[[#This Row],[Kosten/jaar excl. BTW]]*1.21</f>
        <v>0</v>
      </c>
      <c r="I74" s="248"/>
    </row>
    <row r="75" spans="1:9" ht="15" customHeight="1">
      <c r="A75" s="250" t="s">
        <v>32</v>
      </c>
      <c r="B75" s="252"/>
      <c r="C75" s="250"/>
      <c r="D75" s="253"/>
      <c r="E75" s="362"/>
      <c r="F75" s="250"/>
      <c r="G75" s="254">
        <f>SUBTOTAL(109,OverzichtGlas[Kosten/jaar excl. BTW])</f>
        <v>0</v>
      </c>
      <c r="H75" s="254">
        <f>SUBTOTAL(109,OverzichtGlas[Kosten/jaar incl. BTW])</f>
        <v>0</v>
      </c>
      <c r="I75" s="250"/>
    </row>
    <row r="76" spans="1:9" ht="15" customHeight="1">
      <c r="C76" s="21"/>
      <c r="D76" s="4"/>
    </row>
    <row r="77" spans="1:9" ht="15" customHeight="1">
      <c r="C77" s="21"/>
      <c r="D77" s="4"/>
    </row>
    <row r="78" spans="1:9" ht="15" customHeight="1">
      <c r="C78" s="21"/>
      <c r="D78" s="4"/>
    </row>
    <row r="79" spans="1:9" ht="15" customHeight="1">
      <c r="C79" s="21"/>
      <c r="D79" s="4"/>
    </row>
    <row r="80" spans="1:9"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row r="98" spans="3:4" ht="15" customHeight="1">
      <c r="C98" s="21"/>
      <c r="D98" s="4"/>
    </row>
    <row r="99" spans="3:4" ht="15" customHeight="1">
      <c r="C99" s="21"/>
      <c r="D99" s="4"/>
    </row>
    <row r="100" spans="3:4" ht="15" customHeight="1">
      <c r="C100" s="21"/>
      <c r="D100" s="4"/>
    </row>
    <row r="101" spans="3:4" ht="15" customHeight="1">
      <c r="C101" s="21"/>
      <c r="D101" s="4"/>
    </row>
    <row r="102" spans="3:4" ht="15" customHeight="1">
      <c r="C102" s="21"/>
      <c r="D102" s="4"/>
    </row>
    <row r="103" spans="3:4" ht="15" customHeight="1">
      <c r="C103" s="21"/>
      <c r="D103" s="4"/>
    </row>
    <row r="104" spans="3:4" ht="15" customHeight="1">
      <c r="C104" s="21"/>
      <c r="D104" s="4"/>
    </row>
    <row r="105" spans="3:4" ht="15" customHeight="1">
      <c r="C105" s="21"/>
      <c r="D105" s="4"/>
    </row>
    <row r="106" spans="3:4" ht="15" customHeight="1">
      <c r="C106" s="21"/>
      <c r="D106" s="4"/>
    </row>
    <row r="107" spans="3:4" ht="15" customHeight="1">
      <c r="C107" s="21"/>
      <c r="D107" s="4"/>
    </row>
    <row r="108" spans="3:4" ht="15" customHeight="1">
      <c r="C108" s="21"/>
      <c r="D108" s="4"/>
    </row>
    <row r="109" spans="3:4" ht="15" customHeight="1">
      <c r="C109" s="21"/>
      <c r="D109" s="4"/>
    </row>
    <row r="110" spans="3:4" ht="15" customHeight="1">
      <c r="C110" s="21"/>
      <c r="D110" s="4"/>
    </row>
    <row r="111" spans="3:4" ht="15" customHeight="1">
      <c r="C111" s="21"/>
      <c r="D111" s="4"/>
    </row>
    <row r="112" spans="3:4" ht="15" customHeight="1">
      <c r="C112" s="21"/>
      <c r="D112" s="4"/>
    </row>
    <row r="113" spans="3:4" ht="15" customHeight="1">
      <c r="C113" s="21"/>
      <c r="D113" s="4"/>
    </row>
    <row r="114" spans="3:4" ht="15" customHeight="1">
      <c r="C114" s="21"/>
      <c r="D114" s="4"/>
    </row>
    <row r="115" spans="3:4" ht="15" customHeight="1">
      <c r="C115" s="21"/>
      <c r="D115" s="4"/>
    </row>
    <row r="116" spans="3:4" ht="15" customHeight="1">
      <c r="C116" s="21"/>
      <c r="D116" s="4"/>
    </row>
    <row r="117" spans="3:4" ht="15" customHeight="1">
      <c r="C117" s="21"/>
      <c r="D117" s="4"/>
    </row>
    <row r="118" spans="3:4" ht="15" customHeight="1">
      <c r="C118" s="21"/>
      <c r="D118" s="4"/>
    </row>
    <row r="119" spans="3:4" ht="15" customHeight="1">
      <c r="C119" s="21"/>
      <c r="D119" s="4"/>
    </row>
    <row r="120" spans="3:4" ht="15" customHeight="1">
      <c r="C120" s="21"/>
      <c r="D120" s="4"/>
    </row>
    <row r="121" spans="3:4" ht="15" customHeight="1">
      <c r="C121" s="21"/>
      <c r="D121" s="4"/>
    </row>
    <row r="122" spans="3:4" ht="15" customHeight="1">
      <c r="C122" s="21"/>
      <c r="D122" s="4"/>
    </row>
    <row r="123" spans="3:4" ht="15" customHeight="1">
      <c r="C123" s="21"/>
      <c r="D123" s="4"/>
    </row>
    <row r="124" spans="3:4" ht="15" customHeight="1">
      <c r="C124" s="21"/>
      <c r="D124" s="4"/>
    </row>
    <row r="125" spans="3:4" ht="15" customHeight="1">
      <c r="C125" s="21"/>
      <c r="D125" s="4"/>
    </row>
    <row r="126" spans="3:4" ht="15" customHeight="1">
      <c r="C126" s="21"/>
      <c r="D126" s="4"/>
    </row>
    <row r="127" spans="3:4" ht="15" customHeight="1">
      <c r="C127" s="21"/>
      <c r="D127" s="4"/>
    </row>
    <row r="128" spans="3:4" ht="15" customHeight="1">
      <c r="C128" s="21"/>
      <c r="D128" s="4"/>
    </row>
    <row r="129" spans="3:4" ht="15" customHeight="1">
      <c r="C129" s="21"/>
      <c r="D129" s="4"/>
    </row>
    <row r="130" spans="3:4" ht="15" customHeight="1">
      <c r="C130" s="21"/>
      <c r="D130" s="4"/>
    </row>
    <row r="131" spans="3:4" ht="15" customHeight="1">
      <c r="C131" s="21"/>
      <c r="D131" s="4"/>
    </row>
    <row r="132" spans="3:4" ht="15" customHeight="1">
      <c r="C132" s="21"/>
      <c r="D132" s="4"/>
    </row>
    <row r="133" spans="3:4" ht="15" customHeight="1">
      <c r="C133" s="21"/>
      <c r="D133" s="4"/>
    </row>
    <row r="134" spans="3:4" ht="15" customHeight="1">
      <c r="C134" s="21"/>
      <c r="D134" s="4"/>
    </row>
    <row r="135" spans="3:4" ht="15" customHeight="1">
      <c r="C135" s="21"/>
      <c r="D135" s="4"/>
    </row>
  </sheetData>
  <mergeCells count="3">
    <mergeCell ref="E7:I7"/>
    <mergeCell ref="A2:H2"/>
    <mergeCell ref="A1:H1"/>
  </mergeCells>
  <phoneticPr fontId="22"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8" ma:contentTypeDescription="Een nieuw document maken." ma:contentTypeScope="" ma:versionID="94eee8a2ed39edab905186d7c22c6d7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b266070007059d4f34f05c5d24972c5a"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01D780-3B97-493C-9478-2802C9533A1F}">
  <ds:schemaRefs>
    <ds:schemaRef ds:uri="http://schemas.openxmlformats.org/package/2006/metadata/core-properties"/>
    <ds:schemaRef ds:uri="http://schemas.microsoft.com/office/2006/documentManagement/types"/>
    <ds:schemaRef ds:uri="5d807127-6dfe-4777-9fc9-8a2ccfc388c3"/>
    <ds:schemaRef ds:uri="http://purl.org/dc/dcmitype/"/>
    <ds:schemaRef ds:uri="http://purl.org/dc/elements/1.1/"/>
    <ds:schemaRef ds:uri="http://schemas.microsoft.com/office/2006/metadata/properties"/>
    <ds:schemaRef ds:uri="46c995e6-7f53-48aa-a5ad-a9d38912b46a"/>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01404F4F-5D81-43A0-97D1-743815183D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29</vt:i4>
      </vt:variant>
    </vt:vector>
  </HeadingPairs>
  <TitlesOfParts>
    <vt:vector size="41"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'Extra werkzaamheden'!Afdrukbereik</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Elke Kienhuis | Inkada Inkoop &amp; Advies</cp:lastModifiedBy>
  <cp:lastPrinted>2021-12-20T08:38:13Z</cp:lastPrinted>
  <dcterms:created xsi:type="dcterms:W3CDTF">1999-03-23T11:24:21Z</dcterms:created>
  <dcterms:modified xsi:type="dcterms:W3CDTF">2024-04-08T15:00:40Z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